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84.xml"/>
  <Override ContentType="application/vnd.openxmlformats-officedocument.spreadsheetml.worksheet+xml" PartName="/xl/worksheets/sheet141.xml"/>
  <Override ContentType="application/vnd.openxmlformats-officedocument.spreadsheetml.worksheet+xml" PartName="/xl/worksheets/sheet49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92.xml"/>
  <Override ContentType="application/vnd.openxmlformats-officedocument.spreadsheetml.worksheet+xml" PartName="/xl/worksheets/sheet202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9.xml"/>
  <Override ContentType="application/vnd.openxmlformats-officedocument.spreadsheetml.worksheet+xml" PartName="/xl/worksheets/sheet42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73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99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179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17.xml"/>
  <Override ContentType="application/vnd.openxmlformats-officedocument.spreadsheetml.worksheet+xml" PartName="/xl/worksheets/sheet65.xml"/>
  <Override ContentType="application/vnd.openxmlformats-officedocument.spreadsheetml.worksheet+xml" PartName="/xl/worksheets/sheet82.xml"/>
  <Override ContentType="application/vnd.openxmlformats-officedocument.spreadsheetml.worksheet+xml" PartName="/xl/worksheets/sheet18.xml"/>
  <Override ContentType="application/vnd.openxmlformats-officedocument.spreadsheetml.worksheet+xml" PartName="/xl/worksheets/sheet181.xml"/>
  <Override ContentType="application/vnd.openxmlformats-officedocument.spreadsheetml.worksheet+xml" PartName="/xl/worksheets/sheet22.xml"/>
  <Override ContentType="application/vnd.openxmlformats-officedocument.spreadsheetml.worksheet+xml" PartName="/xl/worksheets/sheet58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14.xml"/>
  <Override ContentType="application/vnd.openxmlformats-officedocument.spreadsheetml.worksheet+xml" PartName="/xl/worksheets/sheet203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39.xml"/>
  <Override ContentType="application/vnd.openxmlformats-officedocument.spreadsheetml.worksheet+xml" PartName="/xl/worksheets/sheet80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25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3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18.xml"/>
  <Override ContentType="application/vnd.openxmlformats-officedocument.spreadsheetml.worksheet+xml" PartName="/xl/worksheets/sheet47.xml"/>
  <Override ContentType="application/vnd.openxmlformats-officedocument.spreadsheetml.worksheet+xml" PartName="/xl/worksheets/sheet64.xml"/>
  <Override ContentType="application/vnd.openxmlformats-officedocument.spreadsheetml.worksheet+xml" PartName="/xl/worksheets/sheet180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74.xml"/>
  <Override ContentType="application/vnd.openxmlformats-officedocument.spreadsheetml.worksheet+xml" PartName="/xl/worksheets/sheet2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5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00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19.xml"/>
  <Override ContentType="application/vnd.openxmlformats-officedocument.spreadsheetml.worksheet+xml" PartName="/xl/worksheets/sheet71.xml"/>
  <Override ContentType="application/vnd.openxmlformats-officedocument.spreadsheetml.worksheet+xml" PartName="/xl/worksheets/sheet20.xml"/>
  <Override ContentType="application/vnd.openxmlformats-officedocument.spreadsheetml.worksheet+xml" PartName="/xl/worksheets/sheet63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78.xml"/>
  <Override ContentType="application/vnd.openxmlformats-officedocument.spreadsheetml.worksheet+xml" PartName="/xl/worksheets/sheet200.xml"/>
  <Override ContentType="application/vnd.openxmlformats-officedocument.spreadsheetml.worksheet+xml" PartName="/xl/worksheets/sheet52.xml"/>
  <Override ContentType="application/vnd.openxmlformats-officedocument.spreadsheetml.worksheet+xml" PartName="/xl/worksheets/sheet95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66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83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26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61.xml"/>
  <Override ContentType="application/vnd.openxmlformats-officedocument.spreadsheetml.worksheet+xml" PartName="/xl/worksheets/sheet198.xml"/>
  <Override ContentType="application/vnd.openxmlformats-officedocument.spreadsheetml.worksheet+xml" PartName="/xl/worksheets/sheet28.xml"/>
  <Override ContentType="application/vnd.openxmlformats-officedocument.spreadsheetml.worksheet+xml" PartName="/xl/worksheets/sheet137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45.xml"/>
  <Override ContentType="application/vnd.openxmlformats-officedocument.spreadsheetml.worksheet+xml" PartName="/xl/worksheets/sheet88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201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193.xml"/>
  <Override ContentType="application/vnd.openxmlformats-officedocument.spreadsheetml.worksheet+xml" PartName="/xl/worksheets/sheet34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100.xml"/>
  <Override ContentType="application/vnd.openxmlformats-officedocument.drawing+xml" PartName="/xl/drawings/drawing178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8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48.xml"/>
  <Override ContentType="application/vnd.openxmlformats-officedocument.drawing+xml" PartName="/xl/drawings/drawing194.xml"/>
  <Override ContentType="application/vnd.openxmlformats-officedocument.drawing+xml" PartName="/xl/drawings/drawing2.xml"/>
  <Override ContentType="application/vnd.openxmlformats-officedocument.drawing+xml" PartName="/xl/drawings/drawing151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174.xml"/>
  <Override ContentType="application/vnd.openxmlformats-officedocument.drawing+xml" PartName="/xl/drawings/drawing127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138.xml"/>
  <Override ContentType="application/vnd.openxmlformats-officedocument.drawing+xml" PartName="/xl/drawings/drawing198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70.xml"/>
  <Override ContentType="application/vnd.openxmlformats-officedocument.drawing+xml" PartName="/xl/drawings/drawing59.xml"/>
  <Override ContentType="application/vnd.openxmlformats-officedocument.drawing+xml" PartName="/xl/drawings/drawing183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195.xml"/>
  <Override ContentType="application/vnd.openxmlformats-officedocument.drawing+xml" PartName="/xl/drawings/drawing185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77.xml"/>
  <Override ContentType="application/vnd.openxmlformats-officedocument.drawing+xml" PartName="/xl/drawings/drawing142.xml"/>
  <Override ContentType="application/vnd.openxmlformats-officedocument.drawing+xml" PartName="/xl/drawings/drawing83.xml"/>
  <Override ContentType="application/vnd.openxmlformats-officedocument.drawing+xml" PartName="/xl/drawings/drawing162.xml"/>
  <Override ContentType="application/vnd.openxmlformats-officedocument.drawing+xml" PartName="/xl/drawings/drawing189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28.xml"/>
  <Override ContentType="application/vnd.openxmlformats-officedocument.drawing+xml" PartName="/xl/drawings/drawing180.xml"/>
  <Override ContentType="application/vnd.openxmlformats-officedocument.drawing+xml" PartName="/xl/drawings/drawing49.xml"/>
  <Override ContentType="application/vnd.openxmlformats-officedocument.drawing+xml" PartName="/xl/drawings/drawing191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157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30.xml"/>
  <Override ContentType="application/vnd.openxmlformats-officedocument.drawing+xml" PartName="/xl/drawings/drawing173.xml"/>
  <Override ContentType="application/vnd.openxmlformats-officedocument.drawing+xml" PartName="/xl/drawings/drawing51.xml"/>
  <Override ContentType="application/vnd.openxmlformats-officedocument.drawing+xml" PartName="/xl/drawings/drawing190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139.xml"/>
  <Override ContentType="application/vnd.openxmlformats-officedocument.drawing+xml" PartName="/xl/drawings/drawing19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34.xml"/>
  <Override ContentType="application/vnd.openxmlformats-officedocument.drawing+xml" PartName="/xl/drawings/drawing156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67.xml"/>
  <Override ContentType="application/vnd.openxmlformats-officedocument.drawing+xml" PartName="/xl/drawings/drawing184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2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203.xml"/>
  <Override ContentType="application/vnd.openxmlformats-officedocument.drawing+xml" PartName="/xl/drawings/drawing118.xml"/>
  <Override ContentType="application/vnd.openxmlformats-officedocument.drawing+xml" PartName="/xl/drawings/drawing4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133.xml"/>
  <Override ContentType="application/vnd.openxmlformats-officedocument.drawing+xml" PartName="/xl/drawings/drawing31.xml"/>
  <Override ContentType="application/vnd.openxmlformats-officedocument.drawing+xml" PartName="/xl/drawings/drawing168.xml"/>
  <Override ContentType="application/vnd.openxmlformats-officedocument.drawing+xml" PartName="/xl/drawings/drawing74.xml"/>
  <Override ContentType="application/vnd.openxmlformats-officedocument.drawing+xml" PartName="/xl/drawings/drawing192.xml"/>
  <Override ContentType="application/vnd.openxmlformats-officedocument.drawing+xml" PartName="/xl/drawings/drawing70.xml"/>
  <Override ContentType="application/vnd.openxmlformats-officedocument.drawing+xml" PartName="/xl/drawings/drawing17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188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1.xml"/>
  <Override ContentType="application/vnd.openxmlformats-officedocument.drawing+xml" PartName="/xl/drawings/drawing202.xml"/>
  <Override ContentType="application/vnd.openxmlformats-officedocument.drawing+xml" PartName="/xl/drawings/drawing121.xml"/>
  <Override ContentType="application/vnd.openxmlformats-officedocument.drawing+xml" PartName="/xl/drawings/drawing27.xml"/>
  <Override ContentType="application/vnd.openxmlformats-officedocument.drawing+xml" PartName="/xl/drawings/drawing172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35.xml"/>
  <Override ContentType="application/vnd.openxmlformats-officedocument.drawing+xml" PartName="/xl/drawings/drawing181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79.xml"/>
  <Override ContentType="application/vnd.openxmlformats-officedocument.drawing+xml" PartName="/xl/drawings/drawing10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36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196.xml"/>
  <Override ContentType="application/vnd.openxmlformats-officedocument.drawing+xml" PartName="/xl/drawings/drawing81.xml"/>
  <Override ContentType="application/vnd.openxmlformats-officedocument.drawing+xml" PartName="/xl/drawings/drawing160.xml"/>
  <Override ContentType="application/vnd.openxmlformats-officedocument.drawing+xml" PartName="/xl/drawings/drawing169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200.xml"/>
  <Override ContentType="application/vnd.openxmlformats-officedocument.drawing+xml" PartName="/xl/drawings/drawing96.xml"/>
  <Override ContentType="application/vnd.openxmlformats-officedocument.drawing+xml" PartName="/xl/drawings/drawing175.xml"/>
  <Override ContentType="application/vnd.openxmlformats-officedocument.drawing+xml" PartName="/xl/drawings/drawing132.xml"/>
  <Override ContentType="application/vnd.openxmlformats-officedocument.drawing+xml" PartName="/xl/drawings/drawing193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187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48.xml"/>
  <Override ContentType="application/vnd.openxmlformats-officedocument.drawing+xml" PartName="/xl/drawings/drawing26.xml"/>
  <Override ContentType="application/vnd.openxmlformats-officedocument.drawing+xml" PartName="/xl/drawings/drawing165.xml"/>
  <Override ContentType="application/vnd.openxmlformats-officedocument.drawing+xml" PartName="/xl/drawings/drawing69.xml"/>
  <Override ContentType="application/vnd.openxmlformats-officedocument.drawing+xml" PartName="/xl/drawings/drawing122.xml"/>
  <Override ContentType="application/vnd.openxmlformats-officedocument.drawing+xml" PartName="/xl/drawings/drawing182.xml"/>
  <Override ContentType="application/vnd.openxmlformats-officedocument.drawing+xml" PartName="/xl/drawings/drawing43.xml"/>
  <Override ContentType="application/vnd.openxmlformats-officedocument.drawing+xml" PartName="/xl/drawings/drawing86.xml"/>
  <Override ContentType="application/vnd.openxmlformats-officedocument.drawing+xml" PartName="/xl/drawings/drawing60.xml"/>
  <Override ContentType="application/vnd.openxmlformats-officedocument.drawing+xml" PartName="/xl/drawings/drawing201.xml"/>
  <Override ContentType="application/vnd.openxmlformats-officedocument.drawing+xml" PartName="/xl/drawings/drawing154.xml"/>
  <Override ContentType="application/vnd.openxmlformats-officedocument.drawing+xml" PartName="/xl/drawings/drawing197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171.xml"/>
  <Override ContentType="application/vnd.openxmlformats-officedocument.drawing+xml" PartName="/xl/drawings/drawing32.xml"/>
  <Override ContentType="application/vnd.openxmlformats-officedocument.drawing+xml" PartName="/xl/drawings/drawing75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figSheet" sheetId="1" r:id="rId4"/>
    <sheet state="visible" name="NSEABB" sheetId="2" r:id="rId5"/>
    <sheet state="visible" name="Sheet3" sheetId="3" r:id="rId6"/>
    <sheet state="visible" name="NSEABCAPITAL" sheetId="4" r:id="rId7"/>
    <sheet state="visible" name="NSEABFRL" sheetId="5" r:id="rId8"/>
    <sheet state="visible" name="NSEACC" sheetId="6" r:id="rId9"/>
    <sheet state="visible" name="NSEADANIENSOL" sheetId="7" r:id="rId10"/>
    <sheet state="visible" name="NSEADANIENT" sheetId="8" r:id="rId11"/>
    <sheet state="visible" name="NSEADANIGREEN" sheetId="9" r:id="rId12"/>
    <sheet state="visible" name="NSEADANIPORTS" sheetId="10" r:id="rId13"/>
    <sheet state="visible" name="NSEADANIPOWER" sheetId="11" r:id="rId14"/>
    <sheet state="visible" name="NSEALKEM" sheetId="12" r:id="rId15"/>
    <sheet state="visible" name="NSEAMBUJACEM" sheetId="13" r:id="rId16"/>
    <sheet state="visible" name="NSEAPLAPOLLO" sheetId="14" r:id="rId17"/>
    <sheet state="visible" name="NSEAPOLLOHOSP" sheetId="15" r:id="rId18"/>
    <sheet state="visible" name="NSEAPOLLOTYRE" sheetId="16" r:id="rId19"/>
    <sheet state="visible" name="NSEASHOKLEY" sheetId="17" r:id="rId20"/>
    <sheet state="visible" name="NSEASIANPAINT" sheetId="18" r:id="rId21"/>
    <sheet state="visible" name="NSEASTRAL" sheetId="19" r:id="rId22"/>
    <sheet state="visible" name="NSEATGL" sheetId="20" r:id="rId23"/>
    <sheet state="visible" name="NSEAUBANK" sheetId="21" r:id="rId24"/>
    <sheet state="visible" name="NSEAUROPHARMA" sheetId="22" r:id="rId25"/>
    <sheet state="visible" name="NSEAXISBANK" sheetId="23" r:id="rId26"/>
    <sheet state="visible" name="NSEBAJAJ-AUTO" sheetId="24" r:id="rId27"/>
    <sheet state="visible" name="NSEBAJAJFINSV" sheetId="25" r:id="rId28"/>
    <sheet state="visible" name="NSEBAJAJHFL" sheetId="26" r:id="rId29"/>
    <sheet state="visible" name="NSEBAJAJHLDNG" sheetId="27" r:id="rId30"/>
    <sheet state="visible" name="NSEBAJFINANCE" sheetId="28" r:id="rId31"/>
    <sheet state="visible" name="NSEBANDHANBNK" sheetId="29" r:id="rId32"/>
    <sheet state="visible" name="NSEBANKBARODA" sheetId="30" r:id="rId33"/>
    <sheet state="visible" name="NSEBANKINDIA" sheetId="31" r:id="rId34"/>
    <sheet state="visible" name="NSEBDL" sheetId="32" r:id="rId35"/>
    <sheet state="visible" name="NSEBEL" sheetId="33" r:id="rId36"/>
    <sheet state="visible" name="NSEBHARATFORG" sheetId="34" r:id="rId37"/>
    <sheet state="visible" name="NSEBHARTIARTL" sheetId="35" r:id="rId38"/>
    <sheet state="visible" name="NSEBHARTIHEXA" sheetId="36" r:id="rId39"/>
    <sheet state="visible" name="NSEBHEL" sheetId="37" r:id="rId40"/>
    <sheet state="visible" name="NSEBIOCON" sheetId="38" r:id="rId41"/>
    <sheet state="visible" name="NSEBOSCHLTD" sheetId="39" r:id="rId42"/>
    <sheet state="visible" name="NSEBPCL" sheetId="40" r:id="rId43"/>
    <sheet state="visible" name="NSEBRITANNIA" sheetId="41" r:id="rId44"/>
    <sheet state="visible" name="NSEBSE" sheetId="42" r:id="rId45"/>
    <sheet state="visible" name="NSECANBK" sheetId="43" r:id="rId46"/>
    <sheet state="visible" name="NSECGPOWER" sheetId="44" r:id="rId47"/>
    <sheet state="visible" name="NSECHOLAFIN" sheetId="45" r:id="rId48"/>
    <sheet state="visible" name="NSECIPLA" sheetId="46" r:id="rId49"/>
    <sheet state="visible" name="NSECOALINDIA" sheetId="47" r:id="rId50"/>
    <sheet state="visible" name="NSECOCHINSHIP" sheetId="48" r:id="rId51"/>
    <sheet state="visible" name="NSECOFORGE" sheetId="49" r:id="rId52"/>
    <sheet state="visible" name="NSECOLPAL" sheetId="50" r:id="rId53"/>
    <sheet state="visible" name="NSECONCOR" sheetId="51" r:id="rId54"/>
    <sheet state="visible" name="NSECUMMINSIND" sheetId="52" r:id="rId55"/>
    <sheet state="visible" name="NSEDABUR" sheetId="53" r:id="rId56"/>
    <sheet state="visible" name="NSEDIVISLAB" sheetId="54" r:id="rId57"/>
    <sheet state="visible" name="NSEDIXON" sheetId="55" r:id="rId58"/>
    <sheet state="visible" name="NSEDLF" sheetId="56" r:id="rId59"/>
    <sheet state="visible" name="NSEDMART" sheetId="57" r:id="rId60"/>
    <sheet state="visible" name="NSEDRREDDY" sheetId="58" r:id="rId61"/>
    <sheet state="visible" name="NSEEICHERMOT" sheetId="59" r:id="rId62"/>
    <sheet state="visible" name="NSEESCORTS" sheetId="60" r:id="rId63"/>
    <sheet state="visible" name="NSEETERNAL" sheetId="61" r:id="rId64"/>
    <sheet state="visible" name="NSEEXIDEIND" sheetId="62" r:id="rId65"/>
    <sheet state="visible" name="NSEFEDERALBNK" sheetId="63" r:id="rId66"/>
    <sheet state="visible" name="NSEGAIL" sheetId="64" r:id="rId67"/>
    <sheet state="visible" name="NSEGLENMARK" sheetId="65" r:id="rId68"/>
    <sheet state="visible" name="NSEGMRAIRPORT" sheetId="66" r:id="rId69"/>
    <sheet state="visible" name="NSEGODREJCP" sheetId="67" r:id="rId70"/>
    <sheet state="visible" name="NSEGODREJPROP" sheetId="68" r:id="rId71"/>
    <sheet state="visible" name="NSEGRASIM" sheetId="69" r:id="rId72"/>
    <sheet state="visible" name="NSEHAL" sheetId="70" r:id="rId73"/>
    <sheet state="visible" name="NSEHAVELLS" sheetId="71" r:id="rId74"/>
    <sheet state="visible" name="NSEHCLTECH" sheetId="72" r:id="rId75"/>
    <sheet state="visible" name="NSEHDFCAMC" sheetId="73" r:id="rId76"/>
    <sheet state="visible" name="NSEHDFCBANK" sheetId="74" r:id="rId77"/>
    <sheet state="visible" name="NSEHDFCLIFE" sheetId="75" r:id="rId78"/>
    <sheet state="visible" name="NSEHEROMOTOCO" sheetId="76" r:id="rId79"/>
    <sheet state="visible" name="NSEHINDALCO" sheetId="77" r:id="rId80"/>
    <sheet state="visible" name="NSEHINDPETRO" sheetId="78" r:id="rId81"/>
    <sheet state="visible" name="NSEHINDUNILVR" sheetId="79" r:id="rId82"/>
    <sheet state="visible" name="NSEHINDZINC" sheetId="80" r:id="rId83"/>
    <sheet state="visible" name="NSEHUDCO" sheetId="81" r:id="rId84"/>
    <sheet state="visible" name="NSEHYUNDAI" sheetId="82" r:id="rId85"/>
    <sheet state="visible" name="NSEICICIBANK" sheetId="83" r:id="rId86"/>
    <sheet state="visible" name="NSEICICIGI" sheetId="84" r:id="rId87"/>
    <sheet state="visible" name="NSEICICIPRULI" sheetId="85" r:id="rId88"/>
    <sheet state="visible" name="NSEIDEA" sheetId="86" r:id="rId89"/>
    <sheet state="visible" name="NSEIDFCFIRSTB" sheetId="87" r:id="rId90"/>
    <sheet state="visible" name="NSEIGL" sheetId="88" r:id="rId91"/>
    <sheet state="visible" name="NSEINDHOTEL" sheetId="89" r:id="rId92"/>
    <sheet state="visible" name="NSEINDIANB" sheetId="90" r:id="rId93"/>
    <sheet state="visible" name="NSEINDIGO" sheetId="91" r:id="rId94"/>
    <sheet state="visible" name="NSEINDUSINDBK" sheetId="92" r:id="rId95"/>
    <sheet state="visible" name="NSEINDUSTOWER" sheetId="93" r:id="rId96"/>
    <sheet state="visible" name="NSEINFY" sheetId="94" r:id="rId97"/>
    <sheet state="visible" name="NSEIOC" sheetId="95" r:id="rId98"/>
    <sheet state="visible" name="NSEIRB" sheetId="96" r:id="rId99"/>
    <sheet state="visible" name="NSEIRCTC" sheetId="97" r:id="rId100"/>
    <sheet state="visible" name="NSEIREDA" sheetId="98" r:id="rId101"/>
    <sheet state="visible" name="NSEIRFC" sheetId="99" r:id="rId102"/>
    <sheet state="visible" name="NSEITC" sheetId="100" r:id="rId103"/>
    <sheet state="visible" name="NSEJINDALSTEL" sheetId="101" r:id="rId104"/>
    <sheet state="visible" name="NSEJIOFIN" sheetId="102" r:id="rId105"/>
    <sheet state="visible" name="NSEJSWENERGY" sheetId="103" r:id="rId106"/>
    <sheet state="visible" name="NSEJSWSTEEL" sheetId="104" r:id="rId107"/>
    <sheet state="visible" name="NSEJUBLFOOD" sheetId="105" r:id="rId108"/>
    <sheet state="visible" name="NSEKALYANKJIL" sheetId="106" r:id="rId109"/>
    <sheet state="visible" name="NSEKOTAKBANK" sheetId="107" r:id="rId110"/>
    <sheet state="visible" name="NSEKPITTECH" sheetId="108" r:id="rId111"/>
    <sheet state="visible" name="NSELICHSGFIN" sheetId="109" r:id="rId112"/>
    <sheet state="visible" name="NSELICI" sheetId="110" r:id="rId113"/>
    <sheet state="visible" name="NSELODHA" sheetId="111" r:id="rId114"/>
    <sheet state="visible" name="NSELT" sheetId="112" r:id="rId115"/>
    <sheet state="visible" name="NSELTF" sheetId="113" r:id="rId116"/>
    <sheet state="visible" name="NSELTIM" sheetId="114" r:id="rId117"/>
    <sheet state="visible" name="NSELUPIN" sheetId="115" r:id="rId118"/>
    <sheet state="visible" name="NSEM&amp;M" sheetId="116" r:id="rId119"/>
    <sheet state="visible" name="NSEM&amp;MFIN" sheetId="117" r:id="rId120"/>
    <sheet state="visible" name="NSEMAHABANK" sheetId="118" r:id="rId121"/>
    <sheet state="visible" name="NSEMANKIND" sheetId="119" r:id="rId122"/>
    <sheet state="visible" name="NSEMARICO" sheetId="120" r:id="rId123"/>
    <sheet state="visible" name="NSEMARUTI" sheetId="121" r:id="rId124"/>
    <sheet state="visible" name="NSEMAXHEALTH" sheetId="122" r:id="rId125"/>
    <sheet state="visible" name="NSEMAZDOCK" sheetId="123" r:id="rId126"/>
    <sheet state="visible" name="NSEMFSL" sheetId="124" r:id="rId127"/>
    <sheet state="visible" name="NSEMOTHERSON" sheetId="125" r:id="rId128"/>
    <sheet state="visible" name="NSEMOTILALOFS" sheetId="126" r:id="rId129"/>
    <sheet state="visible" name="NSEMPHASIS" sheetId="127" r:id="rId130"/>
    <sheet state="visible" name="NSEMRF" sheetId="128" r:id="rId131"/>
    <sheet state="visible" name="NSEMUTHOOTFIN" sheetId="129" r:id="rId132"/>
    <sheet state="visible" name="NSENATIONALUM" sheetId="130" r:id="rId133"/>
    <sheet state="visible" name="NSENAUKRI" sheetId="131" r:id="rId134"/>
    <sheet state="visible" name="NSENESTLEIND" sheetId="132" r:id="rId135"/>
    <sheet state="visible" name="NSENHPC" sheetId="133" r:id="rId136"/>
    <sheet state="visible" name="NSENMDC" sheetId="134" r:id="rId137"/>
    <sheet state="visible" name="NSENTPC" sheetId="135" r:id="rId138"/>
    <sheet state="visible" name="NSENTPCGREEN" sheetId="136" r:id="rId139"/>
    <sheet state="visible" name="NSENYKAA" sheetId="137" r:id="rId140"/>
    <sheet state="visible" name="NSEOBEROIRLTY" sheetId="138" r:id="rId141"/>
    <sheet state="visible" name="NSEOFSS" sheetId="139" r:id="rId142"/>
    <sheet state="visible" name="NSEOIL" sheetId="140" r:id="rId143"/>
    <sheet state="visible" name="NSEOLAELEC" sheetId="141" r:id="rId144"/>
    <sheet state="visible" name="NSEONGC" sheetId="142" r:id="rId145"/>
    <sheet state="visible" name="NSEPAGEIND" sheetId="143" r:id="rId146"/>
    <sheet state="visible" name="NSEPATANJALI" sheetId="144" r:id="rId147"/>
    <sheet state="visible" name="NSEPAYTM" sheetId="145" r:id="rId148"/>
    <sheet state="visible" name="NSEPERSISTENT" sheetId="146" r:id="rId149"/>
    <sheet state="visible" name="NSEPETRONET" sheetId="147" r:id="rId150"/>
    <sheet state="visible" name="NSEPFC" sheetId="148" r:id="rId151"/>
    <sheet state="visible" name="NSEPHOENIXLTD" sheetId="149" r:id="rId152"/>
    <sheet state="visible" name="NSEPIDILITIND" sheetId="150" r:id="rId153"/>
    <sheet state="visible" name="NSEPIIND" sheetId="151" r:id="rId154"/>
    <sheet state="visible" name="NSEPNB" sheetId="152" r:id="rId155"/>
    <sheet state="visible" name="NSEPOLICYBZR" sheetId="153" r:id="rId156"/>
    <sheet state="visible" name="NSEPOLYCAB" sheetId="154" r:id="rId157"/>
    <sheet state="visible" name="NSEPOWERGRID" sheetId="155" r:id="rId158"/>
    <sheet state="visible" name="NSEPREMIERENE" sheetId="156" r:id="rId159"/>
    <sheet state="visible" name="NSEPRESTIGE" sheetId="157" r:id="rId160"/>
    <sheet state="visible" name="NSERECLTD" sheetId="158" r:id="rId161"/>
    <sheet state="visible" name="NSERELIANCE" sheetId="159" r:id="rId162"/>
    <sheet state="visible" name="NSERVNL" sheetId="160" r:id="rId163"/>
    <sheet state="visible" name="NSESAIL" sheetId="161" r:id="rId164"/>
    <sheet state="visible" name="NSESBICARD" sheetId="162" r:id="rId165"/>
    <sheet state="visible" name="NSESBILIFE" sheetId="163" r:id="rId166"/>
    <sheet state="visible" name="NSESBIN" sheetId="164" r:id="rId167"/>
    <sheet state="visible" name="NSESHREECEM" sheetId="165" r:id="rId168"/>
    <sheet state="visible" name="NSESHRIRAMFIN" sheetId="166" r:id="rId169"/>
    <sheet state="visible" name="NSESIEMENS" sheetId="167" r:id="rId170"/>
    <sheet state="visible" name="NSESJVN" sheetId="168" r:id="rId171"/>
    <sheet state="visible" name="NSESOLARINDS" sheetId="169" r:id="rId172"/>
    <sheet state="visible" name="NSESONACOMS" sheetId="170" r:id="rId173"/>
    <sheet state="visible" name="NSESRF" sheetId="171" r:id="rId174"/>
    <sheet state="visible" name="NSESUNPHARMA" sheetId="172" r:id="rId175"/>
    <sheet state="visible" name="NSESUPREMEIND" sheetId="173" r:id="rId176"/>
    <sheet state="visible" name="NSESUZLON" sheetId="174" r:id="rId177"/>
    <sheet state="visible" name="NSESWIGGY" sheetId="175" r:id="rId178"/>
    <sheet state="visible" name="NSETATACOMM" sheetId="176" r:id="rId179"/>
    <sheet state="visible" name="NSETATACONSUM" sheetId="177" r:id="rId180"/>
    <sheet state="visible" name="NSETATAELXSI" sheetId="178" r:id="rId181"/>
    <sheet state="visible" name="NSETATAMOTORS" sheetId="179" r:id="rId182"/>
    <sheet state="visible" name="NSETATAPOWER" sheetId="180" r:id="rId183"/>
    <sheet state="visible" name="NSETATASTEEL" sheetId="181" r:id="rId184"/>
    <sheet state="visible" name="NSETATATECH" sheetId="182" r:id="rId185"/>
    <sheet state="visible" name="NSETCS" sheetId="183" r:id="rId186"/>
    <sheet state="visible" name="NSETECHM" sheetId="184" r:id="rId187"/>
    <sheet state="visible" name="NSETIINDIA" sheetId="185" r:id="rId188"/>
    <sheet state="visible" name="NSETITAN" sheetId="186" r:id="rId189"/>
    <sheet state="visible" name="NSETORNTPHARM" sheetId="187" r:id="rId190"/>
    <sheet state="visible" name="NSETORNTPOWER" sheetId="188" r:id="rId191"/>
    <sheet state="visible" name="NSETRENT" sheetId="189" r:id="rId192"/>
    <sheet state="visible" name="NSETVSMOTOR" sheetId="190" r:id="rId193"/>
    <sheet state="visible" name="NSEULTRACEMCO" sheetId="191" r:id="rId194"/>
    <sheet state="visible" name="NSEUNIONBANK" sheetId="192" r:id="rId195"/>
    <sheet state="visible" name="NSEUNITDSPR" sheetId="193" r:id="rId196"/>
    <sheet state="visible" name="NSEUPL" sheetId="194" r:id="rId197"/>
    <sheet state="visible" name="NSEVBL" sheetId="195" r:id="rId198"/>
    <sheet state="visible" name="NSEVEDL" sheetId="196" r:id="rId199"/>
    <sheet state="visible" name="NSEVMM" sheetId="197" r:id="rId200"/>
    <sheet state="visible" name="NSEVOLTAS" sheetId="198" r:id="rId201"/>
    <sheet state="visible" name="NSEWAAREEENER" sheetId="199" r:id="rId202"/>
    <sheet state="visible" name="NSEWIPRO" sheetId="200" r:id="rId203"/>
    <sheet state="visible" name="NSEYESBANK" sheetId="201" r:id="rId204"/>
    <sheet state="visible" name="NSEZYDUSLIFE" sheetId="202" r:id="rId205"/>
    <sheet state="visible" name="Nifty200Symbol" sheetId="203" r:id="rId206"/>
  </sheets>
  <definedNames>
    <definedName hidden="1" localSheetId="202" name="_xlnm._FilterDatabase">Nifty200Symbol!$A$1:$Z$202</definedName>
  </definedNames>
  <calcPr/>
</workbook>
</file>

<file path=xl/sharedStrings.xml><?xml version="1.0" encoding="utf-8"?>
<sst xmlns="http://schemas.openxmlformats.org/spreadsheetml/2006/main" count="432" uniqueCount="431">
  <si>
    <t>HISTORY</t>
  </si>
  <si>
    <t>ENDDATE</t>
  </si>
  <si>
    <t>INTERVAL</t>
  </si>
  <si>
    <t>WEEKLY</t>
  </si>
  <si>
    <t>import pandas as pd</t>
  </si>
  <si>
    <t># Function to process a single sheet</t>
  </si>
  <si>
    <t>def process_sheet(excel_file, sheet_name):</t>
  </si>
  <si>
    <t>df = excel_file.parse(sheet_name)</t>
  </si>
  <si>
    <t>if all(col in df.columns for col in ['Open', 'High', 'Low', 'Close']):</t>
  </si>
  <si>
    <t>df['stock_name'] = sheet_name</t>
  </si>
  <si>
    <t>return df[['stock_name', 'Open', 'High', 'Low', 'Close']]</t>
  </si>
  <si>
    <t>return None</t>
  </si>
  <si>
    <t># Function to compile all sheets into one DataFrame</t>
  </si>
  <si>
    <t>def compile_stock_data(file_path):</t>
  </si>
  <si>
    <t>excel_file = pd.ExcelFile(file_path, engine='openpyxl')</t>
  </si>
  <si>
    <t>data_frames = []</t>
  </si>
  <si>
    <t>for sheet_name in excel_file.sheet_names:</t>
  </si>
  <si>
    <t>processed_df = process_sheet(excel_file, sheet_name)</t>
  </si>
  <si>
    <t>if processed_df is not None:</t>
  </si>
  <si>
    <t>data_frames.append(processed_df)</t>
  </si>
  <si>
    <t>return pd.concat(data_frames, ignore_index=True)</t>
  </si>
  <si>
    <t># Usage</t>
  </si>
  <si>
    <t>combined_df = compile_stock_data("Nifty200Weekly.xlsx")</t>
  </si>
  <si>
    <t>print(combined_df.head())</t>
  </si>
  <si>
    <t xml:space="preserve">    sheet_name, df.columns)</t>
  </si>
  <si>
    <t xml:space="preserve"> </t>
  </si>
  <si>
    <t>API_SYMBOL</t>
  </si>
  <si>
    <t>STOCK_SYMBOL</t>
  </si>
  <si>
    <t>PRICE</t>
  </si>
  <si>
    <t>NSE:ABB</t>
  </si>
  <si>
    <t>ABB</t>
  </si>
  <si>
    <t>NSE:ABCAPITAL</t>
  </si>
  <si>
    <t>ABCAPITAL</t>
  </si>
  <si>
    <t>NSE:ABFRL</t>
  </si>
  <si>
    <t>ABFRL</t>
  </si>
  <si>
    <t>NSE:ACC</t>
  </si>
  <si>
    <t>ACC</t>
  </si>
  <si>
    <t>NSE:ADANIENSOL</t>
  </si>
  <si>
    <t>ADANIENSOL</t>
  </si>
  <si>
    <t>NSE:ADANIENT</t>
  </si>
  <si>
    <t>ADANIENT</t>
  </si>
  <si>
    <t>NSE:ADANIGREEN</t>
  </si>
  <si>
    <t>ADANIGREEN</t>
  </si>
  <si>
    <t>NSE:ADANIPORTS</t>
  </si>
  <si>
    <t>ADANIPORTS</t>
  </si>
  <si>
    <t>NSE:ADANIPOWER</t>
  </si>
  <si>
    <t>ADANIPOWER</t>
  </si>
  <si>
    <t>NSE:ALKEM</t>
  </si>
  <si>
    <t>ALKEM</t>
  </si>
  <si>
    <t>NSE:AMBUJACEM</t>
  </si>
  <si>
    <t>AMBUJACEM</t>
  </si>
  <si>
    <t>NSE:APLAPOLLO</t>
  </si>
  <si>
    <t>APLAPOLLO</t>
  </si>
  <si>
    <t>NSE:APOLLOHOSP</t>
  </si>
  <si>
    <t>APOLLOHOSP</t>
  </si>
  <si>
    <t>NSE:APOLLOTYRE</t>
  </si>
  <si>
    <t>APOLLOTYRE</t>
  </si>
  <si>
    <t>NSE:ASHOKLEY</t>
  </si>
  <si>
    <t>ASHOKLEY</t>
  </si>
  <si>
    <t>NSE:ASIANPAINT</t>
  </si>
  <si>
    <t>ASIANPAINT</t>
  </si>
  <si>
    <t>NSE:ASTRAL</t>
  </si>
  <si>
    <t>ASTRAL</t>
  </si>
  <si>
    <t>NSE:ATGL</t>
  </si>
  <si>
    <t>ATGL</t>
  </si>
  <si>
    <t>NSE:AUBANK</t>
  </si>
  <si>
    <t>AUBANK</t>
  </si>
  <si>
    <t>NSE:AUROPHARMA</t>
  </si>
  <si>
    <t>AUROPHARMA</t>
  </si>
  <si>
    <t>NSE:AXISBANK</t>
  </si>
  <si>
    <t>AXISBANK</t>
  </si>
  <si>
    <t>NSE:BAJAJ-AUTO</t>
  </si>
  <si>
    <t>BAJAJ-AUTO</t>
  </si>
  <si>
    <t>NSE:BAJAJFINSV</t>
  </si>
  <si>
    <t>BAJAJFINSV</t>
  </si>
  <si>
    <t>NSE:BAJAJHFL</t>
  </si>
  <si>
    <t>BAJAJHFL</t>
  </si>
  <si>
    <t>NSE:BAJAJHLDNG</t>
  </si>
  <si>
    <t>BAJAJHLDNG</t>
  </si>
  <si>
    <t>NSE:BAJFINANCE</t>
  </si>
  <si>
    <t>BAJFINANCE</t>
  </si>
  <si>
    <t>NSE:BANDHANBNK</t>
  </si>
  <si>
    <t>BANDHANBNK</t>
  </si>
  <si>
    <t>NSE:BANKBARODA</t>
  </si>
  <si>
    <t>BANKBARODA</t>
  </si>
  <si>
    <t>NSE:BANKINDIA</t>
  </si>
  <si>
    <t>BANKINDIA</t>
  </si>
  <si>
    <t>NSE:BDL</t>
  </si>
  <si>
    <t>BDL</t>
  </si>
  <si>
    <t>NSE:BEL</t>
  </si>
  <si>
    <t>BEL</t>
  </si>
  <si>
    <t>NSE:BHARATFORG</t>
  </si>
  <si>
    <t>BHARATFORG</t>
  </si>
  <si>
    <t>NSE:BHARTIARTL</t>
  </si>
  <si>
    <t>BHARTIARTL</t>
  </si>
  <si>
    <t>NSE:BHARTIHEXA</t>
  </si>
  <si>
    <t>BHARTIHEXA</t>
  </si>
  <si>
    <t>NSE:BHEL</t>
  </si>
  <si>
    <t>BHEL</t>
  </si>
  <si>
    <t>NSE:BIOCON</t>
  </si>
  <si>
    <t>BIOCON</t>
  </si>
  <si>
    <t>NSE:BOSCHLTD</t>
  </si>
  <si>
    <t>BOSCHLTD</t>
  </si>
  <si>
    <t>NSE:BPCL</t>
  </si>
  <si>
    <t>BPCL</t>
  </si>
  <si>
    <t>NSE:BRITANNIA</t>
  </si>
  <si>
    <t>BRITANNIA</t>
  </si>
  <si>
    <t>NSE:BSE</t>
  </si>
  <si>
    <t>BSE</t>
  </si>
  <si>
    <t>NSE:CANBK</t>
  </si>
  <si>
    <t>CANBK</t>
  </si>
  <si>
    <t>NSE:CGPOWER</t>
  </si>
  <si>
    <t>CGPOWER</t>
  </si>
  <si>
    <t>NSE:CHOLAFIN</t>
  </si>
  <si>
    <t>CHOLAFIN</t>
  </si>
  <si>
    <t>NSE:CIPLA</t>
  </si>
  <si>
    <t>CIPLA</t>
  </si>
  <si>
    <t>NSE:COALINDIA</t>
  </si>
  <si>
    <t>COALINDIA</t>
  </si>
  <si>
    <t>NSE:COCHINSHIP</t>
  </si>
  <si>
    <t>COCHINSHIP</t>
  </si>
  <si>
    <t>NSE:COFORGE</t>
  </si>
  <si>
    <t>COFORGE</t>
  </si>
  <si>
    <t>NSE:COLPAL</t>
  </si>
  <si>
    <t>COLPAL</t>
  </si>
  <si>
    <t>NSE:CONCOR</t>
  </si>
  <si>
    <t>CONCOR</t>
  </si>
  <si>
    <t>NSE:CUMMINSIND</t>
  </si>
  <si>
    <t>CUMMINSIND</t>
  </si>
  <si>
    <t>NSE:DABUR</t>
  </si>
  <si>
    <t>DABUR</t>
  </si>
  <si>
    <t>NSE:DIVISLAB</t>
  </si>
  <si>
    <t>DIVISLAB</t>
  </si>
  <si>
    <t>NSE:DIXON</t>
  </si>
  <si>
    <t>DIXON</t>
  </si>
  <si>
    <t>NSE:DLF</t>
  </si>
  <si>
    <t>DLF</t>
  </si>
  <si>
    <t>NSE:DMART</t>
  </si>
  <si>
    <t>DMART</t>
  </si>
  <si>
    <t>NSE:DRREDDY</t>
  </si>
  <si>
    <t>DRREDDY</t>
  </si>
  <si>
    <t>NSE:EICHERMOT</t>
  </si>
  <si>
    <t>EICHERMOT</t>
  </si>
  <si>
    <t>NSE:ESCORTS</t>
  </si>
  <si>
    <t>ESCORTS</t>
  </si>
  <si>
    <t>NSE:ETERNAL</t>
  </si>
  <si>
    <t>ETERNAL</t>
  </si>
  <si>
    <t>NSE:EXIDEIND</t>
  </si>
  <si>
    <t>EXIDEIND</t>
  </si>
  <si>
    <t>NSE:FEDERALBNK</t>
  </si>
  <si>
    <t>FEDERALBNK</t>
  </si>
  <si>
    <t>NSE:GAIL</t>
  </si>
  <si>
    <t>GAIL</t>
  </si>
  <si>
    <t>NSE:GLENMARK</t>
  </si>
  <si>
    <t>GLENMARK</t>
  </si>
  <si>
    <t>NSE:GMRAIRPORT</t>
  </si>
  <si>
    <t>GMRAIRPORT</t>
  </si>
  <si>
    <t>NSE:GODREJCP</t>
  </si>
  <si>
    <t>GODREJCP</t>
  </si>
  <si>
    <t>NSE:GODREJPROP</t>
  </si>
  <si>
    <t>GODREJPROP</t>
  </si>
  <si>
    <t>NSE:GRASIM</t>
  </si>
  <si>
    <t>GRASIM</t>
  </si>
  <si>
    <t>NSE:HAL</t>
  </si>
  <si>
    <t>HAL</t>
  </si>
  <si>
    <t>NSE:HAVELLS</t>
  </si>
  <si>
    <t>HAVELLS</t>
  </si>
  <si>
    <t>NSE:HCLTECH</t>
  </si>
  <si>
    <t>HCLTECH</t>
  </si>
  <si>
    <t>NSE:HDFCAMC</t>
  </si>
  <si>
    <t>HDFCAMC</t>
  </si>
  <si>
    <t>NSE:HDFCBANK</t>
  </si>
  <si>
    <t>HDFCBANK</t>
  </si>
  <si>
    <t>NSE:HDFCLIFE</t>
  </si>
  <si>
    <t>HDFCLIFE</t>
  </si>
  <si>
    <t>NSE:HEROMOTOCO</t>
  </si>
  <si>
    <t>HEROMOTOCO</t>
  </si>
  <si>
    <t>NSE:HINDALCO</t>
  </si>
  <si>
    <t>HINDALCO</t>
  </si>
  <si>
    <t>NSE:HINDPETRO</t>
  </si>
  <si>
    <t>HINDPETRO</t>
  </si>
  <si>
    <t>NSE:HINDUNILVR</t>
  </si>
  <si>
    <t>HINDUNILVR</t>
  </si>
  <si>
    <t>NSE:HINDZINC</t>
  </si>
  <si>
    <t>HINDZINC</t>
  </si>
  <si>
    <t>NSE:HUDCO</t>
  </si>
  <si>
    <t>HUDCO</t>
  </si>
  <si>
    <t>NSE:HYUNDAI</t>
  </si>
  <si>
    <t>HYUNDAI</t>
  </si>
  <si>
    <t>NSE:ICICIBANK</t>
  </si>
  <si>
    <t>ICICIBANK</t>
  </si>
  <si>
    <t>NSE:ICICIGI</t>
  </si>
  <si>
    <t>ICICIGI</t>
  </si>
  <si>
    <t>NSE:ICICIPRULI</t>
  </si>
  <si>
    <t>ICICIPRULI</t>
  </si>
  <si>
    <t>NSE:IDEA</t>
  </si>
  <si>
    <t>IDEA</t>
  </si>
  <si>
    <t>NSE:IDFCFIRSTB</t>
  </si>
  <si>
    <t>IDFCFIRSTB</t>
  </si>
  <si>
    <t>NSE:IGL</t>
  </si>
  <si>
    <t>IGL</t>
  </si>
  <si>
    <t>NSE:INDHOTEL</t>
  </si>
  <si>
    <t>INDHOTEL</t>
  </si>
  <si>
    <t>NSE:INDIANB</t>
  </si>
  <si>
    <t>INDIANB</t>
  </si>
  <si>
    <t>NSE:INDIGO</t>
  </si>
  <si>
    <t>INDIGO</t>
  </si>
  <si>
    <t>NSE:INDUSINDBK</t>
  </si>
  <si>
    <t>INDUSINDBK</t>
  </si>
  <si>
    <t>NSE:INDUSTOWER</t>
  </si>
  <si>
    <t>INDUSTOWER</t>
  </si>
  <si>
    <t>NSE:INFY</t>
  </si>
  <si>
    <t>INFY</t>
  </si>
  <si>
    <t>NSE:IOC</t>
  </si>
  <si>
    <t>IOC</t>
  </si>
  <si>
    <t>NSE:IRB</t>
  </si>
  <si>
    <t>IRB</t>
  </si>
  <si>
    <t>NSE:IRCTC</t>
  </si>
  <si>
    <t>IRCTC</t>
  </si>
  <si>
    <t>NSE:IREDA</t>
  </si>
  <si>
    <t>IREDA</t>
  </si>
  <si>
    <t>NSE:IRFC</t>
  </si>
  <si>
    <t>IRFC</t>
  </si>
  <si>
    <t>NSE:ITC</t>
  </si>
  <si>
    <t>ITC</t>
  </si>
  <si>
    <t>NSE:JINDALSTEL</t>
  </si>
  <si>
    <t>JINDALSTEL</t>
  </si>
  <si>
    <t>NSE:JIOFIN</t>
  </si>
  <si>
    <t>JIOFIN</t>
  </si>
  <si>
    <t>NSE:JSWENERGY</t>
  </si>
  <si>
    <t>JSWENERGY</t>
  </si>
  <si>
    <t>NSE:JSWSTEEL</t>
  </si>
  <si>
    <t>JSWSTEEL</t>
  </si>
  <si>
    <t>NSE:JUBLFOOD</t>
  </si>
  <si>
    <t>JUBLFOOD</t>
  </si>
  <si>
    <t>NSE:KALYANKJIL</t>
  </si>
  <si>
    <t>KALYANKJIL</t>
  </si>
  <si>
    <t>NSE:KOTAKBANK</t>
  </si>
  <si>
    <t>KOTAKBANK</t>
  </si>
  <si>
    <t>NSE:KPITTECH</t>
  </si>
  <si>
    <t>KPITTECH</t>
  </si>
  <si>
    <t>NSE:LICHSGFIN</t>
  </si>
  <si>
    <t>LICHSGFIN</t>
  </si>
  <si>
    <t>NSE:LICI</t>
  </si>
  <si>
    <t>LICI</t>
  </si>
  <si>
    <t>NSE:LODHA</t>
  </si>
  <si>
    <t>LODHA</t>
  </si>
  <si>
    <t>NSE:LT</t>
  </si>
  <si>
    <t>LT</t>
  </si>
  <si>
    <t>NSE:LTF</t>
  </si>
  <si>
    <t>LTF</t>
  </si>
  <si>
    <t>NSE:LTIM</t>
  </si>
  <si>
    <t>LTIM</t>
  </si>
  <si>
    <t>NSE:LUPIN</t>
  </si>
  <si>
    <t>LUPIN</t>
  </si>
  <si>
    <t>NSE:M&amp;M</t>
  </si>
  <si>
    <t>M&amp;M</t>
  </si>
  <si>
    <t>NSE:M&amp;MFIN</t>
  </si>
  <si>
    <t>M&amp;MFIN</t>
  </si>
  <si>
    <t>NSE:MAHABANK</t>
  </si>
  <si>
    <t>MAHABANK</t>
  </si>
  <si>
    <t>NSE:MANKIND</t>
  </si>
  <si>
    <t>MANKIND</t>
  </si>
  <si>
    <t>NSE:MARICO</t>
  </si>
  <si>
    <t>MARICO</t>
  </si>
  <si>
    <t>NSE:MARUTI</t>
  </si>
  <si>
    <t>MARUTI</t>
  </si>
  <si>
    <t>NSE:MAXHEALTH</t>
  </si>
  <si>
    <t>MAXHEALTH</t>
  </si>
  <si>
    <t>NSE:MAZDOCK</t>
  </si>
  <si>
    <t>MAZDOCK</t>
  </si>
  <si>
    <t>NSE:MFSL</t>
  </si>
  <si>
    <t>MFSL</t>
  </si>
  <si>
    <t>NSE:MOTHERSON</t>
  </si>
  <si>
    <t>MOTHERSON</t>
  </si>
  <si>
    <t>NSE:MOTILALOFS</t>
  </si>
  <si>
    <t>MOTILALOFS</t>
  </si>
  <si>
    <t>NSE:MPHASIS</t>
  </si>
  <si>
    <t>MPHASIS</t>
  </si>
  <si>
    <t>NSE:MRF</t>
  </si>
  <si>
    <t>MRF</t>
  </si>
  <si>
    <t>NSE:MUTHOOTFIN</t>
  </si>
  <si>
    <t>MUTHOOTFIN</t>
  </si>
  <si>
    <t>NSE:NATIONALUM</t>
  </si>
  <si>
    <t>NATIONALUM</t>
  </si>
  <si>
    <t>NSE:NAUKRI</t>
  </si>
  <si>
    <t>NAUKRI</t>
  </si>
  <si>
    <t>NSE:NESTLEIND</t>
  </si>
  <si>
    <t>NESTLEIND</t>
  </si>
  <si>
    <t>NSE:NHPC</t>
  </si>
  <si>
    <t>NHPC</t>
  </si>
  <si>
    <t>NSE:NIFTY 200</t>
  </si>
  <si>
    <t>NIFTY 200</t>
  </si>
  <si>
    <t>NSE:NMDC</t>
  </si>
  <si>
    <t>NMDC</t>
  </si>
  <si>
    <t>NSE:NTPC</t>
  </si>
  <si>
    <t>NTPC</t>
  </si>
  <si>
    <t>NSE:NTPCGREEN</t>
  </si>
  <si>
    <t>NTPCGREEN</t>
  </si>
  <si>
    <t>NSE:NYKAA</t>
  </si>
  <si>
    <t>NYKAA</t>
  </si>
  <si>
    <t>NSE:OBEROIRLTY</t>
  </si>
  <si>
    <t>OBEROIRLTY</t>
  </si>
  <si>
    <t>NSE:OFSS</t>
  </si>
  <si>
    <t>OFSS</t>
  </si>
  <si>
    <t>NSE:OIL</t>
  </si>
  <si>
    <t>OIL</t>
  </si>
  <si>
    <t>NSE:OLAELEC</t>
  </si>
  <si>
    <t>OLAELEC</t>
  </si>
  <si>
    <t>NSE:ONGC</t>
  </si>
  <si>
    <t>ONGC</t>
  </si>
  <si>
    <t>NSE:PAGEIND</t>
  </si>
  <si>
    <t>PAGEIND</t>
  </si>
  <si>
    <t>NSE:PATANJALI</t>
  </si>
  <si>
    <t>PATANJALI</t>
  </si>
  <si>
    <t>NSE:PAYTM</t>
  </si>
  <si>
    <t>PAYTM</t>
  </si>
  <si>
    <t>NSE:PERSISTENT</t>
  </si>
  <si>
    <t>PERSISTENT</t>
  </si>
  <si>
    <t>NSE:PETRONET</t>
  </si>
  <si>
    <t>PETRONET</t>
  </si>
  <si>
    <t>NSE:PFC</t>
  </si>
  <si>
    <t>PFC</t>
  </si>
  <si>
    <t>NSE:PHOENIXLTD</t>
  </si>
  <si>
    <t>PHOENIXLTD</t>
  </si>
  <si>
    <t>NSE:PIDILITIND</t>
  </si>
  <si>
    <t>PIDILITIND</t>
  </si>
  <si>
    <t>NSE:PIIND</t>
  </si>
  <si>
    <t>PIIND</t>
  </si>
  <si>
    <t>NSE:PNB</t>
  </si>
  <si>
    <t>PNB</t>
  </si>
  <si>
    <t>NSE:POLICYBZR</t>
  </si>
  <si>
    <t>POLICYBZR</t>
  </si>
  <si>
    <t>NSE:POLYCAB</t>
  </si>
  <si>
    <t>POLYCAB</t>
  </si>
  <si>
    <t>NSE:POWERGRID</t>
  </si>
  <si>
    <t>POWERGRID</t>
  </si>
  <si>
    <t>NSE:PREMIERENE</t>
  </si>
  <si>
    <t>PREMIERENE</t>
  </si>
  <si>
    <t>NSE:PRESTIGE</t>
  </si>
  <si>
    <t>PRESTIGE</t>
  </si>
  <si>
    <t>NSE:RECLTD</t>
  </si>
  <si>
    <t>RECLTD</t>
  </si>
  <si>
    <t>NSE:RELIANCE</t>
  </si>
  <si>
    <t>RELIANCE</t>
  </si>
  <si>
    <t>NSE:RVNL</t>
  </si>
  <si>
    <t>RVNL</t>
  </si>
  <si>
    <t>NSE:SAIL</t>
  </si>
  <si>
    <t>SAIL</t>
  </si>
  <si>
    <t>NSE:SBICARD</t>
  </si>
  <si>
    <t>SBICARD</t>
  </si>
  <si>
    <t>NSE:SBILIFE</t>
  </si>
  <si>
    <t>SBILIFE</t>
  </si>
  <si>
    <t>NSE:SBIN</t>
  </si>
  <si>
    <t>SBIN</t>
  </si>
  <si>
    <t>NSE:SHREECEM</t>
  </si>
  <si>
    <t>SHREECEM</t>
  </si>
  <si>
    <t>NSE:SHRIRAMFIN</t>
  </si>
  <si>
    <t>SHRIRAMFIN</t>
  </si>
  <si>
    <t>NSE:SIEMENS</t>
  </si>
  <si>
    <t>SIEMENS</t>
  </si>
  <si>
    <t>NSE:SJVN</t>
  </si>
  <si>
    <t>SJVN</t>
  </si>
  <si>
    <t>NSE:SOLARINDS</t>
  </si>
  <si>
    <t>SOLARINDS</t>
  </si>
  <si>
    <t>NSE:SONACOMS</t>
  </si>
  <si>
    <t>SONACOMS</t>
  </si>
  <si>
    <t>NSE:SRF</t>
  </si>
  <si>
    <t>SRF</t>
  </si>
  <si>
    <t>NSE:SUNPHARMA</t>
  </si>
  <si>
    <t>SUNPHARMA</t>
  </si>
  <si>
    <t>NSE:SUPREMEIND</t>
  </si>
  <si>
    <t>SUPREMEIND</t>
  </si>
  <si>
    <t>NSE:SUZLON</t>
  </si>
  <si>
    <t>SUZLON</t>
  </si>
  <si>
    <t>NSE:SWIGGY</t>
  </si>
  <si>
    <t>SWIGGY</t>
  </si>
  <si>
    <t>NSE:TATACOMM</t>
  </si>
  <si>
    <t>TATACOMM</t>
  </si>
  <si>
    <t>NSE:TATACONSUM</t>
  </si>
  <si>
    <t>TATACONSUM</t>
  </si>
  <si>
    <t>NSE:TATAELXSI</t>
  </si>
  <si>
    <t>TATAELXSI</t>
  </si>
  <si>
    <t>NSE:TATAMOTORS</t>
  </si>
  <si>
    <t>TATAMOTORS</t>
  </si>
  <si>
    <t>NSE:TATAPOWER</t>
  </si>
  <si>
    <t>TATAPOWER</t>
  </si>
  <si>
    <t>NSE:TATASTEEL</t>
  </si>
  <si>
    <t>TATASTEEL</t>
  </si>
  <si>
    <t>NSE:TATATECH</t>
  </si>
  <si>
    <t>TATATECH</t>
  </si>
  <si>
    <t>NSE:TCS</t>
  </si>
  <si>
    <t>TCS</t>
  </si>
  <si>
    <t>NSE:TECHM</t>
  </si>
  <si>
    <t>TECHM</t>
  </si>
  <si>
    <t>NSE:TIINDIA</t>
  </si>
  <si>
    <t>TIINDIA</t>
  </si>
  <si>
    <t>NSE:TITAN</t>
  </si>
  <si>
    <t>TITAN</t>
  </si>
  <si>
    <t>NSE:TORNTPHARM</t>
  </si>
  <si>
    <t>TORNTPHARM</t>
  </si>
  <si>
    <t>NSE:TORNTPOWER</t>
  </si>
  <si>
    <t>TORNTPOWER</t>
  </si>
  <si>
    <t>NSE:TRENT</t>
  </si>
  <si>
    <t>TRENT</t>
  </si>
  <si>
    <t>NSE:TVSMOTOR</t>
  </si>
  <si>
    <t>TVSMOTOR</t>
  </si>
  <si>
    <t>NSE:ULTRACEMCO</t>
  </si>
  <si>
    <t>ULTRACEMCO</t>
  </si>
  <si>
    <t>NSE:UNIONBANK</t>
  </si>
  <si>
    <t>UNIONBANK</t>
  </si>
  <si>
    <t>NSE:UNITDSPR</t>
  </si>
  <si>
    <t>UNITDSPR</t>
  </si>
  <si>
    <t>NSE:UPL</t>
  </si>
  <si>
    <t>UPL</t>
  </si>
  <si>
    <t>NSE:VBL</t>
  </si>
  <si>
    <t>VBL</t>
  </si>
  <si>
    <t>NSE:VEDL</t>
  </si>
  <si>
    <t>VEDL</t>
  </si>
  <si>
    <t>NSE:VMM</t>
  </si>
  <si>
    <t>VMM</t>
  </si>
  <si>
    <t>NSE:VOLTAS</t>
  </si>
  <si>
    <t>VOLTAS</t>
  </si>
  <si>
    <t>NSE:WAAREEENER</t>
  </si>
  <si>
    <t>WAAREEENER</t>
  </si>
  <si>
    <t>NSE:WIPRO</t>
  </si>
  <si>
    <t>WIPRO</t>
  </si>
  <si>
    <t>NSE:YESBANK</t>
  </si>
  <si>
    <t>YESBANK</t>
  </si>
  <si>
    <t>NSE:ZYDUSLIFE</t>
  </si>
  <si>
    <t>ZYDUSLIFE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</si>
</sst>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:ss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Calibri"/>
    </font>
    <font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theme="7"/>
        <bgColor theme="7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1" numFmtId="0" xfId="0" applyAlignment="1" applyFont="1">
      <alignment horizontal="center" readingOrder="0"/>
    </xf>
    <xf borderId="0" fillId="0" fontId="1" numFmtId="14" xfId="0" applyAlignment="1" applyFont="1" applyNumberFormat="1">
      <alignment horizontal="center" readingOrder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164" xfId="0" applyFont="1" applyNumberFormat="1"/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190" Type="http://schemas.openxmlformats.org/officeDocument/2006/relationships/worksheet" Target="worksheets/sheet18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194" Type="http://schemas.openxmlformats.org/officeDocument/2006/relationships/worksheet" Target="worksheets/sheet191.xml"/><Relationship Id="rId43" Type="http://schemas.openxmlformats.org/officeDocument/2006/relationships/worksheet" Target="worksheets/sheet40.xml"/><Relationship Id="rId193" Type="http://schemas.openxmlformats.org/officeDocument/2006/relationships/worksheet" Target="worksheets/sheet190.xml"/><Relationship Id="rId46" Type="http://schemas.openxmlformats.org/officeDocument/2006/relationships/worksheet" Target="worksheets/sheet43.xml"/><Relationship Id="rId192" Type="http://schemas.openxmlformats.org/officeDocument/2006/relationships/worksheet" Target="worksheets/sheet189.xml"/><Relationship Id="rId45" Type="http://schemas.openxmlformats.org/officeDocument/2006/relationships/worksheet" Target="worksheets/sheet42.xml"/><Relationship Id="rId191" Type="http://schemas.openxmlformats.org/officeDocument/2006/relationships/worksheet" Target="worksheets/sheet188.xml"/><Relationship Id="rId48" Type="http://schemas.openxmlformats.org/officeDocument/2006/relationships/worksheet" Target="worksheets/sheet45.xml"/><Relationship Id="rId187" Type="http://schemas.openxmlformats.org/officeDocument/2006/relationships/worksheet" Target="worksheets/sheet184.xml"/><Relationship Id="rId47" Type="http://schemas.openxmlformats.org/officeDocument/2006/relationships/worksheet" Target="worksheets/sheet44.xml"/><Relationship Id="rId186" Type="http://schemas.openxmlformats.org/officeDocument/2006/relationships/worksheet" Target="worksheets/sheet183.xml"/><Relationship Id="rId185" Type="http://schemas.openxmlformats.org/officeDocument/2006/relationships/worksheet" Target="worksheets/sheet182.xml"/><Relationship Id="rId49" Type="http://schemas.openxmlformats.org/officeDocument/2006/relationships/worksheet" Target="worksheets/sheet46.xml"/><Relationship Id="rId184" Type="http://schemas.openxmlformats.org/officeDocument/2006/relationships/worksheet" Target="worksheets/sheet181.xml"/><Relationship Id="rId189" Type="http://schemas.openxmlformats.org/officeDocument/2006/relationships/worksheet" Target="worksheets/sheet186.xml"/><Relationship Id="rId188" Type="http://schemas.openxmlformats.org/officeDocument/2006/relationships/worksheet" Target="worksheets/sheet18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183" Type="http://schemas.openxmlformats.org/officeDocument/2006/relationships/worksheet" Target="worksheets/sheet180.xml"/><Relationship Id="rId32" Type="http://schemas.openxmlformats.org/officeDocument/2006/relationships/worksheet" Target="worksheets/sheet29.xml"/><Relationship Id="rId182" Type="http://schemas.openxmlformats.org/officeDocument/2006/relationships/worksheet" Target="worksheets/sheet179.xml"/><Relationship Id="rId35" Type="http://schemas.openxmlformats.org/officeDocument/2006/relationships/worksheet" Target="worksheets/sheet32.xml"/><Relationship Id="rId181" Type="http://schemas.openxmlformats.org/officeDocument/2006/relationships/worksheet" Target="worksheets/sheet178.xml"/><Relationship Id="rId34" Type="http://schemas.openxmlformats.org/officeDocument/2006/relationships/worksheet" Target="worksheets/sheet31.xml"/><Relationship Id="rId180" Type="http://schemas.openxmlformats.org/officeDocument/2006/relationships/worksheet" Target="worksheets/sheet177.xml"/><Relationship Id="rId37" Type="http://schemas.openxmlformats.org/officeDocument/2006/relationships/worksheet" Target="worksheets/sheet34.xml"/><Relationship Id="rId176" Type="http://schemas.openxmlformats.org/officeDocument/2006/relationships/worksheet" Target="worksheets/sheet173.xml"/><Relationship Id="rId36" Type="http://schemas.openxmlformats.org/officeDocument/2006/relationships/worksheet" Target="worksheets/sheet33.xml"/><Relationship Id="rId175" Type="http://schemas.openxmlformats.org/officeDocument/2006/relationships/worksheet" Target="worksheets/sheet172.xml"/><Relationship Id="rId39" Type="http://schemas.openxmlformats.org/officeDocument/2006/relationships/worksheet" Target="worksheets/sheet36.xml"/><Relationship Id="rId174" Type="http://schemas.openxmlformats.org/officeDocument/2006/relationships/worksheet" Target="worksheets/sheet171.xml"/><Relationship Id="rId38" Type="http://schemas.openxmlformats.org/officeDocument/2006/relationships/worksheet" Target="worksheets/sheet35.xml"/><Relationship Id="rId173" Type="http://schemas.openxmlformats.org/officeDocument/2006/relationships/worksheet" Target="worksheets/sheet170.xml"/><Relationship Id="rId179" Type="http://schemas.openxmlformats.org/officeDocument/2006/relationships/worksheet" Target="worksheets/sheet176.xml"/><Relationship Id="rId178" Type="http://schemas.openxmlformats.org/officeDocument/2006/relationships/worksheet" Target="worksheets/sheet175.xml"/><Relationship Id="rId177" Type="http://schemas.openxmlformats.org/officeDocument/2006/relationships/worksheet" Target="worksheets/sheet174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98" Type="http://schemas.openxmlformats.org/officeDocument/2006/relationships/worksheet" Target="worksheets/sheet195.xml"/><Relationship Id="rId14" Type="http://schemas.openxmlformats.org/officeDocument/2006/relationships/worksheet" Target="worksheets/sheet11.xml"/><Relationship Id="rId197" Type="http://schemas.openxmlformats.org/officeDocument/2006/relationships/worksheet" Target="worksheets/sheet194.xml"/><Relationship Id="rId17" Type="http://schemas.openxmlformats.org/officeDocument/2006/relationships/worksheet" Target="worksheets/sheet14.xml"/><Relationship Id="rId196" Type="http://schemas.openxmlformats.org/officeDocument/2006/relationships/worksheet" Target="worksheets/sheet193.xml"/><Relationship Id="rId16" Type="http://schemas.openxmlformats.org/officeDocument/2006/relationships/worksheet" Target="worksheets/sheet13.xml"/><Relationship Id="rId195" Type="http://schemas.openxmlformats.org/officeDocument/2006/relationships/worksheet" Target="worksheets/sheet192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99" Type="http://schemas.openxmlformats.org/officeDocument/2006/relationships/worksheet" Target="worksheets/sheet196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150" Type="http://schemas.openxmlformats.org/officeDocument/2006/relationships/worksheet" Target="worksheets/sheet147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149" Type="http://schemas.openxmlformats.org/officeDocument/2006/relationships/worksheet" Target="worksheets/sheet146.xml"/><Relationship Id="rId4" Type="http://schemas.openxmlformats.org/officeDocument/2006/relationships/worksheet" Target="worksheets/sheet1.xml"/><Relationship Id="rId148" Type="http://schemas.openxmlformats.org/officeDocument/2006/relationships/worksheet" Target="worksheets/sheet145.xml"/><Relationship Id="rId9" Type="http://schemas.openxmlformats.org/officeDocument/2006/relationships/worksheet" Target="worksheets/sheet6.xml"/><Relationship Id="rId143" Type="http://schemas.openxmlformats.org/officeDocument/2006/relationships/worksheet" Target="worksheets/sheet140.xml"/><Relationship Id="rId142" Type="http://schemas.openxmlformats.org/officeDocument/2006/relationships/worksheet" Target="worksheets/sheet139.xml"/><Relationship Id="rId141" Type="http://schemas.openxmlformats.org/officeDocument/2006/relationships/worksheet" Target="worksheets/sheet138.xml"/><Relationship Id="rId140" Type="http://schemas.openxmlformats.org/officeDocument/2006/relationships/worksheet" Target="worksheets/sheet137.xml"/><Relationship Id="rId5" Type="http://schemas.openxmlformats.org/officeDocument/2006/relationships/worksheet" Target="worksheets/sheet2.xml"/><Relationship Id="rId147" Type="http://schemas.openxmlformats.org/officeDocument/2006/relationships/worksheet" Target="worksheets/sheet144.xml"/><Relationship Id="rId6" Type="http://schemas.openxmlformats.org/officeDocument/2006/relationships/worksheet" Target="worksheets/sheet3.xml"/><Relationship Id="rId146" Type="http://schemas.openxmlformats.org/officeDocument/2006/relationships/worksheet" Target="worksheets/sheet143.xml"/><Relationship Id="rId7" Type="http://schemas.openxmlformats.org/officeDocument/2006/relationships/worksheet" Target="worksheets/sheet4.xml"/><Relationship Id="rId145" Type="http://schemas.openxmlformats.org/officeDocument/2006/relationships/worksheet" Target="worksheets/sheet142.xml"/><Relationship Id="rId8" Type="http://schemas.openxmlformats.org/officeDocument/2006/relationships/worksheet" Target="worksheets/sheet5.xml"/><Relationship Id="rId144" Type="http://schemas.openxmlformats.org/officeDocument/2006/relationships/worksheet" Target="worksheets/sheet141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9" Type="http://schemas.openxmlformats.org/officeDocument/2006/relationships/worksheet" Target="worksheets/sheet136.xml"/><Relationship Id="rId138" Type="http://schemas.openxmlformats.org/officeDocument/2006/relationships/worksheet" Target="worksheets/sheet135.xml"/><Relationship Id="rId137" Type="http://schemas.openxmlformats.org/officeDocument/2006/relationships/worksheet" Target="worksheets/sheet134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172" Type="http://schemas.openxmlformats.org/officeDocument/2006/relationships/worksheet" Target="worksheets/sheet169.xml"/><Relationship Id="rId65" Type="http://schemas.openxmlformats.org/officeDocument/2006/relationships/worksheet" Target="worksheets/sheet62.xml"/><Relationship Id="rId171" Type="http://schemas.openxmlformats.org/officeDocument/2006/relationships/worksheet" Target="worksheets/sheet168.xml"/><Relationship Id="rId68" Type="http://schemas.openxmlformats.org/officeDocument/2006/relationships/worksheet" Target="worksheets/sheet65.xml"/><Relationship Id="rId170" Type="http://schemas.openxmlformats.org/officeDocument/2006/relationships/worksheet" Target="worksheets/sheet167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165" Type="http://schemas.openxmlformats.org/officeDocument/2006/relationships/worksheet" Target="worksheets/sheet162.xml"/><Relationship Id="rId69" Type="http://schemas.openxmlformats.org/officeDocument/2006/relationships/worksheet" Target="worksheets/sheet66.xml"/><Relationship Id="rId164" Type="http://schemas.openxmlformats.org/officeDocument/2006/relationships/worksheet" Target="worksheets/sheet161.xml"/><Relationship Id="rId163" Type="http://schemas.openxmlformats.org/officeDocument/2006/relationships/worksheet" Target="worksheets/sheet160.xml"/><Relationship Id="rId162" Type="http://schemas.openxmlformats.org/officeDocument/2006/relationships/worksheet" Target="worksheets/sheet159.xml"/><Relationship Id="rId169" Type="http://schemas.openxmlformats.org/officeDocument/2006/relationships/worksheet" Target="worksheets/sheet166.xml"/><Relationship Id="rId168" Type="http://schemas.openxmlformats.org/officeDocument/2006/relationships/worksheet" Target="worksheets/sheet165.xml"/><Relationship Id="rId167" Type="http://schemas.openxmlformats.org/officeDocument/2006/relationships/worksheet" Target="worksheets/sheet164.xml"/><Relationship Id="rId166" Type="http://schemas.openxmlformats.org/officeDocument/2006/relationships/worksheet" Target="worksheets/sheet163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161" Type="http://schemas.openxmlformats.org/officeDocument/2006/relationships/worksheet" Target="worksheets/sheet158.xml"/><Relationship Id="rId54" Type="http://schemas.openxmlformats.org/officeDocument/2006/relationships/worksheet" Target="worksheets/sheet51.xml"/><Relationship Id="rId160" Type="http://schemas.openxmlformats.org/officeDocument/2006/relationships/worksheet" Target="worksheets/sheet157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159" Type="http://schemas.openxmlformats.org/officeDocument/2006/relationships/worksheet" Target="worksheets/sheet156.xml"/><Relationship Id="rId59" Type="http://schemas.openxmlformats.org/officeDocument/2006/relationships/worksheet" Target="worksheets/sheet56.xml"/><Relationship Id="rId154" Type="http://schemas.openxmlformats.org/officeDocument/2006/relationships/worksheet" Target="worksheets/sheet151.xml"/><Relationship Id="rId58" Type="http://schemas.openxmlformats.org/officeDocument/2006/relationships/worksheet" Target="worksheets/sheet55.xml"/><Relationship Id="rId153" Type="http://schemas.openxmlformats.org/officeDocument/2006/relationships/worksheet" Target="worksheets/sheet150.xml"/><Relationship Id="rId152" Type="http://schemas.openxmlformats.org/officeDocument/2006/relationships/worksheet" Target="worksheets/sheet149.xml"/><Relationship Id="rId151" Type="http://schemas.openxmlformats.org/officeDocument/2006/relationships/worksheet" Target="worksheets/sheet148.xml"/><Relationship Id="rId158" Type="http://schemas.openxmlformats.org/officeDocument/2006/relationships/worksheet" Target="worksheets/sheet155.xml"/><Relationship Id="rId157" Type="http://schemas.openxmlformats.org/officeDocument/2006/relationships/worksheet" Target="worksheets/sheet154.xml"/><Relationship Id="rId156" Type="http://schemas.openxmlformats.org/officeDocument/2006/relationships/worksheet" Target="worksheets/sheet153.xml"/><Relationship Id="rId155" Type="http://schemas.openxmlformats.org/officeDocument/2006/relationships/worksheet" Target="worksheets/sheet15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121" Type="http://schemas.openxmlformats.org/officeDocument/2006/relationships/worksheet" Target="worksheets/sheet118.xml"/><Relationship Id="rId120" Type="http://schemas.openxmlformats.org/officeDocument/2006/relationships/worksheet" Target="worksheets/sheet117.xml"/><Relationship Id="rId125" Type="http://schemas.openxmlformats.org/officeDocument/2006/relationships/worksheet" Target="worksheets/sheet122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Relationship Id="rId206" Type="http://schemas.openxmlformats.org/officeDocument/2006/relationships/worksheet" Target="worksheets/sheet203.xml"/><Relationship Id="rId205" Type="http://schemas.openxmlformats.org/officeDocument/2006/relationships/worksheet" Target="worksheets/sheet202.xml"/><Relationship Id="rId204" Type="http://schemas.openxmlformats.org/officeDocument/2006/relationships/worksheet" Target="worksheets/sheet201.xml"/><Relationship Id="rId203" Type="http://schemas.openxmlformats.org/officeDocument/2006/relationships/worksheet" Target="worksheets/sheet200.xml"/><Relationship Id="rId202" Type="http://schemas.openxmlformats.org/officeDocument/2006/relationships/worksheet" Target="worksheets/sheet199.xml"/><Relationship Id="rId201" Type="http://schemas.openxmlformats.org/officeDocument/2006/relationships/worksheet" Target="worksheets/sheet198.xml"/><Relationship Id="rId200" Type="http://schemas.openxmlformats.org/officeDocument/2006/relationships/worksheet" Target="worksheets/sheet19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1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63"/>
  </cols>
  <sheetData>
    <row r="1">
      <c r="A1" s="1" t="s">
        <v>0</v>
      </c>
      <c r="B1" s="2">
        <v>730.0</v>
      </c>
    </row>
    <row r="2">
      <c r="A2" s="1" t="s">
        <v>1</v>
      </c>
      <c r="B2" s="3">
        <f>TODAY()+5</f>
        <v>45901</v>
      </c>
    </row>
    <row r="3">
      <c r="A3" s="1" t="s">
        <v>2</v>
      </c>
      <c r="B3" s="2" t="s">
        <v>3</v>
      </c>
    </row>
    <row r="4">
      <c r="B4" s="4"/>
    </row>
    <row r="5">
      <c r="B5" s="4"/>
    </row>
    <row r="6">
      <c r="B6" s="4"/>
    </row>
    <row r="7">
      <c r="B7" s="4"/>
    </row>
    <row r="8">
      <c r="B8" s="4"/>
    </row>
    <row r="9">
      <c r="B9" s="4"/>
    </row>
    <row r="10">
      <c r="B10" s="4"/>
    </row>
    <row r="11">
      <c r="B11" s="4"/>
      <c r="D11" s="5" t="s">
        <v>4</v>
      </c>
    </row>
    <row r="12">
      <c r="B12" s="4"/>
    </row>
    <row r="13">
      <c r="B13" s="4"/>
      <c r="D13" s="5" t="s">
        <v>5</v>
      </c>
    </row>
    <row r="14">
      <c r="B14" s="4"/>
      <c r="D14" s="5" t="s">
        <v>6</v>
      </c>
    </row>
    <row r="15">
      <c r="B15" s="4"/>
      <c r="D15" s="5" t="s">
        <v>7</v>
      </c>
    </row>
    <row r="16">
      <c r="B16" s="4"/>
      <c r="D16" s="5" t="s">
        <v>8</v>
      </c>
    </row>
    <row r="17">
      <c r="B17" s="4"/>
      <c r="D17" s="5" t="s">
        <v>9</v>
      </c>
    </row>
    <row r="18">
      <c r="B18" s="4"/>
      <c r="D18" s="5" t="s">
        <v>10</v>
      </c>
    </row>
    <row r="19">
      <c r="B19" s="4"/>
      <c r="D19" s="5" t="s">
        <v>11</v>
      </c>
    </row>
    <row r="20">
      <c r="B20" s="4"/>
    </row>
    <row r="21">
      <c r="B21" s="4"/>
      <c r="D21" s="5" t="s">
        <v>12</v>
      </c>
    </row>
    <row r="22">
      <c r="B22" s="4"/>
      <c r="D22" s="5" t="s">
        <v>13</v>
      </c>
    </row>
    <row r="23">
      <c r="B23" s="4"/>
      <c r="D23" s="5" t="s">
        <v>14</v>
      </c>
    </row>
    <row r="24">
      <c r="B24" s="4"/>
      <c r="D24" s="5" t="s">
        <v>15</v>
      </c>
    </row>
    <row r="25">
      <c r="B25" s="4"/>
      <c r="D25" s="5" t="s">
        <v>16</v>
      </c>
    </row>
    <row r="26">
      <c r="B26" s="4"/>
      <c r="D26" s="5" t="s">
        <v>17</v>
      </c>
    </row>
    <row r="27">
      <c r="B27" s="4"/>
      <c r="D27" s="5" t="s">
        <v>18</v>
      </c>
    </row>
    <row r="28">
      <c r="B28" s="4"/>
      <c r="D28" s="5" t="s">
        <v>19</v>
      </c>
    </row>
    <row r="29">
      <c r="B29" s="4"/>
      <c r="D29" s="5" t="s">
        <v>20</v>
      </c>
    </row>
    <row r="30">
      <c r="B30" s="4"/>
    </row>
    <row r="31">
      <c r="B31" s="4"/>
      <c r="D31" s="5" t="s">
        <v>21</v>
      </c>
    </row>
    <row r="32">
      <c r="B32" s="4"/>
      <c r="D32" s="5" t="s">
        <v>22</v>
      </c>
    </row>
    <row r="33">
      <c r="B33" s="4"/>
      <c r="D33" s="5" t="s">
        <v>23</v>
      </c>
    </row>
    <row r="34">
      <c r="B34" s="4"/>
    </row>
    <row r="35">
      <c r="B35" s="4"/>
    </row>
    <row r="36">
      <c r="B36" s="4"/>
    </row>
    <row r="37">
      <c r="B37" s="4"/>
    </row>
    <row r="38">
      <c r="B38" s="4"/>
    </row>
    <row r="39">
      <c r="B39" s="4"/>
    </row>
    <row r="40">
      <c r="B40" s="4"/>
    </row>
    <row r="41">
      <c r="B41" s="4"/>
    </row>
    <row r="42">
      <c r="B42" s="4"/>
    </row>
    <row r="43">
      <c r="B43" s="4"/>
    </row>
    <row r="44">
      <c r="B44" s="4"/>
    </row>
    <row r="45">
      <c r="B45" s="4"/>
    </row>
    <row r="46">
      <c r="B46" s="4"/>
    </row>
    <row r="47">
      <c r="B47" s="4"/>
    </row>
    <row r="48">
      <c r="B48" s="4"/>
    </row>
    <row r="49">
      <c r="B49" s="4"/>
    </row>
    <row r="50">
      <c r="B50" s="4"/>
    </row>
    <row r="51">
      <c r="B51" s="4"/>
    </row>
    <row r="52">
      <c r="B52" s="4"/>
    </row>
    <row r="53">
      <c r="B53" s="4"/>
    </row>
    <row r="54">
      <c r="B54" s="4"/>
    </row>
    <row r="55">
      <c r="B55" s="4"/>
    </row>
    <row r="56">
      <c r="B56" s="4"/>
    </row>
    <row r="57">
      <c r="B57" s="4"/>
    </row>
    <row r="58">
      <c r="B58" s="4"/>
    </row>
    <row r="59">
      <c r="B59" s="4"/>
    </row>
    <row r="60">
      <c r="B60" s="4"/>
    </row>
    <row r="61">
      <c r="B61" s="4"/>
    </row>
    <row r="62">
      <c r="B62" s="4"/>
    </row>
    <row r="63">
      <c r="B63" s="4"/>
    </row>
    <row r="64">
      <c r="B64" s="4"/>
    </row>
    <row r="65">
      <c r="B65" s="4"/>
    </row>
    <row r="66">
      <c r="B66" s="4"/>
    </row>
    <row r="67">
      <c r="B67" s="4"/>
    </row>
    <row r="68">
      <c r="B68" s="4"/>
    </row>
    <row r="69">
      <c r="B69" s="4"/>
    </row>
    <row r="70">
      <c r="B70" s="4"/>
    </row>
    <row r="71">
      <c r="B71" s="4"/>
    </row>
    <row r="72">
      <c r="B72" s="4"/>
    </row>
    <row r="73">
      <c r="B73" s="4"/>
    </row>
    <row r="74">
      <c r="B74" s="4"/>
    </row>
    <row r="75">
      <c r="B75" s="4"/>
    </row>
    <row r="76">
      <c r="B76" s="4"/>
    </row>
    <row r="77">
      <c r="B77" s="4"/>
    </row>
    <row r="78">
      <c r="B78" s="4"/>
    </row>
    <row r="79">
      <c r="B79" s="4"/>
    </row>
    <row r="80">
      <c r="B80" s="4"/>
    </row>
    <row r="81">
      <c r="B81" s="4"/>
    </row>
    <row r="82">
      <c r="B82" s="4"/>
    </row>
    <row r="83">
      <c r="B83" s="4"/>
    </row>
    <row r="84">
      <c r="B84" s="4"/>
    </row>
    <row r="85">
      <c r="B85" s="4"/>
    </row>
    <row r="86">
      <c r="B86" s="4"/>
    </row>
    <row r="87">
      <c r="B87" s="4"/>
    </row>
    <row r="88">
      <c r="B88" s="4"/>
    </row>
    <row r="89">
      <c r="B89" s="4"/>
    </row>
    <row r="90">
      <c r="B90" s="4"/>
    </row>
    <row r="91">
      <c r="B91" s="4"/>
    </row>
    <row r="92">
      <c r="B92" s="4"/>
    </row>
    <row r="93">
      <c r="B93" s="4"/>
    </row>
    <row r="94">
      <c r="B94" s="4"/>
    </row>
    <row r="95">
      <c r="B95" s="4"/>
    </row>
    <row r="96">
      <c r="B96" s="4"/>
    </row>
    <row r="97">
      <c r="B97" s="4"/>
    </row>
    <row r="98">
      <c r="B98" s="4"/>
    </row>
    <row r="99">
      <c r="B99" s="4"/>
    </row>
    <row r="100">
      <c r="B100" s="4"/>
    </row>
    <row r="101">
      <c r="B101" s="4"/>
    </row>
    <row r="102">
      <c r="B102" s="4"/>
    </row>
    <row r="103">
      <c r="B103" s="4"/>
    </row>
    <row r="104">
      <c r="B104" s="4"/>
    </row>
    <row r="105">
      <c r="B105" s="4"/>
    </row>
    <row r="106">
      <c r="B106" s="4"/>
    </row>
    <row r="107">
      <c r="B107" s="4"/>
    </row>
    <row r="108">
      <c r="B108" s="4"/>
    </row>
    <row r="109">
      <c r="B109" s="4"/>
    </row>
    <row r="110">
      <c r="B110" s="4"/>
    </row>
    <row r="111">
      <c r="B111" s="4"/>
    </row>
    <row r="112">
      <c r="B112" s="4"/>
    </row>
    <row r="113">
      <c r="B113" s="4"/>
    </row>
    <row r="114">
      <c r="B114" s="4"/>
    </row>
    <row r="115">
      <c r="B115" s="4"/>
    </row>
    <row r="116">
      <c r="B116" s="4"/>
    </row>
    <row r="117">
      <c r="B117" s="4"/>
    </row>
    <row r="118">
      <c r="B118" s="4"/>
    </row>
    <row r="119">
      <c r="B119" s="4"/>
    </row>
    <row r="120">
      <c r="B120" s="4"/>
    </row>
    <row r="121">
      <c r="B121" s="4"/>
    </row>
    <row r="122">
      <c r="B122" s="4"/>
    </row>
    <row r="123">
      <c r="B123" s="4"/>
    </row>
    <row r="124">
      <c r="B124" s="4"/>
    </row>
    <row r="125">
      <c r="B125" s="4"/>
    </row>
    <row r="126">
      <c r="B126" s="4"/>
    </row>
    <row r="127">
      <c r="B127" s="4"/>
    </row>
    <row r="128">
      <c r="B128" s="4"/>
    </row>
    <row r="129">
      <c r="B129" s="4"/>
    </row>
    <row r="130">
      <c r="B130" s="4"/>
    </row>
    <row r="131">
      <c r="B131" s="4"/>
    </row>
    <row r="132">
      <c r="B132" s="4"/>
    </row>
    <row r="133">
      <c r="B133" s="4"/>
    </row>
    <row r="134">
      <c r="B134" s="4"/>
    </row>
    <row r="135">
      <c r="B135" s="4"/>
    </row>
    <row r="136">
      <c r="B136" s="4"/>
    </row>
    <row r="137">
      <c r="B137" s="4"/>
    </row>
    <row r="138">
      <c r="B138" s="4"/>
    </row>
    <row r="139">
      <c r="B139" s="4"/>
    </row>
    <row r="140">
      <c r="B140" s="4"/>
    </row>
    <row r="141">
      <c r="B141" s="4"/>
    </row>
    <row r="142">
      <c r="B142" s="4"/>
    </row>
    <row r="143">
      <c r="B143" s="4"/>
    </row>
    <row r="144">
      <c r="B144" s="4"/>
    </row>
    <row r="145">
      <c r="B145" s="4"/>
    </row>
    <row r="146">
      <c r="B146" s="4"/>
    </row>
    <row r="147">
      <c r="B147" s="4"/>
    </row>
    <row r="148">
      <c r="B148" s="4"/>
    </row>
    <row r="149">
      <c r="B149" s="4"/>
    </row>
    <row r="150">
      <c r="B150" s="4"/>
    </row>
    <row r="151">
      <c r="B151" s="4"/>
    </row>
    <row r="152">
      <c r="B152" s="4"/>
    </row>
    <row r="153">
      <c r="B153" s="4"/>
    </row>
    <row r="154">
      <c r="B154" s="4"/>
    </row>
    <row r="155">
      <c r="B155" s="4"/>
    </row>
    <row r="156">
      <c r="B156" s="4"/>
    </row>
    <row r="157">
      <c r="B157" s="4"/>
    </row>
    <row r="158">
      <c r="B158" s="4"/>
    </row>
    <row r="159">
      <c r="B159" s="4"/>
    </row>
    <row r="160">
      <c r="B160" s="4"/>
    </row>
    <row r="161">
      <c r="B161" s="4"/>
    </row>
    <row r="162">
      <c r="B162" s="4"/>
    </row>
    <row r="163">
      <c r="B163" s="4"/>
    </row>
    <row r="164">
      <c r="B164" s="4"/>
    </row>
    <row r="165">
      <c r="B165" s="4"/>
    </row>
    <row r="166">
      <c r="B166" s="4"/>
    </row>
    <row r="167">
      <c r="B167" s="4"/>
    </row>
    <row r="168">
      <c r="B168" s="4"/>
    </row>
    <row r="169">
      <c r="B169" s="4"/>
    </row>
    <row r="170">
      <c r="B170" s="4"/>
    </row>
    <row r="171">
      <c r="B171" s="4"/>
    </row>
    <row r="172">
      <c r="B172" s="4"/>
    </row>
    <row r="173">
      <c r="B173" s="4"/>
    </row>
    <row r="174">
      <c r="B174" s="4"/>
    </row>
    <row r="175">
      <c r="B175" s="4"/>
    </row>
    <row r="176">
      <c r="B176" s="4"/>
    </row>
    <row r="177">
      <c r="B177" s="4"/>
    </row>
    <row r="178">
      <c r="B178" s="4"/>
    </row>
    <row r="179">
      <c r="B179" s="4"/>
    </row>
    <row r="180">
      <c r="B180" s="4"/>
    </row>
    <row r="181">
      <c r="B181" s="4"/>
    </row>
    <row r="182">
      <c r="B182" s="4"/>
    </row>
    <row r="183">
      <c r="B183" s="4"/>
    </row>
    <row r="184">
      <c r="B184" s="4"/>
    </row>
    <row r="185">
      <c r="B185" s="4"/>
    </row>
    <row r="186">
      <c r="B186" s="4"/>
    </row>
    <row r="187">
      <c r="B187" s="4"/>
    </row>
    <row r="188">
      <c r="B188" s="4"/>
    </row>
    <row r="189">
      <c r="B189" s="4"/>
    </row>
    <row r="190">
      <c r="B190" s="4"/>
    </row>
    <row r="191">
      <c r="B191" s="4"/>
    </row>
    <row r="192">
      <c r="B192" s="4"/>
    </row>
    <row r="193">
      <c r="B193" s="4"/>
    </row>
    <row r="194">
      <c r="B194" s="4"/>
    </row>
    <row r="195">
      <c r="B195" s="4"/>
    </row>
    <row r="196">
      <c r="B196" s="4"/>
    </row>
    <row r="197">
      <c r="B197" s="4"/>
    </row>
    <row r="198">
      <c r="B198" s="4"/>
    </row>
    <row r="199">
      <c r="B199" s="4"/>
    </row>
    <row r="200">
      <c r="B200" s="4"/>
    </row>
    <row r="201">
      <c r="B201" s="4"/>
    </row>
    <row r="202">
      <c r="B202" s="4"/>
    </row>
    <row r="203">
      <c r="B203" s="4"/>
    </row>
    <row r="204">
      <c r="B204" s="4"/>
    </row>
    <row r="205">
      <c r="B205" s="4"/>
    </row>
    <row r="206">
      <c r="B206" s="4"/>
    </row>
    <row r="207">
      <c r="B207" s="4"/>
    </row>
    <row r="208">
      <c r="B208" s="4"/>
    </row>
    <row r="209">
      <c r="B209" s="4"/>
    </row>
    <row r="210">
      <c r="B210" s="4"/>
    </row>
    <row r="211">
      <c r="B211" s="4"/>
    </row>
    <row r="212">
      <c r="B212" s="4"/>
    </row>
    <row r="213">
      <c r="B213" s="4"/>
    </row>
    <row r="214">
      <c r="B214" s="4"/>
    </row>
    <row r="215">
      <c r="B215" s="4"/>
    </row>
    <row r="216">
      <c r="B216" s="4"/>
    </row>
    <row r="217">
      <c r="B217" s="4"/>
    </row>
    <row r="218">
      <c r="B218" s="4"/>
    </row>
    <row r="219">
      <c r="B219" s="4"/>
    </row>
    <row r="220">
      <c r="B220" s="4"/>
    </row>
    <row r="221">
      <c r="B221" s="4"/>
    </row>
    <row r="222">
      <c r="B222" s="4"/>
    </row>
    <row r="223">
      <c r="B223" s="4"/>
    </row>
    <row r="224">
      <c r="B224" s="4"/>
    </row>
    <row r="225">
      <c r="B225" s="4"/>
    </row>
    <row r="226">
      <c r="B226" s="4"/>
    </row>
    <row r="227">
      <c r="B227" s="4"/>
    </row>
    <row r="228">
      <c r="B228" s="4"/>
    </row>
    <row r="229">
      <c r="B229" s="4"/>
    </row>
    <row r="230">
      <c r="B230" s="4"/>
    </row>
    <row r="231">
      <c r="B231" s="4"/>
    </row>
    <row r="232">
      <c r="B232" s="4"/>
    </row>
    <row r="233">
      <c r="B233" s="4"/>
    </row>
    <row r="234">
      <c r="B234" s="4"/>
    </row>
    <row r="235">
      <c r="B235" s="4"/>
    </row>
    <row r="236">
      <c r="B236" s="4"/>
    </row>
    <row r="237">
      <c r="B237" s="4"/>
    </row>
    <row r="238">
      <c r="B238" s="4"/>
    </row>
    <row r="239">
      <c r="B239" s="4"/>
    </row>
    <row r="240">
      <c r="B240" s="4"/>
    </row>
    <row r="241">
      <c r="B241" s="4"/>
    </row>
    <row r="242">
      <c r="B242" s="4"/>
    </row>
    <row r="243">
      <c r="B243" s="4"/>
    </row>
    <row r="244">
      <c r="B244" s="4"/>
    </row>
    <row r="245">
      <c r="B245" s="4"/>
    </row>
    <row r="246">
      <c r="B246" s="4"/>
    </row>
    <row r="247">
      <c r="B247" s="4"/>
    </row>
    <row r="248">
      <c r="B248" s="4"/>
    </row>
    <row r="249">
      <c r="B249" s="4"/>
    </row>
    <row r="250">
      <c r="B250" s="4"/>
    </row>
    <row r="251">
      <c r="B251" s="4"/>
    </row>
    <row r="252">
      <c r="B252" s="4"/>
    </row>
    <row r="253">
      <c r="B253" s="4"/>
    </row>
    <row r="254">
      <c r="B254" s="4"/>
    </row>
    <row r="255">
      <c r="B255" s="4"/>
    </row>
    <row r="256">
      <c r="B256" s="4"/>
    </row>
    <row r="257">
      <c r="B257" s="4"/>
    </row>
    <row r="258">
      <c r="B258" s="4"/>
    </row>
    <row r="259">
      <c r="B259" s="4"/>
    </row>
    <row r="260">
      <c r="B260" s="4"/>
    </row>
    <row r="261">
      <c r="B261" s="4"/>
    </row>
    <row r="262">
      <c r="B262" s="4"/>
    </row>
    <row r="263">
      <c r="B263" s="4"/>
    </row>
    <row r="264">
      <c r="B264" s="4"/>
    </row>
    <row r="265">
      <c r="B265" s="4"/>
    </row>
    <row r="266">
      <c r="B266" s="4"/>
    </row>
    <row r="267">
      <c r="B267" s="4"/>
    </row>
    <row r="268">
      <c r="B268" s="4"/>
    </row>
    <row r="269">
      <c r="B269" s="4"/>
    </row>
    <row r="270">
      <c r="B270" s="4"/>
    </row>
    <row r="271">
      <c r="B271" s="4"/>
    </row>
    <row r="272">
      <c r="B272" s="4"/>
    </row>
    <row r="273">
      <c r="B273" s="4"/>
    </row>
    <row r="274">
      <c r="B274" s="4"/>
    </row>
    <row r="275">
      <c r="B275" s="4"/>
    </row>
    <row r="276">
      <c r="B276" s="4"/>
    </row>
    <row r="277">
      <c r="B277" s="4"/>
    </row>
    <row r="278">
      <c r="B278" s="4"/>
    </row>
    <row r="279">
      <c r="B279" s="4"/>
    </row>
    <row r="280">
      <c r="B280" s="4"/>
    </row>
    <row r="281">
      <c r="B281" s="4"/>
    </row>
    <row r="282">
      <c r="B282" s="4"/>
    </row>
    <row r="283">
      <c r="B283" s="4"/>
    </row>
    <row r="284">
      <c r="B284" s="4"/>
    </row>
    <row r="285">
      <c r="B285" s="4"/>
    </row>
    <row r="286">
      <c r="B286" s="4"/>
    </row>
    <row r="287">
      <c r="B287" s="4"/>
    </row>
    <row r="288">
      <c r="B288" s="4"/>
    </row>
    <row r="289">
      <c r="B289" s="4"/>
    </row>
    <row r="290">
      <c r="B290" s="4"/>
    </row>
    <row r="291">
      <c r="B291" s="4"/>
    </row>
    <row r="292">
      <c r="B292" s="4"/>
    </row>
    <row r="293">
      <c r="B293" s="4"/>
    </row>
    <row r="294">
      <c r="B294" s="4"/>
    </row>
    <row r="295">
      <c r="B295" s="4"/>
    </row>
    <row r="296">
      <c r="B296" s="4"/>
    </row>
    <row r="297">
      <c r="B297" s="4"/>
    </row>
    <row r="298">
      <c r="B298" s="4"/>
    </row>
    <row r="299">
      <c r="B299" s="4"/>
    </row>
    <row r="300">
      <c r="B300" s="4"/>
    </row>
    <row r="301">
      <c r="B301" s="4"/>
    </row>
    <row r="302">
      <c r="B302" s="4"/>
    </row>
    <row r="303">
      <c r="B303" s="4"/>
    </row>
    <row r="304">
      <c r="B304" s="4"/>
    </row>
    <row r="305">
      <c r="B305" s="4"/>
    </row>
    <row r="306">
      <c r="B306" s="4"/>
    </row>
    <row r="307">
      <c r="B307" s="4"/>
    </row>
    <row r="308">
      <c r="B308" s="4"/>
    </row>
    <row r="309">
      <c r="B309" s="4"/>
    </row>
    <row r="310">
      <c r="B310" s="4"/>
    </row>
    <row r="311">
      <c r="B311" s="4"/>
    </row>
    <row r="312">
      <c r="B312" s="4"/>
    </row>
    <row r="313">
      <c r="B313" s="4"/>
    </row>
    <row r="314">
      <c r="B314" s="4"/>
    </row>
    <row r="315">
      <c r="B315" s="4"/>
    </row>
    <row r="316">
      <c r="B316" s="4"/>
    </row>
    <row r="317">
      <c r="B317" s="4"/>
    </row>
    <row r="318">
      <c r="B318" s="4"/>
    </row>
    <row r="319">
      <c r="B319" s="4"/>
    </row>
    <row r="320">
      <c r="B320" s="4"/>
    </row>
    <row r="321">
      <c r="B321" s="4"/>
    </row>
    <row r="322">
      <c r="B322" s="4"/>
    </row>
    <row r="323">
      <c r="B323" s="4"/>
    </row>
    <row r="324">
      <c r="B324" s="4"/>
    </row>
    <row r="325">
      <c r="B325" s="4"/>
    </row>
    <row r="326">
      <c r="B326" s="4"/>
    </row>
    <row r="327">
      <c r="B327" s="4"/>
    </row>
    <row r="328">
      <c r="B328" s="4"/>
    </row>
    <row r="329">
      <c r="B329" s="4"/>
    </row>
    <row r="330">
      <c r="B330" s="4"/>
    </row>
    <row r="331">
      <c r="B331" s="4"/>
    </row>
    <row r="332">
      <c r="B332" s="4"/>
    </row>
    <row r="333">
      <c r="B333" s="4"/>
    </row>
    <row r="334">
      <c r="B334" s="4"/>
    </row>
    <row r="335">
      <c r="B335" s="4"/>
    </row>
    <row r="336">
      <c r="B336" s="4"/>
    </row>
    <row r="337">
      <c r="B337" s="4"/>
    </row>
    <row r="338">
      <c r="B338" s="4"/>
    </row>
    <row r="339">
      <c r="B339" s="4"/>
    </row>
    <row r="340">
      <c r="B340" s="4"/>
    </row>
    <row r="341">
      <c r="B341" s="4"/>
    </row>
    <row r="342">
      <c r="B342" s="4"/>
    </row>
    <row r="343">
      <c r="B343" s="4"/>
    </row>
    <row r="344">
      <c r="B344" s="4"/>
    </row>
    <row r="345">
      <c r="B345" s="4"/>
    </row>
    <row r="346">
      <c r="B346" s="4"/>
    </row>
    <row r="347">
      <c r="B347" s="4"/>
    </row>
    <row r="348">
      <c r="B348" s="4"/>
    </row>
    <row r="349">
      <c r="B349" s="4"/>
    </row>
    <row r="350">
      <c r="B350" s="4"/>
    </row>
    <row r="351">
      <c r="B351" s="4"/>
    </row>
    <row r="352">
      <c r="B352" s="4"/>
    </row>
    <row r="353">
      <c r="B353" s="4"/>
    </row>
    <row r="354">
      <c r="B354" s="4"/>
    </row>
    <row r="355">
      <c r="B355" s="4"/>
    </row>
    <row r="356">
      <c r="B356" s="4"/>
    </row>
    <row r="357">
      <c r="B357" s="4"/>
    </row>
    <row r="358">
      <c r="B358" s="4"/>
    </row>
    <row r="359">
      <c r="B359" s="4"/>
    </row>
    <row r="360">
      <c r="B360" s="4"/>
    </row>
    <row r="361">
      <c r="B361" s="4"/>
    </row>
    <row r="362">
      <c r="B362" s="4"/>
    </row>
    <row r="363">
      <c r="B363" s="4"/>
    </row>
    <row r="364">
      <c r="B364" s="4"/>
    </row>
    <row r="365">
      <c r="B365" s="4"/>
    </row>
    <row r="366">
      <c r="B366" s="4"/>
    </row>
    <row r="367">
      <c r="B367" s="4"/>
    </row>
    <row r="368">
      <c r="B368" s="4"/>
    </row>
    <row r="369">
      <c r="B369" s="4"/>
    </row>
    <row r="370">
      <c r="B370" s="4"/>
    </row>
    <row r="371">
      <c r="B371" s="4"/>
    </row>
    <row r="372">
      <c r="B372" s="4"/>
    </row>
    <row r="373">
      <c r="B373" s="4"/>
    </row>
    <row r="374">
      <c r="B374" s="4"/>
    </row>
    <row r="375">
      <c r="B375" s="4"/>
    </row>
    <row r="376">
      <c r="B376" s="4"/>
    </row>
    <row r="377">
      <c r="B377" s="4"/>
    </row>
    <row r="378">
      <c r="B378" s="4"/>
    </row>
    <row r="379">
      <c r="B379" s="4"/>
    </row>
    <row r="380">
      <c r="B380" s="4"/>
    </row>
    <row r="381">
      <c r="B381" s="4"/>
    </row>
    <row r="382">
      <c r="B382" s="4"/>
    </row>
    <row r="383">
      <c r="B383" s="4"/>
    </row>
    <row r="384">
      <c r="B384" s="4"/>
    </row>
    <row r="385">
      <c r="B385" s="4"/>
    </row>
    <row r="386">
      <c r="B386" s="4"/>
    </row>
    <row r="387">
      <c r="B387" s="4"/>
    </row>
    <row r="388">
      <c r="B388" s="4"/>
    </row>
    <row r="389">
      <c r="B389" s="4"/>
    </row>
    <row r="390">
      <c r="B390" s="4"/>
    </row>
    <row r="391">
      <c r="B391" s="4"/>
    </row>
    <row r="392">
      <c r="B392" s="4"/>
    </row>
    <row r="393">
      <c r="B393" s="4"/>
    </row>
    <row r="394">
      <c r="B394" s="4"/>
    </row>
    <row r="395">
      <c r="B395" s="4"/>
    </row>
    <row r="396">
      <c r="B396" s="4"/>
    </row>
    <row r="397">
      <c r="B397" s="4"/>
    </row>
    <row r="398">
      <c r="B398" s="4"/>
    </row>
    <row r="399">
      <c r="B399" s="4"/>
    </row>
    <row r="400">
      <c r="B400" s="4"/>
    </row>
    <row r="401">
      <c r="B401" s="4"/>
    </row>
    <row r="402">
      <c r="B402" s="4"/>
    </row>
    <row r="403">
      <c r="B403" s="4"/>
    </row>
    <row r="404">
      <c r="B404" s="4"/>
    </row>
    <row r="405">
      <c r="B405" s="4"/>
    </row>
    <row r="406">
      <c r="B406" s="4"/>
    </row>
    <row r="407">
      <c r="B407" s="4"/>
    </row>
    <row r="408">
      <c r="B408" s="4"/>
    </row>
    <row r="409">
      <c r="B409" s="4"/>
    </row>
    <row r="410">
      <c r="B410" s="4"/>
    </row>
    <row r="411">
      <c r="B411" s="4"/>
    </row>
    <row r="412">
      <c r="B412" s="4"/>
    </row>
    <row r="413">
      <c r="B413" s="4"/>
    </row>
    <row r="414">
      <c r="B414" s="4"/>
    </row>
    <row r="415">
      <c r="B415" s="4"/>
    </row>
    <row r="416">
      <c r="B416" s="4"/>
    </row>
    <row r="417">
      <c r="B417" s="4"/>
    </row>
    <row r="418">
      <c r="B418" s="4"/>
    </row>
    <row r="419">
      <c r="B419" s="4"/>
    </row>
    <row r="420">
      <c r="B420" s="4"/>
    </row>
    <row r="421">
      <c r="B421" s="4"/>
    </row>
    <row r="422">
      <c r="B422" s="4"/>
    </row>
    <row r="423">
      <c r="B423" s="4"/>
    </row>
    <row r="424">
      <c r="B424" s="4"/>
    </row>
    <row r="425">
      <c r="B425" s="4"/>
    </row>
    <row r="426">
      <c r="B426" s="4"/>
    </row>
    <row r="427">
      <c r="B427" s="4"/>
    </row>
    <row r="428">
      <c r="B428" s="4"/>
    </row>
    <row r="429">
      <c r="B429" s="4"/>
    </row>
    <row r="430">
      <c r="B430" s="4"/>
    </row>
    <row r="431">
      <c r="B431" s="4"/>
    </row>
    <row r="432">
      <c r="B432" s="4"/>
    </row>
    <row r="433">
      <c r="B433" s="4"/>
    </row>
    <row r="434">
      <c r="B434" s="4"/>
    </row>
    <row r="435">
      <c r="B435" s="4"/>
    </row>
    <row r="436">
      <c r="B436" s="4"/>
    </row>
    <row r="437">
      <c r="B437" s="4"/>
    </row>
    <row r="438">
      <c r="B438" s="4"/>
    </row>
    <row r="439">
      <c r="B439" s="4"/>
    </row>
    <row r="440">
      <c r="B440" s="4"/>
    </row>
    <row r="441">
      <c r="B441" s="4"/>
    </row>
    <row r="442">
      <c r="B442" s="4"/>
    </row>
    <row r="443">
      <c r="B443" s="4"/>
    </row>
    <row r="444">
      <c r="B444" s="4"/>
    </row>
    <row r="445">
      <c r="B445" s="4"/>
    </row>
    <row r="446">
      <c r="B446" s="4"/>
    </row>
    <row r="447">
      <c r="B447" s="4"/>
    </row>
    <row r="448">
      <c r="B448" s="4"/>
    </row>
    <row r="449">
      <c r="B449" s="4"/>
    </row>
    <row r="450">
      <c r="B450" s="4"/>
    </row>
    <row r="451">
      <c r="B451" s="4"/>
    </row>
    <row r="452">
      <c r="B452" s="4"/>
    </row>
    <row r="453">
      <c r="B453" s="4"/>
    </row>
    <row r="454">
      <c r="B454" s="4"/>
    </row>
    <row r="455">
      <c r="B455" s="4"/>
    </row>
    <row r="456">
      <c r="B456" s="4"/>
    </row>
    <row r="457">
      <c r="B457" s="4"/>
    </row>
    <row r="458">
      <c r="B458" s="4"/>
    </row>
    <row r="459">
      <c r="B459" s="4"/>
    </row>
    <row r="460">
      <c r="B460" s="4"/>
    </row>
    <row r="461">
      <c r="B461" s="4"/>
    </row>
    <row r="462">
      <c r="B462" s="4"/>
    </row>
    <row r="463">
      <c r="B463" s="4"/>
    </row>
    <row r="464">
      <c r="B464" s="4"/>
    </row>
    <row r="465">
      <c r="B465" s="4"/>
    </row>
    <row r="466">
      <c r="B466" s="4"/>
    </row>
    <row r="467">
      <c r="B467" s="4"/>
    </row>
    <row r="468">
      <c r="B468" s="4"/>
    </row>
    <row r="469">
      <c r="B469" s="4"/>
    </row>
    <row r="470">
      <c r="B470" s="4"/>
    </row>
    <row r="471">
      <c r="B471" s="4"/>
    </row>
    <row r="472">
      <c r="B472" s="4"/>
    </row>
    <row r="473">
      <c r="B473" s="4"/>
    </row>
    <row r="474">
      <c r="B474" s="4"/>
    </row>
    <row r="475">
      <c r="B475" s="4"/>
    </row>
    <row r="476">
      <c r="B476" s="4"/>
    </row>
    <row r="477">
      <c r="B477" s="4"/>
    </row>
    <row r="478">
      <c r="B478" s="4"/>
    </row>
    <row r="479">
      <c r="B479" s="4"/>
    </row>
    <row r="480">
      <c r="B480" s="4"/>
    </row>
    <row r="481">
      <c r="B481" s="4"/>
    </row>
    <row r="482">
      <c r="B482" s="4"/>
    </row>
    <row r="483">
      <c r="B483" s="4"/>
    </row>
    <row r="484">
      <c r="B484" s="4"/>
    </row>
    <row r="485">
      <c r="B485" s="4"/>
    </row>
    <row r="486">
      <c r="B486" s="4"/>
    </row>
    <row r="487">
      <c r="B487" s="4"/>
    </row>
    <row r="488">
      <c r="B488" s="4"/>
    </row>
    <row r="489">
      <c r="B489" s="4"/>
    </row>
    <row r="490">
      <c r="B490" s="4"/>
    </row>
    <row r="491">
      <c r="B491" s="4"/>
    </row>
    <row r="492">
      <c r="B492" s="4"/>
    </row>
    <row r="493">
      <c r="B493" s="4"/>
    </row>
    <row r="494">
      <c r="B494" s="4"/>
    </row>
    <row r="495">
      <c r="B495" s="4"/>
    </row>
    <row r="496">
      <c r="B496" s="4"/>
    </row>
    <row r="497">
      <c r="B497" s="4"/>
    </row>
    <row r="498">
      <c r="B498" s="4"/>
    </row>
    <row r="499">
      <c r="B499" s="4"/>
    </row>
    <row r="500">
      <c r="B500" s="4"/>
    </row>
    <row r="501">
      <c r="B501" s="4"/>
    </row>
    <row r="502">
      <c r="B502" s="4"/>
    </row>
    <row r="503">
      <c r="B503" s="4"/>
    </row>
    <row r="504">
      <c r="B504" s="4"/>
    </row>
    <row r="505">
      <c r="B505" s="4"/>
    </row>
    <row r="506">
      <c r="B506" s="4"/>
    </row>
    <row r="507">
      <c r="B507" s="4"/>
    </row>
    <row r="508">
      <c r="B508" s="4"/>
    </row>
    <row r="509">
      <c r="B509" s="4"/>
    </row>
    <row r="510">
      <c r="B510" s="4"/>
    </row>
    <row r="511">
      <c r="B511" s="4"/>
    </row>
    <row r="512">
      <c r="B512" s="4"/>
    </row>
    <row r="513">
      <c r="B513" s="4"/>
    </row>
    <row r="514">
      <c r="B514" s="4"/>
    </row>
    <row r="515">
      <c r="B515" s="4"/>
    </row>
    <row r="516">
      <c r="B516" s="4"/>
    </row>
    <row r="517">
      <c r="B517" s="4"/>
    </row>
    <row r="518">
      <c r="B518" s="4"/>
    </row>
    <row r="519">
      <c r="B519" s="4"/>
    </row>
    <row r="520">
      <c r="B520" s="4"/>
    </row>
    <row r="521">
      <c r="B521" s="4"/>
    </row>
    <row r="522">
      <c r="B522" s="4"/>
    </row>
    <row r="523">
      <c r="B523" s="4"/>
    </row>
    <row r="524">
      <c r="B524" s="4"/>
    </row>
    <row r="525">
      <c r="B525" s="4"/>
    </row>
    <row r="526">
      <c r="B526" s="4"/>
    </row>
    <row r="527">
      <c r="B527" s="4"/>
    </row>
    <row r="528">
      <c r="B528" s="4"/>
    </row>
    <row r="529">
      <c r="B529" s="4"/>
    </row>
    <row r="530">
      <c r="B530" s="4"/>
    </row>
    <row r="531">
      <c r="B531" s="4"/>
    </row>
    <row r="532">
      <c r="B532" s="4"/>
    </row>
    <row r="533">
      <c r="B533" s="4"/>
    </row>
    <row r="534">
      <c r="B534" s="4"/>
    </row>
    <row r="535">
      <c r="B535" s="4"/>
    </row>
    <row r="536">
      <c r="B536" s="4"/>
    </row>
    <row r="537">
      <c r="B537" s="4"/>
    </row>
    <row r="538">
      <c r="B538" s="4"/>
    </row>
    <row r="539">
      <c r="B539" s="4"/>
    </row>
    <row r="540">
      <c r="B540" s="4"/>
    </row>
    <row r="541">
      <c r="B541" s="4"/>
    </row>
    <row r="542">
      <c r="B542" s="4"/>
    </row>
    <row r="543">
      <c r="B543" s="4"/>
    </row>
    <row r="544">
      <c r="B544" s="4"/>
    </row>
    <row r="545">
      <c r="B545" s="4"/>
    </row>
    <row r="546">
      <c r="B546" s="4"/>
    </row>
    <row r="547">
      <c r="B547" s="4"/>
    </row>
    <row r="548">
      <c r="B548" s="4"/>
    </row>
    <row r="549">
      <c r="B549" s="4"/>
    </row>
    <row r="550">
      <c r="B550" s="4"/>
    </row>
    <row r="551">
      <c r="B551" s="4"/>
    </row>
    <row r="552">
      <c r="B552" s="4"/>
    </row>
    <row r="553">
      <c r="B553" s="4"/>
    </row>
    <row r="554">
      <c r="B554" s="4"/>
    </row>
    <row r="555">
      <c r="B555" s="4"/>
    </row>
    <row r="556">
      <c r="B556" s="4"/>
    </row>
    <row r="557">
      <c r="B557" s="4"/>
    </row>
    <row r="558">
      <c r="B558" s="4"/>
    </row>
    <row r="559">
      <c r="B559" s="4"/>
    </row>
    <row r="560">
      <c r="B560" s="4"/>
    </row>
    <row r="561">
      <c r="B561" s="4"/>
    </row>
    <row r="562">
      <c r="B562" s="4"/>
    </row>
    <row r="563">
      <c r="B563" s="4"/>
    </row>
    <row r="564">
      <c r="B564" s="4"/>
    </row>
    <row r="565">
      <c r="B565" s="4"/>
    </row>
    <row r="566">
      <c r="B566" s="4"/>
    </row>
    <row r="567">
      <c r="B567" s="4"/>
    </row>
    <row r="568">
      <c r="B568" s="4"/>
    </row>
    <row r="569">
      <c r="B569" s="4"/>
    </row>
    <row r="570">
      <c r="B570" s="4"/>
    </row>
    <row r="571">
      <c r="B571" s="4"/>
    </row>
    <row r="572">
      <c r="B572" s="4"/>
    </row>
    <row r="573">
      <c r="B573" s="4"/>
    </row>
    <row r="574">
      <c r="B574" s="4"/>
    </row>
    <row r="575">
      <c r="B575" s="4"/>
    </row>
    <row r="576">
      <c r="B576" s="4"/>
    </row>
    <row r="577">
      <c r="B577" s="4"/>
    </row>
    <row r="578">
      <c r="B578" s="4"/>
    </row>
    <row r="579">
      <c r="B579" s="4"/>
    </row>
    <row r="580">
      <c r="B580" s="4"/>
    </row>
    <row r="581">
      <c r="B581" s="4"/>
    </row>
    <row r="582">
      <c r="B582" s="4"/>
    </row>
    <row r="583">
      <c r="B583" s="4"/>
    </row>
    <row r="584">
      <c r="B584" s="4"/>
    </row>
    <row r="585">
      <c r="B585" s="4"/>
    </row>
    <row r="586">
      <c r="B586" s="4"/>
    </row>
    <row r="587">
      <c r="B587" s="4"/>
    </row>
    <row r="588">
      <c r="B588" s="4"/>
    </row>
    <row r="589">
      <c r="B589" s="4"/>
    </row>
    <row r="590">
      <c r="B590" s="4"/>
    </row>
    <row r="591">
      <c r="B591" s="4"/>
    </row>
    <row r="592">
      <c r="B592" s="4"/>
    </row>
    <row r="593">
      <c r="B593" s="4"/>
    </row>
    <row r="594">
      <c r="B594" s="4"/>
    </row>
    <row r="595">
      <c r="B595" s="4"/>
    </row>
    <row r="596">
      <c r="B596" s="4"/>
    </row>
    <row r="597">
      <c r="B597" s="4"/>
    </row>
    <row r="598">
      <c r="B598" s="4"/>
    </row>
    <row r="599">
      <c r="B599" s="4"/>
    </row>
    <row r="600">
      <c r="B600" s="4"/>
    </row>
    <row r="601">
      <c r="B601" s="4"/>
    </row>
    <row r="602">
      <c r="B602" s="4"/>
    </row>
    <row r="603">
      <c r="B603" s="4"/>
    </row>
    <row r="604">
      <c r="B604" s="4"/>
    </row>
    <row r="605">
      <c r="B605" s="4"/>
    </row>
    <row r="606">
      <c r="B606" s="4"/>
    </row>
    <row r="607">
      <c r="B607" s="4"/>
    </row>
    <row r="608">
      <c r="B608" s="4"/>
    </row>
    <row r="609">
      <c r="B609" s="4"/>
    </row>
    <row r="610">
      <c r="B610" s="4"/>
    </row>
    <row r="611">
      <c r="B611" s="4"/>
    </row>
    <row r="612">
      <c r="B612" s="4"/>
    </row>
    <row r="613">
      <c r="B613" s="4"/>
    </row>
    <row r="614">
      <c r="B614" s="4"/>
    </row>
    <row r="615">
      <c r="B615" s="4"/>
    </row>
    <row r="616">
      <c r="B616" s="4"/>
    </row>
    <row r="617">
      <c r="B617" s="4"/>
    </row>
    <row r="618">
      <c r="B618" s="4"/>
    </row>
    <row r="619">
      <c r="B619" s="4"/>
    </row>
    <row r="620">
      <c r="B620" s="4"/>
    </row>
    <row r="621">
      <c r="B621" s="4"/>
    </row>
    <row r="622">
      <c r="B622" s="4"/>
    </row>
    <row r="623">
      <c r="B623" s="4"/>
    </row>
    <row r="624">
      <c r="B624" s="4"/>
    </row>
    <row r="625">
      <c r="B625" s="4"/>
    </row>
    <row r="626">
      <c r="B626" s="4"/>
    </row>
    <row r="627">
      <c r="B627" s="4"/>
    </row>
    <row r="628">
      <c r="B628" s="4"/>
    </row>
    <row r="629">
      <c r="B629" s="4"/>
    </row>
    <row r="630">
      <c r="B630" s="4"/>
    </row>
    <row r="631">
      <c r="B631" s="4"/>
    </row>
    <row r="632">
      <c r="B632" s="4"/>
    </row>
    <row r="633">
      <c r="B633" s="4"/>
    </row>
    <row r="634">
      <c r="B634" s="4"/>
    </row>
    <row r="635">
      <c r="B635" s="4"/>
    </row>
    <row r="636">
      <c r="B636" s="4"/>
    </row>
    <row r="637">
      <c r="B637" s="4"/>
    </row>
    <row r="638">
      <c r="B638" s="4"/>
    </row>
    <row r="639">
      <c r="B639" s="4"/>
    </row>
    <row r="640">
      <c r="B640" s="4"/>
    </row>
    <row r="641">
      <c r="B641" s="4"/>
    </row>
    <row r="642">
      <c r="B642" s="4"/>
    </row>
    <row r="643">
      <c r="B643" s="4"/>
    </row>
    <row r="644">
      <c r="B644" s="4"/>
    </row>
    <row r="645">
      <c r="B645" s="4"/>
    </row>
    <row r="646">
      <c r="B646" s="4"/>
    </row>
    <row r="647">
      <c r="B647" s="4"/>
    </row>
    <row r="648">
      <c r="B648" s="4"/>
    </row>
    <row r="649">
      <c r="B649" s="4"/>
    </row>
    <row r="650">
      <c r="B650" s="4"/>
    </row>
    <row r="651">
      <c r="B651" s="4"/>
    </row>
    <row r="652">
      <c r="B652" s="4"/>
    </row>
    <row r="653">
      <c r="B653" s="4"/>
    </row>
    <row r="654">
      <c r="B654" s="4"/>
    </row>
    <row r="655">
      <c r="B655" s="4"/>
    </row>
    <row r="656">
      <c r="B656" s="4"/>
    </row>
    <row r="657">
      <c r="B657" s="4"/>
    </row>
    <row r="658">
      <c r="B658" s="4"/>
    </row>
    <row r="659">
      <c r="B659" s="4"/>
    </row>
    <row r="660">
      <c r="B660" s="4"/>
    </row>
    <row r="661">
      <c r="B661" s="4"/>
    </row>
    <row r="662">
      <c r="B662" s="4"/>
    </row>
    <row r="663">
      <c r="B663" s="4"/>
    </row>
    <row r="664">
      <c r="B664" s="4"/>
    </row>
    <row r="665">
      <c r="B665" s="4"/>
    </row>
    <row r="666">
      <c r="B666" s="4"/>
    </row>
    <row r="667">
      <c r="B667" s="4"/>
    </row>
    <row r="668">
      <c r="B668" s="4"/>
    </row>
    <row r="669">
      <c r="B669" s="4"/>
    </row>
    <row r="670">
      <c r="B670" s="4"/>
    </row>
    <row r="671">
      <c r="B671" s="4"/>
    </row>
    <row r="672">
      <c r="B672" s="4"/>
    </row>
    <row r="673">
      <c r="B673" s="4"/>
    </row>
    <row r="674">
      <c r="B674" s="4"/>
    </row>
    <row r="675">
      <c r="B675" s="4"/>
    </row>
    <row r="676">
      <c r="B676" s="4"/>
    </row>
    <row r="677">
      <c r="B677" s="4"/>
    </row>
    <row r="678">
      <c r="B678" s="4"/>
    </row>
    <row r="679">
      <c r="B679" s="4"/>
    </row>
    <row r="680">
      <c r="B680" s="4"/>
    </row>
    <row r="681">
      <c r="B681" s="4"/>
    </row>
    <row r="682">
      <c r="B682" s="4"/>
    </row>
    <row r="683">
      <c r="B683" s="4"/>
    </row>
    <row r="684">
      <c r="B684" s="4"/>
    </row>
    <row r="685">
      <c r="B685" s="4"/>
    </row>
    <row r="686">
      <c r="B686" s="4"/>
    </row>
    <row r="687">
      <c r="B687" s="4"/>
    </row>
    <row r="688">
      <c r="B688" s="4"/>
    </row>
    <row r="689">
      <c r="B689" s="4"/>
    </row>
    <row r="690">
      <c r="B690" s="4"/>
    </row>
    <row r="691">
      <c r="B691" s="4"/>
    </row>
    <row r="692">
      <c r="B692" s="4"/>
    </row>
    <row r="693">
      <c r="B693" s="4"/>
    </row>
    <row r="694">
      <c r="B694" s="4"/>
    </row>
    <row r="695">
      <c r="B695" s="4"/>
    </row>
    <row r="696">
      <c r="B696" s="4"/>
    </row>
    <row r="697">
      <c r="B697" s="4"/>
    </row>
    <row r="698">
      <c r="B698" s="4"/>
    </row>
    <row r="699">
      <c r="B699" s="4"/>
    </row>
    <row r="700">
      <c r="B700" s="4"/>
    </row>
    <row r="701">
      <c r="B701" s="4"/>
    </row>
    <row r="702">
      <c r="B702" s="4"/>
    </row>
    <row r="703">
      <c r="B703" s="4"/>
    </row>
    <row r="704">
      <c r="B704" s="4"/>
    </row>
    <row r="705">
      <c r="B705" s="4"/>
    </row>
    <row r="706">
      <c r="B706" s="4"/>
    </row>
    <row r="707">
      <c r="B707" s="4"/>
    </row>
    <row r="708">
      <c r="B708" s="4"/>
    </row>
    <row r="709">
      <c r="B709" s="4"/>
    </row>
    <row r="710">
      <c r="B710" s="4"/>
    </row>
    <row r="711">
      <c r="B711" s="4"/>
    </row>
    <row r="712">
      <c r="B712" s="4"/>
    </row>
    <row r="713">
      <c r="B713" s="4"/>
    </row>
    <row r="714">
      <c r="B714" s="4"/>
    </row>
    <row r="715">
      <c r="B715" s="4"/>
    </row>
    <row r="716">
      <c r="B716" s="4"/>
    </row>
    <row r="717">
      <c r="B717" s="4"/>
    </row>
    <row r="718">
      <c r="B718" s="4"/>
    </row>
    <row r="719">
      <c r="B719" s="4"/>
    </row>
    <row r="720">
      <c r="B720" s="4"/>
    </row>
    <row r="721">
      <c r="B721" s="4"/>
    </row>
    <row r="722">
      <c r="B722" s="4"/>
    </row>
    <row r="723">
      <c r="B723" s="4"/>
    </row>
    <row r="724">
      <c r="B724" s="4"/>
    </row>
    <row r="725">
      <c r="B725" s="4"/>
    </row>
    <row r="726">
      <c r="B726" s="4"/>
    </row>
    <row r="727">
      <c r="B727" s="4"/>
    </row>
    <row r="728">
      <c r="B728" s="4"/>
    </row>
    <row r="729">
      <c r="B729" s="4"/>
    </row>
    <row r="730">
      <c r="B730" s="4"/>
    </row>
    <row r="731">
      <c r="B731" s="4"/>
    </row>
    <row r="732">
      <c r="B732" s="4"/>
    </row>
    <row r="733">
      <c r="B733" s="4"/>
    </row>
    <row r="734">
      <c r="B734" s="4"/>
    </row>
    <row r="735">
      <c r="B735" s="4"/>
    </row>
    <row r="736">
      <c r="B736" s="4"/>
    </row>
    <row r="737">
      <c r="B737" s="4"/>
    </row>
    <row r="738">
      <c r="B738" s="4"/>
    </row>
    <row r="739">
      <c r="B739" s="4"/>
    </row>
    <row r="740">
      <c r="B740" s="4"/>
    </row>
    <row r="741">
      <c r="B741" s="4"/>
    </row>
    <row r="742">
      <c r="B742" s="4"/>
    </row>
    <row r="743">
      <c r="B743" s="4"/>
    </row>
    <row r="744">
      <c r="B744" s="4"/>
    </row>
    <row r="745">
      <c r="B745" s="4"/>
    </row>
    <row r="746">
      <c r="B746" s="4"/>
    </row>
    <row r="747">
      <c r="B747" s="4"/>
    </row>
    <row r="748">
      <c r="B748" s="4"/>
    </row>
    <row r="749">
      <c r="B749" s="4"/>
    </row>
    <row r="750">
      <c r="B750" s="4"/>
    </row>
    <row r="751">
      <c r="B751" s="4"/>
    </row>
    <row r="752">
      <c r="B752" s="4"/>
    </row>
    <row r="753">
      <c r="B753" s="4"/>
    </row>
    <row r="754">
      <c r="B754" s="4"/>
    </row>
    <row r="755">
      <c r="B755" s="4"/>
    </row>
    <row r="756">
      <c r="B756" s="4"/>
    </row>
    <row r="757">
      <c r="B757" s="4"/>
    </row>
    <row r="758">
      <c r="B758" s="4"/>
    </row>
    <row r="759">
      <c r="B759" s="4"/>
    </row>
    <row r="760">
      <c r="B760" s="4"/>
    </row>
    <row r="761">
      <c r="B761" s="4"/>
    </row>
    <row r="762">
      <c r="B762" s="4"/>
    </row>
    <row r="763">
      <c r="B763" s="4"/>
    </row>
    <row r="764">
      <c r="B764" s="4"/>
    </row>
    <row r="765">
      <c r="B765" s="4"/>
    </row>
    <row r="766">
      <c r="B766" s="4"/>
    </row>
    <row r="767">
      <c r="B767" s="4"/>
    </row>
    <row r="768">
      <c r="B768" s="4"/>
    </row>
    <row r="769">
      <c r="B769" s="4"/>
    </row>
    <row r="770">
      <c r="B770" s="4"/>
    </row>
    <row r="771">
      <c r="B771" s="4"/>
    </row>
    <row r="772">
      <c r="B772" s="4"/>
    </row>
    <row r="773">
      <c r="B773" s="4"/>
    </row>
    <row r="774">
      <c r="B774" s="4"/>
    </row>
    <row r="775">
      <c r="B775" s="4"/>
    </row>
    <row r="776">
      <c r="B776" s="4"/>
    </row>
    <row r="777">
      <c r="B777" s="4"/>
    </row>
    <row r="778">
      <c r="B778" s="4"/>
    </row>
    <row r="779">
      <c r="B779" s="4"/>
    </row>
    <row r="780">
      <c r="B780" s="4"/>
    </row>
    <row r="781">
      <c r="B781" s="4"/>
    </row>
    <row r="782">
      <c r="B782" s="4"/>
    </row>
    <row r="783">
      <c r="B783" s="4"/>
    </row>
    <row r="784">
      <c r="B784" s="4"/>
    </row>
    <row r="785">
      <c r="B785" s="4"/>
    </row>
    <row r="786">
      <c r="B786" s="4"/>
    </row>
    <row r="787">
      <c r="B787" s="4"/>
    </row>
    <row r="788">
      <c r="B788" s="4"/>
    </row>
    <row r="789">
      <c r="B789" s="4"/>
    </row>
    <row r="790">
      <c r="B790" s="4"/>
    </row>
    <row r="791">
      <c r="B791" s="4"/>
    </row>
    <row r="792">
      <c r="B792" s="4"/>
    </row>
    <row r="793">
      <c r="B793" s="4"/>
    </row>
    <row r="794">
      <c r="B794" s="4"/>
    </row>
    <row r="795">
      <c r="B795" s="4"/>
    </row>
    <row r="796">
      <c r="B796" s="4"/>
    </row>
    <row r="797">
      <c r="B797" s="4"/>
    </row>
    <row r="798">
      <c r="B798" s="4"/>
    </row>
    <row r="799">
      <c r="B799" s="4"/>
    </row>
    <row r="800">
      <c r="B800" s="4"/>
    </row>
    <row r="801">
      <c r="B801" s="4"/>
    </row>
    <row r="802">
      <c r="B802" s="4"/>
    </row>
    <row r="803">
      <c r="B803" s="4"/>
    </row>
    <row r="804">
      <c r="B804" s="4"/>
    </row>
    <row r="805">
      <c r="B805" s="4"/>
    </row>
    <row r="806">
      <c r="B806" s="4"/>
    </row>
    <row r="807">
      <c r="B807" s="4"/>
    </row>
    <row r="808">
      <c r="B808" s="4"/>
    </row>
    <row r="809">
      <c r="B809" s="4"/>
    </row>
    <row r="810">
      <c r="B810" s="4"/>
    </row>
    <row r="811">
      <c r="B811" s="4"/>
    </row>
    <row r="812">
      <c r="B812" s="4"/>
    </row>
    <row r="813">
      <c r="B813" s="4"/>
    </row>
    <row r="814">
      <c r="B814" s="4"/>
    </row>
    <row r="815">
      <c r="B815" s="4"/>
    </row>
    <row r="816">
      <c r="B816" s="4"/>
    </row>
    <row r="817">
      <c r="B817" s="4"/>
    </row>
    <row r="818">
      <c r="B818" s="4"/>
    </row>
    <row r="819">
      <c r="B819" s="4"/>
    </row>
    <row r="820">
      <c r="B820" s="4"/>
    </row>
    <row r="821">
      <c r="B821" s="4"/>
    </row>
    <row r="822">
      <c r="B822" s="4"/>
    </row>
    <row r="823">
      <c r="B823" s="4"/>
    </row>
    <row r="824">
      <c r="B824" s="4"/>
    </row>
    <row r="825">
      <c r="B825" s="4"/>
    </row>
    <row r="826">
      <c r="B826" s="4"/>
    </row>
    <row r="827">
      <c r="B827" s="4"/>
    </row>
    <row r="828">
      <c r="B828" s="4"/>
    </row>
    <row r="829">
      <c r="B829" s="4"/>
    </row>
    <row r="830">
      <c r="B830" s="4"/>
    </row>
    <row r="831">
      <c r="B831" s="4"/>
    </row>
    <row r="832">
      <c r="B832" s="4"/>
    </row>
    <row r="833">
      <c r="B833" s="4"/>
    </row>
    <row r="834">
      <c r="B834" s="4"/>
    </row>
    <row r="835">
      <c r="B835" s="4"/>
    </row>
    <row r="836">
      <c r="B836" s="4"/>
    </row>
    <row r="837">
      <c r="B837" s="4"/>
    </row>
    <row r="838">
      <c r="B838" s="4"/>
    </row>
    <row r="839">
      <c r="B839" s="4"/>
    </row>
    <row r="840">
      <c r="B840" s="4"/>
    </row>
    <row r="841">
      <c r="B841" s="4"/>
    </row>
    <row r="842">
      <c r="B842" s="4"/>
    </row>
    <row r="843">
      <c r="B843" s="4"/>
    </row>
    <row r="844">
      <c r="B844" s="4"/>
    </row>
    <row r="845">
      <c r="B845" s="4"/>
    </row>
    <row r="846">
      <c r="B846" s="4"/>
    </row>
    <row r="847">
      <c r="B847" s="4"/>
    </row>
    <row r="848">
      <c r="B848" s="4"/>
    </row>
    <row r="849">
      <c r="B849" s="4"/>
    </row>
    <row r="850">
      <c r="B850" s="4"/>
    </row>
    <row r="851">
      <c r="B851" s="4"/>
    </row>
    <row r="852">
      <c r="B852" s="4"/>
    </row>
    <row r="853">
      <c r="B853" s="4"/>
    </row>
    <row r="854">
      <c r="B854" s="4"/>
    </row>
    <row r="855">
      <c r="B855" s="4"/>
    </row>
    <row r="856">
      <c r="B856" s="4"/>
    </row>
    <row r="857">
      <c r="B857" s="4"/>
    </row>
    <row r="858">
      <c r="B858" s="4"/>
    </row>
    <row r="859">
      <c r="B859" s="4"/>
    </row>
    <row r="860">
      <c r="B860" s="4"/>
    </row>
    <row r="861">
      <c r="B861" s="4"/>
    </row>
    <row r="862">
      <c r="B862" s="4"/>
    </row>
    <row r="863">
      <c r="B863" s="4"/>
    </row>
    <row r="864">
      <c r="B864" s="4"/>
    </row>
    <row r="865">
      <c r="B865" s="4"/>
    </row>
    <row r="866">
      <c r="B866" s="4"/>
    </row>
    <row r="867">
      <c r="B867" s="4"/>
    </row>
    <row r="868">
      <c r="B868" s="4"/>
    </row>
    <row r="869">
      <c r="B869" s="4"/>
    </row>
    <row r="870">
      <c r="B870" s="4"/>
    </row>
    <row r="871">
      <c r="B871" s="4"/>
    </row>
    <row r="872">
      <c r="B872" s="4"/>
    </row>
    <row r="873">
      <c r="B873" s="4"/>
    </row>
    <row r="874">
      <c r="B874" s="4"/>
    </row>
    <row r="875">
      <c r="B875" s="4"/>
    </row>
    <row r="876">
      <c r="B876" s="4"/>
    </row>
    <row r="877">
      <c r="B877" s="4"/>
    </row>
    <row r="878">
      <c r="B878" s="4"/>
    </row>
    <row r="879">
      <c r="B879" s="4"/>
    </row>
    <row r="880">
      <c r="B880" s="4"/>
    </row>
    <row r="881">
      <c r="B881" s="4"/>
    </row>
    <row r="882">
      <c r="B882" s="4"/>
    </row>
    <row r="883">
      <c r="B883" s="4"/>
    </row>
    <row r="884">
      <c r="B884" s="4"/>
    </row>
    <row r="885">
      <c r="B885" s="4"/>
    </row>
    <row r="886">
      <c r="B886" s="4"/>
    </row>
    <row r="887">
      <c r="B887" s="4"/>
    </row>
    <row r="888">
      <c r="B888" s="4"/>
    </row>
    <row r="889">
      <c r="B889" s="4"/>
    </row>
    <row r="890">
      <c r="B890" s="4"/>
    </row>
    <row r="891">
      <c r="B891" s="4"/>
    </row>
    <row r="892">
      <c r="B892" s="4"/>
    </row>
    <row r="893">
      <c r="B893" s="4"/>
    </row>
    <row r="894">
      <c r="B894" s="4"/>
    </row>
    <row r="895">
      <c r="B895" s="4"/>
    </row>
    <row r="896">
      <c r="B896" s="4"/>
    </row>
    <row r="897">
      <c r="B897" s="4"/>
    </row>
    <row r="898">
      <c r="B898" s="4"/>
    </row>
    <row r="899">
      <c r="B899" s="4"/>
    </row>
    <row r="900">
      <c r="B900" s="4"/>
    </row>
    <row r="901">
      <c r="B901" s="4"/>
    </row>
    <row r="902">
      <c r="B902" s="4"/>
    </row>
    <row r="903">
      <c r="B903" s="4"/>
    </row>
    <row r="904">
      <c r="B904" s="4"/>
    </row>
    <row r="905">
      <c r="B905" s="4"/>
    </row>
    <row r="906">
      <c r="B906" s="4"/>
    </row>
    <row r="907">
      <c r="B907" s="4"/>
    </row>
    <row r="908">
      <c r="B908" s="4"/>
    </row>
    <row r="909">
      <c r="B909" s="4"/>
    </row>
    <row r="910">
      <c r="B910" s="4"/>
    </row>
    <row r="911">
      <c r="B911" s="4"/>
    </row>
    <row r="912">
      <c r="B912" s="4"/>
    </row>
    <row r="913">
      <c r="B913" s="4"/>
    </row>
    <row r="914">
      <c r="B914" s="4"/>
    </row>
    <row r="915">
      <c r="B915" s="4"/>
    </row>
    <row r="916">
      <c r="B916" s="4"/>
    </row>
    <row r="917">
      <c r="B917" s="4"/>
    </row>
    <row r="918">
      <c r="B918" s="4"/>
    </row>
    <row r="919">
      <c r="B919" s="4"/>
    </row>
    <row r="920">
      <c r="B920" s="4"/>
    </row>
    <row r="921">
      <c r="B921" s="4"/>
    </row>
    <row r="922">
      <c r="B922" s="4"/>
    </row>
    <row r="923">
      <c r="B923" s="4"/>
    </row>
    <row r="924">
      <c r="B924" s="4"/>
    </row>
    <row r="925">
      <c r="B925" s="4"/>
    </row>
    <row r="926">
      <c r="B926" s="4"/>
    </row>
    <row r="927">
      <c r="B927" s="4"/>
    </row>
    <row r="928">
      <c r="B928" s="4"/>
    </row>
    <row r="929">
      <c r="B929" s="4"/>
    </row>
    <row r="930">
      <c r="B930" s="4"/>
    </row>
    <row r="931">
      <c r="B931" s="4"/>
    </row>
    <row r="932">
      <c r="B932" s="4"/>
    </row>
    <row r="933">
      <c r="B933" s="4"/>
    </row>
    <row r="934">
      <c r="B934" s="4"/>
    </row>
    <row r="935">
      <c r="B935" s="4"/>
    </row>
    <row r="936">
      <c r="B936" s="4"/>
    </row>
    <row r="937">
      <c r="B937" s="4"/>
    </row>
    <row r="938">
      <c r="B938" s="4"/>
    </row>
    <row r="939">
      <c r="B939" s="4"/>
    </row>
    <row r="940">
      <c r="B940" s="4"/>
    </row>
    <row r="941">
      <c r="B941" s="4"/>
    </row>
    <row r="942">
      <c r="B942" s="4"/>
    </row>
    <row r="943">
      <c r="B943" s="4"/>
    </row>
    <row r="944">
      <c r="B944" s="4"/>
    </row>
    <row r="945">
      <c r="B945" s="4"/>
    </row>
    <row r="946">
      <c r="B946" s="4"/>
    </row>
    <row r="947">
      <c r="B947" s="4"/>
    </row>
    <row r="948">
      <c r="B948" s="4"/>
    </row>
    <row r="949">
      <c r="B949" s="4"/>
    </row>
    <row r="950">
      <c r="B950" s="4"/>
    </row>
    <row r="951">
      <c r="B951" s="4"/>
    </row>
    <row r="952">
      <c r="B952" s="4"/>
    </row>
    <row r="953">
      <c r="B953" s="4"/>
    </row>
    <row r="954">
      <c r="B954" s="4"/>
    </row>
    <row r="955">
      <c r="B955" s="4"/>
    </row>
    <row r="956">
      <c r="B956" s="4"/>
    </row>
    <row r="957">
      <c r="B957" s="4"/>
    </row>
    <row r="958">
      <c r="B958" s="4"/>
    </row>
    <row r="959">
      <c r="B959" s="4"/>
    </row>
    <row r="960">
      <c r="B960" s="4"/>
    </row>
    <row r="961">
      <c r="B961" s="4"/>
    </row>
    <row r="962">
      <c r="B962" s="4"/>
    </row>
    <row r="963">
      <c r="B963" s="4"/>
    </row>
    <row r="964">
      <c r="B964" s="4"/>
    </row>
    <row r="965">
      <c r="B965" s="4"/>
    </row>
    <row r="966">
      <c r="B966" s="4"/>
    </row>
    <row r="967">
      <c r="B967" s="4"/>
    </row>
    <row r="968">
      <c r="B968" s="4"/>
    </row>
    <row r="969">
      <c r="B969" s="4"/>
    </row>
    <row r="970">
      <c r="B970" s="4"/>
    </row>
    <row r="971">
      <c r="B971" s="4"/>
    </row>
    <row r="972">
      <c r="B972" s="4"/>
    </row>
    <row r="973">
      <c r="B973" s="4"/>
    </row>
    <row r="974">
      <c r="B974" s="4"/>
    </row>
    <row r="975">
      <c r="B975" s="4"/>
    </row>
    <row r="976">
      <c r="B976" s="4"/>
    </row>
    <row r="977">
      <c r="B977" s="4"/>
    </row>
    <row r="978">
      <c r="B978" s="4"/>
    </row>
    <row r="979">
      <c r="B979" s="4"/>
    </row>
    <row r="980">
      <c r="B980" s="4"/>
    </row>
    <row r="981">
      <c r="B981" s="4"/>
    </row>
    <row r="982">
      <c r="B982" s="4"/>
    </row>
    <row r="983">
      <c r="B983" s="4"/>
    </row>
    <row r="984">
      <c r="B984" s="4"/>
    </row>
    <row r="985">
      <c r="B985" s="4"/>
    </row>
    <row r="986">
      <c r="B986" s="4"/>
    </row>
    <row r="987">
      <c r="B987" s="4"/>
    </row>
    <row r="988">
      <c r="B988" s="4"/>
    </row>
    <row r="989">
      <c r="B989" s="4"/>
    </row>
    <row r="990">
      <c r="B990" s="4"/>
    </row>
    <row r="991">
      <c r="B991" s="4"/>
    </row>
    <row r="992">
      <c r="B992" s="4"/>
    </row>
    <row r="993">
      <c r="B993" s="4"/>
    </row>
    <row r="994">
      <c r="B994" s="4"/>
    </row>
    <row r="995">
      <c r="B995" s="4"/>
    </row>
    <row r="996">
      <c r="B996" s="4"/>
    </row>
    <row r="997">
      <c r="B997" s="4"/>
    </row>
    <row r="998">
      <c r="B998" s="4"/>
    </row>
    <row r="999">
      <c r="B999" s="4"/>
    </row>
    <row r="1000">
      <c r="B1000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IFERROR(__xludf.DUMMYFUNCTION("GOOGLEFINANCE(""NSE:ABB"",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IFERROR(__xludf.DUMMYFUNCTION("""COMPUTED_VALUE"""),4259.9)</f>
        <v>4259.9</v>
      </c>
      <c r="C2" s="6">
        <f>IFERROR(__xludf.DUMMYFUNCTION("""COMPUTED_VALUE"""),4399.0)</f>
        <v>4399</v>
      </c>
      <c r="D2" s="6">
        <f>IFERROR(__xludf.DUMMYFUNCTION("""COMPUTED_VALUE"""),4244.1)</f>
        <v>4244.1</v>
      </c>
      <c r="E2" s="6">
        <f>IFERROR(__xludf.DUMMYFUNCTION("""COMPUTED_VALUE"""),4291.45)</f>
        <v>4291.45</v>
      </c>
      <c r="F2" s="6">
        <f>IFERROR(__xludf.DUMMYFUNCTION("""COMPUTED_VALUE"""),1169663.0)</f>
        <v>1169663</v>
      </c>
    </row>
    <row r="3">
      <c r="A3" s="7">
        <f>IFERROR(__xludf.DUMMYFUNCTION("""COMPUTED_VALUE"""),45177.64583333333)</f>
        <v>45177.64583</v>
      </c>
      <c r="B3" s="6">
        <f>IFERROR(__xludf.DUMMYFUNCTION("""COMPUTED_VALUE"""),4300.0)</f>
        <v>4300</v>
      </c>
      <c r="C3" s="6">
        <f>IFERROR(__xludf.DUMMYFUNCTION("""COMPUTED_VALUE"""),4540.0)</f>
        <v>4540</v>
      </c>
      <c r="D3" s="6">
        <f>IFERROR(__xludf.DUMMYFUNCTION("""COMPUTED_VALUE"""),4245.25)</f>
        <v>4245.25</v>
      </c>
      <c r="E3" s="6">
        <f>IFERROR(__xludf.DUMMYFUNCTION("""COMPUTED_VALUE"""),4458.55)</f>
        <v>4458.55</v>
      </c>
      <c r="F3" s="6">
        <f>IFERROR(__xludf.DUMMYFUNCTION("""COMPUTED_VALUE"""),1534040.0)</f>
        <v>1534040</v>
      </c>
    </row>
    <row r="4">
      <c r="A4" s="7">
        <f>IFERROR(__xludf.DUMMYFUNCTION("""COMPUTED_VALUE"""),45184.64583333333)</f>
        <v>45184.64583</v>
      </c>
      <c r="B4" s="6">
        <f>IFERROR(__xludf.DUMMYFUNCTION("""COMPUTED_VALUE"""),4484.95)</f>
        <v>4484.95</v>
      </c>
      <c r="C4" s="6">
        <f>IFERROR(__xludf.DUMMYFUNCTION("""COMPUTED_VALUE"""),4678.0)</f>
        <v>4678</v>
      </c>
      <c r="D4" s="6">
        <f>IFERROR(__xludf.DUMMYFUNCTION("""COMPUTED_VALUE"""),4260.0)</f>
        <v>4260</v>
      </c>
      <c r="E4" s="6">
        <f>IFERROR(__xludf.DUMMYFUNCTION("""COMPUTED_VALUE"""),4379.4)</f>
        <v>4379.4</v>
      </c>
      <c r="F4" s="6">
        <f>IFERROR(__xludf.DUMMYFUNCTION("""COMPUTED_VALUE"""),1841816.0)</f>
        <v>1841816</v>
      </c>
    </row>
    <row r="5">
      <c r="A5" s="7">
        <f>IFERROR(__xludf.DUMMYFUNCTION("""COMPUTED_VALUE"""),45191.64583333333)</f>
        <v>45191.64583</v>
      </c>
      <c r="B5" s="6">
        <f>IFERROR(__xludf.DUMMYFUNCTION("""COMPUTED_VALUE"""),4377.0)</f>
        <v>4377</v>
      </c>
      <c r="C5" s="6">
        <f>IFERROR(__xludf.DUMMYFUNCTION("""COMPUTED_VALUE"""),4427.9)</f>
        <v>4427.9</v>
      </c>
      <c r="D5" s="6">
        <f>IFERROR(__xludf.DUMMYFUNCTION("""COMPUTED_VALUE"""),4165.0)</f>
        <v>4165</v>
      </c>
      <c r="E5" s="6">
        <f>IFERROR(__xludf.DUMMYFUNCTION("""COMPUTED_VALUE"""),4187.0)</f>
        <v>4187</v>
      </c>
      <c r="F5" s="6">
        <f>IFERROR(__xludf.DUMMYFUNCTION("""COMPUTED_VALUE"""),777111.0)</f>
        <v>777111</v>
      </c>
    </row>
    <row r="6">
      <c r="A6" s="7">
        <f>IFERROR(__xludf.DUMMYFUNCTION("""COMPUTED_VALUE"""),45198.64583333333)</f>
        <v>45198.64583</v>
      </c>
      <c r="B6" s="6">
        <f>IFERROR(__xludf.DUMMYFUNCTION("""COMPUTED_VALUE"""),4219.3)</f>
        <v>4219.3</v>
      </c>
      <c r="C6" s="6">
        <f>IFERROR(__xludf.DUMMYFUNCTION("""COMPUTED_VALUE"""),4250.0)</f>
        <v>4250</v>
      </c>
      <c r="D6" s="6">
        <f>IFERROR(__xludf.DUMMYFUNCTION("""COMPUTED_VALUE"""),4087.7)</f>
        <v>4087.7</v>
      </c>
      <c r="E6" s="6">
        <f>IFERROR(__xludf.DUMMYFUNCTION("""COMPUTED_VALUE"""),4098.25)</f>
        <v>4098.25</v>
      </c>
      <c r="F6" s="6">
        <f>IFERROR(__xludf.DUMMYFUNCTION("""COMPUTED_VALUE"""),1201902.0)</f>
        <v>1201902</v>
      </c>
    </row>
    <row r="7">
      <c r="A7" s="7">
        <f>IFERROR(__xludf.DUMMYFUNCTION("""COMPUTED_VALUE"""),45205.64583333333)</f>
        <v>45205.64583</v>
      </c>
      <c r="B7" s="6">
        <f>IFERROR(__xludf.DUMMYFUNCTION("""COMPUTED_VALUE"""),4103.95)</f>
        <v>4103.95</v>
      </c>
      <c r="C7" s="6">
        <f>IFERROR(__xludf.DUMMYFUNCTION("""COMPUTED_VALUE"""),4149.95)</f>
        <v>4149.95</v>
      </c>
      <c r="D7" s="6">
        <f>IFERROR(__xludf.DUMMYFUNCTION("""COMPUTED_VALUE"""),3978.35)</f>
        <v>3978.35</v>
      </c>
      <c r="E7" s="6">
        <f>IFERROR(__xludf.DUMMYFUNCTION("""COMPUTED_VALUE"""),4133.1)</f>
        <v>4133.1</v>
      </c>
      <c r="F7" s="6">
        <f>IFERROR(__xludf.DUMMYFUNCTION("""COMPUTED_VALUE"""),1260413.0)</f>
        <v>1260413</v>
      </c>
    </row>
    <row r="8">
      <c r="A8" s="7">
        <f>IFERROR(__xludf.DUMMYFUNCTION("""COMPUTED_VALUE"""),45212.64583333333)</f>
        <v>45212.64583</v>
      </c>
      <c r="B8" s="6">
        <f>IFERROR(__xludf.DUMMYFUNCTION("""COMPUTED_VALUE"""),4122.1)</f>
        <v>4122.1</v>
      </c>
      <c r="C8" s="6">
        <f>IFERROR(__xludf.DUMMYFUNCTION("""COMPUTED_VALUE"""),4236.95)</f>
        <v>4236.95</v>
      </c>
      <c r="D8" s="6">
        <f>IFERROR(__xludf.DUMMYFUNCTION("""COMPUTED_VALUE"""),4060.0)</f>
        <v>4060</v>
      </c>
      <c r="E8" s="6">
        <f>IFERROR(__xludf.DUMMYFUNCTION("""COMPUTED_VALUE"""),4229.2)</f>
        <v>4229.2</v>
      </c>
      <c r="F8" s="6">
        <f>IFERROR(__xludf.DUMMYFUNCTION("""COMPUTED_VALUE"""),922542.0)</f>
        <v>922542</v>
      </c>
    </row>
    <row r="9">
      <c r="A9" s="7">
        <f>IFERROR(__xludf.DUMMYFUNCTION("""COMPUTED_VALUE"""),45219.64583333333)</f>
        <v>45219.64583</v>
      </c>
      <c r="B9" s="6">
        <f>IFERROR(__xludf.DUMMYFUNCTION("""COMPUTED_VALUE"""),4239.95)</f>
        <v>4239.95</v>
      </c>
      <c r="C9" s="6">
        <f>IFERROR(__xludf.DUMMYFUNCTION("""COMPUTED_VALUE"""),4339.4)</f>
        <v>4339.4</v>
      </c>
      <c r="D9" s="6">
        <f>IFERROR(__xludf.DUMMYFUNCTION("""COMPUTED_VALUE"""),4001.0)</f>
        <v>4001</v>
      </c>
      <c r="E9" s="6">
        <f>IFERROR(__xludf.DUMMYFUNCTION("""COMPUTED_VALUE"""),4015.3)</f>
        <v>4015.3</v>
      </c>
      <c r="F9" s="6">
        <f>IFERROR(__xludf.DUMMYFUNCTION("""COMPUTED_VALUE"""),1610537.0)</f>
        <v>1610537</v>
      </c>
    </row>
    <row r="10">
      <c r="A10" s="7">
        <f>IFERROR(__xludf.DUMMYFUNCTION("""COMPUTED_VALUE"""),45226.64583333333)</f>
        <v>45226.64583</v>
      </c>
      <c r="B10" s="6">
        <f>IFERROR(__xludf.DUMMYFUNCTION("""COMPUTED_VALUE"""),4021.7)</f>
        <v>4021.7</v>
      </c>
      <c r="C10" s="6">
        <f>IFERROR(__xludf.DUMMYFUNCTION("""COMPUTED_VALUE"""),4085.5)</f>
        <v>4085.5</v>
      </c>
      <c r="D10" s="6">
        <f>IFERROR(__xludf.DUMMYFUNCTION("""COMPUTED_VALUE"""),3850.0)</f>
        <v>3850</v>
      </c>
      <c r="E10" s="6">
        <f>IFERROR(__xludf.DUMMYFUNCTION("""COMPUTED_VALUE"""),4008.5)</f>
        <v>4008.5</v>
      </c>
      <c r="F10" s="6">
        <f>IFERROR(__xludf.DUMMYFUNCTION("""COMPUTED_VALUE"""),988722.0)</f>
        <v>988722</v>
      </c>
    </row>
    <row r="11">
      <c r="A11" s="7">
        <f>IFERROR(__xludf.DUMMYFUNCTION("""COMPUTED_VALUE"""),45233.64583333333)</f>
        <v>45233.64583</v>
      </c>
      <c r="B11" s="6">
        <f>IFERROR(__xludf.DUMMYFUNCTION("""COMPUTED_VALUE"""),4036.6)</f>
        <v>4036.6</v>
      </c>
      <c r="C11" s="6">
        <f>IFERROR(__xludf.DUMMYFUNCTION("""COMPUTED_VALUE"""),4180.0)</f>
        <v>4180</v>
      </c>
      <c r="D11" s="6">
        <f>IFERROR(__xludf.DUMMYFUNCTION("""COMPUTED_VALUE"""),3990.55)</f>
        <v>3990.55</v>
      </c>
      <c r="E11" s="6">
        <f>IFERROR(__xludf.DUMMYFUNCTION("""COMPUTED_VALUE"""),4167.5)</f>
        <v>4167.5</v>
      </c>
      <c r="F11" s="6">
        <f>IFERROR(__xludf.DUMMYFUNCTION("""COMPUTED_VALUE"""),861081.0)</f>
        <v>861081</v>
      </c>
    </row>
    <row r="12">
      <c r="A12" s="7">
        <f>IFERROR(__xludf.DUMMYFUNCTION("""COMPUTED_VALUE"""),45240.64583333333)</f>
        <v>45240.64583</v>
      </c>
      <c r="B12" s="6">
        <f>IFERROR(__xludf.DUMMYFUNCTION("""COMPUTED_VALUE"""),4195.0)</f>
        <v>4195</v>
      </c>
      <c r="C12" s="6">
        <f>IFERROR(__xludf.DUMMYFUNCTION("""COMPUTED_VALUE"""),4382.95)</f>
        <v>4382.95</v>
      </c>
      <c r="D12" s="6">
        <f>IFERROR(__xludf.DUMMYFUNCTION("""COMPUTED_VALUE"""),4141.3)</f>
        <v>4141.3</v>
      </c>
      <c r="E12" s="6">
        <f>IFERROR(__xludf.DUMMYFUNCTION("""COMPUTED_VALUE"""),4239.3)</f>
        <v>4239.3</v>
      </c>
      <c r="F12" s="6">
        <f>IFERROR(__xludf.DUMMYFUNCTION("""COMPUTED_VALUE"""),1733608.0)</f>
        <v>1733608</v>
      </c>
    </row>
    <row r="13">
      <c r="A13" s="7">
        <f>IFERROR(__xludf.DUMMYFUNCTION("""COMPUTED_VALUE"""),45247.64583333333)</f>
        <v>45247.64583</v>
      </c>
      <c r="B13" s="6">
        <f>IFERROR(__xludf.DUMMYFUNCTION("""COMPUTED_VALUE"""),4265.95)</f>
        <v>4265.95</v>
      </c>
      <c r="C13" s="6">
        <f>IFERROR(__xludf.DUMMYFUNCTION("""COMPUTED_VALUE"""),4307.85)</f>
        <v>4307.85</v>
      </c>
      <c r="D13" s="6">
        <f>IFERROR(__xludf.DUMMYFUNCTION("""COMPUTED_VALUE"""),4202.55)</f>
        <v>4202.55</v>
      </c>
      <c r="E13" s="6">
        <f>IFERROR(__xludf.DUMMYFUNCTION("""COMPUTED_VALUE"""),4285.05)</f>
        <v>4285.05</v>
      </c>
      <c r="F13" s="6">
        <f>IFERROR(__xludf.DUMMYFUNCTION("""COMPUTED_VALUE"""),536624.0)</f>
        <v>536624</v>
      </c>
    </row>
    <row r="14">
      <c r="A14" s="7">
        <f>IFERROR(__xludf.DUMMYFUNCTION("""COMPUTED_VALUE"""),45254.64583333333)</f>
        <v>45254.64583</v>
      </c>
      <c r="B14" s="6">
        <f>IFERROR(__xludf.DUMMYFUNCTION("""COMPUTED_VALUE"""),4316.0)</f>
        <v>4316</v>
      </c>
      <c r="C14" s="6">
        <f>IFERROR(__xludf.DUMMYFUNCTION("""COMPUTED_VALUE"""),4429.9)</f>
        <v>4429.9</v>
      </c>
      <c r="D14" s="6">
        <f>IFERROR(__xludf.DUMMYFUNCTION("""COMPUTED_VALUE"""),4220.0)</f>
        <v>4220</v>
      </c>
      <c r="E14" s="6">
        <f>IFERROR(__xludf.DUMMYFUNCTION("""COMPUTED_VALUE"""),4262.35)</f>
        <v>4262.35</v>
      </c>
      <c r="F14" s="6">
        <f>IFERROR(__xludf.DUMMYFUNCTION("""COMPUTED_VALUE"""),964840.0)</f>
        <v>964840</v>
      </c>
    </row>
    <row r="15">
      <c r="A15" s="7">
        <f>IFERROR(__xludf.DUMMYFUNCTION("""COMPUTED_VALUE"""),45261.64583333333)</f>
        <v>45261.64583</v>
      </c>
      <c r="B15" s="6">
        <f>IFERROR(__xludf.DUMMYFUNCTION("""COMPUTED_VALUE"""),4289.0)</f>
        <v>4289</v>
      </c>
      <c r="C15" s="6">
        <f>IFERROR(__xludf.DUMMYFUNCTION("""COMPUTED_VALUE"""),4465.0)</f>
        <v>4465</v>
      </c>
      <c r="D15" s="6">
        <f>IFERROR(__xludf.DUMMYFUNCTION("""COMPUTED_VALUE"""),4195.55)</f>
        <v>4195.55</v>
      </c>
      <c r="E15" s="6">
        <f>IFERROR(__xludf.DUMMYFUNCTION("""COMPUTED_VALUE"""),4387.25)</f>
        <v>4387.25</v>
      </c>
      <c r="F15" s="6">
        <f>IFERROR(__xludf.DUMMYFUNCTION("""COMPUTED_VALUE"""),972440.0)</f>
        <v>972440</v>
      </c>
    </row>
    <row r="16">
      <c r="A16" s="7">
        <f>IFERROR(__xludf.DUMMYFUNCTION("""COMPUTED_VALUE"""),45268.64583333333)</f>
        <v>45268.64583</v>
      </c>
      <c r="B16" s="6">
        <f>IFERROR(__xludf.DUMMYFUNCTION("""COMPUTED_VALUE"""),4419.75)</f>
        <v>4419.75</v>
      </c>
      <c r="C16" s="6">
        <f>IFERROR(__xludf.DUMMYFUNCTION("""COMPUTED_VALUE"""),4885.45)</f>
        <v>4885.45</v>
      </c>
      <c r="D16" s="6">
        <f>IFERROR(__xludf.DUMMYFUNCTION("""COMPUTED_VALUE"""),4419.1)</f>
        <v>4419.1</v>
      </c>
      <c r="E16" s="6">
        <f>IFERROR(__xludf.DUMMYFUNCTION("""COMPUTED_VALUE"""),4746.8)</f>
        <v>4746.8</v>
      </c>
      <c r="F16" s="6">
        <f>IFERROR(__xludf.DUMMYFUNCTION("""COMPUTED_VALUE"""),2317852.0)</f>
        <v>2317852</v>
      </c>
    </row>
    <row r="17">
      <c r="A17" s="7">
        <f>IFERROR(__xludf.DUMMYFUNCTION("""COMPUTED_VALUE"""),45275.64583333333)</f>
        <v>45275.64583</v>
      </c>
      <c r="B17" s="6">
        <f>IFERROR(__xludf.DUMMYFUNCTION("""COMPUTED_VALUE"""),4778.0)</f>
        <v>4778</v>
      </c>
      <c r="C17" s="6">
        <f>IFERROR(__xludf.DUMMYFUNCTION("""COMPUTED_VALUE"""),4929.55)</f>
        <v>4929.55</v>
      </c>
      <c r="D17" s="6">
        <f>IFERROR(__xludf.DUMMYFUNCTION("""COMPUTED_VALUE"""),4675.05)</f>
        <v>4675.05</v>
      </c>
      <c r="E17" s="6">
        <f>IFERROR(__xludf.DUMMYFUNCTION("""COMPUTED_VALUE"""),4835.1)</f>
        <v>4835.1</v>
      </c>
      <c r="F17" s="6">
        <f>IFERROR(__xludf.DUMMYFUNCTION("""COMPUTED_VALUE"""),1038728.0)</f>
        <v>1038728</v>
      </c>
    </row>
    <row r="18">
      <c r="A18" s="7">
        <f>IFERROR(__xludf.DUMMYFUNCTION("""COMPUTED_VALUE"""),45282.64583333333)</f>
        <v>45282.64583</v>
      </c>
      <c r="B18" s="6">
        <f>IFERROR(__xludf.DUMMYFUNCTION("""COMPUTED_VALUE"""),4834.0)</f>
        <v>4834</v>
      </c>
      <c r="C18" s="6">
        <f>IFERROR(__xludf.DUMMYFUNCTION("""COMPUTED_VALUE"""),4957.0)</f>
        <v>4957</v>
      </c>
      <c r="D18" s="6">
        <f>IFERROR(__xludf.DUMMYFUNCTION("""COMPUTED_VALUE"""),4529.1)</f>
        <v>4529.1</v>
      </c>
      <c r="E18" s="6">
        <f>IFERROR(__xludf.DUMMYFUNCTION("""COMPUTED_VALUE"""),4759.0)</f>
        <v>4759</v>
      </c>
      <c r="F18" s="6">
        <f>IFERROR(__xludf.DUMMYFUNCTION("""COMPUTED_VALUE"""),1274576.0)</f>
        <v>1274576</v>
      </c>
    </row>
    <row r="19">
      <c r="A19" s="7">
        <f>IFERROR(__xludf.DUMMYFUNCTION("""COMPUTED_VALUE"""),45289.64583333333)</f>
        <v>45289.64583</v>
      </c>
      <c r="B19" s="6">
        <f>IFERROR(__xludf.DUMMYFUNCTION("""COMPUTED_VALUE"""),4771.35)</f>
        <v>4771.35</v>
      </c>
      <c r="C19" s="6">
        <f>IFERROR(__xludf.DUMMYFUNCTION("""COMPUTED_VALUE"""),4824.0)</f>
        <v>4824</v>
      </c>
      <c r="D19" s="6">
        <f>IFERROR(__xludf.DUMMYFUNCTION("""COMPUTED_VALUE"""),4618.6)</f>
        <v>4618.6</v>
      </c>
      <c r="E19" s="6">
        <f>IFERROR(__xludf.DUMMYFUNCTION("""COMPUTED_VALUE"""),4674.85)</f>
        <v>4674.85</v>
      </c>
      <c r="F19" s="6">
        <f>IFERROR(__xludf.DUMMYFUNCTION("""COMPUTED_VALUE"""),912372.0)</f>
        <v>912372</v>
      </c>
    </row>
    <row r="20">
      <c r="A20" s="7">
        <f>IFERROR(__xludf.DUMMYFUNCTION("""COMPUTED_VALUE"""),45296.64583333333)</f>
        <v>45296.64583</v>
      </c>
      <c r="B20" s="6">
        <f>IFERROR(__xludf.DUMMYFUNCTION("""COMPUTED_VALUE"""),4674.85)</f>
        <v>4674.85</v>
      </c>
      <c r="C20" s="6">
        <f>IFERROR(__xludf.DUMMYFUNCTION("""COMPUTED_VALUE"""),4900.0)</f>
        <v>4900</v>
      </c>
      <c r="D20" s="6">
        <f>IFERROR(__xludf.DUMMYFUNCTION("""COMPUTED_VALUE"""),4600.0)</f>
        <v>4600</v>
      </c>
      <c r="E20" s="6">
        <f>IFERROR(__xludf.DUMMYFUNCTION("""COMPUTED_VALUE"""),4832.35)</f>
        <v>4832.35</v>
      </c>
      <c r="F20" s="6">
        <f>IFERROR(__xludf.DUMMYFUNCTION("""COMPUTED_VALUE"""),940861.0)</f>
        <v>940861</v>
      </c>
    </row>
    <row r="21">
      <c r="A21" s="7">
        <f>IFERROR(__xludf.DUMMYFUNCTION("""COMPUTED_VALUE"""),45303.64583333333)</f>
        <v>45303.64583</v>
      </c>
      <c r="B21" s="6">
        <f>IFERROR(__xludf.DUMMYFUNCTION("""COMPUTED_VALUE"""),4856.0)</f>
        <v>4856</v>
      </c>
      <c r="C21" s="6">
        <f>IFERROR(__xludf.DUMMYFUNCTION("""COMPUTED_VALUE"""),4990.05)</f>
        <v>4990.05</v>
      </c>
      <c r="D21" s="6">
        <f>IFERROR(__xludf.DUMMYFUNCTION("""COMPUTED_VALUE"""),4740.0)</f>
        <v>4740</v>
      </c>
      <c r="E21" s="6">
        <f>IFERROR(__xludf.DUMMYFUNCTION("""COMPUTED_VALUE"""),4783.95)</f>
        <v>4783.95</v>
      </c>
      <c r="F21" s="6">
        <f>IFERROR(__xludf.DUMMYFUNCTION("""COMPUTED_VALUE"""),1106229.0)</f>
        <v>1106229</v>
      </c>
    </row>
    <row r="22">
      <c r="A22" s="7">
        <f>IFERROR(__xludf.DUMMYFUNCTION("""COMPUTED_VALUE"""),45316.64583333333)</f>
        <v>45316.64583</v>
      </c>
      <c r="B22" s="6">
        <f>IFERROR(__xludf.DUMMYFUNCTION("""COMPUTED_VALUE"""),4750.95)</f>
        <v>4750.95</v>
      </c>
      <c r="C22" s="6">
        <f>IFERROR(__xludf.DUMMYFUNCTION("""COMPUTED_VALUE"""),4897.0)</f>
        <v>4897</v>
      </c>
      <c r="D22" s="6">
        <f>IFERROR(__xludf.DUMMYFUNCTION("""COMPUTED_VALUE"""),4613.8)</f>
        <v>4613.8</v>
      </c>
      <c r="E22" s="6">
        <f>IFERROR(__xludf.DUMMYFUNCTION("""COMPUTED_VALUE"""),4739.3)</f>
        <v>4739.3</v>
      </c>
      <c r="F22" s="6">
        <f>IFERROR(__xludf.DUMMYFUNCTION("""COMPUTED_VALUE"""),756742.0)</f>
        <v>756742</v>
      </c>
    </row>
    <row r="23">
      <c r="A23" s="7">
        <f>IFERROR(__xludf.DUMMYFUNCTION("""COMPUTED_VALUE"""),45324.64583333333)</f>
        <v>45324.64583</v>
      </c>
      <c r="B23" s="6">
        <f>IFERROR(__xludf.DUMMYFUNCTION("""COMPUTED_VALUE"""),4751.0)</f>
        <v>4751</v>
      </c>
      <c r="C23" s="6">
        <f>IFERROR(__xludf.DUMMYFUNCTION("""COMPUTED_VALUE"""),4860.0)</f>
        <v>4860</v>
      </c>
      <c r="D23" s="6">
        <f>IFERROR(__xludf.DUMMYFUNCTION("""COMPUTED_VALUE"""),4340.3)</f>
        <v>4340.3</v>
      </c>
      <c r="E23" s="6">
        <f>IFERROR(__xludf.DUMMYFUNCTION("""COMPUTED_VALUE"""),4480.45)</f>
        <v>4480.45</v>
      </c>
      <c r="F23" s="6">
        <f>IFERROR(__xludf.DUMMYFUNCTION("""COMPUTED_VALUE"""),1674757.0)</f>
        <v>1674757</v>
      </c>
    </row>
    <row r="24">
      <c r="A24" s="7">
        <f>IFERROR(__xludf.DUMMYFUNCTION("""COMPUTED_VALUE"""),45331.64583333333)</f>
        <v>45331.64583</v>
      </c>
      <c r="B24" s="6">
        <f>IFERROR(__xludf.DUMMYFUNCTION("""COMPUTED_VALUE"""),4500.0)</f>
        <v>4500</v>
      </c>
      <c r="C24" s="6">
        <f>IFERROR(__xludf.DUMMYFUNCTION("""COMPUTED_VALUE"""),4629.3)</f>
        <v>4629.3</v>
      </c>
      <c r="D24" s="6">
        <f>IFERROR(__xludf.DUMMYFUNCTION("""COMPUTED_VALUE"""),4343.75)</f>
        <v>4343.75</v>
      </c>
      <c r="E24" s="6">
        <f>IFERROR(__xludf.DUMMYFUNCTION("""COMPUTED_VALUE"""),4489.45)</f>
        <v>4489.45</v>
      </c>
      <c r="F24" s="6">
        <f>IFERROR(__xludf.DUMMYFUNCTION("""COMPUTED_VALUE"""),1085749.0)</f>
        <v>1085749</v>
      </c>
    </row>
    <row r="25">
      <c r="A25" s="7">
        <f>IFERROR(__xludf.DUMMYFUNCTION("""COMPUTED_VALUE"""),45338.64583333333)</f>
        <v>45338.64583</v>
      </c>
      <c r="B25" s="6">
        <f>IFERROR(__xludf.DUMMYFUNCTION("""COMPUTED_VALUE"""),4484.9)</f>
        <v>4484.9</v>
      </c>
      <c r="C25" s="6">
        <f>IFERROR(__xludf.DUMMYFUNCTION("""COMPUTED_VALUE"""),4621.1)</f>
        <v>4621.1</v>
      </c>
      <c r="D25" s="6">
        <f>IFERROR(__xludf.DUMMYFUNCTION("""COMPUTED_VALUE"""),4375.8)</f>
        <v>4375.8</v>
      </c>
      <c r="E25" s="6">
        <f>IFERROR(__xludf.DUMMYFUNCTION("""COMPUTED_VALUE"""),4524.15)</f>
        <v>4524.15</v>
      </c>
      <c r="F25" s="6">
        <f>IFERROR(__xludf.DUMMYFUNCTION("""COMPUTED_VALUE"""),1283549.0)</f>
        <v>1283549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IFERROR(__xludf.DUMMYFUNCTION("""COMPUTED_VALUE"""),4540.0)</f>
        <v>4540</v>
      </c>
      <c r="C26" s="6">
        <f>IFERROR(__xludf.DUMMYFUNCTION("""COMPUTED_VALUE"""),5518.1)</f>
        <v>5518.1</v>
      </c>
      <c r="D26" s="6">
        <f>IFERROR(__xludf.DUMMYFUNCTION("""COMPUTED_VALUE"""),4449.15)</f>
        <v>4449.15</v>
      </c>
      <c r="E26" s="6">
        <f>IFERROR(__xludf.DUMMYFUNCTION("""COMPUTED_VALUE"""),5392.05)</f>
        <v>5392.05</v>
      </c>
      <c r="F26" s="6">
        <f>IFERROR(__xludf.DUMMYFUNCTION("""COMPUTED_VALUE"""),1.0530469E7)</f>
        <v>10530469</v>
      </c>
    </row>
    <row r="27">
      <c r="A27" s="7">
        <f>IFERROR(__xludf.DUMMYFUNCTION("""COMPUTED_VALUE"""),45358.64583333333)</f>
        <v>45358.64583</v>
      </c>
      <c r="B27" s="6">
        <f>IFERROR(__xludf.DUMMYFUNCTION("""COMPUTED_VALUE"""),5490.0)</f>
        <v>5490</v>
      </c>
      <c r="C27" s="6">
        <f>IFERROR(__xludf.DUMMYFUNCTION("""COMPUTED_VALUE"""),5792.0)</f>
        <v>5792</v>
      </c>
      <c r="D27" s="6">
        <f>IFERROR(__xludf.DUMMYFUNCTION("""COMPUTED_VALUE"""),5488.85)</f>
        <v>5488.85</v>
      </c>
      <c r="E27" s="6">
        <f>IFERROR(__xludf.DUMMYFUNCTION("""COMPUTED_VALUE"""),5770.75)</f>
        <v>5770.75</v>
      </c>
      <c r="F27" s="6">
        <f>IFERROR(__xludf.DUMMYFUNCTION("""COMPUTED_VALUE"""),1515279.0)</f>
        <v>1515279</v>
      </c>
    </row>
    <row r="28">
      <c r="A28" s="7">
        <f>IFERROR(__xludf.DUMMYFUNCTION("""COMPUTED_VALUE"""),45366.64583333333)</f>
        <v>45366.64583</v>
      </c>
      <c r="B28" s="6">
        <f>IFERROR(__xludf.DUMMYFUNCTION("""COMPUTED_VALUE"""),5801.05)</f>
        <v>5801.05</v>
      </c>
      <c r="C28" s="6">
        <f>IFERROR(__xludf.DUMMYFUNCTION("""COMPUTED_VALUE"""),5933.9)</f>
        <v>5933.9</v>
      </c>
      <c r="D28" s="6">
        <f>IFERROR(__xludf.DUMMYFUNCTION("""COMPUTED_VALUE"""),5520.0)</f>
        <v>5520</v>
      </c>
      <c r="E28" s="6">
        <f>IFERROR(__xludf.DUMMYFUNCTION("""COMPUTED_VALUE"""),5616.55)</f>
        <v>5616.55</v>
      </c>
      <c r="F28" s="6">
        <f>IFERROR(__xludf.DUMMYFUNCTION("""COMPUTED_VALUE"""),2623491.0)</f>
        <v>2623491</v>
      </c>
    </row>
    <row r="29">
      <c r="A29" s="7">
        <f>IFERROR(__xludf.DUMMYFUNCTION("""COMPUTED_VALUE"""),45373.64583333333)</f>
        <v>45373.64583</v>
      </c>
      <c r="B29" s="6">
        <f>IFERROR(__xludf.DUMMYFUNCTION("""COMPUTED_VALUE"""),5645.0)</f>
        <v>5645</v>
      </c>
      <c r="C29" s="6">
        <f>IFERROR(__xludf.DUMMYFUNCTION("""COMPUTED_VALUE"""),6034.05)</f>
        <v>6034.05</v>
      </c>
      <c r="D29" s="6">
        <f>IFERROR(__xludf.DUMMYFUNCTION("""COMPUTED_VALUE"""),5560.0)</f>
        <v>5560</v>
      </c>
      <c r="E29" s="6">
        <f>IFERROR(__xludf.DUMMYFUNCTION("""COMPUTED_VALUE"""),5967.4)</f>
        <v>5967.4</v>
      </c>
      <c r="F29" s="6">
        <f>IFERROR(__xludf.DUMMYFUNCTION("""COMPUTED_VALUE"""),1720350.0)</f>
        <v>1720350</v>
      </c>
    </row>
    <row r="30">
      <c r="A30" s="7">
        <f>IFERROR(__xludf.DUMMYFUNCTION("""COMPUTED_VALUE"""),45379.64583333333)</f>
        <v>45379.64583</v>
      </c>
      <c r="B30" s="6">
        <f>IFERROR(__xludf.DUMMYFUNCTION("""COMPUTED_VALUE"""),5881.0)</f>
        <v>5881</v>
      </c>
      <c r="C30" s="6">
        <f>IFERROR(__xludf.DUMMYFUNCTION("""COMPUTED_VALUE"""),6471.95)</f>
        <v>6471.95</v>
      </c>
      <c r="D30" s="6">
        <f>IFERROR(__xludf.DUMMYFUNCTION("""COMPUTED_VALUE"""),5875.3)</f>
        <v>5875.3</v>
      </c>
      <c r="E30" s="6">
        <f>IFERROR(__xludf.DUMMYFUNCTION("""COMPUTED_VALUE"""),6360.85)</f>
        <v>6360.85</v>
      </c>
      <c r="F30" s="6">
        <f>IFERROR(__xludf.DUMMYFUNCTION("""COMPUTED_VALUE"""),2337528.0)</f>
        <v>2337528</v>
      </c>
    </row>
    <row r="31">
      <c r="A31" s="7">
        <f>IFERROR(__xludf.DUMMYFUNCTION("""COMPUTED_VALUE"""),45387.64583333333)</f>
        <v>45387.64583</v>
      </c>
      <c r="B31" s="6">
        <f>IFERROR(__xludf.DUMMYFUNCTION("""COMPUTED_VALUE"""),6422.45)</f>
        <v>6422.45</v>
      </c>
      <c r="C31" s="6">
        <f>IFERROR(__xludf.DUMMYFUNCTION("""COMPUTED_VALUE"""),6683.7)</f>
        <v>6683.7</v>
      </c>
      <c r="D31" s="6">
        <f>IFERROR(__xludf.DUMMYFUNCTION("""COMPUTED_VALUE"""),6372.65)</f>
        <v>6372.65</v>
      </c>
      <c r="E31" s="6">
        <f>IFERROR(__xludf.DUMMYFUNCTION("""COMPUTED_VALUE"""),6669.85)</f>
        <v>6669.85</v>
      </c>
      <c r="F31" s="6">
        <f>IFERROR(__xludf.DUMMYFUNCTION("""COMPUTED_VALUE"""),1601312.0)</f>
        <v>1601312</v>
      </c>
    </row>
    <row r="32">
      <c r="A32" s="7">
        <f>IFERROR(__xludf.DUMMYFUNCTION("""COMPUTED_VALUE"""),45394.64583333333)</f>
        <v>45394.64583</v>
      </c>
      <c r="B32" s="6">
        <f>IFERROR(__xludf.DUMMYFUNCTION("""COMPUTED_VALUE"""),6670.0)</f>
        <v>6670</v>
      </c>
      <c r="C32" s="6">
        <f>IFERROR(__xludf.DUMMYFUNCTION("""COMPUTED_VALUE"""),6773.1)</f>
        <v>6773.1</v>
      </c>
      <c r="D32" s="6">
        <f>IFERROR(__xludf.DUMMYFUNCTION("""COMPUTED_VALUE"""),6495.65)</f>
        <v>6495.65</v>
      </c>
      <c r="E32" s="6">
        <f>IFERROR(__xludf.DUMMYFUNCTION("""COMPUTED_VALUE"""),6752.95)</f>
        <v>6752.95</v>
      </c>
      <c r="F32" s="6">
        <f>IFERROR(__xludf.DUMMYFUNCTION("""COMPUTED_VALUE"""),1148959.0)</f>
        <v>1148959</v>
      </c>
    </row>
    <row r="33">
      <c r="A33" s="7">
        <f>IFERROR(__xludf.DUMMYFUNCTION("""COMPUTED_VALUE"""),45401.64583333333)</f>
        <v>45401.64583</v>
      </c>
      <c r="B33" s="6">
        <f>IFERROR(__xludf.DUMMYFUNCTION("""COMPUTED_VALUE"""),6660.0)</f>
        <v>6660</v>
      </c>
      <c r="C33" s="6">
        <f>IFERROR(__xludf.DUMMYFUNCTION("""COMPUTED_VALUE"""),6729.05)</f>
        <v>6729.05</v>
      </c>
      <c r="D33" s="6">
        <f>IFERROR(__xludf.DUMMYFUNCTION("""COMPUTED_VALUE"""),6245.0)</f>
        <v>6245</v>
      </c>
      <c r="E33" s="6">
        <f>IFERROR(__xludf.DUMMYFUNCTION("""COMPUTED_VALUE"""),6292.6)</f>
        <v>6292.6</v>
      </c>
      <c r="F33" s="6">
        <f>IFERROR(__xludf.DUMMYFUNCTION("""COMPUTED_VALUE"""),1929931.0)</f>
        <v>1929931</v>
      </c>
    </row>
    <row r="34">
      <c r="A34" s="7">
        <f>IFERROR(__xludf.DUMMYFUNCTION("""COMPUTED_VALUE"""),45408.64583333333)</f>
        <v>45408.64583</v>
      </c>
      <c r="B34" s="6">
        <f>IFERROR(__xludf.DUMMYFUNCTION("""COMPUTED_VALUE"""),6375.0)</f>
        <v>6375</v>
      </c>
      <c r="C34" s="6">
        <f>IFERROR(__xludf.DUMMYFUNCTION("""COMPUTED_VALUE"""),6569.8)</f>
        <v>6569.8</v>
      </c>
      <c r="D34" s="6">
        <f>IFERROR(__xludf.DUMMYFUNCTION("""COMPUTED_VALUE"""),6295.4)</f>
        <v>6295.4</v>
      </c>
      <c r="E34" s="6">
        <f>IFERROR(__xludf.DUMMYFUNCTION("""COMPUTED_VALUE"""),6410.45)</f>
        <v>6410.45</v>
      </c>
      <c r="F34" s="6">
        <f>IFERROR(__xludf.DUMMYFUNCTION("""COMPUTED_VALUE"""),1599853.0)</f>
        <v>1599853</v>
      </c>
    </row>
    <row r="35">
      <c r="A35" s="7">
        <f>IFERROR(__xludf.DUMMYFUNCTION("""COMPUTED_VALUE"""),45415.64583333333)</f>
        <v>45415.64583</v>
      </c>
      <c r="B35" s="6">
        <f>IFERROR(__xludf.DUMMYFUNCTION("""COMPUTED_VALUE"""),6460.6)</f>
        <v>6460.6</v>
      </c>
      <c r="C35" s="6">
        <f>IFERROR(__xludf.DUMMYFUNCTION("""COMPUTED_VALUE"""),6790.0)</f>
        <v>6790</v>
      </c>
      <c r="D35" s="6">
        <f>IFERROR(__xludf.DUMMYFUNCTION("""COMPUTED_VALUE"""),6349.2)</f>
        <v>6349.2</v>
      </c>
      <c r="E35" s="6">
        <f>IFERROR(__xludf.DUMMYFUNCTION("""COMPUTED_VALUE"""),6698.55)</f>
        <v>6698.55</v>
      </c>
      <c r="F35" s="6">
        <f>IFERROR(__xludf.DUMMYFUNCTION("""COMPUTED_VALUE"""),1208418.0)</f>
        <v>1208418</v>
      </c>
    </row>
    <row r="36">
      <c r="A36" s="7">
        <f>IFERROR(__xludf.DUMMYFUNCTION("""COMPUTED_VALUE"""),45422.64583333333)</f>
        <v>45422.64583</v>
      </c>
      <c r="B36" s="6">
        <f>IFERROR(__xludf.DUMMYFUNCTION("""COMPUTED_VALUE"""),6710.0)</f>
        <v>6710</v>
      </c>
      <c r="C36" s="6">
        <f>IFERROR(__xludf.DUMMYFUNCTION("""COMPUTED_VALUE"""),7218.0)</f>
        <v>7218</v>
      </c>
      <c r="D36" s="6">
        <f>IFERROR(__xludf.DUMMYFUNCTION("""COMPUTED_VALUE"""),6710.0)</f>
        <v>6710</v>
      </c>
      <c r="E36" s="6">
        <f>IFERROR(__xludf.DUMMYFUNCTION("""COMPUTED_VALUE"""),7178.35)</f>
        <v>7178.35</v>
      </c>
      <c r="F36" s="6">
        <f>IFERROR(__xludf.DUMMYFUNCTION("""COMPUTED_VALUE"""),2541595.0)</f>
        <v>2541595</v>
      </c>
    </row>
    <row r="37">
      <c r="A37" s="7">
        <f>IFERROR(__xludf.DUMMYFUNCTION("""COMPUTED_VALUE"""),45436.64583333333)</f>
        <v>45436.64583</v>
      </c>
      <c r="B37" s="6">
        <f>IFERROR(__xludf.DUMMYFUNCTION("""COMPUTED_VALUE"""),8350.0)</f>
        <v>8350</v>
      </c>
      <c r="C37" s="6">
        <f>IFERROR(__xludf.DUMMYFUNCTION("""COMPUTED_VALUE"""),8599.8)</f>
        <v>8599.8</v>
      </c>
      <c r="D37" s="6">
        <f>IFERROR(__xludf.DUMMYFUNCTION("""COMPUTED_VALUE"""),8350.0)</f>
        <v>8350</v>
      </c>
      <c r="E37" s="6">
        <f>IFERROR(__xludf.DUMMYFUNCTION("""COMPUTED_VALUE"""),8422.2)</f>
        <v>8422.2</v>
      </c>
      <c r="F37" s="6">
        <f>IFERROR(__xludf.DUMMYFUNCTION("""COMPUTED_VALUE"""),1068769.0)</f>
        <v>1068769</v>
      </c>
    </row>
    <row r="38">
      <c r="A38" s="7">
        <f>IFERROR(__xludf.DUMMYFUNCTION("""COMPUTED_VALUE"""),45443.64583333333)</f>
        <v>45443.64583</v>
      </c>
      <c r="B38" s="6">
        <f>IFERROR(__xludf.DUMMYFUNCTION("""COMPUTED_VALUE"""),8459.95)</f>
        <v>8459.95</v>
      </c>
      <c r="C38" s="6">
        <f>IFERROR(__xludf.DUMMYFUNCTION("""COMPUTED_VALUE"""),8470.0)</f>
        <v>8470</v>
      </c>
      <c r="D38" s="6">
        <f>IFERROR(__xludf.DUMMYFUNCTION("""COMPUTED_VALUE"""),8109.15)</f>
        <v>8109.15</v>
      </c>
      <c r="E38" s="6">
        <f>IFERROR(__xludf.DUMMYFUNCTION("""COMPUTED_VALUE"""),8317.95)</f>
        <v>8317.95</v>
      </c>
      <c r="F38" s="6">
        <f>IFERROR(__xludf.DUMMYFUNCTION("""COMPUTED_VALUE"""),1620109.0)</f>
        <v>1620109</v>
      </c>
    </row>
    <row r="39">
      <c r="A39" s="7">
        <f>IFERROR(__xludf.DUMMYFUNCTION("""COMPUTED_VALUE"""),45450.64583333333)</f>
        <v>45450.64583</v>
      </c>
      <c r="B39" s="6">
        <f>IFERROR(__xludf.DUMMYFUNCTION("""COMPUTED_VALUE"""),8500.5)</f>
        <v>8500.5</v>
      </c>
      <c r="C39" s="6">
        <f>IFERROR(__xludf.DUMMYFUNCTION("""COMPUTED_VALUE"""),8765.0)</f>
        <v>8765</v>
      </c>
      <c r="D39" s="6">
        <f>IFERROR(__xludf.DUMMYFUNCTION("""COMPUTED_VALUE"""),6982.4)</f>
        <v>6982.4</v>
      </c>
      <c r="E39" s="6">
        <f>IFERROR(__xludf.DUMMYFUNCTION("""COMPUTED_VALUE"""),8073.25)</f>
        <v>8073.25</v>
      </c>
      <c r="F39" s="6">
        <f>IFERROR(__xludf.DUMMYFUNCTION("""COMPUTED_VALUE"""),3789051.0)</f>
        <v>3789051</v>
      </c>
    </row>
    <row r="40">
      <c r="A40" s="7">
        <f>IFERROR(__xludf.DUMMYFUNCTION("""COMPUTED_VALUE"""),45457.64583333333)</f>
        <v>45457.64583</v>
      </c>
      <c r="B40" s="6">
        <f>IFERROR(__xludf.DUMMYFUNCTION("""COMPUTED_VALUE"""),8178.05)</f>
        <v>8178.05</v>
      </c>
      <c r="C40" s="6">
        <f>IFERROR(__xludf.DUMMYFUNCTION("""COMPUTED_VALUE"""),9145.0)</f>
        <v>9145</v>
      </c>
      <c r="D40" s="6">
        <f>IFERROR(__xludf.DUMMYFUNCTION("""COMPUTED_VALUE"""),7994.3)</f>
        <v>7994.3</v>
      </c>
      <c r="E40" s="6">
        <f>IFERROR(__xludf.DUMMYFUNCTION("""COMPUTED_VALUE"""),9020.0)</f>
        <v>9020</v>
      </c>
      <c r="F40" s="6">
        <f>IFERROR(__xludf.DUMMYFUNCTION("""COMPUTED_VALUE"""),2770867.0)</f>
        <v>2770867</v>
      </c>
    </row>
    <row r="41">
      <c r="A41" s="7">
        <f>IFERROR(__xludf.DUMMYFUNCTION("""COMPUTED_VALUE"""),45464.64583333333)</f>
        <v>45464.64583</v>
      </c>
      <c r="B41" s="6">
        <f>IFERROR(__xludf.DUMMYFUNCTION("""COMPUTED_VALUE"""),9149.95)</f>
        <v>9149.95</v>
      </c>
      <c r="C41" s="6">
        <f>IFERROR(__xludf.DUMMYFUNCTION("""COMPUTED_VALUE"""),9149.95)</f>
        <v>9149.95</v>
      </c>
      <c r="D41" s="6">
        <f>IFERROR(__xludf.DUMMYFUNCTION("""COMPUTED_VALUE"""),8355.0)</f>
        <v>8355</v>
      </c>
      <c r="E41" s="6">
        <f>IFERROR(__xludf.DUMMYFUNCTION("""COMPUTED_VALUE"""),8399.4)</f>
        <v>8399.4</v>
      </c>
      <c r="F41" s="6">
        <f>IFERROR(__xludf.DUMMYFUNCTION("""COMPUTED_VALUE"""),1847215.0)</f>
        <v>1847215</v>
      </c>
    </row>
    <row r="42">
      <c r="A42" s="7">
        <f>IFERROR(__xludf.DUMMYFUNCTION("""COMPUTED_VALUE"""),45471.64583333333)</f>
        <v>45471.64583</v>
      </c>
      <c r="B42" s="6">
        <f>IFERROR(__xludf.DUMMYFUNCTION("""COMPUTED_VALUE"""),8389.05)</f>
        <v>8389.05</v>
      </c>
      <c r="C42" s="6">
        <f>IFERROR(__xludf.DUMMYFUNCTION("""COMPUTED_VALUE"""),8720.15)</f>
        <v>8720.15</v>
      </c>
      <c r="D42" s="6">
        <f>IFERROR(__xludf.DUMMYFUNCTION("""COMPUTED_VALUE"""),8235.7)</f>
        <v>8235.7</v>
      </c>
      <c r="E42" s="6">
        <f>IFERROR(__xludf.DUMMYFUNCTION("""COMPUTED_VALUE"""),8490.9)</f>
        <v>8490.9</v>
      </c>
      <c r="F42" s="6">
        <f>IFERROR(__xludf.DUMMYFUNCTION("""COMPUTED_VALUE"""),2071256.0)</f>
        <v>2071256</v>
      </c>
    </row>
    <row r="43">
      <c r="A43" s="7">
        <f>IFERROR(__xludf.DUMMYFUNCTION("""COMPUTED_VALUE"""),45478.64583333333)</f>
        <v>45478.64583</v>
      </c>
      <c r="B43" s="6">
        <f>IFERROR(__xludf.DUMMYFUNCTION("""COMPUTED_VALUE"""),8490.9)</f>
        <v>8490.9</v>
      </c>
      <c r="C43" s="6">
        <f>IFERROR(__xludf.DUMMYFUNCTION("""COMPUTED_VALUE"""),8808.7)</f>
        <v>8808.7</v>
      </c>
      <c r="D43" s="6">
        <f>IFERROR(__xludf.DUMMYFUNCTION("""COMPUTED_VALUE"""),8414.05)</f>
        <v>8414.05</v>
      </c>
      <c r="E43" s="6">
        <f>IFERROR(__xludf.DUMMYFUNCTION("""COMPUTED_VALUE"""),8679.4)</f>
        <v>8679.4</v>
      </c>
      <c r="F43" s="6">
        <f>IFERROR(__xludf.DUMMYFUNCTION("""COMPUTED_VALUE"""),1278786.0)</f>
        <v>1278786</v>
      </c>
    </row>
    <row r="44">
      <c r="A44" s="7">
        <f>IFERROR(__xludf.DUMMYFUNCTION("""COMPUTED_VALUE"""),45485.64583333333)</f>
        <v>45485.64583</v>
      </c>
      <c r="B44" s="6">
        <f>IFERROR(__xludf.DUMMYFUNCTION("""COMPUTED_VALUE"""),8700.0)</f>
        <v>8700</v>
      </c>
      <c r="C44" s="6">
        <f>IFERROR(__xludf.DUMMYFUNCTION("""COMPUTED_VALUE"""),8714.95)</f>
        <v>8714.95</v>
      </c>
      <c r="D44" s="6">
        <f>IFERROR(__xludf.DUMMYFUNCTION("""COMPUTED_VALUE"""),8191.0)</f>
        <v>8191</v>
      </c>
      <c r="E44" s="6">
        <f>IFERROR(__xludf.DUMMYFUNCTION("""COMPUTED_VALUE"""),8209.25)</f>
        <v>8209.25</v>
      </c>
      <c r="F44" s="6">
        <f>IFERROR(__xludf.DUMMYFUNCTION("""COMPUTED_VALUE"""),1076249.0)</f>
        <v>1076249</v>
      </c>
    </row>
    <row r="45">
      <c r="A45" s="7">
        <f>IFERROR(__xludf.DUMMYFUNCTION("""COMPUTED_VALUE"""),45492.64583333333)</f>
        <v>45492.64583</v>
      </c>
      <c r="B45" s="6">
        <f>IFERROR(__xludf.DUMMYFUNCTION("""COMPUTED_VALUE"""),8210.3)</f>
        <v>8210.3</v>
      </c>
      <c r="C45" s="6">
        <f>IFERROR(__xludf.DUMMYFUNCTION("""COMPUTED_VALUE"""),8299.95)</f>
        <v>8299.95</v>
      </c>
      <c r="D45" s="6">
        <f>IFERROR(__xludf.DUMMYFUNCTION("""COMPUTED_VALUE"""),7600.0)</f>
        <v>7600</v>
      </c>
      <c r="E45" s="6">
        <f>IFERROR(__xludf.DUMMYFUNCTION("""COMPUTED_VALUE"""),7620.5)</f>
        <v>7620.5</v>
      </c>
      <c r="F45" s="6">
        <f>IFERROR(__xludf.DUMMYFUNCTION("""COMPUTED_VALUE"""),1562525.0)</f>
        <v>1562525</v>
      </c>
    </row>
    <row r="46">
      <c r="A46" s="7">
        <f>IFERROR(__xludf.DUMMYFUNCTION("""COMPUTED_VALUE"""),45499.64583333333)</f>
        <v>45499.64583</v>
      </c>
      <c r="B46" s="6">
        <f>IFERROR(__xludf.DUMMYFUNCTION("""COMPUTED_VALUE"""),7525.15)</f>
        <v>7525.15</v>
      </c>
      <c r="C46" s="6">
        <f>IFERROR(__xludf.DUMMYFUNCTION("""COMPUTED_VALUE"""),7870.0)</f>
        <v>7870</v>
      </c>
      <c r="D46" s="6">
        <f>IFERROR(__xludf.DUMMYFUNCTION("""COMPUTED_VALUE"""),7053.2)</f>
        <v>7053.2</v>
      </c>
      <c r="E46" s="6">
        <f>IFERROR(__xludf.DUMMYFUNCTION("""COMPUTED_VALUE"""),7851.25)</f>
        <v>7851.25</v>
      </c>
      <c r="F46" s="6">
        <f>IFERROR(__xludf.DUMMYFUNCTION("""COMPUTED_VALUE"""),2008814.0)</f>
        <v>2008814</v>
      </c>
    </row>
    <row r="47">
      <c r="A47" s="7">
        <f>IFERROR(__xludf.DUMMYFUNCTION("""COMPUTED_VALUE"""),45506.64583333333)</f>
        <v>45506.64583</v>
      </c>
      <c r="B47" s="6">
        <f>IFERROR(__xludf.DUMMYFUNCTION("""COMPUTED_VALUE"""),7899.0)</f>
        <v>7899</v>
      </c>
      <c r="C47" s="6">
        <f>IFERROR(__xludf.DUMMYFUNCTION("""COMPUTED_VALUE"""),8049.0)</f>
        <v>8049</v>
      </c>
      <c r="D47" s="6">
        <f>IFERROR(__xludf.DUMMYFUNCTION("""COMPUTED_VALUE"""),7547.55)</f>
        <v>7547.55</v>
      </c>
      <c r="E47" s="6">
        <f>IFERROR(__xludf.DUMMYFUNCTION("""COMPUTED_VALUE"""),7578.8)</f>
        <v>7578.8</v>
      </c>
      <c r="F47" s="6">
        <f>IFERROR(__xludf.DUMMYFUNCTION("""COMPUTED_VALUE"""),957817.0)</f>
        <v>957817</v>
      </c>
    </row>
    <row r="48">
      <c r="A48" s="7">
        <f>IFERROR(__xludf.DUMMYFUNCTION("""COMPUTED_VALUE"""),45513.64583333333)</f>
        <v>45513.64583</v>
      </c>
      <c r="B48" s="6">
        <f>IFERROR(__xludf.DUMMYFUNCTION("""COMPUTED_VALUE"""),7402.1)</f>
        <v>7402.1</v>
      </c>
      <c r="C48" s="6">
        <f>IFERROR(__xludf.DUMMYFUNCTION("""COMPUTED_VALUE"""),8263.75)</f>
        <v>8263.75</v>
      </c>
      <c r="D48" s="6">
        <f>IFERROR(__xludf.DUMMYFUNCTION("""COMPUTED_VALUE"""),7236.8)</f>
        <v>7236.8</v>
      </c>
      <c r="E48" s="6">
        <f>IFERROR(__xludf.DUMMYFUNCTION("""COMPUTED_VALUE"""),7972.1)</f>
        <v>7972.1</v>
      </c>
      <c r="F48" s="6">
        <f>IFERROR(__xludf.DUMMYFUNCTION("""COMPUTED_VALUE"""),2996331.0)</f>
        <v>2996331</v>
      </c>
    </row>
    <row r="49">
      <c r="A49" s="7">
        <f>IFERROR(__xludf.DUMMYFUNCTION("""COMPUTED_VALUE"""),45520.64583333333)</f>
        <v>45520.64583</v>
      </c>
      <c r="B49" s="6">
        <f>IFERROR(__xludf.DUMMYFUNCTION("""COMPUTED_VALUE"""),7989.95)</f>
        <v>7989.95</v>
      </c>
      <c r="C49" s="6">
        <f>IFERROR(__xludf.DUMMYFUNCTION("""COMPUTED_VALUE"""),7989.95)</f>
        <v>7989.95</v>
      </c>
      <c r="D49" s="6">
        <f>IFERROR(__xludf.DUMMYFUNCTION("""COMPUTED_VALUE"""),7451.0)</f>
        <v>7451</v>
      </c>
      <c r="E49" s="6">
        <f>IFERROR(__xludf.DUMMYFUNCTION("""COMPUTED_VALUE"""),7911.2)</f>
        <v>7911.2</v>
      </c>
      <c r="F49" s="6">
        <f>IFERROR(__xludf.DUMMYFUNCTION("""COMPUTED_VALUE"""),1873440.0)</f>
        <v>1873440</v>
      </c>
    </row>
    <row r="50">
      <c r="A50" s="7">
        <f>IFERROR(__xludf.DUMMYFUNCTION("""COMPUTED_VALUE"""),45527.64583333333)</f>
        <v>45527.64583</v>
      </c>
      <c r="B50" s="6">
        <f>IFERROR(__xludf.DUMMYFUNCTION("""COMPUTED_VALUE"""),7954.95)</f>
        <v>7954.95</v>
      </c>
      <c r="C50" s="6">
        <f>IFERROR(__xludf.DUMMYFUNCTION("""COMPUTED_VALUE"""),7984.4)</f>
        <v>7984.4</v>
      </c>
      <c r="D50" s="6">
        <f>IFERROR(__xludf.DUMMYFUNCTION("""COMPUTED_VALUE"""),7735.55)</f>
        <v>7735.55</v>
      </c>
      <c r="E50" s="6">
        <f>IFERROR(__xludf.DUMMYFUNCTION("""COMPUTED_VALUE"""),7795.75)</f>
        <v>7795.75</v>
      </c>
      <c r="F50" s="6">
        <f>IFERROR(__xludf.DUMMYFUNCTION("""COMPUTED_VALUE"""),714729.0)</f>
        <v>714729</v>
      </c>
    </row>
    <row r="51">
      <c r="A51" s="7">
        <f>IFERROR(__xludf.DUMMYFUNCTION("""COMPUTED_VALUE"""),45534.64583333333)</f>
        <v>45534.64583</v>
      </c>
      <c r="B51" s="6">
        <f>IFERROR(__xludf.DUMMYFUNCTION("""COMPUTED_VALUE"""),7820.0)</f>
        <v>7820</v>
      </c>
      <c r="C51" s="6">
        <f>IFERROR(__xludf.DUMMYFUNCTION("""COMPUTED_VALUE"""),8024.25)</f>
        <v>8024.25</v>
      </c>
      <c r="D51" s="6">
        <f>IFERROR(__xludf.DUMMYFUNCTION("""COMPUTED_VALUE"""),7700.0)</f>
        <v>7700</v>
      </c>
      <c r="E51" s="6">
        <f>IFERROR(__xludf.DUMMYFUNCTION("""COMPUTED_VALUE"""),7936.05)</f>
        <v>7936.05</v>
      </c>
      <c r="F51" s="6">
        <f>IFERROR(__xludf.DUMMYFUNCTION("""COMPUTED_VALUE"""),1393833.0)</f>
        <v>1393833</v>
      </c>
    </row>
    <row r="52">
      <c r="A52" s="7">
        <f>IFERROR(__xludf.DUMMYFUNCTION("""COMPUTED_VALUE"""),45541.64583333333)</f>
        <v>45541.64583</v>
      </c>
      <c r="B52" s="6">
        <f>IFERROR(__xludf.DUMMYFUNCTION("""COMPUTED_VALUE"""),7945.0)</f>
        <v>7945</v>
      </c>
      <c r="C52" s="6">
        <f>IFERROR(__xludf.DUMMYFUNCTION("""COMPUTED_VALUE"""),7947.35)</f>
        <v>7947.35</v>
      </c>
      <c r="D52" s="6">
        <f>IFERROR(__xludf.DUMMYFUNCTION("""COMPUTED_VALUE"""),7500.05)</f>
        <v>7500.05</v>
      </c>
      <c r="E52" s="6">
        <f>IFERROR(__xludf.DUMMYFUNCTION("""COMPUTED_VALUE"""),7516.4)</f>
        <v>7516.4</v>
      </c>
      <c r="F52" s="6">
        <f>IFERROR(__xludf.DUMMYFUNCTION("""COMPUTED_VALUE"""),1115454.0)</f>
        <v>1115454</v>
      </c>
    </row>
    <row r="53">
      <c r="A53" s="7">
        <f>IFERROR(__xludf.DUMMYFUNCTION("""COMPUTED_VALUE"""),45548.64583333333)</f>
        <v>45548.64583</v>
      </c>
      <c r="B53" s="6">
        <f>IFERROR(__xludf.DUMMYFUNCTION("""COMPUTED_VALUE"""),7500.0)</f>
        <v>7500</v>
      </c>
      <c r="C53" s="6">
        <f>IFERROR(__xludf.DUMMYFUNCTION("""COMPUTED_VALUE"""),7869.9)</f>
        <v>7869.9</v>
      </c>
      <c r="D53" s="6">
        <f>IFERROR(__xludf.DUMMYFUNCTION("""COMPUTED_VALUE"""),7431.55)</f>
        <v>7431.55</v>
      </c>
      <c r="E53" s="6">
        <f>IFERROR(__xludf.DUMMYFUNCTION("""COMPUTED_VALUE"""),7684.4)</f>
        <v>7684.4</v>
      </c>
      <c r="F53" s="6">
        <f>IFERROR(__xludf.DUMMYFUNCTION("""COMPUTED_VALUE"""),1060351.0)</f>
        <v>1060351</v>
      </c>
    </row>
    <row r="54">
      <c r="A54" s="7">
        <f>IFERROR(__xludf.DUMMYFUNCTION("""COMPUTED_VALUE"""),45555.64583333333)</f>
        <v>45555.64583</v>
      </c>
      <c r="B54" s="6">
        <f>IFERROR(__xludf.DUMMYFUNCTION("""COMPUTED_VALUE"""),7730.0)</f>
        <v>7730</v>
      </c>
      <c r="C54" s="6">
        <f>IFERROR(__xludf.DUMMYFUNCTION("""COMPUTED_VALUE"""),7917.5)</f>
        <v>7917.5</v>
      </c>
      <c r="D54" s="6">
        <f>IFERROR(__xludf.DUMMYFUNCTION("""COMPUTED_VALUE"""),7350.05)</f>
        <v>7350.05</v>
      </c>
      <c r="E54" s="6">
        <f>IFERROR(__xludf.DUMMYFUNCTION("""COMPUTED_VALUE"""),7695.75)</f>
        <v>7695.75</v>
      </c>
      <c r="F54" s="6">
        <f>IFERROR(__xludf.DUMMYFUNCTION("""COMPUTED_VALUE"""),1591443.0)</f>
        <v>1591443</v>
      </c>
    </row>
    <row r="55">
      <c r="A55" s="7">
        <f>IFERROR(__xludf.DUMMYFUNCTION("""COMPUTED_VALUE"""),45562.64583333333)</f>
        <v>45562.64583</v>
      </c>
      <c r="B55" s="6">
        <f>IFERROR(__xludf.DUMMYFUNCTION("""COMPUTED_VALUE"""),7750.0)</f>
        <v>7750</v>
      </c>
      <c r="C55" s="6">
        <f>IFERROR(__xludf.DUMMYFUNCTION("""COMPUTED_VALUE"""),8214.0)</f>
        <v>8214</v>
      </c>
      <c r="D55" s="6">
        <f>IFERROR(__xludf.DUMMYFUNCTION("""COMPUTED_VALUE"""),7750.0)</f>
        <v>7750</v>
      </c>
      <c r="E55" s="6">
        <f>IFERROR(__xludf.DUMMYFUNCTION("""COMPUTED_VALUE"""),8133.45)</f>
        <v>8133.45</v>
      </c>
      <c r="F55" s="6">
        <f>IFERROR(__xludf.DUMMYFUNCTION("""COMPUTED_VALUE"""),1473456.0)</f>
        <v>1473456</v>
      </c>
    </row>
    <row r="56">
      <c r="A56" s="7">
        <f>IFERROR(__xludf.DUMMYFUNCTION("""COMPUTED_VALUE"""),45569.64583333333)</f>
        <v>45569.64583</v>
      </c>
      <c r="B56" s="6">
        <f>IFERROR(__xludf.DUMMYFUNCTION("""COMPUTED_VALUE"""),7975.0)</f>
        <v>7975</v>
      </c>
      <c r="C56" s="6">
        <f>IFERROR(__xludf.DUMMYFUNCTION("""COMPUTED_VALUE"""),8303.25)</f>
        <v>8303.25</v>
      </c>
      <c r="D56" s="6">
        <f>IFERROR(__xludf.DUMMYFUNCTION("""COMPUTED_VALUE"""),7880.0)</f>
        <v>7880</v>
      </c>
      <c r="E56" s="6">
        <f>IFERROR(__xludf.DUMMYFUNCTION("""COMPUTED_VALUE"""),7930.4)</f>
        <v>7930.4</v>
      </c>
      <c r="F56" s="6">
        <f>IFERROR(__xludf.DUMMYFUNCTION("""COMPUTED_VALUE"""),1261929.0)</f>
        <v>1261929</v>
      </c>
    </row>
    <row r="57">
      <c r="A57" s="7">
        <f>IFERROR(__xludf.DUMMYFUNCTION("""COMPUTED_VALUE"""),45576.64583333333)</f>
        <v>45576.64583</v>
      </c>
      <c r="B57" s="6">
        <f>IFERROR(__xludf.DUMMYFUNCTION("""COMPUTED_VALUE"""),7903.0)</f>
        <v>7903</v>
      </c>
      <c r="C57" s="6">
        <f>IFERROR(__xludf.DUMMYFUNCTION("""COMPUTED_VALUE"""),8619.7)</f>
        <v>8619.7</v>
      </c>
      <c r="D57" s="6">
        <f>IFERROR(__xludf.DUMMYFUNCTION("""COMPUTED_VALUE"""),7672.15)</f>
        <v>7672.15</v>
      </c>
      <c r="E57" s="6">
        <f>IFERROR(__xludf.DUMMYFUNCTION("""COMPUTED_VALUE"""),8553.7)</f>
        <v>8553.7</v>
      </c>
      <c r="F57" s="6">
        <f>IFERROR(__xludf.DUMMYFUNCTION("""COMPUTED_VALUE"""),1499521.0)</f>
        <v>1499521</v>
      </c>
    </row>
    <row r="58">
      <c r="A58" s="7">
        <f>IFERROR(__xludf.DUMMYFUNCTION("""COMPUTED_VALUE"""),45583.64583333333)</f>
        <v>45583.64583</v>
      </c>
      <c r="B58" s="6">
        <f>IFERROR(__xludf.DUMMYFUNCTION("""COMPUTED_VALUE"""),8592.6)</f>
        <v>8592.6</v>
      </c>
      <c r="C58" s="6">
        <f>IFERROR(__xludf.DUMMYFUNCTION("""COMPUTED_VALUE"""),8940.6)</f>
        <v>8940.6</v>
      </c>
      <c r="D58" s="6">
        <f>IFERROR(__xludf.DUMMYFUNCTION("""COMPUTED_VALUE"""),8420.05)</f>
        <v>8420.05</v>
      </c>
      <c r="E58" s="6">
        <f>IFERROR(__xludf.DUMMYFUNCTION("""COMPUTED_VALUE"""),8783.0)</f>
        <v>8783</v>
      </c>
      <c r="F58" s="6">
        <f>IFERROR(__xludf.DUMMYFUNCTION("""COMPUTED_VALUE"""),1640021.0)</f>
        <v>1640021</v>
      </c>
    </row>
    <row r="59">
      <c r="A59" s="7">
        <f>IFERROR(__xludf.DUMMYFUNCTION("""COMPUTED_VALUE"""),45590.64583333333)</f>
        <v>45590.64583</v>
      </c>
      <c r="B59" s="6">
        <f>IFERROR(__xludf.DUMMYFUNCTION("""COMPUTED_VALUE"""),8830.1)</f>
        <v>8830.1</v>
      </c>
      <c r="C59" s="6">
        <f>IFERROR(__xludf.DUMMYFUNCTION("""COMPUTED_VALUE"""),8871.3)</f>
        <v>8871.3</v>
      </c>
      <c r="D59" s="6">
        <f>IFERROR(__xludf.DUMMYFUNCTION("""COMPUTED_VALUE"""),7415.1)</f>
        <v>7415.1</v>
      </c>
      <c r="E59" s="6">
        <f>IFERROR(__xludf.DUMMYFUNCTION("""COMPUTED_VALUE"""),7521.65)</f>
        <v>7521.65</v>
      </c>
      <c r="F59" s="6">
        <f>IFERROR(__xludf.DUMMYFUNCTION("""COMPUTED_VALUE"""),1929052.0)</f>
        <v>1929052</v>
      </c>
    </row>
    <row r="60">
      <c r="A60" s="7">
        <f>IFERROR(__xludf.DUMMYFUNCTION("""COMPUTED_VALUE"""),45604.64583333333)</f>
        <v>45604.64583</v>
      </c>
      <c r="B60" s="6">
        <f>IFERROR(__xludf.DUMMYFUNCTION("""COMPUTED_VALUE"""),7444.0)</f>
        <v>7444</v>
      </c>
      <c r="C60" s="6">
        <f>IFERROR(__xludf.DUMMYFUNCTION("""COMPUTED_VALUE"""),7452.0)</f>
        <v>7452</v>
      </c>
      <c r="D60" s="6">
        <f>IFERROR(__xludf.DUMMYFUNCTION("""COMPUTED_VALUE"""),6935.0)</f>
        <v>6935</v>
      </c>
      <c r="E60" s="6">
        <f>IFERROR(__xludf.DUMMYFUNCTION("""COMPUTED_VALUE"""),7045.45)</f>
        <v>7045.45</v>
      </c>
      <c r="F60" s="6">
        <f>IFERROR(__xludf.DUMMYFUNCTION("""COMPUTED_VALUE"""),4151894.0)</f>
        <v>4151894</v>
      </c>
    </row>
    <row r="61">
      <c r="A61" s="7">
        <f>IFERROR(__xludf.DUMMYFUNCTION("""COMPUTED_VALUE"""),45610.64583333333)</f>
        <v>45610.64583</v>
      </c>
      <c r="B61" s="6">
        <f>IFERROR(__xludf.DUMMYFUNCTION("""COMPUTED_VALUE"""),7040.0)</f>
        <v>7040</v>
      </c>
      <c r="C61" s="6">
        <f>IFERROR(__xludf.DUMMYFUNCTION("""COMPUTED_VALUE"""),7308.75)</f>
        <v>7308.75</v>
      </c>
      <c r="D61" s="6">
        <f>IFERROR(__xludf.DUMMYFUNCTION("""COMPUTED_VALUE"""),6629.85)</f>
        <v>6629.85</v>
      </c>
      <c r="E61" s="6">
        <f>IFERROR(__xludf.DUMMYFUNCTION("""COMPUTED_VALUE"""),6680.15)</f>
        <v>6680.15</v>
      </c>
      <c r="F61" s="6">
        <f>IFERROR(__xludf.DUMMYFUNCTION("""COMPUTED_VALUE"""),2064289.0)</f>
        <v>2064289</v>
      </c>
    </row>
    <row r="62">
      <c r="A62" s="7">
        <f>IFERROR(__xludf.DUMMYFUNCTION("""COMPUTED_VALUE"""),45618.64583333333)</f>
        <v>45618.64583</v>
      </c>
      <c r="B62" s="6">
        <f>IFERROR(__xludf.DUMMYFUNCTION("""COMPUTED_VALUE"""),6700.35)</f>
        <v>6700.35</v>
      </c>
      <c r="C62" s="6">
        <f>IFERROR(__xludf.DUMMYFUNCTION("""COMPUTED_VALUE"""),6939.0)</f>
        <v>6939</v>
      </c>
      <c r="D62" s="6">
        <f>IFERROR(__xludf.DUMMYFUNCTION("""COMPUTED_VALUE"""),6605.0)</f>
        <v>6605</v>
      </c>
      <c r="E62" s="6">
        <f>IFERROR(__xludf.DUMMYFUNCTION("""COMPUTED_VALUE"""),6904.65)</f>
        <v>6904.65</v>
      </c>
      <c r="F62" s="6">
        <f>IFERROR(__xludf.DUMMYFUNCTION("""COMPUTED_VALUE"""),1334486.0)</f>
        <v>1334486</v>
      </c>
    </row>
    <row r="63">
      <c r="A63" s="7">
        <f>IFERROR(__xludf.DUMMYFUNCTION("""COMPUTED_VALUE"""),45625.64583333333)</f>
        <v>45625.64583</v>
      </c>
      <c r="B63" s="6">
        <f>IFERROR(__xludf.DUMMYFUNCTION("""COMPUTED_VALUE"""),7090.0)</f>
        <v>7090</v>
      </c>
      <c r="C63" s="6">
        <f>IFERROR(__xludf.DUMMYFUNCTION("""COMPUTED_VALUE"""),7540.1)</f>
        <v>7540.1</v>
      </c>
      <c r="D63" s="6">
        <f>IFERROR(__xludf.DUMMYFUNCTION("""COMPUTED_VALUE"""),7051.0)</f>
        <v>7051</v>
      </c>
      <c r="E63" s="6">
        <f>IFERROR(__xludf.DUMMYFUNCTION("""COMPUTED_VALUE"""),7421.25)</f>
        <v>7421.25</v>
      </c>
      <c r="F63" s="6">
        <f>IFERROR(__xludf.DUMMYFUNCTION("""COMPUTED_VALUE"""),2227175.0)</f>
        <v>2227175</v>
      </c>
    </row>
    <row r="64">
      <c r="A64" s="7">
        <f>IFERROR(__xludf.DUMMYFUNCTION("""COMPUTED_VALUE"""),45632.64583333333)</f>
        <v>45632.64583</v>
      </c>
      <c r="B64" s="6">
        <f>IFERROR(__xludf.DUMMYFUNCTION("""COMPUTED_VALUE"""),7378.0)</f>
        <v>7378</v>
      </c>
      <c r="C64" s="6">
        <f>IFERROR(__xludf.DUMMYFUNCTION("""COMPUTED_VALUE"""),7722.5)</f>
        <v>7722.5</v>
      </c>
      <c r="D64" s="6">
        <f>IFERROR(__xludf.DUMMYFUNCTION("""COMPUTED_VALUE"""),7340.05)</f>
        <v>7340.05</v>
      </c>
      <c r="E64" s="6">
        <f>IFERROR(__xludf.DUMMYFUNCTION("""COMPUTED_VALUE"""),7552.4)</f>
        <v>7552.4</v>
      </c>
      <c r="F64" s="6">
        <f>IFERROR(__xludf.DUMMYFUNCTION("""COMPUTED_VALUE"""),1742071.0)</f>
        <v>1742071</v>
      </c>
    </row>
    <row r="65">
      <c r="A65" s="7">
        <f>IFERROR(__xludf.DUMMYFUNCTION("""COMPUTED_VALUE"""),45639.64583333333)</f>
        <v>45639.64583</v>
      </c>
      <c r="B65" s="6">
        <f>IFERROR(__xludf.DUMMYFUNCTION("""COMPUTED_VALUE"""),7575.95)</f>
        <v>7575.95</v>
      </c>
      <c r="C65" s="6">
        <f>IFERROR(__xludf.DUMMYFUNCTION("""COMPUTED_VALUE"""),7787.0)</f>
        <v>7787</v>
      </c>
      <c r="D65" s="6">
        <f>IFERROR(__xludf.DUMMYFUNCTION("""COMPUTED_VALUE"""),7532.55)</f>
        <v>7532.55</v>
      </c>
      <c r="E65" s="6">
        <f>IFERROR(__xludf.DUMMYFUNCTION("""COMPUTED_VALUE"""),7703.25)</f>
        <v>7703.25</v>
      </c>
      <c r="F65" s="6">
        <f>IFERROR(__xludf.DUMMYFUNCTION("""COMPUTED_VALUE"""),899450.0)</f>
        <v>899450</v>
      </c>
    </row>
    <row r="66">
      <c r="A66" s="7">
        <f>IFERROR(__xludf.DUMMYFUNCTION("""COMPUTED_VALUE"""),45646.64583333333)</f>
        <v>45646.64583</v>
      </c>
      <c r="B66" s="6">
        <f>IFERROR(__xludf.DUMMYFUNCTION("""COMPUTED_VALUE"""),7703.25)</f>
        <v>7703.25</v>
      </c>
      <c r="C66" s="6">
        <f>IFERROR(__xludf.DUMMYFUNCTION("""COMPUTED_VALUE"""),7960.0)</f>
        <v>7960</v>
      </c>
      <c r="D66" s="6">
        <f>IFERROR(__xludf.DUMMYFUNCTION("""COMPUTED_VALUE"""),6886.0)</f>
        <v>6886</v>
      </c>
      <c r="E66" s="6">
        <f>IFERROR(__xludf.DUMMYFUNCTION("""COMPUTED_VALUE"""),6921.25)</f>
        <v>6921.25</v>
      </c>
      <c r="F66" s="6">
        <f>IFERROR(__xludf.DUMMYFUNCTION("""COMPUTED_VALUE"""),1546295.0)</f>
        <v>1546295</v>
      </c>
    </row>
    <row r="67">
      <c r="A67" s="7">
        <f>IFERROR(__xludf.DUMMYFUNCTION("""COMPUTED_VALUE"""),45653.64583333333)</f>
        <v>45653.64583</v>
      </c>
      <c r="B67" s="6">
        <f>IFERROR(__xludf.DUMMYFUNCTION("""COMPUTED_VALUE"""),6966.0)</f>
        <v>6966</v>
      </c>
      <c r="C67" s="6">
        <f>IFERROR(__xludf.DUMMYFUNCTION("""COMPUTED_VALUE"""),7056.0)</f>
        <v>7056</v>
      </c>
      <c r="D67" s="6">
        <f>IFERROR(__xludf.DUMMYFUNCTION("""COMPUTED_VALUE"""),6822.05)</f>
        <v>6822.05</v>
      </c>
      <c r="E67" s="6">
        <f>IFERROR(__xludf.DUMMYFUNCTION("""COMPUTED_VALUE"""),6846.9)</f>
        <v>6846.9</v>
      </c>
      <c r="F67" s="6">
        <f>IFERROR(__xludf.DUMMYFUNCTION("""COMPUTED_VALUE"""),603479.0)</f>
        <v>603479</v>
      </c>
    </row>
    <row r="68">
      <c r="A68" s="7">
        <f>IFERROR(__xludf.DUMMYFUNCTION("""COMPUTED_VALUE"""),45660.64583333333)</f>
        <v>45660.64583</v>
      </c>
      <c r="B68" s="6">
        <f>IFERROR(__xludf.DUMMYFUNCTION("""COMPUTED_VALUE"""),6812.0)</f>
        <v>6812</v>
      </c>
      <c r="C68" s="6">
        <f>IFERROR(__xludf.DUMMYFUNCTION("""COMPUTED_VALUE"""),6948.4)</f>
        <v>6948.4</v>
      </c>
      <c r="D68" s="6">
        <f>IFERROR(__xludf.DUMMYFUNCTION("""COMPUTED_VALUE"""),6668.1)</f>
        <v>6668.1</v>
      </c>
      <c r="E68" s="6">
        <f>IFERROR(__xludf.DUMMYFUNCTION("""COMPUTED_VALUE"""),6800.15)</f>
        <v>6800.15</v>
      </c>
      <c r="F68" s="6">
        <f>IFERROR(__xludf.DUMMYFUNCTION("""COMPUTED_VALUE"""),1811051.0)</f>
        <v>1811051</v>
      </c>
    </row>
    <row r="69">
      <c r="A69" s="7">
        <f>IFERROR(__xludf.DUMMYFUNCTION("""COMPUTED_VALUE"""),45667.64583333333)</f>
        <v>45667.64583</v>
      </c>
      <c r="B69" s="6">
        <f>IFERROR(__xludf.DUMMYFUNCTION("""COMPUTED_VALUE"""),6800.05)</f>
        <v>6800.05</v>
      </c>
      <c r="C69" s="6">
        <f>IFERROR(__xludf.DUMMYFUNCTION("""COMPUTED_VALUE"""),6826.95)</f>
        <v>6826.95</v>
      </c>
      <c r="D69" s="6">
        <f>IFERROR(__xludf.DUMMYFUNCTION("""COMPUTED_VALUE"""),6363.0)</f>
        <v>6363</v>
      </c>
      <c r="E69" s="6">
        <f>IFERROR(__xludf.DUMMYFUNCTION("""COMPUTED_VALUE"""),6415.65)</f>
        <v>6415.65</v>
      </c>
      <c r="F69" s="6">
        <f>IFERROR(__xludf.DUMMYFUNCTION("""COMPUTED_VALUE"""),1033254.0)</f>
        <v>1033254</v>
      </c>
    </row>
    <row r="70">
      <c r="A70" s="7">
        <f>IFERROR(__xludf.DUMMYFUNCTION("""COMPUTED_VALUE"""),45674.64583333333)</f>
        <v>45674.64583</v>
      </c>
      <c r="B70" s="6">
        <f>IFERROR(__xludf.DUMMYFUNCTION("""COMPUTED_VALUE"""),6352.0)</f>
        <v>6352</v>
      </c>
      <c r="C70" s="6">
        <f>IFERROR(__xludf.DUMMYFUNCTION("""COMPUTED_VALUE"""),6553.7)</f>
        <v>6553.7</v>
      </c>
      <c r="D70" s="6">
        <f>IFERROR(__xludf.DUMMYFUNCTION("""COMPUTED_VALUE"""),6061.05)</f>
        <v>6061.05</v>
      </c>
      <c r="E70" s="6">
        <f>IFERROR(__xludf.DUMMYFUNCTION("""COMPUTED_VALUE"""),6527.5)</f>
        <v>6527.5</v>
      </c>
      <c r="F70" s="6">
        <f>IFERROR(__xludf.DUMMYFUNCTION("""COMPUTED_VALUE"""),1452873.0)</f>
        <v>1452873</v>
      </c>
    </row>
    <row r="71">
      <c r="A71" s="7">
        <f>IFERROR(__xludf.DUMMYFUNCTION("""COMPUTED_VALUE"""),45681.64583333333)</f>
        <v>45681.64583</v>
      </c>
      <c r="B71" s="6">
        <f>IFERROR(__xludf.DUMMYFUNCTION("""COMPUTED_VALUE"""),6547.55)</f>
        <v>6547.55</v>
      </c>
      <c r="C71" s="6">
        <f>IFERROR(__xludf.DUMMYFUNCTION("""COMPUTED_VALUE"""),6579.65)</f>
        <v>6579.65</v>
      </c>
      <c r="D71" s="6">
        <f>IFERROR(__xludf.DUMMYFUNCTION("""COMPUTED_VALUE"""),6114.0)</f>
        <v>6114</v>
      </c>
      <c r="E71" s="6">
        <f>IFERROR(__xludf.DUMMYFUNCTION("""COMPUTED_VALUE"""),6178.9)</f>
        <v>6178.9</v>
      </c>
      <c r="F71" s="6">
        <f>IFERROR(__xludf.DUMMYFUNCTION("""COMPUTED_VALUE"""),1160817.0)</f>
        <v>1160817</v>
      </c>
    </row>
    <row r="72">
      <c r="A72" s="7">
        <f>IFERROR(__xludf.DUMMYFUNCTION("""COMPUTED_VALUE"""),45695.64583333333)</f>
        <v>45695.64583</v>
      </c>
      <c r="B72" s="6">
        <f>IFERROR(__xludf.DUMMYFUNCTION("""COMPUTED_VALUE"""),5480.1)</f>
        <v>5480.1</v>
      </c>
      <c r="C72" s="6">
        <f>IFERROR(__xludf.DUMMYFUNCTION("""COMPUTED_VALUE"""),5874.35)</f>
        <v>5874.35</v>
      </c>
      <c r="D72" s="6">
        <f>IFERROR(__xludf.DUMMYFUNCTION("""COMPUTED_VALUE"""),5105.5)</f>
        <v>5105.5</v>
      </c>
      <c r="E72" s="6">
        <f>IFERROR(__xludf.DUMMYFUNCTION("""COMPUTED_VALUE"""),5685.75)</f>
        <v>5685.75</v>
      </c>
      <c r="F72" s="6">
        <f>IFERROR(__xludf.DUMMYFUNCTION("""COMPUTED_VALUE"""),4149704.0)</f>
        <v>4149704</v>
      </c>
    </row>
    <row r="73">
      <c r="A73" s="7">
        <f>IFERROR(__xludf.DUMMYFUNCTION("""COMPUTED_VALUE"""),45702.64583333333)</f>
        <v>45702.64583</v>
      </c>
      <c r="B73" s="6">
        <f>IFERROR(__xludf.DUMMYFUNCTION("""COMPUTED_VALUE"""),5674.95)</f>
        <v>5674.95</v>
      </c>
      <c r="C73" s="6">
        <f>IFERROR(__xludf.DUMMYFUNCTION("""COMPUTED_VALUE"""),5724.3)</f>
        <v>5724.3</v>
      </c>
      <c r="D73" s="6">
        <f>IFERROR(__xludf.DUMMYFUNCTION("""COMPUTED_VALUE"""),5223.0)</f>
        <v>5223</v>
      </c>
      <c r="E73" s="6">
        <f>IFERROR(__xludf.DUMMYFUNCTION("""COMPUTED_VALUE"""),5263.75)</f>
        <v>5263.75</v>
      </c>
      <c r="F73" s="6">
        <f>IFERROR(__xludf.DUMMYFUNCTION("""COMPUTED_VALUE"""),1669414.0)</f>
        <v>1669414</v>
      </c>
    </row>
    <row r="74">
      <c r="A74" s="7">
        <f>IFERROR(__xludf.DUMMYFUNCTION("""COMPUTED_VALUE"""),45709.64583333333)</f>
        <v>45709.64583</v>
      </c>
      <c r="B74" s="6">
        <f>IFERROR(__xludf.DUMMYFUNCTION("""COMPUTED_VALUE"""),5263.0)</f>
        <v>5263</v>
      </c>
      <c r="C74" s="6">
        <f>IFERROR(__xludf.DUMMYFUNCTION("""COMPUTED_VALUE"""),5515.0)</f>
        <v>5515</v>
      </c>
      <c r="D74" s="6">
        <f>IFERROR(__xludf.DUMMYFUNCTION("""COMPUTED_VALUE"""),5019.75)</f>
        <v>5019.75</v>
      </c>
      <c r="E74" s="6">
        <f>IFERROR(__xludf.DUMMYFUNCTION("""COMPUTED_VALUE"""),5291.4)</f>
        <v>5291.4</v>
      </c>
      <c r="F74" s="6">
        <f>IFERROR(__xludf.DUMMYFUNCTION("""COMPUTED_VALUE"""),6469862.0)</f>
        <v>6469862</v>
      </c>
    </row>
    <row r="75">
      <c r="A75" s="7">
        <f>IFERROR(__xludf.DUMMYFUNCTION("""COMPUTED_VALUE"""),45716.64583333333)</f>
        <v>45716.64583</v>
      </c>
      <c r="B75" s="6">
        <f>IFERROR(__xludf.DUMMYFUNCTION("""COMPUTED_VALUE"""),5248.2)</f>
        <v>5248.2</v>
      </c>
      <c r="C75" s="6">
        <f>IFERROR(__xludf.DUMMYFUNCTION("""COMPUTED_VALUE"""),5409.0)</f>
        <v>5409</v>
      </c>
      <c r="D75" s="6">
        <f>IFERROR(__xludf.DUMMYFUNCTION("""COMPUTED_VALUE"""),4918.0)</f>
        <v>4918</v>
      </c>
      <c r="E75" s="6">
        <f>IFERROR(__xludf.DUMMYFUNCTION("""COMPUTED_VALUE"""),4935.4)</f>
        <v>4935.4</v>
      </c>
      <c r="F75" s="6">
        <f>IFERROR(__xludf.DUMMYFUNCTION("""COMPUTED_VALUE"""),2299111.0)</f>
        <v>2299111</v>
      </c>
    </row>
    <row r="76">
      <c r="A76" s="7">
        <f>IFERROR(__xludf.DUMMYFUNCTION("""COMPUTED_VALUE"""),45723.64583333333)</f>
        <v>45723.64583</v>
      </c>
      <c r="B76" s="6">
        <f>IFERROR(__xludf.DUMMYFUNCTION("""COMPUTED_VALUE"""),4954.8)</f>
        <v>4954.8</v>
      </c>
      <c r="C76" s="6">
        <f>IFERROR(__xludf.DUMMYFUNCTION("""COMPUTED_VALUE"""),5432.0)</f>
        <v>5432</v>
      </c>
      <c r="D76" s="6">
        <f>IFERROR(__xludf.DUMMYFUNCTION("""COMPUTED_VALUE"""),4890.0)</f>
        <v>4890</v>
      </c>
      <c r="E76" s="6">
        <f>IFERROR(__xludf.DUMMYFUNCTION("""COMPUTED_VALUE"""),5326.55)</f>
        <v>5326.55</v>
      </c>
      <c r="F76" s="6">
        <f>IFERROR(__xludf.DUMMYFUNCTION("""COMPUTED_VALUE"""),2525419.0)</f>
        <v>2525419</v>
      </c>
    </row>
    <row r="77">
      <c r="A77" s="7">
        <f>IFERROR(__xludf.DUMMYFUNCTION("""COMPUTED_VALUE"""),45729.64583333333)</f>
        <v>45729.64583</v>
      </c>
      <c r="B77" s="6">
        <f>IFERROR(__xludf.DUMMYFUNCTION("""COMPUTED_VALUE"""),5328.0)</f>
        <v>5328</v>
      </c>
      <c r="C77" s="6">
        <f>IFERROR(__xludf.DUMMYFUNCTION("""COMPUTED_VALUE"""),5410.75)</f>
        <v>5410.75</v>
      </c>
      <c r="D77" s="6">
        <f>IFERROR(__xludf.DUMMYFUNCTION("""COMPUTED_VALUE"""),5035.0)</f>
        <v>5035</v>
      </c>
      <c r="E77" s="6">
        <f>IFERROR(__xludf.DUMMYFUNCTION("""COMPUTED_VALUE"""),5118.55)</f>
        <v>5118.55</v>
      </c>
      <c r="F77" s="6">
        <f>IFERROR(__xludf.DUMMYFUNCTION("""COMPUTED_VALUE"""),1482633.0)</f>
        <v>1482633</v>
      </c>
    </row>
    <row r="78">
      <c r="A78" s="7">
        <f>IFERROR(__xludf.DUMMYFUNCTION("""COMPUTED_VALUE"""),45737.64583333333)</f>
        <v>45737.64583</v>
      </c>
      <c r="B78" s="6">
        <f>IFERROR(__xludf.DUMMYFUNCTION("""COMPUTED_VALUE"""),5216.95)</f>
        <v>5216.95</v>
      </c>
      <c r="C78" s="6">
        <f>IFERROR(__xludf.DUMMYFUNCTION("""COMPUTED_VALUE"""),5572.65)</f>
        <v>5572.65</v>
      </c>
      <c r="D78" s="6">
        <f>IFERROR(__xludf.DUMMYFUNCTION("""COMPUTED_VALUE"""),5216.95)</f>
        <v>5216.95</v>
      </c>
      <c r="E78" s="6">
        <f>IFERROR(__xludf.DUMMYFUNCTION("""COMPUTED_VALUE"""),5457.5)</f>
        <v>5457.5</v>
      </c>
      <c r="F78" s="6">
        <f>IFERROR(__xludf.DUMMYFUNCTION("""COMPUTED_VALUE"""),2217248.0)</f>
        <v>2217248</v>
      </c>
    </row>
    <row r="79">
      <c r="A79" s="7">
        <f>IFERROR(__xludf.DUMMYFUNCTION("""COMPUTED_VALUE"""),45744.64583333333)</f>
        <v>45744.64583</v>
      </c>
      <c r="B79" s="6">
        <f>IFERROR(__xludf.DUMMYFUNCTION("""COMPUTED_VALUE"""),5471.15)</f>
        <v>5471.15</v>
      </c>
      <c r="C79" s="6">
        <f>IFERROR(__xludf.DUMMYFUNCTION("""COMPUTED_VALUE"""),5625.0)</f>
        <v>5625</v>
      </c>
      <c r="D79" s="6">
        <f>IFERROR(__xludf.DUMMYFUNCTION("""COMPUTED_VALUE"""),5397.5)</f>
        <v>5397.5</v>
      </c>
      <c r="E79" s="6">
        <f>IFERROR(__xludf.DUMMYFUNCTION("""COMPUTED_VALUE"""),5546.25)</f>
        <v>5546.25</v>
      </c>
      <c r="F79" s="6">
        <f>IFERROR(__xludf.DUMMYFUNCTION("""COMPUTED_VALUE"""),2128053.0)</f>
        <v>2128053</v>
      </c>
    </row>
    <row r="80">
      <c r="A80" s="7">
        <f>IFERROR(__xludf.DUMMYFUNCTION("""COMPUTED_VALUE"""),45751.64583333333)</f>
        <v>45751.64583</v>
      </c>
      <c r="B80" s="6">
        <f>IFERROR(__xludf.DUMMYFUNCTION("""COMPUTED_VALUE"""),5539.5)</f>
        <v>5539.5</v>
      </c>
      <c r="C80" s="6">
        <f>IFERROR(__xludf.DUMMYFUNCTION("""COMPUTED_VALUE"""),5548.0)</f>
        <v>5548</v>
      </c>
      <c r="D80" s="6">
        <f>IFERROR(__xludf.DUMMYFUNCTION("""COMPUTED_VALUE"""),5075.7)</f>
        <v>5075.7</v>
      </c>
      <c r="E80" s="6">
        <f>IFERROR(__xludf.DUMMYFUNCTION("""COMPUTED_VALUE"""),5095.9)</f>
        <v>5095.9</v>
      </c>
      <c r="F80" s="6">
        <f>IFERROR(__xludf.DUMMYFUNCTION("""COMPUTED_VALUE"""),1744471.0)</f>
        <v>1744471</v>
      </c>
    </row>
    <row r="81">
      <c r="A81" s="7">
        <f>IFERROR(__xludf.DUMMYFUNCTION("""COMPUTED_VALUE"""),45758.64583333333)</f>
        <v>45758.64583</v>
      </c>
      <c r="B81" s="6">
        <f>IFERROR(__xludf.DUMMYFUNCTION("""COMPUTED_VALUE"""),4684.45)</f>
        <v>4684.45</v>
      </c>
      <c r="C81" s="6">
        <f>IFERROR(__xludf.DUMMYFUNCTION("""COMPUTED_VALUE"""),5173.95)</f>
        <v>5173.95</v>
      </c>
      <c r="D81" s="6">
        <f>IFERROR(__xludf.DUMMYFUNCTION("""COMPUTED_VALUE"""),4684.45)</f>
        <v>4684.45</v>
      </c>
      <c r="E81" s="6">
        <f>IFERROR(__xludf.DUMMYFUNCTION("""COMPUTED_VALUE"""),5143.3)</f>
        <v>5143.3</v>
      </c>
      <c r="F81" s="6">
        <f>IFERROR(__xludf.DUMMYFUNCTION("""COMPUTED_VALUE"""),1839123.0)</f>
        <v>1839123</v>
      </c>
    </row>
    <row r="82">
      <c r="A82" s="7">
        <f>IFERROR(__xludf.DUMMYFUNCTION("""COMPUTED_VALUE"""),45764.64583333333)</f>
        <v>45764.64583</v>
      </c>
      <c r="B82" s="6">
        <f>IFERROR(__xludf.DUMMYFUNCTION("""COMPUTED_VALUE"""),5220.0)</f>
        <v>5220</v>
      </c>
      <c r="C82" s="6">
        <f>IFERROR(__xludf.DUMMYFUNCTION("""COMPUTED_VALUE"""),5645.0)</f>
        <v>5645</v>
      </c>
      <c r="D82" s="6">
        <f>IFERROR(__xludf.DUMMYFUNCTION("""COMPUTED_VALUE"""),5158.5)</f>
        <v>5158.5</v>
      </c>
      <c r="E82" s="6">
        <f>IFERROR(__xludf.DUMMYFUNCTION("""COMPUTED_VALUE"""),5571.5)</f>
        <v>5571.5</v>
      </c>
      <c r="F82" s="6">
        <f>IFERROR(__xludf.DUMMYFUNCTION("""COMPUTED_VALUE"""),2044798.0)</f>
        <v>2044798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IFERROR(__xludf.DUMMYFUNCTION("""COMPUTED_VALUE"""),5678.5)</f>
        <v>5678.5</v>
      </c>
      <c r="C83" s="6">
        <f>IFERROR(__xludf.DUMMYFUNCTION("""COMPUTED_VALUE"""),5792.0)</f>
        <v>5792</v>
      </c>
      <c r="D83" s="6">
        <f>IFERROR(__xludf.DUMMYFUNCTION("""COMPUTED_VALUE"""),5385.0)</f>
        <v>5385</v>
      </c>
      <c r="E83" s="6">
        <f>IFERROR(__xludf.DUMMYFUNCTION("""COMPUTED_VALUE"""),5499.0)</f>
        <v>5499</v>
      </c>
      <c r="F83" s="6">
        <f>IFERROR(__xludf.DUMMYFUNCTION("""COMPUTED_VALUE"""),2399110.0)</f>
        <v>2399110</v>
      </c>
    </row>
    <row r="84">
      <c r="A84" s="7">
        <f>IFERROR(__xludf.DUMMYFUNCTION("""COMPUTED_VALUE"""),45779.64583333333)</f>
        <v>45779.64583</v>
      </c>
      <c r="B84" s="6">
        <f>IFERROR(__xludf.DUMMYFUNCTION("""COMPUTED_VALUE"""),5499.0)</f>
        <v>5499</v>
      </c>
      <c r="C84" s="6">
        <f>IFERROR(__xludf.DUMMYFUNCTION("""COMPUTED_VALUE"""),5625.0)</f>
        <v>5625</v>
      </c>
      <c r="D84" s="6">
        <f>IFERROR(__xludf.DUMMYFUNCTION("""COMPUTED_VALUE"""),5420.0)</f>
        <v>5420</v>
      </c>
      <c r="E84" s="6">
        <f>IFERROR(__xludf.DUMMYFUNCTION("""COMPUTED_VALUE"""),5451.0)</f>
        <v>5451</v>
      </c>
      <c r="F84" s="6">
        <f>IFERROR(__xludf.DUMMYFUNCTION("""COMPUTED_VALUE"""),950310.0)</f>
        <v>950310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IFERROR(__xludf.DUMMYFUNCTION("""COMPUTED_VALUE"""),5499.0)</f>
        <v>5499</v>
      </c>
      <c r="C85" s="6">
        <f>IFERROR(__xludf.DUMMYFUNCTION("""COMPUTED_VALUE"""),5504.5)</f>
        <v>5504.5</v>
      </c>
      <c r="D85" s="6">
        <f>IFERROR(__xludf.DUMMYFUNCTION("""COMPUTED_VALUE"""),5190.0)</f>
        <v>5190</v>
      </c>
      <c r="E85" s="6">
        <f>IFERROR(__xludf.DUMMYFUNCTION("""COMPUTED_VALUE"""),5440.5)</f>
        <v>5440.5</v>
      </c>
      <c r="F85" s="6">
        <f>IFERROR(__xludf.DUMMYFUNCTION("""COMPUTED_VALUE"""),1579682.0)</f>
        <v>1579682</v>
      </c>
    </row>
    <row r="86">
      <c r="A86" s="7">
        <f>IFERROR(__xludf.DUMMYFUNCTION("""COMPUTED_VALUE"""),45793.64583333333)</f>
        <v>45793.64583</v>
      </c>
      <c r="B86" s="6">
        <f>IFERROR(__xludf.DUMMYFUNCTION("""COMPUTED_VALUE"""),5515.0)</f>
        <v>5515</v>
      </c>
      <c r="C86" s="6">
        <f>IFERROR(__xludf.DUMMYFUNCTION("""COMPUTED_VALUE"""),5866.0)</f>
        <v>5866</v>
      </c>
      <c r="D86" s="6">
        <f>IFERROR(__xludf.DUMMYFUNCTION("""COMPUTED_VALUE"""),5472.5)</f>
        <v>5472.5</v>
      </c>
      <c r="E86" s="6">
        <f>IFERROR(__xludf.DUMMYFUNCTION("""COMPUTED_VALUE"""),5820.0)</f>
        <v>5820</v>
      </c>
      <c r="F86" s="6">
        <f>IFERROR(__xludf.DUMMYFUNCTION("""COMPUTED_VALUE"""),2482350.0)</f>
        <v>2482350</v>
      </c>
    </row>
    <row r="87">
      <c r="A87" s="7">
        <f>IFERROR(__xludf.DUMMYFUNCTION("""COMPUTED_VALUE"""),45800.64583333333)</f>
        <v>45800.64583</v>
      </c>
      <c r="B87" s="6">
        <f>IFERROR(__xludf.DUMMYFUNCTION("""COMPUTED_VALUE"""),5869.5)</f>
        <v>5869.5</v>
      </c>
      <c r="C87" s="6">
        <f>IFERROR(__xludf.DUMMYFUNCTION("""COMPUTED_VALUE"""),5989.5)</f>
        <v>5989.5</v>
      </c>
      <c r="D87" s="6">
        <f>IFERROR(__xludf.DUMMYFUNCTION("""COMPUTED_VALUE"""),5710.0)</f>
        <v>5710</v>
      </c>
      <c r="E87" s="6">
        <f>IFERROR(__xludf.DUMMYFUNCTION("""COMPUTED_VALUE"""),5961.0)</f>
        <v>5961</v>
      </c>
      <c r="F87" s="6">
        <f>IFERROR(__xludf.DUMMYFUNCTION("""COMPUTED_VALUE"""),1386840.0)</f>
        <v>1386840</v>
      </c>
    </row>
    <row r="88">
      <c r="A88" s="7">
        <f>IFERROR(__xludf.DUMMYFUNCTION("""COMPUTED_VALUE"""),45807.64583333333)</f>
        <v>45807.64583</v>
      </c>
      <c r="B88" s="6">
        <f>IFERROR(__xludf.DUMMYFUNCTION("""COMPUTED_VALUE"""),5965.0)</f>
        <v>5965</v>
      </c>
      <c r="C88" s="6">
        <f>IFERROR(__xludf.DUMMYFUNCTION("""COMPUTED_VALUE"""),6118.0)</f>
        <v>6118</v>
      </c>
      <c r="D88" s="6">
        <f>IFERROR(__xludf.DUMMYFUNCTION("""COMPUTED_VALUE"""),5945.5)</f>
        <v>5945.5</v>
      </c>
      <c r="E88" s="6">
        <f>IFERROR(__xludf.DUMMYFUNCTION("""COMPUTED_VALUE"""),5971.0)</f>
        <v>5971</v>
      </c>
      <c r="F88" s="6">
        <f>IFERROR(__xludf.DUMMYFUNCTION("""COMPUTED_VALUE"""),1082589.0)</f>
        <v>1082589</v>
      </c>
    </row>
    <row r="89">
      <c r="A89" s="7">
        <f>IFERROR(__xludf.DUMMYFUNCTION("""COMPUTED_VALUE"""),45814.64583333333)</f>
        <v>45814.64583</v>
      </c>
      <c r="B89" s="6">
        <f>IFERROR(__xludf.DUMMYFUNCTION("""COMPUTED_VALUE"""),5960.0)</f>
        <v>5960</v>
      </c>
      <c r="C89" s="6">
        <f>IFERROR(__xludf.DUMMYFUNCTION("""COMPUTED_VALUE"""),6175.5)</f>
        <v>6175.5</v>
      </c>
      <c r="D89" s="6">
        <f>IFERROR(__xludf.DUMMYFUNCTION("""COMPUTED_VALUE"""),5891.0)</f>
        <v>5891</v>
      </c>
      <c r="E89" s="6">
        <f>IFERROR(__xludf.DUMMYFUNCTION("""COMPUTED_VALUE"""),6051.5)</f>
        <v>6051.5</v>
      </c>
      <c r="F89" s="6">
        <f>IFERROR(__xludf.DUMMYFUNCTION("""COMPUTED_VALUE"""),999328.0)</f>
        <v>999328</v>
      </c>
    </row>
    <row r="90">
      <c r="A90" s="7">
        <f>IFERROR(__xludf.DUMMYFUNCTION("""COMPUTED_VALUE"""),45821.64583333333)</f>
        <v>45821.64583</v>
      </c>
      <c r="B90" s="6">
        <f>IFERROR(__xludf.DUMMYFUNCTION("""COMPUTED_VALUE"""),6093.5)</f>
        <v>6093.5</v>
      </c>
      <c r="C90" s="6">
        <f>IFERROR(__xludf.DUMMYFUNCTION("""COMPUTED_VALUE"""),6260.0)</f>
        <v>6260</v>
      </c>
      <c r="D90" s="6">
        <f>IFERROR(__xludf.DUMMYFUNCTION("""COMPUTED_VALUE"""),5885.0)</f>
        <v>5885</v>
      </c>
      <c r="E90" s="6">
        <f>IFERROR(__xludf.DUMMYFUNCTION("""COMPUTED_VALUE"""),5999.0)</f>
        <v>5999</v>
      </c>
      <c r="F90" s="6">
        <f>IFERROR(__xludf.DUMMYFUNCTION("""COMPUTED_VALUE"""),1363320.0)</f>
        <v>1363320</v>
      </c>
    </row>
    <row r="91">
      <c r="A91" s="7">
        <f>IFERROR(__xludf.DUMMYFUNCTION("""COMPUTED_VALUE"""),45828.64583333333)</f>
        <v>45828.64583</v>
      </c>
      <c r="B91" s="6">
        <f>IFERROR(__xludf.DUMMYFUNCTION("""COMPUTED_VALUE"""),6001.0)</f>
        <v>6001</v>
      </c>
      <c r="C91" s="6">
        <f>IFERROR(__xludf.DUMMYFUNCTION("""COMPUTED_VALUE"""),6089.5)</f>
        <v>6089.5</v>
      </c>
      <c r="D91" s="6">
        <f>IFERROR(__xludf.DUMMYFUNCTION("""COMPUTED_VALUE"""),5850.0)</f>
        <v>5850</v>
      </c>
      <c r="E91" s="6">
        <f>IFERROR(__xludf.DUMMYFUNCTION("""COMPUTED_VALUE"""),5968.5)</f>
        <v>5968.5</v>
      </c>
      <c r="F91" s="6">
        <f>IFERROR(__xludf.DUMMYFUNCTION("""COMPUTED_VALUE"""),773528.0)</f>
        <v>773528</v>
      </c>
    </row>
    <row r="92">
      <c r="A92" s="7">
        <f>IFERROR(__xludf.DUMMYFUNCTION("""COMPUTED_VALUE"""),45835.64583333333)</f>
        <v>45835.64583</v>
      </c>
      <c r="B92" s="6">
        <f>IFERROR(__xludf.DUMMYFUNCTION("""COMPUTED_VALUE"""),5900.0)</f>
        <v>5900</v>
      </c>
      <c r="C92" s="6">
        <f>IFERROR(__xludf.DUMMYFUNCTION("""COMPUTED_VALUE"""),6175.0)</f>
        <v>6175</v>
      </c>
      <c r="D92" s="6">
        <f>IFERROR(__xludf.DUMMYFUNCTION("""COMPUTED_VALUE"""),5880.0)</f>
        <v>5880</v>
      </c>
      <c r="E92" s="6">
        <f>IFERROR(__xludf.DUMMYFUNCTION("""COMPUTED_VALUE"""),6069.5)</f>
        <v>6069.5</v>
      </c>
      <c r="F92" s="6">
        <f>IFERROR(__xludf.DUMMYFUNCTION("""COMPUTED_VALUE"""),807316.0)</f>
        <v>807316</v>
      </c>
    </row>
    <row r="93">
      <c r="A93" s="7">
        <f>IFERROR(__xludf.DUMMYFUNCTION("""COMPUTED_VALUE"""),45842.64583333333)</f>
        <v>45842.64583</v>
      </c>
      <c r="B93" s="6">
        <f>IFERROR(__xludf.DUMMYFUNCTION("""COMPUTED_VALUE"""),6090.0)</f>
        <v>6090</v>
      </c>
      <c r="C93" s="6">
        <f>IFERROR(__xludf.DUMMYFUNCTION("""COMPUTED_VALUE"""),6144.5)</f>
        <v>6144.5</v>
      </c>
      <c r="D93" s="6">
        <f>IFERROR(__xludf.DUMMYFUNCTION("""COMPUTED_VALUE"""),5841.0)</f>
        <v>5841</v>
      </c>
      <c r="E93" s="6">
        <f>IFERROR(__xludf.DUMMYFUNCTION("""COMPUTED_VALUE"""),5862.0)</f>
        <v>5862</v>
      </c>
      <c r="F93" s="6">
        <f>IFERROR(__xludf.DUMMYFUNCTION("""COMPUTED_VALUE"""),1154560.0)</f>
        <v>1154560</v>
      </c>
    </row>
    <row r="94">
      <c r="A94" s="7">
        <f>IFERROR(__xludf.DUMMYFUNCTION("""COMPUTED_VALUE"""),45849.64583333333)</f>
        <v>45849.64583</v>
      </c>
      <c r="B94" s="6">
        <f>IFERROR(__xludf.DUMMYFUNCTION("""COMPUTED_VALUE"""),5862.0)</f>
        <v>5862</v>
      </c>
      <c r="C94" s="6">
        <f>IFERROR(__xludf.DUMMYFUNCTION("""COMPUTED_VALUE"""),5940.0)</f>
        <v>5940</v>
      </c>
      <c r="D94" s="6">
        <f>IFERROR(__xludf.DUMMYFUNCTION("""COMPUTED_VALUE"""),5718.0)</f>
        <v>5718</v>
      </c>
      <c r="E94" s="6">
        <f>IFERROR(__xludf.DUMMYFUNCTION("""COMPUTED_VALUE"""),5756.5)</f>
        <v>5756.5</v>
      </c>
      <c r="F94" s="6">
        <f>IFERROR(__xludf.DUMMYFUNCTION("""COMPUTED_VALUE"""),1008044.0)</f>
        <v>1008044</v>
      </c>
    </row>
    <row r="95">
      <c r="A95" s="7">
        <f>IFERROR(__xludf.DUMMYFUNCTION("""COMPUTED_VALUE"""),45856.64583333333)</f>
        <v>45856.64583</v>
      </c>
      <c r="B95" s="6">
        <f>IFERROR(__xludf.DUMMYFUNCTION("""COMPUTED_VALUE"""),5756.5)</f>
        <v>5756.5</v>
      </c>
      <c r="C95" s="6">
        <f>IFERROR(__xludf.DUMMYFUNCTION("""COMPUTED_VALUE"""),5782.5)</f>
        <v>5782.5</v>
      </c>
      <c r="D95" s="6">
        <f>IFERROR(__xludf.DUMMYFUNCTION("""COMPUTED_VALUE"""),5468.0)</f>
        <v>5468</v>
      </c>
      <c r="E95" s="6">
        <f>IFERROR(__xludf.DUMMYFUNCTION("""COMPUTED_VALUE"""),5646.5)</f>
        <v>5646.5</v>
      </c>
      <c r="F95" s="6">
        <f>IFERROR(__xludf.DUMMYFUNCTION("""COMPUTED_VALUE"""),2998296.0)</f>
        <v>2998296</v>
      </c>
    </row>
    <row r="96">
      <c r="A96" s="7">
        <f>IFERROR(__xludf.DUMMYFUNCTION("""COMPUTED_VALUE"""),45863.64583333333)</f>
        <v>45863.64583</v>
      </c>
      <c r="B96" s="6">
        <f>IFERROR(__xludf.DUMMYFUNCTION("""COMPUTED_VALUE"""),5666.0)</f>
        <v>5666</v>
      </c>
      <c r="C96" s="6">
        <f>IFERROR(__xludf.DUMMYFUNCTION("""COMPUTED_VALUE"""),5872.0)</f>
        <v>5872</v>
      </c>
      <c r="D96" s="6">
        <f>IFERROR(__xludf.DUMMYFUNCTION("""COMPUTED_VALUE"""),5610.5)</f>
        <v>5610.5</v>
      </c>
      <c r="E96" s="6">
        <f>IFERROR(__xludf.DUMMYFUNCTION("""COMPUTED_VALUE"""),5643.0)</f>
        <v>5643</v>
      </c>
      <c r="F96" s="6">
        <f>IFERROR(__xludf.DUMMYFUNCTION("""COMPUTED_VALUE"""),1419086.0)</f>
        <v>1419086</v>
      </c>
    </row>
    <row r="97">
      <c r="A97" s="7">
        <f>IFERROR(__xludf.DUMMYFUNCTION("""COMPUTED_VALUE"""),45870.64583333333)</f>
        <v>45870.64583</v>
      </c>
      <c r="B97" s="6">
        <f>IFERROR(__xludf.DUMMYFUNCTION("""COMPUTED_VALUE"""),5640.0)</f>
        <v>5640</v>
      </c>
      <c r="C97" s="6">
        <f>IFERROR(__xludf.DUMMYFUNCTION("""COMPUTED_VALUE"""),5644.0)</f>
        <v>5644</v>
      </c>
      <c r="D97" s="6">
        <f>IFERROR(__xludf.DUMMYFUNCTION("""COMPUTED_VALUE"""),5360.5)</f>
        <v>5360.5</v>
      </c>
      <c r="E97" s="6">
        <f>IFERROR(__xludf.DUMMYFUNCTION("""COMPUTED_VALUE"""),5387.5)</f>
        <v>5387.5</v>
      </c>
      <c r="F97" s="6">
        <f>IFERROR(__xludf.DUMMYFUNCTION("""COMPUTED_VALUE"""),1445010.0)</f>
        <v>1445010</v>
      </c>
    </row>
    <row r="98">
      <c r="A98" s="7">
        <f>IFERROR(__xludf.DUMMYFUNCTION("""COMPUTED_VALUE"""),45877.64583333333)</f>
        <v>45877.64583</v>
      </c>
      <c r="B98" s="6">
        <f>IFERROR(__xludf.DUMMYFUNCTION("""COMPUTED_VALUE"""),5310.0)</f>
        <v>5310</v>
      </c>
      <c r="C98" s="6">
        <f>IFERROR(__xludf.DUMMYFUNCTION("""COMPUTED_VALUE"""),5364.0)</f>
        <v>5364</v>
      </c>
      <c r="D98" s="6">
        <f>IFERROR(__xludf.DUMMYFUNCTION("""COMPUTED_VALUE"""),5005.5)</f>
        <v>5005.5</v>
      </c>
      <c r="E98" s="6">
        <f>IFERROR(__xludf.DUMMYFUNCTION("""COMPUTED_VALUE"""),5022.0)</f>
        <v>5022</v>
      </c>
      <c r="F98" s="6">
        <f>IFERROR(__xludf.DUMMYFUNCTION("""COMPUTED_VALUE"""),3661504.0)</f>
        <v>3661504</v>
      </c>
    </row>
    <row r="99">
      <c r="A99" s="7">
        <f>IFERROR(__xludf.DUMMYFUNCTION("""COMPUTED_VALUE"""),45883.64583333333)</f>
        <v>45883.64583</v>
      </c>
      <c r="B99" s="6">
        <f>IFERROR(__xludf.DUMMYFUNCTION("""COMPUTED_VALUE"""),5057.0)</f>
        <v>5057</v>
      </c>
      <c r="C99" s="6">
        <f>IFERROR(__xludf.DUMMYFUNCTION("""COMPUTED_VALUE"""),5122.5)</f>
        <v>5122.5</v>
      </c>
      <c r="D99" s="6">
        <f>IFERROR(__xludf.DUMMYFUNCTION("""COMPUTED_VALUE"""),5002.5)</f>
        <v>5002.5</v>
      </c>
      <c r="E99" s="6">
        <f>IFERROR(__xludf.DUMMYFUNCTION("""COMPUTED_VALUE"""),5030.0)</f>
        <v>5030</v>
      </c>
      <c r="F99" s="6">
        <f>IFERROR(__xludf.DUMMYFUNCTION("""COMPUTED_VALUE"""),1171765.0)</f>
        <v>1171765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IFERROR(__xludf.DUMMYFUNCTION("""COMPUTED_VALUE"""),5090.0)</f>
        <v>5090</v>
      </c>
      <c r="C100" s="6">
        <f>IFERROR(__xludf.DUMMYFUNCTION("""COMPUTED_VALUE"""),5195.0)</f>
        <v>5195</v>
      </c>
      <c r="D100" s="6">
        <f>IFERROR(__xludf.DUMMYFUNCTION("""COMPUTED_VALUE"""),5003.5)</f>
        <v>5003.5</v>
      </c>
      <c r="E100" s="6">
        <f>IFERROR(__xludf.DUMMYFUNCTION("""COMPUTED_VALUE"""),5063.0)</f>
        <v>5063</v>
      </c>
      <c r="F100" s="6">
        <f>IFERROR(__xludf.DUMMYFUNCTION("""COMPUTED_VALUE"""),1421402.0)</f>
        <v>1421402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IFERROR(__xludf.DUMMYFUNCTION("""COMPUTED_VALUE"""),5100.0)</f>
        <v>5100</v>
      </c>
      <c r="C101" s="6">
        <f>IFERROR(__xludf.DUMMYFUNCTION("""COMPUTED_VALUE"""),5113.5)</f>
        <v>5113.5</v>
      </c>
      <c r="D101" s="6">
        <f>IFERROR(__xludf.DUMMYFUNCTION("""COMPUTED_VALUE"""),5011.0)</f>
        <v>5011</v>
      </c>
      <c r="E101" s="6">
        <f>IFERROR(__xludf.DUMMYFUNCTION("""COMPUTED_VALUE"""),5022.0)</f>
        <v>5022</v>
      </c>
      <c r="F101" s="6">
        <f>IFERROR(__xludf.DUMMYFUNCTION("""COMPUTED_VALUE"""),4885809.0)</f>
        <v>4885809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4">
      <c r="E14" s="5" t="s">
        <v>24</v>
      </c>
    </row>
    <row r="17">
      <c r="D17" s="5" t="s">
        <v>24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IFERROR(__xludf.DUMMYFUNCTION("GOOGLEFINANCE(""NSE:ABCAPITAL"",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IFERROR(__xludf.DUMMYFUNCTION("""COMPUTED_VALUE"""),179.35)</f>
        <v>179.35</v>
      </c>
      <c r="C2" s="6">
        <f>IFERROR(__xludf.DUMMYFUNCTION("""COMPUTED_VALUE"""),185.0)</f>
        <v>185</v>
      </c>
      <c r="D2" s="6">
        <f>IFERROR(__xludf.DUMMYFUNCTION("""COMPUTED_VALUE"""),178.3)</f>
        <v>178.3</v>
      </c>
      <c r="E2" s="6">
        <f>IFERROR(__xludf.DUMMYFUNCTION("""COMPUTED_VALUE"""),184.1)</f>
        <v>184.1</v>
      </c>
      <c r="F2" s="6">
        <f>IFERROR(__xludf.DUMMYFUNCTION("""COMPUTED_VALUE"""),3.6825508E7)</f>
        <v>36825508</v>
      </c>
    </row>
    <row r="3">
      <c r="A3" s="7">
        <f>IFERROR(__xludf.DUMMYFUNCTION("""COMPUTED_VALUE"""),45177.64583333333)</f>
        <v>45177.64583</v>
      </c>
      <c r="B3" s="6">
        <f>IFERROR(__xludf.DUMMYFUNCTION("""COMPUTED_VALUE"""),184.85)</f>
        <v>184.85</v>
      </c>
      <c r="C3" s="6">
        <f>IFERROR(__xludf.DUMMYFUNCTION("""COMPUTED_VALUE"""),192.45)</f>
        <v>192.45</v>
      </c>
      <c r="D3" s="6">
        <f>IFERROR(__xludf.DUMMYFUNCTION("""COMPUTED_VALUE"""),184.05)</f>
        <v>184.05</v>
      </c>
      <c r="E3" s="6">
        <f>IFERROR(__xludf.DUMMYFUNCTION("""COMPUTED_VALUE"""),186.9)</f>
        <v>186.9</v>
      </c>
      <c r="F3" s="6">
        <f>IFERROR(__xludf.DUMMYFUNCTION("""COMPUTED_VALUE"""),2.0001604E7)</f>
        <v>20001604</v>
      </c>
    </row>
    <row r="4">
      <c r="A4" s="7">
        <f>IFERROR(__xludf.DUMMYFUNCTION("""COMPUTED_VALUE"""),45184.64583333333)</f>
        <v>45184.64583</v>
      </c>
      <c r="B4" s="6">
        <f>IFERROR(__xludf.DUMMYFUNCTION("""COMPUTED_VALUE"""),187.95)</f>
        <v>187.95</v>
      </c>
      <c r="C4" s="6">
        <f>IFERROR(__xludf.DUMMYFUNCTION("""COMPUTED_VALUE"""),192.0)</f>
        <v>192</v>
      </c>
      <c r="D4" s="6">
        <f>IFERROR(__xludf.DUMMYFUNCTION("""COMPUTED_VALUE"""),177.2)</f>
        <v>177.2</v>
      </c>
      <c r="E4" s="6">
        <f>IFERROR(__xludf.DUMMYFUNCTION("""COMPUTED_VALUE"""),184.55)</f>
        <v>184.55</v>
      </c>
      <c r="F4" s="6">
        <f>IFERROR(__xludf.DUMMYFUNCTION("""COMPUTED_VALUE"""),2.0267191E7)</f>
        <v>20267191</v>
      </c>
    </row>
    <row r="5">
      <c r="A5" s="7">
        <f>IFERROR(__xludf.DUMMYFUNCTION("""COMPUTED_VALUE"""),45191.64583333333)</f>
        <v>45191.64583</v>
      </c>
      <c r="B5" s="6">
        <f>IFERROR(__xludf.DUMMYFUNCTION("""COMPUTED_VALUE"""),185.4)</f>
        <v>185.4</v>
      </c>
      <c r="C5" s="6">
        <f>IFERROR(__xludf.DUMMYFUNCTION("""COMPUTED_VALUE"""),186.35)</f>
        <v>186.35</v>
      </c>
      <c r="D5" s="6">
        <f>IFERROR(__xludf.DUMMYFUNCTION("""COMPUTED_VALUE"""),174.65)</f>
        <v>174.65</v>
      </c>
      <c r="E5" s="6">
        <f>IFERROR(__xludf.DUMMYFUNCTION("""COMPUTED_VALUE"""),175.05)</f>
        <v>175.05</v>
      </c>
      <c r="F5" s="6">
        <f>IFERROR(__xludf.DUMMYFUNCTION("""COMPUTED_VALUE"""),1.4053551E7)</f>
        <v>14053551</v>
      </c>
    </row>
    <row r="6">
      <c r="A6" s="7">
        <f>IFERROR(__xludf.DUMMYFUNCTION("""COMPUTED_VALUE"""),45198.64583333333)</f>
        <v>45198.64583</v>
      </c>
      <c r="B6" s="6">
        <f>IFERROR(__xludf.DUMMYFUNCTION("""COMPUTED_VALUE"""),175.45)</f>
        <v>175.45</v>
      </c>
      <c r="C6" s="6">
        <f>IFERROR(__xludf.DUMMYFUNCTION("""COMPUTED_VALUE"""),181.4)</f>
        <v>181.4</v>
      </c>
      <c r="D6" s="6">
        <f>IFERROR(__xludf.DUMMYFUNCTION("""COMPUTED_VALUE"""),173.45)</f>
        <v>173.45</v>
      </c>
      <c r="E6" s="6">
        <f>IFERROR(__xludf.DUMMYFUNCTION("""COMPUTED_VALUE"""),179.95)</f>
        <v>179.95</v>
      </c>
      <c r="F6" s="6">
        <f>IFERROR(__xludf.DUMMYFUNCTION("""COMPUTED_VALUE"""),1.9616424E7)</f>
        <v>19616424</v>
      </c>
    </row>
    <row r="7">
      <c r="A7" s="7">
        <f>IFERROR(__xludf.DUMMYFUNCTION("""COMPUTED_VALUE"""),45205.64583333333)</f>
        <v>45205.64583</v>
      </c>
      <c r="B7" s="6">
        <f>IFERROR(__xludf.DUMMYFUNCTION("""COMPUTED_VALUE"""),179.25)</f>
        <v>179.25</v>
      </c>
      <c r="C7" s="6">
        <f>IFERROR(__xludf.DUMMYFUNCTION("""COMPUTED_VALUE"""),182.15)</f>
        <v>182.15</v>
      </c>
      <c r="D7" s="6">
        <f>IFERROR(__xludf.DUMMYFUNCTION("""COMPUTED_VALUE"""),174.15)</f>
        <v>174.15</v>
      </c>
      <c r="E7" s="6">
        <f>IFERROR(__xludf.DUMMYFUNCTION("""COMPUTED_VALUE"""),181.5)</f>
        <v>181.5</v>
      </c>
      <c r="F7" s="6">
        <f>IFERROR(__xludf.DUMMYFUNCTION("""COMPUTED_VALUE"""),1.0510526E7)</f>
        <v>10510526</v>
      </c>
    </row>
    <row r="8">
      <c r="A8" s="7">
        <f>IFERROR(__xludf.DUMMYFUNCTION("""COMPUTED_VALUE"""),45212.64583333333)</f>
        <v>45212.64583</v>
      </c>
      <c r="B8" s="6">
        <f>IFERROR(__xludf.DUMMYFUNCTION("""COMPUTED_VALUE"""),180.0)</f>
        <v>180</v>
      </c>
      <c r="C8" s="6">
        <f>IFERROR(__xludf.DUMMYFUNCTION("""COMPUTED_VALUE"""),183.2)</f>
        <v>183.2</v>
      </c>
      <c r="D8" s="6">
        <f>IFERROR(__xludf.DUMMYFUNCTION("""COMPUTED_VALUE"""),174.6)</f>
        <v>174.6</v>
      </c>
      <c r="E8" s="6">
        <f>IFERROR(__xludf.DUMMYFUNCTION("""COMPUTED_VALUE"""),180.6)</f>
        <v>180.6</v>
      </c>
      <c r="F8" s="6">
        <f>IFERROR(__xludf.DUMMYFUNCTION("""COMPUTED_VALUE"""),1.0196775E7)</f>
        <v>10196775</v>
      </c>
    </row>
    <row r="9">
      <c r="A9" s="7">
        <f>IFERROR(__xludf.DUMMYFUNCTION("""COMPUTED_VALUE"""),45219.64583333333)</f>
        <v>45219.64583</v>
      </c>
      <c r="B9" s="6">
        <f>IFERROR(__xludf.DUMMYFUNCTION("""COMPUTED_VALUE"""),180.6)</f>
        <v>180.6</v>
      </c>
      <c r="C9" s="6">
        <f>IFERROR(__xludf.DUMMYFUNCTION("""COMPUTED_VALUE"""),185.25)</f>
        <v>185.25</v>
      </c>
      <c r="D9" s="6">
        <f>IFERROR(__xludf.DUMMYFUNCTION("""COMPUTED_VALUE"""),177.65)</f>
        <v>177.65</v>
      </c>
      <c r="E9" s="6">
        <f>IFERROR(__xludf.DUMMYFUNCTION("""COMPUTED_VALUE"""),181.9)</f>
        <v>181.9</v>
      </c>
      <c r="F9" s="6">
        <f>IFERROR(__xludf.DUMMYFUNCTION("""COMPUTED_VALUE"""),1.2251605E7)</f>
        <v>12251605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IFERROR(__xludf.DUMMYFUNCTION("""COMPUTED_VALUE"""),181.9)</f>
        <v>181.9</v>
      </c>
      <c r="C10" s="6">
        <f>IFERROR(__xludf.DUMMYFUNCTION("""COMPUTED_VALUE"""),183.0)</f>
        <v>183</v>
      </c>
      <c r="D10" s="6">
        <f>IFERROR(__xludf.DUMMYFUNCTION("""COMPUTED_VALUE"""),166.7)</f>
        <v>166.7</v>
      </c>
      <c r="E10" s="6">
        <f>IFERROR(__xludf.DUMMYFUNCTION("""COMPUTED_VALUE"""),172.25)</f>
        <v>172.25</v>
      </c>
      <c r="F10" s="6">
        <f>IFERROR(__xludf.DUMMYFUNCTION("""COMPUTED_VALUE"""),9622438.0)</f>
        <v>9622438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IFERROR(__xludf.DUMMYFUNCTION("""COMPUTED_VALUE"""),172.9)</f>
        <v>172.9</v>
      </c>
      <c r="C11" s="6">
        <f>IFERROR(__xludf.DUMMYFUNCTION("""COMPUTED_VALUE"""),177.25)</f>
        <v>177.25</v>
      </c>
      <c r="D11" s="6">
        <f>IFERROR(__xludf.DUMMYFUNCTION("""COMPUTED_VALUE"""),169.75)</f>
        <v>169.75</v>
      </c>
      <c r="E11" s="6">
        <f>IFERROR(__xludf.DUMMYFUNCTION("""COMPUTED_VALUE"""),173.1)</f>
        <v>173.1</v>
      </c>
      <c r="F11" s="6">
        <f>IFERROR(__xludf.DUMMYFUNCTION("""COMPUTED_VALUE"""),1.4019197E7)</f>
        <v>14019197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IFERROR(__xludf.DUMMYFUNCTION("""COMPUTED_VALUE"""),174.2)</f>
        <v>174.2</v>
      </c>
      <c r="C12" s="6">
        <f>IFERROR(__xludf.DUMMYFUNCTION("""COMPUTED_VALUE"""),177.4)</f>
        <v>177.4</v>
      </c>
      <c r="D12" s="6">
        <f>IFERROR(__xludf.DUMMYFUNCTION("""COMPUTED_VALUE"""),170.0)</f>
        <v>170</v>
      </c>
      <c r="E12" s="6">
        <f>IFERROR(__xludf.DUMMYFUNCTION("""COMPUTED_VALUE"""),175.05)</f>
        <v>175.05</v>
      </c>
      <c r="F12" s="6">
        <f>IFERROR(__xludf.DUMMYFUNCTION("""COMPUTED_VALUE"""),1.5055287E7)</f>
        <v>15055287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IFERROR(__xludf.DUMMYFUNCTION("""COMPUTED_VALUE"""),176.35)</f>
        <v>176.35</v>
      </c>
      <c r="C13" s="6">
        <f>IFERROR(__xludf.DUMMYFUNCTION("""COMPUTED_VALUE"""),182.9)</f>
        <v>182.9</v>
      </c>
      <c r="D13" s="6">
        <f>IFERROR(__xludf.DUMMYFUNCTION("""COMPUTED_VALUE"""),168.6)</f>
        <v>168.6</v>
      </c>
      <c r="E13" s="6">
        <f>IFERROR(__xludf.DUMMYFUNCTION("""COMPUTED_VALUE"""),170.95)</f>
        <v>170.95</v>
      </c>
      <c r="F13" s="6">
        <f>IFERROR(__xludf.DUMMYFUNCTION("""COMPUTED_VALUE"""),1.9509974E7)</f>
        <v>19509974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IFERROR(__xludf.DUMMYFUNCTION("""COMPUTED_VALUE"""),171.8)</f>
        <v>171.8</v>
      </c>
      <c r="C14" s="6">
        <f>IFERROR(__xludf.DUMMYFUNCTION("""COMPUTED_VALUE"""),174.15)</f>
        <v>174.15</v>
      </c>
      <c r="D14" s="6">
        <f>IFERROR(__xludf.DUMMYFUNCTION("""COMPUTED_VALUE"""),167.2)</f>
        <v>167.2</v>
      </c>
      <c r="E14" s="6">
        <f>IFERROR(__xludf.DUMMYFUNCTION("""COMPUTED_VALUE"""),168.7)</f>
        <v>168.7</v>
      </c>
      <c r="F14" s="6">
        <f>IFERROR(__xludf.DUMMYFUNCTION("""COMPUTED_VALUE"""),1.310415E7)</f>
        <v>13104150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IFERROR(__xludf.DUMMYFUNCTION("""COMPUTED_VALUE"""),169.3)</f>
        <v>169.3</v>
      </c>
      <c r="C15" s="6">
        <f>IFERROR(__xludf.DUMMYFUNCTION("""COMPUTED_VALUE"""),172.25)</f>
        <v>172.25</v>
      </c>
      <c r="D15" s="6">
        <f>IFERROR(__xludf.DUMMYFUNCTION("""COMPUTED_VALUE"""),167.4)</f>
        <v>167.4</v>
      </c>
      <c r="E15" s="6">
        <f>IFERROR(__xludf.DUMMYFUNCTION("""COMPUTED_VALUE"""),169.9)</f>
        <v>169.9</v>
      </c>
      <c r="F15" s="6">
        <f>IFERROR(__xludf.DUMMYFUNCTION("""COMPUTED_VALUE"""),3.2848001E7)</f>
        <v>32848001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IFERROR(__xludf.DUMMYFUNCTION("""COMPUTED_VALUE"""),172.0)</f>
        <v>172</v>
      </c>
      <c r="C16" s="6">
        <f>IFERROR(__xludf.DUMMYFUNCTION("""COMPUTED_VALUE"""),175.4)</f>
        <v>175.4</v>
      </c>
      <c r="D16" s="6">
        <f>IFERROR(__xludf.DUMMYFUNCTION("""COMPUTED_VALUE"""),160.8)</f>
        <v>160.8</v>
      </c>
      <c r="E16" s="6">
        <f>IFERROR(__xludf.DUMMYFUNCTION("""COMPUTED_VALUE"""),163.2)</f>
        <v>163.2</v>
      </c>
      <c r="F16" s="6">
        <f>IFERROR(__xludf.DUMMYFUNCTION("""COMPUTED_VALUE"""),3.9201288E7)</f>
        <v>39201288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IFERROR(__xludf.DUMMYFUNCTION("""COMPUTED_VALUE"""),164.2)</f>
        <v>164.2</v>
      </c>
      <c r="C17" s="6">
        <f>IFERROR(__xludf.DUMMYFUNCTION("""COMPUTED_VALUE"""),167.7)</f>
        <v>167.7</v>
      </c>
      <c r="D17" s="6">
        <f>IFERROR(__xludf.DUMMYFUNCTION("""COMPUTED_VALUE"""),162.75)</f>
        <v>162.75</v>
      </c>
      <c r="E17" s="6">
        <f>IFERROR(__xludf.DUMMYFUNCTION("""COMPUTED_VALUE"""),165.6)</f>
        <v>165.6</v>
      </c>
      <c r="F17" s="6">
        <f>IFERROR(__xludf.DUMMYFUNCTION("""COMPUTED_VALUE"""),1.8174881E7)</f>
        <v>18174881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IFERROR(__xludf.DUMMYFUNCTION("""COMPUTED_VALUE"""),166.0)</f>
        <v>166</v>
      </c>
      <c r="C18" s="6">
        <f>IFERROR(__xludf.DUMMYFUNCTION("""COMPUTED_VALUE"""),166.6)</f>
        <v>166.6</v>
      </c>
      <c r="D18" s="6">
        <f>IFERROR(__xludf.DUMMYFUNCTION("""COMPUTED_VALUE"""),155.0)</f>
        <v>155</v>
      </c>
      <c r="E18" s="6">
        <f>IFERROR(__xludf.DUMMYFUNCTION("""COMPUTED_VALUE"""),159.7)</f>
        <v>159.7</v>
      </c>
      <c r="F18" s="6">
        <f>IFERROR(__xludf.DUMMYFUNCTION("""COMPUTED_VALUE"""),2.1780352E7)</f>
        <v>21780352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IFERROR(__xludf.DUMMYFUNCTION("""COMPUTED_VALUE"""),160.0)</f>
        <v>160</v>
      </c>
      <c r="C19" s="6">
        <f>IFERROR(__xludf.DUMMYFUNCTION("""COMPUTED_VALUE"""),167.05)</f>
        <v>167.05</v>
      </c>
      <c r="D19" s="6">
        <f>IFERROR(__xludf.DUMMYFUNCTION("""COMPUTED_VALUE"""),159.45)</f>
        <v>159.45</v>
      </c>
      <c r="E19" s="6">
        <f>IFERROR(__xludf.DUMMYFUNCTION("""COMPUTED_VALUE"""),166.4)</f>
        <v>166.4</v>
      </c>
      <c r="F19" s="6">
        <f>IFERROR(__xludf.DUMMYFUNCTION("""COMPUTED_VALUE"""),2.451467E7)</f>
        <v>24514670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IFERROR(__xludf.DUMMYFUNCTION("""COMPUTED_VALUE"""),169.0)</f>
        <v>169</v>
      </c>
      <c r="C20" s="6">
        <f>IFERROR(__xludf.DUMMYFUNCTION("""COMPUTED_VALUE"""),179.2)</f>
        <v>179.2</v>
      </c>
      <c r="D20" s="6">
        <f>IFERROR(__xludf.DUMMYFUNCTION("""COMPUTED_VALUE"""),164.4)</f>
        <v>164.4</v>
      </c>
      <c r="E20" s="6">
        <f>IFERROR(__xludf.DUMMYFUNCTION("""COMPUTED_VALUE"""),175.1)</f>
        <v>175.1</v>
      </c>
      <c r="F20" s="6">
        <f>IFERROR(__xludf.DUMMYFUNCTION("""COMPUTED_VALUE"""),4.6500142E7)</f>
        <v>46500142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IFERROR(__xludf.DUMMYFUNCTION("""COMPUTED_VALUE"""),176.0)</f>
        <v>176</v>
      </c>
      <c r="C21" s="6">
        <f>IFERROR(__xludf.DUMMYFUNCTION("""COMPUTED_VALUE"""),181.0)</f>
        <v>181</v>
      </c>
      <c r="D21" s="6">
        <f>IFERROR(__xludf.DUMMYFUNCTION("""COMPUTED_VALUE"""),172.2)</f>
        <v>172.2</v>
      </c>
      <c r="E21" s="6">
        <f>IFERROR(__xludf.DUMMYFUNCTION("""COMPUTED_VALUE"""),179.35)</f>
        <v>179.35</v>
      </c>
      <c r="F21" s="6">
        <f>IFERROR(__xludf.DUMMYFUNCTION("""COMPUTED_VALUE"""),3.2314865E7)</f>
        <v>32314865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IFERROR(__xludf.DUMMYFUNCTION("""COMPUTED_VALUE"""),174.7)</f>
        <v>174.7</v>
      </c>
      <c r="C22" s="6">
        <f>IFERROR(__xludf.DUMMYFUNCTION("""COMPUTED_VALUE"""),175.3)</f>
        <v>175.3</v>
      </c>
      <c r="D22" s="6">
        <f>IFERROR(__xludf.DUMMYFUNCTION("""COMPUTED_VALUE"""),160.65)</f>
        <v>160.65</v>
      </c>
      <c r="E22" s="6">
        <f>IFERROR(__xludf.DUMMYFUNCTION("""COMPUTED_VALUE"""),165.75)</f>
        <v>165.75</v>
      </c>
      <c r="F22" s="6">
        <f>IFERROR(__xludf.DUMMYFUNCTION("""COMPUTED_VALUE"""),1.9800612E7)</f>
        <v>19800612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IFERROR(__xludf.DUMMYFUNCTION("""COMPUTED_VALUE"""),166.7)</f>
        <v>166.7</v>
      </c>
      <c r="C23" s="6">
        <f>IFERROR(__xludf.DUMMYFUNCTION("""COMPUTED_VALUE"""),185.4)</f>
        <v>185.4</v>
      </c>
      <c r="D23" s="6">
        <f>IFERROR(__xludf.DUMMYFUNCTION("""COMPUTED_VALUE"""),163.35)</f>
        <v>163.35</v>
      </c>
      <c r="E23" s="6">
        <f>IFERROR(__xludf.DUMMYFUNCTION("""COMPUTED_VALUE"""),180.35)</f>
        <v>180.35</v>
      </c>
      <c r="F23" s="6">
        <f>IFERROR(__xludf.DUMMYFUNCTION("""COMPUTED_VALUE"""),5.7489851E7)</f>
        <v>57489851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IFERROR(__xludf.DUMMYFUNCTION("""COMPUTED_VALUE"""),182.0)</f>
        <v>182</v>
      </c>
      <c r="C24" s="6">
        <f>IFERROR(__xludf.DUMMYFUNCTION("""COMPUTED_VALUE"""),191.8)</f>
        <v>191.8</v>
      </c>
      <c r="D24" s="6">
        <f>IFERROR(__xludf.DUMMYFUNCTION("""COMPUTED_VALUE"""),176.7)</f>
        <v>176.7</v>
      </c>
      <c r="E24" s="6">
        <f>IFERROR(__xludf.DUMMYFUNCTION("""COMPUTED_VALUE"""),187.9)</f>
        <v>187.9</v>
      </c>
      <c r="F24" s="6">
        <f>IFERROR(__xludf.DUMMYFUNCTION("""COMPUTED_VALUE"""),3.8435661E7)</f>
        <v>38435661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IFERROR(__xludf.DUMMYFUNCTION("""COMPUTED_VALUE"""),189.35)</f>
        <v>189.35</v>
      </c>
      <c r="C25" s="6">
        <f>IFERROR(__xludf.DUMMYFUNCTION("""COMPUTED_VALUE"""),189.65)</f>
        <v>189.65</v>
      </c>
      <c r="D25" s="6">
        <f>IFERROR(__xludf.DUMMYFUNCTION("""COMPUTED_VALUE"""),176.15)</f>
        <v>176.15</v>
      </c>
      <c r="E25" s="6">
        <f>IFERROR(__xludf.DUMMYFUNCTION("""COMPUTED_VALUE"""),186.05)</f>
        <v>186.05</v>
      </c>
      <c r="F25" s="6">
        <f>IFERROR(__xludf.DUMMYFUNCTION("""COMPUTED_VALUE"""),2.2558339E7)</f>
        <v>22558339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IFERROR(__xludf.DUMMYFUNCTION("""COMPUTED_VALUE"""),187.4)</f>
        <v>187.4</v>
      </c>
      <c r="C26" s="6">
        <f>IFERROR(__xludf.DUMMYFUNCTION("""COMPUTED_VALUE"""),188.35)</f>
        <v>188.35</v>
      </c>
      <c r="D26" s="6">
        <f>IFERROR(__xludf.DUMMYFUNCTION("""COMPUTED_VALUE"""),180.65)</f>
        <v>180.65</v>
      </c>
      <c r="E26" s="6">
        <f>IFERROR(__xludf.DUMMYFUNCTION("""COMPUTED_VALUE"""),187.35)</f>
        <v>187.35</v>
      </c>
      <c r="F26" s="6">
        <f>IFERROR(__xludf.DUMMYFUNCTION("""COMPUTED_VALUE"""),2.4598359E7)</f>
        <v>24598359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IFERROR(__xludf.DUMMYFUNCTION("""COMPUTED_VALUE"""),186.85)</f>
        <v>186.85</v>
      </c>
      <c r="C27" s="6">
        <f>IFERROR(__xludf.DUMMYFUNCTION("""COMPUTED_VALUE"""),194.4)</f>
        <v>194.4</v>
      </c>
      <c r="D27" s="6">
        <f>IFERROR(__xludf.DUMMYFUNCTION("""COMPUTED_VALUE"""),172.8)</f>
        <v>172.8</v>
      </c>
      <c r="E27" s="6">
        <f>IFERROR(__xludf.DUMMYFUNCTION("""COMPUTED_VALUE"""),182.1)</f>
        <v>182.1</v>
      </c>
      <c r="F27" s="6">
        <f>IFERROR(__xludf.DUMMYFUNCTION("""COMPUTED_VALUE"""),4.2344609E7)</f>
        <v>42344609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IFERROR(__xludf.DUMMYFUNCTION("""COMPUTED_VALUE"""),184.0)</f>
        <v>184</v>
      </c>
      <c r="C28" s="6">
        <f>IFERROR(__xludf.DUMMYFUNCTION("""COMPUTED_VALUE"""),190.3)</f>
        <v>190.3</v>
      </c>
      <c r="D28" s="6">
        <f>IFERROR(__xludf.DUMMYFUNCTION("""COMPUTED_VALUE"""),167.45)</f>
        <v>167.45</v>
      </c>
      <c r="E28" s="6">
        <f>IFERROR(__xludf.DUMMYFUNCTION("""COMPUTED_VALUE"""),173.8)</f>
        <v>173.8</v>
      </c>
      <c r="F28" s="6">
        <f>IFERROR(__xludf.DUMMYFUNCTION("""COMPUTED_VALUE"""),5.3058048E7)</f>
        <v>53058048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IFERROR(__xludf.DUMMYFUNCTION("""COMPUTED_VALUE"""),173.05)</f>
        <v>173.05</v>
      </c>
      <c r="C29" s="6">
        <f>IFERROR(__xludf.DUMMYFUNCTION("""COMPUTED_VALUE"""),176.3)</f>
        <v>176.3</v>
      </c>
      <c r="D29" s="6">
        <f>IFERROR(__xludf.DUMMYFUNCTION("""COMPUTED_VALUE"""),165.9)</f>
        <v>165.9</v>
      </c>
      <c r="E29" s="6">
        <f>IFERROR(__xludf.DUMMYFUNCTION("""COMPUTED_VALUE"""),175.05)</f>
        <v>175.05</v>
      </c>
      <c r="F29" s="6">
        <f>IFERROR(__xludf.DUMMYFUNCTION("""COMPUTED_VALUE"""),1.4454366E7)</f>
        <v>14454366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IFERROR(__xludf.DUMMYFUNCTION("""COMPUTED_VALUE"""),175.6)</f>
        <v>175.6</v>
      </c>
      <c r="C30" s="6">
        <f>IFERROR(__xludf.DUMMYFUNCTION("""COMPUTED_VALUE"""),178.9)</f>
        <v>178.9</v>
      </c>
      <c r="D30" s="6">
        <f>IFERROR(__xludf.DUMMYFUNCTION("""COMPUTED_VALUE"""),174.55)</f>
        <v>174.55</v>
      </c>
      <c r="E30" s="6">
        <f>IFERROR(__xludf.DUMMYFUNCTION("""COMPUTED_VALUE"""),175.4)</f>
        <v>175.4</v>
      </c>
      <c r="F30" s="6">
        <f>IFERROR(__xludf.DUMMYFUNCTION("""COMPUTED_VALUE"""),9316158.0)</f>
        <v>9316158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IFERROR(__xludf.DUMMYFUNCTION("""COMPUTED_VALUE"""),176.3)</f>
        <v>176.3</v>
      </c>
      <c r="C31" s="6">
        <f>IFERROR(__xludf.DUMMYFUNCTION("""COMPUTED_VALUE"""),208.7)</f>
        <v>208.7</v>
      </c>
      <c r="D31" s="6">
        <f>IFERROR(__xludf.DUMMYFUNCTION("""COMPUTED_VALUE"""),176.3)</f>
        <v>176.3</v>
      </c>
      <c r="E31" s="6">
        <f>IFERROR(__xludf.DUMMYFUNCTION("""COMPUTED_VALUE"""),204.8)</f>
        <v>204.8</v>
      </c>
      <c r="F31" s="6">
        <f>IFERROR(__xludf.DUMMYFUNCTION("""COMPUTED_VALUE"""),8.9241015E7)</f>
        <v>89241015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IFERROR(__xludf.DUMMYFUNCTION("""COMPUTED_VALUE"""),205.85)</f>
        <v>205.85</v>
      </c>
      <c r="C32" s="6">
        <f>IFERROR(__xludf.DUMMYFUNCTION("""COMPUTED_VALUE"""),208.2)</f>
        <v>208.2</v>
      </c>
      <c r="D32" s="6">
        <f>IFERROR(__xludf.DUMMYFUNCTION("""COMPUTED_VALUE"""),200.75)</f>
        <v>200.75</v>
      </c>
      <c r="E32" s="6">
        <f>IFERROR(__xludf.DUMMYFUNCTION("""COMPUTED_VALUE"""),202.55)</f>
        <v>202.55</v>
      </c>
      <c r="F32" s="6">
        <f>IFERROR(__xludf.DUMMYFUNCTION("""COMPUTED_VALUE"""),1.7588544E7)</f>
        <v>17588544</v>
      </c>
    </row>
    <row r="33">
      <c r="A33" s="7">
        <f>IFERROR(__xludf.DUMMYFUNCTION("""COMPUTED_VALUE"""),45401.64583333333)</f>
        <v>45401.64583</v>
      </c>
      <c r="B33" s="6">
        <f>IFERROR(__xludf.DUMMYFUNCTION("""COMPUTED_VALUE"""),200.3)</f>
        <v>200.3</v>
      </c>
      <c r="C33" s="6">
        <f>IFERROR(__xludf.DUMMYFUNCTION("""COMPUTED_VALUE"""),211.0)</f>
        <v>211</v>
      </c>
      <c r="D33" s="6">
        <f>IFERROR(__xludf.DUMMYFUNCTION("""COMPUTED_VALUE"""),194.25)</f>
        <v>194.25</v>
      </c>
      <c r="E33" s="6">
        <f>IFERROR(__xludf.DUMMYFUNCTION("""COMPUTED_VALUE"""),200.9)</f>
        <v>200.9</v>
      </c>
      <c r="F33" s="6">
        <f>IFERROR(__xludf.DUMMYFUNCTION("""COMPUTED_VALUE"""),4.2205347E7)</f>
        <v>42205347</v>
      </c>
    </row>
    <row r="34">
      <c r="A34" s="7">
        <f>IFERROR(__xludf.DUMMYFUNCTION("""COMPUTED_VALUE"""),45408.64583333333)</f>
        <v>45408.64583</v>
      </c>
      <c r="B34" s="6">
        <f>IFERROR(__xludf.DUMMYFUNCTION("""COMPUTED_VALUE"""),202.9)</f>
        <v>202.9</v>
      </c>
      <c r="C34" s="6">
        <f>IFERROR(__xludf.DUMMYFUNCTION("""COMPUTED_VALUE"""),236.95)</f>
        <v>236.95</v>
      </c>
      <c r="D34" s="6">
        <f>IFERROR(__xludf.DUMMYFUNCTION("""COMPUTED_VALUE"""),201.05)</f>
        <v>201.05</v>
      </c>
      <c r="E34" s="6">
        <f>IFERROR(__xludf.DUMMYFUNCTION("""COMPUTED_VALUE"""),231.3)</f>
        <v>231.3</v>
      </c>
      <c r="F34" s="6">
        <f>IFERROR(__xludf.DUMMYFUNCTION("""COMPUTED_VALUE"""),1.01140994E8)</f>
        <v>101140994</v>
      </c>
    </row>
    <row r="35">
      <c r="A35" s="7">
        <f>IFERROR(__xludf.DUMMYFUNCTION("""COMPUTED_VALUE"""),45415.64583333333)</f>
        <v>45415.64583</v>
      </c>
      <c r="B35" s="6">
        <f>IFERROR(__xludf.DUMMYFUNCTION("""COMPUTED_VALUE"""),233.0)</f>
        <v>233</v>
      </c>
      <c r="C35" s="6">
        <f>IFERROR(__xludf.DUMMYFUNCTION("""COMPUTED_VALUE"""),243.7)</f>
        <v>243.7</v>
      </c>
      <c r="D35" s="6">
        <f>IFERROR(__xludf.DUMMYFUNCTION("""COMPUTED_VALUE"""),228.1)</f>
        <v>228.1</v>
      </c>
      <c r="E35" s="6">
        <f>IFERROR(__xludf.DUMMYFUNCTION("""COMPUTED_VALUE"""),231.1)</f>
        <v>231.1</v>
      </c>
      <c r="F35" s="6">
        <f>IFERROR(__xludf.DUMMYFUNCTION("""COMPUTED_VALUE"""),4.8861258E7)</f>
        <v>48861258</v>
      </c>
    </row>
    <row r="36">
      <c r="A36" s="7">
        <f>IFERROR(__xludf.DUMMYFUNCTION("""COMPUTED_VALUE"""),45422.64583333333)</f>
        <v>45422.64583</v>
      </c>
      <c r="B36" s="6">
        <f>IFERROR(__xludf.DUMMYFUNCTION("""COMPUTED_VALUE"""),232.5)</f>
        <v>232.5</v>
      </c>
      <c r="C36" s="6">
        <f>IFERROR(__xludf.DUMMYFUNCTION("""COMPUTED_VALUE"""),232.9)</f>
        <v>232.9</v>
      </c>
      <c r="D36" s="6">
        <f>IFERROR(__xludf.DUMMYFUNCTION("""COMPUTED_VALUE"""),208.35)</f>
        <v>208.35</v>
      </c>
      <c r="E36" s="6">
        <f>IFERROR(__xludf.DUMMYFUNCTION("""COMPUTED_VALUE"""),216.2)</f>
        <v>216.2</v>
      </c>
      <c r="F36" s="6">
        <f>IFERROR(__xludf.DUMMYFUNCTION("""COMPUTED_VALUE"""),3.9569761E7)</f>
        <v>39569761</v>
      </c>
    </row>
    <row r="37">
      <c r="A37" s="7">
        <f>IFERROR(__xludf.DUMMYFUNCTION("""COMPUTED_VALUE"""),45436.64583333333)</f>
        <v>45436.64583</v>
      </c>
      <c r="B37" s="6">
        <f>IFERROR(__xludf.DUMMYFUNCTION("""COMPUTED_VALUE"""),224.5)</f>
        <v>224.5</v>
      </c>
      <c r="C37" s="6">
        <f>IFERROR(__xludf.DUMMYFUNCTION("""COMPUTED_VALUE"""),231.1)</f>
        <v>231.1</v>
      </c>
      <c r="D37" s="6">
        <f>IFERROR(__xludf.DUMMYFUNCTION("""COMPUTED_VALUE"""),220.6)</f>
        <v>220.6</v>
      </c>
      <c r="E37" s="6">
        <f>IFERROR(__xludf.DUMMYFUNCTION("""COMPUTED_VALUE"""),228.55)</f>
        <v>228.55</v>
      </c>
      <c r="F37" s="6">
        <f>IFERROR(__xludf.DUMMYFUNCTION("""COMPUTED_VALUE"""),3.2324086E7)</f>
        <v>32324086</v>
      </c>
    </row>
    <row r="38">
      <c r="A38" s="7">
        <f>IFERROR(__xludf.DUMMYFUNCTION("""COMPUTED_VALUE"""),45443.64583333333)</f>
        <v>45443.64583</v>
      </c>
      <c r="B38" s="6">
        <f>IFERROR(__xludf.DUMMYFUNCTION("""COMPUTED_VALUE"""),230.0)</f>
        <v>230</v>
      </c>
      <c r="C38" s="6">
        <f>IFERROR(__xludf.DUMMYFUNCTION("""COMPUTED_VALUE"""),234.2)</f>
        <v>234.2</v>
      </c>
      <c r="D38" s="6">
        <f>IFERROR(__xludf.DUMMYFUNCTION("""COMPUTED_VALUE"""),220.25)</f>
        <v>220.25</v>
      </c>
      <c r="E38" s="6">
        <f>IFERROR(__xludf.DUMMYFUNCTION("""COMPUTED_VALUE"""),223.85)</f>
        <v>223.85</v>
      </c>
      <c r="F38" s="6">
        <f>IFERROR(__xludf.DUMMYFUNCTION("""COMPUTED_VALUE"""),3.7327115E7)</f>
        <v>37327115</v>
      </c>
    </row>
    <row r="39">
      <c r="A39" s="7">
        <f>IFERROR(__xludf.DUMMYFUNCTION("""COMPUTED_VALUE"""),45450.64583333333)</f>
        <v>45450.64583</v>
      </c>
      <c r="B39" s="6">
        <f>IFERROR(__xludf.DUMMYFUNCTION("""COMPUTED_VALUE"""),234.0)</f>
        <v>234</v>
      </c>
      <c r="C39" s="6">
        <f>IFERROR(__xludf.DUMMYFUNCTION("""COMPUTED_VALUE"""),237.4)</f>
        <v>237.4</v>
      </c>
      <c r="D39" s="6">
        <f>IFERROR(__xludf.DUMMYFUNCTION("""COMPUTED_VALUE"""),195.5)</f>
        <v>195.5</v>
      </c>
      <c r="E39" s="6">
        <f>IFERROR(__xludf.DUMMYFUNCTION("""COMPUTED_VALUE"""),231.9)</f>
        <v>231.9</v>
      </c>
      <c r="F39" s="6">
        <f>IFERROR(__xludf.DUMMYFUNCTION("""COMPUTED_VALUE"""),6.6738185E7)</f>
        <v>66738185</v>
      </c>
    </row>
    <row r="40">
      <c r="A40" s="7">
        <f>IFERROR(__xludf.DUMMYFUNCTION("""COMPUTED_VALUE"""),45457.64583333333)</f>
        <v>45457.64583</v>
      </c>
      <c r="B40" s="6">
        <f>IFERROR(__xludf.DUMMYFUNCTION("""COMPUTED_VALUE"""),233.37)</f>
        <v>233.37</v>
      </c>
      <c r="C40" s="6">
        <f>IFERROR(__xludf.DUMMYFUNCTION("""COMPUTED_VALUE"""),243.3)</f>
        <v>243.3</v>
      </c>
      <c r="D40" s="6">
        <f>IFERROR(__xludf.DUMMYFUNCTION("""COMPUTED_VALUE"""),229.0)</f>
        <v>229</v>
      </c>
      <c r="E40" s="6">
        <f>IFERROR(__xludf.DUMMYFUNCTION("""COMPUTED_VALUE"""),239.96)</f>
        <v>239.96</v>
      </c>
      <c r="F40" s="6">
        <f>IFERROR(__xludf.DUMMYFUNCTION("""COMPUTED_VALUE"""),3.795539E7)</f>
        <v>37955390</v>
      </c>
    </row>
    <row r="41">
      <c r="A41" s="7">
        <f>IFERROR(__xludf.DUMMYFUNCTION("""COMPUTED_VALUE"""),45464.64583333333)</f>
        <v>45464.64583</v>
      </c>
      <c r="B41" s="6">
        <f>IFERROR(__xludf.DUMMYFUNCTION("""COMPUTED_VALUE"""),240.0)</f>
        <v>240</v>
      </c>
      <c r="C41" s="6">
        <f>IFERROR(__xludf.DUMMYFUNCTION("""COMPUTED_VALUE"""),246.9)</f>
        <v>246.9</v>
      </c>
      <c r="D41" s="6">
        <f>IFERROR(__xludf.DUMMYFUNCTION("""COMPUTED_VALUE"""),225.0)</f>
        <v>225</v>
      </c>
      <c r="E41" s="6">
        <f>IFERROR(__xludf.DUMMYFUNCTION("""COMPUTED_VALUE"""),241.3)</f>
        <v>241.3</v>
      </c>
      <c r="F41" s="6">
        <f>IFERROR(__xludf.DUMMYFUNCTION("""COMPUTED_VALUE"""),3.9398324E7)</f>
        <v>39398324</v>
      </c>
    </row>
    <row r="42">
      <c r="A42" s="7">
        <f>IFERROR(__xludf.DUMMYFUNCTION("""COMPUTED_VALUE"""),45471.64583333333)</f>
        <v>45471.64583</v>
      </c>
      <c r="B42" s="6">
        <f>IFERROR(__xludf.DUMMYFUNCTION("""COMPUTED_VALUE"""),239.71)</f>
        <v>239.71</v>
      </c>
      <c r="C42" s="6">
        <f>IFERROR(__xludf.DUMMYFUNCTION("""COMPUTED_VALUE"""),243.39)</f>
        <v>243.39</v>
      </c>
      <c r="D42" s="6">
        <f>IFERROR(__xludf.DUMMYFUNCTION("""COMPUTED_VALUE"""),232.76)</f>
        <v>232.76</v>
      </c>
      <c r="E42" s="6">
        <f>IFERROR(__xludf.DUMMYFUNCTION("""COMPUTED_VALUE"""),238.71)</f>
        <v>238.71</v>
      </c>
      <c r="F42" s="6">
        <f>IFERROR(__xludf.DUMMYFUNCTION("""COMPUTED_VALUE"""),2.336874E7)</f>
        <v>23368740</v>
      </c>
    </row>
    <row r="43">
      <c r="A43" s="7">
        <f>IFERROR(__xludf.DUMMYFUNCTION("""COMPUTED_VALUE"""),45478.64583333333)</f>
        <v>45478.64583</v>
      </c>
      <c r="B43" s="6">
        <f>IFERROR(__xludf.DUMMYFUNCTION("""COMPUTED_VALUE"""),239.4)</f>
        <v>239.4</v>
      </c>
      <c r="C43" s="6">
        <f>IFERROR(__xludf.DUMMYFUNCTION("""COMPUTED_VALUE"""),242.41)</f>
        <v>242.41</v>
      </c>
      <c r="D43" s="6">
        <f>IFERROR(__xludf.DUMMYFUNCTION("""COMPUTED_VALUE"""),234.4)</f>
        <v>234.4</v>
      </c>
      <c r="E43" s="6">
        <f>IFERROR(__xludf.DUMMYFUNCTION("""COMPUTED_VALUE"""),236.01)</f>
        <v>236.01</v>
      </c>
      <c r="F43" s="6">
        <f>IFERROR(__xludf.DUMMYFUNCTION("""COMPUTED_VALUE"""),1.6168145E7)</f>
        <v>16168145</v>
      </c>
    </row>
    <row r="44">
      <c r="A44" s="7">
        <f>IFERROR(__xludf.DUMMYFUNCTION("""COMPUTED_VALUE"""),45485.64583333333)</f>
        <v>45485.64583</v>
      </c>
      <c r="B44" s="6">
        <f>IFERROR(__xludf.DUMMYFUNCTION("""COMPUTED_VALUE"""),236.01)</f>
        <v>236.01</v>
      </c>
      <c r="C44" s="6">
        <f>IFERROR(__xludf.DUMMYFUNCTION("""COMPUTED_VALUE"""),237.04)</f>
        <v>237.04</v>
      </c>
      <c r="D44" s="6">
        <f>IFERROR(__xludf.DUMMYFUNCTION("""COMPUTED_VALUE"""),224.29)</f>
        <v>224.29</v>
      </c>
      <c r="E44" s="6">
        <f>IFERROR(__xludf.DUMMYFUNCTION("""COMPUTED_VALUE"""),224.75)</f>
        <v>224.75</v>
      </c>
      <c r="F44" s="6">
        <f>IFERROR(__xludf.DUMMYFUNCTION("""COMPUTED_VALUE"""),1.5669754E7)</f>
        <v>15669754</v>
      </c>
    </row>
    <row r="45">
      <c r="A45" s="7">
        <f>IFERROR(__xludf.DUMMYFUNCTION("""COMPUTED_VALUE"""),45492.64583333333)</f>
        <v>45492.64583</v>
      </c>
      <c r="B45" s="6">
        <f>IFERROR(__xludf.DUMMYFUNCTION("""COMPUTED_VALUE"""),225.34)</f>
        <v>225.34</v>
      </c>
      <c r="C45" s="6">
        <f>IFERROR(__xludf.DUMMYFUNCTION("""COMPUTED_VALUE"""),228.18)</f>
        <v>228.18</v>
      </c>
      <c r="D45" s="6">
        <f>IFERROR(__xludf.DUMMYFUNCTION("""COMPUTED_VALUE"""),215.05)</f>
        <v>215.05</v>
      </c>
      <c r="E45" s="6">
        <f>IFERROR(__xludf.DUMMYFUNCTION("""COMPUTED_VALUE"""),215.64)</f>
        <v>215.64</v>
      </c>
      <c r="F45" s="6">
        <f>IFERROR(__xludf.DUMMYFUNCTION("""COMPUTED_VALUE"""),1.5606722E7)</f>
        <v>15606722</v>
      </c>
    </row>
    <row r="46">
      <c r="A46" s="7">
        <f>IFERROR(__xludf.DUMMYFUNCTION("""COMPUTED_VALUE"""),45499.64583333333)</f>
        <v>45499.64583</v>
      </c>
      <c r="B46" s="6">
        <f>IFERROR(__xludf.DUMMYFUNCTION("""COMPUTED_VALUE"""),215.0)</f>
        <v>215</v>
      </c>
      <c r="C46" s="6">
        <f>IFERROR(__xludf.DUMMYFUNCTION("""COMPUTED_VALUE"""),224.45)</f>
        <v>224.45</v>
      </c>
      <c r="D46" s="6">
        <f>IFERROR(__xludf.DUMMYFUNCTION("""COMPUTED_VALUE"""),205.53)</f>
        <v>205.53</v>
      </c>
      <c r="E46" s="6">
        <f>IFERROR(__xludf.DUMMYFUNCTION("""COMPUTED_VALUE"""),223.43)</f>
        <v>223.43</v>
      </c>
      <c r="F46" s="6">
        <f>IFERROR(__xludf.DUMMYFUNCTION("""COMPUTED_VALUE"""),2.2179365E7)</f>
        <v>22179365</v>
      </c>
    </row>
    <row r="47">
      <c r="A47" s="7">
        <f>IFERROR(__xludf.DUMMYFUNCTION("""COMPUTED_VALUE"""),45506.64583333333)</f>
        <v>45506.64583</v>
      </c>
      <c r="B47" s="6">
        <f>IFERROR(__xludf.DUMMYFUNCTION("""COMPUTED_VALUE"""),225.0)</f>
        <v>225</v>
      </c>
      <c r="C47" s="6">
        <f>IFERROR(__xludf.DUMMYFUNCTION("""COMPUTED_VALUE"""),229.4)</f>
        <v>229.4</v>
      </c>
      <c r="D47" s="6">
        <f>IFERROR(__xludf.DUMMYFUNCTION("""COMPUTED_VALUE"""),208.0)</f>
        <v>208</v>
      </c>
      <c r="E47" s="6">
        <f>IFERROR(__xludf.DUMMYFUNCTION("""COMPUTED_VALUE"""),211.59)</f>
        <v>211.59</v>
      </c>
      <c r="F47" s="6">
        <f>IFERROR(__xludf.DUMMYFUNCTION("""COMPUTED_VALUE"""),3.4437693E7)</f>
        <v>34437693</v>
      </c>
    </row>
    <row r="48">
      <c r="A48" s="7">
        <f>IFERROR(__xludf.DUMMYFUNCTION("""COMPUTED_VALUE"""),45513.64583333333)</f>
        <v>45513.64583</v>
      </c>
      <c r="B48" s="6">
        <f>IFERROR(__xludf.DUMMYFUNCTION("""COMPUTED_VALUE"""),204.0)</f>
        <v>204</v>
      </c>
      <c r="C48" s="6">
        <f>IFERROR(__xludf.DUMMYFUNCTION("""COMPUTED_VALUE"""),214.15)</f>
        <v>214.15</v>
      </c>
      <c r="D48" s="6">
        <f>IFERROR(__xludf.DUMMYFUNCTION("""COMPUTED_VALUE"""),200.05)</f>
        <v>200.05</v>
      </c>
      <c r="E48" s="6">
        <f>IFERROR(__xludf.DUMMYFUNCTION("""COMPUTED_VALUE"""),211.8)</f>
        <v>211.8</v>
      </c>
      <c r="F48" s="6">
        <f>IFERROR(__xludf.DUMMYFUNCTION("""COMPUTED_VALUE"""),2.8833609E7)</f>
        <v>28833609</v>
      </c>
    </row>
    <row r="49">
      <c r="A49" s="7">
        <f>IFERROR(__xludf.DUMMYFUNCTION("""COMPUTED_VALUE"""),45520.64583333333)</f>
        <v>45520.64583</v>
      </c>
      <c r="B49" s="6">
        <f>IFERROR(__xludf.DUMMYFUNCTION("""COMPUTED_VALUE"""),211.6)</f>
        <v>211.6</v>
      </c>
      <c r="C49" s="6">
        <f>IFERROR(__xludf.DUMMYFUNCTION("""COMPUTED_VALUE"""),216.98)</f>
        <v>216.98</v>
      </c>
      <c r="D49" s="6">
        <f>IFERROR(__xludf.DUMMYFUNCTION("""COMPUTED_VALUE"""),201.6)</f>
        <v>201.6</v>
      </c>
      <c r="E49" s="6">
        <f>IFERROR(__xludf.DUMMYFUNCTION("""COMPUTED_VALUE"""),216.09)</f>
        <v>216.09</v>
      </c>
      <c r="F49" s="6">
        <f>IFERROR(__xludf.DUMMYFUNCTION("""COMPUTED_VALUE"""),2.4676351E7)</f>
        <v>24676351</v>
      </c>
    </row>
    <row r="50">
      <c r="A50" s="7">
        <f>IFERROR(__xludf.DUMMYFUNCTION("""COMPUTED_VALUE"""),45527.64583333333)</f>
        <v>45527.64583</v>
      </c>
      <c r="B50" s="6">
        <f>IFERROR(__xludf.DUMMYFUNCTION("""COMPUTED_VALUE"""),217.12)</f>
        <v>217.12</v>
      </c>
      <c r="C50" s="6">
        <f>IFERROR(__xludf.DUMMYFUNCTION("""COMPUTED_VALUE"""),226.0)</f>
        <v>226</v>
      </c>
      <c r="D50" s="6">
        <f>IFERROR(__xludf.DUMMYFUNCTION("""COMPUTED_VALUE"""),211.92)</f>
        <v>211.92</v>
      </c>
      <c r="E50" s="6">
        <f>IFERROR(__xludf.DUMMYFUNCTION("""COMPUTED_VALUE"""),219.08)</f>
        <v>219.08</v>
      </c>
      <c r="F50" s="6">
        <f>IFERROR(__xludf.DUMMYFUNCTION("""COMPUTED_VALUE"""),2.9512913E7)</f>
        <v>29512913</v>
      </c>
    </row>
    <row r="51">
      <c r="A51" s="7">
        <f>IFERROR(__xludf.DUMMYFUNCTION("""COMPUTED_VALUE"""),45534.64583333333)</f>
        <v>45534.64583</v>
      </c>
      <c r="B51" s="6">
        <f>IFERROR(__xludf.DUMMYFUNCTION("""COMPUTED_VALUE"""),220.5)</f>
        <v>220.5</v>
      </c>
      <c r="C51" s="6">
        <f>IFERROR(__xludf.DUMMYFUNCTION("""COMPUTED_VALUE"""),225.7)</f>
        <v>225.7</v>
      </c>
      <c r="D51" s="6">
        <f>IFERROR(__xludf.DUMMYFUNCTION("""COMPUTED_VALUE"""),218.09)</f>
        <v>218.09</v>
      </c>
      <c r="E51" s="6">
        <f>IFERROR(__xludf.DUMMYFUNCTION("""COMPUTED_VALUE"""),220.11)</f>
        <v>220.11</v>
      </c>
      <c r="F51" s="6">
        <f>IFERROR(__xludf.DUMMYFUNCTION("""COMPUTED_VALUE"""),2.5703323E7)</f>
        <v>25703323</v>
      </c>
    </row>
    <row r="52">
      <c r="A52" s="7">
        <f>IFERROR(__xludf.DUMMYFUNCTION("""COMPUTED_VALUE"""),45541.64583333333)</f>
        <v>45541.64583</v>
      </c>
      <c r="B52" s="6">
        <f>IFERROR(__xludf.DUMMYFUNCTION("""COMPUTED_VALUE"""),221.0)</f>
        <v>221</v>
      </c>
      <c r="C52" s="6">
        <f>IFERROR(__xludf.DUMMYFUNCTION("""COMPUTED_VALUE"""),229.45)</f>
        <v>229.45</v>
      </c>
      <c r="D52" s="6">
        <f>IFERROR(__xludf.DUMMYFUNCTION("""COMPUTED_VALUE"""),215.64)</f>
        <v>215.64</v>
      </c>
      <c r="E52" s="6">
        <f>IFERROR(__xludf.DUMMYFUNCTION("""COMPUTED_VALUE"""),216.78)</f>
        <v>216.78</v>
      </c>
      <c r="F52" s="6">
        <f>IFERROR(__xludf.DUMMYFUNCTION("""COMPUTED_VALUE"""),2.859038E7)</f>
        <v>28590380</v>
      </c>
    </row>
    <row r="53">
      <c r="A53" s="7">
        <f>IFERROR(__xludf.DUMMYFUNCTION("""COMPUTED_VALUE"""),45548.64583333333)</f>
        <v>45548.64583</v>
      </c>
      <c r="B53" s="6">
        <f>IFERROR(__xludf.DUMMYFUNCTION("""COMPUTED_VALUE"""),217.9)</f>
        <v>217.9</v>
      </c>
      <c r="C53" s="6">
        <f>IFERROR(__xludf.DUMMYFUNCTION("""COMPUTED_VALUE"""),227.18)</f>
        <v>227.18</v>
      </c>
      <c r="D53" s="6">
        <f>IFERROR(__xludf.DUMMYFUNCTION("""COMPUTED_VALUE"""),212.8)</f>
        <v>212.8</v>
      </c>
      <c r="E53" s="6">
        <f>IFERROR(__xludf.DUMMYFUNCTION("""COMPUTED_VALUE"""),226.1)</f>
        <v>226.1</v>
      </c>
      <c r="F53" s="6">
        <f>IFERROR(__xludf.DUMMYFUNCTION("""COMPUTED_VALUE"""),1.8237038E7)</f>
        <v>18237038</v>
      </c>
    </row>
    <row r="54">
      <c r="A54" s="7">
        <f>IFERROR(__xludf.DUMMYFUNCTION("""COMPUTED_VALUE"""),45555.64583333333)</f>
        <v>45555.64583</v>
      </c>
      <c r="B54" s="6">
        <f>IFERROR(__xludf.DUMMYFUNCTION("""COMPUTED_VALUE"""),227.25)</f>
        <v>227.25</v>
      </c>
      <c r="C54" s="6">
        <f>IFERROR(__xludf.DUMMYFUNCTION("""COMPUTED_VALUE"""),240.0)</f>
        <v>240</v>
      </c>
      <c r="D54" s="6">
        <f>IFERROR(__xludf.DUMMYFUNCTION("""COMPUTED_VALUE"""),222.85)</f>
        <v>222.85</v>
      </c>
      <c r="E54" s="6">
        <f>IFERROR(__xludf.DUMMYFUNCTION("""COMPUTED_VALUE"""),228.29)</f>
        <v>228.29</v>
      </c>
      <c r="F54" s="6">
        <f>IFERROR(__xludf.DUMMYFUNCTION("""COMPUTED_VALUE"""),6.0252229E7)</f>
        <v>60252229</v>
      </c>
    </row>
    <row r="55">
      <c r="A55" s="7">
        <f>IFERROR(__xludf.DUMMYFUNCTION("""COMPUTED_VALUE"""),45562.64583333333)</f>
        <v>45562.64583</v>
      </c>
      <c r="B55" s="6">
        <f>IFERROR(__xludf.DUMMYFUNCTION("""COMPUTED_VALUE"""),230.0)</f>
        <v>230</v>
      </c>
      <c r="C55" s="6">
        <f>IFERROR(__xludf.DUMMYFUNCTION("""COMPUTED_VALUE"""),240.19)</f>
        <v>240.19</v>
      </c>
      <c r="D55" s="6">
        <f>IFERROR(__xludf.DUMMYFUNCTION("""COMPUTED_VALUE"""),228.29)</f>
        <v>228.29</v>
      </c>
      <c r="E55" s="6">
        <f>IFERROR(__xludf.DUMMYFUNCTION("""COMPUTED_VALUE"""),236.3)</f>
        <v>236.3</v>
      </c>
      <c r="F55" s="6">
        <f>IFERROR(__xludf.DUMMYFUNCTION("""COMPUTED_VALUE"""),2.7001738E7)</f>
        <v>27001738</v>
      </c>
    </row>
    <row r="56">
      <c r="A56" s="7">
        <f>IFERROR(__xludf.DUMMYFUNCTION("""COMPUTED_VALUE"""),45569.64583333333)</f>
        <v>45569.64583</v>
      </c>
      <c r="B56" s="6">
        <f>IFERROR(__xludf.DUMMYFUNCTION("""COMPUTED_VALUE"""),236.2)</f>
        <v>236.2</v>
      </c>
      <c r="C56" s="6">
        <f>IFERROR(__xludf.DUMMYFUNCTION("""COMPUTED_VALUE"""),244.0)</f>
        <v>244</v>
      </c>
      <c r="D56" s="6">
        <f>IFERROR(__xludf.DUMMYFUNCTION("""COMPUTED_VALUE"""),227.05)</f>
        <v>227.05</v>
      </c>
      <c r="E56" s="6">
        <f>IFERROR(__xludf.DUMMYFUNCTION("""COMPUTED_VALUE"""),227.83)</f>
        <v>227.83</v>
      </c>
      <c r="F56" s="6">
        <f>IFERROR(__xludf.DUMMYFUNCTION("""COMPUTED_VALUE"""),2.6560434E7)</f>
        <v>26560434</v>
      </c>
    </row>
    <row r="57">
      <c r="A57" s="7">
        <f>IFERROR(__xludf.DUMMYFUNCTION("""COMPUTED_VALUE"""),45576.64583333333)</f>
        <v>45576.64583</v>
      </c>
      <c r="B57" s="6">
        <f>IFERROR(__xludf.DUMMYFUNCTION("""COMPUTED_VALUE"""),227.82)</f>
        <v>227.82</v>
      </c>
      <c r="C57" s="6">
        <f>IFERROR(__xludf.DUMMYFUNCTION("""COMPUTED_VALUE"""),233.57)</f>
        <v>233.57</v>
      </c>
      <c r="D57" s="6">
        <f>IFERROR(__xludf.DUMMYFUNCTION("""COMPUTED_VALUE"""),219.24)</f>
        <v>219.24</v>
      </c>
      <c r="E57" s="6">
        <f>IFERROR(__xludf.DUMMYFUNCTION("""COMPUTED_VALUE"""),220.84)</f>
        <v>220.84</v>
      </c>
      <c r="F57" s="6">
        <f>IFERROR(__xludf.DUMMYFUNCTION("""COMPUTED_VALUE"""),1.915328E7)</f>
        <v>19153280</v>
      </c>
    </row>
    <row r="58">
      <c r="A58" s="7">
        <f>IFERROR(__xludf.DUMMYFUNCTION("""COMPUTED_VALUE"""),45583.64583333333)</f>
        <v>45583.64583</v>
      </c>
      <c r="B58" s="6">
        <f>IFERROR(__xludf.DUMMYFUNCTION("""COMPUTED_VALUE"""),220.84)</f>
        <v>220.84</v>
      </c>
      <c r="C58" s="6">
        <f>IFERROR(__xludf.DUMMYFUNCTION("""COMPUTED_VALUE"""),228.1)</f>
        <v>228.1</v>
      </c>
      <c r="D58" s="6">
        <f>IFERROR(__xludf.DUMMYFUNCTION("""COMPUTED_VALUE"""),213.35)</f>
        <v>213.35</v>
      </c>
      <c r="E58" s="6">
        <f>IFERROR(__xludf.DUMMYFUNCTION("""COMPUTED_VALUE"""),222.08)</f>
        <v>222.08</v>
      </c>
      <c r="F58" s="6">
        <f>IFERROR(__xludf.DUMMYFUNCTION("""COMPUTED_VALUE"""),1.5287766E7)</f>
        <v>15287766</v>
      </c>
    </row>
    <row r="59">
      <c r="A59" s="7">
        <f>IFERROR(__xludf.DUMMYFUNCTION("""COMPUTED_VALUE"""),45590.64583333333)</f>
        <v>45590.64583</v>
      </c>
      <c r="B59" s="6">
        <f>IFERROR(__xludf.DUMMYFUNCTION("""COMPUTED_VALUE"""),222.9)</f>
        <v>222.9</v>
      </c>
      <c r="C59" s="6">
        <f>IFERROR(__xludf.DUMMYFUNCTION("""COMPUTED_VALUE"""),223.05)</f>
        <v>223.05</v>
      </c>
      <c r="D59" s="6">
        <f>IFERROR(__xludf.DUMMYFUNCTION("""COMPUTED_VALUE"""),200.61)</f>
        <v>200.61</v>
      </c>
      <c r="E59" s="6">
        <f>IFERROR(__xludf.DUMMYFUNCTION("""COMPUTED_VALUE"""),202.91)</f>
        <v>202.91</v>
      </c>
      <c r="F59" s="6">
        <f>IFERROR(__xludf.DUMMYFUNCTION("""COMPUTED_VALUE"""),1.7639636E7)</f>
        <v>17639636</v>
      </c>
    </row>
    <row r="60">
      <c r="A60" s="7">
        <f>IFERROR(__xludf.DUMMYFUNCTION("""COMPUTED_VALUE"""),45604.64583333333)</f>
        <v>45604.64583</v>
      </c>
      <c r="B60" s="6">
        <f>IFERROR(__xludf.DUMMYFUNCTION("""COMPUTED_VALUE"""),206.2)</f>
        <v>206.2</v>
      </c>
      <c r="C60" s="6">
        <f>IFERROR(__xludf.DUMMYFUNCTION("""COMPUTED_VALUE"""),207.19)</f>
        <v>207.19</v>
      </c>
      <c r="D60" s="6">
        <f>IFERROR(__xludf.DUMMYFUNCTION("""COMPUTED_VALUE"""),197.0)</f>
        <v>197</v>
      </c>
      <c r="E60" s="6">
        <f>IFERROR(__xludf.DUMMYFUNCTION("""COMPUTED_VALUE"""),201.11)</f>
        <v>201.11</v>
      </c>
      <c r="F60" s="6">
        <f>IFERROR(__xludf.DUMMYFUNCTION("""COMPUTED_VALUE"""),2.6250859E7)</f>
        <v>26250859</v>
      </c>
    </row>
    <row r="61">
      <c r="A61" s="7">
        <f>IFERROR(__xludf.DUMMYFUNCTION("""COMPUTED_VALUE"""),45610.64583333333)</f>
        <v>45610.64583</v>
      </c>
      <c r="B61" s="6">
        <f>IFERROR(__xludf.DUMMYFUNCTION("""COMPUTED_VALUE"""),201.95)</f>
        <v>201.95</v>
      </c>
      <c r="C61" s="6">
        <f>IFERROR(__xludf.DUMMYFUNCTION("""COMPUTED_VALUE"""),202.98)</f>
        <v>202.98</v>
      </c>
      <c r="D61" s="6">
        <f>IFERROR(__xludf.DUMMYFUNCTION("""COMPUTED_VALUE"""),186.72)</f>
        <v>186.72</v>
      </c>
      <c r="E61" s="6">
        <f>IFERROR(__xludf.DUMMYFUNCTION("""COMPUTED_VALUE"""),188.92)</f>
        <v>188.92</v>
      </c>
      <c r="F61" s="6">
        <f>IFERROR(__xludf.DUMMYFUNCTION("""COMPUTED_VALUE"""),1.5671478E7)</f>
        <v>15671478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IFERROR(__xludf.DUMMYFUNCTION("""COMPUTED_VALUE"""),189.03)</f>
        <v>189.03</v>
      </c>
      <c r="C62" s="6">
        <f>IFERROR(__xludf.DUMMYFUNCTION("""COMPUTED_VALUE"""),190.4)</f>
        <v>190.4</v>
      </c>
      <c r="D62" s="6">
        <f>IFERROR(__xludf.DUMMYFUNCTION("""COMPUTED_VALUE"""),179.18)</f>
        <v>179.18</v>
      </c>
      <c r="E62" s="6">
        <f>IFERROR(__xludf.DUMMYFUNCTION("""COMPUTED_VALUE"""),186.48)</f>
        <v>186.48</v>
      </c>
      <c r="F62" s="6">
        <f>IFERROR(__xludf.DUMMYFUNCTION("""COMPUTED_VALUE"""),2.587101E7)</f>
        <v>25871010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IFERROR(__xludf.DUMMYFUNCTION("""COMPUTED_VALUE"""),190.0)</f>
        <v>190</v>
      </c>
      <c r="C63" s="6">
        <f>IFERROR(__xludf.DUMMYFUNCTION("""COMPUTED_VALUE"""),196.3)</f>
        <v>196.3</v>
      </c>
      <c r="D63" s="6">
        <f>IFERROR(__xludf.DUMMYFUNCTION("""COMPUTED_VALUE"""),189.6)</f>
        <v>189.6</v>
      </c>
      <c r="E63" s="6">
        <f>IFERROR(__xludf.DUMMYFUNCTION("""COMPUTED_VALUE"""),194.33)</f>
        <v>194.33</v>
      </c>
      <c r="F63" s="6">
        <f>IFERROR(__xludf.DUMMYFUNCTION("""COMPUTED_VALUE"""),1.2742044E7)</f>
        <v>12742044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IFERROR(__xludf.DUMMYFUNCTION("""COMPUTED_VALUE"""),195.2)</f>
        <v>195.2</v>
      </c>
      <c r="C64" s="6">
        <f>IFERROR(__xludf.DUMMYFUNCTION("""COMPUTED_VALUE"""),201.15)</f>
        <v>201.15</v>
      </c>
      <c r="D64" s="6">
        <f>IFERROR(__xludf.DUMMYFUNCTION("""COMPUTED_VALUE"""),191.91)</f>
        <v>191.91</v>
      </c>
      <c r="E64" s="6">
        <f>IFERROR(__xludf.DUMMYFUNCTION("""COMPUTED_VALUE"""),198.68)</f>
        <v>198.68</v>
      </c>
      <c r="F64" s="6">
        <f>IFERROR(__xludf.DUMMYFUNCTION("""COMPUTED_VALUE"""),1.2764604E7)</f>
        <v>12764604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IFERROR(__xludf.DUMMYFUNCTION("""COMPUTED_VALUE"""),198.55)</f>
        <v>198.55</v>
      </c>
      <c r="C65" s="6">
        <f>IFERROR(__xludf.DUMMYFUNCTION("""COMPUTED_VALUE"""),202.79)</f>
        <v>202.79</v>
      </c>
      <c r="D65" s="6">
        <f>IFERROR(__xludf.DUMMYFUNCTION("""COMPUTED_VALUE"""),191.35)</f>
        <v>191.35</v>
      </c>
      <c r="E65" s="6">
        <f>IFERROR(__xludf.DUMMYFUNCTION("""COMPUTED_VALUE"""),196.71)</f>
        <v>196.71</v>
      </c>
      <c r="F65" s="6">
        <f>IFERROR(__xludf.DUMMYFUNCTION("""COMPUTED_VALUE"""),1.9663265E7)</f>
        <v>19663265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IFERROR(__xludf.DUMMYFUNCTION("""COMPUTED_VALUE"""),197.8)</f>
        <v>197.8</v>
      </c>
      <c r="C66" s="6">
        <f>IFERROR(__xludf.DUMMYFUNCTION("""COMPUTED_VALUE"""),198.95)</f>
        <v>198.95</v>
      </c>
      <c r="D66" s="6">
        <f>IFERROR(__xludf.DUMMYFUNCTION("""COMPUTED_VALUE"""),185.15)</f>
        <v>185.15</v>
      </c>
      <c r="E66" s="6">
        <f>IFERROR(__xludf.DUMMYFUNCTION("""COMPUTED_VALUE"""),186.21)</f>
        <v>186.21</v>
      </c>
      <c r="F66" s="6">
        <f>IFERROR(__xludf.DUMMYFUNCTION("""COMPUTED_VALUE"""),1.1222304E7)</f>
        <v>11222304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IFERROR(__xludf.DUMMYFUNCTION("""COMPUTED_VALUE"""),187.53)</f>
        <v>187.53</v>
      </c>
      <c r="C67" s="6">
        <f>IFERROR(__xludf.DUMMYFUNCTION("""COMPUTED_VALUE"""),188.75)</f>
        <v>188.75</v>
      </c>
      <c r="D67" s="6">
        <f>IFERROR(__xludf.DUMMYFUNCTION("""COMPUTED_VALUE"""),183.03)</f>
        <v>183.03</v>
      </c>
      <c r="E67" s="6">
        <f>IFERROR(__xludf.DUMMYFUNCTION("""COMPUTED_VALUE"""),183.24)</f>
        <v>183.24</v>
      </c>
      <c r="F67" s="6">
        <f>IFERROR(__xludf.DUMMYFUNCTION("""COMPUTED_VALUE"""),6610217.0)</f>
        <v>6610217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IFERROR(__xludf.DUMMYFUNCTION("""COMPUTED_VALUE"""),183.98)</f>
        <v>183.98</v>
      </c>
      <c r="C68" s="6">
        <f>IFERROR(__xludf.DUMMYFUNCTION("""COMPUTED_VALUE"""),186.39)</f>
        <v>186.39</v>
      </c>
      <c r="D68" s="6">
        <f>IFERROR(__xludf.DUMMYFUNCTION("""COMPUTED_VALUE"""),176.82)</f>
        <v>176.82</v>
      </c>
      <c r="E68" s="6">
        <f>IFERROR(__xludf.DUMMYFUNCTION("""COMPUTED_VALUE"""),184.45)</f>
        <v>184.45</v>
      </c>
      <c r="F68" s="6">
        <f>IFERROR(__xludf.DUMMYFUNCTION("""COMPUTED_VALUE"""),1.1984922E7)</f>
        <v>11984922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IFERROR(__xludf.DUMMYFUNCTION("""COMPUTED_VALUE"""),184.74)</f>
        <v>184.74</v>
      </c>
      <c r="C69" s="6">
        <f>IFERROR(__xludf.DUMMYFUNCTION("""COMPUTED_VALUE"""),185.5)</f>
        <v>185.5</v>
      </c>
      <c r="D69" s="6">
        <f>IFERROR(__xludf.DUMMYFUNCTION("""COMPUTED_VALUE"""),167.25)</f>
        <v>167.25</v>
      </c>
      <c r="E69" s="6">
        <f>IFERROR(__xludf.DUMMYFUNCTION("""COMPUTED_VALUE"""),167.63)</f>
        <v>167.63</v>
      </c>
      <c r="F69" s="6">
        <f>IFERROR(__xludf.DUMMYFUNCTION("""COMPUTED_VALUE"""),1.4587214E7)</f>
        <v>14587214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IFERROR(__xludf.DUMMYFUNCTION("""COMPUTED_VALUE"""),171.0)</f>
        <v>171</v>
      </c>
      <c r="C70" s="6">
        <f>IFERROR(__xludf.DUMMYFUNCTION("""COMPUTED_VALUE"""),179.95)</f>
        <v>179.95</v>
      </c>
      <c r="D70" s="6">
        <f>IFERROR(__xludf.DUMMYFUNCTION("""COMPUTED_VALUE"""),168.46)</f>
        <v>168.46</v>
      </c>
      <c r="E70" s="6">
        <f>IFERROR(__xludf.DUMMYFUNCTION("""COMPUTED_VALUE"""),177.18)</f>
        <v>177.18</v>
      </c>
      <c r="F70" s="6">
        <f>IFERROR(__xludf.DUMMYFUNCTION("""COMPUTED_VALUE"""),2.6433041E7)</f>
        <v>26433041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IFERROR(__xludf.DUMMYFUNCTION("""COMPUTED_VALUE"""),178.45)</f>
        <v>178.45</v>
      </c>
      <c r="C71" s="6">
        <f>IFERROR(__xludf.DUMMYFUNCTION("""COMPUTED_VALUE"""),179.24)</f>
        <v>179.24</v>
      </c>
      <c r="D71" s="6">
        <f>IFERROR(__xludf.DUMMYFUNCTION("""COMPUTED_VALUE"""),168.56)</f>
        <v>168.56</v>
      </c>
      <c r="E71" s="6">
        <f>IFERROR(__xludf.DUMMYFUNCTION("""COMPUTED_VALUE"""),170.43)</f>
        <v>170.43</v>
      </c>
      <c r="F71" s="6">
        <f>IFERROR(__xludf.DUMMYFUNCTION("""COMPUTED_VALUE"""),1.0096325E7)</f>
        <v>10096325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IFERROR(__xludf.DUMMYFUNCTION("""COMPUTED_VALUE"""),175.8)</f>
        <v>175.8</v>
      </c>
      <c r="C72" s="6">
        <f>IFERROR(__xludf.DUMMYFUNCTION("""COMPUTED_VALUE"""),178.79)</f>
        <v>178.79</v>
      </c>
      <c r="D72" s="6">
        <f>IFERROR(__xludf.DUMMYFUNCTION("""COMPUTED_VALUE"""),165.74)</f>
        <v>165.74</v>
      </c>
      <c r="E72" s="6">
        <f>IFERROR(__xludf.DUMMYFUNCTION("""COMPUTED_VALUE"""),169.41)</f>
        <v>169.41</v>
      </c>
      <c r="F72" s="6">
        <f>IFERROR(__xludf.DUMMYFUNCTION("""COMPUTED_VALUE"""),2.4469346E7)</f>
        <v>24469346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IFERROR(__xludf.DUMMYFUNCTION("""COMPUTED_VALUE"""),171.0)</f>
        <v>171</v>
      </c>
      <c r="C73" s="6">
        <f>IFERROR(__xludf.DUMMYFUNCTION("""COMPUTED_VALUE"""),171.5)</f>
        <v>171.5</v>
      </c>
      <c r="D73" s="6">
        <f>IFERROR(__xludf.DUMMYFUNCTION("""COMPUTED_VALUE"""),151.37)</f>
        <v>151.37</v>
      </c>
      <c r="E73" s="6">
        <f>IFERROR(__xludf.DUMMYFUNCTION("""COMPUTED_VALUE"""),152.74)</f>
        <v>152.74</v>
      </c>
      <c r="F73" s="6">
        <f>IFERROR(__xludf.DUMMYFUNCTION("""COMPUTED_VALUE"""),1.6960972E7)</f>
        <v>16960972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IFERROR(__xludf.DUMMYFUNCTION("""COMPUTED_VALUE"""),152.65)</f>
        <v>152.65</v>
      </c>
      <c r="C74" s="6">
        <f>IFERROR(__xludf.DUMMYFUNCTION("""COMPUTED_VALUE"""),161.16)</f>
        <v>161.16</v>
      </c>
      <c r="D74" s="6">
        <f>IFERROR(__xludf.DUMMYFUNCTION("""COMPUTED_VALUE"""),149.01)</f>
        <v>149.01</v>
      </c>
      <c r="E74" s="6">
        <f>IFERROR(__xludf.DUMMYFUNCTION("""COMPUTED_VALUE"""),157.28)</f>
        <v>157.28</v>
      </c>
      <c r="F74" s="6">
        <f>IFERROR(__xludf.DUMMYFUNCTION("""COMPUTED_VALUE"""),1.4682562E7)</f>
        <v>14682562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IFERROR(__xludf.DUMMYFUNCTION("""COMPUTED_VALUE"""),156.28)</f>
        <v>156.28</v>
      </c>
      <c r="C75" s="6">
        <f>IFERROR(__xludf.DUMMYFUNCTION("""COMPUTED_VALUE"""),160.17)</f>
        <v>160.17</v>
      </c>
      <c r="D75" s="6">
        <f>IFERROR(__xludf.DUMMYFUNCTION("""COMPUTED_VALUE"""),151.16)</f>
        <v>151.16</v>
      </c>
      <c r="E75" s="6">
        <f>IFERROR(__xludf.DUMMYFUNCTION("""COMPUTED_VALUE"""),156.33)</f>
        <v>156.33</v>
      </c>
      <c r="F75" s="6">
        <f>IFERROR(__xludf.DUMMYFUNCTION("""COMPUTED_VALUE"""),2.0865704E7)</f>
        <v>20865704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IFERROR(__xludf.DUMMYFUNCTION("""COMPUTED_VALUE"""),156.71)</f>
        <v>156.71</v>
      </c>
      <c r="C76" s="6">
        <f>IFERROR(__xludf.DUMMYFUNCTION("""COMPUTED_VALUE"""),163.54)</f>
        <v>163.54</v>
      </c>
      <c r="D76" s="6">
        <f>IFERROR(__xludf.DUMMYFUNCTION("""COMPUTED_VALUE"""),149.85)</f>
        <v>149.85</v>
      </c>
      <c r="E76" s="6">
        <f>IFERROR(__xludf.DUMMYFUNCTION("""COMPUTED_VALUE"""),160.85)</f>
        <v>160.85</v>
      </c>
      <c r="F76" s="6">
        <f>IFERROR(__xludf.DUMMYFUNCTION("""COMPUTED_VALUE"""),3.70778E7)</f>
        <v>37077800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IFERROR(__xludf.DUMMYFUNCTION("""COMPUTED_VALUE"""),161.05)</f>
        <v>161.05</v>
      </c>
      <c r="C77" s="6">
        <f>IFERROR(__xludf.DUMMYFUNCTION("""COMPUTED_VALUE"""),164.71)</f>
        <v>164.71</v>
      </c>
      <c r="D77" s="6">
        <f>IFERROR(__xludf.DUMMYFUNCTION("""COMPUTED_VALUE"""),154.92)</f>
        <v>154.92</v>
      </c>
      <c r="E77" s="6">
        <f>IFERROR(__xludf.DUMMYFUNCTION("""COMPUTED_VALUE"""),162.19)</f>
        <v>162.19</v>
      </c>
      <c r="F77" s="6">
        <f>IFERROR(__xludf.DUMMYFUNCTION("""COMPUTED_VALUE"""),1.6948624E7)</f>
        <v>16948624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IFERROR(__xludf.DUMMYFUNCTION("""COMPUTED_VALUE"""),162.0)</f>
        <v>162</v>
      </c>
      <c r="C78" s="6">
        <f>IFERROR(__xludf.DUMMYFUNCTION("""COMPUTED_VALUE"""),186.41)</f>
        <v>186.41</v>
      </c>
      <c r="D78" s="6">
        <f>IFERROR(__xludf.DUMMYFUNCTION("""COMPUTED_VALUE"""),161.83)</f>
        <v>161.83</v>
      </c>
      <c r="E78" s="6">
        <f>IFERROR(__xludf.DUMMYFUNCTION("""COMPUTED_VALUE"""),185.52)</f>
        <v>185.52</v>
      </c>
      <c r="F78" s="6">
        <f>IFERROR(__xludf.DUMMYFUNCTION("""COMPUTED_VALUE"""),2.7919548E7)</f>
        <v>27919548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IFERROR(__xludf.DUMMYFUNCTION("""COMPUTED_VALUE"""),186.38)</f>
        <v>186.38</v>
      </c>
      <c r="C79" s="6">
        <f>IFERROR(__xludf.DUMMYFUNCTION("""COMPUTED_VALUE"""),187.64)</f>
        <v>187.64</v>
      </c>
      <c r="D79" s="6">
        <f>IFERROR(__xludf.DUMMYFUNCTION("""COMPUTED_VALUE"""),177.51)</f>
        <v>177.51</v>
      </c>
      <c r="E79" s="6">
        <f>IFERROR(__xludf.DUMMYFUNCTION("""COMPUTED_VALUE"""),185.07)</f>
        <v>185.07</v>
      </c>
      <c r="F79" s="6">
        <f>IFERROR(__xludf.DUMMYFUNCTION("""COMPUTED_VALUE"""),1.7687374E7)</f>
        <v>17687374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IFERROR(__xludf.DUMMYFUNCTION("""COMPUTED_VALUE"""),183.07)</f>
        <v>183.07</v>
      </c>
      <c r="C80" s="6">
        <f>IFERROR(__xludf.DUMMYFUNCTION("""COMPUTED_VALUE"""),193.7)</f>
        <v>193.7</v>
      </c>
      <c r="D80" s="6">
        <f>IFERROR(__xludf.DUMMYFUNCTION("""COMPUTED_VALUE"""),180.51)</f>
        <v>180.51</v>
      </c>
      <c r="E80" s="6">
        <f>IFERROR(__xludf.DUMMYFUNCTION("""COMPUTED_VALUE"""),188.26)</f>
        <v>188.26</v>
      </c>
      <c r="F80" s="6">
        <f>IFERROR(__xludf.DUMMYFUNCTION("""COMPUTED_VALUE"""),1.7984059E7)</f>
        <v>17984059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IFERROR(__xludf.DUMMYFUNCTION("""COMPUTED_VALUE"""),169.43)</f>
        <v>169.43</v>
      </c>
      <c r="C81" s="6">
        <f>IFERROR(__xludf.DUMMYFUNCTION("""COMPUTED_VALUE"""),188.0)</f>
        <v>188</v>
      </c>
      <c r="D81" s="6">
        <f>IFERROR(__xludf.DUMMYFUNCTION("""COMPUTED_VALUE"""),169.43)</f>
        <v>169.43</v>
      </c>
      <c r="E81" s="6">
        <f>IFERROR(__xludf.DUMMYFUNCTION("""COMPUTED_VALUE"""),185.33)</f>
        <v>185.33</v>
      </c>
      <c r="F81" s="6">
        <f>IFERROR(__xludf.DUMMYFUNCTION("""COMPUTED_VALUE"""),2.5163492E7)</f>
        <v>25163492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IFERROR(__xludf.DUMMYFUNCTION("""COMPUTED_VALUE"""),188.0)</f>
        <v>188</v>
      </c>
      <c r="C82" s="6">
        <f>IFERROR(__xludf.DUMMYFUNCTION("""COMPUTED_VALUE"""),199.0)</f>
        <v>199</v>
      </c>
      <c r="D82" s="6">
        <f>IFERROR(__xludf.DUMMYFUNCTION("""COMPUTED_VALUE"""),186.69)</f>
        <v>186.69</v>
      </c>
      <c r="E82" s="6">
        <f>IFERROR(__xludf.DUMMYFUNCTION("""COMPUTED_VALUE"""),198.18)</f>
        <v>198.18</v>
      </c>
      <c r="F82" s="6">
        <f>IFERROR(__xludf.DUMMYFUNCTION("""COMPUTED_VALUE"""),1.5154337E7)</f>
        <v>15154337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IFERROR(__xludf.DUMMYFUNCTION("""COMPUTED_VALUE"""),199.9)</f>
        <v>199.9</v>
      </c>
      <c r="C83" s="6">
        <f>IFERROR(__xludf.DUMMYFUNCTION("""COMPUTED_VALUE"""),208.8)</f>
        <v>208.8</v>
      </c>
      <c r="D83" s="6">
        <f>IFERROR(__xludf.DUMMYFUNCTION("""COMPUTED_VALUE"""),194.0)</f>
        <v>194</v>
      </c>
      <c r="E83" s="6">
        <f>IFERROR(__xludf.DUMMYFUNCTION("""COMPUTED_VALUE"""),195.94)</f>
        <v>195.94</v>
      </c>
      <c r="F83" s="6">
        <f>IFERROR(__xludf.DUMMYFUNCTION("""COMPUTED_VALUE"""),2.5366092E7)</f>
        <v>25366092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IFERROR(__xludf.DUMMYFUNCTION("""COMPUTED_VALUE"""),195.0)</f>
        <v>195</v>
      </c>
      <c r="C84" s="6">
        <f>IFERROR(__xludf.DUMMYFUNCTION("""COMPUTED_VALUE"""),203.0)</f>
        <v>203</v>
      </c>
      <c r="D84" s="6">
        <f>IFERROR(__xludf.DUMMYFUNCTION("""COMPUTED_VALUE"""),195.0)</f>
        <v>195</v>
      </c>
      <c r="E84" s="6">
        <f>IFERROR(__xludf.DUMMYFUNCTION("""COMPUTED_VALUE"""),198.08)</f>
        <v>198.08</v>
      </c>
      <c r="F84" s="6">
        <f>IFERROR(__xludf.DUMMYFUNCTION("""COMPUTED_VALUE"""),1.142938E7)</f>
        <v>11429380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IFERROR(__xludf.DUMMYFUNCTION("""COMPUTED_VALUE"""),198.0)</f>
        <v>198</v>
      </c>
      <c r="C85" s="6">
        <f>IFERROR(__xludf.DUMMYFUNCTION("""COMPUTED_VALUE"""),204.5)</f>
        <v>204.5</v>
      </c>
      <c r="D85" s="6">
        <f>IFERROR(__xludf.DUMMYFUNCTION("""COMPUTED_VALUE"""),188.41)</f>
        <v>188.41</v>
      </c>
      <c r="E85" s="6">
        <f>IFERROR(__xludf.DUMMYFUNCTION("""COMPUTED_VALUE"""),193.17)</f>
        <v>193.17</v>
      </c>
      <c r="F85" s="6">
        <f>IFERROR(__xludf.DUMMYFUNCTION("""COMPUTED_VALUE"""),2.2954913E7)</f>
        <v>22954913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IFERROR(__xludf.DUMMYFUNCTION("""COMPUTED_VALUE"""),199.4)</f>
        <v>199.4</v>
      </c>
      <c r="C86" s="6">
        <f>IFERROR(__xludf.DUMMYFUNCTION("""COMPUTED_VALUE"""),219.99)</f>
        <v>219.99</v>
      </c>
      <c r="D86" s="6">
        <f>IFERROR(__xludf.DUMMYFUNCTION("""COMPUTED_VALUE"""),199.01)</f>
        <v>199.01</v>
      </c>
      <c r="E86" s="6">
        <f>IFERROR(__xludf.DUMMYFUNCTION("""COMPUTED_VALUE"""),218.24)</f>
        <v>218.24</v>
      </c>
      <c r="F86" s="6">
        <f>IFERROR(__xludf.DUMMYFUNCTION("""COMPUTED_VALUE"""),4.831715E7)</f>
        <v>48317150</v>
      </c>
    </row>
    <row r="87">
      <c r="A87" s="7">
        <f>IFERROR(__xludf.DUMMYFUNCTION("""COMPUTED_VALUE"""),45800.64583333333)</f>
        <v>45800.64583</v>
      </c>
      <c r="B87" s="6">
        <f>IFERROR(__xludf.DUMMYFUNCTION("""COMPUTED_VALUE"""),218.23)</f>
        <v>218.23</v>
      </c>
      <c r="C87" s="6">
        <f>IFERROR(__xludf.DUMMYFUNCTION("""COMPUTED_VALUE"""),224.1)</f>
        <v>224.1</v>
      </c>
      <c r="D87" s="6">
        <f>IFERROR(__xludf.DUMMYFUNCTION("""COMPUTED_VALUE"""),213.1)</f>
        <v>213.1</v>
      </c>
      <c r="E87" s="6">
        <f>IFERROR(__xludf.DUMMYFUNCTION("""COMPUTED_VALUE"""),222.29)</f>
        <v>222.29</v>
      </c>
      <c r="F87" s="6">
        <f>IFERROR(__xludf.DUMMYFUNCTION("""COMPUTED_VALUE"""),2.2265794E7)</f>
        <v>22265794</v>
      </c>
    </row>
    <row r="88">
      <c r="A88" s="7">
        <f>IFERROR(__xludf.DUMMYFUNCTION("""COMPUTED_VALUE"""),45807.64583333333)</f>
        <v>45807.64583</v>
      </c>
      <c r="B88" s="6">
        <f>IFERROR(__xludf.DUMMYFUNCTION("""COMPUTED_VALUE"""),221.2)</f>
        <v>221.2</v>
      </c>
      <c r="C88" s="6">
        <f>IFERROR(__xludf.DUMMYFUNCTION("""COMPUTED_VALUE"""),223.9)</f>
        <v>223.9</v>
      </c>
      <c r="D88" s="6">
        <f>IFERROR(__xludf.DUMMYFUNCTION("""COMPUTED_VALUE"""),217.14)</f>
        <v>217.14</v>
      </c>
      <c r="E88" s="6">
        <f>IFERROR(__xludf.DUMMYFUNCTION("""COMPUTED_VALUE"""),222.51)</f>
        <v>222.51</v>
      </c>
      <c r="F88" s="6">
        <f>IFERROR(__xludf.DUMMYFUNCTION("""COMPUTED_VALUE"""),1.6155497E7)</f>
        <v>16155497</v>
      </c>
    </row>
    <row r="89">
      <c r="A89" s="7">
        <f>IFERROR(__xludf.DUMMYFUNCTION("""COMPUTED_VALUE"""),45814.64583333333)</f>
        <v>45814.64583</v>
      </c>
      <c r="B89" s="6">
        <f>IFERROR(__xludf.DUMMYFUNCTION("""COMPUTED_VALUE"""),222.0)</f>
        <v>222</v>
      </c>
      <c r="C89" s="6">
        <f>IFERROR(__xludf.DUMMYFUNCTION("""COMPUTED_VALUE"""),233.96)</f>
        <v>233.96</v>
      </c>
      <c r="D89" s="6">
        <f>IFERROR(__xludf.DUMMYFUNCTION("""COMPUTED_VALUE"""),218.44)</f>
        <v>218.44</v>
      </c>
      <c r="E89" s="6">
        <f>IFERROR(__xludf.DUMMYFUNCTION("""COMPUTED_VALUE"""),233.41)</f>
        <v>233.41</v>
      </c>
      <c r="F89" s="6">
        <f>IFERROR(__xludf.DUMMYFUNCTION("""COMPUTED_VALUE"""),2.1125657E7)</f>
        <v>21125657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IFERROR(__xludf.DUMMYFUNCTION("""COMPUTED_VALUE"""),235.0)</f>
        <v>235</v>
      </c>
      <c r="C90" s="6">
        <f>IFERROR(__xludf.DUMMYFUNCTION("""COMPUTED_VALUE"""),251.0)</f>
        <v>251</v>
      </c>
      <c r="D90" s="6">
        <f>IFERROR(__xludf.DUMMYFUNCTION("""COMPUTED_VALUE"""),235.0)</f>
        <v>235</v>
      </c>
      <c r="E90" s="6">
        <f>IFERROR(__xludf.DUMMYFUNCTION("""COMPUTED_VALUE"""),240.37)</f>
        <v>240.37</v>
      </c>
      <c r="F90" s="6">
        <f>IFERROR(__xludf.DUMMYFUNCTION("""COMPUTED_VALUE"""),5.5046789E7)</f>
        <v>55046789</v>
      </c>
    </row>
    <row r="91">
      <c r="A91" s="7">
        <f>IFERROR(__xludf.DUMMYFUNCTION("""COMPUTED_VALUE"""),45828.64583333333)</f>
        <v>45828.64583</v>
      </c>
      <c r="B91" s="6">
        <f>IFERROR(__xludf.DUMMYFUNCTION("""COMPUTED_VALUE"""),241.4)</f>
        <v>241.4</v>
      </c>
      <c r="C91" s="6">
        <f>IFERROR(__xludf.DUMMYFUNCTION("""COMPUTED_VALUE"""),263.0)</f>
        <v>263</v>
      </c>
      <c r="D91" s="6">
        <f>IFERROR(__xludf.DUMMYFUNCTION("""COMPUTED_VALUE"""),237.39)</f>
        <v>237.39</v>
      </c>
      <c r="E91" s="6">
        <f>IFERROR(__xludf.DUMMYFUNCTION("""COMPUTED_VALUE"""),260.28)</f>
        <v>260.28</v>
      </c>
      <c r="F91" s="6">
        <f>IFERROR(__xludf.DUMMYFUNCTION("""COMPUTED_VALUE"""),6.5631515E7)</f>
        <v>65631515</v>
      </c>
    </row>
    <row r="92">
      <c r="A92" s="7">
        <f>IFERROR(__xludf.DUMMYFUNCTION("""COMPUTED_VALUE"""),45835.64583333333)</f>
        <v>45835.64583</v>
      </c>
      <c r="B92" s="6">
        <f>IFERROR(__xludf.DUMMYFUNCTION("""COMPUTED_VALUE"""),258.8)</f>
        <v>258.8</v>
      </c>
      <c r="C92" s="6">
        <f>IFERROR(__xludf.DUMMYFUNCTION("""COMPUTED_VALUE"""),278.05)</f>
        <v>278.05</v>
      </c>
      <c r="D92" s="6">
        <f>IFERROR(__xludf.DUMMYFUNCTION("""COMPUTED_VALUE"""),258.12)</f>
        <v>258.12</v>
      </c>
      <c r="E92" s="6">
        <f>IFERROR(__xludf.DUMMYFUNCTION("""COMPUTED_VALUE"""),269.33)</f>
        <v>269.33</v>
      </c>
      <c r="F92" s="6">
        <f>IFERROR(__xludf.DUMMYFUNCTION("""COMPUTED_VALUE"""),4.3234829E7)</f>
        <v>43234829</v>
      </c>
    </row>
    <row r="93">
      <c r="A93" s="7">
        <f>IFERROR(__xludf.DUMMYFUNCTION("""COMPUTED_VALUE"""),45842.64583333333)</f>
        <v>45842.64583</v>
      </c>
      <c r="B93" s="6">
        <f>IFERROR(__xludf.DUMMYFUNCTION("""COMPUTED_VALUE"""),268.0)</f>
        <v>268</v>
      </c>
      <c r="C93" s="6">
        <f>IFERROR(__xludf.DUMMYFUNCTION("""COMPUTED_VALUE"""),282.65)</f>
        <v>282.65</v>
      </c>
      <c r="D93" s="6">
        <f>IFERROR(__xludf.DUMMYFUNCTION("""COMPUTED_VALUE"""),268.0)</f>
        <v>268</v>
      </c>
      <c r="E93" s="6">
        <f>IFERROR(__xludf.DUMMYFUNCTION("""COMPUTED_VALUE"""),275.05)</f>
        <v>275.05</v>
      </c>
      <c r="F93" s="6">
        <f>IFERROR(__xludf.DUMMYFUNCTION("""COMPUTED_VALUE"""),3.01391E7)</f>
        <v>30139100</v>
      </c>
    </row>
    <row r="94">
      <c r="A94" s="7">
        <f>IFERROR(__xludf.DUMMYFUNCTION("""COMPUTED_VALUE"""),45849.64583333333)</f>
        <v>45849.64583</v>
      </c>
      <c r="B94" s="6">
        <f>IFERROR(__xludf.DUMMYFUNCTION("""COMPUTED_VALUE"""),275.05)</f>
        <v>275.05</v>
      </c>
      <c r="C94" s="6">
        <f>IFERROR(__xludf.DUMMYFUNCTION("""COMPUTED_VALUE"""),278.45)</f>
        <v>278.45</v>
      </c>
      <c r="D94" s="6">
        <f>IFERROR(__xludf.DUMMYFUNCTION("""COMPUTED_VALUE"""),267.15)</f>
        <v>267.15</v>
      </c>
      <c r="E94" s="6">
        <f>IFERROR(__xludf.DUMMYFUNCTION("""COMPUTED_VALUE"""),269.45)</f>
        <v>269.45</v>
      </c>
      <c r="F94" s="6">
        <f>IFERROR(__xludf.DUMMYFUNCTION("""COMPUTED_VALUE"""),1.3239671E7)</f>
        <v>13239671</v>
      </c>
    </row>
    <row r="95">
      <c r="A95" s="7">
        <f>IFERROR(__xludf.DUMMYFUNCTION("""COMPUTED_VALUE"""),45856.64583333333)</f>
        <v>45856.64583</v>
      </c>
      <c r="B95" s="6">
        <f>IFERROR(__xludf.DUMMYFUNCTION("""COMPUTED_VALUE"""),268.0)</f>
        <v>268</v>
      </c>
      <c r="C95" s="6">
        <f>IFERROR(__xludf.DUMMYFUNCTION("""COMPUTED_VALUE"""),273.15)</f>
        <v>273.15</v>
      </c>
      <c r="D95" s="6">
        <f>IFERROR(__xludf.DUMMYFUNCTION("""COMPUTED_VALUE"""),264.0)</f>
        <v>264</v>
      </c>
      <c r="E95" s="6">
        <f>IFERROR(__xludf.DUMMYFUNCTION("""COMPUTED_VALUE"""),264.35)</f>
        <v>264.35</v>
      </c>
      <c r="F95" s="6">
        <f>IFERROR(__xludf.DUMMYFUNCTION("""COMPUTED_VALUE"""),1.026113E7)</f>
        <v>10261130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IFERROR(__xludf.DUMMYFUNCTION("""COMPUTED_VALUE"""),263.9)</f>
        <v>263.9</v>
      </c>
      <c r="C96" s="6">
        <f>IFERROR(__xludf.DUMMYFUNCTION("""COMPUTED_VALUE"""),273.75)</f>
        <v>273.75</v>
      </c>
      <c r="D96" s="6">
        <f>IFERROR(__xludf.DUMMYFUNCTION("""COMPUTED_VALUE"""),256.5)</f>
        <v>256.5</v>
      </c>
      <c r="E96" s="6">
        <f>IFERROR(__xludf.DUMMYFUNCTION("""COMPUTED_VALUE"""),260.35)</f>
        <v>260.35</v>
      </c>
      <c r="F96" s="6">
        <f>IFERROR(__xludf.DUMMYFUNCTION("""COMPUTED_VALUE"""),1.9368397E7)</f>
        <v>19368397</v>
      </c>
    </row>
    <row r="97">
      <c r="A97" s="7">
        <f>IFERROR(__xludf.DUMMYFUNCTION("""COMPUTED_VALUE"""),45870.64583333333)</f>
        <v>45870.64583</v>
      </c>
      <c r="B97" s="6">
        <f>IFERROR(__xludf.DUMMYFUNCTION("""COMPUTED_VALUE"""),259.0)</f>
        <v>259</v>
      </c>
      <c r="C97" s="6">
        <f>IFERROR(__xludf.DUMMYFUNCTION("""COMPUTED_VALUE"""),260.45)</f>
        <v>260.45</v>
      </c>
      <c r="D97" s="6">
        <f>IFERROR(__xludf.DUMMYFUNCTION("""COMPUTED_VALUE"""),243.0)</f>
        <v>243</v>
      </c>
      <c r="E97" s="6">
        <f>IFERROR(__xludf.DUMMYFUNCTION("""COMPUTED_VALUE"""),251.45)</f>
        <v>251.45</v>
      </c>
      <c r="F97" s="6">
        <f>IFERROR(__xludf.DUMMYFUNCTION("""COMPUTED_VALUE"""),2.3542402E7)</f>
        <v>23542402</v>
      </c>
    </row>
    <row r="98">
      <c r="A98" s="7">
        <f>IFERROR(__xludf.DUMMYFUNCTION("""COMPUTED_VALUE"""),45877.64583333333)</f>
        <v>45877.64583</v>
      </c>
      <c r="B98" s="6">
        <f>IFERROR(__xludf.DUMMYFUNCTION("""COMPUTED_VALUE"""),251.5)</f>
        <v>251.5</v>
      </c>
      <c r="C98" s="6">
        <f>IFERROR(__xludf.DUMMYFUNCTION("""COMPUTED_VALUE"""),284.0)</f>
        <v>284</v>
      </c>
      <c r="D98" s="6">
        <f>IFERROR(__xludf.DUMMYFUNCTION("""COMPUTED_VALUE"""),251.5)</f>
        <v>251.5</v>
      </c>
      <c r="E98" s="6">
        <f>IFERROR(__xludf.DUMMYFUNCTION("""COMPUTED_VALUE"""),271.8)</f>
        <v>271.8</v>
      </c>
      <c r="F98" s="6">
        <f>IFERROR(__xludf.DUMMYFUNCTION("""COMPUTED_VALUE"""),6.1980442E7)</f>
        <v>61980442</v>
      </c>
    </row>
    <row r="99">
      <c r="A99" s="7">
        <f>IFERROR(__xludf.DUMMYFUNCTION("""COMPUTED_VALUE"""),45883.64583333333)</f>
        <v>45883.64583</v>
      </c>
      <c r="B99" s="6">
        <f>IFERROR(__xludf.DUMMYFUNCTION("""COMPUTED_VALUE"""),271.9)</f>
        <v>271.9</v>
      </c>
      <c r="C99" s="6">
        <f>IFERROR(__xludf.DUMMYFUNCTION("""COMPUTED_VALUE"""),274.1)</f>
        <v>274.1</v>
      </c>
      <c r="D99" s="6">
        <f>IFERROR(__xludf.DUMMYFUNCTION("""COMPUTED_VALUE"""),267.0)</f>
        <v>267</v>
      </c>
      <c r="E99" s="6">
        <f>IFERROR(__xludf.DUMMYFUNCTION("""COMPUTED_VALUE"""),273.0)</f>
        <v>273</v>
      </c>
      <c r="F99" s="6">
        <f>IFERROR(__xludf.DUMMYFUNCTION("""COMPUTED_VALUE"""),9826242.0)</f>
        <v>9826242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IFERROR(__xludf.DUMMYFUNCTION("""COMPUTED_VALUE"""),276.0)</f>
        <v>276</v>
      </c>
      <c r="C100" s="6">
        <f>IFERROR(__xludf.DUMMYFUNCTION("""COMPUTED_VALUE"""),292.4)</f>
        <v>292.4</v>
      </c>
      <c r="D100" s="6">
        <f>IFERROR(__xludf.DUMMYFUNCTION("""COMPUTED_VALUE"""),275.0)</f>
        <v>275</v>
      </c>
      <c r="E100" s="6">
        <f>IFERROR(__xludf.DUMMYFUNCTION("""COMPUTED_VALUE"""),286.35)</f>
        <v>286.35</v>
      </c>
      <c r="F100" s="6">
        <f>IFERROR(__xludf.DUMMYFUNCTION("""COMPUTED_VALUE"""),2.6608861E7)</f>
        <v>26608861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IFERROR(__xludf.DUMMYFUNCTION("""COMPUTED_VALUE"""),287.5)</f>
        <v>287.5</v>
      </c>
      <c r="C101" s="6">
        <f>IFERROR(__xludf.DUMMYFUNCTION("""COMPUTED_VALUE"""),291.95)</f>
        <v>291.95</v>
      </c>
      <c r="D101" s="6">
        <f>IFERROR(__xludf.DUMMYFUNCTION("""COMPUTED_VALUE"""),280.1)</f>
        <v>280.1</v>
      </c>
      <c r="E101" s="6">
        <f>IFERROR(__xludf.DUMMYFUNCTION("""COMPUTED_VALUE"""),281.0)</f>
        <v>281</v>
      </c>
      <c r="F101" s="6">
        <f>IFERROR(__xludf.DUMMYFUNCTION("""COMPUTED_VALUE"""),5.955794E7)</f>
        <v>59557940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IFERROR(__xludf.DUMMYFUNCTION("GOOGLEFINANCE(""NSE:ABFRL"",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IFERROR(__xludf.DUMMYFUNCTION("""COMPUTED_VALUE"""),81.42)</f>
        <v>81.42</v>
      </c>
      <c r="C2" s="6">
        <f>IFERROR(__xludf.DUMMYFUNCTION("""COMPUTED_VALUE"""),84.42)</f>
        <v>84.42</v>
      </c>
      <c r="D2" s="6">
        <f>IFERROR(__xludf.DUMMYFUNCTION("""COMPUTED_VALUE"""),80.53)</f>
        <v>80.53</v>
      </c>
      <c r="E2" s="6">
        <f>IFERROR(__xludf.DUMMYFUNCTION("""COMPUTED_VALUE"""),82.77)</f>
        <v>82.77</v>
      </c>
      <c r="F2" s="6">
        <f>IFERROR(__xludf.DUMMYFUNCTION("""COMPUTED_VALUE"""),8599503.0)</f>
        <v>8599503</v>
      </c>
    </row>
    <row r="3">
      <c r="A3" s="7">
        <f>IFERROR(__xludf.DUMMYFUNCTION("""COMPUTED_VALUE"""),45177.64583333333)</f>
        <v>45177.64583</v>
      </c>
      <c r="B3" s="6">
        <f>IFERROR(__xludf.DUMMYFUNCTION("""COMPUTED_VALUE"""),83.39)</f>
        <v>83.39</v>
      </c>
      <c r="C3" s="6">
        <f>IFERROR(__xludf.DUMMYFUNCTION("""COMPUTED_VALUE"""),88.7)</f>
        <v>88.7</v>
      </c>
      <c r="D3" s="6">
        <f>IFERROR(__xludf.DUMMYFUNCTION("""COMPUTED_VALUE"""),82.22)</f>
        <v>82.22</v>
      </c>
      <c r="E3" s="6">
        <f>IFERROR(__xludf.DUMMYFUNCTION("""COMPUTED_VALUE"""),86.94)</f>
        <v>86.94</v>
      </c>
      <c r="F3" s="6">
        <f>IFERROR(__xludf.DUMMYFUNCTION("""COMPUTED_VALUE"""),2.9344843E7)</f>
        <v>29344843</v>
      </c>
    </row>
    <row r="4">
      <c r="A4" s="7">
        <f>IFERROR(__xludf.DUMMYFUNCTION("""COMPUTED_VALUE"""),45184.64583333333)</f>
        <v>45184.64583</v>
      </c>
      <c r="B4" s="6">
        <f>IFERROR(__xludf.DUMMYFUNCTION("""COMPUTED_VALUE"""),87.51)</f>
        <v>87.51</v>
      </c>
      <c r="C4" s="6">
        <f>IFERROR(__xludf.DUMMYFUNCTION("""COMPUTED_VALUE"""),89.04)</f>
        <v>89.04</v>
      </c>
      <c r="D4" s="6">
        <f>IFERROR(__xludf.DUMMYFUNCTION("""COMPUTED_VALUE"""),82.92)</f>
        <v>82.92</v>
      </c>
      <c r="E4" s="6">
        <f>IFERROR(__xludf.DUMMYFUNCTION("""COMPUTED_VALUE"""),85.4)</f>
        <v>85.4</v>
      </c>
      <c r="F4" s="6">
        <f>IFERROR(__xludf.DUMMYFUNCTION("""COMPUTED_VALUE"""),1.6384285E7)</f>
        <v>16384285</v>
      </c>
    </row>
    <row r="5">
      <c r="A5" s="7">
        <f>IFERROR(__xludf.DUMMYFUNCTION("""COMPUTED_VALUE"""),45191.64583333333)</f>
        <v>45191.64583</v>
      </c>
      <c r="B5" s="6">
        <f>IFERROR(__xludf.DUMMYFUNCTION("""COMPUTED_VALUE"""),86.03)</f>
        <v>86.03</v>
      </c>
      <c r="C5" s="6">
        <f>IFERROR(__xludf.DUMMYFUNCTION("""COMPUTED_VALUE"""),86.92)</f>
        <v>86.92</v>
      </c>
      <c r="D5" s="6">
        <f>IFERROR(__xludf.DUMMYFUNCTION("""COMPUTED_VALUE"""),81.14)</f>
        <v>81.14</v>
      </c>
      <c r="E5" s="6">
        <f>IFERROR(__xludf.DUMMYFUNCTION("""COMPUTED_VALUE"""),81.33)</f>
        <v>81.33</v>
      </c>
      <c r="F5" s="6">
        <f>IFERROR(__xludf.DUMMYFUNCTION("""COMPUTED_VALUE"""),7136811.0)</f>
        <v>7136811</v>
      </c>
    </row>
    <row r="6">
      <c r="A6" s="7">
        <f>IFERROR(__xludf.DUMMYFUNCTION("""COMPUTED_VALUE"""),45198.64583333333)</f>
        <v>45198.64583</v>
      </c>
      <c r="B6" s="6">
        <f>IFERROR(__xludf.DUMMYFUNCTION("""COMPUTED_VALUE"""),81.88)</f>
        <v>81.88</v>
      </c>
      <c r="C6" s="6">
        <f>IFERROR(__xludf.DUMMYFUNCTION("""COMPUTED_VALUE"""),83.11)</f>
        <v>83.11</v>
      </c>
      <c r="D6" s="6">
        <f>IFERROR(__xludf.DUMMYFUNCTION("""COMPUTED_VALUE"""),79.76)</f>
        <v>79.76</v>
      </c>
      <c r="E6" s="6">
        <f>IFERROR(__xludf.DUMMYFUNCTION("""COMPUTED_VALUE"""),81.22)</f>
        <v>81.22</v>
      </c>
      <c r="F6" s="6">
        <f>IFERROR(__xludf.DUMMYFUNCTION("""COMPUTED_VALUE"""),8715508.0)</f>
        <v>8715508</v>
      </c>
    </row>
    <row r="7">
      <c r="A7" s="7">
        <f>IFERROR(__xludf.DUMMYFUNCTION("""COMPUTED_VALUE"""),45205.64583333333)</f>
        <v>45205.64583</v>
      </c>
      <c r="B7" s="6">
        <f>IFERROR(__xludf.DUMMYFUNCTION("""COMPUTED_VALUE"""),81.27)</f>
        <v>81.27</v>
      </c>
      <c r="C7" s="6">
        <f>IFERROR(__xludf.DUMMYFUNCTION("""COMPUTED_VALUE"""),84.02)</f>
        <v>84.02</v>
      </c>
      <c r="D7" s="6">
        <f>IFERROR(__xludf.DUMMYFUNCTION("""COMPUTED_VALUE"""),80.06)</f>
        <v>80.06</v>
      </c>
      <c r="E7" s="6">
        <f>IFERROR(__xludf.DUMMYFUNCTION("""COMPUTED_VALUE"""),83.02)</f>
        <v>83.02</v>
      </c>
      <c r="F7" s="6">
        <f>IFERROR(__xludf.DUMMYFUNCTION("""COMPUTED_VALUE"""),8601031.0)</f>
        <v>8601031</v>
      </c>
    </row>
    <row r="8">
      <c r="A8" s="7">
        <f>IFERROR(__xludf.DUMMYFUNCTION("""COMPUTED_VALUE"""),45212.64583333333)</f>
        <v>45212.64583</v>
      </c>
      <c r="B8" s="6">
        <f>IFERROR(__xludf.DUMMYFUNCTION("""COMPUTED_VALUE"""),81.58)</f>
        <v>81.58</v>
      </c>
      <c r="C8" s="6">
        <f>IFERROR(__xludf.DUMMYFUNCTION("""COMPUTED_VALUE"""),85.29)</f>
        <v>85.29</v>
      </c>
      <c r="D8" s="6">
        <f>IFERROR(__xludf.DUMMYFUNCTION("""COMPUTED_VALUE"""),80.76)</f>
        <v>80.76</v>
      </c>
      <c r="E8" s="6">
        <f>IFERROR(__xludf.DUMMYFUNCTION("""COMPUTED_VALUE"""),84.34)</f>
        <v>84.34</v>
      </c>
      <c r="F8" s="6">
        <f>IFERROR(__xludf.DUMMYFUNCTION("""COMPUTED_VALUE"""),7655961.0)</f>
        <v>7655961</v>
      </c>
    </row>
    <row r="9">
      <c r="A9" s="7">
        <f>IFERROR(__xludf.DUMMYFUNCTION("""COMPUTED_VALUE"""),45219.64583333333)</f>
        <v>45219.64583</v>
      </c>
      <c r="B9" s="6">
        <f>IFERROR(__xludf.DUMMYFUNCTION("""COMPUTED_VALUE"""),84.34)</f>
        <v>84.34</v>
      </c>
      <c r="C9" s="6">
        <f>IFERROR(__xludf.DUMMYFUNCTION("""COMPUTED_VALUE"""),90.94)</f>
        <v>90.94</v>
      </c>
      <c r="D9" s="6">
        <f>IFERROR(__xludf.DUMMYFUNCTION("""COMPUTED_VALUE"""),84.15)</f>
        <v>84.15</v>
      </c>
      <c r="E9" s="6">
        <f>IFERROR(__xludf.DUMMYFUNCTION("""COMPUTED_VALUE"""),86.96)</f>
        <v>86.96</v>
      </c>
      <c r="F9" s="6">
        <f>IFERROR(__xludf.DUMMYFUNCTION("""COMPUTED_VALUE"""),2.5717689E7)</f>
        <v>25717689</v>
      </c>
    </row>
    <row r="10">
      <c r="A10" s="7">
        <f>IFERROR(__xludf.DUMMYFUNCTION("""COMPUTED_VALUE"""),45226.64583333333)</f>
        <v>45226.64583</v>
      </c>
      <c r="B10" s="6">
        <f>IFERROR(__xludf.DUMMYFUNCTION("""COMPUTED_VALUE"""),87.17)</f>
        <v>87.17</v>
      </c>
      <c r="C10" s="6">
        <f>IFERROR(__xludf.DUMMYFUNCTION("""COMPUTED_VALUE"""),87.62)</f>
        <v>87.62</v>
      </c>
      <c r="D10" s="6">
        <f>IFERROR(__xludf.DUMMYFUNCTION("""COMPUTED_VALUE"""),78.09)</f>
        <v>78.09</v>
      </c>
      <c r="E10" s="6">
        <f>IFERROR(__xludf.DUMMYFUNCTION("""COMPUTED_VALUE"""),81.88)</f>
        <v>81.88</v>
      </c>
      <c r="F10" s="6">
        <f>IFERROR(__xludf.DUMMYFUNCTION("""COMPUTED_VALUE"""),1.4725676E7)</f>
        <v>14725676</v>
      </c>
    </row>
    <row r="11">
      <c r="A11" s="7">
        <f>IFERROR(__xludf.DUMMYFUNCTION("""COMPUTED_VALUE"""),45233.64583333333)</f>
        <v>45233.64583</v>
      </c>
      <c r="B11" s="6">
        <f>IFERROR(__xludf.DUMMYFUNCTION("""COMPUTED_VALUE"""),82.26)</f>
        <v>82.26</v>
      </c>
      <c r="C11" s="6">
        <f>IFERROR(__xludf.DUMMYFUNCTION("""COMPUTED_VALUE"""),83.07)</f>
        <v>83.07</v>
      </c>
      <c r="D11" s="6">
        <f>IFERROR(__xludf.DUMMYFUNCTION("""COMPUTED_VALUE"""),80.44)</f>
        <v>80.44</v>
      </c>
      <c r="E11" s="6">
        <f>IFERROR(__xludf.DUMMYFUNCTION("""COMPUTED_VALUE"""),81.65)</f>
        <v>81.65</v>
      </c>
      <c r="F11" s="6">
        <f>IFERROR(__xludf.DUMMYFUNCTION("""COMPUTED_VALUE"""),7925372.0)</f>
        <v>7925372</v>
      </c>
    </row>
    <row r="12">
      <c r="A12" s="7">
        <f>IFERROR(__xludf.DUMMYFUNCTION("""COMPUTED_VALUE"""),45240.64583333333)</f>
        <v>45240.64583</v>
      </c>
      <c r="B12" s="6">
        <f>IFERROR(__xludf.DUMMYFUNCTION("""COMPUTED_VALUE"""),82.18)</f>
        <v>82.18</v>
      </c>
      <c r="C12" s="6">
        <f>IFERROR(__xludf.DUMMYFUNCTION("""COMPUTED_VALUE"""),84.59)</f>
        <v>84.59</v>
      </c>
      <c r="D12" s="6">
        <f>IFERROR(__xludf.DUMMYFUNCTION("""COMPUTED_VALUE"""),78.94)</f>
        <v>78.94</v>
      </c>
      <c r="E12" s="6">
        <f>IFERROR(__xludf.DUMMYFUNCTION("""COMPUTED_VALUE"""),82.11)</f>
        <v>82.11</v>
      </c>
      <c r="F12" s="6">
        <f>IFERROR(__xludf.DUMMYFUNCTION("""COMPUTED_VALUE"""),1.0976144E7)</f>
        <v>10976144</v>
      </c>
    </row>
    <row r="13">
      <c r="A13" s="7">
        <f>IFERROR(__xludf.DUMMYFUNCTION("""COMPUTED_VALUE"""),45247.64583333333)</f>
        <v>45247.64583</v>
      </c>
      <c r="B13" s="6">
        <f>IFERROR(__xludf.DUMMYFUNCTION("""COMPUTED_VALUE"""),82.35)</f>
        <v>82.35</v>
      </c>
      <c r="C13" s="6">
        <f>IFERROR(__xludf.DUMMYFUNCTION("""COMPUTED_VALUE"""),83.41)</f>
        <v>83.41</v>
      </c>
      <c r="D13" s="6">
        <f>IFERROR(__xludf.DUMMYFUNCTION("""COMPUTED_VALUE"""),80.65)</f>
        <v>80.65</v>
      </c>
      <c r="E13" s="6">
        <f>IFERROR(__xludf.DUMMYFUNCTION("""COMPUTED_VALUE"""),81.75)</f>
        <v>81.75</v>
      </c>
      <c r="F13" s="6">
        <f>IFERROR(__xludf.DUMMYFUNCTION("""COMPUTED_VALUE"""),7287958.0)</f>
        <v>7287958</v>
      </c>
    </row>
    <row r="14">
      <c r="A14" s="7">
        <f>IFERROR(__xludf.DUMMYFUNCTION("""COMPUTED_VALUE"""),45254.64583333333)</f>
        <v>45254.64583</v>
      </c>
      <c r="B14" s="6">
        <f>IFERROR(__xludf.DUMMYFUNCTION("""COMPUTED_VALUE"""),81.75)</f>
        <v>81.75</v>
      </c>
      <c r="C14" s="6">
        <f>IFERROR(__xludf.DUMMYFUNCTION("""COMPUTED_VALUE"""),88.25)</f>
        <v>88.25</v>
      </c>
      <c r="D14" s="6">
        <f>IFERROR(__xludf.DUMMYFUNCTION("""COMPUTED_VALUE"""),80.53)</f>
        <v>80.53</v>
      </c>
      <c r="E14" s="6">
        <f>IFERROR(__xludf.DUMMYFUNCTION("""COMPUTED_VALUE"""),86.54)</f>
        <v>86.54</v>
      </c>
      <c r="F14" s="6">
        <f>IFERROR(__xludf.DUMMYFUNCTION("""COMPUTED_VALUE"""),1.9704981E7)</f>
        <v>19704981</v>
      </c>
    </row>
    <row r="15">
      <c r="A15" s="7">
        <f>IFERROR(__xludf.DUMMYFUNCTION("""COMPUTED_VALUE"""),45261.64583333333)</f>
        <v>45261.64583</v>
      </c>
      <c r="B15" s="6">
        <f>IFERROR(__xludf.DUMMYFUNCTION("""COMPUTED_VALUE"""),86.37)</f>
        <v>86.37</v>
      </c>
      <c r="C15" s="6">
        <f>IFERROR(__xludf.DUMMYFUNCTION("""COMPUTED_VALUE"""),89.76)</f>
        <v>89.76</v>
      </c>
      <c r="D15" s="6">
        <f>IFERROR(__xludf.DUMMYFUNCTION("""COMPUTED_VALUE"""),85.2)</f>
        <v>85.2</v>
      </c>
      <c r="E15" s="6">
        <f>IFERROR(__xludf.DUMMYFUNCTION("""COMPUTED_VALUE"""),87.72)</f>
        <v>87.72</v>
      </c>
      <c r="F15" s="6">
        <f>IFERROR(__xludf.DUMMYFUNCTION("""COMPUTED_VALUE"""),1.2167652E7)</f>
        <v>12167652</v>
      </c>
    </row>
    <row r="16">
      <c r="A16" s="7">
        <f>IFERROR(__xludf.DUMMYFUNCTION("""COMPUTED_VALUE"""),45268.64583333333)</f>
        <v>45268.64583</v>
      </c>
      <c r="B16" s="6">
        <f>IFERROR(__xludf.DUMMYFUNCTION("""COMPUTED_VALUE"""),88.7)</f>
        <v>88.7</v>
      </c>
      <c r="C16" s="6">
        <f>IFERROR(__xludf.DUMMYFUNCTION("""COMPUTED_VALUE"""),92.87)</f>
        <v>92.87</v>
      </c>
      <c r="D16" s="6">
        <f>IFERROR(__xludf.DUMMYFUNCTION("""COMPUTED_VALUE"""),86.9)</f>
        <v>86.9</v>
      </c>
      <c r="E16" s="6">
        <f>IFERROR(__xludf.DUMMYFUNCTION("""COMPUTED_VALUE"""),88.68)</f>
        <v>88.68</v>
      </c>
      <c r="F16" s="6">
        <f>IFERROR(__xludf.DUMMYFUNCTION("""COMPUTED_VALUE"""),1.70514E7)</f>
        <v>17051400</v>
      </c>
    </row>
    <row r="17">
      <c r="A17" s="7">
        <f>IFERROR(__xludf.DUMMYFUNCTION("""COMPUTED_VALUE"""),45275.64583333333)</f>
        <v>45275.64583</v>
      </c>
      <c r="B17" s="6">
        <f>IFERROR(__xludf.DUMMYFUNCTION("""COMPUTED_VALUE"""),89.08)</f>
        <v>89.08</v>
      </c>
      <c r="C17" s="6">
        <f>IFERROR(__xludf.DUMMYFUNCTION("""COMPUTED_VALUE"""),90.07)</f>
        <v>90.07</v>
      </c>
      <c r="D17" s="6">
        <f>IFERROR(__xludf.DUMMYFUNCTION("""COMPUTED_VALUE"""),85.8)</f>
        <v>85.8</v>
      </c>
      <c r="E17" s="6">
        <f>IFERROR(__xludf.DUMMYFUNCTION("""COMPUTED_VALUE"""),88.17)</f>
        <v>88.17</v>
      </c>
      <c r="F17" s="6">
        <f>IFERROR(__xludf.DUMMYFUNCTION("""COMPUTED_VALUE"""),1.128571E7)</f>
        <v>11285710</v>
      </c>
    </row>
    <row r="18">
      <c r="A18" s="7">
        <f>IFERROR(__xludf.DUMMYFUNCTION("""COMPUTED_VALUE"""),45282.64583333333)</f>
        <v>45282.64583</v>
      </c>
      <c r="B18" s="6">
        <f>IFERROR(__xludf.DUMMYFUNCTION("""COMPUTED_VALUE"""),88.59)</f>
        <v>88.59</v>
      </c>
      <c r="C18" s="6">
        <f>IFERROR(__xludf.DUMMYFUNCTION("""COMPUTED_VALUE"""),89.55)</f>
        <v>89.55</v>
      </c>
      <c r="D18" s="6">
        <f>IFERROR(__xludf.DUMMYFUNCTION("""COMPUTED_VALUE"""),81.65)</f>
        <v>81.65</v>
      </c>
      <c r="E18" s="6">
        <f>IFERROR(__xludf.DUMMYFUNCTION("""COMPUTED_VALUE"""),83.32)</f>
        <v>83.32</v>
      </c>
      <c r="F18" s="6">
        <f>IFERROR(__xludf.DUMMYFUNCTION("""COMPUTED_VALUE"""),1.1757406E7)</f>
        <v>11757406</v>
      </c>
    </row>
    <row r="19">
      <c r="A19" s="7">
        <f>IFERROR(__xludf.DUMMYFUNCTION("""COMPUTED_VALUE"""),45289.64583333333)</f>
        <v>45289.64583</v>
      </c>
      <c r="B19" s="6">
        <f>IFERROR(__xludf.DUMMYFUNCTION("""COMPUTED_VALUE"""),83.66)</f>
        <v>83.66</v>
      </c>
      <c r="C19" s="6">
        <f>IFERROR(__xludf.DUMMYFUNCTION("""COMPUTED_VALUE"""),85.29)</f>
        <v>85.29</v>
      </c>
      <c r="D19" s="6">
        <f>IFERROR(__xludf.DUMMYFUNCTION("""COMPUTED_VALUE"""),82.83)</f>
        <v>82.83</v>
      </c>
      <c r="E19" s="6">
        <f>IFERROR(__xludf.DUMMYFUNCTION("""COMPUTED_VALUE"""),84.8)</f>
        <v>84.8</v>
      </c>
      <c r="F19" s="6">
        <f>IFERROR(__xludf.DUMMYFUNCTION("""COMPUTED_VALUE"""),7945717.0)</f>
        <v>7945717</v>
      </c>
    </row>
    <row r="20">
      <c r="A20" s="7">
        <f>IFERROR(__xludf.DUMMYFUNCTION("""COMPUTED_VALUE"""),45296.64583333333)</f>
        <v>45296.64583</v>
      </c>
      <c r="B20" s="6">
        <f>IFERROR(__xludf.DUMMYFUNCTION("""COMPUTED_VALUE"""),85.67)</f>
        <v>85.67</v>
      </c>
      <c r="C20" s="6">
        <f>IFERROR(__xludf.DUMMYFUNCTION("""COMPUTED_VALUE"""),94.48)</f>
        <v>94.48</v>
      </c>
      <c r="D20" s="6">
        <f>IFERROR(__xludf.DUMMYFUNCTION("""COMPUTED_VALUE"""),84.76)</f>
        <v>84.76</v>
      </c>
      <c r="E20" s="6">
        <f>IFERROR(__xludf.DUMMYFUNCTION("""COMPUTED_VALUE"""),90.26)</f>
        <v>90.26</v>
      </c>
      <c r="F20" s="6">
        <f>IFERROR(__xludf.DUMMYFUNCTION("""COMPUTED_VALUE"""),5.1067886E7)</f>
        <v>51067886</v>
      </c>
    </row>
    <row r="21">
      <c r="A21" s="7">
        <f>IFERROR(__xludf.DUMMYFUNCTION("""COMPUTED_VALUE"""),45303.64583333333)</f>
        <v>45303.64583</v>
      </c>
      <c r="B21" s="6">
        <f>IFERROR(__xludf.DUMMYFUNCTION("""COMPUTED_VALUE"""),90.88)</f>
        <v>90.88</v>
      </c>
      <c r="C21" s="6">
        <f>IFERROR(__xludf.DUMMYFUNCTION("""COMPUTED_VALUE"""),90.98)</f>
        <v>90.98</v>
      </c>
      <c r="D21" s="6">
        <f>IFERROR(__xludf.DUMMYFUNCTION("""COMPUTED_VALUE"""),85.12)</f>
        <v>85.12</v>
      </c>
      <c r="E21" s="6">
        <f>IFERROR(__xludf.DUMMYFUNCTION("""COMPUTED_VALUE"""),88.32)</f>
        <v>88.32</v>
      </c>
      <c r="F21" s="6">
        <f>IFERROR(__xludf.DUMMYFUNCTION("""COMPUTED_VALUE"""),1.9750843E7)</f>
        <v>19750843</v>
      </c>
    </row>
    <row r="22">
      <c r="A22" s="7">
        <f>IFERROR(__xludf.DUMMYFUNCTION("""COMPUTED_VALUE"""),45316.64583333333)</f>
        <v>45316.64583</v>
      </c>
      <c r="B22" s="6">
        <f>IFERROR(__xludf.DUMMYFUNCTION("""COMPUTED_VALUE"""),86.01)</f>
        <v>86.01</v>
      </c>
      <c r="C22" s="6">
        <f>IFERROR(__xludf.DUMMYFUNCTION("""COMPUTED_VALUE"""),92.19)</f>
        <v>92.19</v>
      </c>
      <c r="D22" s="6">
        <f>IFERROR(__xludf.DUMMYFUNCTION("""COMPUTED_VALUE"""),83.94)</f>
        <v>83.94</v>
      </c>
      <c r="E22" s="6">
        <f>IFERROR(__xludf.DUMMYFUNCTION("""COMPUTED_VALUE"""),91.58)</f>
        <v>91.58</v>
      </c>
      <c r="F22" s="6">
        <f>IFERROR(__xludf.DUMMYFUNCTION("""COMPUTED_VALUE"""),2.3735399E7)</f>
        <v>23735399</v>
      </c>
    </row>
    <row r="23">
      <c r="A23" s="7">
        <f>IFERROR(__xludf.DUMMYFUNCTION("""COMPUTED_VALUE"""),45324.64583333333)</f>
        <v>45324.64583</v>
      </c>
      <c r="B23" s="6">
        <f>IFERROR(__xludf.DUMMYFUNCTION("""COMPUTED_VALUE"""),91.73)</f>
        <v>91.73</v>
      </c>
      <c r="C23" s="6">
        <f>IFERROR(__xludf.DUMMYFUNCTION("""COMPUTED_VALUE"""),96.66)</f>
        <v>96.66</v>
      </c>
      <c r="D23" s="6">
        <f>IFERROR(__xludf.DUMMYFUNCTION("""COMPUTED_VALUE"""),90.62)</f>
        <v>90.62</v>
      </c>
      <c r="E23" s="6">
        <f>IFERROR(__xludf.DUMMYFUNCTION("""COMPUTED_VALUE"""),94.18)</f>
        <v>94.18</v>
      </c>
      <c r="F23" s="6">
        <f>IFERROR(__xludf.DUMMYFUNCTION("""COMPUTED_VALUE"""),3.009924E7)</f>
        <v>30099240</v>
      </c>
    </row>
    <row r="24">
      <c r="A24" s="7">
        <f>IFERROR(__xludf.DUMMYFUNCTION("""COMPUTED_VALUE"""),45331.64583333333)</f>
        <v>45331.64583</v>
      </c>
      <c r="B24" s="6">
        <f>IFERROR(__xludf.DUMMYFUNCTION("""COMPUTED_VALUE"""),94.67)</f>
        <v>94.67</v>
      </c>
      <c r="C24" s="6">
        <f>IFERROR(__xludf.DUMMYFUNCTION("""COMPUTED_VALUE"""),100.83)</f>
        <v>100.83</v>
      </c>
      <c r="D24" s="6">
        <f>IFERROR(__xludf.DUMMYFUNCTION("""COMPUTED_VALUE"""),93.06)</f>
        <v>93.06</v>
      </c>
      <c r="E24" s="6">
        <f>IFERROR(__xludf.DUMMYFUNCTION("""COMPUTED_VALUE"""),95.85)</f>
        <v>95.85</v>
      </c>
      <c r="F24" s="6">
        <f>IFERROR(__xludf.DUMMYFUNCTION("""COMPUTED_VALUE"""),3.2839039E7)</f>
        <v>32839039</v>
      </c>
    </row>
    <row r="25">
      <c r="A25" s="7">
        <f>IFERROR(__xludf.DUMMYFUNCTION("""COMPUTED_VALUE"""),45338.64583333333)</f>
        <v>45338.64583</v>
      </c>
      <c r="B25" s="6">
        <f>IFERROR(__xludf.DUMMYFUNCTION("""COMPUTED_VALUE"""),95.85)</f>
        <v>95.85</v>
      </c>
      <c r="C25" s="6">
        <f>IFERROR(__xludf.DUMMYFUNCTION("""COMPUTED_VALUE"""),96.53)</f>
        <v>96.53</v>
      </c>
      <c r="D25" s="6">
        <f>IFERROR(__xludf.DUMMYFUNCTION("""COMPUTED_VALUE"""),86.86)</f>
        <v>86.86</v>
      </c>
      <c r="E25" s="6">
        <f>IFERROR(__xludf.DUMMYFUNCTION("""COMPUTED_VALUE"""),87.51)</f>
        <v>87.51</v>
      </c>
      <c r="F25" s="6">
        <f>IFERROR(__xludf.DUMMYFUNCTION("""COMPUTED_VALUE"""),3.251463E7)</f>
        <v>32514630</v>
      </c>
    </row>
    <row r="26">
      <c r="A26" s="7">
        <f>IFERROR(__xludf.DUMMYFUNCTION("""COMPUTED_VALUE"""),45345.64583333333)</f>
        <v>45345.64583</v>
      </c>
      <c r="B26" s="6">
        <f>IFERROR(__xludf.DUMMYFUNCTION("""COMPUTED_VALUE"""),87.55)</f>
        <v>87.55</v>
      </c>
      <c r="C26" s="6">
        <f>IFERROR(__xludf.DUMMYFUNCTION("""COMPUTED_VALUE"""),91.11)</f>
        <v>91.11</v>
      </c>
      <c r="D26" s="6">
        <f>IFERROR(__xludf.DUMMYFUNCTION("""COMPUTED_VALUE"""),85.18)</f>
        <v>85.18</v>
      </c>
      <c r="E26" s="6">
        <f>IFERROR(__xludf.DUMMYFUNCTION("""COMPUTED_VALUE"""),85.74)</f>
        <v>85.74</v>
      </c>
      <c r="F26" s="6">
        <f>IFERROR(__xludf.DUMMYFUNCTION("""COMPUTED_VALUE"""),1.920654E7)</f>
        <v>19206540</v>
      </c>
    </row>
    <row r="27">
      <c r="A27" s="7">
        <f>IFERROR(__xludf.DUMMYFUNCTION("""COMPUTED_VALUE"""),45358.64583333333)</f>
        <v>45358.64583</v>
      </c>
      <c r="B27" s="6">
        <f>IFERROR(__xludf.DUMMYFUNCTION("""COMPUTED_VALUE"""),88.25)</f>
        <v>88.25</v>
      </c>
      <c r="C27" s="6">
        <f>IFERROR(__xludf.DUMMYFUNCTION("""COMPUTED_VALUE"""),89.38)</f>
        <v>89.38</v>
      </c>
      <c r="D27" s="6">
        <f>IFERROR(__xludf.DUMMYFUNCTION("""COMPUTED_VALUE"""),84.17)</f>
        <v>84.17</v>
      </c>
      <c r="E27" s="6">
        <f>IFERROR(__xludf.DUMMYFUNCTION("""COMPUTED_VALUE"""),85.44)</f>
        <v>85.44</v>
      </c>
      <c r="F27" s="6">
        <f>IFERROR(__xludf.DUMMYFUNCTION("""COMPUTED_VALUE"""),1.8291138E7)</f>
        <v>18291138</v>
      </c>
    </row>
    <row r="28">
      <c r="A28" s="7">
        <f>IFERROR(__xludf.DUMMYFUNCTION("""COMPUTED_VALUE"""),45366.64583333333)</f>
        <v>45366.64583</v>
      </c>
      <c r="B28" s="6">
        <f>IFERROR(__xludf.DUMMYFUNCTION("""COMPUTED_VALUE"""),85.67)</f>
        <v>85.67</v>
      </c>
      <c r="C28" s="6">
        <f>IFERROR(__xludf.DUMMYFUNCTION("""COMPUTED_VALUE"""),86.18)</f>
        <v>86.18</v>
      </c>
      <c r="D28" s="6">
        <f>IFERROR(__xludf.DUMMYFUNCTION("""COMPUTED_VALUE"""),75.34)</f>
        <v>75.34</v>
      </c>
      <c r="E28" s="6">
        <f>IFERROR(__xludf.DUMMYFUNCTION("""COMPUTED_VALUE"""),78.6)</f>
        <v>78.6</v>
      </c>
      <c r="F28" s="6">
        <f>IFERROR(__xludf.DUMMYFUNCTION("""COMPUTED_VALUE"""),2.8111269E7)</f>
        <v>28111269</v>
      </c>
    </row>
    <row r="29">
      <c r="A29" s="7">
        <f>IFERROR(__xludf.DUMMYFUNCTION("""COMPUTED_VALUE"""),45373.64583333333)</f>
        <v>45373.64583</v>
      </c>
      <c r="B29" s="6">
        <f>IFERROR(__xludf.DUMMYFUNCTION("""COMPUTED_VALUE"""),78.66)</f>
        <v>78.66</v>
      </c>
      <c r="C29" s="6">
        <f>IFERROR(__xludf.DUMMYFUNCTION("""COMPUTED_VALUE"""),79.76)</f>
        <v>79.76</v>
      </c>
      <c r="D29" s="6">
        <f>IFERROR(__xludf.DUMMYFUNCTION("""COMPUTED_VALUE"""),75.96)</f>
        <v>75.96</v>
      </c>
      <c r="E29" s="6">
        <f>IFERROR(__xludf.DUMMYFUNCTION("""COMPUTED_VALUE"""),77.84)</f>
        <v>77.84</v>
      </c>
      <c r="F29" s="6">
        <f>IFERROR(__xludf.DUMMYFUNCTION("""COMPUTED_VALUE"""),1.4783325E7)</f>
        <v>14783325</v>
      </c>
    </row>
    <row r="30">
      <c r="A30" s="7">
        <f>IFERROR(__xludf.DUMMYFUNCTION("""COMPUTED_VALUE"""),45379.64583333333)</f>
        <v>45379.64583</v>
      </c>
      <c r="B30" s="6">
        <f>IFERROR(__xludf.DUMMYFUNCTION("""COMPUTED_VALUE"""),78.28)</f>
        <v>78.28</v>
      </c>
      <c r="C30" s="6">
        <f>IFERROR(__xludf.DUMMYFUNCTION("""COMPUTED_VALUE"""),79.36)</f>
        <v>79.36</v>
      </c>
      <c r="D30" s="6">
        <f>IFERROR(__xludf.DUMMYFUNCTION("""COMPUTED_VALUE"""),76.93)</f>
        <v>76.93</v>
      </c>
      <c r="E30" s="6">
        <f>IFERROR(__xludf.DUMMYFUNCTION("""COMPUTED_VALUE"""),77.92)</f>
        <v>77.92</v>
      </c>
      <c r="F30" s="6">
        <f>IFERROR(__xludf.DUMMYFUNCTION("""COMPUTED_VALUE"""),9629789.0)</f>
        <v>9629789</v>
      </c>
    </row>
    <row r="31">
      <c r="A31" s="7">
        <f>IFERROR(__xludf.DUMMYFUNCTION("""COMPUTED_VALUE"""),45387.64583333333)</f>
        <v>45387.64583</v>
      </c>
      <c r="B31" s="6">
        <f>IFERROR(__xludf.DUMMYFUNCTION("""COMPUTED_VALUE"""),78.01)</f>
        <v>78.01</v>
      </c>
      <c r="C31" s="6">
        <f>IFERROR(__xludf.DUMMYFUNCTION("""COMPUTED_VALUE"""),93.82)</f>
        <v>93.82</v>
      </c>
      <c r="D31" s="6">
        <f>IFERROR(__xludf.DUMMYFUNCTION("""COMPUTED_VALUE"""),78.01)</f>
        <v>78.01</v>
      </c>
      <c r="E31" s="6">
        <f>IFERROR(__xludf.DUMMYFUNCTION("""COMPUTED_VALUE"""),89.97)</f>
        <v>89.97</v>
      </c>
      <c r="F31" s="6">
        <f>IFERROR(__xludf.DUMMYFUNCTION("""COMPUTED_VALUE"""),1.16703886E8)</f>
        <v>116703886</v>
      </c>
    </row>
    <row r="32">
      <c r="A32" s="7">
        <f>IFERROR(__xludf.DUMMYFUNCTION("""COMPUTED_VALUE"""),45394.64583333333)</f>
        <v>45394.64583</v>
      </c>
      <c r="B32" s="6">
        <f>IFERROR(__xludf.DUMMYFUNCTION("""COMPUTED_VALUE"""),90.01)</f>
        <v>90.01</v>
      </c>
      <c r="C32" s="6">
        <f>IFERROR(__xludf.DUMMYFUNCTION("""COMPUTED_VALUE"""),92.68)</f>
        <v>92.68</v>
      </c>
      <c r="D32" s="6">
        <f>IFERROR(__xludf.DUMMYFUNCTION("""COMPUTED_VALUE"""),88.32)</f>
        <v>88.32</v>
      </c>
      <c r="E32" s="6">
        <f>IFERROR(__xludf.DUMMYFUNCTION("""COMPUTED_VALUE"""),88.68)</f>
        <v>88.68</v>
      </c>
      <c r="F32" s="6">
        <f>IFERROR(__xludf.DUMMYFUNCTION("""COMPUTED_VALUE"""),1.5214339E7)</f>
        <v>15214339</v>
      </c>
    </row>
    <row r="33">
      <c r="A33" s="7">
        <f>IFERROR(__xludf.DUMMYFUNCTION("""COMPUTED_VALUE"""),45401.64583333333)</f>
        <v>45401.64583</v>
      </c>
      <c r="B33" s="6">
        <f>IFERROR(__xludf.DUMMYFUNCTION("""COMPUTED_VALUE"""),87.07)</f>
        <v>87.07</v>
      </c>
      <c r="C33" s="6">
        <f>IFERROR(__xludf.DUMMYFUNCTION("""COMPUTED_VALUE"""),90.03)</f>
        <v>90.03</v>
      </c>
      <c r="D33" s="6">
        <f>IFERROR(__xludf.DUMMYFUNCTION("""COMPUTED_VALUE"""),85.48)</f>
        <v>85.48</v>
      </c>
      <c r="E33" s="6">
        <f>IFERROR(__xludf.DUMMYFUNCTION("""COMPUTED_VALUE"""),87.77)</f>
        <v>87.77</v>
      </c>
      <c r="F33" s="6">
        <f>IFERROR(__xludf.DUMMYFUNCTION("""COMPUTED_VALUE"""),9827411.0)</f>
        <v>9827411</v>
      </c>
    </row>
    <row r="34">
      <c r="A34" s="7">
        <f>IFERROR(__xludf.DUMMYFUNCTION("""COMPUTED_VALUE"""),45408.64583333333)</f>
        <v>45408.64583</v>
      </c>
      <c r="B34" s="6">
        <f>IFERROR(__xludf.DUMMYFUNCTION("""COMPUTED_VALUE"""),89.46)</f>
        <v>89.46</v>
      </c>
      <c r="C34" s="6">
        <f>IFERROR(__xludf.DUMMYFUNCTION("""COMPUTED_VALUE"""),104.98)</f>
        <v>104.98</v>
      </c>
      <c r="D34" s="6">
        <f>IFERROR(__xludf.DUMMYFUNCTION("""COMPUTED_VALUE"""),87.94)</f>
        <v>87.94</v>
      </c>
      <c r="E34" s="6">
        <f>IFERROR(__xludf.DUMMYFUNCTION("""COMPUTED_VALUE"""),101.8)</f>
        <v>101.8</v>
      </c>
      <c r="F34" s="6">
        <f>IFERROR(__xludf.DUMMYFUNCTION("""COMPUTED_VALUE"""),8.0860601E7)</f>
        <v>80860601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IFERROR(__xludf.DUMMYFUNCTION("""COMPUTED_VALUE"""),102.73)</f>
        <v>102.73</v>
      </c>
      <c r="C35" s="6">
        <f>IFERROR(__xludf.DUMMYFUNCTION("""COMPUTED_VALUE"""),104.02)</f>
        <v>104.02</v>
      </c>
      <c r="D35" s="6">
        <f>IFERROR(__xludf.DUMMYFUNCTION("""COMPUTED_VALUE"""),94.94)</f>
        <v>94.94</v>
      </c>
      <c r="E35" s="6">
        <f>IFERROR(__xludf.DUMMYFUNCTION("""COMPUTED_VALUE"""),96.34)</f>
        <v>96.34</v>
      </c>
      <c r="F35" s="6">
        <f>IFERROR(__xludf.DUMMYFUNCTION("""COMPUTED_VALUE"""),2.3215478E7)</f>
        <v>23215478</v>
      </c>
    </row>
    <row r="36">
      <c r="A36" s="7">
        <f>IFERROR(__xludf.DUMMYFUNCTION("""COMPUTED_VALUE"""),45422.64583333333)</f>
        <v>45422.64583</v>
      </c>
      <c r="B36" s="6">
        <f>IFERROR(__xludf.DUMMYFUNCTION("""COMPUTED_VALUE"""),97.8)</f>
        <v>97.8</v>
      </c>
      <c r="C36" s="6">
        <f>IFERROR(__xludf.DUMMYFUNCTION("""COMPUTED_VALUE"""),98.29)</f>
        <v>98.29</v>
      </c>
      <c r="D36" s="6">
        <f>IFERROR(__xludf.DUMMYFUNCTION("""COMPUTED_VALUE"""),92.49)</f>
        <v>92.49</v>
      </c>
      <c r="E36" s="6">
        <f>IFERROR(__xludf.DUMMYFUNCTION("""COMPUTED_VALUE"""),97.36)</f>
        <v>97.36</v>
      </c>
      <c r="F36" s="6">
        <f>IFERROR(__xludf.DUMMYFUNCTION("""COMPUTED_VALUE"""),1.9404238E7)</f>
        <v>19404238</v>
      </c>
    </row>
    <row r="37">
      <c r="A37" s="7">
        <f>IFERROR(__xludf.DUMMYFUNCTION("""COMPUTED_VALUE"""),45436.64583333333)</f>
        <v>45436.64583</v>
      </c>
      <c r="B37" s="6">
        <f>IFERROR(__xludf.DUMMYFUNCTION("""COMPUTED_VALUE"""),99.88)</f>
        <v>99.88</v>
      </c>
      <c r="C37" s="6">
        <f>IFERROR(__xludf.DUMMYFUNCTION("""COMPUTED_VALUE"""),110.67)</f>
        <v>110.67</v>
      </c>
      <c r="D37" s="6">
        <f>IFERROR(__xludf.DUMMYFUNCTION("""COMPUTED_VALUE"""),99.88)</f>
        <v>99.88</v>
      </c>
      <c r="E37" s="6">
        <f>IFERROR(__xludf.DUMMYFUNCTION("""COMPUTED_VALUE"""),109.95)</f>
        <v>109.95</v>
      </c>
      <c r="F37" s="6">
        <f>IFERROR(__xludf.DUMMYFUNCTION("""COMPUTED_VALUE"""),5.1388659E7)</f>
        <v>51388659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IFERROR(__xludf.DUMMYFUNCTION("""COMPUTED_VALUE"""),110.31)</f>
        <v>110.31</v>
      </c>
      <c r="C38" s="6">
        <f>IFERROR(__xludf.DUMMYFUNCTION("""COMPUTED_VALUE"""),115.33)</f>
        <v>115.33</v>
      </c>
      <c r="D38" s="6">
        <f>IFERROR(__xludf.DUMMYFUNCTION("""COMPUTED_VALUE"""),105.19)</f>
        <v>105.19</v>
      </c>
      <c r="E38" s="6">
        <f>IFERROR(__xludf.DUMMYFUNCTION("""COMPUTED_VALUE"""),109.04)</f>
        <v>109.04</v>
      </c>
      <c r="F38" s="6">
        <f>IFERROR(__xludf.DUMMYFUNCTION("""COMPUTED_VALUE"""),6.396275E7)</f>
        <v>63962750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IFERROR(__xludf.DUMMYFUNCTION("""COMPUTED_VALUE"""),113.72)</f>
        <v>113.72</v>
      </c>
      <c r="C39" s="6">
        <f>IFERROR(__xludf.DUMMYFUNCTION("""COMPUTED_VALUE"""),124.86)</f>
        <v>124.86</v>
      </c>
      <c r="D39" s="6">
        <f>IFERROR(__xludf.DUMMYFUNCTION("""COMPUTED_VALUE"""),94.35)</f>
        <v>94.35</v>
      </c>
      <c r="E39" s="6">
        <f>IFERROR(__xludf.DUMMYFUNCTION("""COMPUTED_VALUE"""),122.89)</f>
        <v>122.89</v>
      </c>
      <c r="F39" s="6">
        <f>IFERROR(__xludf.DUMMYFUNCTION("""COMPUTED_VALUE"""),6.9917912E7)</f>
        <v>69917912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IFERROR(__xludf.DUMMYFUNCTION("""COMPUTED_VALUE"""),122.89)</f>
        <v>122.89</v>
      </c>
      <c r="C40" s="6">
        <f>IFERROR(__xludf.DUMMYFUNCTION("""COMPUTED_VALUE"""),126.57)</f>
        <v>126.57</v>
      </c>
      <c r="D40" s="6">
        <f>IFERROR(__xludf.DUMMYFUNCTION("""COMPUTED_VALUE"""),122.15)</f>
        <v>122.15</v>
      </c>
      <c r="E40" s="6">
        <f>IFERROR(__xludf.DUMMYFUNCTION("""COMPUTED_VALUE"""),124.56)</f>
        <v>124.56</v>
      </c>
      <c r="F40" s="6">
        <f>IFERROR(__xludf.DUMMYFUNCTION("""COMPUTED_VALUE"""),2.2549079E7)</f>
        <v>22549079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IFERROR(__xludf.DUMMYFUNCTION("""COMPUTED_VALUE"""),125.09)</f>
        <v>125.09</v>
      </c>
      <c r="C41" s="6">
        <f>IFERROR(__xludf.DUMMYFUNCTION("""COMPUTED_VALUE"""),127.08)</f>
        <v>127.08</v>
      </c>
      <c r="D41" s="6">
        <f>IFERROR(__xludf.DUMMYFUNCTION("""COMPUTED_VALUE"""),118.69)</f>
        <v>118.69</v>
      </c>
      <c r="E41" s="6">
        <f>IFERROR(__xludf.DUMMYFUNCTION("""COMPUTED_VALUE"""),119.37)</f>
        <v>119.37</v>
      </c>
      <c r="F41" s="6">
        <f>IFERROR(__xludf.DUMMYFUNCTION("""COMPUTED_VALUE"""),2.2430014E7)</f>
        <v>22430014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IFERROR(__xludf.DUMMYFUNCTION("""COMPUTED_VALUE"""),117.89)</f>
        <v>117.89</v>
      </c>
      <c r="C42" s="6">
        <f>IFERROR(__xludf.DUMMYFUNCTION("""COMPUTED_VALUE"""),122.55)</f>
        <v>122.55</v>
      </c>
      <c r="D42" s="6">
        <f>IFERROR(__xludf.DUMMYFUNCTION("""COMPUTED_VALUE"""),116.39)</f>
        <v>116.39</v>
      </c>
      <c r="E42" s="6">
        <f>IFERROR(__xludf.DUMMYFUNCTION("""COMPUTED_VALUE"""),118.33)</f>
        <v>118.33</v>
      </c>
      <c r="F42" s="6">
        <f>IFERROR(__xludf.DUMMYFUNCTION("""COMPUTED_VALUE"""),1.9867826E7)</f>
        <v>19867826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IFERROR(__xludf.DUMMYFUNCTION("""COMPUTED_VALUE"""),118.88)</f>
        <v>118.88</v>
      </c>
      <c r="C43" s="6">
        <f>IFERROR(__xludf.DUMMYFUNCTION("""COMPUTED_VALUE"""),128.66)</f>
        <v>128.66</v>
      </c>
      <c r="D43" s="6">
        <f>IFERROR(__xludf.DUMMYFUNCTION("""COMPUTED_VALUE"""),118.84)</f>
        <v>118.84</v>
      </c>
      <c r="E43" s="6">
        <f>IFERROR(__xludf.DUMMYFUNCTION("""COMPUTED_VALUE"""),124.2)</f>
        <v>124.2</v>
      </c>
      <c r="F43" s="6">
        <f>IFERROR(__xludf.DUMMYFUNCTION("""COMPUTED_VALUE"""),3.2114763E7)</f>
        <v>32114763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IFERROR(__xludf.DUMMYFUNCTION("""COMPUTED_VALUE"""),124.6)</f>
        <v>124.6</v>
      </c>
      <c r="C44" s="6">
        <f>IFERROR(__xludf.DUMMYFUNCTION("""COMPUTED_VALUE"""),125.62)</f>
        <v>125.62</v>
      </c>
      <c r="D44" s="6">
        <f>IFERROR(__xludf.DUMMYFUNCTION("""COMPUTED_VALUE"""),119.42)</f>
        <v>119.42</v>
      </c>
      <c r="E44" s="6">
        <f>IFERROR(__xludf.DUMMYFUNCTION("""COMPUTED_VALUE"""),122.51)</f>
        <v>122.51</v>
      </c>
      <c r="F44" s="6">
        <f>IFERROR(__xludf.DUMMYFUNCTION("""COMPUTED_VALUE"""),2.5466697E7)</f>
        <v>25466697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IFERROR(__xludf.DUMMYFUNCTION("""COMPUTED_VALUE"""),123.01)</f>
        <v>123.01</v>
      </c>
      <c r="C45" s="6">
        <f>IFERROR(__xludf.DUMMYFUNCTION("""COMPUTED_VALUE"""),126.78)</f>
        <v>126.78</v>
      </c>
      <c r="D45" s="6">
        <f>IFERROR(__xludf.DUMMYFUNCTION("""COMPUTED_VALUE"""),118.36)</f>
        <v>118.36</v>
      </c>
      <c r="E45" s="6">
        <f>IFERROR(__xludf.DUMMYFUNCTION("""COMPUTED_VALUE"""),119.63)</f>
        <v>119.63</v>
      </c>
      <c r="F45" s="6">
        <f>IFERROR(__xludf.DUMMYFUNCTION("""COMPUTED_VALUE"""),2.8955848E7)</f>
        <v>28955848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IFERROR(__xludf.DUMMYFUNCTION("""COMPUTED_VALUE"""),120.07)</f>
        <v>120.07</v>
      </c>
      <c r="C46" s="6">
        <f>IFERROR(__xludf.DUMMYFUNCTION("""COMPUTED_VALUE"""),125.6)</f>
        <v>125.6</v>
      </c>
      <c r="D46" s="6">
        <f>IFERROR(__xludf.DUMMYFUNCTION("""COMPUTED_VALUE"""),111.94)</f>
        <v>111.94</v>
      </c>
      <c r="E46" s="6">
        <f>IFERROR(__xludf.DUMMYFUNCTION("""COMPUTED_VALUE"""),125.09)</f>
        <v>125.09</v>
      </c>
      <c r="F46" s="6">
        <f>IFERROR(__xludf.DUMMYFUNCTION("""COMPUTED_VALUE"""),1.8534324E7)</f>
        <v>18534324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IFERROR(__xludf.DUMMYFUNCTION("""COMPUTED_VALUE"""),126.23)</f>
        <v>126.23</v>
      </c>
      <c r="C47" s="6">
        <f>IFERROR(__xludf.DUMMYFUNCTION("""COMPUTED_VALUE"""),132.26)</f>
        <v>132.26</v>
      </c>
      <c r="D47" s="6">
        <f>IFERROR(__xludf.DUMMYFUNCTION("""COMPUTED_VALUE"""),121.83)</f>
        <v>121.83</v>
      </c>
      <c r="E47" s="6">
        <f>IFERROR(__xludf.DUMMYFUNCTION("""COMPUTED_VALUE"""),127.18)</f>
        <v>127.18</v>
      </c>
      <c r="F47" s="6">
        <f>IFERROR(__xludf.DUMMYFUNCTION("""COMPUTED_VALUE"""),2.9979301E7)</f>
        <v>29979301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IFERROR(__xludf.DUMMYFUNCTION("""COMPUTED_VALUE"""),125.49)</f>
        <v>125.49</v>
      </c>
      <c r="C48" s="6">
        <f>IFERROR(__xludf.DUMMYFUNCTION("""COMPUTED_VALUE"""),126.82)</f>
        <v>126.82</v>
      </c>
      <c r="D48" s="6">
        <f>IFERROR(__xludf.DUMMYFUNCTION("""COMPUTED_VALUE"""),119.08)</f>
        <v>119.08</v>
      </c>
      <c r="E48" s="6">
        <f>IFERROR(__xludf.DUMMYFUNCTION("""COMPUTED_VALUE"""),123.08)</f>
        <v>123.08</v>
      </c>
      <c r="F48" s="6">
        <f>IFERROR(__xludf.DUMMYFUNCTION("""COMPUTED_VALUE"""),2.7547792E7)</f>
        <v>27547792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IFERROR(__xludf.DUMMYFUNCTION("""COMPUTED_VALUE"""),122.82)</f>
        <v>122.82</v>
      </c>
      <c r="C49" s="6">
        <f>IFERROR(__xludf.DUMMYFUNCTION("""COMPUTED_VALUE"""),123.29)</f>
        <v>123.29</v>
      </c>
      <c r="D49" s="6">
        <f>IFERROR(__xludf.DUMMYFUNCTION("""COMPUTED_VALUE"""),117.13)</f>
        <v>117.13</v>
      </c>
      <c r="E49" s="6">
        <f>IFERROR(__xludf.DUMMYFUNCTION("""COMPUTED_VALUE"""),121.09)</f>
        <v>121.09</v>
      </c>
      <c r="F49" s="6">
        <f>IFERROR(__xludf.DUMMYFUNCTION("""COMPUTED_VALUE"""),7425223.0)</f>
        <v>7425223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IFERROR(__xludf.DUMMYFUNCTION("""COMPUTED_VALUE"""),120.54)</f>
        <v>120.54</v>
      </c>
      <c r="C50" s="6">
        <f>IFERROR(__xludf.DUMMYFUNCTION("""COMPUTED_VALUE"""),122.89)</f>
        <v>122.89</v>
      </c>
      <c r="D50" s="6">
        <f>IFERROR(__xludf.DUMMYFUNCTION("""COMPUTED_VALUE"""),118.31)</f>
        <v>118.31</v>
      </c>
      <c r="E50" s="6">
        <f>IFERROR(__xludf.DUMMYFUNCTION("""COMPUTED_VALUE"""),121.11)</f>
        <v>121.11</v>
      </c>
      <c r="F50" s="6">
        <f>IFERROR(__xludf.DUMMYFUNCTION("""COMPUTED_VALUE"""),1.2455482E7)</f>
        <v>12455482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IFERROR(__xludf.DUMMYFUNCTION("""COMPUTED_VALUE"""),121.3)</f>
        <v>121.3</v>
      </c>
      <c r="C51" s="6">
        <f>IFERROR(__xludf.DUMMYFUNCTION("""COMPUTED_VALUE"""),123.59)</f>
        <v>123.59</v>
      </c>
      <c r="D51" s="6">
        <f>IFERROR(__xludf.DUMMYFUNCTION("""COMPUTED_VALUE"""),117.38)</f>
        <v>117.38</v>
      </c>
      <c r="E51" s="6">
        <f>IFERROR(__xludf.DUMMYFUNCTION("""COMPUTED_VALUE"""),118.16)</f>
        <v>118.16</v>
      </c>
      <c r="F51" s="6">
        <f>IFERROR(__xludf.DUMMYFUNCTION("""COMPUTED_VALUE"""),3.9246184E7)</f>
        <v>39246184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IFERROR(__xludf.DUMMYFUNCTION("""COMPUTED_VALUE"""),118.61)</f>
        <v>118.61</v>
      </c>
      <c r="C52" s="6">
        <f>IFERROR(__xludf.DUMMYFUNCTION("""COMPUTED_VALUE"""),122.86)</f>
        <v>122.86</v>
      </c>
      <c r="D52" s="6">
        <f>IFERROR(__xludf.DUMMYFUNCTION("""COMPUTED_VALUE"""),116.37)</f>
        <v>116.37</v>
      </c>
      <c r="E52" s="6">
        <f>IFERROR(__xludf.DUMMYFUNCTION("""COMPUTED_VALUE"""),117.19)</f>
        <v>117.19</v>
      </c>
      <c r="F52" s="6">
        <f>IFERROR(__xludf.DUMMYFUNCTION("""COMPUTED_VALUE"""),2.1817704E7)</f>
        <v>21817704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IFERROR(__xludf.DUMMYFUNCTION("""COMPUTED_VALUE"""),117.23)</f>
        <v>117.23</v>
      </c>
      <c r="C53" s="6">
        <f>IFERROR(__xludf.DUMMYFUNCTION("""COMPUTED_VALUE"""),125.17)</f>
        <v>125.17</v>
      </c>
      <c r="D53" s="6">
        <f>IFERROR(__xludf.DUMMYFUNCTION("""COMPUTED_VALUE"""),114.86)</f>
        <v>114.86</v>
      </c>
      <c r="E53" s="6">
        <f>IFERROR(__xludf.DUMMYFUNCTION("""COMPUTED_VALUE"""),124.54)</f>
        <v>124.54</v>
      </c>
      <c r="F53" s="6">
        <f>IFERROR(__xludf.DUMMYFUNCTION("""COMPUTED_VALUE"""),2.5330698E7)</f>
        <v>25330698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IFERROR(__xludf.DUMMYFUNCTION("""COMPUTED_VALUE"""),124.75)</f>
        <v>124.75</v>
      </c>
      <c r="C54" s="6">
        <f>IFERROR(__xludf.DUMMYFUNCTION("""COMPUTED_VALUE"""),128.07)</f>
        <v>128.07</v>
      </c>
      <c r="D54" s="6">
        <f>IFERROR(__xludf.DUMMYFUNCTION("""COMPUTED_VALUE"""),122.91)</f>
        <v>122.91</v>
      </c>
      <c r="E54" s="6">
        <f>IFERROR(__xludf.DUMMYFUNCTION("""COMPUTED_VALUE"""),124.24)</f>
        <v>124.24</v>
      </c>
      <c r="F54" s="6">
        <f>IFERROR(__xludf.DUMMYFUNCTION("""COMPUTED_VALUE"""),2.5079509E7)</f>
        <v>25079509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IFERROR(__xludf.DUMMYFUNCTION("""COMPUTED_VALUE"""),125.09)</f>
        <v>125.09</v>
      </c>
      <c r="C55" s="6">
        <f>IFERROR(__xludf.DUMMYFUNCTION("""COMPUTED_VALUE"""),138.13)</f>
        <v>138.13</v>
      </c>
      <c r="D55" s="6">
        <f>IFERROR(__xludf.DUMMYFUNCTION("""COMPUTED_VALUE"""),124.22)</f>
        <v>124.22</v>
      </c>
      <c r="E55" s="6">
        <f>IFERROR(__xludf.DUMMYFUNCTION("""COMPUTED_VALUE"""),133.47)</f>
        <v>133.47</v>
      </c>
      <c r="F55" s="6">
        <f>IFERROR(__xludf.DUMMYFUNCTION("""COMPUTED_VALUE"""),5.669697E7)</f>
        <v>56696970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IFERROR(__xludf.DUMMYFUNCTION("""COMPUTED_VALUE"""),133.81)</f>
        <v>133.81</v>
      </c>
      <c r="C56" s="6">
        <f>IFERROR(__xludf.DUMMYFUNCTION("""COMPUTED_VALUE"""),135.67)</f>
        <v>135.67</v>
      </c>
      <c r="D56" s="6">
        <f>IFERROR(__xludf.DUMMYFUNCTION("""COMPUTED_VALUE"""),125.32)</f>
        <v>125.32</v>
      </c>
      <c r="E56" s="6">
        <f>IFERROR(__xludf.DUMMYFUNCTION("""COMPUTED_VALUE"""),126.23)</f>
        <v>126.23</v>
      </c>
      <c r="F56" s="6">
        <f>IFERROR(__xludf.DUMMYFUNCTION("""COMPUTED_VALUE"""),2.1499766E7)</f>
        <v>21499766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IFERROR(__xludf.DUMMYFUNCTION("""COMPUTED_VALUE"""),126.78)</f>
        <v>126.78</v>
      </c>
      <c r="C57" s="6">
        <f>IFERROR(__xludf.DUMMYFUNCTION("""COMPUTED_VALUE"""),131.46)</f>
        <v>131.46</v>
      </c>
      <c r="D57" s="6">
        <f>IFERROR(__xludf.DUMMYFUNCTION("""COMPUTED_VALUE"""),120.85)</f>
        <v>120.85</v>
      </c>
      <c r="E57" s="6">
        <f>IFERROR(__xludf.DUMMYFUNCTION("""COMPUTED_VALUE"""),128.98)</f>
        <v>128.98</v>
      </c>
      <c r="F57" s="6">
        <f>IFERROR(__xludf.DUMMYFUNCTION("""COMPUTED_VALUE"""),1.4407747E7)</f>
        <v>14407747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IFERROR(__xludf.DUMMYFUNCTION("""COMPUTED_VALUE"""),129.41)</f>
        <v>129.41</v>
      </c>
      <c r="C58" s="6">
        <f>IFERROR(__xludf.DUMMYFUNCTION("""COMPUTED_VALUE"""),134.02)</f>
        <v>134.02</v>
      </c>
      <c r="D58" s="6">
        <f>IFERROR(__xludf.DUMMYFUNCTION("""COMPUTED_VALUE"""),122.46)</f>
        <v>122.46</v>
      </c>
      <c r="E58" s="6">
        <f>IFERROR(__xludf.DUMMYFUNCTION("""COMPUTED_VALUE"""),126.63)</f>
        <v>126.63</v>
      </c>
      <c r="F58" s="6">
        <f>IFERROR(__xludf.DUMMYFUNCTION("""COMPUTED_VALUE"""),1.2760315E7)</f>
        <v>12760315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IFERROR(__xludf.DUMMYFUNCTION("""COMPUTED_VALUE"""),127.03)</f>
        <v>127.03</v>
      </c>
      <c r="C59" s="6">
        <f>IFERROR(__xludf.DUMMYFUNCTION("""COMPUTED_VALUE"""),127.27)</f>
        <v>127.27</v>
      </c>
      <c r="D59" s="6">
        <f>IFERROR(__xludf.DUMMYFUNCTION("""COMPUTED_VALUE"""),111.5)</f>
        <v>111.5</v>
      </c>
      <c r="E59" s="6">
        <f>IFERROR(__xludf.DUMMYFUNCTION("""COMPUTED_VALUE"""),113.83)</f>
        <v>113.83</v>
      </c>
      <c r="F59" s="6">
        <f>IFERROR(__xludf.DUMMYFUNCTION("""COMPUTED_VALUE"""),1.4289737E7)</f>
        <v>14289737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IFERROR(__xludf.DUMMYFUNCTION("""COMPUTED_VALUE"""),119.79)</f>
        <v>119.79</v>
      </c>
      <c r="C60" s="6">
        <f>IFERROR(__xludf.DUMMYFUNCTION("""COMPUTED_VALUE"""),119.86)</f>
        <v>119.86</v>
      </c>
      <c r="D60" s="6">
        <f>IFERROR(__xludf.DUMMYFUNCTION("""COMPUTED_VALUE"""),110.44)</f>
        <v>110.44</v>
      </c>
      <c r="E60" s="6">
        <f>IFERROR(__xludf.DUMMYFUNCTION("""COMPUTED_VALUE"""),112.64)</f>
        <v>112.64</v>
      </c>
      <c r="F60" s="6">
        <f>IFERROR(__xludf.DUMMYFUNCTION("""COMPUTED_VALUE"""),3.5333724E7)</f>
        <v>35333724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IFERROR(__xludf.DUMMYFUNCTION("""COMPUTED_VALUE"""),112.07)</f>
        <v>112.07</v>
      </c>
      <c r="C61" s="6">
        <f>IFERROR(__xludf.DUMMYFUNCTION("""COMPUTED_VALUE"""),115.75)</f>
        <v>115.75</v>
      </c>
      <c r="D61" s="6">
        <f>IFERROR(__xludf.DUMMYFUNCTION("""COMPUTED_VALUE"""),108.79)</f>
        <v>108.79</v>
      </c>
      <c r="E61" s="6">
        <f>IFERROR(__xludf.DUMMYFUNCTION("""COMPUTED_VALUE"""),109.44)</f>
        <v>109.44</v>
      </c>
      <c r="F61" s="6">
        <f>IFERROR(__xludf.DUMMYFUNCTION("""COMPUTED_VALUE"""),9044023.0)</f>
        <v>9044023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IFERROR(__xludf.DUMMYFUNCTION("""COMPUTED_VALUE"""),109.42)</f>
        <v>109.42</v>
      </c>
      <c r="C62" s="6">
        <f>IFERROR(__xludf.DUMMYFUNCTION("""COMPUTED_VALUE"""),112.96)</f>
        <v>112.96</v>
      </c>
      <c r="D62" s="6">
        <f>IFERROR(__xludf.DUMMYFUNCTION("""COMPUTED_VALUE"""),107.56)</f>
        <v>107.56</v>
      </c>
      <c r="E62" s="6">
        <f>IFERROR(__xludf.DUMMYFUNCTION("""COMPUTED_VALUE"""),109.38)</f>
        <v>109.38</v>
      </c>
      <c r="F62" s="6">
        <f>IFERROR(__xludf.DUMMYFUNCTION("""COMPUTED_VALUE"""),8428937.0)</f>
        <v>8428937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IFERROR(__xludf.DUMMYFUNCTION("""COMPUTED_VALUE"""),111.45)</f>
        <v>111.45</v>
      </c>
      <c r="C63" s="6">
        <f>IFERROR(__xludf.DUMMYFUNCTION("""COMPUTED_VALUE"""),121.11)</f>
        <v>121.11</v>
      </c>
      <c r="D63" s="6">
        <f>IFERROR(__xludf.DUMMYFUNCTION("""COMPUTED_VALUE"""),111.12)</f>
        <v>111.12</v>
      </c>
      <c r="E63" s="6">
        <f>IFERROR(__xludf.DUMMYFUNCTION("""COMPUTED_VALUE"""),118.93)</f>
        <v>118.93</v>
      </c>
      <c r="F63" s="6">
        <f>IFERROR(__xludf.DUMMYFUNCTION("""COMPUTED_VALUE"""),2.5896533E7)</f>
        <v>25896533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IFERROR(__xludf.DUMMYFUNCTION("""COMPUTED_VALUE"""),118.59)</f>
        <v>118.59</v>
      </c>
      <c r="C64" s="6">
        <f>IFERROR(__xludf.DUMMYFUNCTION("""COMPUTED_VALUE"""),123.31)</f>
        <v>123.31</v>
      </c>
      <c r="D64" s="6">
        <f>IFERROR(__xludf.DUMMYFUNCTION("""COMPUTED_VALUE"""),114.74)</f>
        <v>114.74</v>
      </c>
      <c r="E64" s="6">
        <f>IFERROR(__xludf.DUMMYFUNCTION("""COMPUTED_VALUE"""),116.45)</f>
        <v>116.45</v>
      </c>
      <c r="F64" s="6">
        <f>IFERROR(__xludf.DUMMYFUNCTION("""COMPUTED_VALUE"""),1.9712954E7)</f>
        <v>19712954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IFERROR(__xludf.DUMMYFUNCTION("""COMPUTED_VALUE"""),116.94)</f>
        <v>116.94</v>
      </c>
      <c r="C65" s="6">
        <f>IFERROR(__xludf.DUMMYFUNCTION("""COMPUTED_VALUE"""),118.91)</f>
        <v>118.91</v>
      </c>
      <c r="D65" s="6">
        <f>IFERROR(__xludf.DUMMYFUNCTION("""COMPUTED_VALUE"""),112.15)</f>
        <v>112.15</v>
      </c>
      <c r="E65" s="6">
        <f>IFERROR(__xludf.DUMMYFUNCTION("""COMPUTED_VALUE"""),114.23)</f>
        <v>114.23</v>
      </c>
      <c r="F65" s="6">
        <f>IFERROR(__xludf.DUMMYFUNCTION("""COMPUTED_VALUE"""),1.1740679E7)</f>
        <v>11740679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IFERROR(__xludf.DUMMYFUNCTION("""COMPUTED_VALUE"""),114.38)</f>
        <v>114.38</v>
      </c>
      <c r="C66" s="6">
        <f>IFERROR(__xludf.DUMMYFUNCTION("""COMPUTED_VALUE"""),114.91)</f>
        <v>114.91</v>
      </c>
      <c r="D66" s="6">
        <f>IFERROR(__xludf.DUMMYFUNCTION("""COMPUTED_VALUE"""),106.57)</f>
        <v>106.57</v>
      </c>
      <c r="E66" s="6">
        <f>IFERROR(__xludf.DUMMYFUNCTION("""COMPUTED_VALUE"""),106.97)</f>
        <v>106.97</v>
      </c>
      <c r="F66" s="6">
        <f>IFERROR(__xludf.DUMMYFUNCTION("""COMPUTED_VALUE"""),8091695.0)</f>
        <v>8091695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IFERROR(__xludf.DUMMYFUNCTION("""COMPUTED_VALUE"""),107.47)</f>
        <v>107.47</v>
      </c>
      <c r="C67" s="6">
        <f>IFERROR(__xludf.DUMMYFUNCTION("""COMPUTED_VALUE"""),108.19)</f>
        <v>108.19</v>
      </c>
      <c r="D67" s="6">
        <f>IFERROR(__xludf.DUMMYFUNCTION("""COMPUTED_VALUE"""),105.57)</f>
        <v>105.57</v>
      </c>
      <c r="E67" s="6">
        <f>IFERROR(__xludf.DUMMYFUNCTION("""COMPUTED_VALUE"""),106.9)</f>
        <v>106.9</v>
      </c>
      <c r="F67" s="6">
        <f>IFERROR(__xludf.DUMMYFUNCTION("""COMPUTED_VALUE"""),6072122.0)</f>
        <v>6072122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IFERROR(__xludf.DUMMYFUNCTION("""COMPUTED_VALUE"""),106.16)</f>
        <v>106.16</v>
      </c>
      <c r="C68" s="6">
        <f>IFERROR(__xludf.DUMMYFUNCTION("""COMPUTED_VALUE"""),108.6)</f>
        <v>108.6</v>
      </c>
      <c r="D68" s="6">
        <f>IFERROR(__xludf.DUMMYFUNCTION("""COMPUTED_VALUE"""),103.96)</f>
        <v>103.96</v>
      </c>
      <c r="E68" s="6">
        <f>IFERROR(__xludf.DUMMYFUNCTION("""COMPUTED_VALUE"""),106.42)</f>
        <v>106.42</v>
      </c>
      <c r="F68" s="6">
        <f>IFERROR(__xludf.DUMMYFUNCTION("""COMPUTED_VALUE"""),9240139.0)</f>
        <v>9240139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IFERROR(__xludf.DUMMYFUNCTION("""COMPUTED_VALUE"""),106.86)</f>
        <v>106.86</v>
      </c>
      <c r="C69" s="6">
        <f>IFERROR(__xludf.DUMMYFUNCTION("""COMPUTED_VALUE"""),106.86)</f>
        <v>106.86</v>
      </c>
      <c r="D69" s="6">
        <f>IFERROR(__xludf.DUMMYFUNCTION("""COMPUTED_VALUE"""),99.88)</f>
        <v>99.88</v>
      </c>
      <c r="E69" s="6">
        <f>IFERROR(__xludf.DUMMYFUNCTION("""COMPUTED_VALUE"""),103.9)</f>
        <v>103.9</v>
      </c>
      <c r="F69" s="6">
        <f>IFERROR(__xludf.DUMMYFUNCTION("""COMPUTED_VALUE"""),1.4652814E7)</f>
        <v>14652814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IFERROR(__xludf.DUMMYFUNCTION("""COMPUTED_VALUE"""),103.47)</f>
        <v>103.47</v>
      </c>
      <c r="C70" s="6">
        <f>IFERROR(__xludf.DUMMYFUNCTION("""COMPUTED_VALUE"""),105.91)</f>
        <v>105.91</v>
      </c>
      <c r="D70" s="6">
        <f>IFERROR(__xludf.DUMMYFUNCTION("""COMPUTED_VALUE"""),98.16)</f>
        <v>98.16</v>
      </c>
      <c r="E70" s="6">
        <f>IFERROR(__xludf.DUMMYFUNCTION("""COMPUTED_VALUE"""),104.13)</f>
        <v>104.13</v>
      </c>
      <c r="F70" s="6">
        <f>IFERROR(__xludf.DUMMYFUNCTION("""COMPUTED_VALUE"""),2.2377569E7)</f>
        <v>22377569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IFERROR(__xludf.DUMMYFUNCTION("""COMPUTED_VALUE"""),104.24)</f>
        <v>104.24</v>
      </c>
      <c r="C71" s="6">
        <f>IFERROR(__xludf.DUMMYFUNCTION("""COMPUTED_VALUE"""),108.09)</f>
        <v>108.09</v>
      </c>
      <c r="D71" s="6">
        <f>IFERROR(__xludf.DUMMYFUNCTION("""COMPUTED_VALUE"""),101.0)</f>
        <v>101</v>
      </c>
      <c r="E71" s="6">
        <f>IFERROR(__xludf.DUMMYFUNCTION("""COMPUTED_VALUE"""),103.07)</f>
        <v>103.07</v>
      </c>
      <c r="F71" s="6">
        <f>IFERROR(__xludf.DUMMYFUNCTION("""COMPUTED_VALUE"""),1.8378364E7)</f>
        <v>18378364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IFERROR(__xludf.DUMMYFUNCTION("""COMPUTED_VALUE"""),106.27)</f>
        <v>106.27</v>
      </c>
      <c r="C72" s="6">
        <f>IFERROR(__xludf.DUMMYFUNCTION("""COMPUTED_VALUE"""),110.27)</f>
        <v>110.27</v>
      </c>
      <c r="D72" s="6">
        <f>IFERROR(__xludf.DUMMYFUNCTION("""COMPUTED_VALUE"""),103.67)</f>
        <v>103.67</v>
      </c>
      <c r="E72" s="6">
        <f>IFERROR(__xludf.DUMMYFUNCTION("""COMPUTED_VALUE"""),104.47)</f>
        <v>104.47</v>
      </c>
      <c r="F72" s="6">
        <f>IFERROR(__xludf.DUMMYFUNCTION("""COMPUTED_VALUE"""),7522131.0)</f>
        <v>7522131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IFERROR(__xludf.DUMMYFUNCTION("""COMPUTED_VALUE"""),104.24)</f>
        <v>104.24</v>
      </c>
      <c r="C73" s="6">
        <f>IFERROR(__xludf.DUMMYFUNCTION("""COMPUTED_VALUE"""),104.62)</f>
        <v>104.62</v>
      </c>
      <c r="D73" s="6">
        <f>IFERROR(__xludf.DUMMYFUNCTION("""COMPUTED_VALUE"""),93.25)</f>
        <v>93.25</v>
      </c>
      <c r="E73" s="6">
        <f>IFERROR(__xludf.DUMMYFUNCTION("""COMPUTED_VALUE"""),93.86)</f>
        <v>93.86</v>
      </c>
      <c r="F73" s="6">
        <f>IFERROR(__xludf.DUMMYFUNCTION("""COMPUTED_VALUE"""),1.7019192E7)</f>
        <v>17019192</v>
      </c>
    </row>
    <row r="74">
      <c r="A74" s="7">
        <f>IFERROR(__xludf.DUMMYFUNCTION("""COMPUTED_VALUE"""),45709.64583333333)</f>
        <v>45709.64583</v>
      </c>
      <c r="B74" s="6">
        <f>IFERROR(__xludf.DUMMYFUNCTION("""COMPUTED_VALUE"""),94.58)</f>
        <v>94.58</v>
      </c>
      <c r="C74" s="6">
        <f>IFERROR(__xludf.DUMMYFUNCTION("""COMPUTED_VALUE"""),98.27)</f>
        <v>98.27</v>
      </c>
      <c r="D74" s="6">
        <f>IFERROR(__xludf.DUMMYFUNCTION("""COMPUTED_VALUE"""),89.73)</f>
        <v>89.73</v>
      </c>
      <c r="E74" s="6">
        <f>IFERROR(__xludf.DUMMYFUNCTION("""COMPUTED_VALUE"""),94.99)</f>
        <v>94.99</v>
      </c>
      <c r="F74" s="6">
        <f>IFERROR(__xludf.DUMMYFUNCTION("""COMPUTED_VALUE"""),1.0083859E7)</f>
        <v>10083859</v>
      </c>
    </row>
    <row r="75">
      <c r="A75" s="7">
        <f>IFERROR(__xludf.DUMMYFUNCTION("""COMPUTED_VALUE"""),45716.64583333333)</f>
        <v>45716.64583</v>
      </c>
      <c r="B75" s="6">
        <f>IFERROR(__xludf.DUMMYFUNCTION("""COMPUTED_VALUE"""),94.35)</f>
        <v>94.35</v>
      </c>
      <c r="C75" s="6">
        <f>IFERROR(__xludf.DUMMYFUNCTION("""COMPUTED_VALUE"""),96.66)</f>
        <v>96.66</v>
      </c>
      <c r="D75" s="6">
        <f>IFERROR(__xludf.DUMMYFUNCTION("""COMPUTED_VALUE"""),89.8)</f>
        <v>89.8</v>
      </c>
      <c r="E75" s="6">
        <f>IFERROR(__xludf.DUMMYFUNCTION("""COMPUTED_VALUE"""),91.79)</f>
        <v>91.79</v>
      </c>
      <c r="F75" s="6">
        <f>IFERROR(__xludf.DUMMYFUNCTION("""COMPUTED_VALUE"""),7030646.0)</f>
        <v>7030646</v>
      </c>
    </row>
    <row r="76">
      <c r="A76" s="7">
        <f>IFERROR(__xludf.DUMMYFUNCTION("""COMPUTED_VALUE"""),45723.64583333333)</f>
        <v>45723.64583</v>
      </c>
      <c r="B76" s="6">
        <f>IFERROR(__xludf.DUMMYFUNCTION("""COMPUTED_VALUE"""),91.79)</f>
        <v>91.79</v>
      </c>
      <c r="C76" s="6">
        <f>IFERROR(__xludf.DUMMYFUNCTION("""COMPUTED_VALUE"""),94.19)</f>
        <v>94.19</v>
      </c>
      <c r="D76" s="6">
        <f>IFERROR(__xludf.DUMMYFUNCTION("""COMPUTED_VALUE"""),87.68)</f>
        <v>87.68</v>
      </c>
      <c r="E76" s="6">
        <f>IFERROR(__xludf.DUMMYFUNCTION("""COMPUTED_VALUE"""),91.85)</f>
        <v>91.85</v>
      </c>
      <c r="F76" s="6">
        <f>IFERROR(__xludf.DUMMYFUNCTION("""COMPUTED_VALUE"""),7997148.0)</f>
        <v>7997148</v>
      </c>
    </row>
    <row r="77">
      <c r="A77" s="7">
        <f>IFERROR(__xludf.DUMMYFUNCTION("""COMPUTED_VALUE"""),45729.64583333333)</f>
        <v>45729.64583</v>
      </c>
      <c r="B77" s="6">
        <f>IFERROR(__xludf.DUMMYFUNCTION("""COMPUTED_VALUE"""),91.73)</f>
        <v>91.73</v>
      </c>
      <c r="C77" s="6">
        <f>IFERROR(__xludf.DUMMYFUNCTION("""COMPUTED_VALUE"""),92.84)</f>
        <v>92.84</v>
      </c>
      <c r="D77" s="6">
        <f>IFERROR(__xludf.DUMMYFUNCTION("""COMPUTED_VALUE"""),88.24)</f>
        <v>88.24</v>
      </c>
      <c r="E77" s="6">
        <f>IFERROR(__xludf.DUMMYFUNCTION("""COMPUTED_VALUE"""),90.99)</f>
        <v>90.99</v>
      </c>
      <c r="F77" s="6">
        <f>IFERROR(__xludf.DUMMYFUNCTION("""COMPUTED_VALUE"""),8370215.0)</f>
        <v>8370215</v>
      </c>
    </row>
    <row r="78">
      <c r="A78" s="7">
        <f>IFERROR(__xludf.DUMMYFUNCTION("""COMPUTED_VALUE"""),45737.64583333333)</f>
        <v>45737.64583</v>
      </c>
      <c r="B78" s="6">
        <f>IFERROR(__xludf.DUMMYFUNCTION("""COMPUTED_VALUE"""),90.98)</f>
        <v>90.98</v>
      </c>
      <c r="C78" s="6">
        <f>IFERROR(__xludf.DUMMYFUNCTION("""COMPUTED_VALUE"""),97.04)</f>
        <v>97.04</v>
      </c>
      <c r="D78" s="6">
        <f>IFERROR(__xludf.DUMMYFUNCTION("""COMPUTED_VALUE"""),90.75)</f>
        <v>90.75</v>
      </c>
      <c r="E78" s="6">
        <f>IFERROR(__xludf.DUMMYFUNCTION("""COMPUTED_VALUE"""),96.0)</f>
        <v>96</v>
      </c>
      <c r="F78" s="6">
        <f>IFERROR(__xludf.DUMMYFUNCTION("""COMPUTED_VALUE"""),1.5429626E7)</f>
        <v>15429626</v>
      </c>
    </row>
    <row r="79">
      <c r="A79" s="7">
        <f>IFERROR(__xludf.DUMMYFUNCTION("""COMPUTED_VALUE"""),45744.64583333333)</f>
        <v>45744.64583</v>
      </c>
      <c r="B79" s="6">
        <f>IFERROR(__xludf.DUMMYFUNCTION("""COMPUTED_VALUE"""),97.04)</f>
        <v>97.04</v>
      </c>
      <c r="C79" s="6">
        <f>IFERROR(__xludf.DUMMYFUNCTION("""COMPUTED_VALUE"""),100.59)</f>
        <v>100.59</v>
      </c>
      <c r="D79" s="6">
        <f>IFERROR(__xludf.DUMMYFUNCTION("""COMPUTED_VALUE"""),95.46)</f>
        <v>95.46</v>
      </c>
      <c r="E79" s="6">
        <f>IFERROR(__xludf.DUMMYFUNCTION("""COMPUTED_VALUE"""),97.14)</f>
        <v>97.14</v>
      </c>
      <c r="F79" s="6">
        <f>IFERROR(__xludf.DUMMYFUNCTION("""COMPUTED_VALUE"""),1.4168986E7)</f>
        <v>14168986</v>
      </c>
    </row>
    <row r="80">
      <c r="A80" s="7">
        <f>IFERROR(__xludf.DUMMYFUNCTION("""COMPUTED_VALUE"""),45751.64583333333)</f>
        <v>45751.64583</v>
      </c>
      <c r="B80" s="6">
        <f>IFERROR(__xludf.DUMMYFUNCTION("""COMPUTED_VALUE"""),96.64)</f>
        <v>96.64</v>
      </c>
      <c r="C80" s="6">
        <f>IFERROR(__xludf.DUMMYFUNCTION("""COMPUTED_VALUE"""),100.7)</f>
        <v>100.7</v>
      </c>
      <c r="D80" s="6">
        <f>IFERROR(__xludf.DUMMYFUNCTION("""COMPUTED_VALUE"""),96.38)</f>
        <v>96.38</v>
      </c>
      <c r="E80" s="6">
        <f>IFERROR(__xludf.DUMMYFUNCTION("""COMPUTED_VALUE"""),97.91)</f>
        <v>97.91</v>
      </c>
      <c r="F80" s="6">
        <f>IFERROR(__xludf.DUMMYFUNCTION("""COMPUTED_VALUE"""),6402269.0)</f>
        <v>6402269</v>
      </c>
    </row>
    <row r="81">
      <c r="A81" s="7">
        <f>IFERROR(__xludf.DUMMYFUNCTION("""COMPUTED_VALUE"""),45758.64583333333)</f>
        <v>45758.64583</v>
      </c>
      <c r="B81" s="6">
        <f>IFERROR(__xludf.DUMMYFUNCTION("""COMPUTED_VALUE"""),91.54)</f>
        <v>91.54</v>
      </c>
      <c r="C81" s="6">
        <f>IFERROR(__xludf.DUMMYFUNCTION("""COMPUTED_VALUE"""),96.76)</f>
        <v>96.76</v>
      </c>
      <c r="D81" s="6">
        <f>IFERROR(__xludf.DUMMYFUNCTION("""COMPUTED_VALUE"""),89.78)</f>
        <v>89.78</v>
      </c>
      <c r="E81" s="6">
        <f>IFERROR(__xludf.DUMMYFUNCTION("""COMPUTED_VALUE"""),96.28)</f>
        <v>96.28</v>
      </c>
      <c r="F81" s="6">
        <f>IFERROR(__xludf.DUMMYFUNCTION("""COMPUTED_VALUE"""),8021339.0)</f>
        <v>8021339</v>
      </c>
    </row>
    <row r="82">
      <c r="A82" s="7">
        <f>IFERROR(__xludf.DUMMYFUNCTION("""COMPUTED_VALUE"""),45764.64583333333)</f>
        <v>45764.64583</v>
      </c>
      <c r="B82" s="6">
        <f>IFERROR(__xludf.DUMMYFUNCTION("""COMPUTED_VALUE"""),98.16)</f>
        <v>98.16</v>
      </c>
      <c r="C82" s="6">
        <f>IFERROR(__xludf.DUMMYFUNCTION("""COMPUTED_VALUE"""),103.22)</f>
        <v>103.22</v>
      </c>
      <c r="D82" s="6">
        <f>IFERROR(__xludf.DUMMYFUNCTION("""COMPUTED_VALUE"""),96.97)</f>
        <v>96.97</v>
      </c>
      <c r="E82" s="6">
        <f>IFERROR(__xludf.DUMMYFUNCTION("""COMPUTED_VALUE"""),100.91)</f>
        <v>100.91</v>
      </c>
      <c r="F82" s="6">
        <f>IFERROR(__xludf.DUMMYFUNCTION("""COMPUTED_VALUE"""),7394130.0)</f>
        <v>7394130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IFERROR(__xludf.DUMMYFUNCTION("""COMPUTED_VALUE"""),100.91)</f>
        <v>100.91</v>
      </c>
      <c r="C83" s="6">
        <f>IFERROR(__xludf.DUMMYFUNCTION("""COMPUTED_VALUE"""),104.51)</f>
        <v>104.51</v>
      </c>
      <c r="D83" s="6">
        <f>IFERROR(__xludf.DUMMYFUNCTION("""COMPUTED_VALUE"""),98.61)</f>
        <v>98.61</v>
      </c>
      <c r="E83" s="6">
        <f>IFERROR(__xludf.DUMMYFUNCTION("""COMPUTED_VALUE"""),100.13)</f>
        <v>100.13</v>
      </c>
      <c r="F83" s="6">
        <f>IFERROR(__xludf.DUMMYFUNCTION("""COMPUTED_VALUE"""),8890518.0)</f>
        <v>8890518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IFERROR(__xludf.DUMMYFUNCTION("""COMPUTED_VALUE"""),100.04)</f>
        <v>100.04</v>
      </c>
      <c r="C84" s="6">
        <f>IFERROR(__xludf.DUMMYFUNCTION("""COMPUTED_VALUE"""),105.59)</f>
        <v>105.59</v>
      </c>
      <c r="D84" s="6">
        <f>IFERROR(__xludf.DUMMYFUNCTION("""COMPUTED_VALUE"""),96.34)</f>
        <v>96.34</v>
      </c>
      <c r="E84" s="6">
        <f>IFERROR(__xludf.DUMMYFUNCTION("""COMPUTED_VALUE"""),97.12)</f>
        <v>97.12</v>
      </c>
      <c r="F84" s="6">
        <f>IFERROR(__xludf.DUMMYFUNCTION("""COMPUTED_VALUE"""),1.1768818E7)</f>
        <v>11768818</v>
      </c>
    </row>
    <row r="85">
      <c r="A85" s="7">
        <f>IFERROR(__xludf.DUMMYFUNCTION("""COMPUTED_VALUE"""),45786.64583333333)</f>
        <v>45786.64583</v>
      </c>
      <c r="B85" s="6">
        <f>IFERROR(__xludf.DUMMYFUNCTION("""COMPUTED_VALUE"""),97.04)</f>
        <v>97.04</v>
      </c>
      <c r="C85" s="6">
        <f>IFERROR(__xludf.DUMMYFUNCTION("""COMPUTED_VALUE"""),102.06)</f>
        <v>102.06</v>
      </c>
      <c r="D85" s="6">
        <f>IFERROR(__xludf.DUMMYFUNCTION("""COMPUTED_VALUE"""),95.16)</f>
        <v>95.16</v>
      </c>
      <c r="E85" s="6">
        <f>IFERROR(__xludf.DUMMYFUNCTION("""COMPUTED_VALUE"""),96.25)</f>
        <v>96.25</v>
      </c>
      <c r="F85" s="6">
        <f>IFERROR(__xludf.DUMMYFUNCTION("""COMPUTED_VALUE"""),9775599.0)</f>
        <v>9775599</v>
      </c>
    </row>
    <row r="86">
      <c r="A86" s="7">
        <f>IFERROR(__xludf.DUMMYFUNCTION("""COMPUTED_VALUE"""),45793.64583333333)</f>
        <v>45793.64583</v>
      </c>
      <c r="B86" s="6">
        <f>IFERROR(__xludf.DUMMYFUNCTION("""COMPUTED_VALUE"""),98.94)</f>
        <v>98.94</v>
      </c>
      <c r="C86" s="6">
        <f>IFERROR(__xludf.DUMMYFUNCTION("""COMPUTED_VALUE"""),107.81)</f>
        <v>107.81</v>
      </c>
      <c r="D86" s="6">
        <f>IFERROR(__xludf.DUMMYFUNCTION("""COMPUTED_VALUE"""),98.94)</f>
        <v>98.94</v>
      </c>
      <c r="E86" s="6">
        <f>IFERROR(__xludf.DUMMYFUNCTION("""COMPUTED_VALUE"""),105.42)</f>
        <v>105.42</v>
      </c>
      <c r="F86" s="6">
        <f>IFERROR(__xludf.DUMMYFUNCTION("""COMPUTED_VALUE"""),1.6510722E7)</f>
        <v>16510722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IFERROR(__xludf.DUMMYFUNCTION("""COMPUTED_VALUE"""),106.73)</f>
        <v>106.73</v>
      </c>
      <c r="C87" s="6">
        <f>IFERROR(__xludf.DUMMYFUNCTION("""COMPUTED_VALUE"""),112.09)</f>
        <v>112.09</v>
      </c>
      <c r="D87" s="6">
        <f>IFERROR(__xludf.DUMMYFUNCTION("""COMPUTED_VALUE"""),87.9)</f>
        <v>87.9</v>
      </c>
      <c r="E87" s="6">
        <f>IFERROR(__xludf.DUMMYFUNCTION("""COMPUTED_VALUE"""),88.55)</f>
        <v>88.55</v>
      </c>
      <c r="F87" s="6">
        <f>IFERROR(__xludf.DUMMYFUNCTION("""COMPUTED_VALUE"""),9.8570177E7)</f>
        <v>98570177</v>
      </c>
    </row>
    <row r="88">
      <c r="A88" s="7">
        <f>IFERROR(__xludf.DUMMYFUNCTION("""COMPUTED_VALUE"""),45807.64583333333)</f>
        <v>45807.64583</v>
      </c>
      <c r="B88" s="6">
        <f>IFERROR(__xludf.DUMMYFUNCTION("""COMPUTED_VALUE"""),90.2)</f>
        <v>90.2</v>
      </c>
      <c r="C88" s="6">
        <f>IFERROR(__xludf.DUMMYFUNCTION("""COMPUTED_VALUE"""),90.25)</f>
        <v>90.25</v>
      </c>
      <c r="D88" s="6">
        <f>IFERROR(__xludf.DUMMYFUNCTION("""COMPUTED_VALUE"""),85.5)</f>
        <v>85.5</v>
      </c>
      <c r="E88" s="6">
        <f>IFERROR(__xludf.DUMMYFUNCTION("""COMPUTED_VALUE"""),85.85)</f>
        <v>85.85</v>
      </c>
      <c r="F88" s="6">
        <f>IFERROR(__xludf.DUMMYFUNCTION("""COMPUTED_VALUE"""),6.674022E7)</f>
        <v>66740220</v>
      </c>
    </row>
    <row r="89">
      <c r="A89" s="7">
        <f>IFERROR(__xludf.DUMMYFUNCTION("""COMPUTED_VALUE"""),45814.64583333333)</f>
        <v>45814.64583</v>
      </c>
      <c r="B89" s="6">
        <f>IFERROR(__xludf.DUMMYFUNCTION("""COMPUTED_VALUE"""),86.0)</f>
        <v>86</v>
      </c>
      <c r="C89" s="6">
        <f>IFERROR(__xludf.DUMMYFUNCTION("""COMPUTED_VALUE"""),88.04)</f>
        <v>88.04</v>
      </c>
      <c r="D89" s="6">
        <f>IFERROR(__xludf.DUMMYFUNCTION("""COMPUTED_VALUE"""),73.1)</f>
        <v>73.1</v>
      </c>
      <c r="E89" s="6">
        <f>IFERROR(__xludf.DUMMYFUNCTION("""COMPUTED_VALUE"""),77.77)</f>
        <v>77.77</v>
      </c>
      <c r="F89" s="6">
        <f>IFERROR(__xludf.DUMMYFUNCTION("""COMPUTED_VALUE"""),2.89367426E8)</f>
        <v>289367426</v>
      </c>
    </row>
    <row r="90">
      <c r="A90" s="7">
        <f>IFERROR(__xludf.DUMMYFUNCTION("""COMPUTED_VALUE"""),45821.64583333333)</f>
        <v>45821.64583</v>
      </c>
      <c r="B90" s="6">
        <f>IFERROR(__xludf.DUMMYFUNCTION("""COMPUTED_VALUE"""),78.25)</f>
        <v>78.25</v>
      </c>
      <c r="C90" s="6">
        <f>IFERROR(__xludf.DUMMYFUNCTION("""COMPUTED_VALUE"""),78.29)</f>
        <v>78.29</v>
      </c>
      <c r="D90" s="6">
        <f>IFERROR(__xludf.DUMMYFUNCTION("""COMPUTED_VALUE"""),70.55)</f>
        <v>70.55</v>
      </c>
      <c r="E90" s="6">
        <f>IFERROR(__xludf.DUMMYFUNCTION("""COMPUTED_VALUE"""),73.8)</f>
        <v>73.8</v>
      </c>
      <c r="F90" s="6">
        <f>IFERROR(__xludf.DUMMYFUNCTION("""COMPUTED_VALUE"""),4.6820328E7)</f>
        <v>46820328</v>
      </c>
    </row>
    <row r="91">
      <c r="A91" s="7">
        <f>IFERROR(__xludf.DUMMYFUNCTION("""COMPUTED_VALUE"""),45828.64583333333)</f>
        <v>45828.64583</v>
      </c>
      <c r="B91" s="6">
        <f>IFERROR(__xludf.DUMMYFUNCTION("""COMPUTED_VALUE"""),74.3)</f>
        <v>74.3</v>
      </c>
      <c r="C91" s="6">
        <f>IFERROR(__xludf.DUMMYFUNCTION("""COMPUTED_VALUE"""),75.61)</f>
        <v>75.61</v>
      </c>
      <c r="D91" s="6">
        <f>IFERROR(__xludf.DUMMYFUNCTION("""COMPUTED_VALUE"""),71.8)</f>
        <v>71.8</v>
      </c>
      <c r="E91" s="6">
        <f>IFERROR(__xludf.DUMMYFUNCTION("""COMPUTED_VALUE"""),73.66)</f>
        <v>73.66</v>
      </c>
      <c r="F91" s="6">
        <f>IFERROR(__xludf.DUMMYFUNCTION("""COMPUTED_VALUE"""),2.5779521E7)</f>
        <v>25779521</v>
      </c>
    </row>
    <row r="92">
      <c r="A92" s="7">
        <f>IFERROR(__xludf.DUMMYFUNCTION("""COMPUTED_VALUE"""),45835.64583333333)</f>
        <v>45835.64583</v>
      </c>
      <c r="B92" s="6">
        <f>IFERROR(__xludf.DUMMYFUNCTION("""COMPUTED_VALUE"""),72.69)</f>
        <v>72.69</v>
      </c>
      <c r="C92" s="6">
        <f>IFERROR(__xludf.DUMMYFUNCTION("""COMPUTED_VALUE"""),75.6)</f>
        <v>75.6</v>
      </c>
      <c r="D92" s="6">
        <f>IFERROR(__xludf.DUMMYFUNCTION("""COMPUTED_VALUE"""),72.69)</f>
        <v>72.69</v>
      </c>
      <c r="E92" s="6">
        <f>IFERROR(__xludf.DUMMYFUNCTION("""COMPUTED_VALUE"""),74.7)</f>
        <v>74.7</v>
      </c>
      <c r="F92" s="6">
        <f>IFERROR(__xludf.DUMMYFUNCTION("""COMPUTED_VALUE"""),3.2948173E7)</f>
        <v>32948173</v>
      </c>
    </row>
    <row r="93">
      <c r="A93" s="7">
        <f>IFERROR(__xludf.DUMMYFUNCTION("""COMPUTED_VALUE"""),45842.64583333333)</f>
        <v>45842.64583</v>
      </c>
      <c r="B93" s="6">
        <f>IFERROR(__xludf.DUMMYFUNCTION("""COMPUTED_VALUE"""),74.65)</f>
        <v>74.65</v>
      </c>
      <c r="C93" s="6">
        <f>IFERROR(__xludf.DUMMYFUNCTION("""COMPUTED_VALUE"""),79.1)</f>
        <v>79.1</v>
      </c>
      <c r="D93" s="6">
        <f>IFERROR(__xludf.DUMMYFUNCTION("""COMPUTED_VALUE"""),73.75)</f>
        <v>73.75</v>
      </c>
      <c r="E93" s="6">
        <f>IFERROR(__xludf.DUMMYFUNCTION("""COMPUTED_VALUE"""),78.33)</f>
        <v>78.33</v>
      </c>
      <c r="F93" s="6">
        <f>IFERROR(__xludf.DUMMYFUNCTION("""COMPUTED_VALUE"""),8.178957E7)</f>
        <v>81789570</v>
      </c>
    </row>
    <row r="94">
      <c r="A94" s="7">
        <f>IFERROR(__xludf.DUMMYFUNCTION("""COMPUTED_VALUE"""),45849.64583333333)</f>
        <v>45849.64583</v>
      </c>
      <c r="B94" s="6">
        <f>IFERROR(__xludf.DUMMYFUNCTION("""COMPUTED_VALUE"""),78.4)</f>
        <v>78.4</v>
      </c>
      <c r="C94" s="6">
        <f>IFERROR(__xludf.DUMMYFUNCTION("""COMPUTED_VALUE"""),80.09)</f>
        <v>80.09</v>
      </c>
      <c r="D94" s="6">
        <f>IFERROR(__xludf.DUMMYFUNCTION("""COMPUTED_VALUE"""),76.24)</f>
        <v>76.24</v>
      </c>
      <c r="E94" s="6">
        <f>IFERROR(__xludf.DUMMYFUNCTION("""COMPUTED_VALUE"""),76.85)</f>
        <v>76.85</v>
      </c>
      <c r="F94" s="6">
        <f>IFERROR(__xludf.DUMMYFUNCTION("""COMPUTED_VALUE"""),3.5016688E7)</f>
        <v>35016688</v>
      </c>
    </row>
    <row r="95">
      <c r="A95" s="7">
        <f>IFERROR(__xludf.DUMMYFUNCTION("""COMPUTED_VALUE"""),45856.64583333333)</f>
        <v>45856.64583</v>
      </c>
      <c r="B95" s="6">
        <f>IFERROR(__xludf.DUMMYFUNCTION("""COMPUTED_VALUE"""),76.85)</f>
        <v>76.85</v>
      </c>
      <c r="C95" s="6">
        <f>IFERROR(__xludf.DUMMYFUNCTION("""COMPUTED_VALUE"""),78.3)</f>
        <v>78.3</v>
      </c>
      <c r="D95" s="6">
        <f>IFERROR(__xludf.DUMMYFUNCTION("""COMPUTED_VALUE"""),74.42)</f>
        <v>74.42</v>
      </c>
      <c r="E95" s="6">
        <f>IFERROR(__xludf.DUMMYFUNCTION("""COMPUTED_VALUE"""),75.51)</f>
        <v>75.51</v>
      </c>
      <c r="F95" s="6">
        <f>IFERROR(__xludf.DUMMYFUNCTION("""COMPUTED_VALUE"""),3.1334848E7)</f>
        <v>31334848</v>
      </c>
    </row>
    <row r="96">
      <c r="A96" s="7">
        <f>IFERROR(__xludf.DUMMYFUNCTION("""COMPUTED_VALUE"""),45863.64583333333)</f>
        <v>45863.64583</v>
      </c>
      <c r="B96" s="6">
        <f>IFERROR(__xludf.DUMMYFUNCTION("""COMPUTED_VALUE"""),75.5)</f>
        <v>75.5</v>
      </c>
      <c r="C96" s="6">
        <f>IFERROR(__xludf.DUMMYFUNCTION("""COMPUTED_VALUE"""),76.19)</f>
        <v>76.19</v>
      </c>
      <c r="D96" s="6">
        <f>IFERROR(__xludf.DUMMYFUNCTION("""COMPUTED_VALUE"""),73.45)</f>
        <v>73.45</v>
      </c>
      <c r="E96" s="6">
        <f>IFERROR(__xludf.DUMMYFUNCTION("""COMPUTED_VALUE"""),73.77)</f>
        <v>73.77</v>
      </c>
      <c r="F96" s="6">
        <f>IFERROR(__xludf.DUMMYFUNCTION("""COMPUTED_VALUE"""),2.5968831E7)</f>
        <v>25968831</v>
      </c>
    </row>
    <row r="97">
      <c r="A97" s="7">
        <f>IFERROR(__xludf.DUMMYFUNCTION("""COMPUTED_VALUE"""),45870.64583333333)</f>
        <v>45870.64583</v>
      </c>
      <c r="B97" s="6">
        <f>IFERROR(__xludf.DUMMYFUNCTION("""COMPUTED_VALUE"""),73.4)</f>
        <v>73.4</v>
      </c>
      <c r="C97" s="6">
        <f>IFERROR(__xludf.DUMMYFUNCTION("""COMPUTED_VALUE"""),75.92)</f>
        <v>75.92</v>
      </c>
      <c r="D97" s="6">
        <f>IFERROR(__xludf.DUMMYFUNCTION("""COMPUTED_VALUE"""),72.67)</f>
        <v>72.67</v>
      </c>
      <c r="E97" s="6">
        <f>IFERROR(__xludf.DUMMYFUNCTION("""COMPUTED_VALUE"""),73.78)</f>
        <v>73.78</v>
      </c>
      <c r="F97" s="6">
        <f>IFERROR(__xludf.DUMMYFUNCTION("""COMPUTED_VALUE"""),2.3585754E7)</f>
        <v>23585754</v>
      </c>
    </row>
    <row r="98">
      <c r="A98" s="7">
        <f>IFERROR(__xludf.DUMMYFUNCTION("""COMPUTED_VALUE"""),45877.64583333333)</f>
        <v>45877.64583</v>
      </c>
      <c r="B98" s="6">
        <f>IFERROR(__xludf.DUMMYFUNCTION("""COMPUTED_VALUE"""),73.99)</f>
        <v>73.99</v>
      </c>
      <c r="C98" s="6">
        <f>IFERROR(__xludf.DUMMYFUNCTION("""COMPUTED_VALUE"""),77.6)</f>
        <v>77.6</v>
      </c>
      <c r="D98" s="6">
        <f>IFERROR(__xludf.DUMMYFUNCTION("""COMPUTED_VALUE"""),72.68)</f>
        <v>72.68</v>
      </c>
      <c r="E98" s="6">
        <f>IFERROR(__xludf.DUMMYFUNCTION("""COMPUTED_VALUE"""),74.19)</f>
        <v>74.19</v>
      </c>
      <c r="F98" s="6">
        <f>IFERROR(__xludf.DUMMYFUNCTION("""COMPUTED_VALUE"""),3.3865035E7)</f>
        <v>33865035</v>
      </c>
    </row>
    <row r="99">
      <c r="A99" s="7">
        <f>IFERROR(__xludf.DUMMYFUNCTION("""COMPUTED_VALUE"""),45883.64583333333)</f>
        <v>45883.64583</v>
      </c>
      <c r="B99" s="6">
        <f>IFERROR(__xludf.DUMMYFUNCTION("""COMPUTED_VALUE"""),74.2)</f>
        <v>74.2</v>
      </c>
      <c r="C99" s="6">
        <f>IFERROR(__xludf.DUMMYFUNCTION("""COMPUTED_VALUE"""),76.58)</f>
        <v>76.58</v>
      </c>
      <c r="D99" s="6">
        <f>IFERROR(__xludf.DUMMYFUNCTION("""COMPUTED_VALUE"""),73.5)</f>
        <v>73.5</v>
      </c>
      <c r="E99" s="6">
        <f>IFERROR(__xludf.DUMMYFUNCTION("""COMPUTED_VALUE"""),75.0)</f>
        <v>75</v>
      </c>
      <c r="F99" s="6">
        <f>IFERROR(__xludf.DUMMYFUNCTION("""COMPUTED_VALUE"""),1.442854E7)</f>
        <v>14428540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IFERROR(__xludf.DUMMYFUNCTION("""COMPUTED_VALUE"""),75.66)</f>
        <v>75.66</v>
      </c>
      <c r="C100" s="6">
        <f>IFERROR(__xludf.DUMMYFUNCTION("""COMPUTED_VALUE"""),81.99)</f>
        <v>81.99</v>
      </c>
      <c r="D100" s="6">
        <f>IFERROR(__xludf.DUMMYFUNCTION("""COMPUTED_VALUE"""),74.97)</f>
        <v>74.97</v>
      </c>
      <c r="E100" s="6">
        <f>IFERROR(__xludf.DUMMYFUNCTION("""COMPUTED_VALUE"""),81.25)</f>
        <v>81.25</v>
      </c>
      <c r="F100" s="6">
        <f>IFERROR(__xludf.DUMMYFUNCTION("""COMPUTED_VALUE"""),1.37062056E8)</f>
        <v>137062056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IFERROR(__xludf.DUMMYFUNCTION("""COMPUTED_VALUE"""),81.44)</f>
        <v>81.44</v>
      </c>
      <c r="C101" s="6">
        <f>IFERROR(__xludf.DUMMYFUNCTION("""COMPUTED_VALUE"""),83.4)</f>
        <v>83.4</v>
      </c>
      <c r="D101" s="6">
        <f>IFERROR(__xludf.DUMMYFUNCTION("""COMPUTED_VALUE"""),80.86)</f>
        <v>80.86</v>
      </c>
      <c r="E101" s="6">
        <f>IFERROR(__xludf.DUMMYFUNCTION("""COMPUTED_VALUE"""),82.56)</f>
        <v>82.56</v>
      </c>
      <c r="F101" s="6">
        <f>IFERROR(__xludf.DUMMYFUNCTION("""COMPUTED_VALUE"""),4.21267196E8)</f>
        <v>421267196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IFERROR(__xludf.DUMMYFUNCTION("GOOGLEFINANCE(""NSE:ACC"",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IFERROR(__xludf.DUMMYFUNCTION("""COMPUTED_VALUE"""),1970.0)</f>
        <v>1970</v>
      </c>
      <c r="C2" s="6">
        <f>IFERROR(__xludf.DUMMYFUNCTION("""COMPUTED_VALUE"""),2037.65)</f>
        <v>2037.65</v>
      </c>
      <c r="D2" s="6">
        <f>IFERROR(__xludf.DUMMYFUNCTION("""COMPUTED_VALUE"""),1932.65)</f>
        <v>1932.65</v>
      </c>
      <c r="E2" s="6">
        <f>IFERROR(__xludf.DUMMYFUNCTION("""COMPUTED_VALUE"""),2011.25)</f>
        <v>2011.25</v>
      </c>
      <c r="F2" s="6">
        <f>IFERROR(__xludf.DUMMYFUNCTION("""COMPUTED_VALUE"""),1.0264813E7)</f>
        <v>10264813</v>
      </c>
    </row>
    <row r="3">
      <c r="A3" s="7">
        <f>IFERROR(__xludf.DUMMYFUNCTION("""COMPUTED_VALUE"""),45177.64583333333)</f>
        <v>45177.64583</v>
      </c>
      <c r="B3" s="6">
        <f>IFERROR(__xludf.DUMMYFUNCTION("""COMPUTED_VALUE"""),2012.15)</f>
        <v>2012.15</v>
      </c>
      <c r="C3" s="6">
        <f>IFERROR(__xludf.DUMMYFUNCTION("""COMPUTED_VALUE"""),2104.0)</f>
        <v>2104</v>
      </c>
      <c r="D3" s="6">
        <f>IFERROR(__xludf.DUMMYFUNCTION("""COMPUTED_VALUE"""),2012.15)</f>
        <v>2012.15</v>
      </c>
      <c r="E3" s="6">
        <f>IFERROR(__xludf.DUMMYFUNCTION("""COMPUTED_VALUE"""),2024.25)</f>
        <v>2024.25</v>
      </c>
      <c r="F3" s="6">
        <f>IFERROR(__xludf.DUMMYFUNCTION("""COMPUTED_VALUE"""),3825918.0)</f>
        <v>3825918</v>
      </c>
    </row>
    <row r="4">
      <c r="A4" s="7">
        <f>IFERROR(__xludf.DUMMYFUNCTION("""COMPUTED_VALUE"""),45184.64583333333)</f>
        <v>45184.64583</v>
      </c>
      <c r="B4" s="6">
        <f>IFERROR(__xludf.DUMMYFUNCTION("""COMPUTED_VALUE"""),2024.25)</f>
        <v>2024.25</v>
      </c>
      <c r="C4" s="6">
        <f>IFERROR(__xludf.DUMMYFUNCTION("""COMPUTED_VALUE"""),2082.1)</f>
        <v>2082.1</v>
      </c>
      <c r="D4" s="6">
        <f>IFERROR(__xludf.DUMMYFUNCTION("""COMPUTED_VALUE"""),2002.95)</f>
        <v>2002.95</v>
      </c>
      <c r="E4" s="6">
        <f>IFERROR(__xludf.DUMMYFUNCTION("""COMPUTED_VALUE"""),2026.85)</f>
        <v>2026.85</v>
      </c>
      <c r="F4" s="6">
        <f>IFERROR(__xludf.DUMMYFUNCTION("""COMPUTED_VALUE"""),2772817.0)</f>
        <v>2772817</v>
      </c>
    </row>
    <row r="5">
      <c r="A5" s="7">
        <f>IFERROR(__xludf.DUMMYFUNCTION("""COMPUTED_VALUE"""),45191.64583333333)</f>
        <v>45191.64583</v>
      </c>
      <c r="B5" s="6">
        <f>IFERROR(__xludf.DUMMYFUNCTION("""COMPUTED_VALUE"""),2031.3)</f>
        <v>2031.3</v>
      </c>
      <c r="C5" s="6">
        <f>IFERROR(__xludf.DUMMYFUNCTION("""COMPUTED_VALUE"""),2038.0)</f>
        <v>2038</v>
      </c>
      <c r="D5" s="6">
        <f>IFERROR(__xludf.DUMMYFUNCTION("""COMPUTED_VALUE"""),1965.25)</f>
        <v>1965.25</v>
      </c>
      <c r="E5" s="6">
        <f>IFERROR(__xludf.DUMMYFUNCTION("""COMPUTED_VALUE"""),1978.5)</f>
        <v>1978.5</v>
      </c>
      <c r="F5" s="6">
        <f>IFERROR(__xludf.DUMMYFUNCTION("""COMPUTED_VALUE"""),1080968.0)</f>
        <v>1080968</v>
      </c>
    </row>
    <row r="6">
      <c r="A6" s="7">
        <f>IFERROR(__xludf.DUMMYFUNCTION("""COMPUTED_VALUE"""),45198.64583333333)</f>
        <v>45198.64583</v>
      </c>
      <c r="B6" s="6">
        <f>IFERROR(__xludf.DUMMYFUNCTION("""COMPUTED_VALUE"""),1971.0)</f>
        <v>1971</v>
      </c>
      <c r="C6" s="6">
        <f>IFERROR(__xludf.DUMMYFUNCTION("""COMPUTED_VALUE"""),2031.5)</f>
        <v>2031.5</v>
      </c>
      <c r="D6" s="6">
        <f>IFERROR(__xludf.DUMMYFUNCTION("""COMPUTED_VALUE"""),1967.4)</f>
        <v>1967.4</v>
      </c>
      <c r="E6" s="6">
        <f>IFERROR(__xludf.DUMMYFUNCTION("""COMPUTED_VALUE"""),2012.25)</f>
        <v>2012.25</v>
      </c>
      <c r="F6" s="6">
        <f>IFERROR(__xludf.DUMMYFUNCTION("""COMPUTED_VALUE"""),2458385.0)</f>
        <v>2458385</v>
      </c>
    </row>
    <row r="7">
      <c r="A7" s="7">
        <f>IFERROR(__xludf.DUMMYFUNCTION("""COMPUTED_VALUE"""),45205.64583333333)</f>
        <v>45205.64583</v>
      </c>
      <c r="B7" s="6">
        <f>IFERROR(__xludf.DUMMYFUNCTION("""COMPUTED_VALUE"""),2015.95)</f>
        <v>2015.95</v>
      </c>
      <c r="C7" s="6">
        <f>IFERROR(__xludf.DUMMYFUNCTION("""COMPUTED_VALUE"""),2039.85)</f>
        <v>2039.85</v>
      </c>
      <c r="D7" s="6">
        <f>IFERROR(__xludf.DUMMYFUNCTION("""COMPUTED_VALUE"""),1985.65)</f>
        <v>1985.65</v>
      </c>
      <c r="E7" s="6">
        <f>IFERROR(__xludf.DUMMYFUNCTION("""COMPUTED_VALUE"""),2009.95)</f>
        <v>2009.95</v>
      </c>
      <c r="F7" s="6">
        <f>IFERROR(__xludf.DUMMYFUNCTION("""COMPUTED_VALUE"""),1136436.0)</f>
        <v>1136436</v>
      </c>
    </row>
    <row r="8">
      <c r="A8" s="7">
        <f>IFERROR(__xludf.DUMMYFUNCTION("""COMPUTED_VALUE"""),45212.64583333333)</f>
        <v>45212.64583</v>
      </c>
      <c r="B8" s="6">
        <f>IFERROR(__xludf.DUMMYFUNCTION("""COMPUTED_VALUE"""),2000.05)</f>
        <v>2000.05</v>
      </c>
      <c r="C8" s="6">
        <f>IFERROR(__xludf.DUMMYFUNCTION("""COMPUTED_VALUE"""),2056.95)</f>
        <v>2056.95</v>
      </c>
      <c r="D8" s="6">
        <f>IFERROR(__xludf.DUMMYFUNCTION("""COMPUTED_VALUE"""),1955.5)</f>
        <v>1955.5</v>
      </c>
      <c r="E8" s="6">
        <f>IFERROR(__xludf.DUMMYFUNCTION("""COMPUTED_VALUE"""),2010.45)</f>
        <v>2010.45</v>
      </c>
      <c r="F8" s="6">
        <f>IFERROR(__xludf.DUMMYFUNCTION("""COMPUTED_VALUE"""),1887393.0)</f>
        <v>1887393</v>
      </c>
    </row>
    <row r="9">
      <c r="A9" s="7">
        <f>IFERROR(__xludf.DUMMYFUNCTION("""COMPUTED_VALUE"""),45219.64583333333)</f>
        <v>45219.64583</v>
      </c>
      <c r="B9" s="6">
        <f>IFERROR(__xludf.DUMMYFUNCTION("""COMPUTED_VALUE"""),2010.0)</f>
        <v>2010</v>
      </c>
      <c r="C9" s="6">
        <f>IFERROR(__xludf.DUMMYFUNCTION("""COMPUTED_VALUE"""),2044.65)</f>
        <v>2044.65</v>
      </c>
      <c r="D9" s="6">
        <f>IFERROR(__xludf.DUMMYFUNCTION("""COMPUTED_VALUE"""),1955.6)</f>
        <v>1955.6</v>
      </c>
      <c r="E9" s="6">
        <f>IFERROR(__xludf.DUMMYFUNCTION("""COMPUTED_VALUE"""),1963.15)</f>
        <v>1963.15</v>
      </c>
      <c r="F9" s="6">
        <f>IFERROR(__xludf.DUMMYFUNCTION("""COMPUTED_VALUE"""),1362202.0)</f>
        <v>1362202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IFERROR(__xludf.DUMMYFUNCTION("""COMPUTED_VALUE"""),1970.0)</f>
        <v>1970</v>
      </c>
      <c r="C10" s="6">
        <f>IFERROR(__xludf.DUMMYFUNCTION("""COMPUTED_VALUE"""),1978.8)</f>
        <v>1978.8</v>
      </c>
      <c r="D10" s="6">
        <f>IFERROR(__xludf.DUMMYFUNCTION("""COMPUTED_VALUE"""),1867.35)</f>
        <v>1867.35</v>
      </c>
      <c r="E10" s="6">
        <f>IFERROR(__xludf.DUMMYFUNCTION("""COMPUTED_VALUE"""),1878.0)</f>
        <v>1878</v>
      </c>
      <c r="F10" s="6">
        <f>IFERROR(__xludf.DUMMYFUNCTION("""COMPUTED_VALUE"""),2190352.0)</f>
        <v>2190352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IFERROR(__xludf.DUMMYFUNCTION("""COMPUTED_VALUE"""),1890.0)</f>
        <v>1890</v>
      </c>
      <c r="C11" s="6">
        <f>IFERROR(__xludf.DUMMYFUNCTION("""COMPUTED_VALUE"""),1903.7)</f>
        <v>1903.7</v>
      </c>
      <c r="D11" s="6">
        <f>IFERROR(__xludf.DUMMYFUNCTION("""COMPUTED_VALUE"""),1836.6)</f>
        <v>1836.6</v>
      </c>
      <c r="E11" s="6">
        <f>IFERROR(__xludf.DUMMYFUNCTION("""COMPUTED_VALUE"""),1859.85)</f>
        <v>1859.85</v>
      </c>
      <c r="F11" s="6">
        <f>IFERROR(__xludf.DUMMYFUNCTION("""COMPUTED_VALUE"""),948337.0)</f>
        <v>948337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IFERROR(__xludf.DUMMYFUNCTION("""COMPUTED_VALUE"""),1874.85)</f>
        <v>1874.85</v>
      </c>
      <c r="C12" s="6">
        <f>IFERROR(__xludf.DUMMYFUNCTION("""COMPUTED_VALUE"""),1888.5)</f>
        <v>1888.5</v>
      </c>
      <c r="D12" s="6">
        <f>IFERROR(__xludf.DUMMYFUNCTION("""COMPUTED_VALUE"""),1818.0)</f>
        <v>1818</v>
      </c>
      <c r="E12" s="6">
        <f>IFERROR(__xludf.DUMMYFUNCTION("""COMPUTED_VALUE"""),1825.3)</f>
        <v>1825.3</v>
      </c>
      <c r="F12" s="6">
        <f>IFERROR(__xludf.DUMMYFUNCTION("""COMPUTED_VALUE"""),1037538.0)</f>
        <v>1037538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IFERROR(__xludf.DUMMYFUNCTION("""COMPUTED_VALUE"""),1832.0)</f>
        <v>1832</v>
      </c>
      <c r="C13" s="6">
        <f>IFERROR(__xludf.DUMMYFUNCTION("""COMPUTED_VALUE"""),1874.3)</f>
        <v>1874.3</v>
      </c>
      <c r="D13" s="6">
        <f>IFERROR(__xludf.DUMMYFUNCTION("""COMPUTED_VALUE"""),1815.0)</f>
        <v>1815</v>
      </c>
      <c r="E13" s="6">
        <f>IFERROR(__xludf.DUMMYFUNCTION("""COMPUTED_VALUE"""),1848.25)</f>
        <v>1848.25</v>
      </c>
      <c r="F13" s="6">
        <f>IFERROR(__xludf.DUMMYFUNCTION("""COMPUTED_VALUE"""),1151752.0)</f>
        <v>1151752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IFERROR(__xludf.DUMMYFUNCTION("""COMPUTED_VALUE"""),1848.25)</f>
        <v>1848.25</v>
      </c>
      <c r="C14" s="6">
        <f>IFERROR(__xludf.DUMMYFUNCTION("""COMPUTED_VALUE"""),1858.4)</f>
        <v>1858.4</v>
      </c>
      <c r="D14" s="6">
        <f>IFERROR(__xludf.DUMMYFUNCTION("""COMPUTED_VALUE"""),1803.0)</f>
        <v>1803</v>
      </c>
      <c r="E14" s="6">
        <f>IFERROR(__xludf.DUMMYFUNCTION("""COMPUTED_VALUE"""),1820.5)</f>
        <v>1820.5</v>
      </c>
      <c r="F14" s="6">
        <f>IFERROR(__xludf.DUMMYFUNCTION("""COMPUTED_VALUE"""),1114020.0)</f>
        <v>1114020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IFERROR(__xludf.DUMMYFUNCTION("""COMPUTED_VALUE"""),1830.0)</f>
        <v>1830</v>
      </c>
      <c r="C15" s="6">
        <f>IFERROR(__xludf.DUMMYFUNCTION("""COMPUTED_VALUE"""),1911.2)</f>
        <v>1911.2</v>
      </c>
      <c r="D15" s="6">
        <f>IFERROR(__xludf.DUMMYFUNCTION("""COMPUTED_VALUE"""),1825.0)</f>
        <v>1825</v>
      </c>
      <c r="E15" s="6">
        <f>IFERROR(__xludf.DUMMYFUNCTION("""COMPUTED_VALUE"""),1900.25)</f>
        <v>1900.25</v>
      </c>
      <c r="F15" s="6">
        <f>IFERROR(__xludf.DUMMYFUNCTION("""COMPUTED_VALUE"""),4496534.0)</f>
        <v>4496534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IFERROR(__xludf.DUMMYFUNCTION("""COMPUTED_VALUE"""),1979.0)</f>
        <v>1979</v>
      </c>
      <c r="C16" s="6">
        <f>IFERROR(__xludf.DUMMYFUNCTION("""COMPUTED_VALUE"""),2218.0)</f>
        <v>2218</v>
      </c>
      <c r="D16" s="6">
        <f>IFERROR(__xludf.DUMMYFUNCTION("""COMPUTED_VALUE"""),1950.0)</f>
        <v>1950</v>
      </c>
      <c r="E16" s="6">
        <f>IFERROR(__xludf.DUMMYFUNCTION("""COMPUTED_VALUE"""),2137.8)</f>
        <v>2137.8</v>
      </c>
      <c r="F16" s="6">
        <f>IFERROR(__xludf.DUMMYFUNCTION("""COMPUTED_VALUE"""),8522131.0)</f>
        <v>8522131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IFERROR(__xludf.DUMMYFUNCTION("""COMPUTED_VALUE"""),2132.45)</f>
        <v>2132.45</v>
      </c>
      <c r="C17" s="6">
        <f>IFERROR(__xludf.DUMMYFUNCTION("""COMPUTED_VALUE"""),2251.05)</f>
        <v>2251.05</v>
      </c>
      <c r="D17" s="6">
        <f>IFERROR(__xludf.DUMMYFUNCTION("""COMPUTED_VALUE"""),2111.0)</f>
        <v>2111</v>
      </c>
      <c r="E17" s="6">
        <f>IFERROR(__xludf.DUMMYFUNCTION("""COMPUTED_VALUE"""),2212.35)</f>
        <v>2212.35</v>
      </c>
      <c r="F17" s="6">
        <f>IFERROR(__xludf.DUMMYFUNCTION("""COMPUTED_VALUE"""),3018398.0)</f>
        <v>3018398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IFERROR(__xludf.DUMMYFUNCTION("""COMPUTED_VALUE"""),2232.0)</f>
        <v>2232</v>
      </c>
      <c r="C18" s="6">
        <f>IFERROR(__xludf.DUMMYFUNCTION("""COMPUTED_VALUE"""),2254.0)</f>
        <v>2254</v>
      </c>
      <c r="D18" s="6">
        <f>IFERROR(__xludf.DUMMYFUNCTION("""COMPUTED_VALUE"""),2046.05)</f>
        <v>2046.05</v>
      </c>
      <c r="E18" s="6">
        <f>IFERROR(__xludf.DUMMYFUNCTION("""COMPUTED_VALUE"""),2090.75)</f>
        <v>2090.75</v>
      </c>
      <c r="F18" s="6">
        <f>IFERROR(__xludf.DUMMYFUNCTION("""COMPUTED_VALUE"""),2604403.0)</f>
        <v>2604403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IFERROR(__xludf.DUMMYFUNCTION("""COMPUTED_VALUE"""),2099.9)</f>
        <v>2099.9</v>
      </c>
      <c r="C19" s="6">
        <f>IFERROR(__xludf.DUMMYFUNCTION("""COMPUTED_VALUE"""),2215.6)</f>
        <v>2215.6</v>
      </c>
      <c r="D19" s="6">
        <f>IFERROR(__xludf.DUMMYFUNCTION("""COMPUTED_VALUE"""),2092.55)</f>
        <v>2092.55</v>
      </c>
      <c r="E19" s="6">
        <f>IFERROR(__xludf.DUMMYFUNCTION("""COMPUTED_VALUE"""),2211.25)</f>
        <v>2211.25</v>
      </c>
      <c r="F19" s="6">
        <f>IFERROR(__xludf.DUMMYFUNCTION("""COMPUTED_VALUE"""),1900011.0)</f>
        <v>1900011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IFERROR(__xludf.DUMMYFUNCTION("""COMPUTED_VALUE"""),2212.0)</f>
        <v>2212</v>
      </c>
      <c r="C20" s="6">
        <f>IFERROR(__xludf.DUMMYFUNCTION("""COMPUTED_VALUE"""),2403.8)</f>
        <v>2403.8</v>
      </c>
      <c r="D20" s="6">
        <f>IFERROR(__xludf.DUMMYFUNCTION("""COMPUTED_VALUE"""),2208.65)</f>
        <v>2208.65</v>
      </c>
      <c r="E20" s="6">
        <f>IFERROR(__xludf.DUMMYFUNCTION("""COMPUTED_VALUE"""),2377.45)</f>
        <v>2377.45</v>
      </c>
      <c r="F20" s="6">
        <f>IFERROR(__xludf.DUMMYFUNCTION("""COMPUTED_VALUE"""),4004966.0)</f>
        <v>4004966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IFERROR(__xludf.DUMMYFUNCTION("""COMPUTED_VALUE"""),2400.05)</f>
        <v>2400.05</v>
      </c>
      <c r="C21" s="6">
        <f>IFERROR(__xludf.DUMMYFUNCTION("""COMPUTED_VALUE"""),2407.1)</f>
        <v>2407.1</v>
      </c>
      <c r="D21" s="6">
        <f>IFERROR(__xludf.DUMMYFUNCTION("""COMPUTED_VALUE"""),2293.2)</f>
        <v>2293.2</v>
      </c>
      <c r="E21" s="6">
        <f>IFERROR(__xludf.DUMMYFUNCTION("""COMPUTED_VALUE"""),2332.4)</f>
        <v>2332.4</v>
      </c>
      <c r="F21" s="6">
        <f>IFERROR(__xludf.DUMMYFUNCTION("""COMPUTED_VALUE"""),1715711.0)</f>
        <v>1715711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IFERROR(__xludf.DUMMYFUNCTION("""COMPUTED_VALUE"""),2309.0)</f>
        <v>2309</v>
      </c>
      <c r="C22" s="6">
        <f>IFERROR(__xludf.DUMMYFUNCTION("""COMPUTED_VALUE"""),2563.75)</f>
        <v>2563.75</v>
      </c>
      <c r="D22" s="6">
        <f>IFERROR(__xludf.DUMMYFUNCTION("""COMPUTED_VALUE"""),2190.0)</f>
        <v>2190</v>
      </c>
      <c r="E22" s="6">
        <f>IFERROR(__xludf.DUMMYFUNCTION("""COMPUTED_VALUE"""),2467.65)</f>
        <v>2467.65</v>
      </c>
      <c r="F22" s="6">
        <f>IFERROR(__xludf.DUMMYFUNCTION("""COMPUTED_VALUE"""),3499294.0)</f>
        <v>3499294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IFERROR(__xludf.DUMMYFUNCTION("""COMPUTED_VALUE"""),2520.05)</f>
        <v>2520.05</v>
      </c>
      <c r="C23" s="6">
        <f>IFERROR(__xludf.DUMMYFUNCTION("""COMPUTED_VALUE"""),2584.0)</f>
        <v>2584</v>
      </c>
      <c r="D23" s="6">
        <f>IFERROR(__xludf.DUMMYFUNCTION("""COMPUTED_VALUE"""),2455.0)</f>
        <v>2455</v>
      </c>
      <c r="E23" s="6">
        <f>IFERROR(__xludf.DUMMYFUNCTION("""COMPUTED_VALUE"""),2499.45)</f>
        <v>2499.45</v>
      </c>
      <c r="F23" s="6">
        <f>IFERROR(__xludf.DUMMYFUNCTION("""COMPUTED_VALUE"""),4038575.0)</f>
        <v>4038575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IFERROR(__xludf.DUMMYFUNCTION("""COMPUTED_VALUE"""),2510.0)</f>
        <v>2510</v>
      </c>
      <c r="C24" s="6">
        <f>IFERROR(__xludf.DUMMYFUNCTION("""COMPUTED_VALUE"""),2645.0)</f>
        <v>2645</v>
      </c>
      <c r="D24" s="6">
        <f>IFERROR(__xludf.DUMMYFUNCTION("""COMPUTED_VALUE"""),2469.25)</f>
        <v>2469.25</v>
      </c>
      <c r="E24" s="6">
        <f>IFERROR(__xludf.DUMMYFUNCTION("""COMPUTED_VALUE"""),2628.05)</f>
        <v>2628.05</v>
      </c>
      <c r="F24" s="6">
        <f>IFERROR(__xludf.DUMMYFUNCTION("""COMPUTED_VALUE"""),2701485.0)</f>
        <v>2701485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IFERROR(__xludf.DUMMYFUNCTION("""COMPUTED_VALUE"""),2646.0)</f>
        <v>2646</v>
      </c>
      <c r="C25" s="6">
        <f>IFERROR(__xludf.DUMMYFUNCTION("""COMPUTED_VALUE"""),2746.4)</f>
        <v>2746.4</v>
      </c>
      <c r="D25" s="6">
        <f>IFERROR(__xludf.DUMMYFUNCTION("""COMPUTED_VALUE"""),2562.85)</f>
        <v>2562.85</v>
      </c>
      <c r="E25" s="6">
        <f>IFERROR(__xludf.DUMMYFUNCTION("""COMPUTED_VALUE"""),2720.4)</f>
        <v>2720.4</v>
      </c>
      <c r="F25" s="6">
        <f>IFERROR(__xludf.DUMMYFUNCTION("""COMPUTED_VALUE"""),3087324.0)</f>
        <v>3087324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IFERROR(__xludf.DUMMYFUNCTION("""COMPUTED_VALUE"""),2744.0)</f>
        <v>2744</v>
      </c>
      <c r="C26" s="6">
        <f>IFERROR(__xludf.DUMMYFUNCTION("""COMPUTED_VALUE"""),2744.0)</f>
        <v>2744</v>
      </c>
      <c r="D26" s="6">
        <f>IFERROR(__xludf.DUMMYFUNCTION("""COMPUTED_VALUE"""),2636.0)</f>
        <v>2636</v>
      </c>
      <c r="E26" s="6">
        <f>IFERROR(__xludf.DUMMYFUNCTION("""COMPUTED_VALUE"""),2679.55)</f>
        <v>2679.55</v>
      </c>
      <c r="F26" s="6">
        <f>IFERROR(__xludf.DUMMYFUNCTION("""COMPUTED_VALUE"""),1797890.0)</f>
        <v>1797890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IFERROR(__xludf.DUMMYFUNCTION("""COMPUTED_VALUE"""),2710.0)</f>
        <v>2710</v>
      </c>
      <c r="C27" s="6">
        <f>IFERROR(__xludf.DUMMYFUNCTION("""COMPUTED_VALUE"""),2723.15)</f>
        <v>2723.15</v>
      </c>
      <c r="D27" s="6">
        <f>IFERROR(__xludf.DUMMYFUNCTION("""COMPUTED_VALUE"""),2596.95)</f>
        <v>2596.95</v>
      </c>
      <c r="E27" s="6">
        <f>IFERROR(__xludf.DUMMYFUNCTION("""COMPUTED_VALUE"""),2638.8)</f>
        <v>2638.8</v>
      </c>
      <c r="F27" s="6">
        <f>IFERROR(__xludf.DUMMYFUNCTION("""COMPUTED_VALUE"""),762417.0)</f>
        <v>762417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IFERROR(__xludf.DUMMYFUNCTION("""COMPUTED_VALUE"""),2645.0)</f>
        <v>2645</v>
      </c>
      <c r="C28" s="6">
        <f>IFERROR(__xludf.DUMMYFUNCTION("""COMPUTED_VALUE"""),2677.1)</f>
        <v>2677.1</v>
      </c>
      <c r="D28" s="6">
        <f>IFERROR(__xludf.DUMMYFUNCTION("""COMPUTED_VALUE"""),2347.2)</f>
        <v>2347.2</v>
      </c>
      <c r="E28" s="6">
        <f>IFERROR(__xludf.DUMMYFUNCTION("""COMPUTED_VALUE"""),2502.95)</f>
        <v>2502.95</v>
      </c>
      <c r="F28" s="6">
        <f>IFERROR(__xludf.DUMMYFUNCTION("""COMPUTED_VALUE"""),1701685.0)</f>
        <v>1701685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IFERROR(__xludf.DUMMYFUNCTION("""COMPUTED_VALUE"""),2480.1)</f>
        <v>2480.1</v>
      </c>
      <c r="C29" s="6">
        <f>IFERROR(__xludf.DUMMYFUNCTION("""COMPUTED_VALUE"""),2480.1)</f>
        <v>2480.1</v>
      </c>
      <c r="D29" s="6">
        <f>IFERROR(__xludf.DUMMYFUNCTION("""COMPUTED_VALUE"""),2371.05)</f>
        <v>2371.05</v>
      </c>
      <c r="E29" s="6">
        <f>IFERROR(__xludf.DUMMYFUNCTION("""COMPUTED_VALUE"""),2443.25)</f>
        <v>2443.25</v>
      </c>
      <c r="F29" s="6">
        <f>IFERROR(__xludf.DUMMYFUNCTION("""COMPUTED_VALUE"""),1642436.0)</f>
        <v>1642436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IFERROR(__xludf.DUMMYFUNCTION("""COMPUTED_VALUE"""),2430.0)</f>
        <v>2430</v>
      </c>
      <c r="C30" s="6">
        <f>IFERROR(__xludf.DUMMYFUNCTION("""COMPUTED_VALUE"""),2505.0)</f>
        <v>2505</v>
      </c>
      <c r="D30" s="6">
        <f>IFERROR(__xludf.DUMMYFUNCTION("""COMPUTED_VALUE"""),2429.6)</f>
        <v>2429.6</v>
      </c>
      <c r="E30" s="6">
        <f>IFERROR(__xludf.DUMMYFUNCTION("""COMPUTED_VALUE"""),2491.7)</f>
        <v>2491.7</v>
      </c>
      <c r="F30" s="6">
        <f>IFERROR(__xludf.DUMMYFUNCTION("""COMPUTED_VALUE"""),870646.0)</f>
        <v>870646</v>
      </c>
    </row>
    <row r="31">
      <c r="A31" s="7">
        <f>IFERROR(__xludf.DUMMYFUNCTION("""COMPUTED_VALUE"""),45387.64583333333)</f>
        <v>45387.64583</v>
      </c>
      <c r="B31" s="6">
        <f>IFERROR(__xludf.DUMMYFUNCTION("""COMPUTED_VALUE"""),2510.0)</f>
        <v>2510</v>
      </c>
      <c r="C31" s="6">
        <f>IFERROR(__xludf.DUMMYFUNCTION("""COMPUTED_VALUE"""),2666.7)</f>
        <v>2666.7</v>
      </c>
      <c r="D31" s="6">
        <f>IFERROR(__xludf.DUMMYFUNCTION("""COMPUTED_VALUE"""),2497.1)</f>
        <v>2497.1</v>
      </c>
      <c r="E31" s="6">
        <f>IFERROR(__xludf.DUMMYFUNCTION("""COMPUTED_VALUE"""),2575.1)</f>
        <v>2575.1</v>
      </c>
      <c r="F31" s="6">
        <f>IFERROR(__xludf.DUMMYFUNCTION("""COMPUTED_VALUE"""),1747758.0)</f>
        <v>1747758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IFERROR(__xludf.DUMMYFUNCTION("""COMPUTED_VALUE"""),2595.9)</f>
        <v>2595.9</v>
      </c>
      <c r="C32" s="6">
        <f>IFERROR(__xludf.DUMMYFUNCTION("""COMPUTED_VALUE"""),2607.0)</f>
        <v>2607</v>
      </c>
      <c r="D32" s="6">
        <f>IFERROR(__xludf.DUMMYFUNCTION("""COMPUTED_VALUE"""),2460.0)</f>
        <v>2460</v>
      </c>
      <c r="E32" s="6">
        <f>IFERROR(__xludf.DUMMYFUNCTION("""COMPUTED_VALUE"""),2468.3)</f>
        <v>2468.3</v>
      </c>
      <c r="F32" s="6">
        <f>IFERROR(__xludf.DUMMYFUNCTION("""COMPUTED_VALUE"""),1184311.0)</f>
        <v>1184311</v>
      </c>
    </row>
    <row r="33">
      <c r="A33" s="7">
        <f>IFERROR(__xludf.DUMMYFUNCTION("""COMPUTED_VALUE"""),45401.64583333333)</f>
        <v>45401.64583</v>
      </c>
      <c r="B33" s="6">
        <f>IFERROR(__xludf.DUMMYFUNCTION("""COMPUTED_VALUE"""),2465.0)</f>
        <v>2465</v>
      </c>
      <c r="C33" s="6">
        <f>IFERROR(__xludf.DUMMYFUNCTION("""COMPUTED_VALUE"""),2484.05)</f>
        <v>2484.05</v>
      </c>
      <c r="D33" s="6">
        <f>IFERROR(__xludf.DUMMYFUNCTION("""COMPUTED_VALUE"""),2368.0)</f>
        <v>2368</v>
      </c>
      <c r="E33" s="6">
        <f>IFERROR(__xludf.DUMMYFUNCTION("""COMPUTED_VALUE"""),2405.15)</f>
        <v>2405.15</v>
      </c>
      <c r="F33" s="6">
        <f>IFERROR(__xludf.DUMMYFUNCTION("""COMPUTED_VALUE"""),1056803.0)</f>
        <v>1056803</v>
      </c>
    </row>
    <row r="34">
      <c r="A34" s="7">
        <f>IFERROR(__xludf.DUMMYFUNCTION("""COMPUTED_VALUE"""),45408.64583333333)</f>
        <v>45408.64583</v>
      </c>
      <c r="B34" s="6">
        <f>IFERROR(__xludf.DUMMYFUNCTION("""COMPUTED_VALUE"""),2427.45)</f>
        <v>2427.45</v>
      </c>
      <c r="C34" s="6">
        <f>IFERROR(__xludf.DUMMYFUNCTION("""COMPUTED_VALUE"""),2610.0)</f>
        <v>2610</v>
      </c>
      <c r="D34" s="6">
        <f>IFERROR(__xludf.DUMMYFUNCTION("""COMPUTED_VALUE"""),2370.2)</f>
        <v>2370.2</v>
      </c>
      <c r="E34" s="6">
        <f>IFERROR(__xludf.DUMMYFUNCTION("""COMPUTED_VALUE"""),2533.05)</f>
        <v>2533.05</v>
      </c>
      <c r="F34" s="6">
        <f>IFERROR(__xludf.DUMMYFUNCTION("""COMPUTED_VALUE"""),5408557.0)</f>
        <v>5408557</v>
      </c>
    </row>
    <row r="35">
      <c r="A35" s="7">
        <f>IFERROR(__xludf.DUMMYFUNCTION("""COMPUTED_VALUE"""),45415.64583333333)</f>
        <v>45415.64583</v>
      </c>
      <c r="B35" s="6">
        <f>IFERROR(__xludf.DUMMYFUNCTION("""COMPUTED_VALUE"""),2535.0)</f>
        <v>2535</v>
      </c>
      <c r="C35" s="6">
        <f>IFERROR(__xludf.DUMMYFUNCTION("""COMPUTED_VALUE"""),2564.0)</f>
        <v>2564</v>
      </c>
      <c r="D35" s="6">
        <f>IFERROR(__xludf.DUMMYFUNCTION("""COMPUTED_VALUE"""),2503.05)</f>
        <v>2503.05</v>
      </c>
      <c r="E35" s="6">
        <f>IFERROR(__xludf.DUMMYFUNCTION("""COMPUTED_VALUE"""),2531.4)</f>
        <v>2531.4</v>
      </c>
      <c r="F35" s="6">
        <f>IFERROR(__xludf.DUMMYFUNCTION("""COMPUTED_VALUE"""),2155967.0)</f>
        <v>2155967</v>
      </c>
    </row>
    <row r="36">
      <c r="A36" s="7">
        <f>IFERROR(__xludf.DUMMYFUNCTION("""COMPUTED_VALUE"""),45422.64583333333)</f>
        <v>45422.64583</v>
      </c>
      <c r="B36" s="6">
        <f>IFERROR(__xludf.DUMMYFUNCTION("""COMPUTED_VALUE"""),2546.0)</f>
        <v>2546</v>
      </c>
      <c r="C36" s="6">
        <f>IFERROR(__xludf.DUMMYFUNCTION("""COMPUTED_VALUE"""),2551.4)</f>
        <v>2551.4</v>
      </c>
      <c r="D36" s="6">
        <f>IFERROR(__xludf.DUMMYFUNCTION("""COMPUTED_VALUE"""),2355.45)</f>
        <v>2355.45</v>
      </c>
      <c r="E36" s="6">
        <f>IFERROR(__xludf.DUMMYFUNCTION("""COMPUTED_VALUE"""),2360.15)</f>
        <v>2360.15</v>
      </c>
      <c r="F36" s="6">
        <f>IFERROR(__xludf.DUMMYFUNCTION("""COMPUTED_VALUE"""),2325953.0)</f>
        <v>2325953</v>
      </c>
    </row>
    <row r="37">
      <c r="A37" s="7">
        <f>IFERROR(__xludf.DUMMYFUNCTION("""COMPUTED_VALUE"""),45436.64583333333)</f>
        <v>45436.64583</v>
      </c>
      <c r="B37" s="6">
        <f>IFERROR(__xludf.DUMMYFUNCTION("""COMPUTED_VALUE"""),2525.95)</f>
        <v>2525.95</v>
      </c>
      <c r="C37" s="6">
        <f>IFERROR(__xludf.DUMMYFUNCTION("""COMPUTED_VALUE"""),2662.8)</f>
        <v>2662.8</v>
      </c>
      <c r="D37" s="6">
        <f>IFERROR(__xludf.DUMMYFUNCTION("""COMPUTED_VALUE"""),2482.9)</f>
        <v>2482.9</v>
      </c>
      <c r="E37" s="6">
        <f>IFERROR(__xludf.DUMMYFUNCTION("""COMPUTED_VALUE"""),2609.25)</f>
        <v>2609.25</v>
      </c>
      <c r="F37" s="6">
        <f>IFERROR(__xludf.DUMMYFUNCTION("""COMPUTED_VALUE"""),2254716.0)</f>
        <v>2254716</v>
      </c>
    </row>
    <row r="38">
      <c r="A38" s="7">
        <f>IFERROR(__xludf.DUMMYFUNCTION("""COMPUTED_VALUE"""),45443.64583333333)</f>
        <v>45443.64583</v>
      </c>
      <c r="B38" s="6">
        <f>IFERROR(__xludf.DUMMYFUNCTION("""COMPUTED_VALUE"""),2615.0)</f>
        <v>2615</v>
      </c>
      <c r="C38" s="6">
        <f>IFERROR(__xludf.DUMMYFUNCTION("""COMPUTED_VALUE"""),2624.8)</f>
        <v>2624.8</v>
      </c>
      <c r="D38" s="6">
        <f>IFERROR(__xludf.DUMMYFUNCTION("""COMPUTED_VALUE"""),2485.05)</f>
        <v>2485.05</v>
      </c>
      <c r="E38" s="6">
        <f>IFERROR(__xludf.DUMMYFUNCTION("""COMPUTED_VALUE"""),2546.4)</f>
        <v>2546.4</v>
      </c>
      <c r="F38" s="6">
        <f>IFERROR(__xludf.DUMMYFUNCTION("""COMPUTED_VALUE"""),1962797.0)</f>
        <v>1962797</v>
      </c>
    </row>
    <row r="39">
      <c r="A39" s="7">
        <f>IFERROR(__xludf.DUMMYFUNCTION("""COMPUTED_VALUE"""),45450.64583333333)</f>
        <v>45450.64583</v>
      </c>
      <c r="B39" s="6">
        <f>IFERROR(__xludf.DUMMYFUNCTION("""COMPUTED_VALUE"""),2670.0)</f>
        <v>2670</v>
      </c>
      <c r="C39" s="6">
        <f>IFERROR(__xludf.DUMMYFUNCTION("""COMPUTED_VALUE"""),2702.7)</f>
        <v>2702.7</v>
      </c>
      <c r="D39" s="6">
        <f>IFERROR(__xludf.DUMMYFUNCTION("""COMPUTED_VALUE"""),2150.0)</f>
        <v>2150</v>
      </c>
      <c r="E39" s="6">
        <f>IFERROR(__xludf.DUMMYFUNCTION("""COMPUTED_VALUE"""),2499.1)</f>
        <v>2499.1</v>
      </c>
      <c r="F39" s="6">
        <f>IFERROR(__xludf.DUMMYFUNCTION("""COMPUTED_VALUE"""),3980439.0)</f>
        <v>3980439</v>
      </c>
    </row>
    <row r="40">
      <c r="A40" s="7">
        <f>IFERROR(__xludf.DUMMYFUNCTION("""COMPUTED_VALUE"""),45457.64583333333)</f>
        <v>45457.64583</v>
      </c>
      <c r="B40" s="6">
        <f>IFERROR(__xludf.DUMMYFUNCTION("""COMPUTED_VALUE"""),2519.45)</f>
        <v>2519.45</v>
      </c>
      <c r="C40" s="6">
        <f>IFERROR(__xludf.DUMMYFUNCTION("""COMPUTED_VALUE"""),2714.0)</f>
        <v>2714</v>
      </c>
      <c r="D40" s="6">
        <f>IFERROR(__xludf.DUMMYFUNCTION("""COMPUTED_VALUE"""),2499.1)</f>
        <v>2499.1</v>
      </c>
      <c r="E40" s="6">
        <f>IFERROR(__xludf.DUMMYFUNCTION("""COMPUTED_VALUE"""),2661.7)</f>
        <v>2661.7</v>
      </c>
      <c r="F40" s="6">
        <f>IFERROR(__xludf.DUMMYFUNCTION("""COMPUTED_VALUE"""),2724965.0)</f>
        <v>2724965</v>
      </c>
    </row>
    <row r="41">
      <c r="A41" s="7">
        <f>IFERROR(__xludf.DUMMYFUNCTION("""COMPUTED_VALUE"""),45464.64583333333)</f>
        <v>45464.64583</v>
      </c>
      <c r="B41" s="6">
        <f>IFERROR(__xludf.DUMMYFUNCTION("""COMPUTED_VALUE"""),2694.0)</f>
        <v>2694</v>
      </c>
      <c r="C41" s="6">
        <f>IFERROR(__xludf.DUMMYFUNCTION("""COMPUTED_VALUE"""),2694.55)</f>
        <v>2694.55</v>
      </c>
      <c r="D41" s="6">
        <f>IFERROR(__xludf.DUMMYFUNCTION("""COMPUTED_VALUE"""),2579.0)</f>
        <v>2579</v>
      </c>
      <c r="E41" s="6">
        <f>IFERROR(__xludf.DUMMYFUNCTION("""COMPUTED_VALUE"""),2590.2)</f>
        <v>2590.2</v>
      </c>
      <c r="F41" s="6">
        <f>IFERROR(__xludf.DUMMYFUNCTION("""COMPUTED_VALUE"""),1039533.0)</f>
        <v>1039533</v>
      </c>
    </row>
    <row r="42">
      <c r="A42" s="7">
        <f>IFERROR(__xludf.DUMMYFUNCTION("""COMPUTED_VALUE"""),45471.64583333333)</f>
        <v>45471.64583</v>
      </c>
      <c r="B42" s="6">
        <f>IFERROR(__xludf.DUMMYFUNCTION("""COMPUTED_VALUE"""),2585.0)</f>
        <v>2585</v>
      </c>
      <c r="C42" s="6">
        <f>IFERROR(__xludf.DUMMYFUNCTION("""COMPUTED_VALUE"""),2671.85)</f>
        <v>2671.85</v>
      </c>
      <c r="D42" s="6">
        <f>IFERROR(__xludf.DUMMYFUNCTION("""COMPUTED_VALUE"""),2519.05)</f>
        <v>2519.05</v>
      </c>
      <c r="E42" s="6">
        <f>IFERROR(__xludf.DUMMYFUNCTION("""COMPUTED_VALUE"""),2619.05)</f>
        <v>2619.05</v>
      </c>
      <c r="F42" s="6">
        <f>IFERROR(__xludf.DUMMYFUNCTION("""COMPUTED_VALUE"""),3341759.0)</f>
        <v>3341759</v>
      </c>
    </row>
    <row r="43">
      <c r="A43" s="7">
        <f>IFERROR(__xludf.DUMMYFUNCTION("""COMPUTED_VALUE"""),45478.64583333333)</f>
        <v>45478.64583</v>
      </c>
      <c r="B43" s="6">
        <f>IFERROR(__xludf.DUMMYFUNCTION("""COMPUTED_VALUE"""),2634.75)</f>
        <v>2634.75</v>
      </c>
      <c r="C43" s="6">
        <f>IFERROR(__xludf.DUMMYFUNCTION("""COMPUTED_VALUE"""),2844.0)</f>
        <v>2844</v>
      </c>
      <c r="D43" s="6">
        <f>IFERROR(__xludf.DUMMYFUNCTION("""COMPUTED_VALUE"""),2619.1)</f>
        <v>2619.1</v>
      </c>
      <c r="E43" s="6">
        <f>IFERROR(__xludf.DUMMYFUNCTION("""COMPUTED_VALUE"""),2669.5)</f>
        <v>2669.5</v>
      </c>
      <c r="F43" s="6">
        <f>IFERROR(__xludf.DUMMYFUNCTION("""COMPUTED_VALUE"""),3729039.0)</f>
        <v>3729039</v>
      </c>
    </row>
    <row r="44">
      <c r="A44" s="7">
        <f>IFERROR(__xludf.DUMMYFUNCTION("""COMPUTED_VALUE"""),45485.64583333333)</f>
        <v>45485.64583</v>
      </c>
      <c r="B44" s="6">
        <f>IFERROR(__xludf.DUMMYFUNCTION("""COMPUTED_VALUE"""),2670.1)</f>
        <v>2670.1</v>
      </c>
      <c r="C44" s="6">
        <f>IFERROR(__xludf.DUMMYFUNCTION("""COMPUTED_VALUE"""),2740.0)</f>
        <v>2740</v>
      </c>
      <c r="D44" s="6">
        <f>IFERROR(__xludf.DUMMYFUNCTION("""COMPUTED_VALUE"""),2586.5)</f>
        <v>2586.5</v>
      </c>
      <c r="E44" s="6">
        <f>IFERROR(__xludf.DUMMYFUNCTION("""COMPUTED_VALUE"""),2686.15)</f>
        <v>2686.15</v>
      </c>
      <c r="F44" s="6">
        <f>IFERROR(__xludf.DUMMYFUNCTION("""COMPUTED_VALUE"""),2172918.0)</f>
        <v>2172918</v>
      </c>
    </row>
    <row r="45">
      <c r="A45" s="7">
        <f>IFERROR(__xludf.DUMMYFUNCTION("""COMPUTED_VALUE"""),45492.64583333333)</f>
        <v>45492.64583</v>
      </c>
      <c r="B45" s="6">
        <f>IFERROR(__xludf.DUMMYFUNCTION("""COMPUTED_VALUE"""),2690.0)</f>
        <v>2690</v>
      </c>
      <c r="C45" s="6">
        <f>IFERROR(__xludf.DUMMYFUNCTION("""COMPUTED_VALUE"""),2744.25)</f>
        <v>2744.25</v>
      </c>
      <c r="D45" s="6">
        <f>IFERROR(__xludf.DUMMYFUNCTION("""COMPUTED_VALUE"""),2596.15)</f>
        <v>2596.15</v>
      </c>
      <c r="E45" s="6">
        <f>IFERROR(__xludf.DUMMYFUNCTION("""COMPUTED_VALUE"""),2619.8)</f>
        <v>2619.8</v>
      </c>
      <c r="F45" s="6">
        <f>IFERROR(__xludf.DUMMYFUNCTION("""COMPUTED_VALUE"""),1389155.0)</f>
        <v>1389155</v>
      </c>
    </row>
    <row r="46">
      <c r="A46" s="7">
        <f>IFERROR(__xludf.DUMMYFUNCTION("""COMPUTED_VALUE"""),45499.64583333333)</f>
        <v>45499.64583</v>
      </c>
      <c r="B46" s="6">
        <f>IFERROR(__xludf.DUMMYFUNCTION("""COMPUTED_VALUE"""),2621.0)</f>
        <v>2621</v>
      </c>
      <c r="C46" s="6">
        <f>IFERROR(__xludf.DUMMYFUNCTION("""COMPUTED_VALUE"""),2699.9)</f>
        <v>2699.9</v>
      </c>
      <c r="D46" s="6">
        <f>IFERROR(__xludf.DUMMYFUNCTION("""COMPUTED_VALUE"""),2556.8)</f>
        <v>2556.8</v>
      </c>
      <c r="E46" s="6">
        <f>IFERROR(__xludf.DUMMYFUNCTION("""COMPUTED_VALUE"""),2614.15)</f>
        <v>2614.15</v>
      </c>
      <c r="F46" s="6">
        <f>IFERROR(__xludf.DUMMYFUNCTION("""COMPUTED_VALUE"""),2036931.0)</f>
        <v>2036931</v>
      </c>
    </row>
    <row r="47">
      <c r="A47" s="7">
        <f>IFERROR(__xludf.DUMMYFUNCTION("""COMPUTED_VALUE"""),45506.64583333333)</f>
        <v>45506.64583</v>
      </c>
      <c r="B47" s="6">
        <f>IFERROR(__xludf.DUMMYFUNCTION("""COMPUTED_VALUE"""),2640.0)</f>
        <v>2640</v>
      </c>
      <c r="C47" s="6">
        <f>IFERROR(__xludf.DUMMYFUNCTION("""COMPUTED_VALUE"""),2691.9)</f>
        <v>2691.9</v>
      </c>
      <c r="D47" s="6">
        <f>IFERROR(__xludf.DUMMYFUNCTION("""COMPUTED_VALUE"""),2431.0)</f>
        <v>2431</v>
      </c>
      <c r="E47" s="6">
        <f>IFERROR(__xludf.DUMMYFUNCTION("""COMPUTED_VALUE"""),2435.3)</f>
        <v>2435.3</v>
      </c>
      <c r="F47" s="6">
        <f>IFERROR(__xludf.DUMMYFUNCTION("""COMPUTED_VALUE"""),4064642.0)</f>
        <v>4064642</v>
      </c>
    </row>
    <row r="48">
      <c r="A48" s="7">
        <f>IFERROR(__xludf.DUMMYFUNCTION("""COMPUTED_VALUE"""),45513.64583333333)</f>
        <v>45513.64583</v>
      </c>
      <c r="B48" s="6">
        <f>IFERROR(__xludf.DUMMYFUNCTION("""COMPUTED_VALUE"""),2415.0)</f>
        <v>2415</v>
      </c>
      <c r="C48" s="6">
        <f>IFERROR(__xludf.DUMMYFUNCTION("""COMPUTED_VALUE"""),2443.4)</f>
        <v>2443.4</v>
      </c>
      <c r="D48" s="6">
        <f>IFERROR(__xludf.DUMMYFUNCTION("""COMPUTED_VALUE"""),2336.0)</f>
        <v>2336</v>
      </c>
      <c r="E48" s="6">
        <f>IFERROR(__xludf.DUMMYFUNCTION("""COMPUTED_VALUE"""),2351.55)</f>
        <v>2351.55</v>
      </c>
      <c r="F48" s="6">
        <f>IFERROR(__xludf.DUMMYFUNCTION("""COMPUTED_VALUE"""),1863005.0)</f>
        <v>1863005</v>
      </c>
    </row>
    <row r="49">
      <c r="A49" s="7">
        <f>IFERROR(__xludf.DUMMYFUNCTION("""COMPUTED_VALUE"""),45520.64583333333)</f>
        <v>45520.64583</v>
      </c>
      <c r="B49" s="6">
        <f>IFERROR(__xludf.DUMMYFUNCTION("""COMPUTED_VALUE"""),2315.0)</f>
        <v>2315</v>
      </c>
      <c r="C49" s="6">
        <f>IFERROR(__xludf.DUMMYFUNCTION("""COMPUTED_VALUE"""),2366.2)</f>
        <v>2366.2</v>
      </c>
      <c r="D49" s="6">
        <f>IFERROR(__xludf.DUMMYFUNCTION("""COMPUTED_VALUE"""),2267.7)</f>
        <v>2267.7</v>
      </c>
      <c r="E49" s="6">
        <f>IFERROR(__xludf.DUMMYFUNCTION("""COMPUTED_VALUE"""),2337.9)</f>
        <v>2337.9</v>
      </c>
      <c r="F49" s="6">
        <f>IFERROR(__xludf.DUMMYFUNCTION("""COMPUTED_VALUE"""),1324799.0)</f>
        <v>1324799</v>
      </c>
    </row>
    <row r="50">
      <c r="A50" s="7">
        <f>IFERROR(__xludf.DUMMYFUNCTION("""COMPUTED_VALUE"""),45527.64583333333)</f>
        <v>45527.64583</v>
      </c>
      <c r="B50" s="6">
        <f>IFERROR(__xludf.DUMMYFUNCTION("""COMPUTED_VALUE"""),2349.0)</f>
        <v>2349</v>
      </c>
      <c r="C50" s="6">
        <f>IFERROR(__xludf.DUMMYFUNCTION("""COMPUTED_VALUE"""),2377.95)</f>
        <v>2377.95</v>
      </c>
      <c r="D50" s="6">
        <f>IFERROR(__xludf.DUMMYFUNCTION("""COMPUTED_VALUE"""),2312.65)</f>
        <v>2312.65</v>
      </c>
      <c r="E50" s="6">
        <f>IFERROR(__xludf.DUMMYFUNCTION("""COMPUTED_VALUE"""),2323.75)</f>
        <v>2323.75</v>
      </c>
      <c r="F50" s="6">
        <f>IFERROR(__xludf.DUMMYFUNCTION("""COMPUTED_VALUE"""),1500791.0)</f>
        <v>1500791</v>
      </c>
    </row>
    <row r="51">
      <c r="A51" s="7">
        <f>IFERROR(__xludf.DUMMYFUNCTION("""COMPUTED_VALUE"""),45534.64583333333)</f>
        <v>45534.64583</v>
      </c>
      <c r="B51" s="6">
        <f>IFERROR(__xludf.DUMMYFUNCTION("""COMPUTED_VALUE"""),2344.0)</f>
        <v>2344</v>
      </c>
      <c r="C51" s="6">
        <f>IFERROR(__xludf.DUMMYFUNCTION("""COMPUTED_VALUE"""),2358.0)</f>
        <v>2358</v>
      </c>
      <c r="D51" s="6">
        <f>IFERROR(__xludf.DUMMYFUNCTION("""COMPUTED_VALUE"""),2286.7)</f>
        <v>2286.7</v>
      </c>
      <c r="E51" s="6">
        <f>IFERROR(__xludf.DUMMYFUNCTION("""COMPUTED_VALUE"""),2329.15)</f>
        <v>2329.15</v>
      </c>
      <c r="F51" s="6">
        <f>IFERROR(__xludf.DUMMYFUNCTION("""COMPUTED_VALUE"""),1200993.0)</f>
        <v>1200993</v>
      </c>
    </row>
    <row r="52">
      <c r="A52" s="7">
        <f>IFERROR(__xludf.DUMMYFUNCTION("""COMPUTED_VALUE"""),45541.64583333333)</f>
        <v>45541.64583</v>
      </c>
      <c r="B52" s="6">
        <f>IFERROR(__xludf.DUMMYFUNCTION("""COMPUTED_VALUE"""),2338.8)</f>
        <v>2338.8</v>
      </c>
      <c r="C52" s="6">
        <f>IFERROR(__xludf.DUMMYFUNCTION("""COMPUTED_VALUE"""),2449.9)</f>
        <v>2449.9</v>
      </c>
      <c r="D52" s="6">
        <f>IFERROR(__xludf.DUMMYFUNCTION("""COMPUTED_VALUE"""),2318.0)</f>
        <v>2318</v>
      </c>
      <c r="E52" s="6">
        <f>IFERROR(__xludf.DUMMYFUNCTION("""COMPUTED_VALUE"""),2429.4)</f>
        <v>2429.4</v>
      </c>
      <c r="F52" s="6">
        <f>IFERROR(__xludf.DUMMYFUNCTION("""COMPUTED_VALUE"""),2864822.0)</f>
        <v>2864822</v>
      </c>
    </row>
    <row r="53">
      <c r="A53" s="7">
        <f>IFERROR(__xludf.DUMMYFUNCTION("""COMPUTED_VALUE"""),45548.64583333333)</f>
        <v>45548.64583</v>
      </c>
      <c r="B53" s="6">
        <f>IFERROR(__xludf.DUMMYFUNCTION("""COMPUTED_VALUE"""),2434.35)</f>
        <v>2434.35</v>
      </c>
      <c r="C53" s="6">
        <f>IFERROR(__xludf.DUMMYFUNCTION("""COMPUTED_VALUE"""),2524.95)</f>
        <v>2524.95</v>
      </c>
      <c r="D53" s="6">
        <f>IFERROR(__xludf.DUMMYFUNCTION("""COMPUTED_VALUE"""),2387.4)</f>
        <v>2387.4</v>
      </c>
      <c r="E53" s="6">
        <f>IFERROR(__xludf.DUMMYFUNCTION("""COMPUTED_VALUE"""),2517.45)</f>
        <v>2517.45</v>
      </c>
      <c r="F53" s="6">
        <f>IFERROR(__xludf.DUMMYFUNCTION("""COMPUTED_VALUE"""),1983455.0)</f>
        <v>1983455</v>
      </c>
    </row>
    <row r="54">
      <c r="A54" s="7">
        <f>IFERROR(__xludf.DUMMYFUNCTION("""COMPUTED_VALUE"""),45555.64583333333)</f>
        <v>45555.64583</v>
      </c>
      <c r="B54" s="6">
        <f>IFERROR(__xludf.DUMMYFUNCTION("""COMPUTED_VALUE"""),2517.45)</f>
        <v>2517.45</v>
      </c>
      <c r="C54" s="6">
        <f>IFERROR(__xludf.DUMMYFUNCTION("""COMPUTED_VALUE"""),2533.5)</f>
        <v>2533.5</v>
      </c>
      <c r="D54" s="6">
        <f>IFERROR(__xludf.DUMMYFUNCTION("""COMPUTED_VALUE"""),2413.4)</f>
        <v>2413.4</v>
      </c>
      <c r="E54" s="6">
        <f>IFERROR(__xludf.DUMMYFUNCTION("""COMPUTED_VALUE"""),2443.2)</f>
        <v>2443.2</v>
      </c>
      <c r="F54" s="6">
        <f>IFERROR(__xludf.DUMMYFUNCTION("""COMPUTED_VALUE"""),1486130.0)</f>
        <v>1486130</v>
      </c>
    </row>
    <row r="55">
      <c r="A55" s="7">
        <f>IFERROR(__xludf.DUMMYFUNCTION("""COMPUTED_VALUE"""),45562.64583333333)</f>
        <v>45562.64583</v>
      </c>
      <c r="B55" s="6">
        <f>IFERROR(__xludf.DUMMYFUNCTION("""COMPUTED_VALUE"""),2458.4)</f>
        <v>2458.4</v>
      </c>
      <c r="C55" s="6">
        <f>IFERROR(__xludf.DUMMYFUNCTION("""COMPUTED_VALUE"""),2514.85)</f>
        <v>2514.85</v>
      </c>
      <c r="D55" s="6">
        <f>IFERROR(__xludf.DUMMYFUNCTION("""COMPUTED_VALUE"""),2427.5)</f>
        <v>2427.5</v>
      </c>
      <c r="E55" s="6">
        <f>IFERROR(__xludf.DUMMYFUNCTION("""COMPUTED_VALUE"""),2483.3)</f>
        <v>2483.3</v>
      </c>
      <c r="F55" s="6">
        <f>IFERROR(__xludf.DUMMYFUNCTION("""COMPUTED_VALUE"""),1614353.0)</f>
        <v>1614353</v>
      </c>
    </row>
    <row r="56">
      <c r="A56" s="7">
        <f>IFERROR(__xludf.DUMMYFUNCTION("""COMPUTED_VALUE"""),45569.64583333333)</f>
        <v>45569.64583</v>
      </c>
      <c r="B56" s="6">
        <f>IFERROR(__xludf.DUMMYFUNCTION("""COMPUTED_VALUE"""),2483.0)</f>
        <v>2483</v>
      </c>
      <c r="C56" s="6">
        <f>IFERROR(__xludf.DUMMYFUNCTION("""COMPUTED_VALUE"""),2544.9)</f>
        <v>2544.9</v>
      </c>
      <c r="D56" s="6">
        <f>IFERROR(__xludf.DUMMYFUNCTION("""COMPUTED_VALUE"""),2415.05)</f>
        <v>2415.05</v>
      </c>
      <c r="E56" s="6">
        <f>IFERROR(__xludf.DUMMYFUNCTION("""COMPUTED_VALUE"""),2433.75)</f>
        <v>2433.75</v>
      </c>
      <c r="F56" s="6">
        <f>IFERROR(__xludf.DUMMYFUNCTION("""COMPUTED_VALUE"""),1205133.0)</f>
        <v>1205133</v>
      </c>
    </row>
    <row r="57">
      <c r="A57" s="7">
        <f>IFERROR(__xludf.DUMMYFUNCTION("""COMPUTED_VALUE"""),45576.64583333333)</f>
        <v>45576.64583</v>
      </c>
      <c r="B57" s="6">
        <f>IFERROR(__xludf.DUMMYFUNCTION("""COMPUTED_VALUE"""),2441.95)</f>
        <v>2441.95</v>
      </c>
      <c r="C57" s="6">
        <f>IFERROR(__xludf.DUMMYFUNCTION("""COMPUTED_VALUE"""),2449.5)</f>
        <v>2449.5</v>
      </c>
      <c r="D57" s="6">
        <f>IFERROR(__xludf.DUMMYFUNCTION("""COMPUTED_VALUE"""),2290.0)</f>
        <v>2290</v>
      </c>
      <c r="E57" s="6">
        <f>IFERROR(__xludf.DUMMYFUNCTION("""COMPUTED_VALUE"""),2312.45)</f>
        <v>2312.45</v>
      </c>
      <c r="F57" s="6">
        <f>IFERROR(__xludf.DUMMYFUNCTION("""COMPUTED_VALUE"""),1804782.0)</f>
        <v>1804782</v>
      </c>
    </row>
    <row r="58">
      <c r="A58" s="7">
        <f>IFERROR(__xludf.DUMMYFUNCTION("""COMPUTED_VALUE"""),45583.64583333333)</f>
        <v>45583.64583</v>
      </c>
      <c r="B58" s="6">
        <f>IFERROR(__xludf.DUMMYFUNCTION("""COMPUTED_VALUE"""),2317.05)</f>
        <v>2317.05</v>
      </c>
      <c r="C58" s="6">
        <f>IFERROR(__xludf.DUMMYFUNCTION("""COMPUTED_VALUE"""),2330.45)</f>
        <v>2330.45</v>
      </c>
      <c r="D58" s="6">
        <f>IFERROR(__xludf.DUMMYFUNCTION("""COMPUTED_VALUE"""),2236.15)</f>
        <v>2236.15</v>
      </c>
      <c r="E58" s="6">
        <f>IFERROR(__xludf.DUMMYFUNCTION("""COMPUTED_VALUE"""),2285.65)</f>
        <v>2285.65</v>
      </c>
      <c r="F58" s="6">
        <f>IFERROR(__xludf.DUMMYFUNCTION("""COMPUTED_VALUE"""),1195795.0)</f>
        <v>1195795</v>
      </c>
    </row>
    <row r="59">
      <c r="A59" s="7">
        <f>IFERROR(__xludf.DUMMYFUNCTION("""COMPUTED_VALUE"""),45590.64583333333)</f>
        <v>45590.64583</v>
      </c>
      <c r="B59" s="6">
        <f>IFERROR(__xludf.DUMMYFUNCTION("""COMPUTED_VALUE"""),2300.0)</f>
        <v>2300</v>
      </c>
      <c r="C59" s="6">
        <f>IFERROR(__xludf.DUMMYFUNCTION("""COMPUTED_VALUE"""),2329.9)</f>
        <v>2329.9</v>
      </c>
      <c r="D59" s="6">
        <f>IFERROR(__xludf.DUMMYFUNCTION("""COMPUTED_VALUE"""),2187.55)</f>
        <v>2187.55</v>
      </c>
      <c r="E59" s="6">
        <f>IFERROR(__xludf.DUMMYFUNCTION("""COMPUTED_VALUE"""),2237.8)</f>
        <v>2237.8</v>
      </c>
      <c r="F59" s="6">
        <f>IFERROR(__xludf.DUMMYFUNCTION("""COMPUTED_VALUE"""),2173818.0)</f>
        <v>2173818</v>
      </c>
    </row>
    <row r="60">
      <c r="A60" s="7">
        <f>IFERROR(__xludf.DUMMYFUNCTION("""COMPUTED_VALUE"""),45604.64583333333)</f>
        <v>45604.64583</v>
      </c>
      <c r="B60" s="6">
        <f>IFERROR(__xludf.DUMMYFUNCTION("""COMPUTED_VALUE"""),2327.9)</f>
        <v>2327.9</v>
      </c>
      <c r="C60" s="6">
        <f>IFERROR(__xludf.DUMMYFUNCTION("""COMPUTED_VALUE"""),2367.0)</f>
        <v>2367</v>
      </c>
      <c r="D60" s="6">
        <f>IFERROR(__xludf.DUMMYFUNCTION("""COMPUTED_VALUE"""),2276.0)</f>
        <v>2276</v>
      </c>
      <c r="E60" s="6">
        <f>IFERROR(__xludf.DUMMYFUNCTION("""COMPUTED_VALUE"""),2291.4)</f>
        <v>2291.4</v>
      </c>
      <c r="F60" s="6">
        <f>IFERROR(__xludf.DUMMYFUNCTION("""COMPUTED_VALUE"""),835991.0)</f>
        <v>835991</v>
      </c>
    </row>
    <row r="61">
      <c r="A61" s="7">
        <f>IFERROR(__xludf.DUMMYFUNCTION("""COMPUTED_VALUE"""),45610.64583333333)</f>
        <v>45610.64583</v>
      </c>
      <c r="B61" s="6">
        <f>IFERROR(__xludf.DUMMYFUNCTION("""COMPUTED_VALUE"""),2288.0)</f>
        <v>2288</v>
      </c>
      <c r="C61" s="6">
        <f>IFERROR(__xludf.DUMMYFUNCTION("""COMPUTED_VALUE"""),2295.85)</f>
        <v>2295.85</v>
      </c>
      <c r="D61" s="6">
        <f>IFERROR(__xludf.DUMMYFUNCTION("""COMPUTED_VALUE"""),2178.05)</f>
        <v>2178.05</v>
      </c>
      <c r="E61" s="6">
        <f>IFERROR(__xludf.DUMMYFUNCTION("""COMPUTED_VALUE"""),2188.15)</f>
        <v>2188.15</v>
      </c>
      <c r="F61" s="6">
        <f>IFERROR(__xludf.DUMMYFUNCTION("""COMPUTED_VALUE"""),563374.0)</f>
        <v>563374</v>
      </c>
    </row>
    <row r="62">
      <c r="A62" s="7">
        <f>IFERROR(__xludf.DUMMYFUNCTION("""COMPUTED_VALUE"""),45618.64583333333)</f>
        <v>45618.64583</v>
      </c>
      <c r="B62" s="6">
        <f>IFERROR(__xludf.DUMMYFUNCTION("""COMPUTED_VALUE"""),2200.0)</f>
        <v>2200</v>
      </c>
      <c r="C62" s="6">
        <f>IFERROR(__xludf.DUMMYFUNCTION("""COMPUTED_VALUE"""),2231.55)</f>
        <v>2231.55</v>
      </c>
      <c r="D62" s="6">
        <f>IFERROR(__xludf.DUMMYFUNCTION("""COMPUTED_VALUE"""),1868.2)</f>
        <v>1868.2</v>
      </c>
      <c r="E62" s="6">
        <f>IFERROR(__xludf.DUMMYFUNCTION("""COMPUTED_VALUE"""),2089.6)</f>
        <v>2089.6</v>
      </c>
      <c r="F62" s="6">
        <f>IFERROR(__xludf.DUMMYFUNCTION("""COMPUTED_VALUE"""),4897502.0)</f>
        <v>4897502</v>
      </c>
    </row>
    <row r="63">
      <c r="A63" s="7">
        <f>IFERROR(__xludf.DUMMYFUNCTION("""COMPUTED_VALUE"""),45625.64583333333)</f>
        <v>45625.64583</v>
      </c>
      <c r="B63" s="6">
        <f>IFERROR(__xludf.DUMMYFUNCTION("""COMPUTED_VALUE"""),2130.05)</f>
        <v>2130.05</v>
      </c>
      <c r="C63" s="6">
        <f>IFERROR(__xludf.DUMMYFUNCTION("""COMPUTED_VALUE"""),2238.4)</f>
        <v>2238.4</v>
      </c>
      <c r="D63" s="6">
        <f>IFERROR(__xludf.DUMMYFUNCTION("""COMPUTED_VALUE"""),2094.95)</f>
        <v>2094.95</v>
      </c>
      <c r="E63" s="6">
        <f>IFERROR(__xludf.DUMMYFUNCTION("""COMPUTED_VALUE"""),2222.55)</f>
        <v>2222.55</v>
      </c>
      <c r="F63" s="6">
        <f>IFERROR(__xludf.DUMMYFUNCTION("""COMPUTED_VALUE"""),2755199.0)</f>
        <v>2755199</v>
      </c>
    </row>
    <row r="64">
      <c r="A64" s="7">
        <f>IFERROR(__xludf.DUMMYFUNCTION("""COMPUTED_VALUE"""),45632.64583333333)</f>
        <v>45632.64583</v>
      </c>
      <c r="B64" s="6">
        <f>IFERROR(__xludf.DUMMYFUNCTION("""COMPUTED_VALUE"""),2239.9)</f>
        <v>2239.9</v>
      </c>
      <c r="C64" s="6">
        <f>IFERROR(__xludf.DUMMYFUNCTION("""COMPUTED_VALUE"""),2314.9)</f>
        <v>2314.9</v>
      </c>
      <c r="D64" s="6">
        <f>IFERROR(__xludf.DUMMYFUNCTION("""COMPUTED_VALUE"""),2212.35)</f>
        <v>2212.35</v>
      </c>
      <c r="E64" s="6">
        <f>IFERROR(__xludf.DUMMYFUNCTION("""COMPUTED_VALUE"""),2258.35)</f>
        <v>2258.35</v>
      </c>
      <c r="F64" s="6">
        <f>IFERROR(__xludf.DUMMYFUNCTION("""COMPUTED_VALUE"""),2200677.0)</f>
        <v>2200677</v>
      </c>
    </row>
    <row r="65">
      <c r="A65" s="7">
        <f>IFERROR(__xludf.DUMMYFUNCTION("""COMPUTED_VALUE"""),45639.64583333333)</f>
        <v>45639.64583</v>
      </c>
      <c r="B65" s="6">
        <f>IFERROR(__xludf.DUMMYFUNCTION("""COMPUTED_VALUE"""),2258.35)</f>
        <v>2258.35</v>
      </c>
      <c r="C65" s="6">
        <f>IFERROR(__xludf.DUMMYFUNCTION("""COMPUTED_VALUE"""),2295.0)</f>
        <v>2295</v>
      </c>
      <c r="D65" s="6">
        <f>IFERROR(__xludf.DUMMYFUNCTION("""COMPUTED_VALUE"""),2195.0)</f>
        <v>2195</v>
      </c>
      <c r="E65" s="6">
        <f>IFERROR(__xludf.DUMMYFUNCTION("""COMPUTED_VALUE"""),2248.05)</f>
        <v>2248.05</v>
      </c>
      <c r="F65" s="6">
        <f>IFERROR(__xludf.DUMMYFUNCTION("""COMPUTED_VALUE"""),1385148.0)</f>
        <v>1385148</v>
      </c>
    </row>
    <row r="66">
      <c r="A66" s="7">
        <f>IFERROR(__xludf.DUMMYFUNCTION("""COMPUTED_VALUE"""),45646.64583333333)</f>
        <v>45646.64583</v>
      </c>
      <c r="B66" s="6">
        <f>IFERROR(__xludf.DUMMYFUNCTION("""COMPUTED_VALUE"""),2253.0)</f>
        <v>2253</v>
      </c>
      <c r="C66" s="6">
        <f>IFERROR(__xludf.DUMMYFUNCTION("""COMPUTED_VALUE"""),2268.9)</f>
        <v>2268.9</v>
      </c>
      <c r="D66" s="6">
        <f>IFERROR(__xludf.DUMMYFUNCTION("""COMPUTED_VALUE"""),2051.2)</f>
        <v>2051.2</v>
      </c>
      <c r="E66" s="6">
        <f>IFERROR(__xludf.DUMMYFUNCTION("""COMPUTED_VALUE"""),2063.65)</f>
        <v>2063.65</v>
      </c>
      <c r="F66" s="6">
        <f>IFERROR(__xludf.DUMMYFUNCTION("""COMPUTED_VALUE"""),1353226.0)</f>
        <v>1353226</v>
      </c>
    </row>
    <row r="67">
      <c r="A67" s="7">
        <f>IFERROR(__xludf.DUMMYFUNCTION("""COMPUTED_VALUE"""),45653.64583333333)</f>
        <v>45653.64583</v>
      </c>
      <c r="B67" s="6">
        <f>IFERROR(__xludf.DUMMYFUNCTION("""COMPUTED_VALUE"""),2080.0)</f>
        <v>2080</v>
      </c>
      <c r="C67" s="6">
        <f>IFERROR(__xludf.DUMMYFUNCTION("""COMPUTED_VALUE"""),2109.8)</f>
        <v>2109.8</v>
      </c>
      <c r="D67" s="6">
        <f>IFERROR(__xludf.DUMMYFUNCTION("""COMPUTED_VALUE"""),2051.05)</f>
        <v>2051.05</v>
      </c>
      <c r="E67" s="6">
        <f>IFERROR(__xludf.DUMMYFUNCTION("""COMPUTED_VALUE"""),2065.6)</f>
        <v>2065.6</v>
      </c>
      <c r="F67" s="6">
        <f>IFERROR(__xludf.DUMMYFUNCTION("""COMPUTED_VALUE"""),603463.0)</f>
        <v>603463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IFERROR(__xludf.DUMMYFUNCTION("""COMPUTED_VALUE"""),2065.6)</f>
        <v>2065.6</v>
      </c>
      <c r="C68" s="6">
        <f>IFERROR(__xludf.DUMMYFUNCTION("""COMPUTED_VALUE"""),2106.95)</f>
        <v>2106.95</v>
      </c>
      <c r="D68" s="6">
        <f>IFERROR(__xludf.DUMMYFUNCTION("""COMPUTED_VALUE"""),2030.4)</f>
        <v>2030.4</v>
      </c>
      <c r="E68" s="6">
        <f>IFERROR(__xludf.DUMMYFUNCTION("""COMPUTED_VALUE"""),2054.95)</f>
        <v>2054.95</v>
      </c>
      <c r="F68" s="6">
        <f>IFERROR(__xludf.DUMMYFUNCTION("""COMPUTED_VALUE"""),1036672.0)</f>
        <v>1036672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IFERROR(__xludf.DUMMYFUNCTION("""COMPUTED_VALUE"""),2060.3)</f>
        <v>2060.3</v>
      </c>
      <c r="C69" s="6">
        <f>IFERROR(__xludf.DUMMYFUNCTION("""COMPUTED_VALUE"""),2060.85)</f>
        <v>2060.85</v>
      </c>
      <c r="D69" s="6">
        <f>IFERROR(__xludf.DUMMYFUNCTION("""COMPUTED_VALUE"""),1924.15)</f>
        <v>1924.15</v>
      </c>
      <c r="E69" s="6">
        <f>IFERROR(__xludf.DUMMYFUNCTION("""COMPUTED_VALUE"""),1931.05)</f>
        <v>1931.05</v>
      </c>
      <c r="F69" s="6">
        <f>IFERROR(__xludf.DUMMYFUNCTION("""COMPUTED_VALUE"""),1401449.0)</f>
        <v>1401449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IFERROR(__xludf.DUMMYFUNCTION("""COMPUTED_VALUE"""),1925.0)</f>
        <v>1925</v>
      </c>
      <c r="C70" s="6">
        <f>IFERROR(__xludf.DUMMYFUNCTION("""COMPUTED_VALUE"""),2054.65)</f>
        <v>2054.65</v>
      </c>
      <c r="D70" s="6">
        <f>IFERROR(__xludf.DUMMYFUNCTION("""COMPUTED_VALUE"""),1838.6)</f>
        <v>1838.6</v>
      </c>
      <c r="E70" s="6">
        <f>IFERROR(__xludf.DUMMYFUNCTION("""COMPUTED_VALUE"""),2014.9)</f>
        <v>2014.9</v>
      </c>
      <c r="F70" s="6">
        <f>IFERROR(__xludf.DUMMYFUNCTION("""COMPUTED_VALUE"""),1750375.0)</f>
        <v>1750375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IFERROR(__xludf.DUMMYFUNCTION("""COMPUTED_VALUE"""),2015.9)</f>
        <v>2015.9</v>
      </c>
      <c r="C71" s="6">
        <f>IFERROR(__xludf.DUMMYFUNCTION("""COMPUTED_VALUE"""),2065.5)</f>
        <v>2065.5</v>
      </c>
      <c r="D71" s="6">
        <f>IFERROR(__xludf.DUMMYFUNCTION("""COMPUTED_VALUE"""),1970.0)</f>
        <v>1970</v>
      </c>
      <c r="E71" s="6">
        <f>IFERROR(__xludf.DUMMYFUNCTION("""COMPUTED_VALUE"""),2058.95)</f>
        <v>2058.95</v>
      </c>
      <c r="F71" s="6">
        <f>IFERROR(__xludf.DUMMYFUNCTION("""COMPUTED_VALUE"""),1244968.0)</f>
        <v>1244968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IFERROR(__xludf.DUMMYFUNCTION("""COMPUTED_VALUE"""),1990.0)</f>
        <v>1990</v>
      </c>
      <c r="C72" s="6">
        <f>IFERROR(__xludf.DUMMYFUNCTION("""COMPUTED_VALUE"""),2064.65)</f>
        <v>2064.65</v>
      </c>
      <c r="D72" s="6">
        <f>IFERROR(__xludf.DUMMYFUNCTION("""COMPUTED_VALUE"""),1954.55)</f>
        <v>1954.55</v>
      </c>
      <c r="E72" s="6">
        <f>IFERROR(__xludf.DUMMYFUNCTION("""COMPUTED_VALUE"""),1999.1)</f>
        <v>1999.1</v>
      </c>
      <c r="F72" s="6">
        <f>IFERROR(__xludf.DUMMYFUNCTION("""COMPUTED_VALUE"""),1335247.0)</f>
        <v>1335247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IFERROR(__xludf.DUMMYFUNCTION("""COMPUTED_VALUE"""),2007.0)</f>
        <v>2007</v>
      </c>
      <c r="C73" s="6">
        <f>IFERROR(__xludf.DUMMYFUNCTION("""COMPUTED_VALUE"""),2008.9)</f>
        <v>2008.9</v>
      </c>
      <c r="D73" s="6">
        <f>IFERROR(__xludf.DUMMYFUNCTION("""COMPUTED_VALUE"""),1854.05)</f>
        <v>1854.05</v>
      </c>
      <c r="E73" s="6">
        <f>IFERROR(__xludf.DUMMYFUNCTION("""COMPUTED_VALUE"""),1873.95)</f>
        <v>1873.95</v>
      </c>
      <c r="F73" s="6">
        <f>IFERROR(__xludf.DUMMYFUNCTION("""COMPUTED_VALUE"""),830267.0)</f>
        <v>830267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IFERROR(__xludf.DUMMYFUNCTION("""COMPUTED_VALUE"""),1873.95)</f>
        <v>1873.95</v>
      </c>
      <c r="C74" s="6">
        <f>IFERROR(__xludf.DUMMYFUNCTION("""COMPUTED_VALUE"""),1916.0)</f>
        <v>1916</v>
      </c>
      <c r="D74" s="6">
        <f>IFERROR(__xludf.DUMMYFUNCTION("""COMPUTED_VALUE"""),1820.6)</f>
        <v>1820.6</v>
      </c>
      <c r="E74" s="6">
        <f>IFERROR(__xludf.DUMMYFUNCTION("""COMPUTED_VALUE"""),1884.0)</f>
        <v>1884</v>
      </c>
      <c r="F74" s="6">
        <f>IFERROR(__xludf.DUMMYFUNCTION("""COMPUTED_VALUE"""),1883280.0)</f>
        <v>1883280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IFERROR(__xludf.DUMMYFUNCTION("""COMPUTED_VALUE"""),1881.0)</f>
        <v>1881</v>
      </c>
      <c r="C75" s="6">
        <f>IFERROR(__xludf.DUMMYFUNCTION("""COMPUTED_VALUE"""),1886.45)</f>
        <v>1886.45</v>
      </c>
      <c r="D75" s="6">
        <f>IFERROR(__xludf.DUMMYFUNCTION("""COMPUTED_VALUE"""),1796.0)</f>
        <v>1796</v>
      </c>
      <c r="E75" s="6">
        <f>IFERROR(__xludf.DUMMYFUNCTION("""COMPUTED_VALUE"""),1818.55)</f>
        <v>1818.55</v>
      </c>
      <c r="F75" s="6">
        <f>IFERROR(__xludf.DUMMYFUNCTION("""COMPUTED_VALUE"""),809439.0)</f>
        <v>809439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IFERROR(__xludf.DUMMYFUNCTION("""COMPUTED_VALUE"""),1818.55)</f>
        <v>1818.55</v>
      </c>
      <c r="C76" s="6">
        <f>IFERROR(__xludf.DUMMYFUNCTION("""COMPUTED_VALUE"""),1898.7)</f>
        <v>1898.7</v>
      </c>
      <c r="D76" s="6">
        <f>IFERROR(__xludf.DUMMYFUNCTION("""COMPUTED_VALUE"""),1778.45)</f>
        <v>1778.45</v>
      </c>
      <c r="E76" s="6">
        <f>IFERROR(__xludf.DUMMYFUNCTION("""COMPUTED_VALUE"""),1885.75)</f>
        <v>1885.75</v>
      </c>
      <c r="F76" s="6">
        <f>IFERROR(__xludf.DUMMYFUNCTION("""COMPUTED_VALUE"""),1308674.0)</f>
        <v>1308674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IFERROR(__xludf.DUMMYFUNCTION("""COMPUTED_VALUE"""),1887.95)</f>
        <v>1887.95</v>
      </c>
      <c r="C77" s="6">
        <f>IFERROR(__xludf.DUMMYFUNCTION("""COMPUTED_VALUE"""),1918.0)</f>
        <v>1918</v>
      </c>
      <c r="D77" s="6">
        <f>IFERROR(__xludf.DUMMYFUNCTION("""COMPUTED_VALUE"""),1826.0)</f>
        <v>1826</v>
      </c>
      <c r="E77" s="6">
        <f>IFERROR(__xludf.DUMMYFUNCTION("""COMPUTED_VALUE"""),1854.0)</f>
        <v>1854</v>
      </c>
      <c r="F77" s="6">
        <f>IFERROR(__xludf.DUMMYFUNCTION("""COMPUTED_VALUE"""),1363473.0)</f>
        <v>1363473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IFERROR(__xludf.DUMMYFUNCTION("""COMPUTED_VALUE"""),1856.95)</f>
        <v>1856.95</v>
      </c>
      <c r="C78" s="6">
        <f>IFERROR(__xludf.DUMMYFUNCTION("""COMPUTED_VALUE"""),1921.0)</f>
        <v>1921</v>
      </c>
      <c r="D78" s="6">
        <f>IFERROR(__xludf.DUMMYFUNCTION("""COMPUTED_VALUE"""),1856.0)</f>
        <v>1856</v>
      </c>
      <c r="E78" s="6">
        <f>IFERROR(__xludf.DUMMYFUNCTION("""COMPUTED_VALUE"""),1915.65)</f>
        <v>1915.65</v>
      </c>
      <c r="F78" s="6">
        <f>IFERROR(__xludf.DUMMYFUNCTION("""COMPUTED_VALUE"""),1572865.0)</f>
        <v>1572865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IFERROR(__xludf.DUMMYFUNCTION("""COMPUTED_VALUE"""),1924.0)</f>
        <v>1924</v>
      </c>
      <c r="C79" s="6">
        <f>IFERROR(__xludf.DUMMYFUNCTION("""COMPUTED_VALUE"""),1987.3)</f>
        <v>1987.3</v>
      </c>
      <c r="D79" s="6">
        <f>IFERROR(__xludf.DUMMYFUNCTION("""COMPUTED_VALUE"""),1911.05)</f>
        <v>1911.05</v>
      </c>
      <c r="E79" s="6">
        <f>IFERROR(__xludf.DUMMYFUNCTION("""COMPUTED_VALUE"""),1942.65)</f>
        <v>1942.65</v>
      </c>
      <c r="F79" s="6">
        <f>IFERROR(__xludf.DUMMYFUNCTION("""COMPUTED_VALUE"""),1636175.0)</f>
        <v>1636175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IFERROR(__xludf.DUMMYFUNCTION("""COMPUTED_VALUE"""),1943.95)</f>
        <v>1943.95</v>
      </c>
      <c r="C80" s="6">
        <f>IFERROR(__xludf.DUMMYFUNCTION("""COMPUTED_VALUE"""),1999.0)</f>
        <v>1999</v>
      </c>
      <c r="D80" s="6">
        <f>IFERROR(__xludf.DUMMYFUNCTION("""COMPUTED_VALUE"""),1929.0)</f>
        <v>1929</v>
      </c>
      <c r="E80" s="6">
        <f>IFERROR(__xludf.DUMMYFUNCTION("""COMPUTED_VALUE"""),1966.3)</f>
        <v>1966.3</v>
      </c>
      <c r="F80" s="6">
        <f>IFERROR(__xludf.DUMMYFUNCTION("""COMPUTED_VALUE"""),599690.0)</f>
        <v>599690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IFERROR(__xludf.DUMMYFUNCTION("""COMPUTED_VALUE"""),1900.0)</f>
        <v>1900</v>
      </c>
      <c r="C81" s="6">
        <f>IFERROR(__xludf.DUMMYFUNCTION("""COMPUTED_VALUE"""),2049.0)</f>
        <v>2049</v>
      </c>
      <c r="D81" s="6">
        <f>IFERROR(__xludf.DUMMYFUNCTION("""COMPUTED_VALUE"""),1874.05)</f>
        <v>1874.05</v>
      </c>
      <c r="E81" s="6">
        <f>IFERROR(__xludf.DUMMYFUNCTION("""COMPUTED_VALUE"""),2007.35)</f>
        <v>2007.35</v>
      </c>
      <c r="F81" s="6">
        <f>IFERROR(__xludf.DUMMYFUNCTION("""COMPUTED_VALUE"""),641003.0)</f>
        <v>641003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IFERROR(__xludf.DUMMYFUNCTION("""COMPUTED_VALUE"""),2017.4)</f>
        <v>2017.4</v>
      </c>
      <c r="C82" s="6">
        <f>IFERROR(__xludf.DUMMYFUNCTION("""COMPUTED_VALUE"""),2066.0)</f>
        <v>2066</v>
      </c>
      <c r="D82" s="6">
        <f>IFERROR(__xludf.DUMMYFUNCTION("""COMPUTED_VALUE"""),2008.8)</f>
        <v>2008.8</v>
      </c>
      <c r="E82" s="6">
        <f>IFERROR(__xludf.DUMMYFUNCTION("""COMPUTED_VALUE"""),2061.7)</f>
        <v>2061.7</v>
      </c>
      <c r="F82" s="6">
        <f>IFERROR(__xludf.DUMMYFUNCTION("""COMPUTED_VALUE"""),483512.0)</f>
        <v>483512</v>
      </c>
    </row>
    <row r="83">
      <c r="A83" s="7">
        <f>IFERROR(__xludf.DUMMYFUNCTION("""COMPUTED_VALUE"""),45772.64583333333)</f>
        <v>45772.64583</v>
      </c>
      <c r="B83" s="6">
        <f>IFERROR(__xludf.DUMMYFUNCTION("""COMPUTED_VALUE"""),2061.7)</f>
        <v>2061.7</v>
      </c>
      <c r="C83" s="6">
        <f>IFERROR(__xludf.DUMMYFUNCTION("""COMPUTED_VALUE"""),2119.9)</f>
        <v>2119.9</v>
      </c>
      <c r="D83" s="6">
        <f>IFERROR(__xludf.DUMMYFUNCTION("""COMPUTED_VALUE"""),1931.0)</f>
        <v>1931</v>
      </c>
      <c r="E83" s="6">
        <f>IFERROR(__xludf.DUMMYFUNCTION("""COMPUTED_VALUE"""),1938.0)</f>
        <v>1938</v>
      </c>
      <c r="F83" s="6">
        <f>IFERROR(__xludf.DUMMYFUNCTION("""COMPUTED_VALUE"""),3456992.0)</f>
        <v>3456992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IFERROR(__xludf.DUMMYFUNCTION("""COMPUTED_VALUE"""),1940.0)</f>
        <v>1940</v>
      </c>
      <c r="C84" s="6">
        <f>IFERROR(__xludf.DUMMYFUNCTION("""COMPUTED_VALUE"""),1948.9)</f>
        <v>1948.9</v>
      </c>
      <c r="D84" s="6">
        <f>IFERROR(__xludf.DUMMYFUNCTION("""COMPUTED_VALUE"""),1860.5)</f>
        <v>1860.5</v>
      </c>
      <c r="E84" s="6">
        <f>IFERROR(__xludf.DUMMYFUNCTION("""COMPUTED_VALUE"""),1864.1)</f>
        <v>1864.1</v>
      </c>
      <c r="F84" s="6">
        <f>IFERROR(__xludf.DUMMYFUNCTION("""COMPUTED_VALUE"""),2208888.0)</f>
        <v>2208888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IFERROR(__xludf.DUMMYFUNCTION("""COMPUTED_VALUE"""),1868.0)</f>
        <v>1868</v>
      </c>
      <c r="C85" s="6">
        <f>IFERROR(__xludf.DUMMYFUNCTION("""COMPUTED_VALUE"""),1910.0)</f>
        <v>1910</v>
      </c>
      <c r="D85" s="6">
        <f>IFERROR(__xludf.DUMMYFUNCTION("""COMPUTED_VALUE"""),1779.0)</f>
        <v>1779</v>
      </c>
      <c r="E85" s="6">
        <f>IFERROR(__xludf.DUMMYFUNCTION("""COMPUTED_VALUE"""),1811.6)</f>
        <v>1811.6</v>
      </c>
      <c r="F85" s="6">
        <f>IFERROR(__xludf.DUMMYFUNCTION("""COMPUTED_VALUE"""),3599178.0)</f>
        <v>3599178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IFERROR(__xludf.DUMMYFUNCTION("""COMPUTED_VALUE"""),1849.0)</f>
        <v>1849</v>
      </c>
      <c r="C86" s="6">
        <f>IFERROR(__xludf.DUMMYFUNCTION("""COMPUTED_VALUE"""),1933.5)</f>
        <v>1933.5</v>
      </c>
      <c r="D86" s="6">
        <f>IFERROR(__xludf.DUMMYFUNCTION("""COMPUTED_VALUE"""),1841.1)</f>
        <v>1841.1</v>
      </c>
      <c r="E86" s="6">
        <f>IFERROR(__xludf.DUMMYFUNCTION("""COMPUTED_VALUE"""),1928.4)</f>
        <v>1928.4</v>
      </c>
      <c r="F86" s="6">
        <f>IFERROR(__xludf.DUMMYFUNCTION("""COMPUTED_VALUE"""),2851430.0)</f>
        <v>2851430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IFERROR(__xludf.DUMMYFUNCTION("""COMPUTED_VALUE"""),1936.0)</f>
        <v>1936</v>
      </c>
      <c r="C87" s="6">
        <f>IFERROR(__xludf.DUMMYFUNCTION("""COMPUTED_VALUE"""),1967.5)</f>
        <v>1967.5</v>
      </c>
      <c r="D87" s="6">
        <f>IFERROR(__xludf.DUMMYFUNCTION("""COMPUTED_VALUE"""),1910.0)</f>
        <v>1910</v>
      </c>
      <c r="E87" s="6">
        <f>IFERROR(__xludf.DUMMYFUNCTION("""COMPUTED_VALUE"""),1959.4)</f>
        <v>1959.4</v>
      </c>
      <c r="F87" s="6">
        <f>IFERROR(__xludf.DUMMYFUNCTION("""COMPUTED_VALUE"""),1571093.0)</f>
        <v>1571093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IFERROR(__xludf.DUMMYFUNCTION("""COMPUTED_VALUE"""),1968.0)</f>
        <v>1968</v>
      </c>
      <c r="C88" s="6">
        <f>IFERROR(__xludf.DUMMYFUNCTION("""COMPUTED_VALUE"""),1972.9)</f>
        <v>1972.9</v>
      </c>
      <c r="D88" s="6">
        <f>IFERROR(__xludf.DUMMYFUNCTION("""COMPUTED_VALUE"""),1873.0)</f>
        <v>1873</v>
      </c>
      <c r="E88" s="6">
        <f>IFERROR(__xludf.DUMMYFUNCTION("""COMPUTED_VALUE"""),1882.8)</f>
        <v>1882.8</v>
      </c>
      <c r="F88" s="6">
        <f>IFERROR(__xludf.DUMMYFUNCTION("""COMPUTED_VALUE"""),1108799.0)</f>
        <v>1108799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IFERROR(__xludf.DUMMYFUNCTION("""COMPUTED_VALUE"""),1893.9)</f>
        <v>1893.9</v>
      </c>
      <c r="C89" s="6">
        <f>IFERROR(__xludf.DUMMYFUNCTION("""COMPUTED_VALUE"""),1913.0)</f>
        <v>1913</v>
      </c>
      <c r="D89" s="6">
        <f>IFERROR(__xludf.DUMMYFUNCTION("""COMPUTED_VALUE"""),1860.4)</f>
        <v>1860.4</v>
      </c>
      <c r="E89" s="6">
        <f>IFERROR(__xludf.DUMMYFUNCTION("""COMPUTED_VALUE"""),1904.3)</f>
        <v>1904.3</v>
      </c>
      <c r="F89" s="6">
        <f>IFERROR(__xludf.DUMMYFUNCTION("""COMPUTED_VALUE"""),1159249.0)</f>
        <v>1159249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IFERROR(__xludf.DUMMYFUNCTION("""COMPUTED_VALUE"""),1905.5)</f>
        <v>1905.5</v>
      </c>
      <c r="C90" s="6">
        <f>IFERROR(__xludf.DUMMYFUNCTION("""COMPUTED_VALUE"""),1927.0)</f>
        <v>1927</v>
      </c>
      <c r="D90" s="6">
        <f>IFERROR(__xludf.DUMMYFUNCTION("""COMPUTED_VALUE"""),1829.0)</f>
        <v>1829</v>
      </c>
      <c r="E90" s="6">
        <f>IFERROR(__xludf.DUMMYFUNCTION("""COMPUTED_VALUE"""),1846.2)</f>
        <v>1846.2</v>
      </c>
      <c r="F90" s="6">
        <f>IFERROR(__xludf.DUMMYFUNCTION("""COMPUTED_VALUE"""),1666383.0)</f>
        <v>1666383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IFERROR(__xludf.DUMMYFUNCTION("""COMPUTED_VALUE"""),1849.0)</f>
        <v>1849</v>
      </c>
      <c r="C91" s="6">
        <f>IFERROR(__xludf.DUMMYFUNCTION("""COMPUTED_VALUE"""),1876.9)</f>
        <v>1876.9</v>
      </c>
      <c r="D91" s="6">
        <f>IFERROR(__xludf.DUMMYFUNCTION("""COMPUTED_VALUE"""),1813.4)</f>
        <v>1813.4</v>
      </c>
      <c r="E91" s="6">
        <f>IFERROR(__xludf.DUMMYFUNCTION("""COMPUTED_VALUE"""),1823.0)</f>
        <v>1823</v>
      </c>
      <c r="F91" s="6">
        <f>IFERROR(__xludf.DUMMYFUNCTION("""COMPUTED_VALUE"""),1899642.0)</f>
        <v>1899642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IFERROR(__xludf.DUMMYFUNCTION("""COMPUTED_VALUE"""),1822.0)</f>
        <v>1822</v>
      </c>
      <c r="C92" s="6">
        <f>IFERROR(__xludf.DUMMYFUNCTION("""COMPUTED_VALUE"""),1935.1)</f>
        <v>1935.1</v>
      </c>
      <c r="D92" s="6">
        <f>IFERROR(__xludf.DUMMYFUNCTION("""COMPUTED_VALUE"""),1814.0)</f>
        <v>1814</v>
      </c>
      <c r="E92" s="6">
        <f>IFERROR(__xludf.DUMMYFUNCTION("""COMPUTED_VALUE"""),1920.2)</f>
        <v>1920.2</v>
      </c>
      <c r="F92" s="6">
        <f>IFERROR(__xludf.DUMMYFUNCTION("""COMPUTED_VALUE"""),2763716.0)</f>
        <v>2763716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IFERROR(__xludf.DUMMYFUNCTION("""COMPUTED_VALUE"""),1924.0)</f>
        <v>1924</v>
      </c>
      <c r="C93" s="6">
        <f>IFERROR(__xludf.DUMMYFUNCTION("""COMPUTED_VALUE"""),1991.0)</f>
        <v>1991</v>
      </c>
      <c r="D93" s="6">
        <f>IFERROR(__xludf.DUMMYFUNCTION("""COMPUTED_VALUE"""),1906.9)</f>
        <v>1906.9</v>
      </c>
      <c r="E93" s="6">
        <f>IFERROR(__xludf.DUMMYFUNCTION("""COMPUTED_VALUE"""),1965.0)</f>
        <v>1965</v>
      </c>
      <c r="F93" s="6">
        <f>IFERROR(__xludf.DUMMYFUNCTION("""COMPUTED_VALUE"""),2088270.0)</f>
        <v>2088270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IFERROR(__xludf.DUMMYFUNCTION("""COMPUTED_VALUE"""),1965.0)</f>
        <v>1965</v>
      </c>
      <c r="C94" s="6">
        <f>IFERROR(__xludf.DUMMYFUNCTION("""COMPUTED_VALUE"""),2028.8)</f>
        <v>2028.8</v>
      </c>
      <c r="D94" s="6">
        <f>IFERROR(__xludf.DUMMYFUNCTION("""COMPUTED_VALUE"""),1942.5)</f>
        <v>1942.5</v>
      </c>
      <c r="E94" s="6">
        <f>IFERROR(__xludf.DUMMYFUNCTION("""COMPUTED_VALUE"""),1982.5)</f>
        <v>1982.5</v>
      </c>
      <c r="F94" s="6">
        <f>IFERROR(__xludf.DUMMYFUNCTION("""COMPUTED_VALUE"""),1542624.0)</f>
        <v>1542624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IFERROR(__xludf.DUMMYFUNCTION("""COMPUTED_VALUE"""),1974.0)</f>
        <v>1974</v>
      </c>
      <c r="C95" s="6">
        <f>IFERROR(__xludf.DUMMYFUNCTION("""COMPUTED_VALUE"""),1998.0)</f>
        <v>1998</v>
      </c>
      <c r="D95" s="6">
        <f>IFERROR(__xludf.DUMMYFUNCTION("""COMPUTED_VALUE"""),1960.1)</f>
        <v>1960.1</v>
      </c>
      <c r="E95" s="6">
        <f>IFERROR(__xludf.DUMMYFUNCTION("""COMPUTED_VALUE"""),1969.9)</f>
        <v>1969.9</v>
      </c>
      <c r="F95" s="6">
        <f>IFERROR(__xludf.DUMMYFUNCTION("""COMPUTED_VALUE"""),1199429.0)</f>
        <v>1199429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IFERROR(__xludf.DUMMYFUNCTION("""COMPUTED_VALUE"""),1973.9)</f>
        <v>1973.9</v>
      </c>
      <c r="C96" s="6">
        <f>IFERROR(__xludf.DUMMYFUNCTION("""COMPUTED_VALUE"""),1993.6)</f>
        <v>1993.6</v>
      </c>
      <c r="D96" s="6">
        <f>IFERROR(__xludf.DUMMYFUNCTION("""COMPUTED_VALUE"""),1845.0)</f>
        <v>1845</v>
      </c>
      <c r="E96" s="6">
        <f>IFERROR(__xludf.DUMMYFUNCTION("""COMPUTED_VALUE"""),1847.7)</f>
        <v>1847.7</v>
      </c>
      <c r="F96" s="6">
        <f>IFERROR(__xludf.DUMMYFUNCTION("""COMPUTED_VALUE"""),2934020.0)</f>
        <v>2934020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IFERROR(__xludf.DUMMYFUNCTION("""COMPUTED_VALUE"""),1847.7)</f>
        <v>1847.7</v>
      </c>
      <c r="C97" s="6">
        <f>IFERROR(__xludf.DUMMYFUNCTION("""COMPUTED_VALUE"""),1857.7)</f>
        <v>1857.7</v>
      </c>
      <c r="D97" s="6">
        <f>IFERROR(__xludf.DUMMYFUNCTION("""COMPUTED_VALUE"""),1782.0)</f>
        <v>1782</v>
      </c>
      <c r="E97" s="6">
        <f>IFERROR(__xludf.DUMMYFUNCTION("""COMPUTED_VALUE"""),1794.6)</f>
        <v>1794.6</v>
      </c>
      <c r="F97" s="6">
        <f>IFERROR(__xludf.DUMMYFUNCTION("""COMPUTED_VALUE"""),3734302.0)</f>
        <v>3734302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IFERROR(__xludf.DUMMYFUNCTION("""COMPUTED_VALUE"""),1815.0)</f>
        <v>1815</v>
      </c>
      <c r="C98" s="6">
        <f>IFERROR(__xludf.DUMMYFUNCTION("""COMPUTED_VALUE"""),1838.8)</f>
        <v>1838.8</v>
      </c>
      <c r="D98" s="6">
        <f>IFERROR(__xludf.DUMMYFUNCTION("""COMPUTED_VALUE"""),1780.0)</f>
        <v>1780</v>
      </c>
      <c r="E98" s="6">
        <f>IFERROR(__xludf.DUMMYFUNCTION("""COMPUTED_VALUE"""),1788.2)</f>
        <v>1788.2</v>
      </c>
      <c r="F98" s="6">
        <f>IFERROR(__xludf.DUMMYFUNCTION("""COMPUTED_VALUE"""),2205876.0)</f>
        <v>2205876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IFERROR(__xludf.DUMMYFUNCTION("""COMPUTED_VALUE"""),1794.0)</f>
        <v>1794</v>
      </c>
      <c r="C99" s="6">
        <f>IFERROR(__xludf.DUMMYFUNCTION("""COMPUTED_VALUE"""),1803.0)</f>
        <v>1803</v>
      </c>
      <c r="D99" s="6">
        <f>IFERROR(__xludf.DUMMYFUNCTION("""COMPUTED_VALUE"""),1780.6)</f>
        <v>1780.6</v>
      </c>
      <c r="E99" s="6">
        <f>IFERROR(__xludf.DUMMYFUNCTION("""COMPUTED_VALUE"""),1782.7)</f>
        <v>1782.7</v>
      </c>
      <c r="F99" s="6">
        <f>IFERROR(__xludf.DUMMYFUNCTION("""COMPUTED_VALUE"""),588626.0)</f>
        <v>588626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IFERROR(__xludf.DUMMYFUNCTION("""COMPUTED_VALUE"""),1829.0)</f>
        <v>1829</v>
      </c>
      <c r="C100" s="6">
        <f>IFERROR(__xludf.DUMMYFUNCTION("""COMPUTED_VALUE"""),1873.5)</f>
        <v>1873.5</v>
      </c>
      <c r="D100" s="6">
        <f>IFERROR(__xludf.DUMMYFUNCTION("""COMPUTED_VALUE"""),1811.0)</f>
        <v>1811</v>
      </c>
      <c r="E100" s="6">
        <f>IFERROR(__xludf.DUMMYFUNCTION("""COMPUTED_VALUE"""),1821.1)</f>
        <v>1821.1</v>
      </c>
      <c r="F100" s="6">
        <f>IFERROR(__xludf.DUMMYFUNCTION("""COMPUTED_VALUE"""),1415381.0)</f>
        <v>1415381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IFERROR(__xludf.DUMMYFUNCTION("""COMPUTED_VALUE"""),1819.0)</f>
        <v>1819</v>
      </c>
      <c r="C101" s="6">
        <f>IFERROR(__xludf.DUMMYFUNCTION("""COMPUTED_VALUE"""),1828.3)</f>
        <v>1828.3</v>
      </c>
      <c r="D101" s="6">
        <f>IFERROR(__xludf.DUMMYFUNCTION("""COMPUTED_VALUE"""),1795.7)</f>
        <v>1795.7</v>
      </c>
      <c r="E101" s="6">
        <f>IFERROR(__xludf.DUMMYFUNCTION("""COMPUTED_VALUE"""),1798.5)</f>
        <v>1798.5</v>
      </c>
      <c r="F101" s="6">
        <f>IFERROR(__xludf.DUMMYFUNCTION("""COMPUTED_VALUE"""),3261044.0)</f>
        <v>3261044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IFERROR(__xludf.DUMMYFUNCTION("GOOGLEFINANCE(""NSE:ADANIENSOL"",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IFERROR(__xludf.DUMMYFUNCTION("""COMPUTED_VALUE"""),895.0)</f>
        <v>895</v>
      </c>
      <c r="C2" s="6">
        <f>IFERROR(__xludf.DUMMYFUNCTION("""COMPUTED_VALUE"""),899.0)</f>
        <v>899</v>
      </c>
      <c r="D2" s="6">
        <f>IFERROR(__xludf.DUMMYFUNCTION("""COMPUTED_VALUE"""),791.05)</f>
        <v>791.05</v>
      </c>
      <c r="E2" s="6">
        <f>IFERROR(__xludf.DUMMYFUNCTION("""COMPUTED_VALUE"""),824.9)</f>
        <v>824.9</v>
      </c>
      <c r="F2" s="6">
        <f>IFERROR(__xludf.DUMMYFUNCTION("""COMPUTED_VALUE"""),5910970.0)</f>
        <v>5910970</v>
      </c>
    </row>
    <row r="3">
      <c r="A3" s="7">
        <f>IFERROR(__xludf.DUMMYFUNCTION("""COMPUTED_VALUE"""),45177.64583333333)</f>
        <v>45177.64583</v>
      </c>
      <c r="B3" s="6">
        <f>IFERROR(__xludf.DUMMYFUNCTION("""COMPUTED_VALUE"""),830.0)</f>
        <v>830</v>
      </c>
      <c r="C3" s="6">
        <f>IFERROR(__xludf.DUMMYFUNCTION("""COMPUTED_VALUE"""),859.45)</f>
        <v>859.45</v>
      </c>
      <c r="D3" s="6">
        <f>IFERROR(__xludf.DUMMYFUNCTION("""COMPUTED_VALUE"""),809.0)</f>
        <v>809</v>
      </c>
      <c r="E3" s="6">
        <f>IFERROR(__xludf.DUMMYFUNCTION("""COMPUTED_VALUE"""),833.0)</f>
        <v>833</v>
      </c>
      <c r="F3" s="6">
        <f>IFERROR(__xludf.DUMMYFUNCTION("""COMPUTED_VALUE"""),1.7193646E7)</f>
        <v>17193646</v>
      </c>
    </row>
    <row r="4">
      <c r="A4" s="7">
        <f>IFERROR(__xludf.DUMMYFUNCTION("""COMPUTED_VALUE"""),45184.64583333333)</f>
        <v>45184.64583</v>
      </c>
      <c r="B4" s="6">
        <f>IFERROR(__xludf.DUMMYFUNCTION("""COMPUTED_VALUE"""),843.4)</f>
        <v>843.4</v>
      </c>
      <c r="C4" s="6">
        <f>IFERROR(__xludf.DUMMYFUNCTION("""COMPUTED_VALUE"""),888.75)</f>
        <v>888.75</v>
      </c>
      <c r="D4" s="6">
        <f>IFERROR(__xludf.DUMMYFUNCTION("""COMPUTED_VALUE"""),832.0)</f>
        <v>832</v>
      </c>
      <c r="E4" s="6">
        <f>IFERROR(__xludf.DUMMYFUNCTION("""COMPUTED_VALUE"""),846.1)</f>
        <v>846.1</v>
      </c>
      <c r="F4" s="6">
        <f>IFERROR(__xludf.DUMMYFUNCTION("""COMPUTED_VALUE"""),2.5021624E7)</f>
        <v>25021624</v>
      </c>
    </row>
    <row r="5">
      <c r="A5" s="7">
        <f>IFERROR(__xludf.DUMMYFUNCTION("""COMPUTED_VALUE"""),45191.64583333333)</f>
        <v>45191.64583</v>
      </c>
      <c r="B5" s="6">
        <f>IFERROR(__xludf.DUMMYFUNCTION("""COMPUTED_VALUE"""),873.85)</f>
        <v>873.85</v>
      </c>
      <c r="C5" s="6">
        <f>IFERROR(__xludf.DUMMYFUNCTION("""COMPUTED_VALUE"""),873.85)</f>
        <v>873.85</v>
      </c>
      <c r="D5" s="6">
        <f>IFERROR(__xludf.DUMMYFUNCTION("""COMPUTED_VALUE"""),835.0)</f>
        <v>835</v>
      </c>
      <c r="E5" s="6">
        <f>IFERROR(__xludf.DUMMYFUNCTION("""COMPUTED_VALUE"""),839.1)</f>
        <v>839.1</v>
      </c>
      <c r="F5" s="6">
        <f>IFERROR(__xludf.DUMMYFUNCTION("""COMPUTED_VALUE"""),1.2332199E7)</f>
        <v>12332199</v>
      </c>
    </row>
    <row r="6">
      <c r="A6" s="7">
        <f>IFERROR(__xludf.DUMMYFUNCTION("""COMPUTED_VALUE"""),45198.64583333333)</f>
        <v>45198.64583</v>
      </c>
      <c r="B6" s="6">
        <f>IFERROR(__xludf.DUMMYFUNCTION("""COMPUTED_VALUE"""),838.0)</f>
        <v>838</v>
      </c>
      <c r="C6" s="6">
        <f>IFERROR(__xludf.DUMMYFUNCTION("""COMPUTED_VALUE"""),844.0)</f>
        <v>844</v>
      </c>
      <c r="D6" s="6">
        <f>IFERROR(__xludf.DUMMYFUNCTION("""COMPUTED_VALUE"""),807.2)</f>
        <v>807.2</v>
      </c>
      <c r="E6" s="6">
        <f>IFERROR(__xludf.DUMMYFUNCTION("""COMPUTED_VALUE"""),810.25)</f>
        <v>810.25</v>
      </c>
      <c r="F6" s="6">
        <f>IFERROR(__xludf.DUMMYFUNCTION("""COMPUTED_VALUE"""),3400551.0)</f>
        <v>3400551</v>
      </c>
    </row>
    <row r="7">
      <c r="A7" s="7">
        <f>IFERROR(__xludf.DUMMYFUNCTION("""COMPUTED_VALUE"""),45205.64583333333)</f>
        <v>45205.64583</v>
      </c>
      <c r="B7" s="6">
        <f>IFERROR(__xludf.DUMMYFUNCTION("""COMPUTED_VALUE"""),815.9)</f>
        <v>815.9</v>
      </c>
      <c r="C7" s="6">
        <f>IFERROR(__xludf.DUMMYFUNCTION("""COMPUTED_VALUE"""),826.95)</f>
        <v>826.95</v>
      </c>
      <c r="D7" s="6">
        <f>IFERROR(__xludf.DUMMYFUNCTION("""COMPUTED_VALUE"""),801.05)</f>
        <v>801.05</v>
      </c>
      <c r="E7" s="6">
        <f>IFERROR(__xludf.DUMMYFUNCTION("""COMPUTED_VALUE"""),806.0)</f>
        <v>806</v>
      </c>
      <c r="F7" s="6">
        <f>IFERROR(__xludf.DUMMYFUNCTION("""COMPUTED_VALUE"""),1736219.0)</f>
        <v>1736219</v>
      </c>
    </row>
    <row r="8">
      <c r="A8" s="7">
        <f>IFERROR(__xludf.DUMMYFUNCTION("""COMPUTED_VALUE"""),45212.64583333333)</f>
        <v>45212.64583</v>
      </c>
      <c r="B8" s="6">
        <f>IFERROR(__xludf.DUMMYFUNCTION("""COMPUTED_VALUE"""),806.0)</f>
        <v>806</v>
      </c>
      <c r="C8" s="6">
        <f>IFERROR(__xludf.DUMMYFUNCTION("""COMPUTED_VALUE"""),807.0)</f>
        <v>807</v>
      </c>
      <c r="D8" s="6">
        <f>IFERROR(__xludf.DUMMYFUNCTION("""COMPUTED_VALUE"""),772.4)</f>
        <v>772.4</v>
      </c>
      <c r="E8" s="6">
        <f>IFERROR(__xludf.DUMMYFUNCTION("""COMPUTED_VALUE"""),785.2)</f>
        <v>785.2</v>
      </c>
      <c r="F8" s="6">
        <f>IFERROR(__xludf.DUMMYFUNCTION("""COMPUTED_VALUE"""),2075673.0)</f>
        <v>2075673</v>
      </c>
    </row>
    <row r="9">
      <c r="A9" s="7">
        <f>IFERROR(__xludf.DUMMYFUNCTION("""COMPUTED_VALUE"""),45219.64583333333)</f>
        <v>45219.64583</v>
      </c>
      <c r="B9" s="6">
        <f>IFERROR(__xludf.DUMMYFUNCTION("""COMPUTED_VALUE"""),786.0)</f>
        <v>786</v>
      </c>
      <c r="C9" s="6">
        <f>IFERROR(__xludf.DUMMYFUNCTION("""COMPUTED_VALUE"""),787.0)</f>
        <v>787</v>
      </c>
      <c r="D9" s="6">
        <f>IFERROR(__xludf.DUMMYFUNCTION("""COMPUTED_VALUE"""),755.55)</f>
        <v>755.55</v>
      </c>
      <c r="E9" s="6">
        <f>IFERROR(__xludf.DUMMYFUNCTION("""COMPUTED_VALUE"""),764.35)</f>
        <v>764.35</v>
      </c>
      <c r="F9" s="6">
        <f>IFERROR(__xludf.DUMMYFUNCTION("""COMPUTED_VALUE"""),1884501.0)</f>
        <v>1884501</v>
      </c>
    </row>
    <row r="10">
      <c r="A10" s="7">
        <f>IFERROR(__xludf.DUMMYFUNCTION("""COMPUTED_VALUE"""),45226.64583333333)</f>
        <v>45226.64583</v>
      </c>
      <c r="B10" s="6">
        <f>IFERROR(__xludf.DUMMYFUNCTION("""COMPUTED_VALUE"""),768.7)</f>
        <v>768.7</v>
      </c>
      <c r="C10" s="6">
        <f>IFERROR(__xludf.DUMMYFUNCTION("""COMPUTED_VALUE"""),772.9)</f>
        <v>772.9</v>
      </c>
      <c r="D10" s="6">
        <f>IFERROR(__xludf.DUMMYFUNCTION("""COMPUTED_VALUE"""),686.0)</f>
        <v>686</v>
      </c>
      <c r="E10" s="6">
        <f>IFERROR(__xludf.DUMMYFUNCTION("""COMPUTED_VALUE"""),764.5)</f>
        <v>764.5</v>
      </c>
      <c r="F10" s="6">
        <f>IFERROR(__xludf.DUMMYFUNCTION("""COMPUTED_VALUE"""),2816553.0)</f>
        <v>2816553</v>
      </c>
    </row>
    <row r="11">
      <c r="A11" s="7">
        <f>IFERROR(__xludf.DUMMYFUNCTION("""COMPUTED_VALUE"""),45233.64583333333)</f>
        <v>45233.64583</v>
      </c>
      <c r="B11" s="6">
        <f>IFERROR(__xludf.DUMMYFUNCTION("""COMPUTED_VALUE"""),764.5)</f>
        <v>764.5</v>
      </c>
      <c r="C11" s="6">
        <f>IFERROR(__xludf.DUMMYFUNCTION("""COMPUTED_VALUE"""),773.35)</f>
        <v>773.35</v>
      </c>
      <c r="D11" s="6">
        <f>IFERROR(__xludf.DUMMYFUNCTION("""COMPUTED_VALUE"""),742.0)</f>
        <v>742</v>
      </c>
      <c r="E11" s="6">
        <f>IFERROR(__xludf.DUMMYFUNCTION("""COMPUTED_VALUE"""),765.5)</f>
        <v>765.5</v>
      </c>
      <c r="F11" s="6">
        <f>IFERROR(__xludf.DUMMYFUNCTION("""COMPUTED_VALUE"""),1746181.0)</f>
        <v>1746181</v>
      </c>
    </row>
    <row r="12">
      <c r="A12" s="7">
        <f>IFERROR(__xludf.DUMMYFUNCTION("""COMPUTED_VALUE"""),45240.64583333333)</f>
        <v>45240.64583</v>
      </c>
      <c r="B12" s="6">
        <f>IFERROR(__xludf.DUMMYFUNCTION("""COMPUTED_VALUE"""),777.05)</f>
        <v>777.05</v>
      </c>
      <c r="C12" s="6">
        <f>IFERROR(__xludf.DUMMYFUNCTION("""COMPUTED_VALUE"""),785.0)</f>
        <v>785</v>
      </c>
      <c r="D12" s="6">
        <f>IFERROR(__xludf.DUMMYFUNCTION("""COMPUTED_VALUE"""),744.1)</f>
        <v>744.1</v>
      </c>
      <c r="E12" s="6">
        <f>IFERROR(__xludf.DUMMYFUNCTION("""COMPUTED_VALUE"""),760.45)</f>
        <v>760.45</v>
      </c>
      <c r="F12" s="6">
        <f>IFERROR(__xludf.DUMMYFUNCTION("""COMPUTED_VALUE"""),1657454.0)</f>
        <v>1657454</v>
      </c>
    </row>
    <row r="13">
      <c r="A13" s="7">
        <f>IFERROR(__xludf.DUMMYFUNCTION("""COMPUTED_VALUE"""),45247.64583333333)</f>
        <v>45247.64583</v>
      </c>
      <c r="B13" s="6">
        <f>IFERROR(__xludf.DUMMYFUNCTION("""COMPUTED_VALUE"""),772.45)</f>
        <v>772.45</v>
      </c>
      <c r="C13" s="6">
        <f>IFERROR(__xludf.DUMMYFUNCTION("""COMPUTED_VALUE"""),774.1)</f>
        <v>774.1</v>
      </c>
      <c r="D13" s="6">
        <f>IFERROR(__xludf.DUMMYFUNCTION("""COMPUTED_VALUE"""),737.85)</f>
        <v>737.85</v>
      </c>
      <c r="E13" s="6">
        <f>IFERROR(__xludf.DUMMYFUNCTION("""COMPUTED_VALUE"""),741.2)</f>
        <v>741.2</v>
      </c>
      <c r="F13" s="6">
        <f>IFERROR(__xludf.DUMMYFUNCTION("""COMPUTED_VALUE"""),1246020.0)</f>
        <v>1246020</v>
      </c>
    </row>
    <row r="14">
      <c r="A14" s="7">
        <f>IFERROR(__xludf.DUMMYFUNCTION("""COMPUTED_VALUE"""),45254.64583333333)</f>
        <v>45254.64583</v>
      </c>
      <c r="B14" s="6">
        <f>IFERROR(__xludf.DUMMYFUNCTION("""COMPUTED_VALUE"""),741.05)</f>
        <v>741.05</v>
      </c>
      <c r="C14" s="6">
        <f>IFERROR(__xludf.DUMMYFUNCTION("""COMPUTED_VALUE"""),744.95)</f>
        <v>744.95</v>
      </c>
      <c r="D14" s="6">
        <f>IFERROR(__xludf.DUMMYFUNCTION("""COMPUTED_VALUE"""),720.0)</f>
        <v>720</v>
      </c>
      <c r="E14" s="6">
        <f>IFERROR(__xludf.DUMMYFUNCTION("""COMPUTED_VALUE"""),729.1)</f>
        <v>729.1</v>
      </c>
      <c r="F14" s="6">
        <f>IFERROR(__xludf.DUMMYFUNCTION("""COMPUTED_VALUE"""),1601589.0)</f>
        <v>1601589</v>
      </c>
    </row>
    <row r="15">
      <c r="A15" s="7">
        <f>IFERROR(__xludf.DUMMYFUNCTION("""COMPUTED_VALUE"""),45261.64583333333)</f>
        <v>45261.64583</v>
      </c>
      <c r="B15" s="6">
        <f>IFERROR(__xludf.DUMMYFUNCTION("""COMPUTED_VALUE"""),748.0)</f>
        <v>748</v>
      </c>
      <c r="C15" s="6">
        <f>IFERROR(__xludf.DUMMYFUNCTION("""COMPUTED_VALUE"""),954.9)</f>
        <v>954.9</v>
      </c>
      <c r="D15" s="6">
        <f>IFERROR(__xludf.DUMMYFUNCTION("""COMPUTED_VALUE"""),746.0)</f>
        <v>746</v>
      </c>
      <c r="E15" s="6">
        <f>IFERROR(__xludf.DUMMYFUNCTION("""COMPUTED_VALUE"""),854.7)</f>
        <v>854.7</v>
      </c>
      <c r="F15" s="6">
        <f>IFERROR(__xludf.DUMMYFUNCTION("""COMPUTED_VALUE"""),2.8926178E7)</f>
        <v>28926178</v>
      </c>
    </row>
    <row r="16">
      <c r="A16" s="7">
        <f>IFERROR(__xludf.DUMMYFUNCTION("""COMPUTED_VALUE"""),45268.64583333333)</f>
        <v>45268.64583</v>
      </c>
      <c r="B16" s="6">
        <f>IFERROR(__xludf.DUMMYFUNCTION("""COMPUTED_VALUE"""),969.0)</f>
        <v>969</v>
      </c>
      <c r="C16" s="6">
        <f>IFERROR(__xludf.DUMMYFUNCTION("""COMPUTED_VALUE"""),1246.0)</f>
        <v>1246</v>
      </c>
      <c r="D16" s="6">
        <f>IFERROR(__xludf.DUMMYFUNCTION("""COMPUTED_VALUE"""),882.5)</f>
        <v>882.5</v>
      </c>
      <c r="E16" s="6">
        <f>IFERROR(__xludf.DUMMYFUNCTION("""COMPUTED_VALUE"""),1131.5)</f>
        <v>1131.5</v>
      </c>
      <c r="F16" s="6">
        <f>IFERROR(__xludf.DUMMYFUNCTION("""COMPUTED_VALUE"""),8.2133587E7)</f>
        <v>82133587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IFERROR(__xludf.DUMMYFUNCTION("""COMPUTED_VALUE"""),1137.95)</f>
        <v>1137.95</v>
      </c>
      <c r="C17" s="6">
        <f>IFERROR(__xludf.DUMMYFUNCTION("""COMPUTED_VALUE"""),1158.0)</f>
        <v>1158</v>
      </c>
      <c r="D17" s="6">
        <f>IFERROR(__xludf.DUMMYFUNCTION("""COMPUTED_VALUE"""),1008.1)</f>
        <v>1008.1</v>
      </c>
      <c r="E17" s="6">
        <f>IFERROR(__xludf.DUMMYFUNCTION("""COMPUTED_VALUE"""),1047.25)</f>
        <v>1047.25</v>
      </c>
      <c r="F17" s="6">
        <f>IFERROR(__xludf.DUMMYFUNCTION("""COMPUTED_VALUE"""),1.6726937E7)</f>
        <v>16726937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IFERROR(__xludf.DUMMYFUNCTION("""COMPUTED_VALUE"""),1060.0)</f>
        <v>1060</v>
      </c>
      <c r="C18" s="6">
        <f>IFERROR(__xludf.DUMMYFUNCTION("""COMPUTED_VALUE"""),1128.0)</f>
        <v>1128</v>
      </c>
      <c r="D18" s="6">
        <f>IFERROR(__xludf.DUMMYFUNCTION("""COMPUTED_VALUE"""),981.0)</f>
        <v>981</v>
      </c>
      <c r="E18" s="6">
        <f>IFERROR(__xludf.DUMMYFUNCTION("""COMPUTED_VALUE"""),1027.9)</f>
        <v>1027.9</v>
      </c>
      <c r="F18" s="6">
        <f>IFERROR(__xludf.DUMMYFUNCTION("""COMPUTED_VALUE"""),1.4404347E7)</f>
        <v>14404347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IFERROR(__xludf.DUMMYFUNCTION("""COMPUTED_VALUE"""),1035.5)</f>
        <v>1035.5</v>
      </c>
      <c r="C19" s="6">
        <f>IFERROR(__xludf.DUMMYFUNCTION("""COMPUTED_VALUE"""),1083.0)</f>
        <v>1083</v>
      </c>
      <c r="D19" s="6">
        <f>IFERROR(__xludf.DUMMYFUNCTION("""COMPUTED_VALUE"""),1011.55)</f>
        <v>1011.55</v>
      </c>
      <c r="E19" s="6">
        <f>IFERROR(__xludf.DUMMYFUNCTION("""COMPUTED_VALUE"""),1045.75)</f>
        <v>1045.75</v>
      </c>
      <c r="F19" s="6">
        <f>IFERROR(__xludf.DUMMYFUNCTION("""COMPUTED_VALUE"""),1.0563706E7)</f>
        <v>10563706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IFERROR(__xludf.DUMMYFUNCTION("""COMPUTED_VALUE"""),1040.0)</f>
        <v>1040</v>
      </c>
      <c r="C20" s="6">
        <f>IFERROR(__xludf.DUMMYFUNCTION("""COMPUTED_VALUE"""),1250.0)</f>
        <v>1250</v>
      </c>
      <c r="D20" s="6">
        <f>IFERROR(__xludf.DUMMYFUNCTION("""COMPUTED_VALUE"""),1034.0)</f>
        <v>1034</v>
      </c>
      <c r="E20" s="6">
        <f>IFERROR(__xludf.DUMMYFUNCTION("""COMPUTED_VALUE"""),1164.0)</f>
        <v>1164</v>
      </c>
      <c r="F20" s="6">
        <f>IFERROR(__xludf.DUMMYFUNCTION("""COMPUTED_VALUE"""),2.0923945E7)</f>
        <v>20923945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IFERROR(__xludf.DUMMYFUNCTION("""COMPUTED_VALUE"""),1170.85)</f>
        <v>1170.85</v>
      </c>
      <c r="C21" s="6">
        <f>IFERROR(__xludf.DUMMYFUNCTION("""COMPUTED_VALUE"""),1199.0)</f>
        <v>1199</v>
      </c>
      <c r="D21" s="6">
        <f>IFERROR(__xludf.DUMMYFUNCTION("""COMPUTED_VALUE"""),1140.0)</f>
        <v>1140</v>
      </c>
      <c r="E21" s="6">
        <f>IFERROR(__xludf.DUMMYFUNCTION("""COMPUTED_VALUE"""),1152.2)</f>
        <v>1152.2</v>
      </c>
      <c r="F21" s="6">
        <f>IFERROR(__xludf.DUMMYFUNCTION("""COMPUTED_VALUE"""),4965741.0)</f>
        <v>4965741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IFERROR(__xludf.DUMMYFUNCTION("""COMPUTED_VALUE"""),1138.0)</f>
        <v>1138</v>
      </c>
      <c r="C22" s="6">
        <f>IFERROR(__xludf.DUMMYFUNCTION("""COMPUTED_VALUE"""),1145.65)</f>
        <v>1145.65</v>
      </c>
      <c r="D22" s="6">
        <f>IFERROR(__xludf.DUMMYFUNCTION("""COMPUTED_VALUE"""),1028.5)</f>
        <v>1028.5</v>
      </c>
      <c r="E22" s="6">
        <f>IFERROR(__xludf.DUMMYFUNCTION("""COMPUTED_VALUE"""),1061.8)</f>
        <v>1061.8</v>
      </c>
      <c r="F22" s="6">
        <f>IFERROR(__xludf.DUMMYFUNCTION("""COMPUTED_VALUE"""),8803118.0)</f>
        <v>8803118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IFERROR(__xludf.DUMMYFUNCTION("""COMPUTED_VALUE"""),1085.0)</f>
        <v>1085</v>
      </c>
      <c r="C23" s="6">
        <f>IFERROR(__xludf.DUMMYFUNCTION("""COMPUTED_VALUE"""),1136.0)</f>
        <v>1136</v>
      </c>
      <c r="D23" s="6">
        <f>IFERROR(__xludf.DUMMYFUNCTION("""COMPUTED_VALUE"""),1046.0)</f>
        <v>1046</v>
      </c>
      <c r="E23" s="6">
        <f>IFERROR(__xludf.DUMMYFUNCTION("""COMPUTED_VALUE"""),1052.05)</f>
        <v>1052.05</v>
      </c>
      <c r="F23" s="6">
        <f>IFERROR(__xludf.DUMMYFUNCTION("""COMPUTED_VALUE"""),8196736.0)</f>
        <v>8196736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IFERROR(__xludf.DUMMYFUNCTION("""COMPUTED_VALUE"""),1051.05)</f>
        <v>1051.05</v>
      </c>
      <c r="C24" s="6">
        <f>IFERROR(__xludf.DUMMYFUNCTION("""COMPUTED_VALUE"""),1113.95)</f>
        <v>1113.95</v>
      </c>
      <c r="D24" s="6">
        <f>IFERROR(__xludf.DUMMYFUNCTION("""COMPUTED_VALUE"""),1001.2)</f>
        <v>1001.2</v>
      </c>
      <c r="E24" s="6">
        <f>IFERROR(__xludf.DUMMYFUNCTION("""COMPUTED_VALUE"""),1054.7)</f>
        <v>1054.7</v>
      </c>
      <c r="F24" s="6">
        <f>IFERROR(__xludf.DUMMYFUNCTION("""COMPUTED_VALUE"""),1.1558492E7)</f>
        <v>11558492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IFERROR(__xludf.DUMMYFUNCTION("""COMPUTED_VALUE"""),1059.0)</f>
        <v>1059</v>
      </c>
      <c r="C25" s="6">
        <f>IFERROR(__xludf.DUMMYFUNCTION("""COMPUTED_VALUE"""),1096.2)</f>
        <v>1096.2</v>
      </c>
      <c r="D25" s="6">
        <f>IFERROR(__xludf.DUMMYFUNCTION("""COMPUTED_VALUE"""),1025.0)</f>
        <v>1025</v>
      </c>
      <c r="E25" s="6">
        <f>IFERROR(__xludf.DUMMYFUNCTION("""COMPUTED_VALUE"""),1061.6)</f>
        <v>1061.6</v>
      </c>
      <c r="F25" s="6">
        <f>IFERROR(__xludf.DUMMYFUNCTION("""COMPUTED_VALUE"""),1.7722272E7)</f>
        <v>17722272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IFERROR(__xludf.DUMMYFUNCTION("""COMPUTED_VALUE"""),1065.0)</f>
        <v>1065</v>
      </c>
      <c r="C26" s="6">
        <f>IFERROR(__xludf.DUMMYFUNCTION("""COMPUTED_VALUE"""),1094.75)</f>
        <v>1094.75</v>
      </c>
      <c r="D26" s="6">
        <f>IFERROR(__xludf.DUMMYFUNCTION("""COMPUTED_VALUE"""),1052.55)</f>
        <v>1052.55</v>
      </c>
      <c r="E26" s="6">
        <f>IFERROR(__xludf.DUMMYFUNCTION("""COMPUTED_VALUE"""),1081.8)</f>
        <v>1081.8</v>
      </c>
      <c r="F26" s="6">
        <f>IFERROR(__xludf.DUMMYFUNCTION("""COMPUTED_VALUE"""),1.3937244E7)</f>
        <v>13937244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IFERROR(__xludf.DUMMYFUNCTION("""COMPUTED_VALUE"""),1084.0)</f>
        <v>1084</v>
      </c>
      <c r="C27" s="6">
        <f>IFERROR(__xludf.DUMMYFUNCTION("""COMPUTED_VALUE"""),1085.65)</f>
        <v>1085.65</v>
      </c>
      <c r="D27" s="6">
        <f>IFERROR(__xludf.DUMMYFUNCTION("""COMPUTED_VALUE"""),1045.5)</f>
        <v>1045.5</v>
      </c>
      <c r="E27" s="6">
        <f>IFERROR(__xludf.DUMMYFUNCTION("""COMPUTED_VALUE"""),1069.6)</f>
        <v>1069.6</v>
      </c>
      <c r="F27" s="6">
        <f>IFERROR(__xludf.DUMMYFUNCTION("""COMPUTED_VALUE"""),6759087.0)</f>
        <v>6759087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IFERROR(__xludf.DUMMYFUNCTION("""COMPUTED_VALUE"""),1077.0)</f>
        <v>1077</v>
      </c>
      <c r="C28" s="6">
        <f>IFERROR(__xludf.DUMMYFUNCTION("""COMPUTED_VALUE"""),1087.3)</f>
        <v>1087.3</v>
      </c>
      <c r="D28" s="6">
        <f>IFERROR(__xludf.DUMMYFUNCTION("""COMPUTED_VALUE"""),915.3)</f>
        <v>915.3</v>
      </c>
      <c r="E28" s="6">
        <f>IFERROR(__xludf.DUMMYFUNCTION("""COMPUTED_VALUE"""),1045.85)</f>
        <v>1045.85</v>
      </c>
      <c r="F28" s="6">
        <f>IFERROR(__xludf.DUMMYFUNCTION("""COMPUTED_VALUE"""),1.8723351E7)</f>
        <v>18723351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IFERROR(__xludf.DUMMYFUNCTION("""COMPUTED_VALUE"""),1008.0)</f>
        <v>1008</v>
      </c>
      <c r="C29" s="6">
        <f>IFERROR(__xludf.DUMMYFUNCTION("""COMPUTED_VALUE"""),1039.2)</f>
        <v>1039.2</v>
      </c>
      <c r="D29" s="6">
        <f>IFERROR(__xludf.DUMMYFUNCTION("""COMPUTED_VALUE"""),971.5)</f>
        <v>971.5</v>
      </c>
      <c r="E29" s="6">
        <f>IFERROR(__xludf.DUMMYFUNCTION("""COMPUTED_VALUE"""),1015.6)</f>
        <v>1015.6</v>
      </c>
      <c r="F29" s="6">
        <f>IFERROR(__xludf.DUMMYFUNCTION("""COMPUTED_VALUE"""),1.3702633E7)</f>
        <v>13702633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IFERROR(__xludf.DUMMYFUNCTION("""COMPUTED_VALUE"""),1003.0)</f>
        <v>1003</v>
      </c>
      <c r="C30" s="6">
        <f>IFERROR(__xludf.DUMMYFUNCTION("""COMPUTED_VALUE"""),1064.5)</f>
        <v>1064.5</v>
      </c>
      <c r="D30" s="6">
        <f>IFERROR(__xludf.DUMMYFUNCTION("""COMPUTED_VALUE"""),1002.6)</f>
        <v>1002.6</v>
      </c>
      <c r="E30" s="6">
        <f>IFERROR(__xludf.DUMMYFUNCTION("""COMPUTED_VALUE"""),1026.7)</f>
        <v>1026.7</v>
      </c>
      <c r="F30" s="6">
        <f>IFERROR(__xludf.DUMMYFUNCTION("""COMPUTED_VALUE"""),1.1062168E7)</f>
        <v>11062168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IFERROR(__xludf.DUMMYFUNCTION("""COMPUTED_VALUE"""),1047.1)</f>
        <v>1047.1</v>
      </c>
      <c r="C31" s="6">
        <f>IFERROR(__xludf.DUMMYFUNCTION("""COMPUTED_VALUE"""),1128.85)</f>
        <v>1128.85</v>
      </c>
      <c r="D31" s="6">
        <f>IFERROR(__xludf.DUMMYFUNCTION("""COMPUTED_VALUE"""),1036.15)</f>
        <v>1036.15</v>
      </c>
      <c r="E31" s="6">
        <f>IFERROR(__xludf.DUMMYFUNCTION("""COMPUTED_VALUE"""),1096.3)</f>
        <v>1096.3</v>
      </c>
      <c r="F31" s="6">
        <f>IFERROR(__xludf.DUMMYFUNCTION("""COMPUTED_VALUE"""),9358092.0)</f>
        <v>9358092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IFERROR(__xludf.DUMMYFUNCTION("""COMPUTED_VALUE"""),1105.0)</f>
        <v>1105</v>
      </c>
      <c r="C32" s="6">
        <f>IFERROR(__xludf.DUMMYFUNCTION("""COMPUTED_VALUE"""),1117.75)</f>
        <v>1117.75</v>
      </c>
      <c r="D32" s="6">
        <f>IFERROR(__xludf.DUMMYFUNCTION("""COMPUTED_VALUE"""),1053.0)</f>
        <v>1053</v>
      </c>
      <c r="E32" s="6">
        <f>IFERROR(__xludf.DUMMYFUNCTION("""COMPUTED_VALUE"""),1068.9)</f>
        <v>1068.9</v>
      </c>
      <c r="F32" s="6">
        <f>IFERROR(__xludf.DUMMYFUNCTION("""COMPUTED_VALUE"""),2961317.0)</f>
        <v>2961317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IFERROR(__xludf.DUMMYFUNCTION("""COMPUTED_VALUE"""),1036.4)</f>
        <v>1036.4</v>
      </c>
      <c r="C33" s="6">
        <f>IFERROR(__xludf.DUMMYFUNCTION("""COMPUTED_VALUE"""),1068.9)</f>
        <v>1068.9</v>
      </c>
      <c r="D33" s="6">
        <f>IFERROR(__xludf.DUMMYFUNCTION("""COMPUTED_VALUE"""),1011.4)</f>
        <v>1011.4</v>
      </c>
      <c r="E33" s="6">
        <f>IFERROR(__xludf.DUMMYFUNCTION("""COMPUTED_VALUE"""),1040.6)</f>
        <v>1040.6</v>
      </c>
      <c r="F33" s="6">
        <f>IFERROR(__xludf.DUMMYFUNCTION("""COMPUTED_VALUE"""),3001876.0)</f>
        <v>3001876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IFERROR(__xludf.DUMMYFUNCTION("""COMPUTED_VALUE"""),1054.0)</f>
        <v>1054</v>
      </c>
      <c r="C34" s="6">
        <f>IFERROR(__xludf.DUMMYFUNCTION("""COMPUTED_VALUE"""),1080.0)</f>
        <v>1080</v>
      </c>
      <c r="D34" s="6">
        <f>IFERROR(__xludf.DUMMYFUNCTION("""COMPUTED_VALUE"""),1040.0)</f>
        <v>1040</v>
      </c>
      <c r="E34" s="6">
        <f>IFERROR(__xludf.DUMMYFUNCTION("""COMPUTED_VALUE"""),1062.85)</f>
        <v>1062.85</v>
      </c>
      <c r="F34" s="6">
        <f>IFERROR(__xludf.DUMMYFUNCTION("""COMPUTED_VALUE"""),4304940.0)</f>
        <v>4304940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IFERROR(__xludf.DUMMYFUNCTION("""COMPUTED_VALUE"""),1072.85)</f>
        <v>1072.85</v>
      </c>
      <c r="C35" s="6">
        <f>IFERROR(__xludf.DUMMYFUNCTION("""COMPUTED_VALUE"""),1087.3)</f>
        <v>1087.3</v>
      </c>
      <c r="D35" s="6">
        <f>IFERROR(__xludf.DUMMYFUNCTION("""COMPUTED_VALUE"""),1044.0)</f>
        <v>1044</v>
      </c>
      <c r="E35" s="6">
        <f>IFERROR(__xludf.DUMMYFUNCTION("""COMPUTED_VALUE"""),1061.55)</f>
        <v>1061.55</v>
      </c>
      <c r="F35" s="6">
        <f>IFERROR(__xludf.DUMMYFUNCTION("""COMPUTED_VALUE"""),1.2135392E7)</f>
        <v>12135392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IFERROR(__xludf.DUMMYFUNCTION("""COMPUTED_VALUE"""),1060.35)</f>
        <v>1060.35</v>
      </c>
      <c r="C36" s="6">
        <f>IFERROR(__xludf.DUMMYFUNCTION("""COMPUTED_VALUE"""),1065.95)</f>
        <v>1065.95</v>
      </c>
      <c r="D36" s="6">
        <f>IFERROR(__xludf.DUMMYFUNCTION("""COMPUTED_VALUE"""),970.5)</f>
        <v>970.5</v>
      </c>
      <c r="E36" s="6">
        <f>IFERROR(__xludf.DUMMYFUNCTION("""COMPUTED_VALUE"""),990.55)</f>
        <v>990.55</v>
      </c>
      <c r="F36" s="6">
        <f>IFERROR(__xludf.DUMMYFUNCTION("""COMPUTED_VALUE"""),8864425.0)</f>
        <v>8864425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IFERROR(__xludf.DUMMYFUNCTION("""COMPUTED_VALUE"""),1044.6)</f>
        <v>1044.6</v>
      </c>
      <c r="C37" s="6">
        <f>IFERROR(__xludf.DUMMYFUNCTION("""COMPUTED_VALUE"""),1154.8)</f>
        <v>1154.8</v>
      </c>
      <c r="D37" s="6">
        <f>IFERROR(__xludf.DUMMYFUNCTION("""COMPUTED_VALUE"""),1033.35)</f>
        <v>1033.35</v>
      </c>
      <c r="E37" s="6">
        <f>IFERROR(__xludf.DUMMYFUNCTION("""COMPUTED_VALUE"""),1106.7)</f>
        <v>1106.7</v>
      </c>
      <c r="F37" s="6">
        <f>IFERROR(__xludf.DUMMYFUNCTION("""COMPUTED_VALUE"""),7358034.0)</f>
        <v>7358034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IFERROR(__xludf.DUMMYFUNCTION("""COMPUTED_VALUE"""),1124.95)</f>
        <v>1124.95</v>
      </c>
      <c r="C38" s="6">
        <f>IFERROR(__xludf.DUMMYFUNCTION("""COMPUTED_VALUE"""),1150.1)</f>
        <v>1150.1</v>
      </c>
      <c r="D38" s="6">
        <f>IFERROR(__xludf.DUMMYFUNCTION("""COMPUTED_VALUE"""),1081.0)</f>
        <v>1081</v>
      </c>
      <c r="E38" s="6">
        <f>IFERROR(__xludf.DUMMYFUNCTION("""COMPUTED_VALUE"""),1122.8)</f>
        <v>1122.8</v>
      </c>
      <c r="F38" s="6">
        <f>IFERROR(__xludf.DUMMYFUNCTION("""COMPUTED_VALUE"""),1.6921193E7)</f>
        <v>16921193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IFERROR(__xludf.DUMMYFUNCTION("""COMPUTED_VALUE"""),1249.0)</f>
        <v>1249</v>
      </c>
      <c r="C39" s="6">
        <f>IFERROR(__xludf.DUMMYFUNCTION("""COMPUTED_VALUE"""),1249.4)</f>
        <v>1249.4</v>
      </c>
      <c r="D39" s="6">
        <f>IFERROR(__xludf.DUMMYFUNCTION("""COMPUTED_VALUE"""),831.5)</f>
        <v>831.5</v>
      </c>
      <c r="E39" s="6">
        <f>IFERROR(__xludf.DUMMYFUNCTION("""COMPUTED_VALUE"""),1020.05)</f>
        <v>1020.05</v>
      </c>
      <c r="F39" s="6">
        <f>IFERROR(__xludf.DUMMYFUNCTION("""COMPUTED_VALUE"""),4.656585E7)</f>
        <v>46565850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IFERROR(__xludf.DUMMYFUNCTION("""COMPUTED_VALUE"""),1054.9)</f>
        <v>1054.9</v>
      </c>
      <c r="C40" s="6">
        <f>IFERROR(__xludf.DUMMYFUNCTION("""COMPUTED_VALUE"""),1074.0)</f>
        <v>1074</v>
      </c>
      <c r="D40" s="6">
        <f>IFERROR(__xludf.DUMMYFUNCTION("""COMPUTED_VALUE"""),1014.05)</f>
        <v>1014.05</v>
      </c>
      <c r="E40" s="6">
        <f>IFERROR(__xludf.DUMMYFUNCTION("""COMPUTED_VALUE"""),1019.8)</f>
        <v>1019.8</v>
      </c>
      <c r="F40" s="6">
        <f>IFERROR(__xludf.DUMMYFUNCTION("""COMPUTED_VALUE"""),4997296.0)</f>
        <v>4997296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IFERROR(__xludf.DUMMYFUNCTION("""COMPUTED_VALUE"""),1025.65)</f>
        <v>1025.65</v>
      </c>
      <c r="C41" s="6">
        <f>IFERROR(__xludf.DUMMYFUNCTION("""COMPUTED_VALUE"""),1034.7)</f>
        <v>1034.7</v>
      </c>
      <c r="D41" s="6">
        <f>IFERROR(__xludf.DUMMYFUNCTION("""COMPUTED_VALUE"""),1001.05)</f>
        <v>1001.05</v>
      </c>
      <c r="E41" s="6">
        <f>IFERROR(__xludf.DUMMYFUNCTION("""COMPUTED_VALUE"""),1010.55)</f>
        <v>1010.55</v>
      </c>
      <c r="F41" s="6">
        <f>IFERROR(__xludf.DUMMYFUNCTION("""COMPUTED_VALUE"""),3482479.0)</f>
        <v>3482479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IFERROR(__xludf.DUMMYFUNCTION("""COMPUTED_VALUE"""),1005.0)</f>
        <v>1005</v>
      </c>
      <c r="C42" s="6">
        <f>IFERROR(__xludf.DUMMYFUNCTION("""COMPUTED_VALUE"""),1029.25)</f>
        <v>1029.25</v>
      </c>
      <c r="D42" s="6">
        <f>IFERROR(__xludf.DUMMYFUNCTION("""COMPUTED_VALUE"""),990.0)</f>
        <v>990</v>
      </c>
      <c r="E42" s="6">
        <f>IFERROR(__xludf.DUMMYFUNCTION("""COMPUTED_VALUE"""),997.35)</f>
        <v>997.35</v>
      </c>
      <c r="F42" s="6">
        <f>IFERROR(__xludf.DUMMYFUNCTION("""COMPUTED_VALUE"""),1.1311495E7)</f>
        <v>11311495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IFERROR(__xludf.DUMMYFUNCTION("""COMPUTED_VALUE"""),1003.65)</f>
        <v>1003.65</v>
      </c>
      <c r="C43" s="6">
        <f>IFERROR(__xludf.DUMMYFUNCTION("""COMPUTED_VALUE"""),1063.35)</f>
        <v>1063.35</v>
      </c>
      <c r="D43" s="6">
        <f>IFERROR(__xludf.DUMMYFUNCTION("""COMPUTED_VALUE"""),996.05)</f>
        <v>996.05</v>
      </c>
      <c r="E43" s="6">
        <f>IFERROR(__xludf.DUMMYFUNCTION("""COMPUTED_VALUE"""),1012.65)</f>
        <v>1012.65</v>
      </c>
      <c r="F43" s="6">
        <f>IFERROR(__xludf.DUMMYFUNCTION("""COMPUTED_VALUE"""),5665904.0)</f>
        <v>5665904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IFERROR(__xludf.DUMMYFUNCTION("""COMPUTED_VALUE"""),1010.0)</f>
        <v>1010</v>
      </c>
      <c r="C44" s="6">
        <f>IFERROR(__xludf.DUMMYFUNCTION("""COMPUTED_VALUE"""),1033.2)</f>
        <v>1033.2</v>
      </c>
      <c r="D44" s="6">
        <f>IFERROR(__xludf.DUMMYFUNCTION("""COMPUTED_VALUE"""),985.4)</f>
        <v>985.4</v>
      </c>
      <c r="E44" s="6">
        <f>IFERROR(__xludf.DUMMYFUNCTION("""COMPUTED_VALUE"""),1004.8)</f>
        <v>1004.8</v>
      </c>
      <c r="F44" s="6">
        <f>IFERROR(__xludf.DUMMYFUNCTION("""COMPUTED_VALUE"""),3159643.0)</f>
        <v>3159643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IFERROR(__xludf.DUMMYFUNCTION("""COMPUTED_VALUE"""),1006.5)</f>
        <v>1006.5</v>
      </c>
      <c r="C45" s="6">
        <f>IFERROR(__xludf.DUMMYFUNCTION("""COMPUTED_VALUE"""),1047.95)</f>
        <v>1047.95</v>
      </c>
      <c r="D45" s="6">
        <f>IFERROR(__xludf.DUMMYFUNCTION("""COMPUTED_VALUE"""),998.5)</f>
        <v>998.5</v>
      </c>
      <c r="E45" s="6">
        <f>IFERROR(__xludf.DUMMYFUNCTION("""COMPUTED_VALUE"""),1010.7)</f>
        <v>1010.7</v>
      </c>
      <c r="F45" s="6">
        <f>IFERROR(__xludf.DUMMYFUNCTION("""COMPUTED_VALUE"""),3631455.0)</f>
        <v>3631455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IFERROR(__xludf.DUMMYFUNCTION("""COMPUTED_VALUE"""),1004.95)</f>
        <v>1004.95</v>
      </c>
      <c r="C46" s="6">
        <f>IFERROR(__xludf.DUMMYFUNCTION("""COMPUTED_VALUE"""),1149.7)</f>
        <v>1149.7</v>
      </c>
      <c r="D46" s="6">
        <f>IFERROR(__xludf.DUMMYFUNCTION("""COMPUTED_VALUE"""),975.0)</f>
        <v>975</v>
      </c>
      <c r="E46" s="6">
        <f>IFERROR(__xludf.DUMMYFUNCTION("""COMPUTED_VALUE"""),1051.95)</f>
        <v>1051.95</v>
      </c>
      <c r="F46" s="6">
        <f>IFERROR(__xludf.DUMMYFUNCTION("""COMPUTED_VALUE"""),1.2467766E7)</f>
        <v>12467766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IFERROR(__xludf.DUMMYFUNCTION("""COMPUTED_VALUE"""),1059.15)</f>
        <v>1059.15</v>
      </c>
      <c r="C47" s="6">
        <f>IFERROR(__xludf.DUMMYFUNCTION("""COMPUTED_VALUE"""),1348.0)</f>
        <v>1348</v>
      </c>
      <c r="D47" s="6">
        <f>IFERROR(__xludf.DUMMYFUNCTION("""COMPUTED_VALUE"""),1047.85)</f>
        <v>1047.85</v>
      </c>
      <c r="E47" s="6">
        <f>IFERROR(__xludf.DUMMYFUNCTION("""COMPUTED_VALUE"""),1261.8)</f>
        <v>1261.8</v>
      </c>
      <c r="F47" s="6">
        <f>IFERROR(__xludf.DUMMYFUNCTION("""COMPUTED_VALUE"""),5.8300867E7)</f>
        <v>58300867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IFERROR(__xludf.DUMMYFUNCTION("""COMPUTED_VALUE"""),1200.0)</f>
        <v>1200</v>
      </c>
      <c r="C48" s="6">
        <f>IFERROR(__xludf.DUMMYFUNCTION("""COMPUTED_VALUE"""),1231.95)</f>
        <v>1231.95</v>
      </c>
      <c r="D48" s="6">
        <f>IFERROR(__xludf.DUMMYFUNCTION("""COMPUTED_VALUE"""),1094.3)</f>
        <v>1094.3</v>
      </c>
      <c r="E48" s="6">
        <f>IFERROR(__xludf.DUMMYFUNCTION("""COMPUTED_VALUE"""),1103.8)</f>
        <v>1103.8</v>
      </c>
      <c r="F48" s="6">
        <f>IFERROR(__xludf.DUMMYFUNCTION("""COMPUTED_VALUE"""),2.7769923E7)</f>
        <v>27769923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IFERROR(__xludf.DUMMYFUNCTION("""COMPUTED_VALUE"""),1072.0)</f>
        <v>1072</v>
      </c>
      <c r="C49" s="6">
        <f>IFERROR(__xludf.DUMMYFUNCTION("""COMPUTED_VALUE"""),1138.0)</f>
        <v>1138</v>
      </c>
      <c r="D49" s="6">
        <f>IFERROR(__xludf.DUMMYFUNCTION("""COMPUTED_VALUE"""),1036.05)</f>
        <v>1036.05</v>
      </c>
      <c r="E49" s="6">
        <f>IFERROR(__xludf.DUMMYFUNCTION("""COMPUTED_VALUE"""),1085.3)</f>
        <v>1085.3</v>
      </c>
      <c r="F49" s="6">
        <f>IFERROR(__xludf.DUMMYFUNCTION("""COMPUTED_VALUE"""),1.9210757E7)</f>
        <v>19210757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IFERROR(__xludf.DUMMYFUNCTION("""COMPUTED_VALUE"""),1089.8)</f>
        <v>1089.8</v>
      </c>
      <c r="C50" s="6">
        <f>IFERROR(__xludf.DUMMYFUNCTION("""COMPUTED_VALUE"""),1115.5)</f>
        <v>1115.5</v>
      </c>
      <c r="D50" s="6">
        <f>IFERROR(__xludf.DUMMYFUNCTION("""COMPUTED_VALUE"""),1060.0)</f>
        <v>1060</v>
      </c>
      <c r="E50" s="6">
        <f>IFERROR(__xludf.DUMMYFUNCTION("""COMPUTED_VALUE"""),1065.65)</f>
        <v>1065.65</v>
      </c>
      <c r="F50" s="6">
        <f>IFERROR(__xludf.DUMMYFUNCTION("""COMPUTED_VALUE"""),8338037.0)</f>
        <v>8338037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IFERROR(__xludf.DUMMYFUNCTION("""COMPUTED_VALUE"""),1066.55)</f>
        <v>1066.55</v>
      </c>
      <c r="C51" s="6">
        <f>IFERROR(__xludf.DUMMYFUNCTION("""COMPUTED_VALUE"""),1076.0)</f>
        <v>1076</v>
      </c>
      <c r="D51" s="6">
        <f>IFERROR(__xludf.DUMMYFUNCTION("""COMPUTED_VALUE"""),984.0)</f>
        <v>984</v>
      </c>
      <c r="E51" s="6">
        <f>IFERROR(__xludf.DUMMYFUNCTION("""COMPUTED_VALUE"""),1007.4)</f>
        <v>1007.4</v>
      </c>
      <c r="F51" s="6">
        <f>IFERROR(__xludf.DUMMYFUNCTION("""COMPUTED_VALUE"""),1.3501427E7)</f>
        <v>13501427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IFERROR(__xludf.DUMMYFUNCTION("""COMPUTED_VALUE"""),1017.0)</f>
        <v>1017</v>
      </c>
      <c r="C52" s="6">
        <f>IFERROR(__xludf.DUMMYFUNCTION("""COMPUTED_VALUE"""),1049.0)</f>
        <v>1049</v>
      </c>
      <c r="D52" s="6">
        <f>IFERROR(__xludf.DUMMYFUNCTION("""COMPUTED_VALUE"""),983.0)</f>
        <v>983</v>
      </c>
      <c r="E52" s="6">
        <f>IFERROR(__xludf.DUMMYFUNCTION("""COMPUTED_VALUE"""),985.35)</f>
        <v>985.35</v>
      </c>
      <c r="F52" s="6">
        <f>IFERROR(__xludf.DUMMYFUNCTION("""COMPUTED_VALUE"""),8068349.0)</f>
        <v>8068349</v>
      </c>
    </row>
    <row r="53">
      <c r="A53" s="7">
        <f>IFERROR(__xludf.DUMMYFUNCTION("""COMPUTED_VALUE"""),45548.64583333333)</f>
        <v>45548.64583</v>
      </c>
      <c r="B53" s="6">
        <f>IFERROR(__xludf.DUMMYFUNCTION("""COMPUTED_VALUE"""),985.3)</f>
        <v>985.3</v>
      </c>
      <c r="C53" s="6">
        <f>IFERROR(__xludf.DUMMYFUNCTION("""COMPUTED_VALUE"""),1020.0)</f>
        <v>1020</v>
      </c>
      <c r="D53" s="6">
        <f>IFERROR(__xludf.DUMMYFUNCTION("""COMPUTED_VALUE"""),968.3)</f>
        <v>968.3</v>
      </c>
      <c r="E53" s="6">
        <f>IFERROR(__xludf.DUMMYFUNCTION("""COMPUTED_VALUE"""),983.3)</f>
        <v>983.3</v>
      </c>
      <c r="F53" s="6">
        <f>IFERROR(__xludf.DUMMYFUNCTION("""COMPUTED_VALUE"""),6951647.0)</f>
        <v>6951647</v>
      </c>
    </row>
    <row r="54">
      <c r="A54" s="7">
        <f>IFERROR(__xludf.DUMMYFUNCTION("""COMPUTED_VALUE"""),45555.64583333333)</f>
        <v>45555.64583</v>
      </c>
      <c r="B54" s="6">
        <f>IFERROR(__xludf.DUMMYFUNCTION("""COMPUTED_VALUE"""),990.5)</f>
        <v>990.5</v>
      </c>
      <c r="C54" s="6">
        <f>IFERROR(__xludf.DUMMYFUNCTION("""COMPUTED_VALUE"""),1019.9)</f>
        <v>1019.9</v>
      </c>
      <c r="D54" s="6">
        <f>IFERROR(__xludf.DUMMYFUNCTION("""COMPUTED_VALUE"""),967.05)</f>
        <v>967.05</v>
      </c>
      <c r="E54" s="6">
        <f>IFERROR(__xludf.DUMMYFUNCTION("""COMPUTED_VALUE"""),1007.15)</f>
        <v>1007.15</v>
      </c>
      <c r="F54" s="6">
        <f>IFERROR(__xludf.DUMMYFUNCTION("""COMPUTED_VALUE"""),1.4159284E7)</f>
        <v>14159284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IFERROR(__xludf.DUMMYFUNCTION("""COMPUTED_VALUE"""),1025.2)</f>
        <v>1025.2</v>
      </c>
      <c r="C55" s="6">
        <f>IFERROR(__xludf.DUMMYFUNCTION("""COMPUTED_VALUE"""),1068.0)</f>
        <v>1068</v>
      </c>
      <c r="D55" s="6">
        <f>IFERROR(__xludf.DUMMYFUNCTION("""COMPUTED_VALUE"""),1001.05)</f>
        <v>1001.05</v>
      </c>
      <c r="E55" s="6">
        <f>IFERROR(__xludf.DUMMYFUNCTION("""COMPUTED_VALUE"""),1010.2)</f>
        <v>1010.2</v>
      </c>
      <c r="F55" s="6">
        <f>IFERROR(__xludf.DUMMYFUNCTION("""COMPUTED_VALUE"""),9725871.0)</f>
        <v>9725871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IFERROR(__xludf.DUMMYFUNCTION("""COMPUTED_VALUE"""),1009.9)</f>
        <v>1009.9</v>
      </c>
      <c r="C56" s="6">
        <f>IFERROR(__xludf.DUMMYFUNCTION("""COMPUTED_VALUE"""),1053.45)</f>
        <v>1053.45</v>
      </c>
      <c r="D56" s="6">
        <f>IFERROR(__xludf.DUMMYFUNCTION("""COMPUTED_VALUE"""),955.0)</f>
        <v>955</v>
      </c>
      <c r="E56" s="6">
        <f>IFERROR(__xludf.DUMMYFUNCTION("""COMPUTED_VALUE"""),962.75)</f>
        <v>962.75</v>
      </c>
      <c r="F56" s="6">
        <f>IFERROR(__xludf.DUMMYFUNCTION("""COMPUTED_VALUE"""),1.1388322E7)</f>
        <v>11388322</v>
      </c>
    </row>
    <row r="57">
      <c r="A57" s="7">
        <f>IFERROR(__xludf.DUMMYFUNCTION("""COMPUTED_VALUE"""),45576.64583333333)</f>
        <v>45576.64583</v>
      </c>
      <c r="B57" s="6">
        <f>IFERROR(__xludf.DUMMYFUNCTION("""COMPUTED_VALUE"""),976.0)</f>
        <v>976</v>
      </c>
      <c r="C57" s="6">
        <f>IFERROR(__xludf.DUMMYFUNCTION("""COMPUTED_VALUE"""),1017.45)</f>
        <v>1017.45</v>
      </c>
      <c r="D57" s="6">
        <f>IFERROR(__xludf.DUMMYFUNCTION("""COMPUTED_VALUE"""),915.0)</f>
        <v>915</v>
      </c>
      <c r="E57" s="6">
        <f>IFERROR(__xludf.DUMMYFUNCTION("""COMPUTED_VALUE"""),976.8)</f>
        <v>976.8</v>
      </c>
      <c r="F57" s="6">
        <f>IFERROR(__xludf.DUMMYFUNCTION("""COMPUTED_VALUE"""),1.4093009E7)</f>
        <v>14093009</v>
      </c>
    </row>
    <row r="58">
      <c r="A58" s="7">
        <f>IFERROR(__xludf.DUMMYFUNCTION("""COMPUTED_VALUE"""),45583.64583333333)</f>
        <v>45583.64583</v>
      </c>
      <c r="B58" s="6">
        <f>IFERROR(__xludf.DUMMYFUNCTION("""COMPUTED_VALUE"""),994.0)</f>
        <v>994</v>
      </c>
      <c r="C58" s="6">
        <f>IFERROR(__xludf.DUMMYFUNCTION("""COMPUTED_VALUE"""),1046.0)</f>
        <v>1046</v>
      </c>
      <c r="D58" s="6">
        <f>IFERROR(__xludf.DUMMYFUNCTION("""COMPUTED_VALUE"""),974.05)</f>
        <v>974.05</v>
      </c>
      <c r="E58" s="6">
        <f>IFERROR(__xludf.DUMMYFUNCTION("""COMPUTED_VALUE"""),1043.3)</f>
        <v>1043.3</v>
      </c>
      <c r="F58" s="6">
        <f>IFERROR(__xludf.DUMMYFUNCTION("""COMPUTED_VALUE"""),1.053271E7)</f>
        <v>10532710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IFERROR(__xludf.DUMMYFUNCTION("""COMPUTED_VALUE"""),1043.3)</f>
        <v>1043.3</v>
      </c>
      <c r="C59" s="6">
        <f>IFERROR(__xludf.DUMMYFUNCTION("""COMPUTED_VALUE"""),1048.7)</f>
        <v>1048.7</v>
      </c>
      <c r="D59" s="6">
        <f>IFERROR(__xludf.DUMMYFUNCTION("""COMPUTED_VALUE"""),905.1)</f>
        <v>905.1</v>
      </c>
      <c r="E59" s="6">
        <f>IFERROR(__xludf.DUMMYFUNCTION("""COMPUTED_VALUE"""),919.35)</f>
        <v>919.35</v>
      </c>
      <c r="F59" s="6">
        <f>IFERROR(__xludf.DUMMYFUNCTION("""COMPUTED_VALUE"""),1.1448149E7)</f>
        <v>11448149</v>
      </c>
    </row>
    <row r="60">
      <c r="A60" s="7">
        <f>IFERROR(__xludf.DUMMYFUNCTION("""COMPUTED_VALUE"""),45604.64583333333)</f>
        <v>45604.64583</v>
      </c>
      <c r="B60" s="6">
        <f>IFERROR(__xludf.DUMMYFUNCTION("""COMPUTED_VALUE"""),978.95)</f>
        <v>978.95</v>
      </c>
      <c r="C60" s="6">
        <f>IFERROR(__xludf.DUMMYFUNCTION("""COMPUTED_VALUE"""),1090.95)</f>
        <v>1090.95</v>
      </c>
      <c r="D60" s="6">
        <f>IFERROR(__xludf.DUMMYFUNCTION("""COMPUTED_VALUE"""),934.0)</f>
        <v>934</v>
      </c>
      <c r="E60" s="6">
        <f>IFERROR(__xludf.DUMMYFUNCTION("""COMPUTED_VALUE"""),936.25)</f>
        <v>936.25</v>
      </c>
      <c r="F60" s="6">
        <f>IFERROR(__xludf.DUMMYFUNCTION("""COMPUTED_VALUE"""),2.0778663E7)</f>
        <v>20778663</v>
      </c>
    </row>
    <row r="61">
      <c r="A61" s="7">
        <f>IFERROR(__xludf.DUMMYFUNCTION("""COMPUTED_VALUE"""),45610.64583333333)</f>
        <v>45610.64583</v>
      </c>
      <c r="B61" s="6">
        <f>IFERROR(__xludf.DUMMYFUNCTION("""COMPUTED_VALUE"""),936.25)</f>
        <v>936.25</v>
      </c>
      <c r="C61" s="6">
        <f>IFERROR(__xludf.DUMMYFUNCTION("""COMPUTED_VALUE"""),937.95)</f>
        <v>937.95</v>
      </c>
      <c r="D61" s="6">
        <f>IFERROR(__xludf.DUMMYFUNCTION("""COMPUTED_VALUE"""),875.85)</f>
        <v>875.85</v>
      </c>
      <c r="E61" s="6">
        <f>IFERROR(__xludf.DUMMYFUNCTION("""COMPUTED_VALUE"""),879.7)</f>
        <v>879.7</v>
      </c>
      <c r="F61" s="6">
        <f>IFERROR(__xludf.DUMMYFUNCTION("""COMPUTED_VALUE"""),1.1799539E7)</f>
        <v>11799539</v>
      </c>
    </row>
    <row r="62">
      <c r="A62" s="7">
        <f>IFERROR(__xludf.DUMMYFUNCTION("""COMPUTED_VALUE"""),45618.64583333333)</f>
        <v>45618.64583</v>
      </c>
      <c r="B62" s="6">
        <f>IFERROR(__xludf.DUMMYFUNCTION("""COMPUTED_VALUE"""),888.0)</f>
        <v>888</v>
      </c>
      <c r="C62" s="6">
        <f>IFERROR(__xludf.DUMMYFUNCTION("""COMPUTED_VALUE"""),889.0)</f>
        <v>889</v>
      </c>
      <c r="D62" s="6">
        <f>IFERROR(__xludf.DUMMYFUNCTION("""COMPUTED_VALUE"""),627.5)</f>
        <v>627.5</v>
      </c>
      <c r="E62" s="6">
        <f>IFERROR(__xludf.DUMMYFUNCTION("""COMPUTED_VALUE"""),648.95)</f>
        <v>648.95</v>
      </c>
      <c r="F62" s="6">
        <f>IFERROR(__xludf.DUMMYFUNCTION("""COMPUTED_VALUE"""),4.759817E7)</f>
        <v>47598170</v>
      </c>
    </row>
    <row r="63">
      <c r="A63" s="7">
        <f>IFERROR(__xludf.DUMMYFUNCTION("""COMPUTED_VALUE"""),45625.64583333333)</f>
        <v>45625.64583</v>
      </c>
      <c r="B63" s="6">
        <f>IFERROR(__xludf.DUMMYFUNCTION("""COMPUTED_VALUE"""),678.0)</f>
        <v>678</v>
      </c>
      <c r="C63" s="6">
        <f>IFERROR(__xludf.DUMMYFUNCTION("""COMPUTED_VALUE"""),869.75)</f>
        <v>869.75</v>
      </c>
      <c r="D63" s="6">
        <f>IFERROR(__xludf.DUMMYFUNCTION("""COMPUTED_VALUE"""),588.0)</f>
        <v>588</v>
      </c>
      <c r="E63" s="6">
        <f>IFERROR(__xludf.DUMMYFUNCTION("""COMPUTED_VALUE"""),840.5)</f>
        <v>840.5</v>
      </c>
      <c r="F63" s="6">
        <f>IFERROR(__xludf.DUMMYFUNCTION("""COMPUTED_VALUE"""),7.0074167E7)</f>
        <v>70074167</v>
      </c>
    </row>
    <row r="64">
      <c r="A64" s="7">
        <f>IFERROR(__xludf.DUMMYFUNCTION("""COMPUTED_VALUE"""),45632.64583333333)</f>
        <v>45632.64583</v>
      </c>
      <c r="B64" s="6">
        <f>IFERROR(__xludf.DUMMYFUNCTION("""COMPUTED_VALUE"""),844.9)</f>
        <v>844.9</v>
      </c>
      <c r="C64" s="6">
        <f>IFERROR(__xludf.DUMMYFUNCTION("""COMPUTED_VALUE"""),855.85)</f>
        <v>855.85</v>
      </c>
      <c r="D64" s="6">
        <f>IFERROR(__xludf.DUMMYFUNCTION("""COMPUTED_VALUE"""),797.0)</f>
        <v>797</v>
      </c>
      <c r="E64" s="6">
        <f>IFERROR(__xludf.DUMMYFUNCTION("""COMPUTED_VALUE"""),808.35)</f>
        <v>808.35</v>
      </c>
      <c r="F64" s="6">
        <f>IFERROR(__xludf.DUMMYFUNCTION("""COMPUTED_VALUE"""),2.1713159E7)</f>
        <v>21713159</v>
      </c>
    </row>
    <row r="65">
      <c r="A65" s="7">
        <f>IFERROR(__xludf.DUMMYFUNCTION("""COMPUTED_VALUE"""),45639.64583333333)</f>
        <v>45639.64583</v>
      </c>
      <c r="B65" s="6">
        <f>IFERROR(__xludf.DUMMYFUNCTION("""COMPUTED_VALUE"""),808.35)</f>
        <v>808.35</v>
      </c>
      <c r="C65" s="6">
        <f>IFERROR(__xludf.DUMMYFUNCTION("""COMPUTED_VALUE"""),837.5)</f>
        <v>837.5</v>
      </c>
      <c r="D65" s="6">
        <f>IFERROR(__xludf.DUMMYFUNCTION("""COMPUTED_VALUE"""),773.0)</f>
        <v>773</v>
      </c>
      <c r="E65" s="6">
        <f>IFERROR(__xludf.DUMMYFUNCTION("""COMPUTED_VALUE"""),832.4)</f>
        <v>832.4</v>
      </c>
      <c r="F65" s="6">
        <f>IFERROR(__xludf.DUMMYFUNCTION("""COMPUTED_VALUE"""),1.6449003E7)</f>
        <v>16449003</v>
      </c>
    </row>
    <row r="66">
      <c r="A66" s="7">
        <f>IFERROR(__xludf.DUMMYFUNCTION("""COMPUTED_VALUE"""),45646.64583333333)</f>
        <v>45646.64583</v>
      </c>
      <c r="B66" s="6">
        <f>IFERROR(__xludf.DUMMYFUNCTION("""COMPUTED_VALUE"""),830.0)</f>
        <v>830</v>
      </c>
      <c r="C66" s="6">
        <f>IFERROR(__xludf.DUMMYFUNCTION("""COMPUTED_VALUE"""),830.9)</f>
        <v>830.9</v>
      </c>
      <c r="D66" s="6">
        <f>IFERROR(__xludf.DUMMYFUNCTION("""COMPUTED_VALUE"""),761.85)</f>
        <v>761.85</v>
      </c>
      <c r="E66" s="6">
        <f>IFERROR(__xludf.DUMMYFUNCTION("""COMPUTED_VALUE"""),767.55)</f>
        <v>767.55</v>
      </c>
      <c r="F66" s="6">
        <f>IFERROR(__xludf.DUMMYFUNCTION("""COMPUTED_VALUE"""),7222109.0)</f>
        <v>7222109</v>
      </c>
    </row>
    <row r="67">
      <c r="A67" s="7">
        <f>IFERROR(__xludf.DUMMYFUNCTION("""COMPUTED_VALUE"""),45653.64583333333)</f>
        <v>45653.64583</v>
      </c>
      <c r="B67" s="6">
        <f>IFERROR(__xludf.DUMMYFUNCTION("""COMPUTED_VALUE"""),781.35)</f>
        <v>781.35</v>
      </c>
      <c r="C67" s="6">
        <f>IFERROR(__xludf.DUMMYFUNCTION("""COMPUTED_VALUE"""),814.95)</f>
        <v>814.95</v>
      </c>
      <c r="D67" s="6">
        <f>IFERROR(__xludf.DUMMYFUNCTION("""COMPUTED_VALUE"""),765.3)</f>
        <v>765.3</v>
      </c>
      <c r="E67" s="6">
        <f>IFERROR(__xludf.DUMMYFUNCTION("""COMPUTED_VALUE"""),805.95)</f>
        <v>805.95</v>
      </c>
      <c r="F67" s="6">
        <f>IFERROR(__xludf.DUMMYFUNCTION("""COMPUTED_VALUE"""),5600012.0)</f>
        <v>5600012</v>
      </c>
    </row>
    <row r="68">
      <c r="A68" s="7">
        <f>IFERROR(__xludf.DUMMYFUNCTION("""COMPUTED_VALUE"""),45660.64583333333)</f>
        <v>45660.64583</v>
      </c>
      <c r="B68" s="6">
        <f>IFERROR(__xludf.DUMMYFUNCTION("""COMPUTED_VALUE"""),808.55)</f>
        <v>808.55</v>
      </c>
      <c r="C68" s="6">
        <f>IFERROR(__xludf.DUMMYFUNCTION("""COMPUTED_VALUE"""),831.0)</f>
        <v>831</v>
      </c>
      <c r="D68" s="6">
        <f>IFERROR(__xludf.DUMMYFUNCTION("""COMPUTED_VALUE"""),793.5)</f>
        <v>793.5</v>
      </c>
      <c r="E68" s="6">
        <f>IFERROR(__xludf.DUMMYFUNCTION("""COMPUTED_VALUE"""),821.25)</f>
        <v>821.25</v>
      </c>
      <c r="F68" s="6">
        <f>IFERROR(__xludf.DUMMYFUNCTION("""COMPUTED_VALUE"""),1.1713166E7)</f>
        <v>11713166</v>
      </c>
    </row>
    <row r="69">
      <c r="A69" s="7">
        <f>IFERROR(__xludf.DUMMYFUNCTION("""COMPUTED_VALUE"""),45667.64583333333)</f>
        <v>45667.64583</v>
      </c>
      <c r="B69" s="6">
        <f>IFERROR(__xludf.DUMMYFUNCTION("""COMPUTED_VALUE"""),815.05)</f>
        <v>815.05</v>
      </c>
      <c r="C69" s="6">
        <f>IFERROR(__xludf.DUMMYFUNCTION("""COMPUTED_VALUE"""),819.0)</f>
        <v>819</v>
      </c>
      <c r="D69" s="6">
        <f>IFERROR(__xludf.DUMMYFUNCTION("""COMPUTED_VALUE"""),726.35)</f>
        <v>726.35</v>
      </c>
      <c r="E69" s="6">
        <f>IFERROR(__xludf.DUMMYFUNCTION("""COMPUTED_VALUE"""),729.25)</f>
        <v>729.25</v>
      </c>
      <c r="F69" s="6">
        <f>IFERROR(__xludf.DUMMYFUNCTION("""COMPUTED_VALUE"""),6743127.0)</f>
        <v>6743127</v>
      </c>
    </row>
    <row r="70">
      <c r="A70" s="7">
        <f>IFERROR(__xludf.DUMMYFUNCTION("""COMPUTED_VALUE"""),45674.64583333333)</f>
        <v>45674.64583</v>
      </c>
      <c r="B70" s="6">
        <f>IFERROR(__xludf.DUMMYFUNCTION("""COMPUTED_VALUE"""),719.0)</f>
        <v>719</v>
      </c>
      <c r="C70" s="6">
        <f>IFERROR(__xludf.DUMMYFUNCTION("""COMPUTED_VALUE"""),833.15)</f>
        <v>833.15</v>
      </c>
      <c r="D70" s="6">
        <f>IFERROR(__xludf.DUMMYFUNCTION("""COMPUTED_VALUE"""),682.45)</f>
        <v>682.45</v>
      </c>
      <c r="E70" s="6">
        <f>IFERROR(__xludf.DUMMYFUNCTION("""COMPUTED_VALUE"""),805.15)</f>
        <v>805.15</v>
      </c>
      <c r="F70" s="6">
        <f>IFERROR(__xludf.DUMMYFUNCTION("""COMPUTED_VALUE"""),1.9390028E7)</f>
        <v>19390028</v>
      </c>
    </row>
    <row r="71">
      <c r="A71" s="7">
        <f>IFERROR(__xludf.DUMMYFUNCTION("""COMPUTED_VALUE"""),45681.64583333333)</f>
        <v>45681.64583</v>
      </c>
      <c r="B71" s="6">
        <f>IFERROR(__xludf.DUMMYFUNCTION("""COMPUTED_VALUE"""),815.0)</f>
        <v>815</v>
      </c>
      <c r="C71" s="6">
        <f>IFERROR(__xludf.DUMMYFUNCTION("""COMPUTED_VALUE"""),828.7)</f>
        <v>828.7</v>
      </c>
      <c r="D71" s="6">
        <f>IFERROR(__xludf.DUMMYFUNCTION("""COMPUTED_VALUE"""),781.0)</f>
        <v>781</v>
      </c>
      <c r="E71" s="6">
        <f>IFERROR(__xludf.DUMMYFUNCTION("""COMPUTED_VALUE"""),790.45)</f>
        <v>790.45</v>
      </c>
      <c r="F71" s="6">
        <f>IFERROR(__xludf.DUMMYFUNCTION("""COMPUTED_VALUE"""),1.3990222E7)</f>
        <v>13990222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IFERROR(__xludf.DUMMYFUNCTION("""COMPUTED_VALUE"""),740.0)</f>
        <v>740</v>
      </c>
      <c r="C72" s="6">
        <f>IFERROR(__xludf.DUMMYFUNCTION("""COMPUTED_VALUE"""),788.2)</f>
        <v>788.2</v>
      </c>
      <c r="D72" s="6">
        <f>IFERROR(__xludf.DUMMYFUNCTION("""COMPUTED_VALUE"""),725.35)</f>
        <v>725.35</v>
      </c>
      <c r="E72" s="6">
        <f>IFERROR(__xludf.DUMMYFUNCTION("""COMPUTED_VALUE"""),773.4)</f>
        <v>773.4</v>
      </c>
      <c r="F72" s="6">
        <f>IFERROR(__xludf.DUMMYFUNCTION("""COMPUTED_VALUE"""),5312551.0)</f>
        <v>5312551</v>
      </c>
    </row>
    <row r="73">
      <c r="A73" s="7">
        <f>IFERROR(__xludf.DUMMYFUNCTION("""COMPUTED_VALUE"""),45702.64583333333)</f>
        <v>45702.64583</v>
      </c>
      <c r="B73" s="6">
        <f>IFERROR(__xludf.DUMMYFUNCTION("""COMPUTED_VALUE"""),776.9)</f>
        <v>776.9</v>
      </c>
      <c r="C73" s="6">
        <f>IFERROR(__xludf.DUMMYFUNCTION("""COMPUTED_VALUE"""),777.8)</f>
        <v>777.8</v>
      </c>
      <c r="D73" s="6">
        <f>IFERROR(__xludf.DUMMYFUNCTION("""COMPUTED_VALUE"""),696.75)</f>
        <v>696.75</v>
      </c>
      <c r="E73" s="6">
        <f>IFERROR(__xludf.DUMMYFUNCTION("""COMPUTED_VALUE"""),708.4)</f>
        <v>708.4</v>
      </c>
      <c r="F73" s="6">
        <f>IFERROR(__xludf.DUMMYFUNCTION("""COMPUTED_VALUE"""),8890348.0)</f>
        <v>8890348</v>
      </c>
    </row>
    <row r="74">
      <c r="A74" s="7">
        <f>IFERROR(__xludf.DUMMYFUNCTION("""COMPUTED_VALUE"""),45709.64583333333)</f>
        <v>45709.64583</v>
      </c>
      <c r="B74" s="6">
        <f>IFERROR(__xludf.DUMMYFUNCTION("""COMPUTED_VALUE"""),703.85)</f>
        <v>703.85</v>
      </c>
      <c r="C74" s="6">
        <f>IFERROR(__xludf.DUMMYFUNCTION("""COMPUTED_VALUE"""),708.75)</f>
        <v>708.75</v>
      </c>
      <c r="D74" s="6">
        <f>IFERROR(__xludf.DUMMYFUNCTION("""COMPUTED_VALUE"""),660.0)</f>
        <v>660</v>
      </c>
      <c r="E74" s="6">
        <f>IFERROR(__xludf.DUMMYFUNCTION("""COMPUTED_VALUE"""),670.95)</f>
        <v>670.95</v>
      </c>
      <c r="F74" s="6">
        <f>IFERROR(__xludf.DUMMYFUNCTION("""COMPUTED_VALUE"""),9729517.0)</f>
        <v>9729517</v>
      </c>
    </row>
    <row r="75">
      <c r="A75" s="7">
        <f>IFERROR(__xludf.DUMMYFUNCTION("""COMPUTED_VALUE"""),45716.64583333333)</f>
        <v>45716.64583</v>
      </c>
      <c r="B75" s="6">
        <f>IFERROR(__xludf.DUMMYFUNCTION("""COMPUTED_VALUE"""),670.0)</f>
        <v>670</v>
      </c>
      <c r="C75" s="6">
        <f>IFERROR(__xludf.DUMMYFUNCTION("""COMPUTED_VALUE"""),686.35)</f>
        <v>686.35</v>
      </c>
      <c r="D75" s="6">
        <f>IFERROR(__xludf.DUMMYFUNCTION("""COMPUTED_VALUE"""),648.05)</f>
        <v>648.05</v>
      </c>
      <c r="E75" s="6">
        <f>IFERROR(__xludf.DUMMYFUNCTION("""COMPUTED_VALUE"""),650.9)</f>
        <v>650.9</v>
      </c>
      <c r="F75" s="6">
        <f>IFERROR(__xludf.DUMMYFUNCTION("""COMPUTED_VALUE"""),5767688.0)</f>
        <v>5767688</v>
      </c>
    </row>
    <row r="76">
      <c r="A76" s="7">
        <f>IFERROR(__xludf.DUMMYFUNCTION("""COMPUTED_VALUE"""),45723.64583333333)</f>
        <v>45723.64583</v>
      </c>
      <c r="B76" s="6">
        <f>IFERROR(__xludf.DUMMYFUNCTION("""COMPUTED_VALUE"""),652.55)</f>
        <v>652.55</v>
      </c>
      <c r="C76" s="6">
        <f>IFERROR(__xludf.DUMMYFUNCTION("""COMPUTED_VALUE"""),753.9)</f>
        <v>753.9</v>
      </c>
      <c r="D76" s="6">
        <f>IFERROR(__xludf.DUMMYFUNCTION("""COMPUTED_VALUE"""),639.45)</f>
        <v>639.45</v>
      </c>
      <c r="E76" s="6">
        <f>IFERROR(__xludf.DUMMYFUNCTION("""COMPUTED_VALUE"""),747.6)</f>
        <v>747.6</v>
      </c>
      <c r="F76" s="6">
        <f>IFERROR(__xludf.DUMMYFUNCTION("""COMPUTED_VALUE"""),1.6019935E7)</f>
        <v>16019935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IFERROR(__xludf.DUMMYFUNCTION("""COMPUTED_VALUE"""),747.0)</f>
        <v>747</v>
      </c>
      <c r="C77" s="6">
        <f>IFERROR(__xludf.DUMMYFUNCTION("""COMPUTED_VALUE"""),795.95)</f>
        <v>795.95</v>
      </c>
      <c r="D77" s="6">
        <f>IFERROR(__xludf.DUMMYFUNCTION("""COMPUTED_VALUE"""),738.0)</f>
        <v>738</v>
      </c>
      <c r="E77" s="6">
        <f>IFERROR(__xludf.DUMMYFUNCTION("""COMPUTED_VALUE"""),783.2)</f>
        <v>783.2</v>
      </c>
      <c r="F77" s="6">
        <f>IFERROR(__xludf.DUMMYFUNCTION("""COMPUTED_VALUE"""),1.4582888E7)</f>
        <v>14582888</v>
      </c>
    </row>
    <row r="78">
      <c r="A78" s="7">
        <f>IFERROR(__xludf.DUMMYFUNCTION("""COMPUTED_VALUE"""),45737.64583333333)</f>
        <v>45737.64583</v>
      </c>
      <c r="B78" s="6">
        <f>IFERROR(__xludf.DUMMYFUNCTION("""COMPUTED_VALUE"""),779.8)</f>
        <v>779.8</v>
      </c>
      <c r="C78" s="6">
        <f>IFERROR(__xludf.DUMMYFUNCTION("""COMPUTED_VALUE"""),846.95)</f>
        <v>846.95</v>
      </c>
      <c r="D78" s="6">
        <f>IFERROR(__xludf.DUMMYFUNCTION("""COMPUTED_VALUE"""),776.8)</f>
        <v>776.8</v>
      </c>
      <c r="E78" s="6">
        <f>IFERROR(__xludf.DUMMYFUNCTION("""COMPUTED_VALUE"""),831.7)</f>
        <v>831.7</v>
      </c>
      <c r="F78" s="6">
        <f>IFERROR(__xludf.DUMMYFUNCTION("""COMPUTED_VALUE"""),8611607.0)</f>
        <v>8611607</v>
      </c>
    </row>
    <row r="79">
      <c r="A79" s="7">
        <f>IFERROR(__xludf.DUMMYFUNCTION("""COMPUTED_VALUE"""),45744.64583333333)</f>
        <v>45744.64583</v>
      </c>
      <c r="B79" s="6">
        <f>IFERROR(__xludf.DUMMYFUNCTION("""COMPUTED_VALUE"""),838.75)</f>
        <v>838.75</v>
      </c>
      <c r="C79" s="6">
        <f>IFERROR(__xludf.DUMMYFUNCTION("""COMPUTED_VALUE"""),894.9)</f>
        <v>894.9</v>
      </c>
      <c r="D79" s="6">
        <f>IFERROR(__xludf.DUMMYFUNCTION("""COMPUTED_VALUE"""),796.05)</f>
        <v>796.05</v>
      </c>
      <c r="E79" s="6">
        <f>IFERROR(__xludf.DUMMYFUNCTION("""COMPUTED_VALUE"""),872.0)</f>
        <v>872</v>
      </c>
      <c r="F79" s="6">
        <f>IFERROR(__xludf.DUMMYFUNCTION("""COMPUTED_VALUE"""),1.8500935E7)</f>
        <v>18500935</v>
      </c>
    </row>
    <row r="80">
      <c r="A80" s="7">
        <f>IFERROR(__xludf.DUMMYFUNCTION("""COMPUTED_VALUE"""),45751.64583333333)</f>
        <v>45751.64583</v>
      </c>
      <c r="B80" s="6">
        <f>IFERROR(__xludf.DUMMYFUNCTION("""COMPUTED_VALUE"""),857.4)</f>
        <v>857.4</v>
      </c>
      <c r="C80" s="6">
        <f>IFERROR(__xludf.DUMMYFUNCTION("""COMPUTED_VALUE"""),901.0)</f>
        <v>901</v>
      </c>
      <c r="D80" s="6">
        <f>IFERROR(__xludf.DUMMYFUNCTION("""COMPUTED_VALUE"""),839.3)</f>
        <v>839.3</v>
      </c>
      <c r="E80" s="6">
        <f>IFERROR(__xludf.DUMMYFUNCTION("""COMPUTED_VALUE"""),859.4)</f>
        <v>859.4</v>
      </c>
      <c r="F80" s="6">
        <f>IFERROR(__xludf.DUMMYFUNCTION("""COMPUTED_VALUE"""),7096156.0)</f>
        <v>7096156</v>
      </c>
    </row>
    <row r="81">
      <c r="A81" s="7">
        <f>IFERROR(__xludf.DUMMYFUNCTION("""COMPUTED_VALUE"""),45758.64583333333)</f>
        <v>45758.64583</v>
      </c>
      <c r="B81" s="6">
        <f>IFERROR(__xludf.DUMMYFUNCTION("""COMPUTED_VALUE"""),780.5)</f>
        <v>780.5</v>
      </c>
      <c r="C81" s="6">
        <f>IFERROR(__xludf.DUMMYFUNCTION("""COMPUTED_VALUE"""),863.35)</f>
        <v>863.35</v>
      </c>
      <c r="D81" s="6">
        <f>IFERROR(__xludf.DUMMYFUNCTION("""COMPUTED_VALUE"""),780.5)</f>
        <v>780.5</v>
      </c>
      <c r="E81" s="6">
        <f>IFERROR(__xludf.DUMMYFUNCTION("""COMPUTED_VALUE"""),844.8)</f>
        <v>844.8</v>
      </c>
      <c r="F81" s="6">
        <f>IFERROR(__xludf.DUMMYFUNCTION("""COMPUTED_VALUE"""),7282587.0)</f>
        <v>7282587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IFERROR(__xludf.DUMMYFUNCTION("""COMPUTED_VALUE"""),855.65)</f>
        <v>855.65</v>
      </c>
      <c r="C82" s="6">
        <f>IFERROR(__xludf.DUMMYFUNCTION("""COMPUTED_VALUE"""),937.0)</f>
        <v>937</v>
      </c>
      <c r="D82" s="6">
        <f>IFERROR(__xludf.DUMMYFUNCTION("""COMPUTED_VALUE"""),851.45)</f>
        <v>851.45</v>
      </c>
      <c r="E82" s="6">
        <f>IFERROR(__xludf.DUMMYFUNCTION("""COMPUTED_VALUE"""),914.15)</f>
        <v>914.15</v>
      </c>
      <c r="F82" s="6">
        <f>IFERROR(__xludf.DUMMYFUNCTION("""COMPUTED_VALUE"""),9056115.0)</f>
        <v>9056115</v>
      </c>
    </row>
    <row r="83">
      <c r="A83" s="7">
        <f>IFERROR(__xludf.DUMMYFUNCTION("""COMPUTED_VALUE"""),45772.64583333333)</f>
        <v>45772.64583</v>
      </c>
      <c r="B83" s="6">
        <f>IFERROR(__xludf.DUMMYFUNCTION("""COMPUTED_VALUE"""),924.0)</f>
        <v>924</v>
      </c>
      <c r="C83" s="6">
        <f>IFERROR(__xludf.DUMMYFUNCTION("""COMPUTED_VALUE"""),981.0)</f>
        <v>981</v>
      </c>
      <c r="D83" s="6">
        <f>IFERROR(__xludf.DUMMYFUNCTION("""COMPUTED_VALUE"""),901.6)</f>
        <v>901.6</v>
      </c>
      <c r="E83" s="6">
        <f>IFERROR(__xludf.DUMMYFUNCTION("""COMPUTED_VALUE"""),914.35)</f>
        <v>914.35</v>
      </c>
      <c r="F83" s="6">
        <f>IFERROR(__xludf.DUMMYFUNCTION("""COMPUTED_VALUE"""),1.5740137E7)</f>
        <v>15740137</v>
      </c>
    </row>
    <row r="84">
      <c r="A84" s="7">
        <f>IFERROR(__xludf.DUMMYFUNCTION("""COMPUTED_VALUE"""),45779.64583333333)</f>
        <v>45779.64583</v>
      </c>
      <c r="B84" s="6">
        <f>IFERROR(__xludf.DUMMYFUNCTION("""COMPUTED_VALUE"""),914.0)</f>
        <v>914</v>
      </c>
      <c r="C84" s="6">
        <f>IFERROR(__xludf.DUMMYFUNCTION("""COMPUTED_VALUE"""),941.6)</f>
        <v>941.6</v>
      </c>
      <c r="D84" s="6">
        <f>IFERROR(__xludf.DUMMYFUNCTION("""COMPUTED_VALUE"""),892.0)</f>
        <v>892</v>
      </c>
      <c r="E84" s="6">
        <f>IFERROR(__xludf.DUMMYFUNCTION("""COMPUTED_VALUE"""),907.15)</f>
        <v>907.15</v>
      </c>
      <c r="F84" s="6">
        <f>IFERROR(__xludf.DUMMYFUNCTION("""COMPUTED_VALUE"""),6782600.0)</f>
        <v>6782600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IFERROR(__xludf.DUMMYFUNCTION("""COMPUTED_VALUE"""),911.0)</f>
        <v>911</v>
      </c>
      <c r="C85" s="6">
        <f>IFERROR(__xludf.DUMMYFUNCTION("""COMPUTED_VALUE"""),980.85)</f>
        <v>980.85</v>
      </c>
      <c r="D85" s="6">
        <f>IFERROR(__xludf.DUMMYFUNCTION("""COMPUTED_VALUE"""),806.1)</f>
        <v>806.1</v>
      </c>
      <c r="E85" s="6">
        <f>IFERROR(__xludf.DUMMYFUNCTION("""COMPUTED_VALUE"""),827.1)</f>
        <v>827.1</v>
      </c>
      <c r="F85" s="6">
        <f>IFERROR(__xludf.DUMMYFUNCTION("""COMPUTED_VALUE"""),1.9895356E7)</f>
        <v>19895356</v>
      </c>
    </row>
    <row r="86">
      <c r="A86" s="7">
        <f>IFERROR(__xludf.DUMMYFUNCTION("""COMPUTED_VALUE"""),45793.64583333333)</f>
        <v>45793.64583</v>
      </c>
      <c r="B86" s="6">
        <f>IFERROR(__xludf.DUMMYFUNCTION("""COMPUTED_VALUE"""),860.0)</f>
        <v>860</v>
      </c>
      <c r="C86" s="6">
        <f>IFERROR(__xludf.DUMMYFUNCTION("""COMPUTED_VALUE"""),934.75)</f>
        <v>934.75</v>
      </c>
      <c r="D86" s="6">
        <f>IFERROR(__xludf.DUMMYFUNCTION("""COMPUTED_VALUE"""),851.05)</f>
        <v>851.05</v>
      </c>
      <c r="E86" s="6">
        <f>IFERROR(__xludf.DUMMYFUNCTION("""COMPUTED_VALUE"""),915.05)</f>
        <v>915.05</v>
      </c>
      <c r="F86" s="6">
        <f>IFERROR(__xludf.DUMMYFUNCTION("""COMPUTED_VALUE"""),1.1506441E7)</f>
        <v>11506441</v>
      </c>
    </row>
    <row r="87">
      <c r="A87" s="7">
        <f>IFERROR(__xludf.DUMMYFUNCTION("""COMPUTED_VALUE"""),45800.64583333333)</f>
        <v>45800.64583</v>
      </c>
      <c r="B87" s="6">
        <f>IFERROR(__xludf.DUMMYFUNCTION("""COMPUTED_VALUE"""),920.0)</f>
        <v>920</v>
      </c>
      <c r="C87" s="6">
        <f>IFERROR(__xludf.DUMMYFUNCTION("""COMPUTED_VALUE"""),920.8)</f>
        <v>920.8</v>
      </c>
      <c r="D87" s="6">
        <f>IFERROR(__xludf.DUMMYFUNCTION("""COMPUTED_VALUE"""),860.5)</f>
        <v>860.5</v>
      </c>
      <c r="E87" s="6">
        <f>IFERROR(__xludf.DUMMYFUNCTION("""COMPUTED_VALUE"""),876.55)</f>
        <v>876.55</v>
      </c>
      <c r="F87" s="6">
        <f>IFERROR(__xludf.DUMMYFUNCTION("""COMPUTED_VALUE"""),6600237.0)</f>
        <v>6600237</v>
      </c>
    </row>
    <row r="88">
      <c r="A88" s="7">
        <f>IFERROR(__xludf.DUMMYFUNCTION("""COMPUTED_VALUE"""),45807.64583333333)</f>
        <v>45807.64583</v>
      </c>
      <c r="B88" s="6">
        <f>IFERROR(__xludf.DUMMYFUNCTION("""COMPUTED_VALUE"""),877.95)</f>
        <v>877.95</v>
      </c>
      <c r="C88" s="6">
        <f>IFERROR(__xludf.DUMMYFUNCTION("""COMPUTED_VALUE"""),898.2)</f>
        <v>898.2</v>
      </c>
      <c r="D88" s="6">
        <f>IFERROR(__xludf.DUMMYFUNCTION("""COMPUTED_VALUE"""),862.0)</f>
        <v>862</v>
      </c>
      <c r="E88" s="6">
        <f>IFERROR(__xludf.DUMMYFUNCTION("""COMPUTED_VALUE"""),867.2)</f>
        <v>867.2</v>
      </c>
      <c r="F88" s="6">
        <f>IFERROR(__xludf.DUMMYFUNCTION("""COMPUTED_VALUE"""),7032387.0)</f>
        <v>7032387</v>
      </c>
    </row>
    <row r="89">
      <c r="A89" s="7">
        <f>IFERROR(__xludf.DUMMYFUNCTION("""COMPUTED_VALUE"""),45814.64583333333)</f>
        <v>45814.64583</v>
      </c>
      <c r="B89" s="6">
        <f>IFERROR(__xludf.DUMMYFUNCTION("""COMPUTED_VALUE"""),874.8)</f>
        <v>874.8</v>
      </c>
      <c r="C89" s="6">
        <f>IFERROR(__xludf.DUMMYFUNCTION("""COMPUTED_VALUE"""),892.5)</f>
        <v>892.5</v>
      </c>
      <c r="D89" s="6">
        <f>IFERROR(__xludf.DUMMYFUNCTION("""COMPUTED_VALUE"""),851.55)</f>
        <v>851.55</v>
      </c>
      <c r="E89" s="6">
        <f>IFERROR(__xludf.DUMMYFUNCTION("""COMPUTED_VALUE"""),884.1)</f>
        <v>884.1</v>
      </c>
      <c r="F89" s="6">
        <f>IFERROR(__xludf.DUMMYFUNCTION("""COMPUTED_VALUE"""),2.6074003E7)</f>
        <v>26074003</v>
      </c>
    </row>
    <row r="90">
      <c r="A90" s="7">
        <f>IFERROR(__xludf.DUMMYFUNCTION("""COMPUTED_VALUE"""),45821.64583333333)</f>
        <v>45821.64583</v>
      </c>
      <c r="B90" s="6">
        <f>IFERROR(__xludf.DUMMYFUNCTION("""COMPUTED_VALUE"""),888.5)</f>
        <v>888.5</v>
      </c>
      <c r="C90" s="6">
        <f>IFERROR(__xludf.DUMMYFUNCTION("""COMPUTED_VALUE"""),924.35)</f>
        <v>924.35</v>
      </c>
      <c r="D90" s="6">
        <f>IFERROR(__xludf.DUMMYFUNCTION("""COMPUTED_VALUE"""),851.7)</f>
        <v>851.7</v>
      </c>
      <c r="E90" s="6">
        <f>IFERROR(__xludf.DUMMYFUNCTION("""COMPUTED_VALUE"""),861.0)</f>
        <v>861</v>
      </c>
      <c r="F90" s="6">
        <f>IFERROR(__xludf.DUMMYFUNCTION("""COMPUTED_VALUE"""),2.8525482E7)</f>
        <v>28525482</v>
      </c>
    </row>
    <row r="91">
      <c r="A91" s="7">
        <f>IFERROR(__xludf.DUMMYFUNCTION("""COMPUTED_VALUE"""),45828.64583333333)</f>
        <v>45828.64583</v>
      </c>
      <c r="B91" s="6">
        <f>IFERROR(__xludf.DUMMYFUNCTION("""COMPUTED_VALUE"""),861.0)</f>
        <v>861</v>
      </c>
      <c r="C91" s="6">
        <f>IFERROR(__xludf.DUMMYFUNCTION("""COMPUTED_VALUE"""),871.0)</f>
        <v>871</v>
      </c>
      <c r="D91" s="6">
        <f>IFERROR(__xludf.DUMMYFUNCTION("""COMPUTED_VALUE"""),818.0)</f>
        <v>818</v>
      </c>
      <c r="E91" s="6">
        <f>IFERROR(__xludf.DUMMYFUNCTION("""COMPUTED_VALUE"""),828.1)</f>
        <v>828.1</v>
      </c>
      <c r="F91" s="6">
        <f>IFERROR(__xludf.DUMMYFUNCTION("""COMPUTED_VALUE"""),1.3627292E7)</f>
        <v>13627292</v>
      </c>
    </row>
    <row r="92">
      <c r="A92" s="7">
        <f>IFERROR(__xludf.DUMMYFUNCTION("""COMPUTED_VALUE"""),45835.64583333333)</f>
        <v>45835.64583</v>
      </c>
      <c r="B92" s="6">
        <f>IFERROR(__xludf.DUMMYFUNCTION("""COMPUTED_VALUE"""),817.95)</f>
        <v>817.95</v>
      </c>
      <c r="C92" s="6">
        <f>IFERROR(__xludf.DUMMYFUNCTION("""COMPUTED_VALUE"""),900.85)</f>
        <v>900.85</v>
      </c>
      <c r="D92" s="6">
        <f>IFERROR(__xludf.DUMMYFUNCTION("""COMPUTED_VALUE"""),817.8)</f>
        <v>817.8</v>
      </c>
      <c r="E92" s="6">
        <f>IFERROR(__xludf.DUMMYFUNCTION("""COMPUTED_VALUE"""),883.7)</f>
        <v>883.7</v>
      </c>
      <c r="F92" s="6">
        <f>IFERROR(__xludf.DUMMYFUNCTION("""COMPUTED_VALUE"""),1.1153514E7)</f>
        <v>11153514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IFERROR(__xludf.DUMMYFUNCTION("""COMPUTED_VALUE"""),886.0)</f>
        <v>886</v>
      </c>
      <c r="C93" s="6">
        <f>IFERROR(__xludf.DUMMYFUNCTION("""COMPUTED_VALUE"""),892.3)</f>
        <v>892.3</v>
      </c>
      <c r="D93" s="6">
        <f>IFERROR(__xludf.DUMMYFUNCTION("""COMPUTED_VALUE"""),867.15)</f>
        <v>867.15</v>
      </c>
      <c r="E93" s="6">
        <f>IFERROR(__xludf.DUMMYFUNCTION("""COMPUTED_VALUE"""),877.2)</f>
        <v>877.2</v>
      </c>
      <c r="F93" s="6">
        <f>IFERROR(__xludf.DUMMYFUNCTION("""COMPUTED_VALUE"""),1.4480993E7)</f>
        <v>14480993</v>
      </c>
    </row>
    <row r="94">
      <c r="A94" s="7">
        <f>IFERROR(__xludf.DUMMYFUNCTION("""COMPUTED_VALUE"""),45849.64583333333)</f>
        <v>45849.64583</v>
      </c>
      <c r="B94" s="6">
        <f>IFERROR(__xludf.DUMMYFUNCTION("""COMPUTED_VALUE"""),876.0)</f>
        <v>876</v>
      </c>
      <c r="C94" s="6">
        <f>IFERROR(__xludf.DUMMYFUNCTION("""COMPUTED_VALUE"""),907.7)</f>
        <v>907.7</v>
      </c>
      <c r="D94" s="6">
        <f>IFERROR(__xludf.DUMMYFUNCTION("""COMPUTED_VALUE"""),869.1)</f>
        <v>869.1</v>
      </c>
      <c r="E94" s="6">
        <f>IFERROR(__xludf.DUMMYFUNCTION("""COMPUTED_VALUE"""),874.05)</f>
        <v>874.05</v>
      </c>
      <c r="F94" s="6">
        <f>IFERROR(__xludf.DUMMYFUNCTION("""COMPUTED_VALUE"""),1.1926078E7)</f>
        <v>11926078</v>
      </c>
    </row>
    <row r="95">
      <c r="A95" s="7">
        <f>IFERROR(__xludf.DUMMYFUNCTION("""COMPUTED_VALUE"""),45856.64583333333)</f>
        <v>45856.64583</v>
      </c>
      <c r="B95" s="6">
        <f>IFERROR(__xludf.DUMMYFUNCTION("""COMPUTED_VALUE"""),876.8)</f>
        <v>876.8</v>
      </c>
      <c r="C95" s="6">
        <f>IFERROR(__xludf.DUMMYFUNCTION("""COMPUTED_VALUE"""),887.8)</f>
        <v>887.8</v>
      </c>
      <c r="D95" s="6">
        <f>IFERROR(__xludf.DUMMYFUNCTION("""COMPUTED_VALUE"""),867.0)</f>
        <v>867</v>
      </c>
      <c r="E95" s="6">
        <f>IFERROR(__xludf.DUMMYFUNCTION("""COMPUTED_VALUE"""),869.35)</f>
        <v>869.35</v>
      </c>
      <c r="F95" s="6">
        <f>IFERROR(__xludf.DUMMYFUNCTION("""COMPUTED_VALUE"""),4278186.0)</f>
        <v>4278186</v>
      </c>
    </row>
    <row r="96">
      <c r="A96" s="7">
        <f>IFERROR(__xludf.DUMMYFUNCTION("""COMPUTED_VALUE"""),45863.64583333333)</f>
        <v>45863.64583</v>
      </c>
      <c r="B96" s="6">
        <f>IFERROR(__xludf.DUMMYFUNCTION("""COMPUTED_VALUE"""),870.95)</f>
        <v>870.95</v>
      </c>
      <c r="C96" s="6">
        <f>IFERROR(__xludf.DUMMYFUNCTION("""COMPUTED_VALUE"""),881.0)</f>
        <v>881</v>
      </c>
      <c r="D96" s="6">
        <f>IFERROR(__xludf.DUMMYFUNCTION("""COMPUTED_VALUE"""),812.15)</f>
        <v>812.15</v>
      </c>
      <c r="E96" s="6">
        <f>IFERROR(__xludf.DUMMYFUNCTION("""COMPUTED_VALUE"""),817.15)</f>
        <v>817.15</v>
      </c>
      <c r="F96" s="6">
        <f>IFERROR(__xludf.DUMMYFUNCTION("""COMPUTED_VALUE"""),6201470.0)</f>
        <v>6201470</v>
      </c>
    </row>
    <row r="97">
      <c r="A97" s="7">
        <f>IFERROR(__xludf.DUMMYFUNCTION("""COMPUTED_VALUE"""),45870.64583333333)</f>
        <v>45870.64583</v>
      </c>
      <c r="B97" s="6">
        <f>IFERROR(__xludf.DUMMYFUNCTION("""COMPUTED_VALUE"""),819.7)</f>
        <v>819.7</v>
      </c>
      <c r="C97" s="6">
        <f>IFERROR(__xludf.DUMMYFUNCTION("""COMPUTED_VALUE"""),834.0)</f>
        <v>834</v>
      </c>
      <c r="D97" s="6">
        <f>IFERROR(__xludf.DUMMYFUNCTION("""COMPUTED_VALUE"""),791.1)</f>
        <v>791.1</v>
      </c>
      <c r="E97" s="6">
        <f>IFERROR(__xludf.DUMMYFUNCTION("""COMPUTED_VALUE"""),793.05)</f>
        <v>793.05</v>
      </c>
      <c r="F97" s="6">
        <f>IFERROR(__xludf.DUMMYFUNCTION("""COMPUTED_VALUE"""),4413133.0)</f>
        <v>4413133</v>
      </c>
    </row>
    <row r="98">
      <c r="A98" s="7">
        <f>IFERROR(__xludf.DUMMYFUNCTION("""COMPUTED_VALUE"""),45877.64583333333)</f>
        <v>45877.64583</v>
      </c>
      <c r="B98" s="6">
        <f>IFERROR(__xludf.DUMMYFUNCTION("""COMPUTED_VALUE"""),796.95)</f>
        <v>796.95</v>
      </c>
      <c r="C98" s="6">
        <f>IFERROR(__xludf.DUMMYFUNCTION("""COMPUTED_VALUE"""),806.35)</f>
        <v>806.35</v>
      </c>
      <c r="D98" s="6">
        <f>IFERROR(__xludf.DUMMYFUNCTION("""COMPUTED_VALUE"""),769.05)</f>
        <v>769.05</v>
      </c>
      <c r="E98" s="6">
        <f>IFERROR(__xludf.DUMMYFUNCTION("""COMPUTED_VALUE"""),790.15)</f>
        <v>790.15</v>
      </c>
      <c r="F98" s="6">
        <f>IFERROR(__xludf.DUMMYFUNCTION("""COMPUTED_VALUE"""),2.7373913E7)</f>
        <v>27373913</v>
      </c>
    </row>
    <row r="99">
      <c r="A99" s="7">
        <f>IFERROR(__xludf.DUMMYFUNCTION("""COMPUTED_VALUE"""),45883.64583333333)</f>
        <v>45883.64583</v>
      </c>
      <c r="B99" s="6">
        <f>IFERROR(__xludf.DUMMYFUNCTION("""COMPUTED_VALUE"""),788.0)</f>
        <v>788</v>
      </c>
      <c r="C99" s="6">
        <f>IFERROR(__xludf.DUMMYFUNCTION("""COMPUTED_VALUE"""),801.15)</f>
        <v>801.15</v>
      </c>
      <c r="D99" s="6">
        <f>IFERROR(__xludf.DUMMYFUNCTION("""COMPUTED_VALUE"""),774.45)</f>
        <v>774.45</v>
      </c>
      <c r="E99" s="6">
        <f>IFERROR(__xludf.DUMMYFUNCTION("""COMPUTED_VALUE"""),775.8)</f>
        <v>775.8</v>
      </c>
      <c r="F99" s="6">
        <f>IFERROR(__xludf.DUMMYFUNCTION("""COMPUTED_VALUE"""),8726570.0)</f>
        <v>8726570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IFERROR(__xludf.DUMMYFUNCTION("""COMPUTED_VALUE"""),787.0)</f>
        <v>787</v>
      </c>
      <c r="C100" s="6">
        <f>IFERROR(__xludf.DUMMYFUNCTION("""COMPUTED_VALUE"""),831.9)</f>
        <v>831.9</v>
      </c>
      <c r="D100" s="6">
        <f>IFERROR(__xludf.DUMMYFUNCTION("""COMPUTED_VALUE"""),783.0)</f>
        <v>783</v>
      </c>
      <c r="E100" s="6">
        <f>IFERROR(__xludf.DUMMYFUNCTION("""COMPUTED_VALUE"""),800.15)</f>
        <v>800.15</v>
      </c>
      <c r="F100" s="6">
        <f>IFERROR(__xludf.DUMMYFUNCTION("""COMPUTED_VALUE"""),4220750.0)</f>
        <v>4220750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IFERROR(__xludf.DUMMYFUNCTION("""COMPUTED_VALUE"""),805.0)</f>
        <v>805</v>
      </c>
      <c r="C101" s="6">
        <f>IFERROR(__xludf.DUMMYFUNCTION("""COMPUTED_VALUE"""),807.85)</f>
        <v>807.85</v>
      </c>
      <c r="D101" s="6">
        <f>IFERROR(__xludf.DUMMYFUNCTION("""COMPUTED_VALUE"""),787.75)</f>
        <v>787.75</v>
      </c>
      <c r="E101" s="6">
        <f>IFERROR(__xludf.DUMMYFUNCTION("""COMPUTED_VALUE"""),788.65)</f>
        <v>788.65</v>
      </c>
      <c r="F101" s="6">
        <f>IFERROR(__xludf.DUMMYFUNCTION("""COMPUTED_VALUE"""),1.0631978E7)</f>
        <v>10631978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IFERROR(__xludf.DUMMYFUNCTION("GOOGLEFINANCE(""NSE:ADANIENT"",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IFERROR(__xludf.DUMMYFUNCTION("""COMPUTED_VALUE"""),2550.0)</f>
        <v>2550</v>
      </c>
      <c r="C2" s="6">
        <f>IFERROR(__xludf.DUMMYFUNCTION("""COMPUTED_VALUE"""),2582.0)</f>
        <v>2582</v>
      </c>
      <c r="D2" s="6">
        <f>IFERROR(__xludf.DUMMYFUNCTION("""COMPUTED_VALUE"""),2380.0)</f>
        <v>2380</v>
      </c>
      <c r="E2" s="6">
        <f>IFERROR(__xludf.DUMMYFUNCTION("""COMPUTED_VALUE"""),2450.05)</f>
        <v>2450.05</v>
      </c>
      <c r="F2" s="6">
        <f>IFERROR(__xludf.DUMMYFUNCTION("""COMPUTED_VALUE"""),2.8738547E7)</f>
        <v>28738547</v>
      </c>
    </row>
    <row r="3">
      <c r="A3" s="7">
        <f>IFERROR(__xludf.DUMMYFUNCTION("""COMPUTED_VALUE"""),45177.64583333333)</f>
        <v>45177.64583</v>
      </c>
      <c r="B3" s="6">
        <f>IFERROR(__xludf.DUMMYFUNCTION("""COMPUTED_VALUE"""),2454.0)</f>
        <v>2454</v>
      </c>
      <c r="C3" s="6">
        <f>IFERROR(__xludf.DUMMYFUNCTION("""COMPUTED_VALUE"""),2538.6)</f>
        <v>2538.6</v>
      </c>
      <c r="D3" s="6">
        <f>IFERROR(__xludf.DUMMYFUNCTION("""COMPUTED_VALUE"""),2450.05)</f>
        <v>2450.05</v>
      </c>
      <c r="E3" s="6">
        <f>IFERROR(__xludf.DUMMYFUNCTION("""COMPUTED_VALUE"""),2519.3)</f>
        <v>2519.3</v>
      </c>
      <c r="F3" s="6">
        <f>IFERROR(__xludf.DUMMYFUNCTION("""COMPUTED_VALUE"""),2.9843982E7)</f>
        <v>29843982</v>
      </c>
    </row>
    <row r="4">
      <c r="A4" s="7">
        <f>IFERROR(__xludf.DUMMYFUNCTION("""COMPUTED_VALUE"""),45184.64583333333)</f>
        <v>45184.64583</v>
      </c>
      <c r="B4" s="6">
        <f>IFERROR(__xludf.DUMMYFUNCTION("""COMPUTED_VALUE"""),2565.0)</f>
        <v>2565</v>
      </c>
      <c r="C4" s="6">
        <f>IFERROR(__xludf.DUMMYFUNCTION("""COMPUTED_VALUE"""),2630.25)</f>
        <v>2630.25</v>
      </c>
      <c r="D4" s="6">
        <f>IFERROR(__xludf.DUMMYFUNCTION("""COMPUTED_VALUE"""),2496.0)</f>
        <v>2496</v>
      </c>
      <c r="E4" s="6">
        <f>IFERROR(__xludf.DUMMYFUNCTION("""COMPUTED_VALUE"""),2540.05)</f>
        <v>2540.05</v>
      </c>
      <c r="F4" s="6">
        <f>IFERROR(__xludf.DUMMYFUNCTION("""COMPUTED_VALUE"""),1.9352565E7)</f>
        <v>19352565</v>
      </c>
    </row>
    <row r="5">
      <c r="A5" s="7">
        <f>IFERROR(__xludf.DUMMYFUNCTION("""COMPUTED_VALUE"""),45191.64583333333)</f>
        <v>45191.64583</v>
      </c>
      <c r="B5" s="6">
        <f>IFERROR(__xludf.DUMMYFUNCTION("""COMPUTED_VALUE"""),2552.0)</f>
        <v>2552</v>
      </c>
      <c r="C5" s="6">
        <f>IFERROR(__xludf.DUMMYFUNCTION("""COMPUTED_VALUE"""),2555.0)</f>
        <v>2555</v>
      </c>
      <c r="D5" s="6">
        <f>IFERROR(__xludf.DUMMYFUNCTION("""COMPUTED_VALUE"""),2458.9)</f>
        <v>2458.9</v>
      </c>
      <c r="E5" s="6">
        <f>IFERROR(__xludf.DUMMYFUNCTION("""COMPUTED_VALUE"""),2464.9)</f>
        <v>2464.9</v>
      </c>
      <c r="F5" s="6">
        <f>IFERROR(__xludf.DUMMYFUNCTION("""COMPUTED_VALUE"""),4210193.0)</f>
        <v>4210193</v>
      </c>
    </row>
    <row r="6">
      <c r="A6" s="7">
        <f>IFERROR(__xludf.DUMMYFUNCTION("""COMPUTED_VALUE"""),45198.64583333333)</f>
        <v>45198.64583</v>
      </c>
      <c r="B6" s="6">
        <f>IFERROR(__xludf.DUMMYFUNCTION("""COMPUTED_VALUE"""),2479.95)</f>
        <v>2479.95</v>
      </c>
      <c r="C6" s="6">
        <f>IFERROR(__xludf.DUMMYFUNCTION("""COMPUTED_VALUE"""),2511.0)</f>
        <v>2511</v>
      </c>
      <c r="D6" s="6">
        <f>IFERROR(__xludf.DUMMYFUNCTION("""COMPUTED_VALUE"""),2405.05)</f>
        <v>2405.05</v>
      </c>
      <c r="E6" s="6">
        <f>IFERROR(__xludf.DUMMYFUNCTION("""COMPUTED_VALUE"""),2413.9)</f>
        <v>2413.9</v>
      </c>
      <c r="F6" s="6">
        <f>IFERROR(__xludf.DUMMYFUNCTION("""COMPUTED_VALUE"""),6907895.0)</f>
        <v>6907895</v>
      </c>
    </row>
    <row r="7">
      <c r="A7" s="7">
        <f>IFERROR(__xludf.DUMMYFUNCTION("""COMPUTED_VALUE"""),45205.64583333333)</f>
        <v>45205.64583</v>
      </c>
      <c r="B7" s="6">
        <f>IFERROR(__xludf.DUMMYFUNCTION("""COMPUTED_VALUE"""),2418.0)</f>
        <v>2418</v>
      </c>
      <c r="C7" s="6">
        <f>IFERROR(__xludf.DUMMYFUNCTION("""COMPUTED_VALUE"""),2514.95)</f>
        <v>2514.95</v>
      </c>
      <c r="D7" s="6">
        <f>IFERROR(__xludf.DUMMYFUNCTION("""COMPUTED_VALUE"""),2372.0)</f>
        <v>2372</v>
      </c>
      <c r="E7" s="6">
        <f>IFERROR(__xludf.DUMMYFUNCTION("""COMPUTED_VALUE"""),2478.1)</f>
        <v>2478.1</v>
      </c>
      <c r="F7" s="6">
        <f>IFERROR(__xludf.DUMMYFUNCTION("""COMPUTED_VALUE"""),7519766.0)</f>
        <v>7519766</v>
      </c>
    </row>
    <row r="8">
      <c r="A8" s="7">
        <f>IFERROR(__xludf.DUMMYFUNCTION("""COMPUTED_VALUE"""),45212.64583333333)</f>
        <v>45212.64583</v>
      </c>
      <c r="B8" s="6">
        <f>IFERROR(__xludf.DUMMYFUNCTION("""COMPUTED_VALUE"""),2440.0)</f>
        <v>2440</v>
      </c>
      <c r="C8" s="6">
        <f>IFERROR(__xludf.DUMMYFUNCTION("""COMPUTED_VALUE"""),2538.0)</f>
        <v>2538</v>
      </c>
      <c r="D8" s="6">
        <f>IFERROR(__xludf.DUMMYFUNCTION("""COMPUTED_VALUE"""),2411.3)</f>
        <v>2411.3</v>
      </c>
      <c r="E8" s="6">
        <f>IFERROR(__xludf.DUMMYFUNCTION("""COMPUTED_VALUE"""),2454.55)</f>
        <v>2454.55</v>
      </c>
      <c r="F8" s="6">
        <f>IFERROR(__xludf.DUMMYFUNCTION("""COMPUTED_VALUE"""),8891470.0)</f>
        <v>8891470</v>
      </c>
    </row>
    <row r="9">
      <c r="A9" s="7">
        <f>IFERROR(__xludf.DUMMYFUNCTION("""COMPUTED_VALUE"""),45219.64583333333)</f>
        <v>45219.64583</v>
      </c>
      <c r="B9" s="6">
        <f>IFERROR(__xludf.DUMMYFUNCTION("""COMPUTED_VALUE"""),2454.55)</f>
        <v>2454.55</v>
      </c>
      <c r="C9" s="6">
        <f>IFERROR(__xludf.DUMMYFUNCTION("""COMPUTED_VALUE"""),2464.7)</f>
        <v>2464.7</v>
      </c>
      <c r="D9" s="6">
        <f>IFERROR(__xludf.DUMMYFUNCTION("""COMPUTED_VALUE"""),2382.05)</f>
        <v>2382.05</v>
      </c>
      <c r="E9" s="6">
        <f>IFERROR(__xludf.DUMMYFUNCTION("""COMPUTED_VALUE"""),2393.75)</f>
        <v>2393.75</v>
      </c>
      <c r="F9" s="6">
        <f>IFERROR(__xludf.DUMMYFUNCTION("""COMPUTED_VALUE"""),4697548.0)</f>
        <v>4697548</v>
      </c>
    </row>
    <row r="10">
      <c r="A10" s="7">
        <f>IFERROR(__xludf.DUMMYFUNCTION("""COMPUTED_VALUE"""),45226.64583333333)</f>
        <v>45226.64583</v>
      </c>
      <c r="B10" s="6">
        <f>IFERROR(__xludf.DUMMYFUNCTION("""COMPUTED_VALUE"""),2397.8)</f>
        <v>2397.8</v>
      </c>
      <c r="C10" s="6">
        <f>IFERROR(__xludf.DUMMYFUNCTION("""COMPUTED_VALUE"""),2412.35)</f>
        <v>2412.35</v>
      </c>
      <c r="D10" s="6">
        <f>IFERROR(__xludf.DUMMYFUNCTION("""COMPUTED_VALUE"""),2167.05)</f>
        <v>2167.05</v>
      </c>
      <c r="E10" s="6">
        <f>IFERROR(__xludf.DUMMYFUNCTION("""COMPUTED_VALUE"""),2261.7)</f>
        <v>2261.7</v>
      </c>
      <c r="F10" s="6">
        <f>IFERROR(__xludf.DUMMYFUNCTION("""COMPUTED_VALUE"""),6494734.0)</f>
        <v>6494734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IFERROR(__xludf.DUMMYFUNCTION("""COMPUTED_VALUE"""),2260.05)</f>
        <v>2260.05</v>
      </c>
      <c r="C11" s="6">
        <f>IFERROR(__xludf.DUMMYFUNCTION("""COMPUTED_VALUE"""),2320.0)</f>
        <v>2320</v>
      </c>
      <c r="D11" s="6">
        <f>IFERROR(__xludf.DUMMYFUNCTION("""COMPUTED_VALUE"""),2204.2)</f>
        <v>2204.2</v>
      </c>
      <c r="E11" s="6">
        <f>IFERROR(__xludf.DUMMYFUNCTION("""COMPUTED_VALUE"""),2229.85)</f>
        <v>2229.85</v>
      </c>
      <c r="F11" s="6">
        <f>IFERROR(__xludf.DUMMYFUNCTION("""COMPUTED_VALUE"""),8012604.0)</f>
        <v>8012604</v>
      </c>
    </row>
    <row r="12">
      <c r="A12" s="7">
        <f>IFERROR(__xludf.DUMMYFUNCTION("""COMPUTED_VALUE"""),45240.64583333333)</f>
        <v>45240.64583</v>
      </c>
      <c r="B12" s="6">
        <f>IFERROR(__xludf.DUMMYFUNCTION("""COMPUTED_VALUE"""),2253.95)</f>
        <v>2253.95</v>
      </c>
      <c r="C12" s="6">
        <f>IFERROR(__xludf.DUMMYFUNCTION("""COMPUTED_VALUE"""),2298.0)</f>
        <v>2298</v>
      </c>
      <c r="D12" s="6">
        <f>IFERROR(__xludf.DUMMYFUNCTION("""COMPUTED_VALUE"""),2198.5)</f>
        <v>2198.5</v>
      </c>
      <c r="E12" s="6">
        <f>IFERROR(__xludf.DUMMYFUNCTION("""COMPUTED_VALUE"""),2205.1)</f>
        <v>2205.1</v>
      </c>
      <c r="F12" s="6">
        <f>IFERROR(__xludf.DUMMYFUNCTION("""COMPUTED_VALUE"""),4921282.0)</f>
        <v>4921282</v>
      </c>
    </row>
    <row r="13">
      <c r="A13" s="7">
        <f>IFERROR(__xludf.DUMMYFUNCTION("""COMPUTED_VALUE"""),45247.64583333333)</f>
        <v>45247.64583</v>
      </c>
      <c r="B13" s="6">
        <f>IFERROR(__xludf.DUMMYFUNCTION("""COMPUTED_VALUE"""),2219.7)</f>
        <v>2219.7</v>
      </c>
      <c r="C13" s="6">
        <f>IFERROR(__xludf.DUMMYFUNCTION("""COMPUTED_VALUE"""),2250.0)</f>
        <v>2250</v>
      </c>
      <c r="D13" s="6">
        <f>IFERROR(__xludf.DUMMYFUNCTION("""COMPUTED_VALUE"""),2195.55)</f>
        <v>2195.55</v>
      </c>
      <c r="E13" s="6">
        <f>IFERROR(__xludf.DUMMYFUNCTION("""COMPUTED_VALUE"""),2208.8)</f>
        <v>2208.8</v>
      </c>
      <c r="F13" s="6">
        <f>IFERROR(__xludf.DUMMYFUNCTION("""COMPUTED_VALUE"""),3922530.0)</f>
        <v>3922530</v>
      </c>
    </row>
    <row r="14">
      <c r="A14" s="7">
        <f>IFERROR(__xludf.DUMMYFUNCTION("""COMPUTED_VALUE"""),45254.64583333333)</f>
        <v>45254.64583</v>
      </c>
      <c r="B14" s="6">
        <f>IFERROR(__xludf.DUMMYFUNCTION("""COMPUTED_VALUE"""),2211.0)</f>
        <v>2211</v>
      </c>
      <c r="C14" s="6">
        <f>IFERROR(__xludf.DUMMYFUNCTION("""COMPUTED_VALUE"""),2251.95)</f>
        <v>2251.95</v>
      </c>
      <c r="D14" s="6">
        <f>IFERROR(__xludf.DUMMYFUNCTION("""COMPUTED_VALUE"""),2142.0)</f>
        <v>2142</v>
      </c>
      <c r="E14" s="6">
        <f>IFERROR(__xludf.DUMMYFUNCTION("""COMPUTED_VALUE"""),2225.45)</f>
        <v>2225.45</v>
      </c>
      <c r="F14" s="6">
        <f>IFERROR(__xludf.DUMMYFUNCTION("""COMPUTED_VALUE"""),7339293.0)</f>
        <v>7339293</v>
      </c>
    </row>
    <row r="15">
      <c r="A15" s="7">
        <f>IFERROR(__xludf.DUMMYFUNCTION("""COMPUTED_VALUE"""),45261.64583333333)</f>
        <v>45261.64583</v>
      </c>
      <c r="B15" s="6">
        <f>IFERROR(__xludf.DUMMYFUNCTION("""COMPUTED_VALUE"""),2301.0)</f>
        <v>2301</v>
      </c>
      <c r="C15" s="6">
        <f>IFERROR(__xludf.DUMMYFUNCTION("""COMPUTED_VALUE"""),2512.4)</f>
        <v>2512.4</v>
      </c>
      <c r="D15" s="6">
        <f>IFERROR(__xludf.DUMMYFUNCTION("""COMPUTED_VALUE"""),2275.0)</f>
        <v>2275</v>
      </c>
      <c r="E15" s="6">
        <f>IFERROR(__xludf.DUMMYFUNCTION("""COMPUTED_VALUE"""),2362.7)</f>
        <v>2362.7</v>
      </c>
      <c r="F15" s="6">
        <f>IFERROR(__xludf.DUMMYFUNCTION("""COMPUTED_VALUE"""),2.1310711E7)</f>
        <v>21310711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IFERROR(__xludf.DUMMYFUNCTION("""COMPUTED_VALUE"""),2549.95)</f>
        <v>2549.95</v>
      </c>
      <c r="C16" s="6">
        <f>IFERROR(__xludf.DUMMYFUNCTION("""COMPUTED_VALUE"""),3154.55)</f>
        <v>3154.55</v>
      </c>
      <c r="D16" s="6">
        <f>IFERROR(__xludf.DUMMYFUNCTION("""COMPUTED_VALUE"""),2487.45)</f>
        <v>2487.45</v>
      </c>
      <c r="E16" s="6">
        <f>IFERROR(__xludf.DUMMYFUNCTION("""COMPUTED_VALUE"""),2822.15)</f>
        <v>2822.15</v>
      </c>
      <c r="F16" s="6">
        <f>IFERROR(__xludf.DUMMYFUNCTION("""COMPUTED_VALUE"""),6.1201687E7)</f>
        <v>61201687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IFERROR(__xludf.DUMMYFUNCTION("""COMPUTED_VALUE"""),2837.05)</f>
        <v>2837.05</v>
      </c>
      <c r="C17" s="6">
        <f>IFERROR(__xludf.DUMMYFUNCTION("""COMPUTED_VALUE"""),3000.0)</f>
        <v>3000</v>
      </c>
      <c r="D17" s="6">
        <f>IFERROR(__xludf.DUMMYFUNCTION("""COMPUTED_VALUE"""),2805.0)</f>
        <v>2805</v>
      </c>
      <c r="E17" s="6">
        <f>IFERROR(__xludf.DUMMYFUNCTION("""COMPUTED_VALUE"""),2991.8)</f>
        <v>2991.8</v>
      </c>
      <c r="F17" s="6">
        <f>IFERROR(__xludf.DUMMYFUNCTION("""COMPUTED_VALUE"""),1.8033892E7)</f>
        <v>18033892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IFERROR(__xludf.DUMMYFUNCTION("""COMPUTED_VALUE"""),2993.95)</f>
        <v>2993.95</v>
      </c>
      <c r="C18" s="6">
        <f>IFERROR(__xludf.DUMMYFUNCTION("""COMPUTED_VALUE"""),3027.75)</f>
        <v>3027.75</v>
      </c>
      <c r="D18" s="6">
        <f>IFERROR(__xludf.DUMMYFUNCTION("""COMPUTED_VALUE"""),2725.0)</f>
        <v>2725</v>
      </c>
      <c r="E18" s="6">
        <f>IFERROR(__xludf.DUMMYFUNCTION("""COMPUTED_VALUE"""),2808.35)</f>
        <v>2808.35</v>
      </c>
      <c r="F18" s="6">
        <f>IFERROR(__xludf.DUMMYFUNCTION("""COMPUTED_VALUE"""),1.1667687E7)</f>
        <v>11667687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IFERROR(__xludf.DUMMYFUNCTION("""COMPUTED_VALUE"""),2817.0)</f>
        <v>2817</v>
      </c>
      <c r="C19" s="6">
        <f>IFERROR(__xludf.DUMMYFUNCTION("""COMPUTED_VALUE"""),2894.8)</f>
        <v>2894.8</v>
      </c>
      <c r="D19" s="6">
        <f>IFERROR(__xludf.DUMMYFUNCTION("""COMPUTED_VALUE"""),2800.1)</f>
        <v>2800.1</v>
      </c>
      <c r="E19" s="6">
        <f>IFERROR(__xludf.DUMMYFUNCTION("""COMPUTED_VALUE"""),2848.95)</f>
        <v>2848.95</v>
      </c>
      <c r="F19" s="6">
        <f>IFERROR(__xludf.DUMMYFUNCTION("""COMPUTED_VALUE"""),9356807.0)</f>
        <v>9356807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IFERROR(__xludf.DUMMYFUNCTION("""COMPUTED_VALUE"""),2852.3)</f>
        <v>2852.3</v>
      </c>
      <c r="C20" s="6">
        <f>IFERROR(__xludf.DUMMYFUNCTION("""COMPUTED_VALUE"""),3199.0)</f>
        <v>3199</v>
      </c>
      <c r="D20" s="6">
        <f>IFERROR(__xludf.DUMMYFUNCTION("""COMPUTED_VALUE"""),2841.0)</f>
        <v>2841</v>
      </c>
      <c r="E20" s="6">
        <f>IFERROR(__xludf.DUMMYFUNCTION("""COMPUTED_VALUE"""),3006.6)</f>
        <v>3006.6</v>
      </c>
      <c r="F20" s="6">
        <f>IFERROR(__xludf.DUMMYFUNCTION("""COMPUTED_VALUE"""),3.1490967E7)</f>
        <v>31490967</v>
      </c>
    </row>
    <row r="21">
      <c r="A21" s="7">
        <f>IFERROR(__xludf.DUMMYFUNCTION("""COMPUTED_VALUE"""),45303.64583333333)</f>
        <v>45303.64583</v>
      </c>
      <c r="B21" s="6">
        <f>IFERROR(__xludf.DUMMYFUNCTION("""COMPUTED_VALUE"""),3020.0)</f>
        <v>3020</v>
      </c>
      <c r="C21" s="6">
        <f>IFERROR(__xludf.DUMMYFUNCTION("""COMPUTED_VALUE"""),3129.0)</f>
        <v>3129</v>
      </c>
      <c r="D21" s="6">
        <f>IFERROR(__xludf.DUMMYFUNCTION("""COMPUTED_VALUE"""),2952.95)</f>
        <v>2952.95</v>
      </c>
      <c r="E21" s="6">
        <f>IFERROR(__xludf.DUMMYFUNCTION("""COMPUTED_VALUE"""),3104.1)</f>
        <v>3104.1</v>
      </c>
      <c r="F21" s="6">
        <f>IFERROR(__xludf.DUMMYFUNCTION("""COMPUTED_VALUE"""),1.21291E7)</f>
        <v>12129100</v>
      </c>
    </row>
    <row r="22">
      <c r="A22" s="7">
        <f>IFERROR(__xludf.DUMMYFUNCTION("""COMPUTED_VALUE"""),45316.64583333333)</f>
        <v>45316.64583</v>
      </c>
      <c r="B22" s="6">
        <f>IFERROR(__xludf.DUMMYFUNCTION("""COMPUTED_VALUE"""),3014.95)</f>
        <v>3014.95</v>
      </c>
      <c r="C22" s="6">
        <f>IFERROR(__xludf.DUMMYFUNCTION("""COMPUTED_VALUE"""),3014.95)</f>
        <v>3014.95</v>
      </c>
      <c r="D22" s="6">
        <f>IFERROR(__xludf.DUMMYFUNCTION("""COMPUTED_VALUE"""),2804.4)</f>
        <v>2804.4</v>
      </c>
      <c r="E22" s="6">
        <f>IFERROR(__xludf.DUMMYFUNCTION("""COMPUTED_VALUE"""),2893.6)</f>
        <v>2893.6</v>
      </c>
      <c r="F22" s="6">
        <f>IFERROR(__xludf.DUMMYFUNCTION("""COMPUTED_VALUE"""),1.0236911E7)</f>
        <v>10236911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IFERROR(__xludf.DUMMYFUNCTION("""COMPUTED_VALUE"""),2929.0)</f>
        <v>2929</v>
      </c>
      <c r="C23" s="6">
        <f>IFERROR(__xludf.DUMMYFUNCTION("""COMPUTED_VALUE"""),3236.95)</f>
        <v>3236.95</v>
      </c>
      <c r="D23" s="6">
        <f>IFERROR(__xludf.DUMMYFUNCTION("""COMPUTED_VALUE"""),2923.05)</f>
        <v>2923.05</v>
      </c>
      <c r="E23" s="6">
        <f>IFERROR(__xludf.DUMMYFUNCTION("""COMPUTED_VALUE"""),3157.45)</f>
        <v>3157.45</v>
      </c>
      <c r="F23" s="6">
        <f>IFERROR(__xludf.DUMMYFUNCTION("""COMPUTED_VALUE"""),1.7584823E7)</f>
        <v>17584823</v>
      </c>
    </row>
    <row r="24">
      <c r="A24" s="7">
        <f>IFERROR(__xludf.DUMMYFUNCTION("""COMPUTED_VALUE"""),45331.64583333333)</f>
        <v>45331.64583</v>
      </c>
      <c r="B24" s="6">
        <f>IFERROR(__xludf.DUMMYFUNCTION("""COMPUTED_VALUE"""),3170.0)</f>
        <v>3170</v>
      </c>
      <c r="C24" s="6">
        <f>IFERROR(__xludf.DUMMYFUNCTION("""COMPUTED_VALUE"""),3277.95)</f>
        <v>3277.95</v>
      </c>
      <c r="D24" s="6">
        <f>IFERROR(__xludf.DUMMYFUNCTION("""COMPUTED_VALUE"""),3121.2)</f>
        <v>3121.2</v>
      </c>
      <c r="E24" s="6">
        <f>IFERROR(__xludf.DUMMYFUNCTION("""COMPUTED_VALUE"""),3215.2)</f>
        <v>3215.2</v>
      </c>
      <c r="F24" s="6">
        <f>IFERROR(__xludf.DUMMYFUNCTION("""COMPUTED_VALUE"""),9617790.0)</f>
        <v>9617790</v>
      </c>
    </row>
    <row r="25">
      <c r="A25" s="7">
        <f>IFERROR(__xludf.DUMMYFUNCTION("""COMPUTED_VALUE"""),45338.64583333333)</f>
        <v>45338.64583</v>
      </c>
      <c r="B25" s="6">
        <f>IFERROR(__xludf.DUMMYFUNCTION("""COMPUTED_VALUE"""),3229.0)</f>
        <v>3229</v>
      </c>
      <c r="C25" s="6">
        <f>IFERROR(__xludf.DUMMYFUNCTION("""COMPUTED_VALUE"""),3255.25)</f>
        <v>3255.25</v>
      </c>
      <c r="D25" s="6">
        <f>IFERROR(__xludf.DUMMYFUNCTION("""COMPUTED_VALUE"""),3092.05)</f>
        <v>3092.05</v>
      </c>
      <c r="E25" s="6">
        <f>IFERROR(__xludf.DUMMYFUNCTION("""COMPUTED_VALUE"""),3223.6)</f>
        <v>3223.6</v>
      </c>
      <c r="F25" s="6">
        <f>IFERROR(__xludf.DUMMYFUNCTION("""COMPUTED_VALUE"""),8278486.0)</f>
        <v>8278486</v>
      </c>
    </row>
    <row r="26">
      <c r="A26" s="7">
        <f>IFERROR(__xludf.DUMMYFUNCTION("""COMPUTED_VALUE"""),45345.64583333333)</f>
        <v>45345.64583</v>
      </c>
      <c r="B26" s="6">
        <f>IFERROR(__xludf.DUMMYFUNCTION("""COMPUTED_VALUE"""),3240.0)</f>
        <v>3240</v>
      </c>
      <c r="C26" s="6">
        <f>IFERROR(__xludf.DUMMYFUNCTION("""COMPUTED_VALUE"""),3319.95)</f>
        <v>3319.95</v>
      </c>
      <c r="D26" s="6">
        <f>IFERROR(__xludf.DUMMYFUNCTION("""COMPUTED_VALUE"""),3205.0)</f>
        <v>3205</v>
      </c>
      <c r="E26" s="6">
        <f>IFERROR(__xludf.DUMMYFUNCTION("""COMPUTED_VALUE"""),3273.3)</f>
        <v>3273.3</v>
      </c>
      <c r="F26" s="6">
        <f>IFERROR(__xludf.DUMMYFUNCTION("""COMPUTED_VALUE"""),8017852.0)</f>
        <v>8017852</v>
      </c>
    </row>
    <row r="27">
      <c r="A27" s="7">
        <f>IFERROR(__xludf.DUMMYFUNCTION("""COMPUTED_VALUE"""),45358.64583333333)</f>
        <v>45358.64583</v>
      </c>
      <c r="B27" s="6">
        <f>IFERROR(__xludf.DUMMYFUNCTION("""COMPUTED_VALUE"""),3335.0)</f>
        <v>3335</v>
      </c>
      <c r="C27" s="6">
        <f>IFERROR(__xludf.DUMMYFUNCTION("""COMPUTED_VALUE"""),3350.0)</f>
        <v>3350</v>
      </c>
      <c r="D27" s="6">
        <f>IFERROR(__xludf.DUMMYFUNCTION("""COMPUTED_VALUE"""),3183.15)</f>
        <v>3183.15</v>
      </c>
      <c r="E27" s="6">
        <f>IFERROR(__xludf.DUMMYFUNCTION("""COMPUTED_VALUE"""),3226.55)</f>
        <v>3226.55</v>
      </c>
      <c r="F27" s="6">
        <f>IFERROR(__xludf.DUMMYFUNCTION("""COMPUTED_VALUE"""),5043191.0)</f>
        <v>5043191</v>
      </c>
    </row>
    <row r="28">
      <c r="A28" s="7">
        <f>IFERROR(__xludf.DUMMYFUNCTION("""COMPUTED_VALUE"""),45366.64583333333)</f>
        <v>45366.64583</v>
      </c>
      <c r="B28" s="6">
        <f>IFERROR(__xludf.DUMMYFUNCTION("""COMPUTED_VALUE"""),3241.2)</f>
        <v>3241.2</v>
      </c>
      <c r="C28" s="6">
        <f>IFERROR(__xludf.DUMMYFUNCTION("""COMPUTED_VALUE"""),3259.0)</f>
        <v>3259</v>
      </c>
      <c r="D28" s="6">
        <f>IFERROR(__xludf.DUMMYFUNCTION("""COMPUTED_VALUE"""),2850.15)</f>
        <v>2850.15</v>
      </c>
      <c r="E28" s="6">
        <f>IFERROR(__xludf.DUMMYFUNCTION("""COMPUTED_VALUE"""),3132.2)</f>
        <v>3132.2</v>
      </c>
      <c r="F28" s="6">
        <f>IFERROR(__xludf.DUMMYFUNCTION("""COMPUTED_VALUE"""),1.1303572E7)</f>
        <v>11303572</v>
      </c>
    </row>
    <row r="29">
      <c r="A29" s="7">
        <f>IFERROR(__xludf.DUMMYFUNCTION("""COMPUTED_VALUE"""),45373.64583333333)</f>
        <v>45373.64583</v>
      </c>
      <c r="B29" s="6">
        <f>IFERROR(__xludf.DUMMYFUNCTION("""COMPUTED_VALUE"""),3050.1)</f>
        <v>3050.1</v>
      </c>
      <c r="C29" s="6">
        <f>IFERROR(__xludf.DUMMYFUNCTION("""COMPUTED_VALUE"""),3164.8)</f>
        <v>3164.8</v>
      </c>
      <c r="D29" s="6">
        <f>IFERROR(__xludf.DUMMYFUNCTION("""COMPUTED_VALUE"""),2976.05)</f>
        <v>2976.05</v>
      </c>
      <c r="E29" s="6">
        <f>IFERROR(__xludf.DUMMYFUNCTION("""COMPUTED_VALUE"""),3107.7)</f>
        <v>3107.7</v>
      </c>
      <c r="F29" s="6">
        <f>IFERROR(__xludf.DUMMYFUNCTION("""COMPUTED_VALUE"""),7596756.0)</f>
        <v>7596756</v>
      </c>
    </row>
    <row r="30">
      <c r="A30" s="7">
        <f>IFERROR(__xludf.DUMMYFUNCTION("""COMPUTED_VALUE"""),45379.64583333333)</f>
        <v>45379.64583</v>
      </c>
      <c r="B30" s="6">
        <f>IFERROR(__xludf.DUMMYFUNCTION("""COMPUTED_VALUE"""),3100.5)</f>
        <v>3100.5</v>
      </c>
      <c r="C30" s="6">
        <f>IFERROR(__xludf.DUMMYFUNCTION("""COMPUTED_VALUE"""),3237.0)</f>
        <v>3237</v>
      </c>
      <c r="D30" s="6">
        <f>IFERROR(__xludf.DUMMYFUNCTION("""COMPUTED_VALUE"""),3089.1)</f>
        <v>3089.1</v>
      </c>
      <c r="E30" s="6">
        <f>IFERROR(__xludf.DUMMYFUNCTION("""COMPUTED_VALUE"""),3197.1)</f>
        <v>3197.1</v>
      </c>
      <c r="F30" s="6">
        <f>IFERROR(__xludf.DUMMYFUNCTION("""COMPUTED_VALUE"""),4164387.0)</f>
        <v>4164387</v>
      </c>
    </row>
    <row r="31">
      <c r="A31" s="7">
        <f>IFERROR(__xludf.DUMMYFUNCTION("""COMPUTED_VALUE"""),45387.64583333333)</f>
        <v>45387.64583</v>
      </c>
      <c r="B31" s="6">
        <f>IFERROR(__xludf.DUMMYFUNCTION("""COMPUTED_VALUE"""),3230.2)</f>
        <v>3230.2</v>
      </c>
      <c r="C31" s="6">
        <f>IFERROR(__xludf.DUMMYFUNCTION("""COMPUTED_VALUE"""),3291.8)</f>
        <v>3291.8</v>
      </c>
      <c r="D31" s="6">
        <f>IFERROR(__xludf.DUMMYFUNCTION("""COMPUTED_VALUE"""),3178.95)</f>
        <v>3178.95</v>
      </c>
      <c r="E31" s="6">
        <f>IFERROR(__xludf.DUMMYFUNCTION("""COMPUTED_VALUE"""),3224.8)</f>
        <v>3224.8</v>
      </c>
      <c r="F31" s="6">
        <f>IFERROR(__xludf.DUMMYFUNCTION("""COMPUTED_VALUE"""),5474017.0)</f>
        <v>5474017</v>
      </c>
    </row>
    <row r="32">
      <c r="A32" s="7">
        <f>IFERROR(__xludf.DUMMYFUNCTION("""COMPUTED_VALUE"""),45394.64583333333)</f>
        <v>45394.64583</v>
      </c>
      <c r="B32" s="6">
        <f>IFERROR(__xludf.DUMMYFUNCTION("""COMPUTED_VALUE"""),3240.95)</f>
        <v>3240.95</v>
      </c>
      <c r="C32" s="6">
        <f>IFERROR(__xludf.DUMMYFUNCTION("""COMPUTED_VALUE"""),3254.6)</f>
        <v>3254.6</v>
      </c>
      <c r="D32" s="6">
        <f>IFERROR(__xludf.DUMMYFUNCTION("""COMPUTED_VALUE"""),3185.0)</f>
        <v>3185</v>
      </c>
      <c r="E32" s="6">
        <f>IFERROR(__xludf.DUMMYFUNCTION("""COMPUTED_VALUE"""),3209.9)</f>
        <v>3209.9</v>
      </c>
      <c r="F32" s="6">
        <f>IFERROR(__xludf.DUMMYFUNCTION("""COMPUTED_VALUE"""),3557430.0)</f>
        <v>3557430</v>
      </c>
    </row>
    <row r="33">
      <c r="A33" s="7">
        <f>IFERROR(__xludf.DUMMYFUNCTION("""COMPUTED_VALUE"""),45401.64583333333)</f>
        <v>45401.64583</v>
      </c>
      <c r="B33" s="6">
        <f>IFERROR(__xludf.DUMMYFUNCTION("""COMPUTED_VALUE"""),3150.0)</f>
        <v>3150</v>
      </c>
      <c r="C33" s="6">
        <f>IFERROR(__xludf.DUMMYFUNCTION("""COMPUTED_VALUE"""),3180.3)</f>
        <v>3180.3</v>
      </c>
      <c r="D33" s="6">
        <f>IFERROR(__xludf.DUMMYFUNCTION("""COMPUTED_VALUE"""),2962.5)</f>
        <v>2962.5</v>
      </c>
      <c r="E33" s="6">
        <f>IFERROR(__xludf.DUMMYFUNCTION("""COMPUTED_VALUE"""),3026.95)</f>
        <v>3026.95</v>
      </c>
      <c r="F33" s="6">
        <f>IFERROR(__xludf.DUMMYFUNCTION("""COMPUTED_VALUE"""),5600525.0)</f>
        <v>5600525</v>
      </c>
    </row>
    <row r="34">
      <c r="A34" s="7">
        <f>IFERROR(__xludf.DUMMYFUNCTION("""COMPUTED_VALUE"""),45408.64583333333)</f>
        <v>45408.64583</v>
      </c>
      <c r="B34" s="6">
        <f>IFERROR(__xludf.DUMMYFUNCTION("""COMPUTED_VALUE"""),3053.0)</f>
        <v>3053</v>
      </c>
      <c r="C34" s="6">
        <f>IFERROR(__xludf.DUMMYFUNCTION("""COMPUTED_VALUE"""),3129.9)</f>
        <v>3129.9</v>
      </c>
      <c r="D34" s="6">
        <f>IFERROR(__xludf.DUMMYFUNCTION("""COMPUTED_VALUE"""),3025.0)</f>
        <v>3025</v>
      </c>
      <c r="E34" s="6">
        <f>IFERROR(__xludf.DUMMYFUNCTION("""COMPUTED_VALUE"""),3080.4)</f>
        <v>3080.4</v>
      </c>
      <c r="F34" s="6">
        <f>IFERROR(__xludf.DUMMYFUNCTION("""COMPUTED_VALUE"""),5432411.0)</f>
        <v>5432411</v>
      </c>
    </row>
    <row r="35">
      <c r="A35" s="7">
        <f>IFERROR(__xludf.DUMMYFUNCTION("""COMPUTED_VALUE"""),45415.64583333333)</f>
        <v>45415.64583</v>
      </c>
      <c r="B35" s="6">
        <f>IFERROR(__xludf.DUMMYFUNCTION("""COMPUTED_VALUE"""),3110.0)</f>
        <v>3110</v>
      </c>
      <c r="C35" s="6">
        <f>IFERROR(__xludf.DUMMYFUNCTION("""COMPUTED_VALUE"""),3119.85)</f>
        <v>3119.85</v>
      </c>
      <c r="D35" s="6">
        <f>IFERROR(__xludf.DUMMYFUNCTION("""COMPUTED_VALUE"""),2975.1)</f>
        <v>2975.1</v>
      </c>
      <c r="E35" s="6">
        <f>IFERROR(__xludf.DUMMYFUNCTION("""COMPUTED_VALUE"""),2993.25)</f>
        <v>2993.25</v>
      </c>
      <c r="F35" s="6">
        <f>IFERROR(__xludf.DUMMYFUNCTION("""COMPUTED_VALUE"""),5144349.0)</f>
        <v>5144349</v>
      </c>
    </row>
    <row r="36">
      <c r="A36" s="7">
        <f>IFERROR(__xludf.DUMMYFUNCTION("""COMPUTED_VALUE"""),45422.64583333333)</f>
        <v>45422.64583</v>
      </c>
      <c r="B36" s="6">
        <f>IFERROR(__xludf.DUMMYFUNCTION("""COMPUTED_VALUE"""),2993.25)</f>
        <v>2993.25</v>
      </c>
      <c r="C36" s="6">
        <f>IFERROR(__xludf.DUMMYFUNCTION("""COMPUTED_VALUE"""),3000.2)</f>
        <v>3000.2</v>
      </c>
      <c r="D36" s="6">
        <f>IFERROR(__xludf.DUMMYFUNCTION("""COMPUTED_VALUE"""),2756.0)</f>
        <v>2756</v>
      </c>
      <c r="E36" s="6">
        <f>IFERROR(__xludf.DUMMYFUNCTION("""COMPUTED_VALUE"""),2797.25)</f>
        <v>2797.25</v>
      </c>
      <c r="F36" s="6">
        <f>IFERROR(__xludf.DUMMYFUNCTION("""COMPUTED_VALUE"""),8431970.0)</f>
        <v>8431970</v>
      </c>
    </row>
    <row r="37">
      <c r="A37" s="7">
        <f>IFERROR(__xludf.DUMMYFUNCTION("""COMPUTED_VALUE"""),45436.64583333333)</f>
        <v>45436.64583</v>
      </c>
      <c r="B37" s="6">
        <f>IFERROR(__xludf.DUMMYFUNCTION("""COMPUTED_VALUE"""),3067.9)</f>
        <v>3067.9</v>
      </c>
      <c r="C37" s="6">
        <f>IFERROR(__xludf.DUMMYFUNCTION("""COMPUTED_VALUE"""),3457.85)</f>
        <v>3457.85</v>
      </c>
      <c r="D37" s="6">
        <f>IFERROR(__xludf.DUMMYFUNCTION("""COMPUTED_VALUE"""),3034.5)</f>
        <v>3034.5</v>
      </c>
      <c r="E37" s="6">
        <f>IFERROR(__xludf.DUMMYFUNCTION("""COMPUTED_VALUE"""),3384.95)</f>
        <v>3384.95</v>
      </c>
      <c r="F37" s="6">
        <f>IFERROR(__xludf.DUMMYFUNCTION("""COMPUTED_VALUE"""),1.6915486E7)</f>
        <v>16915486</v>
      </c>
    </row>
    <row r="38">
      <c r="A38" s="7">
        <f>IFERROR(__xludf.DUMMYFUNCTION("""COMPUTED_VALUE"""),45443.64583333333)</f>
        <v>45443.64583</v>
      </c>
      <c r="B38" s="6">
        <f>IFERROR(__xludf.DUMMYFUNCTION("""COMPUTED_VALUE"""),3358.0)</f>
        <v>3358</v>
      </c>
      <c r="C38" s="6">
        <f>IFERROR(__xludf.DUMMYFUNCTION("""COMPUTED_VALUE"""),3434.45)</f>
        <v>3434.45</v>
      </c>
      <c r="D38" s="6">
        <f>IFERROR(__xludf.DUMMYFUNCTION("""COMPUTED_VALUE"""),3174.5)</f>
        <v>3174.5</v>
      </c>
      <c r="E38" s="6">
        <f>IFERROR(__xludf.DUMMYFUNCTION("""COMPUTED_VALUE"""),3411.35)</f>
        <v>3411.35</v>
      </c>
      <c r="F38" s="6">
        <f>IFERROR(__xludf.DUMMYFUNCTION("""COMPUTED_VALUE"""),1.4489179E7)</f>
        <v>14489179</v>
      </c>
    </row>
    <row r="39">
      <c r="A39" s="7">
        <f>IFERROR(__xludf.DUMMYFUNCTION("""COMPUTED_VALUE"""),45450.64583333333)</f>
        <v>45450.64583</v>
      </c>
      <c r="B39" s="6">
        <f>IFERROR(__xludf.DUMMYFUNCTION("""COMPUTED_VALUE"""),3725.0)</f>
        <v>3725</v>
      </c>
      <c r="C39" s="6">
        <f>IFERROR(__xludf.DUMMYFUNCTION("""COMPUTED_VALUE"""),3743.9)</f>
        <v>3743.9</v>
      </c>
      <c r="D39" s="6">
        <f>IFERROR(__xludf.DUMMYFUNCTION("""COMPUTED_VALUE"""),2733.95)</f>
        <v>2733.95</v>
      </c>
      <c r="E39" s="6">
        <f>IFERROR(__xludf.DUMMYFUNCTION("""COMPUTED_VALUE"""),3219.55)</f>
        <v>3219.55</v>
      </c>
      <c r="F39" s="6">
        <f>IFERROR(__xludf.DUMMYFUNCTION("""COMPUTED_VALUE"""),4.8210339E7)</f>
        <v>48210339</v>
      </c>
    </row>
    <row r="40">
      <c r="A40" s="7">
        <f>IFERROR(__xludf.DUMMYFUNCTION("""COMPUTED_VALUE"""),45457.64583333333)</f>
        <v>45457.64583</v>
      </c>
      <c r="B40" s="6">
        <f>IFERROR(__xludf.DUMMYFUNCTION("""COMPUTED_VALUE"""),3267.0)</f>
        <v>3267</v>
      </c>
      <c r="C40" s="6">
        <f>IFERROR(__xludf.DUMMYFUNCTION("""COMPUTED_VALUE"""),3284.4)</f>
        <v>3284.4</v>
      </c>
      <c r="D40" s="6">
        <f>IFERROR(__xludf.DUMMYFUNCTION("""COMPUTED_VALUE"""),3195.05)</f>
        <v>3195.05</v>
      </c>
      <c r="E40" s="6">
        <f>IFERROR(__xludf.DUMMYFUNCTION("""COMPUTED_VALUE"""),3261.75)</f>
        <v>3261.75</v>
      </c>
      <c r="F40" s="6">
        <f>IFERROR(__xludf.DUMMYFUNCTION("""COMPUTED_VALUE"""),1.95597E7)</f>
        <v>19559700</v>
      </c>
    </row>
    <row r="41">
      <c r="A41" s="7">
        <f>IFERROR(__xludf.DUMMYFUNCTION("""COMPUTED_VALUE"""),45464.64583333333)</f>
        <v>45464.64583</v>
      </c>
      <c r="B41" s="6">
        <f>IFERROR(__xludf.DUMMYFUNCTION("""COMPUTED_VALUE"""),3310.0)</f>
        <v>3310</v>
      </c>
      <c r="C41" s="6">
        <f>IFERROR(__xludf.DUMMYFUNCTION("""COMPUTED_VALUE"""),3345.0)</f>
        <v>3345</v>
      </c>
      <c r="D41" s="6">
        <f>IFERROR(__xludf.DUMMYFUNCTION("""COMPUTED_VALUE"""),3176.4)</f>
        <v>3176.4</v>
      </c>
      <c r="E41" s="6">
        <f>IFERROR(__xludf.DUMMYFUNCTION("""COMPUTED_VALUE"""),3189.3)</f>
        <v>3189.3</v>
      </c>
      <c r="F41" s="6">
        <f>IFERROR(__xludf.DUMMYFUNCTION("""COMPUTED_VALUE"""),9239076.0)</f>
        <v>9239076</v>
      </c>
    </row>
    <row r="42">
      <c r="A42" s="7">
        <f>IFERROR(__xludf.DUMMYFUNCTION("""COMPUTED_VALUE"""),45471.64583333333)</f>
        <v>45471.64583</v>
      </c>
      <c r="B42" s="6">
        <f>IFERROR(__xludf.DUMMYFUNCTION("""COMPUTED_VALUE"""),3185.75)</f>
        <v>3185.75</v>
      </c>
      <c r="C42" s="6">
        <f>IFERROR(__xludf.DUMMYFUNCTION("""COMPUTED_VALUE"""),3214.8)</f>
        <v>3214.8</v>
      </c>
      <c r="D42" s="6">
        <f>IFERROR(__xludf.DUMMYFUNCTION("""COMPUTED_VALUE"""),3135.0)</f>
        <v>3135</v>
      </c>
      <c r="E42" s="6">
        <f>IFERROR(__xludf.DUMMYFUNCTION("""COMPUTED_VALUE"""),3177.15)</f>
        <v>3177.15</v>
      </c>
      <c r="F42" s="6">
        <f>IFERROR(__xludf.DUMMYFUNCTION("""COMPUTED_VALUE"""),1.3175383E7)</f>
        <v>13175383</v>
      </c>
    </row>
    <row r="43">
      <c r="A43" s="7">
        <f>IFERROR(__xludf.DUMMYFUNCTION("""COMPUTED_VALUE"""),45478.64583333333)</f>
        <v>45478.64583</v>
      </c>
      <c r="B43" s="6">
        <f>IFERROR(__xludf.DUMMYFUNCTION("""COMPUTED_VALUE"""),3179.95)</f>
        <v>3179.95</v>
      </c>
      <c r="C43" s="6">
        <f>IFERROR(__xludf.DUMMYFUNCTION("""COMPUTED_VALUE"""),3207.8)</f>
        <v>3207.8</v>
      </c>
      <c r="D43" s="6">
        <f>IFERROR(__xludf.DUMMYFUNCTION("""COMPUTED_VALUE"""),3123.95)</f>
        <v>3123.95</v>
      </c>
      <c r="E43" s="6">
        <f>IFERROR(__xludf.DUMMYFUNCTION("""COMPUTED_VALUE"""),3147.9)</f>
        <v>3147.9</v>
      </c>
      <c r="F43" s="6">
        <f>IFERROR(__xludf.DUMMYFUNCTION("""COMPUTED_VALUE"""),5194915.0)</f>
        <v>5194915</v>
      </c>
    </row>
    <row r="44">
      <c r="A44" s="7">
        <f>IFERROR(__xludf.DUMMYFUNCTION("""COMPUTED_VALUE"""),45485.64583333333)</f>
        <v>45485.64583</v>
      </c>
      <c r="B44" s="6">
        <f>IFERROR(__xludf.DUMMYFUNCTION("""COMPUTED_VALUE"""),3147.9)</f>
        <v>3147.9</v>
      </c>
      <c r="C44" s="6">
        <f>IFERROR(__xludf.DUMMYFUNCTION("""COMPUTED_VALUE"""),3158.2)</f>
        <v>3158.2</v>
      </c>
      <c r="D44" s="6">
        <f>IFERROR(__xludf.DUMMYFUNCTION("""COMPUTED_VALUE"""),3058.35)</f>
        <v>3058.35</v>
      </c>
      <c r="E44" s="6">
        <f>IFERROR(__xludf.DUMMYFUNCTION("""COMPUTED_VALUE"""),3065.45)</f>
        <v>3065.45</v>
      </c>
      <c r="F44" s="6">
        <f>IFERROR(__xludf.DUMMYFUNCTION("""COMPUTED_VALUE"""),4320042.0)</f>
        <v>4320042</v>
      </c>
    </row>
    <row r="45">
      <c r="A45" s="7">
        <f>IFERROR(__xludf.DUMMYFUNCTION("""COMPUTED_VALUE"""),45492.64583333333)</f>
        <v>45492.64583</v>
      </c>
      <c r="B45" s="6">
        <f>IFERROR(__xludf.DUMMYFUNCTION("""COMPUTED_VALUE"""),3066.1)</f>
        <v>3066.1</v>
      </c>
      <c r="C45" s="6">
        <f>IFERROR(__xludf.DUMMYFUNCTION("""COMPUTED_VALUE"""),3137.75)</f>
        <v>3137.75</v>
      </c>
      <c r="D45" s="6">
        <f>IFERROR(__xludf.DUMMYFUNCTION("""COMPUTED_VALUE"""),3000.0)</f>
        <v>3000</v>
      </c>
      <c r="E45" s="6">
        <f>IFERROR(__xludf.DUMMYFUNCTION("""COMPUTED_VALUE"""),3005.7)</f>
        <v>3005.7</v>
      </c>
      <c r="F45" s="6">
        <f>IFERROR(__xludf.DUMMYFUNCTION("""COMPUTED_VALUE"""),3761122.0)</f>
        <v>3761122</v>
      </c>
    </row>
    <row r="46">
      <c r="A46" s="7">
        <f>IFERROR(__xludf.DUMMYFUNCTION("""COMPUTED_VALUE"""),45499.64583333333)</f>
        <v>45499.64583</v>
      </c>
      <c r="B46" s="6">
        <f>IFERROR(__xludf.DUMMYFUNCTION("""COMPUTED_VALUE"""),3005.7)</f>
        <v>3005.7</v>
      </c>
      <c r="C46" s="6">
        <f>IFERROR(__xludf.DUMMYFUNCTION("""COMPUTED_VALUE"""),3109.0)</f>
        <v>3109</v>
      </c>
      <c r="D46" s="6">
        <f>IFERROR(__xludf.DUMMYFUNCTION("""COMPUTED_VALUE"""),2886.35)</f>
        <v>2886.35</v>
      </c>
      <c r="E46" s="6">
        <f>IFERROR(__xludf.DUMMYFUNCTION("""COMPUTED_VALUE"""),3080.5)</f>
        <v>3080.5</v>
      </c>
      <c r="F46" s="6">
        <f>IFERROR(__xludf.DUMMYFUNCTION("""COMPUTED_VALUE"""),5847266.0)</f>
        <v>5847266</v>
      </c>
    </row>
    <row r="47">
      <c r="A47" s="7">
        <f>IFERROR(__xludf.DUMMYFUNCTION("""COMPUTED_VALUE"""),45506.64583333333)</f>
        <v>45506.64583</v>
      </c>
      <c r="B47" s="6">
        <f>IFERROR(__xludf.DUMMYFUNCTION("""COMPUTED_VALUE"""),3094.3)</f>
        <v>3094.3</v>
      </c>
      <c r="C47" s="6">
        <f>IFERROR(__xludf.DUMMYFUNCTION("""COMPUTED_VALUE"""),3258.0)</f>
        <v>3258</v>
      </c>
      <c r="D47" s="6">
        <f>IFERROR(__xludf.DUMMYFUNCTION("""COMPUTED_VALUE"""),3066.65)</f>
        <v>3066.65</v>
      </c>
      <c r="E47" s="6">
        <f>IFERROR(__xludf.DUMMYFUNCTION("""COMPUTED_VALUE"""),3160.9)</f>
        <v>3160.9</v>
      </c>
      <c r="F47" s="6">
        <f>IFERROR(__xludf.DUMMYFUNCTION("""COMPUTED_VALUE"""),1.4608619E7)</f>
        <v>14608619</v>
      </c>
    </row>
    <row r="48">
      <c r="A48" s="7">
        <f>IFERROR(__xludf.DUMMYFUNCTION("""COMPUTED_VALUE"""),45513.64583333333)</f>
        <v>45513.64583</v>
      </c>
      <c r="B48" s="6">
        <f>IFERROR(__xludf.DUMMYFUNCTION("""COMPUTED_VALUE"""),3085.0)</f>
        <v>3085</v>
      </c>
      <c r="C48" s="6">
        <f>IFERROR(__xludf.DUMMYFUNCTION("""COMPUTED_VALUE"""),3242.65)</f>
        <v>3242.65</v>
      </c>
      <c r="D48" s="6">
        <f>IFERROR(__xludf.DUMMYFUNCTION("""COMPUTED_VALUE"""),2996.3)</f>
        <v>2996.3</v>
      </c>
      <c r="E48" s="6">
        <f>IFERROR(__xludf.DUMMYFUNCTION("""COMPUTED_VALUE"""),3187.55)</f>
        <v>3187.55</v>
      </c>
      <c r="F48" s="6">
        <f>IFERROR(__xludf.DUMMYFUNCTION("""COMPUTED_VALUE"""),9131832.0)</f>
        <v>9131832</v>
      </c>
    </row>
    <row r="49">
      <c r="A49" s="7">
        <f>IFERROR(__xludf.DUMMYFUNCTION("""COMPUTED_VALUE"""),45520.64583333333)</f>
        <v>45520.64583</v>
      </c>
      <c r="B49" s="6">
        <f>IFERROR(__xludf.DUMMYFUNCTION("""COMPUTED_VALUE"""),3100.0)</f>
        <v>3100</v>
      </c>
      <c r="C49" s="6">
        <f>IFERROR(__xludf.DUMMYFUNCTION("""COMPUTED_VALUE"""),3178.1)</f>
        <v>3178.1</v>
      </c>
      <c r="D49" s="6">
        <f>IFERROR(__xludf.DUMMYFUNCTION("""COMPUTED_VALUE"""),3014.0)</f>
        <v>3014</v>
      </c>
      <c r="E49" s="6">
        <f>IFERROR(__xludf.DUMMYFUNCTION("""COMPUTED_VALUE"""),3108.8)</f>
        <v>3108.8</v>
      </c>
      <c r="F49" s="6">
        <f>IFERROR(__xludf.DUMMYFUNCTION("""COMPUTED_VALUE"""),1.4702283E7)</f>
        <v>14702283</v>
      </c>
    </row>
    <row r="50">
      <c r="A50" s="7">
        <f>IFERROR(__xludf.DUMMYFUNCTION("""COMPUTED_VALUE"""),45527.64583333333)</f>
        <v>45527.64583</v>
      </c>
      <c r="B50" s="6">
        <f>IFERROR(__xludf.DUMMYFUNCTION("""COMPUTED_VALUE"""),3122.05)</f>
        <v>3122.05</v>
      </c>
      <c r="C50" s="6">
        <f>IFERROR(__xludf.DUMMYFUNCTION("""COMPUTED_VALUE"""),3153.3)</f>
        <v>3153.3</v>
      </c>
      <c r="D50" s="6">
        <f>IFERROR(__xludf.DUMMYFUNCTION("""COMPUTED_VALUE"""),3058.85)</f>
        <v>3058.85</v>
      </c>
      <c r="E50" s="6">
        <f>IFERROR(__xludf.DUMMYFUNCTION("""COMPUTED_VALUE"""),3076.35)</f>
        <v>3076.35</v>
      </c>
      <c r="F50" s="6">
        <f>IFERROR(__xludf.DUMMYFUNCTION("""COMPUTED_VALUE"""),5352904.0)</f>
        <v>5352904</v>
      </c>
    </row>
    <row r="51">
      <c r="A51" s="7">
        <f>IFERROR(__xludf.DUMMYFUNCTION("""COMPUTED_VALUE"""),45534.64583333333)</f>
        <v>45534.64583</v>
      </c>
      <c r="B51" s="6">
        <f>IFERROR(__xludf.DUMMYFUNCTION("""COMPUTED_VALUE"""),3088.0)</f>
        <v>3088</v>
      </c>
      <c r="C51" s="6">
        <f>IFERROR(__xludf.DUMMYFUNCTION("""COMPUTED_VALUE"""),3095.75)</f>
        <v>3095.75</v>
      </c>
      <c r="D51" s="6">
        <f>IFERROR(__xludf.DUMMYFUNCTION("""COMPUTED_VALUE"""),2981.3)</f>
        <v>2981.3</v>
      </c>
      <c r="E51" s="6">
        <f>IFERROR(__xludf.DUMMYFUNCTION("""COMPUTED_VALUE"""),3019.35)</f>
        <v>3019.35</v>
      </c>
      <c r="F51" s="6">
        <f>IFERROR(__xludf.DUMMYFUNCTION("""COMPUTED_VALUE"""),9875678.0)</f>
        <v>9875678</v>
      </c>
    </row>
    <row r="52">
      <c r="A52" s="7">
        <f>IFERROR(__xludf.DUMMYFUNCTION("""COMPUTED_VALUE"""),45541.64583333333)</f>
        <v>45541.64583</v>
      </c>
      <c r="B52" s="6">
        <f>IFERROR(__xludf.DUMMYFUNCTION("""COMPUTED_VALUE"""),3021.1)</f>
        <v>3021.1</v>
      </c>
      <c r="C52" s="6">
        <f>IFERROR(__xludf.DUMMYFUNCTION("""COMPUTED_VALUE"""),3059.15)</f>
        <v>3059.15</v>
      </c>
      <c r="D52" s="6">
        <f>IFERROR(__xludf.DUMMYFUNCTION("""COMPUTED_VALUE"""),2955.2)</f>
        <v>2955.2</v>
      </c>
      <c r="E52" s="6">
        <f>IFERROR(__xludf.DUMMYFUNCTION("""COMPUTED_VALUE"""),2975.45)</f>
        <v>2975.45</v>
      </c>
      <c r="F52" s="6">
        <f>IFERROR(__xludf.DUMMYFUNCTION("""COMPUTED_VALUE"""),6411943.0)</f>
        <v>6411943</v>
      </c>
    </row>
    <row r="53">
      <c r="A53" s="7">
        <f>IFERROR(__xludf.DUMMYFUNCTION("""COMPUTED_VALUE"""),45548.64583333333)</f>
        <v>45548.64583</v>
      </c>
      <c r="B53" s="6">
        <f>IFERROR(__xludf.DUMMYFUNCTION("""COMPUTED_VALUE"""),2972.1)</f>
        <v>2972.1</v>
      </c>
      <c r="C53" s="6">
        <f>IFERROR(__xludf.DUMMYFUNCTION("""COMPUTED_VALUE"""),3007.4)</f>
        <v>3007.4</v>
      </c>
      <c r="D53" s="6">
        <f>IFERROR(__xludf.DUMMYFUNCTION("""COMPUTED_VALUE"""),2917.15)</f>
        <v>2917.15</v>
      </c>
      <c r="E53" s="6">
        <f>IFERROR(__xludf.DUMMYFUNCTION("""COMPUTED_VALUE"""),2968.35)</f>
        <v>2968.35</v>
      </c>
      <c r="F53" s="6">
        <f>IFERROR(__xludf.DUMMYFUNCTION("""COMPUTED_VALUE"""),5346112.0)</f>
        <v>5346112</v>
      </c>
    </row>
    <row r="54">
      <c r="A54" s="7">
        <f>IFERROR(__xludf.DUMMYFUNCTION("""COMPUTED_VALUE"""),45555.64583333333)</f>
        <v>45555.64583</v>
      </c>
      <c r="B54" s="6">
        <f>IFERROR(__xludf.DUMMYFUNCTION("""COMPUTED_VALUE"""),2972.0)</f>
        <v>2972</v>
      </c>
      <c r="C54" s="6">
        <f>IFERROR(__xludf.DUMMYFUNCTION("""COMPUTED_VALUE"""),3026.4)</f>
        <v>3026.4</v>
      </c>
      <c r="D54" s="6">
        <f>IFERROR(__xludf.DUMMYFUNCTION("""COMPUTED_VALUE"""),2890.35)</f>
        <v>2890.35</v>
      </c>
      <c r="E54" s="6">
        <f>IFERROR(__xludf.DUMMYFUNCTION("""COMPUTED_VALUE"""),3008.5)</f>
        <v>3008.5</v>
      </c>
      <c r="F54" s="6">
        <f>IFERROR(__xludf.DUMMYFUNCTION("""COMPUTED_VALUE"""),5668364.0)</f>
        <v>5668364</v>
      </c>
    </row>
    <row r="55">
      <c r="A55" s="7">
        <f>IFERROR(__xludf.DUMMYFUNCTION("""COMPUTED_VALUE"""),45562.64583333333)</f>
        <v>45562.64583</v>
      </c>
      <c r="B55" s="6">
        <f>IFERROR(__xludf.DUMMYFUNCTION("""COMPUTED_VALUE"""),3020.0)</f>
        <v>3020</v>
      </c>
      <c r="C55" s="6">
        <f>IFERROR(__xludf.DUMMYFUNCTION("""COMPUTED_VALUE"""),3179.0)</f>
        <v>3179</v>
      </c>
      <c r="D55" s="6">
        <f>IFERROR(__xludf.DUMMYFUNCTION("""COMPUTED_VALUE"""),3015.25)</f>
        <v>3015.25</v>
      </c>
      <c r="E55" s="6">
        <f>IFERROR(__xludf.DUMMYFUNCTION("""COMPUTED_VALUE"""),3130.3)</f>
        <v>3130.3</v>
      </c>
      <c r="F55" s="6">
        <f>IFERROR(__xludf.DUMMYFUNCTION("""COMPUTED_VALUE"""),6677700.0)</f>
        <v>6677700</v>
      </c>
    </row>
    <row r="56">
      <c r="A56" s="7">
        <f>IFERROR(__xludf.DUMMYFUNCTION("""COMPUTED_VALUE"""),45569.64583333333)</f>
        <v>45569.64583</v>
      </c>
      <c r="B56" s="6">
        <f>IFERROR(__xludf.DUMMYFUNCTION("""COMPUTED_VALUE"""),3129.0)</f>
        <v>3129</v>
      </c>
      <c r="C56" s="6">
        <f>IFERROR(__xludf.DUMMYFUNCTION("""COMPUTED_VALUE"""),3209.9)</f>
        <v>3209.9</v>
      </c>
      <c r="D56" s="6">
        <f>IFERROR(__xludf.DUMMYFUNCTION("""COMPUTED_VALUE"""),3070.0)</f>
        <v>3070</v>
      </c>
      <c r="E56" s="6">
        <f>IFERROR(__xludf.DUMMYFUNCTION("""COMPUTED_VALUE"""),3110.65)</f>
        <v>3110.65</v>
      </c>
      <c r="F56" s="6">
        <f>IFERROR(__xludf.DUMMYFUNCTION("""COMPUTED_VALUE"""),5271831.0)</f>
        <v>5271831</v>
      </c>
    </row>
    <row r="57">
      <c r="A57" s="7">
        <f>IFERROR(__xludf.DUMMYFUNCTION("""COMPUTED_VALUE"""),45576.64583333333)</f>
        <v>45576.64583</v>
      </c>
      <c r="B57" s="6">
        <f>IFERROR(__xludf.DUMMYFUNCTION("""COMPUTED_VALUE"""),3110.65)</f>
        <v>3110.65</v>
      </c>
      <c r="C57" s="6">
        <f>IFERROR(__xludf.DUMMYFUNCTION("""COMPUTED_VALUE"""),3211.0)</f>
        <v>3211</v>
      </c>
      <c r="D57" s="6">
        <f>IFERROR(__xludf.DUMMYFUNCTION("""COMPUTED_VALUE"""),2980.45)</f>
        <v>2980.45</v>
      </c>
      <c r="E57" s="6">
        <f>IFERROR(__xludf.DUMMYFUNCTION("""COMPUTED_VALUE"""),3137.2)</f>
        <v>3137.2</v>
      </c>
      <c r="F57" s="6">
        <f>IFERROR(__xludf.DUMMYFUNCTION("""COMPUTED_VALUE"""),8358285.0)</f>
        <v>8358285</v>
      </c>
    </row>
    <row r="58">
      <c r="A58" s="7">
        <f>IFERROR(__xludf.DUMMYFUNCTION("""COMPUTED_VALUE"""),45583.64583333333)</f>
        <v>45583.64583</v>
      </c>
      <c r="B58" s="6">
        <f>IFERROR(__xludf.DUMMYFUNCTION("""COMPUTED_VALUE"""),3145.0)</f>
        <v>3145</v>
      </c>
      <c r="C58" s="6">
        <f>IFERROR(__xludf.DUMMYFUNCTION("""COMPUTED_VALUE"""),3150.1)</f>
        <v>3150.1</v>
      </c>
      <c r="D58" s="6">
        <f>IFERROR(__xludf.DUMMYFUNCTION("""COMPUTED_VALUE"""),2968.1)</f>
        <v>2968.1</v>
      </c>
      <c r="E58" s="6">
        <f>IFERROR(__xludf.DUMMYFUNCTION("""COMPUTED_VALUE"""),3002.0)</f>
        <v>3002</v>
      </c>
      <c r="F58" s="6">
        <f>IFERROR(__xludf.DUMMYFUNCTION("""COMPUTED_VALUE"""),4804445.0)</f>
        <v>4804445</v>
      </c>
    </row>
    <row r="59">
      <c r="A59" s="7">
        <f>IFERROR(__xludf.DUMMYFUNCTION("""COMPUTED_VALUE"""),45590.64583333333)</f>
        <v>45590.64583</v>
      </c>
      <c r="B59" s="6">
        <f>IFERROR(__xludf.DUMMYFUNCTION("""COMPUTED_VALUE"""),3005.15)</f>
        <v>3005.15</v>
      </c>
      <c r="C59" s="6">
        <f>IFERROR(__xludf.DUMMYFUNCTION("""COMPUTED_VALUE"""),3014.95)</f>
        <v>3014.95</v>
      </c>
      <c r="D59" s="6">
        <f>IFERROR(__xludf.DUMMYFUNCTION("""COMPUTED_VALUE"""),2654.7)</f>
        <v>2654.7</v>
      </c>
      <c r="E59" s="6">
        <f>IFERROR(__xludf.DUMMYFUNCTION("""COMPUTED_VALUE"""),2693.45)</f>
        <v>2693.45</v>
      </c>
      <c r="F59" s="6">
        <f>IFERROR(__xludf.DUMMYFUNCTION("""COMPUTED_VALUE"""),6428192.0)</f>
        <v>6428192</v>
      </c>
    </row>
    <row r="60">
      <c r="A60" s="7">
        <f>IFERROR(__xludf.DUMMYFUNCTION("""COMPUTED_VALUE"""),45604.64583333333)</f>
        <v>45604.64583</v>
      </c>
      <c r="B60" s="6">
        <f>IFERROR(__xludf.DUMMYFUNCTION("""COMPUTED_VALUE"""),2935.0)</f>
        <v>2935</v>
      </c>
      <c r="C60" s="6">
        <f>IFERROR(__xludf.DUMMYFUNCTION("""COMPUTED_VALUE"""),3070.0)</f>
        <v>3070</v>
      </c>
      <c r="D60" s="6">
        <f>IFERROR(__xludf.DUMMYFUNCTION("""COMPUTED_VALUE"""),2857.75)</f>
        <v>2857.75</v>
      </c>
      <c r="E60" s="6">
        <f>IFERROR(__xludf.DUMMYFUNCTION("""COMPUTED_VALUE"""),2929.1)</f>
        <v>2929.1</v>
      </c>
      <c r="F60" s="6">
        <f>IFERROR(__xludf.DUMMYFUNCTION("""COMPUTED_VALUE"""),5609668.0)</f>
        <v>5609668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IFERROR(__xludf.DUMMYFUNCTION("""COMPUTED_VALUE"""),2928.0)</f>
        <v>2928</v>
      </c>
      <c r="C61" s="6">
        <f>IFERROR(__xludf.DUMMYFUNCTION("""COMPUTED_VALUE"""),2946.8)</f>
        <v>2946.8</v>
      </c>
      <c r="D61" s="6">
        <f>IFERROR(__xludf.DUMMYFUNCTION("""COMPUTED_VALUE"""),2801.0)</f>
        <v>2801</v>
      </c>
      <c r="E61" s="6">
        <f>IFERROR(__xludf.DUMMYFUNCTION("""COMPUTED_VALUE"""),2826.8)</f>
        <v>2826.8</v>
      </c>
      <c r="F61" s="6">
        <f>IFERROR(__xludf.DUMMYFUNCTION("""COMPUTED_VALUE"""),2718318.0)</f>
        <v>2718318</v>
      </c>
    </row>
    <row r="62">
      <c r="A62" s="7">
        <f>IFERROR(__xludf.DUMMYFUNCTION("""COMPUTED_VALUE"""),45618.64583333333)</f>
        <v>45618.64583</v>
      </c>
      <c r="B62" s="6">
        <f>IFERROR(__xludf.DUMMYFUNCTION("""COMPUTED_VALUE"""),2826.8)</f>
        <v>2826.8</v>
      </c>
      <c r="C62" s="6">
        <f>IFERROR(__xludf.DUMMYFUNCTION("""COMPUTED_VALUE"""),2894.8)</f>
        <v>2894.8</v>
      </c>
      <c r="D62" s="6">
        <f>IFERROR(__xludf.DUMMYFUNCTION("""COMPUTED_VALUE"""),2025.0)</f>
        <v>2025</v>
      </c>
      <c r="E62" s="6">
        <f>IFERROR(__xludf.DUMMYFUNCTION("""COMPUTED_VALUE"""),2228.0)</f>
        <v>2228</v>
      </c>
      <c r="F62" s="6">
        <f>IFERROR(__xludf.DUMMYFUNCTION("""COMPUTED_VALUE"""),4.3761852E7)</f>
        <v>43761852</v>
      </c>
    </row>
    <row r="63">
      <c r="A63" s="7">
        <f>IFERROR(__xludf.DUMMYFUNCTION("""COMPUTED_VALUE"""),45625.64583333333)</f>
        <v>45625.64583</v>
      </c>
      <c r="B63" s="6">
        <f>IFERROR(__xludf.DUMMYFUNCTION("""COMPUTED_VALUE"""),2315.0)</f>
        <v>2315</v>
      </c>
      <c r="C63" s="6">
        <f>IFERROR(__xludf.DUMMYFUNCTION("""COMPUTED_VALUE"""),2526.3)</f>
        <v>2526.3</v>
      </c>
      <c r="D63" s="6">
        <f>IFERROR(__xludf.DUMMYFUNCTION("""COMPUTED_VALUE"""),2136.0)</f>
        <v>2136</v>
      </c>
      <c r="E63" s="6">
        <f>IFERROR(__xludf.DUMMYFUNCTION("""COMPUTED_VALUE"""),2463.15)</f>
        <v>2463.15</v>
      </c>
      <c r="F63" s="6">
        <f>IFERROR(__xludf.DUMMYFUNCTION("""COMPUTED_VALUE"""),5.5329305E7)</f>
        <v>55329305</v>
      </c>
    </row>
    <row r="64">
      <c r="A64" s="7">
        <f>IFERROR(__xludf.DUMMYFUNCTION("""COMPUTED_VALUE"""),45632.64583333333)</f>
        <v>45632.64583</v>
      </c>
      <c r="B64" s="6">
        <f>IFERROR(__xludf.DUMMYFUNCTION("""COMPUTED_VALUE"""),2491.35)</f>
        <v>2491.35</v>
      </c>
      <c r="C64" s="6">
        <f>IFERROR(__xludf.DUMMYFUNCTION("""COMPUTED_VALUE"""),2558.0)</f>
        <v>2558</v>
      </c>
      <c r="D64" s="6">
        <f>IFERROR(__xludf.DUMMYFUNCTION("""COMPUTED_VALUE"""),2426.6)</f>
        <v>2426.6</v>
      </c>
      <c r="E64" s="6">
        <f>IFERROR(__xludf.DUMMYFUNCTION("""COMPUTED_VALUE"""),2506.4)</f>
        <v>2506.4</v>
      </c>
      <c r="F64" s="6">
        <f>IFERROR(__xludf.DUMMYFUNCTION("""COMPUTED_VALUE"""),1.4796137E7)</f>
        <v>14796137</v>
      </c>
    </row>
    <row r="65">
      <c r="A65" s="7">
        <f>IFERROR(__xludf.DUMMYFUNCTION("""COMPUTED_VALUE"""),45639.64583333333)</f>
        <v>45639.64583</v>
      </c>
      <c r="B65" s="6">
        <f>IFERROR(__xludf.DUMMYFUNCTION("""COMPUTED_VALUE"""),2507.9)</f>
        <v>2507.9</v>
      </c>
      <c r="C65" s="6">
        <f>IFERROR(__xludf.DUMMYFUNCTION("""COMPUTED_VALUE"""),2545.0)</f>
        <v>2545</v>
      </c>
      <c r="D65" s="6">
        <f>IFERROR(__xludf.DUMMYFUNCTION("""COMPUTED_VALUE"""),2446.25)</f>
        <v>2446.25</v>
      </c>
      <c r="E65" s="6">
        <f>IFERROR(__xludf.DUMMYFUNCTION("""COMPUTED_VALUE"""),2527.55)</f>
        <v>2527.55</v>
      </c>
      <c r="F65" s="6">
        <f>IFERROR(__xludf.DUMMYFUNCTION("""COMPUTED_VALUE"""),7311446.0)</f>
        <v>7311446</v>
      </c>
    </row>
    <row r="66">
      <c r="A66" s="7">
        <f>IFERROR(__xludf.DUMMYFUNCTION("""COMPUTED_VALUE"""),45646.64583333333)</f>
        <v>45646.64583</v>
      </c>
      <c r="B66" s="6">
        <f>IFERROR(__xludf.DUMMYFUNCTION("""COMPUTED_VALUE"""),2530.0)</f>
        <v>2530</v>
      </c>
      <c r="C66" s="6">
        <f>IFERROR(__xludf.DUMMYFUNCTION("""COMPUTED_VALUE"""),2537.5)</f>
        <v>2537.5</v>
      </c>
      <c r="D66" s="6">
        <f>IFERROR(__xludf.DUMMYFUNCTION("""COMPUTED_VALUE"""),2333.0)</f>
        <v>2333</v>
      </c>
      <c r="E66" s="6">
        <f>IFERROR(__xludf.DUMMYFUNCTION("""COMPUTED_VALUE"""),2344.95)</f>
        <v>2344.95</v>
      </c>
      <c r="F66" s="6">
        <f>IFERROR(__xludf.DUMMYFUNCTION("""COMPUTED_VALUE"""),5225343.0)</f>
        <v>5225343</v>
      </c>
    </row>
    <row r="67">
      <c r="A67" s="7">
        <f>IFERROR(__xludf.DUMMYFUNCTION("""COMPUTED_VALUE"""),45653.64583333333)</f>
        <v>45653.64583</v>
      </c>
      <c r="B67" s="6">
        <f>IFERROR(__xludf.DUMMYFUNCTION("""COMPUTED_VALUE"""),2373.95)</f>
        <v>2373.95</v>
      </c>
      <c r="C67" s="6">
        <f>IFERROR(__xludf.DUMMYFUNCTION("""COMPUTED_VALUE"""),2446.15)</f>
        <v>2446.15</v>
      </c>
      <c r="D67" s="6">
        <f>IFERROR(__xludf.DUMMYFUNCTION("""COMPUTED_VALUE"""),2332.75)</f>
        <v>2332.75</v>
      </c>
      <c r="E67" s="6">
        <f>IFERROR(__xludf.DUMMYFUNCTION("""COMPUTED_VALUE"""),2409.95)</f>
        <v>2409.95</v>
      </c>
      <c r="F67" s="6">
        <f>IFERROR(__xludf.DUMMYFUNCTION("""COMPUTED_VALUE"""),4793182.0)</f>
        <v>4793182</v>
      </c>
    </row>
    <row r="68">
      <c r="A68" s="7">
        <f>IFERROR(__xludf.DUMMYFUNCTION("""COMPUTED_VALUE"""),45660.64583333333)</f>
        <v>45660.64583</v>
      </c>
      <c r="B68" s="6">
        <f>IFERROR(__xludf.DUMMYFUNCTION("""COMPUTED_VALUE"""),2425.0)</f>
        <v>2425</v>
      </c>
      <c r="C68" s="6">
        <f>IFERROR(__xludf.DUMMYFUNCTION("""COMPUTED_VALUE"""),2644.2)</f>
        <v>2644.2</v>
      </c>
      <c r="D68" s="6">
        <f>IFERROR(__xludf.DUMMYFUNCTION("""COMPUTED_VALUE"""),2421.95)</f>
        <v>2421.95</v>
      </c>
      <c r="E68" s="6">
        <f>IFERROR(__xludf.DUMMYFUNCTION("""COMPUTED_VALUE"""),2564.6)</f>
        <v>2564.6</v>
      </c>
      <c r="F68" s="6">
        <f>IFERROR(__xludf.DUMMYFUNCTION("""COMPUTED_VALUE"""),1.5546523E7)</f>
        <v>15546523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IFERROR(__xludf.DUMMYFUNCTION("""COMPUTED_VALUE"""),2557.65)</f>
        <v>2557.65</v>
      </c>
      <c r="C69" s="6">
        <f>IFERROR(__xludf.DUMMYFUNCTION("""COMPUTED_VALUE"""),2568.85)</f>
        <v>2568.85</v>
      </c>
      <c r="D69" s="6">
        <f>IFERROR(__xludf.DUMMYFUNCTION("""COMPUTED_VALUE"""),2368.25)</f>
        <v>2368.25</v>
      </c>
      <c r="E69" s="6">
        <f>IFERROR(__xludf.DUMMYFUNCTION("""COMPUTED_VALUE"""),2374.4)</f>
        <v>2374.4</v>
      </c>
      <c r="F69" s="6">
        <f>IFERROR(__xludf.DUMMYFUNCTION("""COMPUTED_VALUE"""),5144816.0)</f>
        <v>5144816</v>
      </c>
    </row>
    <row r="70">
      <c r="A70" s="7">
        <f>IFERROR(__xludf.DUMMYFUNCTION("""COMPUTED_VALUE"""),45674.64583333333)</f>
        <v>45674.64583</v>
      </c>
      <c r="B70" s="6">
        <f>IFERROR(__xludf.DUMMYFUNCTION("""COMPUTED_VALUE"""),2365.0)</f>
        <v>2365</v>
      </c>
      <c r="C70" s="6">
        <f>IFERROR(__xludf.DUMMYFUNCTION("""COMPUTED_VALUE"""),2570.0)</f>
        <v>2570</v>
      </c>
      <c r="D70" s="6">
        <f>IFERROR(__xludf.DUMMYFUNCTION("""COMPUTED_VALUE"""),2216.9)</f>
        <v>2216.9</v>
      </c>
      <c r="E70" s="6">
        <f>IFERROR(__xludf.DUMMYFUNCTION("""COMPUTED_VALUE"""),2399.8)</f>
        <v>2399.8</v>
      </c>
      <c r="F70" s="6">
        <f>IFERROR(__xludf.DUMMYFUNCTION("""COMPUTED_VALUE"""),1.1066053E7)</f>
        <v>11066053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IFERROR(__xludf.DUMMYFUNCTION("""COMPUTED_VALUE"""),2413.75)</f>
        <v>2413.75</v>
      </c>
      <c r="C71" s="6">
        <f>IFERROR(__xludf.DUMMYFUNCTION("""COMPUTED_VALUE"""),2454.0)</f>
        <v>2454</v>
      </c>
      <c r="D71" s="6">
        <f>IFERROR(__xludf.DUMMYFUNCTION("""COMPUTED_VALUE"""),2299.4)</f>
        <v>2299.4</v>
      </c>
      <c r="E71" s="6">
        <f>IFERROR(__xludf.DUMMYFUNCTION("""COMPUTED_VALUE"""),2315.1)</f>
        <v>2315.1</v>
      </c>
      <c r="F71" s="6">
        <f>IFERROR(__xludf.DUMMYFUNCTION("""COMPUTED_VALUE"""),5608585.0)</f>
        <v>5608585</v>
      </c>
    </row>
    <row r="72">
      <c r="A72" s="7">
        <f>IFERROR(__xludf.DUMMYFUNCTION("""COMPUTED_VALUE"""),45695.64583333333)</f>
        <v>45695.64583</v>
      </c>
      <c r="B72" s="6">
        <f>IFERROR(__xludf.DUMMYFUNCTION("""COMPUTED_VALUE"""),2266.75)</f>
        <v>2266.75</v>
      </c>
      <c r="C72" s="6">
        <f>IFERROR(__xludf.DUMMYFUNCTION("""COMPUTED_VALUE"""),2374.9)</f>
        <v>2374.9</v>
      </c>
      <c r="D72" s="6">
        <f>IFERROR(__xludf.DUMMYFUNCTION("""COMPUTED_VALUE"""),2213.9)</f>
        <v>2213.9</v>
      </c>
      <c r="E72" s="6">
        <f>IFERROR(__xludf.DUMMYFUNCTION("""COMPUTED_VALUE"""),2338.8)</f>
        <v>2338.8</v>
      </c>
      <c r="F72" s="6">
        <f>IFERROR(__xludf.DUMMYFUNCTION("""COMPUTED_VALUE"""),3650513.0)</f>
        <v>3650513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IFERROR(__xludf.DUMMYFUNCTION("""COMPUTED_VALUE"""),2350.0)</f>
        <v>2350</v>
      </c>
      <c r="C73" s="6">
        <f>IFERROR(__xludf.DUMMYFUNCTION("""COMPUTED_VALUE"""),2397.0)</f>
        <v>2397</v>
      </c>
      <c r="D73" s="6">
        <f>IFERROR(__xludf.DUMMYFUNCTION("""COMPUTED_VALUE"""),2124.55)</f>
        <v>2124.55</v>
      </c>
      <c r="E73" s="6">
        <f>IFERROR(__xludf.DUMMYFUNCTION("""COMPUTED_VALUE"""),2152.65)</f>
        <v>2152.65</v>
      </c>
      <c r="F73" s="6">
        <f>IFERROR(__xludf.DUMMYFUNCTION("""COMPUTED_VALUE"""),1.2670245E7)</f>
        <v>12670245</v>
      </c>
    </row>
    <row r="74">
      <c r="A74" s="7">
        <f>IFERROR(__xludf.DUMMYFUNCTION("""COMPUTED_VALUE"""),45709.64583333333)</f>
        <v>45709.64583</v>
      </c>
      <c r="B74" s="6">
        <f>IFERROR(__xludf.DUMMYFUNCTION("""COMPUTED_VALUE"""),2152.65)</f>
        <v>2152.65</v>
      </c>
      <c r="C74" s="6">
        <f>IFERROR(__xludf.DUMMYFUNCTION("""COMPUTED_VALUE"""),2240.4)</f>
        <v>2240.4</v>
      </c>
      <c r="D74" s="6">
        <f>IFERROR(__xludf.DUMMYFUNCTION("""COMPUTED_VALUE"""),2110.65)</f>
        <v>2110.65</v>
      </c>
      <c r="E74" s="6">
        <f>IFERROR(__xludf.DUMMYFUNCTION("""COMPUTED_VALUE"""),2133.1)</f>
        <v>2133.1</v>
      </c>
      <c r="F74" s="6">
        <f>IFERROR(__xludf.DUMMYFUNCTION("""COMPUTED_VALUE"""),6368391.0)</f>
        <v>6368391</v>
      </c>
    </row>
    <row r="75">
      <c r="A75" s="7">
        <f>IFERROR(__xludf.DUMMYFUNCTION("""COMPUTED_VALUE"""),45716.64583333333)</f>
        <v>45716.64583</v>
      </c>
      <c r="B75" s="6">
        <f>IFERROR(__xludf.DUMMYFUNCTION("""COMPUTED_VALUE"""),2128.95)</f>
        <v>2128.95</v>
      </c>
      <c r="C75" s="6">
        <f>IFERROR(__xludf.DUMMYFUNCTION("""COMPUTED_VALUE"""),2158.3)</f>
        <v>2158.3</v>
      </c>
      <c r="D75" s="6">
        <f>IFERROR(__xludf.DUMMYFUNCTION("""COMPUTED_VALUE"""),2072.0)</f>
        <v>2072</v>
      </c>
      <c r="E75" s="6">
        <f>IFERROR(__xludf.DUMMYFUNCTION("""COMPUTED_VALUE"""),2096.0)</f>
        <v>2096</v>
      </c>
      <c r="F75" s="6">
        <f>IFERROR(__xludf.DUMMYFUNCTION("""COMPUTED_VALUE"""),5150297.0)</f>
        <v>5150297</v>
      </c>
    </row>
    <row r="76">
      <c r="A76" s="7">
        <f>IFERROR(__xludf.DUMMYFUNCTION("""COMPUTED_VALUE"""),45723.64583333333)</f>
        <v>45723.64583</v>
      </c>
      <c r="B76" s="6">
        <f>IFERROR(__xludf.DUMMYFUNCTION("""COMPUTED_VALUE"""),2109.0)</f>
        <v>2109</v>
      </c>
      <c r="C76" s="6">
        <f>IFERROR(__xludf.DUMMYFUNCTION("""COMPUTED_VALUE"""),2268.9)</f>
        <v>2268.9</v>
      </c>
      <c r="D76" s="6">
        <f>IFERROR(__xludf.DUMMYFUNCTION("""COMPUTED_VALUE"""),2026.55)</f>
        <v>2026.55</v>
      </c>
      <c r="E76" s="6">
        <f>IFERROR(__xludf.DUMMYFUNCTION("""COMPUTED_VALUE"""),2247.5)</f>
        <v>2247.5</v>
      </c>
      <c r="F76" s="6">
        <f>IFERROR(__xludf.DUMMYFUNCTION("""COMPUTED_VALUE"""),5524771.0)</f>
        <v>5524771</v>
      </c>
    </row>
    <row r="77">
      <c r="A77" s="7">
        <f>IFERROR(__xludf.DUMMYFUNCTION("""COMPUTED_VALUE"""),45729.64583333333)</f>
        <v>45729.64583</v>
      </c>
      <c r="B77" s="6">
        <f>IFERROR(__xludf.DUMMYFUNCTION("""COMPUTED_VALUE"""),2245.0)</f>
        <v>2245</v>
      </c>
      <c r="C77" s="6">
        <f>IFERROR(__xludf.DUMMYFUNCTION("""COMPUTED_VALUE"""),2288.0)</f>
        <v>2288</v>
      </c>
      <c r="D77" s="6">
        <f>IFERROR(__xludf.DUMMYFUNCTION("""COMPUTED_VALUE"""),2180.95)</f>
        <v>2180.95</v>
      </c>
      <c r="E77" s="6">
        <f>IFERROR(__xludf.DUMMYFUNCTION("""COMPUTED_VALUE"""),2221.1)</f>
        <v>2221.1</v>
      </c>
      <c r="F77" s="6">
        <f>IFERROR(__xludf.DUMMYFUNCTION("""COMPUTED_VALUE"""),3686578.0)</f>
        <v>3686578</v>
      </c>
    </row>
    <row r="78">
      <c r="A78" s="7">
        <f>IFERROR(__xludf.DUMMYFUNCTION("""COMPUTED_VALUE"""),45737.64583333333)</f>
        <v>45737.64583</v>
      </c>
      <c r="B78" s="6">
        <f>IFERROR(__xludf.DUMMYFUNCTION("""COMPUTED_VALUE"""),2200.0)</f>
        <v>2200</v>
      </c>
      <c r="C78" s="6">
        <f>IFERROR(__xludf.DUMMYFUNCTION("""COMPUTED_VALUE"""),2389.55)</f>
        <v>2389.55</v>
      </c>
      <c r="D78" s="6">
        <f>IFERROR(__xludf.DUMMYFUNCTION("""COMPUTED_VALUE"""),2198.0)</f>
        <v>2198</v>
      </c>
      <c r="E78" s="6">
        <f>IFERROR(__xludf.DUMMYFUNCTION("""COMPUTED_VALUE"""),2362.8)</f>
        <v>2362.8</v>
      </c>
      <c r="F78" s="6">
        <f>IFERROR(__xludf.DUMMYFUNCTION("""COMPUTED_VALUE"""),6524558.0)</f>
        <v>6524558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IFERROR(__xludf.DUMMYFUNCTION("""COMPUTED_VALUE"""),2370.0)</f>
        <v>2370</v>
      </c>
      <c r="C79" s="6">
        <f>IFERROR(__xludf.DUMMYFUNCTION("""COMPUTED_VALUE"""),2395.0)</f>
        <v>2395</v>
      </c>
      <c r="D79" s="6">
        <f>IFERROR(__xludf.DUMMYFUNCTION("""COMPUTED_VALUE"""),2291.6)</f>
        <v>2291.6</v>
      </c>
      <c r="E79" s="6">
        <f>IFERROR(__xludf.DUMMYFUNCTION("""COMPUTED_VALUE"""),2315.8)</f>
        <v>2315.8</v>
      </c>
      <c r="F79" s="6">
        <f>IFERROR(__xludf.DUMMYFUNCTION("""COMPUTED_VALUE"""),6386997.0)</f>
        <v>6386997</v>
      </c>
    </row>
    <row r="80">
      <c r="A80" s="7">
        <f>IFERROR(__xludf.DUMMYFUNCTION("""COMPUTED_VALUE"""),45751.64583333333)</f>
        <v>45751.64583</v>
      </c>
      <c r="B80" s="6">
        <f>IFERROR(__xludf.DUMMYFUNCTION("""COMPUTED_VALUE"""),2312.0)</f>
        <v>2312</v>
      </c>
      <c r="C80" s="6">
        <f>IFERROR(__xludf.DUMMYFUNCTION("""COMPUTED_VALUE"""),2429.9)</f>
        <v>2429.9</v>
      </c>
      <c r="D80" s="6">
        <f>IFERROR(__xludf.DUMMYFUNCTION("""COMPUTED_VALUE"""),2301.0)</f>
        <v>2301</v>
      </c>
      <c r="E80" s="6">
        <f>IFERROR(__xludf.DUMMYFUNCTION("""COMPUTED_VALUE"""),2334.65)</f>
        <v>2334.65</v>
      </c>
      <c r="F80" s="6">
        <f>IFERROR(__xludf.DUMMYFUNCTION("""COMPUTED_VALUE"""),3318803.0)</f>
        <v>3318803</v>
      </c>
    </row>
    <row r="81">
      <c r="A81" s="7">
        <f>IFERROR(__xludf.DUMMYFUNCTION("""COMPUTED_VALUE"""),45758.64583333333)</f>
        <v>45758.64583</v>
      </c>
      <c r="B81" s="6">
        <f>IFERROR(__xludf.DUMMYFUNCTION("""COMPUTED_VALUE"""),2150.05)</f>
        <v>2150.05</v>
      </c>
      <c r="C81" s="6">
        <f>IFERROR(__xludf.DUMMYFUNCTION("""COMPUTED_VALUE"""),2343.5)</f>
        <v>2343.5</v>
      </c>
      <c r="D81" s="6">
        <f>IFERROR(__xludf.DUMMYFUNCTION("""COMPUTED_VALUE"""),2145.0)</f>
        <v>2145</v>
      </c>
      <c r="E81" s="6">
        <f>IFERROR(__xludf.DUMMYFUNCTION("""COMPUTED_VALUE"""),2321.4)</f>
        <v>2321.4</v>
      </c>
      <c r="F81" s="6">
        <f>IFERROR(__xludf.DUMMYFUNCTION("""COMPUTED_VALUE"""),4774635.0)</f>
        <v>4774635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IFERROR(__xludf.DUMMYFUNCTION("""COMPUTED_VALUE"""),2375.0)</f>
        <v>2375</v>
      </c>
      <c r="C82" s="6">
        <f>IFERROR(__xludf.DUMMYFUNCTION("""COMPUTED_VALUE"""),2448.6)</f>
        <v>2448.6</v>
      </c>
      <c r="D82" s="6">
        <f>IFERROR(__xludf.DUMMYFUNCTION("""COMPUTED_VALUE"""),2359.0)</f>
        <v>2359</v>
      </c>
      <c r="E82" s="6">
        <f>IFERROR(__xludf.DUMMYFUNCTION("""COMPUTED_VALUE"""),2418.1)</f>
        <v>2418.1</v>
      </c>
      <c r="F82" s="6">
        <f>IFERROR(__xludf.DUMMYFUNCTION("""COMPUTED_VALUE"""),3089871.0)</f>
        <v>3089871</v>
      </c>
    </row>
    <row r="83">
      <c r="A83" s="7">
        <f>IFERROR(__xludf.DUMMYFUNCTION("""COMPUTED_VALUE"""),45772.64583333333)</f>
        <v>45772.64583</v>
      </c>
      <c r="B83" s="6">
        <f>IFERROR(__xludf.DUMMYFUNCTION("""COMPUTED_VALUE"""),2426.1)</f>
        <v>2426.1</v>
      </c>
      <c r="C83" s="6">
        <f>IFERROR(__xludf.DUMMYFUNCTION("""COMPUTED_VALUE"""),2483.4)</f>
        <v>2483.4</v>
      </c>
      <c r="D83" s="6">
        <f>IFERROR(__xludf.DUMMYFUNCTION("""COMPUTED_VALUE"""),2323.5)</f>
        <v>2323.5</v>
      </c>
      <c r="E83" s="6">
        <f>IFERROR(__xludf.DUMMYFUNCTION("""COMPUTED_VALUE"""),2354.3)</f>
        <v>2354.3</v>
      </c>
      <c r="F83" s="6">
        <f>IFERROR(__xludf.DUMMYFUNCTION("""COMPUTED_VALUE"""),4232893.0)</f>
        <v>4232893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IFERROR(__xludf.DUMMYFUNCTION("""COMPUTED_VALUE"""),2346.0)</f>
        <v>2346</v>
      </c>
      <c r="C84" s="6">
        <f>IFERROR(__xludf.DUMMYFUNCTION("""COMPUTED_VALUE"""),2402.0)</f>
        <v>2402</v>
      </c>
      <c r="D84" s="6">
        <f>IFERROR(__xludf.DUMMYFUNCTION("""COMPUTED_VALUE"""),2285.0)</f>
        <v>2285</v>
      </c>
      <c r="E84" s="6">
        <f>IFERROR(__xludf.DUMMYFUNCTION("""COMPUTED_VALUE"""),2294.2)</f>
        <v>2294.2</v>
      </c>
      <c r="F84" s="6">
        <f>IFERROR(__xludf.DUMMYFUNCTION("""COMPUTED_VALUE"""),3885412.0)</f>
        <v>3885412</v>
      </c>
    </row>
    <row r="85">
      <c r="A85" s="7">
        <f>IFERROR(__xludf.DUMMYFUNCTION("""COMPUTED_VALUE"""),45786.64583333333)</f>
        <v>45786.64583</v>
      </c>
      <c r="B85" s="6">
        <f>IFERROR(__xludf.DUMMYFUNCTION("""COMPUTED_VALUE"""),2312.6)</f>
        <v>2312.6</v>
      </c>
      <c r="C85" s="6">
        <f>IFERROR(__xludf.DUMMYFUNCTION("""COMPUTED_VALUE"""),2497.0)</f>
        <v>2497</v>
      </c>
      <c r="D85" s="6">
        <f>IFERROR(__xludf.DUMMYFUNCTION("""COMPUTED_VALUE"""),2233.0)</f>
        <v>2233</v>
      </c>
      <c r="E85" s="6">
        <f>IFERROR(__xludf.DUMMYFUNCTION("""COMPUTED_VALUE"""),2251.0)</f>
        <v>2251</v>
      </c>
      <c r="F85" s="6">
        <f>IFERROR(__xludf.DUMMYFUNCTION("""COMPUTED_VALUE"""),9150595.0)</f>
        <v>9150595</v>
      </c>
    </row>
    <row r="86">
      <c r="A86" s="7">
        <f>IFERROR(__xludf.DUMMYFUNCTION("""COMPUTED_VALUE"""),45793.64583333333)</f>
        <v>45793.64583</v>
      </c>
      <c r="B86" s="6">
        <f>IFERROR(__xludf.DUMMYFUNCTION("""COMPUTED_VALUE"""),2350.0)</f>
        <v>2350</v>
      </c>
      <c r="C86" s="6">
        <f>IFERROR(__xludf.DUMMYFUNCTION("""COMPUTED_VALUE"""),2584.2)</f>
        <v>2584.2</v>
      </c>
      <c r="D86" s="6">
        <f>IFERROR(__xludf.DUMMYFUNCTION("""COMPUTED_VALUE"""),2315.0)</f>
        <v>2315</v>
      </c>
      <c r="E86" s="6">
        <f>IFERROR(__xludf.DUMMYFUNCTION("""COMPUTED_VALUE"""),2555.0)</f>
        <v>2555</v>
      </c>
      <c r="F86" s="6">
        <f>IFERROR(__xludf.DUMMYFUNCTION("""COMPUTED_VALUE"""),7932595.0)</f>
        <v>7932595</v>
      </c>
    </row>
    <row r="87">
      <c r="A87" s="7">
        <f>IFERROR(__xludf.DUMMYFUNCTION("""COMPUTED_VALUE"""),45800.64583333333)</f>
        <v>45800.64583</v>
      </c>
      <c r="B87" s="6">
        <f>IFERROR(__xludf.DUMMYFUNCTION("""COMPUTED_VALUE"""),2571.3)</f>
        <v>2571.3</v>
      </c>
      <c r="C87" s="6">
        <f>IFERROR(__xludf.DUMMYFUNCTION("""COMPUTED_VALUE"""),2578.8)</f>
        <v>2578.8</v>
      </c>
      <c r="D87" s="6">
        <f>IFERROR(__xludf.DUMMYFUNCTION("""COMPUTED_VALUE"""),2465.3)</f>
        <v>2465.3</v>
      </c>
      <c r="E87" s="6">
        <f>IFERROR(__xludf.DUMMYFUNCTION("""COMPUTED_VALUE"""),2540.0)</f>
        <v>2540</v>
      </c>
      <c r="F87" s="6">
        <f>IFERROR(__xludf.DUMMYFUNCTION("""COMPUTED_VALUE"""),3713581.0)</f>
        <v>3713581</v>
      </c>
    </row>
    <row r="88">
      <c r="A88" s="7">
        <f>IFERROR(__xludf.DUMMYFUNCTION("""COMPUTED_VALUE"""),45807.64583333333)</f>
        <v>45807.64583</v>
      </c>
      <c r="B88" s="6">
        <f>IFERROR(__xludf.DUMMYFUNCTION("""COMPUTED_VALUE"""),2549.1)</f>
        <v>2549.1</v>
      </c>
      <c r="C88" s="6">
        <f>IFERROR(__xludf.DUMMYFUNCTION("""COMPUTED_VALUE"""),2569.1)</f>
        <v>2569.1</v>
      </c>
      <c r="D88" s="6">
        <f>IFERROR(__xludf.DUMMYFUNCTION("""COMPUTED_VALUE"""),2510.0)</f>
        <v>2510</v>
      </c>
      <c r="E88" s="6">
        <f>IFERROR(__xludf.DUMMYFUNCTION("""COMPUTED_VALUE"""),2519.9)</f>
        <v>2519.9</v>
      </c>
      <c r="F88" s="6">
        <f>IFERROR(__xludf.DUMMYFUNCTION("""COMPUTED_VALUE"""),3130746.0)</f>
        <v>3130746</v>
      </c>
    </row>
    <row r="89">
      <c r="A89" s="7">
        <f>IFERROR(__xludf.DUMMYFUNCTION("""COMPUTED_VALUE"""),45814.64583333333)</f>
        <v>45814.64583</v>
      </c>
      <c r="B89" s="6">
        <f>IFERROR(__xludf.DUMMYFUNCTION("""COMPUTED_VALUE"""),2527.0)</f>
        <v>2527</v>
      </c>
      <c r="C89" s="6">
        <f>IFERROR(__xludf.DUMMYFUNCTION("""COMPUTED_VALUE"""),2564.0)</f>
        <v>2564</v>
      </c>
      <c r="D89" s="6">
        <f>IFERROR(__xludf.DUMMYFUNCTION("""COMPUTED_VALUE"""),2441.1)</f>
        <v>2441.1</v>
      </c>
      <c r="E89" s="6">
        <f>IFERROR(__xludf.DUMMYFUNCTION("""COMPUTED_VALUE"""),2534.2)</f>
        <v>2534.2</v>
      </c>
      <c r="F89" s="6">
        <f>IFERROR(__xludf.DUMMYFUNCTION("""COMPUTED_VALUE"""),3837980.0)</f>
        <v>3837980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IFERROR(__xludf.DUMMYFUNCTION("""COMPUTED_VALUE"""),2545.0)</f>
        <v>2545</v>
      </c>
      <c r="C90" s="6">
        <f>IFERROR(__xludf.DUMMYFUNCTION("""COMPUTED_VALUE"""),2663.2)</f>
        <v>2663.2</v>
      </c>
      <c r="D90" s="6">
        <f>IFERROR(__xludf.DUMMYFUNCTION("""COMPUTED_VALUE"""),2460.0)</f>
        <v>2460</v>
      </c>
      <c r="E90" s="6">
        <f>IFERROR(__xludf.DUMMYFUNCTION("""COMPUTED_VALUE"""),2507.9)</f>
        <v>2507.9</v>
      </c>
      <c r="F90" s="6">
        <f>IFERROR(__xludf.DUMMYFUNCTION("""COMPUTED_VALUE"""),6191619.0)</f>
        <v>6191619</v>
      </c>
    </row>
    <row r="91">
      <c r="A91" s="7">
        <f>IFERROR(__xludf.DUMMYFUNCTION("""COMPUTED_VALUE"""),45828.64583333333)</f>
        <v>45828.64583</v>
      </c>
      <c r="B91" s="6">
        <f>IFERROR(__xludf.DUMMYFUNCTION("""COMPUTED_VALUE"""),2500.0)</f>
        <v>2500</v>
      </c>
      <c r="C91" s="6">
        <f>IFERROR(__xludf.DUMMYFUNCTION("""COMPUTED_VALUE"""),2563.3)</f>
        <v>2563.3</v>
      </c>
      <c r="D91" s="6">
        <f>IFERROR(__xludf.DUMMYFUNCTION("""COMPUTED_VALUE"""),2405.1)</f>
        <v>2405.1</v>
      </c>
      <c r="E91" s="6">
        <f>IFERROR(__xludf.DUMMYFUNCTION("""COMPUTED_VALUE"""),2448.4)</f>
        <v>2448.4</v>
      </c>
      <c r="F91" s="6">
        <f>IFERROR(__xludf.DUMMYFUNCTION("""COMPUTED_VALUE"""),6017604.0)</f>
        <v>6017604</v>
      </c>
    </row>
    <row r="92">
      <c r="A92" s="7">
        <f>IFERROR(__xludf.DUMMYFUNCTION("""COMPUTED_VALUE"""),45835.64583333333)</f>
        <v>45835.64583</v>
      </c>
      <c r="B92" s="6">
        <f>IFERROR(__xludf.DUMMYFUNCTION("""COMPUTED_VALUE"""),2438.0)</f>
        <v>2438</v>
      </c>
      <c r="C92" s="6">
        <f>IFERROR(__xludf.DUMMYFUNCTION("""COMPUTED_VALUE"""),2681.6)</f>
        <v>2681.6</v>
      </c>
      <c r="D92" s="6">
        <f>IFERROR(__xludf.DUMMYFUNCTION("""COMPUTED_VALUE"""),2421.0)</f>
        <v>2421</v>
      </c>
      <c r="E92" s="6">
        <f>IFERROR(__xludf.DUMMYFUNCTION("""COMPUTED_VALUE"""),2646.3)</f>
        <v>2646.3</v>
      </c>
      <c r="F92" s="6">
        <f>IFERROR(__xludf.DUMMYFUNCTION("""COMPUTED_VALUE"""),8097229.0)</f>
        <v>8097229</v>
      </c>
    </row>
    <row r="93">
      <c r="A93" s="7">
        <f>IFERROR(__xludf.DUMMYFUNCTION("""COMPUTED_VALUE"""),45842.64583333333)</f>
        <v>45842.64583</v>
      </c>
      <c r="B93" s="6">
        <f>IFERROR(__xludf.DUMMYFUNCTION("""COMPUTED_VALUE"""),2650.0)</f>
        <v>2650</v>
      </c>
      <c r="C93" s="6">
        <f>IFERROR(__xludf.DUMMYFUNCTION("""COMPUTED_VALUE"""),2653.9)</f>
        <v>2653.9</v>
      </c>
      <c r="D93" s="6">
        <f>IFERROR(__xludf.DUMMYFUNCTION("""COMPUTED_VALUE"""),2582.2)</f>
        <v>2582.2</v>
      </c>
      <c r="E93" s="6">
        <f>IFERROR(__xludf.DUMMYFUNCTION("""COMPUTED_VALUE"""),2599.1)</f>
        <v>2599.1</v>
      </c>
      <c r="F93" s="6">
        <f>IFERROR(__xludf.DUMMYFUNCTION("""COMPUTED_VALUE"""),2918450.0)</f>
        <v>2918450</v>
      </c>
    </row>
    <row r="94">
      <c r="A94" s="7">
        <f>IFERROR(__xludf.DUMMYFUNCTION("""COMPUTED_VALUE"""),45849.64583333333)</f>
        <v>45849.64583</v>
      </c>
      <c r="B94" s="6">
        <f>IFERROR(__xludf.DUMMYFUNCTION("""COMPUTED_VALUE"""),2602.0)</f>
        <v>2602</v>
      </c>
      <c r="C94" s="6">
        <f>IFERROR(__xludf.DUMMYFUNCTION("""COMPUTED_VALUE"""),2609.9)</f>
        <v>2609.9</v>
      </c>
      <c r="D94" s="6">
        <f>IFERROR(__xludf.DUMMYFUNCTION("""COMPUTED_VALUE"""),2551.9)</f>
        <v>2551.9</v>
      </c>
      <c r="E94" s="6">
        <f>IFERROR(__xludf.DUMMYFUNCTION("""COMPUTED_VALUE"""),2558.7)</f>
        <v>2558.7</v>
      </c>
      <c r="F94" s="6">
        <f>IFERROR(__xludf.DUMMYFUNCTION("""COMPUTED_VALUE"""),1863950.0)</f>
        <v>1863950</v>
      </c>
    </row>
    <row r="95">
      <c r="A95" s="7">
        <f>IFERROR(__xludf.DUMMYFUNCTION("""COMPUTED_VALUE"""),45856.64583333333)</f>
        <v>45856.64583</v>
      </c>
      <c r="B95" s="6">
        <f>IFERROR(__xludf.DUMMYFUNCTION("""COMPUTED_VALUE"""),2555.0)</f>
        <v>2555</v>
      </c>
      <c r="C95" s="6">
        <f>IFERROR(__xludf.DUMMYFUNCTION("""COMPUTED_VALUE"""),2654.5)</f>
        <v>2654.5</v>
      </c>
      <c r="D95" s="6">
        <f>IFERROR(__xludf.DUMMYFUNCTION("""COMPUTED_VALUE"""),2543.5)</f>
        <v>2543.5</v>
      </c>
      <c r="E95" s="6">
        <f>IFERROR(__xludf.DUMMYFUNCTION("""COMPUTED_VALUE"""),2596.1)</f>
        <v>2596.1</v>
      </c>
      <c r="F95" s="6">
        <f>IFERROR(__xludf.DUMMYFUNCTION("""COMPUTED_VALUE"""),2868367.0)</f>
        <v>2868367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IFERROR(__xludf.DUMMYFUNCTION("""COMPUTED_VALUE"""),2596.3)</f>
        <v>2596.3</v>
      </c>
      <c r="C96" s="6">
        <f>IFERROR(__xludf.DUMMYFUNCTION("""COMPUTED_VALUE"""),2630.0)</f>
        <v>2630</v>
      </c>
      <c r="D96" s="6">
        <f>IFERROR(__xludf.DUMMYFUNCTION("""COMPUTED_VALUE"""),2544.1)</f>
        <v>2544.1</v>
      </c>
      <c r="E96" s="6">
        <f>IFERROR(__xludf.DUMMYFUNCTION("""COMPUTED_VALUE"""),2550.1)</f>
        <v>2550.1</v>
      </c>
      <c r="F96" s="6">
        <f>IFERROR(__xludf.DUMMYFUNCTION("""COMPUTED_VALUE"""),1751655.0)</f>
        <v>1751655</v>
      </c>
    </row>
    <row r="97">
      <c r="A97" s="7">
        <f>IFERROR(__xludf.DUMMYFUNCTION("""COMPUTED_VALUE"""),45870.64583333333)</f>
        <v>45870.64583</v>
      </c>
      <c r="B97" s="6">
        <f>IFERROR(__xludf.DUMMYFUNCTION("""COMPUTED_VALUE"""),2549.0)</f>
        <v>2549</v>
      </c>
      <c r="C97" s="6">
        <f>IFERROR(__xludf.DUMMYFUNCTION("""COMPUTED_VALUE"""),2585.0)</f>
        <v>2585</v>
      </c>
      <c r="D97" s="6">
        <f>IFERROR(__xludf.DUMMYFUNCTION("""COMPUTED_VALUE"""),2333.0)</f>
        <v>2333</v>
      </c>
      <c r="E97" s="6">
        <f>IFERROR(__xludf.DUMMYFUNCTION("""COMPUTED_VALUE"""),2350.9)</f>
        <v>2350.9</v>
      </c>
      <c r="F97" s="6">
        <f>IFERROR(__xludf.DUMMYFUNCTION("""COMPUTED_VALUE"""),3549210.0)</f>
        <v>3549210</v>
      </c>
    </row>
    <row r="98">
      <c r="A98" s="7">
        <f>IFERROR(__xludf.DUMMYFUNCTION("""COMPUTED_VALUE"""),45877.64583333333)</f>
        <v>45877.64583</v>
      </c>
      <c r="B98" s="6">
        <f>IFERROR(__xludf.DUMMYFUNCTION("""COMPUTED_VALUE"""),2360.0)</f>
        <v>2360</v>
      </c>
      <c r="C98" s="6">
        <f>IFERROR(__xludf.DUMMYFUNCTION("""COMPUTED_VALUE"""),2374.7)</f>
        <v>2374.7</v>
      </c>
      <c r="D98" s="6">
        <f>IFERROR(__xludf.DUMMYFUNCTION("""COMPUTED_VALUE"""),2164.8)</f>
        <v>2164.8</v>
      </c>
      <c r="E98" s="6">
        <f>IFERROR(__xludf.DUMMYFUNCTION("""COMPUTED_VALUE"""),2178.1)</f>
        <v>2178.1</v>
      </c>
      <c r="F98" s="6">
        <f>IFERROR(__xludf.DUMMYFUNCTION("""COMPUTED_VALUE"""),5866896.0)</f>
        <v>5866896</v>
      </c>
    </row>
    <row r="99">
      <c r="A99" s="7">
        <f>IFERROR(__xludf.DUMMYFUNCTION("""COMPUTED_VALUE"""),45883.64583333333)</f>
        <v>45883.64583</v>
      </c>
      <c r="B99" s="6">
        <f>IFERROR(__xludf.DUMMYFUNCTION("""COMPUTED_VALUE"""),2196.0)</f>
        <v>2196</v>
      </c>
      <c r="C99" s="6">
        <f>IFERROR(__xludf.DUMMYFUNCTION("""COMPUTED_VALUE"""),2314.9)</f>
        <v>2314.9</v>
      </c>
      <c r="D99" s="6">
        <f>IFERROR(__xludf.DUMMYFUNCTION("""COMPUTED_VALUE"""),2183.0)</f>
        <v>2183</v>
      </c>
      <c r="E99" s="6">
        <f>IFERROR(__xludf.DUMMYFUNCTION("""COMPUTED_VALUE"""),2281.6)</f>
        <v>2281.6</v>
      </c>
      <c r="F99" s="6">
        <f>IFERROR(__xludf.DUMMYFUNCTION("""COMPUTED_VALUE"""),5283600.0)</f>
        <v>5283600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IFERROR(__xludf.DUMMYFUNCTION("""COMPUTED_VALUE"""),2309.6)</f>
        <v>2309.6</v>
      </c>
      <c r="C100" s="6">
        <f>IFERROR(__xludf.DUMMYFUNCTION("""COMPUTED_VALUE"""),2406.0)</f>
        <v>2406</v>
      </c>
      <c r="D100" s="6">
        <f>IFERROR(__xludf.DUMMYFUNCTION("""COMPUTED_VALUE"""),2300.0)</f>
        <v>2300</v>
      </c>
      <c r="E100" s="6">
        <f>IFERROR(__xludf.DUMMYFUNCTION("""COMPUTED_VALUE"""),2324.9)</f>
        <v>2324.9</v>
      </c>
      <c r="F100" s="6">
        <f>IFERROR(__xludf.DUMMYFUNCTION("""COMPUTED_VALUE"""),3864164.0)</f>
        <v>3864164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IFERROR(__xludf.DUMMYFUNCTION("""COMPUTED_VALUE"""),2335.7)</f>
        <v>2335.7</v>
      </c>
      <c r="C101" s="6">
        <f>IFERROR(__xludf.DUMMYFUNCTION("""COMPUTED_VALUE"""),2348.4)</f>
        <v>2348.4</v>
      </c>
      <c r="D101" s="6">
        <f>IFERROR(__xludf.DUMMYFUNCTION("""COMPUTED_VALUE"""),2249.4)</f>
        <v>2249.4</v>
      </c>
      <c r="E101" s="6">
        <f>IFERROR(__xludf.DUMMYFUNCTION("""COMPUTED_VALUE"""),2272.0)</f>
        <v>2272</v>
      </c>
      <c r="F101" s="6">
        <f>IFERROR(__xludf.DUMMYFUNCTION("""COMPUTED_VALUE"""),1.0795551E7)</f>
        <v>10795551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IFERROR(__xludf.DUMMYFUNCTION("GOOGLEFINANCE(""NSE:ADANIGREEN"",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IFERROR(__xludf.DUMMYFUNCTION("""COMPUTED_VALUE"""),997.1)</f>
        <v>997.1</v>
      </c>
      <c r="C2" s="6">
        <f>IFERROR(__xludf.DUMMYFUNCTION("""COMPUTED_VALUE"""),998.5)</f>
        <v>998.5</v>
      </c>
      <c r="D2" s="6">
        <f>IFERROR(__xludf.DUMMYFUNCTION("""COMPUTED_VALUE"""),905.15)</f>
        <v>905.15</v>
      </c>
      <c r="E2" s="6">
        <f>IFERROR(__xludf.DUMMYFUNCTION("""COMPUTED_VALUE"""),949.1)</f>
        <v>949.1</v>
      </c>
      <c r="F2" s="6">
        <f>IFERROR(__xludf.DUMMYFUNCTION("""COMPUTED_VALUE"""),1.1362853E7)</f>
        <v>11362853</v>
      </c>
    </row>
    <row r="3">
      <c r="A3" s="7">
        <f>IFERROR(__xludf.DUMMYFUNCTION("""COMPUTED_VALUE"""),45177.64583333333)</f>
        <v>45177.64583</v>
      </c>
      <c r="B3" s="6">
        <f>IFERROR(__xludf.DUMMYFUNCTION("""COMPUTED_VALUE"""),952.9)</f>
        <v>952.9</v>
      </c>
      <c r="C3" s="6">
        <f>IFERROR(__xludf.DUMMYFUNCTION("""COMPUTED_VALUE"""),1015.15)</f>
        <v>1015.15</v>
      </c>
      <c r="D3" s="6">
        <f>IFERROR(__xludf.DUMMYFUNCTION("""COMPUTED_VALUE"""),942.0)</f>
        <v>942</v>
      </c>
      <c r="E3" s="6">
        <f>IFERROR(__xludf.DUMMYFUNCTION("""COMPUTED_VALUE"""),1001.2)</f>
        <v>1001.2</v>
      </c>
      <c r="F3" s="6">
        <f>IFERROR(__xludf.DUMMYFUNCTION("""COMPUTED_VALUE"""),2.7815787E7)</f>
        <v>27815787</v>
      </c>
    </row>
    <row r="4">
      <c r="A4" s="7">
        <f>IFERROR(__xludf.DUMMYFUNCTION("""COMPUTED_VALUE"""),45184.64583333333)</f>
        <v>45184.64583</v>
      </c>
      <c r="B4" s="6">
        <f>IFERROR(__xludf.DUMMYFUNCTION("""COMPUTED_VALUE"""),1017.95)</f>
        <v>1017.95</v>
      </c>
      <c r="C4" s="6">
        <f>IFERROR(__xludf.DUMMYFUNCTION("""COMPUTED_VALUE"""),1026.95)</f>
        <v>1026.95</v>
      </c>
      <c r="D4" s="6">
        <f>IFERROR(__xludf.DUMMYFUNCTION("""COMPUTED_VALUE"""),967.0)</f>
        <v>967</v>
      </c>
      <c r="E4" s="6">
        <f>IFERROR(__xludf.DUMMYFUNCTION("""COMPUTED_VALUE"""),1006.45)</f>
        <v>1006.45</v>
      </c>
      <c r="F4" s="6">
        <f>IFERROR(__xludf.DUMMYFUNCTION("""COMPUTED_VALUE"""),1.786524E7)</f>
        <v>17865240</v>
      </c>
    </row>
    <row r="5">
      <c r="A5" s="7">
        <f>IFERROR(__xludf.DUMMYFUNCTION("""COMPUTED_VALUE"""),45191.64583333333)</f>
        <v>45191.64583</v>
      </c>
      <c r="B5" s="6">
        <f>IFERROR(__xludf.DUMMYFUNCTION("""COMPUTED_VALUE"""),1015.0)</f>
        <v>1015</v>
      </c>
      <c r="C5" s="6">
        <f>IFERROR(__xludf.DUMMYFUNCTION("""COMPUTED_VALUE"""),1029.95)</f>
        <v>1029.95</v>
      </c>
      <c r="D5" s="6">
        <f>IFERROR(__xludf.DUMMYFUNCTION("""COMPUTED_VALUE"""),988.15)</f>
        <v>988.15</v>
      </c>
      <c r="E5" s="6">
        <f>IFERROR(__xludf.DUMMYFUNCTION("""COMPUTED_VALUE"""),1018.8)</f>
        <v>1018.8</v>
      </c>
      <c r="F5" s="6">
        <f>IFERROR(__xludf.DUMMYFUNCTION("""COMPUTED_VALUE"""),2.7961073E7)</f>
        <v>27961073</v>
      </c>
    </row>
    <row r="6">
      <c r="A6" s="7">
        <f>IFERROR(__xludf.DUMMYFUNCTION("""COMPUTED_VALUE"""),45198.64583333333)</f>
        <v>45198.64583</v>
      </c>
      <c r="B6" s="6">
        <f>IFERROR(__xludf.DUMMYFUNCTION("""COMPUTED_VALUE"""),1021.95)</f>
        <v>1021.95</v>
      </c>
      <c r="C6" s="6">
        <f>IFERROR(__xludf.DUMMYFUNCTION("""COMPUTED_VALUE"""),1021.95)</f>
        <v>1021.95</v>
      </c>
      <c r="D6" s="6">
        <f>IFERROR(__xludf.DUMMYFUNCTION("""COMPUTED_VALUE"""),984.0)</f>
        <v>984</v>
      </c>
      <c r="E6" s="6">
        <f>IFERROR(__xludf.DUMMYFUNCTION("""COMPUTED_VALUE"""),987.15)</f>
        <v>987.15</v>
      </c>
      <c r="F6" s="6">
        <f>IFERROR(__xludf.DUMMYFUNCTION("""COMPUTED_VALUE"""),2.0374913E7)</f>
        <v>20374913</v>
      </c>
    </row>
    <row r="7">
      <c r="A7" s="7">
        <f>IFERROR(__xludf.DUMMYFUNCTION("""COMPUTED_VALUE"""),45205.64583333333)</f>
        <v>45205.64583</v>
      </c>
      <c r="B7" s="6">
        <f>IFERROR(__xludf.DUMMYFUNCTION("""COMPUTED_VALUE"""),995.1)</f>
        <v>995.1</v>
      </c>
      <c r="C7" s="6">
        <f>IFERROR(__xludf.DUMMYFUNCTION("""COMPUTED_VALUE"""),997.95)</f>
        <v>997.95</v>
      </c>
      <c r="D7" s="6">
        <f>IFERROR(__xludf.DUMMYFUNCTION("""COMPUTED_VALUE"""),955.0)</f>
        <v>955</v>
      </c>
      <c r="E7" s="6">
        <f>IFERROR(__xludf.DUMMYFUNCTION("""COMPUTED_VALUE"""),961.25)</f>
        <v>961.25</v>
      </c>
      <c r="F7" s="6">
        <f>IFERROR(__xludf.DUMMYFUNCTION("""COMPUTED_VALUE"""),2066715.0)</f>
        <v>2066715</v>
      </c>
    </row>
    <row r="8">
      <c r="A8" s="7">
        <f>IFERROR(__xludf.DUMMYFUNCTION("""COMPUTED_VALUE"""),45212.64583333333)</f>
        <v>45212.64583</v>
      </c>
      <c r="B8" s="6">
        <f>IFERROR(__xludf.DUMMYFUNCTION("""COMPUTED_VALUE"""),955.0)</f>
        <v>955</v>
      </c>
      <c r="C8" s="6">
        <f>IFERROR(__xludf.DUMMYFUNCTION("""COMPUTED_VALUE"""),970.85)</f>
        <v>970.85</v>
      </c>
      <c r="D8" s="6">
        <f>IFERROR(__xludf.DUMMYFUNCTION("""COMPUTED_VALUE"""),935.65)</f>
        <v>935.65</v>
      </c>
      <c r="E8" s="6">
        <f>IFERROR(__xludf.DUMMYFUNCTION("""COMPUTED_VALUE"""),948.9)</f>
        <v>948.9</v>
      </c>
      <c r="F8" s="6">
        <f>IFERROR(__xludf.DUMMYFUNCTION("""COMPUTED_VALUE"""),2350695.0)</f>
        <v>2350695</v>
      </c>
    </row>
    <row r="9">
      <c r="A9" s="7">
        <f>IFERROR(__xludf.DUMMYFUNCTION("""COMPUTED_VALUE"""),45219.64583333333)</f>
        <v>45219.64583</v>
      </c>
      <c r="B9" s="6">
        <f>IFERROR(__xludf.DUMMYFUNCTION("""COMPUTED_VALUE"""),950.0)</f>
        <v>950</v>
      </c>
      <c r="C9" s="6">
        <f>IFERROR(__xludf.DUMMYFUNCTION("""COMPUTED_VALUE"""),958.45)</f>
        <v>958.45</v>
      </c>
      <c r="D9" s="6">
        <f>IFERROR(__xludf.DUMMYFUNCTION("""COMPUTED_VALUE"""),915.75)</f>
        <v>915.75</v>
      </c>
      <c r="E9" s="6">
        <f>IFERROR(__xludf.DUMMYFUNCTION("""COMPUTED_VALUE"""),920.15)</f>
        <v>920.15</v>
      </c>
      <c r="F9" s="6">
        <f>IFERROR(__xludf.DUMMYFUNCTION("""COMPUTED_VALUE"""),1939226.0)</f>
        <v>1939226</v>
      </c>
    </row>
    <row r="10">
      <c r="A10" s="7">
        <f>IFERROR(__xludf.DUMMYFUNCTION("""COMPUTED_VALUE"""),45226.64583333333)</f>
        <v>45226.64583</v>
      </c>
      <c r="B10" s="6">
        <f>IFERROR(__xludf.DUMMYFUNCTION("""COMPUTED_VALUE"""),928.0)</f>
        <v>928</v>
      </c>
      <c r="C10" s="6">
        <f>IFERROR(__xludf.DUMMYFUNCTION("""COMPUTED_VALUE"""),929.95)</f>
        <v>929.95</v>
      </c>
      <c r="D10" s="6">
        <f>IFERROR(__xludf.DUMMYFUNCTION("""COMPUTED_VALUE"""),815.55)</f>
        <v>815.55</v>
      </c>
      <c r="E10" s="6">
        <f>IFERROR(__xludf.DUMMYFUNCTION("""COMPUTED_VALUE"""),870.9)</f>
        <v>870.9</v>
      </c>
      <c r="F10" s="6">
        <f>IFERROR(__xludf.DUMMYFUNCTION("""COMPUTED_VALUE"""),3199982.0)</f>
        <v>3199982</v>
      </c>
    </row>
    <row r="11">
      <c r="A11" s="7">
        <f>IFERROR(__xludf.DUMMYFUNCTION("""COMPUTED_VALUE"""),45233.64583333333)</f>
        <v>45233.64583</v>
      </c>
      <c r="B11" s="6">
        <f>IFERROR(__xludf.DUMMYFUNCTION("""COMPUTED_VALUE"""),875.0)</f>
        <v>875</v>
      </c>
      <c r="C11" s="6">
        <f>IFERROR(__xludf.DUMMYFUNCTION("""COMPUTED_VALUE"""),939.8)</f>
        <v>939.8</v>
      </c>
      <c r="D11" s="6">
        <f>IFERROR(__xludf.DUMMYFUNCTION("""COMPUTED_VALUE"""),868.45)</f>
        <v>868.45</v>
      </c>
      <c r="E11" s="6">
        <f>IFERROR(__xludf.DUMMYFUNCTION("""COMPUTED_VALUE"""),902.7)</f>
        <v>902.7</v>
      </c>
      <c r="F11" s="6">
        <f>IFERROR(__xludf.DUMMYFUNCTION("""COMPUTED_VALUE"""),4103841.0)</f>
        <v>4103841</v>
      </c>
    </row>
    <row r="12">
      <c r="A12" s="7">
        <f>IFERROR(__xludf.DUMMYFUNCTION("""COMPUTED_VALUE"""),45240.64583333333)</f>
        <v>45240.64583</v>
      </c>
      <c r="B12" s="6">
        <f>IFERROR(__xludf.DUMMYFUNCTION("""COMPUTED_VALUE"""),909.9)</f>
        <v>909.9</v>
      </c>
      <c r="C12" s="6">
        <f>IFERROR(__xludf.DUMMYFUNCTION("""COMPUTED_VALUE"""),953.7)</f>
        <v>953.7</v>
      </c>
      <c r="D12" s="6">
        <f>IFERROR(__xludf.DUMMYFUNCTION("""COMPUTED_VALUE"""),908.0)</f>
        <v>908</v>
      </c>
      <c r="E12" s="6">
        <f>IFERROR(__xludf.DUMMYFUNCTION("""COMPUTED_VALUE"""),938.7)</f>
        <v>938.7</v>
      </c>
      <c r="F12" s="6">
        <f>IFERROR(__xludf.DUMMYFUNCTION("""COMPUTED_VALUE"""),2703186.0)</f>
        <v>2703186</v>
      </c>
    </row>
    <row r="13">
      <c r="A13" s="7">
        <f>IFERROR(__xludf.DUMMYFUNCTION("""COMPUTED_VALUE"""),45247.64583333333)</f>
        <v>45247.64583</v>
      </c>
      <c r="B13" s="6">
        <f>IFERROR(__xludf.DUMMYFUNCTION("""COMPUTED_VALUE"""),942.95)</f>
        <v>942.95</v>
      </c>
      <c r="C13" s="6">
        <f>IFERROR(__xludf.DUMMYFUNCTION("""COMPUTED_VALUE"""),954.9)</f>
        <v>954.9</v>
      </c>
      <c r="D13" s="6">
        <f>IFERROR(__xludf.DUMMYFUNCTION("""COMPUTED_VALUE"""),930.0)</f>
        <v>930</v>
      </c>
      <c r="E13" s="6">
        <f>IFERROR(__xludf.DUMMYFUNCTION("""COMPUTED_VALUE"""),936.1)</f>
        <v>936.1</v>
      </c>
      <c r="F13" s="6">
        <f>IFERROR(__xludf.DUMMYFUNCTION("""COMPUTED_VALUE"""),1600015.0)</f>
        <v>1600015</v>
      </c>
    </row>
    <row r="14">
      <c r="A14" s="7">
        <f>IFERROR(__xludf.DUMMYFUNCTION("""COMPUTED_VALUE"""),45254.64583333333)</f>
        <v>45254.64583</v>
      </c>
      <c r="B14" s="6">
        <f>IFERROR(__xludf.DUMMYFUNCTION("""COMPUTED_VALUE"""),935.0)</f>
        <v>935</v>
      </c>
      <c r="C14" s="6">
        <f>IFERROR(__xludf.DUMMYFUNCTION("""COMPUTED_VALUE"""),952.8)</f>
        <v>952.8</v>
      </c>
      <c r="D14" s="6">
        <f>IFERROR(__xludf.DUMMYFUNCTION("""COMPUTED_VALUE"""),910.0)</f>
        <v>910</v>
      </c>
      <c r="E14" s="6">
        <f>IFERROR(__xludf.DUMMYFUNCTION("""COMPUTED_VALUE"""),937.9)</f>
        <v>937.9</v>
      </c>
      <c r="F14" s="6">
        <f>IFERROR(__xludf.DUMMYFUNCTION("""COMPUTED_VALUE"""),2227716.0)</f>
        <v>2227716</v>
      </c>
    </row>
    <row r="15">
      <c r="A15" s="7">
        <f>IFERROR(__xludf.DUMMYFUNCTION("""COMPUTED_VALUE"""),45261.64583333333)</f>
        <v>45261.64583</v>
      </c>
      <c r="B15" s="6">
        <f>IFERROR(__xludf.DUMMYFUNCTION("""COMPUTED_VALUE"""),955.0)</f>
        <v>955</v>
      </c>
      <c r="C15" s="6">
        <f>IFERROR(__xludf.DUMMYFUNCTION("""COMPUTED_VALUE"""),1124.9)</f>
        <v>1124.9</v>
      </c>
      <c r="D15" s="6">
        <f>IFERROR(__xludf.DUMMYFUNCTION("""COMPUTED_VALUE"""),955.0)</f>
        <v>955</v>
      </c>
      <c r="E15" s="6">
        <f>IFERROR(__xludf.DUMMYFUNCTION("""COMPUTED_VALUE"""),1026.5)</f>
        <v>1026.5</v>
      </c>
      <c r="F15" s="6">
        <f>IFERROR(__xludf.DUMMYFUNCTION("""COMPUTED_VALUE"""),2.3654695E7)</f>
        <v>23654695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IFERROR(__xludf.DUMMYFUNCTION("""COMPUTED_VALUE"""),1160.0)</f>
        <v>1160</v>
      </c>
      <c r="C16" s="6">
        <f>IFERROR(__xludf.DUMMYFUNCTION("""COMPUTED_VALUE"""),1700.0)</f>
        <v>1700</v>
      </c>
      <c r="D16" s="6">
        <f>IFERROR(__xludf.DUMMYFUNCTION("""COMPUTED_VALUE"""),1092.55)</f>
        <v>1092.55</v>
      </c>
      <c r="E16" s="6">
        <f>IFERROR(__xludf.DUMMYFUNCTION("""COMPUTED_VALUE"""),1550.3)</f>
        <v>1550.3</v>
      </c>
      <c r="F16" s="6">
        <f>IFERROR(__xludf.DUMMYFUNCTION("""COMPUTED_VALUE"""),5.8944243E7)</f>
        <v>58944243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IFERROR(__xludf.DUMMYFUNCTION("""COMPUTED_VALUE"""),1554.4)</f>
        <v>1554.4</v>
      </c>
      <c r="C17" s="6">
        <f>IFERROR(__xludf.DUMMYFUNCTION("""COMPUTED_VALUE"""),1579.0)</f>
        <v>1579</v>
      </c>
      <c r="D17" s="6">
        <f>IFERROR(__xludf.DUMMYFUNCTION("""COMPUTED_VALUE"""),1375.0)</f>
        <v>1375</v>
      </c>
      <c r="E17" s="6">
        <f>IFERROR(__xludf.DUMMYFUNCTION("""COMPUTED_VALUE"""),1526.65)</f>
        <v>1526.65</v>
      </c>
      <c r="F17" s="6">
        <f>IFERROR(__xludf.DUMMYFUNCTION("""COMPUTED_VALUE"""),1.267657E7)</f>
        <v>12676570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IFERROR(__xludf.DUMMYFUNCTION("""COMPUTED_VALUE"""),1518.95)</f>
        <v>1518.95</v>
      </c>
      <c r="C18" s="6">
        <f>IFERROR(__xludf.DUMMYFUNCTION("""COMPUTED_VALUE"""),1569.4)</f>
        <v>1569.4</v>
      </c>
      <c r="D18" s="6">
        <f>IFERROR(__xludf.DUMMYFUNCTION("""COMPUTED_VALUE"""),1385.0)</f>
        <v>1385</v>
      </c>
      <c r="E18" s="6">
        <f>IFERROR(__xludf.DUMMYFUNCTION("""COMPUTED_VALUE"""),1533.1)</f>
        <v>1533.1</v>
      </c>
      <c r="F18" s="6">
        <f>IFERROR(__xludf.DUMMYFUNCTION("""COMPUTED_VALUE"""),7474086.0)</f>
        <v>7474086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IFERROR(__xludf.DUMMYFUNCTION("""COMPUTED_VALUE"""),1555.0)</f>
        <v>1555</v>
      </c>
      <c r="C19" s="6">
        <f>IFERROR(__xludf.DUMMYFUNCTION("""COMPUTED_VALUE"""),1657.95)</f>
        <v>1657.95</v>
      </c>
      <c r="D19" s="6">
        <f>IFERROR(__xludf.DUMMYFUNCTION("""COMPUTED_VALUE"""),1545.0)</f>
        <v>1545</v>
      </c>
      <c r="E19" s="6">
        <f>IFERROR(__xludf.DUMMYFUNCTION("""COMPUTED_VALUE"""),1597.0)</f>
        <v>1597</v>
      </c>
      <c r="F19" s="6">
        <f>IFERROR(__xludf.DUMMYFUNCTION("""COMPUTED_VALUE"""),7248997.0)</f>
        <v>7248997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IFERROR(__xludf.DUMMYFUNCTION("""COMPUTED_VALUE"""),1598.0)</f>
        <v>1598</v>
      </c>
      <c r="C20" s="6">
        <f>IFERROR(__xludf.DUMMYFUNCTION("""COMPUTED_VALUE"""),1747.4)</f>
        <v>1747.4</v>
      </c>
      <c r="D20" s="6">
        <f>IFERROR(__xludf.DUMMYFUNCTION("""COMPUTED_VALUE"""),1565.7)</f>
        <v>1565.7</v>
      </c>
      <c r="E20" s="6">
        <f>IFERROR(__xludf.DUMMYFUNCTION("""COMPUTED_VALUE"""),1674.0)</f>
        <v>1674</v>
      </c>
      <c r="F20" s="6">
        <f>IFERROR(__xludf.DUMMYFUNCTION("""COMPUTED_VALUE"""),1.2373339E7)</f>
        <v>12373339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IFERROR(__xludf.DUMMYFUNCTION("""COMPUTED_VALUE"""),1685.3)</f>
        <v>1685.3</v>
      </c>
      <c r="C21" s="6">
        <f>IFERROR(__xludf.DUMMYFUNCTION("""COMPUTED_VALUE"""),1762.05)</f>
        <v>1762.05</v>
      </c>
      <c r="D21" s="6">
        <f>IFERROR(__xludf.DUMMYFUNCTION("""COMPUTED_VALUE"""),1665.0)</f>
        <v>1665</v>
      </c>
      <c r="E21" s="6">
        <f>IFERROR(__xludf.DUMMYFUNCTION("""COMPUTED_VALUE"""),1710.7)</f>
        <v>1710.7</v>
      </c>
      <c r="F21" s="6">
        <f>IFERROR(__xludf.DUMMYFUNCTION("""COMPUTED_VALUE"""),6100521.0)</f>
        <v>6100521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IFERROR(__xludf.DUMMYFUNCTION("""COMPUTED_VALUE"""),1740.0)</f>
        <v>1740</v>
      </c>
      <c r="C22" s="6">
        <f>IFERROR(__xludf.DUMMYFUNCTION("""COMPUTED_VALUE"""),1745.0)</f>
        <v>1745</v>
      </c>
      <c r="D22" s="6">
        <f>IFERROR(__xludf.DUMMYFUNCTION("""COMPUTED_VALUE"""),1629.0)</f>
        <v>1629</v>
      </c>
      <c r="E22" s="6">
        <f>IFERROR(__xludf.DUMMYFUNCTION("""COMPUTED_VALUE"""),1664.8)</f>
        <v>1664.8</v>
      </c>
      <c r="F22" s="6">
        <f>IFERROR(__xludf.DUMMYFUNCTION("""COMPUTED_VALUE"""),1.2172777E7)</f>
        <v>12172777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IFERROR(__xludf.DUMMYFUNCTION("""COMPUTED_VALUE"""),1684.95)</f>
        <v>1684.95</v>
      </c>
      <c r="C23" s="6">
        <f>IFERROR(__xludf.DUMMYFUNCTION("""COMPUTED_VALUE"""),1750.0)</f>
        <v>1750</v>
      </c>
      <c r="D23" s="6">
        <f>IFERROR(__xludf.DUMMYFUNCTION("""COMPUTED_VALUE"""),1655.65)</f>
        <v>1655.65</v>
      </c>
      <c r="E23" s="6">
        <f>IFERROR(__xludf.DUMMYFUNCTION("""COMPUTED_VALUE"""),1674.25)</f>
        <v>1674.25</v>
      </c>
      <c r="F23" s="6">
        <f>IFERROR(__xludf.DUMMYFUNCTION("""COMPUTED_VALUE"""),7912303.0)</f>
        <v>7912303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IFERROR(__xludf.DUMMYFUNCTION("""COMPUTED_VALUE"""),1684.0)</f>
        <v>1684</v>
      </c>
      <c r="C24" s="6">
        <f>IFERROR(__xludf.DUMMYFUNCTION("""COMPUTED_VALUE"""),1990.0)</f>
        <v>1990</v>
      </c>
      <c r="D24" s="6">
        <f>IFERROR(__xludf.DUMMYFUNCTION("""COMPUTED_VALUE"""),1651.6)</f>
        <v>1651.6</v>
      </c>
      <c r="E24" s="6">
        <f>IFERROR(__xludf.DUMMYFUNCTION("""COMPUTED_VALUE"""),1880.7)</f>
        <v>1880.7</v>
      </c>
      <c r="F24" s="6">
        <f>IFERROR(__xludf.DUMMYFUNCTION("""COMPUTED_VALUE"""),1.6830961E7)</f>
        <v>16830961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IFERROR(__xludf.DUMMYFUNCTION("""COMPUTED_VALUE"""),1888.05)</f>
        <v>1888.05</v>
      </c>
      <c r="C25" s="6">
        <f>IFERROR(__xludf.DUMMYFUNCTION("""COMPUTED_VALUE"""),1959.7)</f>
        <v>1959.7</v>
      </c>
      <c r="D25" s="6">
        <f>IFERROR(__xludf.DUMMYFUNCTION("""COMPUTED_VALUE"""),1734.3)</f>
        <v>1734.3</v>
      </c>
      <c r="E25" s="6">
        <f>IFERROR(__xludf.DUMMYFUNCTION("""COMPUTED_VALUE"""),1904.75)</f>
        <v>1904.75</v>
      </c>
      <c r="F25" s="6">
        <f>IFERROR(__xludf.DUMMYFUNCTION("""COMPUTED_VALUE"""),1.1666983E7)</f>
        <v>11666983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IFERROR(__xludf.DUMMYFUNCTION("""COMPUTED_VALUE"""),1919.0)</f>
        <v>1919</v>
      </c>
      <c r="C26" s="6">
        <f>IFERROR(__xludf.DUMMYFUNCTION("""COMPUTED_VALUE"""),1975.0)</f>
        <v>1975</v>
      </c>
      <c r="D26" s="6">
        <f>IFERROR(__xludf.DUMMYFUNCTION("""COMPUTED_VALUE"""),1866.7)</f>
        <v>1866.7</v>
      </c>
      <c r="E26" s="6">
        <f>IFERROR(__xludf.DUMMYFUNCTION("""COMPUTED_VALUE"""),1923.3)</f>
        <v>1923.3</v>
      </c>
      <c r="F26" s="6">
        <f>IFERROR(__xludf.DUMMYFUNCTION("""COMPUTED_VALUE"""),6118583.0)</f>
        <v>6118583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IFERROR(__xludf.DUMMYFUNCTION("""COMPUTED_VALUE"""),1977.55)</f>
        <v>1977.55</v>
      </c>
      <c r="C27" s="6">
        <f>IFERROR(__xludf.DUMMYFUNCTION("""COMPUTED_VALUE"""),1998.55)</f>
        <v>1998.55</v>
      </c>
      <c r="D27" s="6">
        <f>IFERROR(__xludf.DUMMYFUNCTION("""COMPUTED_VALUE"""),1894.3)</f>
        <v>1894.3</v>
      </c>
      <c r="E27" s="6">
        <f>IFERROR(__xludf.DUMMYFUNCTION("""COMPUTED_VALUE"""),1929.1)</f>
        <v>1929.1</v>
      </c>
      <c r="F27" s="6">
        <f>IFERROR(__xludf.DUMMYFUNCTION("""COMPUTED_VALUE"""),2185805.0)</f>
        <v>2185805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IFERROR(__xludf.DUMMYFUNCTION("""COMPUTED_VALUE"""),1930.0)</f>
        <v>1930</v>
      </c>
      <c r="C28" s="6">
        <f>IFERROR(__xludf.DUMMYFUNCTION("""COMPUTED_VALUE"""),1983.55)</f>
        <v>1983.55</v>
      </c>
      <c r="D28" s="6">
        <f>IFERROR(__xludf.DUMMYFUNCTION("""COMPUTED_VALUE"""),1650.0)</f>
        <v>1650</v>
      </c>
      <c r="E28" s="6">
        <f>IFERROR(__xludf.DUMMYFUNCTION("""COMPUTED_VALUE"""),1902.6)</f>
        <v>1902.6</v>
      </c>
      <c r="F28" s="6">
        <f>IFERROR(__xludf.DUMMYFUNCTION("""COMPUTED_VALUE"""),7369452.0)</f>
        <v>7369452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IFERROR(__xludf.DUMMYFUNCTION("""COMPUTED_VALUE"""),1810.05)</f>
        <v>1810.05</v>
      </c>
      <c r="C29" s="6">
        <f>IFERROR(__xludf.DUMMYFUNCTION("""COMPUTED_VALUE"""),1899.9)</f>
        <v>1899.9</v>
      </c>
      <c r="D29" s="6">
        <f>IFERROR(__xludf.DUMMYFUNCTION("""COMPUTED_VALUE"""),1750.85)</f>
        <v>1750.85</v>
      </c>
      <c r="E29" s="6">
        <f>IFERROR(__xludf.DUMMYFUNCTION("""COMPUTED_VALUE"""),1851.75)</f>
        <v>1851.75</v>
      </c>
      <c r="F29" s="6">
        <f>IFERROR(__xludf.DUMMYFUNCTION("""COMPUTED_VALUE"""),3249862.0)</f>
        <v>3249862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IFERROR(__xludf.DUMMYFUNCTION("""COMPUTED_VALUE"""),1840.0)</f>
        <v>1840</v>
      </c>
      <c r="C30" s="6">
        <f>IFERROR(__xludf.DUMMYFUNCTION("""COMPUTED_VALUE"""),1938.7)</f>
        <v>1938.7</v>
      </c>
      <c r="D30" s="6">
        <f>IFERROR(__xludf.DUMMYFUNCTION("""COMPUTED_VALUE"""),1804.0)</f>
        <v>1804</v>
      </c>
      <c r="E30" s="6">
        <f>IFERROR(__xludf.DUMMYFUNCTION("""COMPUTED_VALUE"""),1835.15)</f>
        <v>1835.15</v>
      </c>
      <c r="F30" s="6">
        <f>IFERROR(__xludf.DUMMYFUNCTION("""COMPUTED_VALUE"""),2733583.0)</f>
        <v>2733583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IFERROR(__xludf.DUMMYFUNCTION("""COMPUTED_VALUE"""),1865.0)</f>
        <v>1865</v>
      </c>
      <c r="C31" s="6">
        <f>IFERROR(__xludf.DUMMYFUNCTION("""COMPUTED_VALUE"""),1937.75)</f>
        <v>1937.75</v>
      </c>
      <c r="D31" s="6">
        <f>IFERROR(__xludf.DUMMYFUNCTION("""COMPUTED_VALUE"""),1865.0)</f>
        <v>1865</v>
      </c>
      <c r="E31" s="6">
        <f>IFERROR(__xludf.DUMMYFUNCTION("""COMPUTED_VALUE"""),1901.95)</f>
        <v>1901.95</v>
      </c>
      <c r="F31" s="6">
        <f>IFERROR(__xludf.DUMMYFUNCTION("""COMPUTED_VALUE"""),3140750.0)</f>
        <v>3140750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IFERROR(__xludf.DUMMYFUNCTION("""COMPUTED_VALUE"""),1948.05)</f>
        <v>1948.05</v>
      </c>
      <c r="C32" s="6">
        <f>IFERROR(__xludf.DUMMYFUNCTION("""COMPUTED_VALUE"""),1974.95)</f>
        <v>1974.95</v>
      </c>
      <c r="D32" s="6">
        <f>IFERROR(__xludf.DUMMYFUNCTION("""COMPUTED_VALUE"""),1880.0)</f>
        <v>1880</v>
      </c>
      <c r="E32" s="6">
        <f>IFERROR(__xludf.DUMMYFUNCTION("""COMPUTED_VALUE"""),1884.05)</f>
        <v>1884.05</v>
      </c>
      <c r="F32" s="6">
        <f>IFERROR(__xludf.DUMMYFUNCTION("""COMPUTED_VALUE"""),1882702.0)</f>
        <v>1882702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IFERROR(__xludf.DUMMYFUNCTION("""COMPUTED_VALUE"""),1801.0)</f>
        <v>1801</v>
      </c>
      <c r="C33" s="6">
        <f>IFERROR(__xludf.DUMMYFUNCTION("""COMPUTED_VALUE"""),1850.0)</f>
        <v>1850</v>
      </c>
      <c r="D33" s="6">
        <f>IFERROR(__xludf.DUMMYFUNCTION("""COMPUTED_VALUE"""),1733.0)</f>
        <v>1733</v>
      </c>
      <c r="E33" s="6">
        <f>IFERROR(__xludf.DUMMYFUNCTION("""COMPUTED_VALUE"""),1770.05)</f>
        <v>1770.05</v>
      </c>
      <c r="F33" s="6">
        <f>IFERROR(__xludf.DUMMYFUNCTION("""COMPUTED_VALUE"""),2814838.0)</f>
        <v>2814838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IFERROR(__xludf.DUMMYFUNCTION("""COMPUTED_VALUE"""),1802.0)</f>
        <v>1802</v>
      </c>
      <c r="C34" s="6">
        <f>IFERROR(__xludf.DUMMYFUNCTION("""COMPUTED_VALUE"""),1840.0)</f>
        <v>1840</v>
      </c>
      <c r="D34" s="6">
        <f>IFERROR(__xludf.DUMMYFUNCTION("""COMPUTED_VALUE"""),1780.0)</f>
        <v>1780</v>
      </c>
      <c r="E34" s="6">
        <f>IFERROR(__xludf.DUMMYFUNCTION("""COMPUTED_VALUE"""),1806.65)</f>
        <v>1806.65</v>
      </c>
      <c r="F34" s="6">
        <f>IFERROR(__xludf.DUMMYFUNCTION("""COMPUTED_VALUE"""),1966626.0)</f>
        <v>1966626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IFERROR(__xludf.DUMMYFUNCTION("""COMPUTED_VALUE"""),1815.9)</f>
        <v>1815.9</v>
      </c>
      <c r="C35" s="6">
        <f>IFERROR(__xludf.DUMMYFUNCTION("""COMPUTED_VALUE"""),1838.8)</f>
        <v>1838.8</v>
      </c>
      <c r="D35" s="6">
        <f>IFERROR(__xludf.DUMMYFUNCTION("""COMPUTED_VALUE"""),1745.25)</f>
        <v>1745.25</v>
      </c>
      <c r="E35" s="6">
        <f>IFERROR(__xludf.DUMMYFUNCTION("""COMPUTED_VALUE"""),1799.8)</f>
        <v>1799.8</v>
      </c>
      <c r="F35" s="6">
        <f>IFERROR(__xludf.DUMMYFUNCTION("""COMPUTED_VALUE"""),2206227.0)</f>
        <v>2206227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IFERROR(__xludf.DUMMYFUNCTION("""COMPUTED_VALUE"""),1760.0)</f>
        <v>1760</v>
      </c>
      <c r="C36" s="6">
        <f>IFERROR(__xludf.DUMMYFUNCTION("""COMPUTED_VALUE"""),1821.65)</f>
        <v>1821.65</v>
      </c>
      <c r="D36" s="6">
        <f>IFERROR(__xludf.DUMMYFUNCTION("""COMPUTED_VALUE"""),1700.05)</f>
        <v>1700.05</v>
      </c>
      <c r="E36" s="6">
        <f>IFERROR(__xludf.DUMMYFUNCTION("""COMPUTED_VALUE"""),1714.75)</f>
        <v>1714.75</v>
      </c>
      <c r="F36" s="6">
        <f>IFERROR(__xludf.DUMMYFUNCTION("""COMPUTED_VALUE"""),4155287.0)</f>
        <v>4155287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IFERROR(__xludf.DUMMYFUNCTION("""COMPUTED_VALUE"""),1825.0)</f>
        <v>1825</v>
      </c>
      <c r="C37" s="6">
        <f>IFERROR(__xludf.DUMMYFUNCTION("""COMPUTED_VALUE"""),1949.0)</f>
        <v>1949</v>
      </c>
      <c r="D37" s="6">
        <f>IFERROR(__xludf.DUMMYFUNCTION("""COMPUTED_VALUE"""),1810.0)</f>
        <v>1810</v>
      </c>
      <c r="E37" s="6">
        <f>IFERROR(__xludf.DUMMYFUNCTION("""COMPUTED_VALUE"""),1926.65)</f>
        <v>1926.65</v>
      </c>
      <c r="F37" s="6">
        <f>IFERROR(__xludf.DUMMYFUNCTION("""COMPUTED_VALUE"""),8674304.0)</f>
        <v>8674304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IFERROR(__xludf.DUMMYFUNCTION("""COMPUTED_VALUE"""),1943.7)</f>
        <v>1943.7</v>
      </c>
      <c r="C38" s="6">
        <f>IFERROR(__xludf.DUMMYFUNCTION("""COMPUTED_VALUE"""),1993.9)</f>
        <v>1993.9</v>
      </c>
      <c r="D38" s="6">
        <f>IFERROR(__xludf.DUMMYFUNCTION("""COMPUTED_VALUE"""),1840.1)</f>
        <v>1840.1</v>
      </c>
      <c r="E38" s="6">
        <f>IFERROR(__xludf.DUMMYFUNCTION("""COMPUTED_VALUE"""),1908.35)</f>
        <v>1908.35</v>
      </c>
      <c r="F38" s="6">
        <f>IFERROR(__xludf.DUMMYFUNCTION("""COMPUTED_VALUE"""),1.1984308E7)</f>
        <v>11984308</v>
      </c>
    </row>
    <row r="39">
      <c r="A39" s="7">
        <f>IFERROR(__xludf.DUMMYFUNCTION("""COMPUTED_VALUE"""),45450.64583333333)</f>
        <v>45450.64583</v>
      </c>
      <c r="B39" s="6">
        <f>IFERROR(__xludf.DUMMYFUNCTION("""COMPUTED_VALUE"""),2125.0)</f>
        <v>2125</v>
      </c>
      <c r="C39" s="6">
        <f>IFERROR(__xludf.DUMMYFUNCTION("""COMPUTED_VALUE"""),2174.1)</f>
        <v>2174.1</v>
      </c>
      <c r="D39" s="6">
        <f>IFERROR(__xludf.DUMMYFUNCTION("""COMPUTED_VALUE"""),1545.15)</f>
        <v>1545.15</v>
      </c>
      <c r="E39" s="6">
        <f>IFERROR(__xludf.DUMMYFUNCTION("""COMPUTED_VALUE"""),1864.25)</f>
        <v>1864.25</v>
      </c>
      <c r="F39" s="6">
        <f>IFERROR(__xludf.DUMMYFUNCTION("""COMPUTED_VALUE"""),2.4379272E7)</f>
        <v>24379272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IFERROR(__xludf.DUMMYFUNCTION("""COMPUTED_VALUE"""),1929.0)</f>
        <v>1929</v>
      </c>
      <c r="C40" s="6">
        <f>IFERROR(__xludf.DUMMYFUNCTION("""COMPUTED_VALUE"""),1935.0)</f>
        <v>1935</v>
      </c>
      <c r="D40" s="6">
        <f>IFERROR(__xludf.DUMMYFUNCTION("""COMPUTED_VALUE"""),1787.05)</f>
        <v>1787.05</v>
      </c>
      <c r="E40" s="6">
        <f>IFERROR(__xludf.DUMMYFUNCTION("""COMPUTED_VALUE"""),1806.3)</f>
        <v>1806.3</v>
      </c>
      <c r="F40" s="6">
        <f>IFERROR(__xludf.DUMMYFUNCTION("""COMPUTED_VALUE"""),4493085.0)</f>
        <v>4493085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IFERROR(__xludf.DUMMYFUNCTION("""COMPUTED_VALUE"""),1825.0)</f>
        <v>1825</v>
      </c>
      <c r="C41" s="6">
        <f>IFERROR(__xludf.DUMMYFUNCTION("""COMPUTED_VALUE"""),1840.3)</f>
        <v>1840.3</v>
      </c>
      <c r="D41" s="6">
        <f>IFERROR(__xludf.DUMMYFUNCTION("""COMPUTED_VALUE"""),1775.0)</f>
        <v>1775</v>
      </c>
      <c r="E41" s="6">
        <f>IFERROR(__xludf.DUMMYFUNCTION("""COMPUTED_VALUE"""),1780.45)</f>
        <v>1780.45</v>
      </c>
      <c r="F41" s="6">
        <f>IFERROR(__xludf.DUMMYFUNCTION("""COMPUTED_VALUE"""),3083220.0)</f>
        <v>3083220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IFERROR(__xludf.DUMMYFUNCTION("""COMPUTED_VALUE"""),1783.8)</f>
        <v>1783.8</v>
      </c>
      <c r="C42" s="6">
        <f>IFERROR(__xludf.DUMMYFUNCTION("""COMPUTED_VALUE"""),1830.0)</f>
        <v>1830</v>
      </c>
      <c r="D42" s="6">
        <f>IFERROR(__xludf.DUMMYFUNCTION("""COMPUTED_VALUE"""),1755.05)</f>
        <v>1755.05</v>
      </c>
      <c r="E42" s="6">
        <f>IFERROR(__xludf.DUMMYFUNCTION("""COMPUTED_VALUE"""),1788.8)</f>
        <v>1788.8</v>
      </c>
      <c r="F42" s="6">
        <f>IFERROR(__xludf.DUMMYFUNCTION("""COMPUTED_VALUE"""),2603827.0)</f>
        <v>2603827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IFERROR(__xludf.DUMMYFUNCTION("""COMPUTED_VALUE"""),1790.0)</f>
        <v>1790</v>
      </c>
      <c r="C43" s="6">
        <f>IFERROR(__xludf.DUMMYFUNCTION("""COMPUTED_VALUE"""),1818.8)</f>
        <v>1818.8</v>
      </c>
      <c r="D43" s="6">
        <f>IFERROR(__xludf.DUMMYFUNCTION("""COMPUTED_VALUE"""),1751.25)</f>
        <v>1751.25</v>
      </c>
      <c r="E43" s="6">
        <f>IFERROR(__xludf.DUMMYFUNCTION("""COMPUTED_VALUE"""),1754.3)</f>
        <v>1754.3</v>
      </c>
      <c r="F43" s="6">
        <f>IFERROR(__xludf.DUMMYFUNCTION("""COMPUTED_VALUE"""),2252742.0)</f>
        <v>2252742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IFERROR(__xludf.DUMMYFUNCTION("""COMPUTED_VALUE"""),1759.95)</f>
        <v>1759.95</v>
      </c>
      <c r="C44" s="6">
        <f>IFERROR(__xludf.DUMMYFUNCTION("""COMPUTED_VALUE"""),1815.0)</f>
        <v>1815</v>
      </c>
      <c r="D44" s="6">
        <f>IFERROR(__xludf.DUMMYFUNCTION("""COMPUTED_VALUE"""),1729.0)</f>
        <v>1729</v>
      </c>
      <c r="E44" s="6">
        <f>IFERROR(__xludf.DUMMYFUNCTION("""COMPUTED_VALUE"""),1735.25)</f>
        <v>1735.25</v>
      </c>
      <c r="F44" s="6">
        <f>IFERROR(__xludf.DUMMYFUNCTION("""COMPUTED_VALUE"""),2320851.0)</f>
        <v>2320851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IFERROR(__xludf.DUMMYFUNCTION("""COMPUTED_VALUE"""),1736.0)</f>
        <v>1736</v>
      </c>
      <c r="C45" s="6">
        <f>IFERROR(__xludf.DUMMYFUNCTION("""COMPUTED_VALUE"""),1820.0)</f>
        <v>1820</v>
      </c>
      <c r="D45" s="6">
        <f>IFERROR(__xludf.DUMMYFUNCTION("""COMPUTED_VALUE"""),1712.6)</f>
        <v>1712.6</v>
      </c>
      <c r="E45" s="6">
        <f>IFERROR(__xludf.DUMMYFUNCTION("""COMPUTED_VALUE"""),1723.3)</f>
        <v>1723.3</v>
      </c>
      <c r="F45" s="6">
        <f>IFERROR(__xludf.DUMMYFUNCTION("""COMPUTED_VALUE"""),2707096.0)</f>
        <v>2707096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IFERROR(__xludf.DUMMYFUNCTION("""COMPUTED_VALUE"""),1723.95)</f>
        <v>1723.95</v>
      </c>
      <c r="C46" s="6">
        <f>IFERROR(__xludf.DUMMYFUNCTION("""COMPUTED_VALUE"""),1903.65)</f>
        <v>1903.65</v>
      </c>
      <c r="D46" s="6">
        <f>IFERROR(__xludf.DUMMYFUNCTION("""COMPUTED_VALUE"""),1680.0)</f>
        <v>1680</v>
      </c>
      <c r="E46" s="6">
        <f>IFERROR(__xludf.DUMMYFUNCTION("""COMPUTED_VALUE"""),1803.7)</f>
        <v>1803.7</v>
      </c>
      <c r="F46" s="6">
        <f>IFERROR(__xludf.DUMMYFUNCTION("""COMPUTED_VALUE"""),8864204.0)</f>
        <v>8864204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IFERROR(__xludf.DUMMYFUNCTION("""COMPUTED_VALUE"""),1824.85)</f>
        <v>1824.85</v>
      </c>
      <c r="C47" s="6">
        <f>IFERROR(__xludf.DUMMYFUNCTION("""COMPUTED_VALUE"""),1920.0)</f>
        <v>1920</v>
      </c>
      <c r="D47" s="6">
        <f>IFERROR(__xludf.DUMMYFUNCTION("""COMPUTED_VALUE"""),1800.1)</f>
        <v>1800.1</v>
      </c>
      <c r="E47" s="6">
        <f>IFERROR(__xludf.DUMMYFUNCTION("""COMPUTED_VALUE"""),1881.4)</f>
        <v>1881.4</v>
      </c>
      <c r="F47" s="6">
        <f>IFERROR(__xludf.DUMMYFUNCTION("""COMPUTED_VALUE"""),4.132444E7)</f>
        <v>41324440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IFERROR(__xludf.DUMMYFUNCTION("""COMPUTED_VALUE"""),1810.0)</f>
        <v>1810</v>
      </c>
      <c r="C48" s="6">
        <f>IFERROR(__xludf.DUMMYFUNCTION("""COMPUTED_VALUE"""),1854.5)</f>
        <v>1854.5</v>
      </c>
      <c r="D48" s="6">
        <f>IFERROR(__xludf.DUMMYFUNCTION("""COMPUTED_VALUE"""),1742.3)</f>
        <v>1742.3</v>
      </c>
      <c r="E48" s="6">
        <f>IFERROR(__xludf.DUMMYFUNCTION("""COMPUTED_VALUE"""),1780.85)</f>
        <v>1780.85</v>
      </c>
      <c r="F48" s="6">
        <f>IFERROR(__xludf.DUMMYFUNCTION("""COMPUTED_VALUE"""),4393439.0)</f>
        <v>4393439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IFERROR(__xludf.DUMMYFUNCTION("""COMPUTED_VALUE"""),1725.0)</f>
        <v>1725</v>
      </c>
      <c r="C49" s="6">
        <f>IFERROR(__xludf.DUMMYFUNCTION("""COMPUTED_VALUE"""),1847.4)</f>
        <v>1847.4</v>
      </c>
      <c r="D49" s="6">
        <f>IFERROR(__xludf.DUMMYFUNCTION("""COMPUTED_VALUE"""),1667.5)</f>
        <v>1667.5</v>
      </c>
      <c r="E49" s="6">
        <f>IFERROR(__xludf.DUMMYFUNCTION("""COMPUTED_VALUE"""),1831.0)</f>
        <v>1831</v>
      </c>
      <c r="F49" s="6">
        <f>IFERROR(__xludf.DUMMYFUNCTION("""COMPUTED_VALUE"""),7031857.0)</f>
        <v>7031857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IFERROR(__xludf.DUMMYFUNCTION("""COMPUTED_VALUE"""),1811.0)</f>
        <v>1811</v>
      </c>
      <c r="C50" s="6">
        <f>IFERROR(__xludf.DUMMYFUNCTION("""COMPUTED_VALUE"""),1992.95)</f>
        <v>1992.95</v>
      </c>
      <c r="D50" s="6">
        <f>IFERROR(__xludf.DUMMYFUNCTION("""COMPUTED_VALUE"""),1810.2)</f>
        <v>1810.2</v>
      </c>
      <c r="E50" s="6">
        <f>IFERROR(__xludf.DUMMYFUNCTION("""COMPUTED_VALUE"""),1900.9)</f>
        <v>1900.9</v>
      </c>
      <c r="F50" s="6">
        <f>IFERROR(__xludf.DUMMYFUNCTION("""COMPUTED_VALUE"""),5848183.0)</f>
        <v>5848183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IFERROR(__xludf.DUMMYFUNCTION("""COMPUTED_VALUE"""),1914.0)</f>
        <v>1914</v>
      </c>
      <c r="C51" s="6">
        <f>IFERROR(__xludf.DUMMYFUNCTION("""COMPUTED_VALUE"""),1914.0)</f>
        <v>1914</v>
      </c>
      <c r="D51" s="6">
        <f>IFERROR(__xludf.DUMMYFUNCTION("""COMPUTED_VALUE"""),1811.6)</f>
        <v>1811.6</v>
      </c>
      <c r="E51" s="6">
        <f>IFERROR(__xludf.DUMMYFUNCTION("""COMPUTED_VALUE"""),1838.15)</f>
        <v>1838.15</v>
      </c>
      <c r="F51" s="6">
        <f>IFERROR(__xludf.DUMMYFUNCTION("""COMPUTED_VALUE"""),2680484.0)</f>
        <v>2680484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IFERROR(__xludf.DUMMYFUNCTION("""COMPUTED_VALUE"""),1839.1)</f>
        <v>1839.1</v>
      </c>
      <c r="C52" s="6">
        <f>IFERROR(__xludf.DUMMYFUNCTION("""COMPUTED_VALUE"""),1960.0)</f>
        <v>1960</v>
      </c>
      <c r="D52" s="6">
        <f>IFERROR(__xludf.DUMMYFUNCTION("""COMPUTED_VALUE"""),1839.1)</f>
        <v>1839.1</v>
      </c>
      <c r="E52" s="6">
        <f>IFERROR(__xludf.DUMMYFUNCTION("""COMPUTED_VALUE"""),1863.3)</f>
        <v>1863.3</v>
      </c>
      <c r="F52" s="6">
        <f>IFERROR(__xludf.DUMMYFUNCTION("""COMPUTED_VALUE"""),5953621.0)</f>
        <v>5953621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IFERROR(__xludf.DUMMYFUNCTION("""COMPUTED_VALUE"""),1865.0)</f>
        <v>1865</v>
      </c>
      <c r="C53" s="6">
        <f>IFERROR(__xludf.DUMMYFUNCTION("""COMPUTED_VALUE"""),1893.0)</f>
        <v>1893</v>
      </c>
      <c r="D53" s="6">
        <f>IFERROR(__xludf.DUMMYFUNCTION("""COMPUTED_VALUE"""),1780.4)</f>
        <v>1780.4</v>
      </c>
      <c r="E53" s="6">
        <f>IFERROR(__xludf.DUMMYFUNCTION("""COMPUTED_VALUE"""),1788.2)</f>
        <v>1788.2</v>
      </c>
      <c r="F53" s="6">
        <f>IFERROR(__xludf.DUMMYFUNCTION("""COMPUTED_VALUE"""),2676886.0)</f>
        <v>2676886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IFERROR(__xludf.DUMMYFUNCTION("""COMPUTED_VALUE"""),1850.0)</f>
        <v>1850</v>
      </c>
      <c r="C54" s="6">
        <f>IFERROR(__xludf.DUMMYFUNCTION("""COMPUTED_VALUE"""),2019.95)</f>
        <v>2019.95</v>
      </c>
      <c r="D54" s="6">
        <f>IFERROR(__xludf.DUMMYFUNCTION("""COMPUTED_VALUE"""),1833.15)</f>
        <v>1833.15</v>
      </c>
      <c r="E54" s="6">
        <f>IFERROR(__xludf.DUMMYFUNCTION("""COMPUTED_VALUE"""),2003.95)</f>
        <v>2003.95</v>
      </c>
      <c r="F54" s="6">
        <f>IFERROR(__xludf.DUMMYFUNCTION("""COMPUTED_VALUE"""),2.2931088E7)</f>
        <v>22931088</v>
      </c>
    </row>
    <row r="55">
      <c r="A55" s="7">
        <f>IFERROR(__xludf.DUMMYFUNCTION("""COMPUTED_VALUE"""),45562.64583333333)</f>
        <v>45562.64583</v>
      </c>
      <c r="B55" s="6">
        <f>IFERROR(__xludf.DUMMYFUNCTION("""COMPUTED_VALUE"""),2028.95)</f>
        <v>2028.95</v>
      </c>
      <c r="C55" s="6">
        <f>IFERROR(__xludf.DUMMYFUNCTION("""COMPUTED_VALUE"""),2091.0)</f>
        <v>2091</v>
      </c>
      <c r="D55" s="6">
        <f>IFERROR(__xludf.DUMMYFUNCTION("""COMPUTED_VALUE"""),1963.05)</f>
        <v>1963.05</v>
      </c>
      <c r="E55" s="6">
        <f>IFERROR(__xludf.DUMMYFUNCTION("""COMPUTED_VALUE"""),1981.85)</f>
        <v>1981.85</v>
      </c>
      <c r="F55" s="6">
        <f>IFERROR(__xludf.DUMMYFUNCTION("""COMPUTED_VALUE"""),1.0436244E7)</f>
        <v>10436244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IFERROR(__xludf.DUMMYFUNCTION("""COMPUTED_VALUE"""),1985.0)</f>
        <v>1985</v>
      </c>
      <c r="C56" s="6">
        <f>IFERROR(__xludf.DUMMYFUNCTION("""COMPUTED_VALUE"""),1988.45)</f>
        <v>1988.45</v>
      </c>
      <c r="D56" s="6">
        <f>IFERROR(__xludf.DUMMYFUNCTION("""COMPUTED_VALUE"""),1775.75)</f>
        <v>1775.75</v>
      </c>
      <c r="E56" s="6">
        <f>IFERROR(__xludf.DUMMYFUNCTION("""COMPUTED_VALUE"""),1801.2)</f>
        <v>1801.2</v>
      </c>
      <c r="F56" s="6">
        <f>IFERROR(__xludf.DUMMYFUNCTION("""COMPUTED_VALUE"""),4745234.0)</f>
        <v>4745234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IFERROR(__xludf.DUMMYFUNCTION("""COMPUTED_VALUE"""),1801.15)</f>
        <v>1801.15</v>
      </c>
      <c r="C57" s="6">
        <f>IFERROR(__xludf.DUMMYFUNCTION("""COMPUTED_VALUE"""),1833.95)</f>
        <v>1833.95</v>
      </c>
      <c r="D57" s="6">
        <f>IFERROR(__xludf.DUMMYFUNCTION("""COMPUTED_VALUE"""),1725.55)</f>
        <v>1725.55</v>
      </c>
      <c r="E57" s="6">
        <f>IFERROR(__xludf.DUMMYFUNCTION("""COMPUTED_VALUE"""),1792.2)</f>
        <v>1792.2</v>
      </c>
      <c r="F57" s="6">
        <f>IFERROR(__xludf.DUMMYFUNCTION("""COMPUTED_VALUE"""),3061375.0)</f>
        <v>3061375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IFERROR(__xludf.DUMMYFUNCTION("""COMPUTED_VALUE"""),1793.0)</f>
        <v>1793</v>
      </c>
      <c r="C58" s="6">
        <f>IFERROR(__xludf.DUMMYFUNCTION("""COMPUTED_VALUE"""),1804.35)</f>
        <v>1804.35</v>
      </c>
      <c r="D58" s="6">
        <f>IFERROR(__xludf.DUMMYFUNCTION("""COMPUTED_VALUE"""),1703.0)</f>
        <v>1703</v>
      </c>
      <c r="E58" s="6">
        <f>IFERROR(__xludf.DUMMYFUNCTION("""COMPUTED_VALUE"""),1736.05)</f>
        <v>1736.05</v>
      </c>
      <c r="F58" s="6">
        <f>IFERROR(__xludf.DUMMYFUNCTION("""COMPUTED_VALUE"""),1849692.0)</f>
        <v>1849692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IFERROR(__xludf.DUMMYFUNCTION("""COMPUTED_VALUE"""),1741.0)</f>
        <v>1741</v>
      </c>
      <c r="C59" s="6">
        <f>IFERROR(__xludf.DUMMYFUNCTION("""COMPUTED_VALUE"""),1753.0)</f>
        <v>1753</v>
      </c>
      <c r="D59" s="6">
        <f>IFERROR(__xludf.DUMMYFUNCTION("""COMPUTED_VALUE"""),1625.0)</f>
        <v>1625</v>
      </c>
      <c r="E59" s="6">
        <f>IFERROR(__xludf.DUMMYFUNCTION("""COMPUTED_VALUE"""),1644.0)</f>
        <v>1644</v>
      </c>
      <c r="F59" s="6">
        <f>IFERROR(__xludf.DUMMYFUNCTION("""COMPUTED_VALUE"""),3792259.0)</f>
        <v>3792259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IFERROR(__xludf.DUMMYFUNCTION("""COMPUTED_VALUE"""),1625.0)</f>
        <v>1625</v>
      </c>
      <c r="C60" s="6">
        <f>IFERROR(__xludf.DUMMYFUNCTION("""COMPUTED_VALUE"""),1733.95)</f>
        <v>1733.95</v>
      </c>
      <c r="D60" s="6">
        <f>IFERROR(__xludf.DUMMYFUNCTION("""COMPUTED_VALUE"""),1581.4)</f>
        <v>1581.4</v>
      </c>
      <c r="E60" s="6">
        <f>IFERROR(__xludf.DUMMYFUNCTION("""COMPUTED_VALUE"""),1598.55)</f>
        <v>1598.55</v>
      </c>
      <c r="F60" s="6">
        <f>IFERROR(__xludf.DUMMYFUNCTION("""COMPUTED_VALUE"""),3129132.0)</f>
        <v>3129132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IFERROR(__xludf.DUMMYFUNCTION("""COMPUTED_VALUE"""),1590.1)</f>
        <v>1590.1</v>
      </c>
      <c r="C61" s="6">
        <f>IFERROR(__xludf.DUMMYFUNCTION("""COMPUTED_VALUE"""),1599.55)</f>
        <v>1599.55</v>
      </c>
      <c r="D61" s="6">
        <f>IFERROR(__xludf.DUMMYFUNCTION("""COMPUTED_VALUE"""),1459.55)</f>
        <v>1459.55</v>
      </c>
      <c r="E61" s="6">
        <f>IFERROR(__xludf.DUMMYFUNCTION("""COMPUTED_VALUE"""),1490.3)</f>
        <v>1490.3</v>
      </c>
      <c r="F61" s="6">
        <f>IFERROR(__xludf.DUMMYFUNCTION("""COMPUTED_VALUE"""),2157357.0)</f>
        <v>2157357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IFERROR(__xludf.DUMMYFUNCTION("""COMPUTED_VALUE"""),1512.45)</f>
        <v>1512.45</v>
      </c>
      <c r="C62" s="6">
        <f>IFERROR(__xludf.DUMMYFUNCTION("""COMPUTED_VALUE"""),1517.75)</f>
        <v>1517.75</v>
      </c>
      <c r="D62" s="6">
        <f>IFERROR(__xludf.DUMMYFUNCTION("""COMPUTED_VALUE"""),1021.0)</f>
        <v>1021</v>
      </c>
      <c r="E62" s="6">
        <f>IFERROR(__xludf.DUMMYFUNCTION("""COMPUTED_VALUE"""),1051.8)</f>
        <v>1051.8</v>
      </c>
      <c r="F62" s="6">
        <f>IFERROR(__xludf.DUMMYFUNCTION("""COMPUTED_VALUE"""),3.3159034E7)</f>
        <v>33159034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IFERROR(__xludf.DUMMYFUNCTION("""COMPUTED_VALUE"""),1080.2)</f>
        <v>1080.2</v>
      </c>
      <c r="C63" s="6">
        <f>IFERROR(__xludf.DUMMYFUNCTION("""COMPUTED_VALUE"""),1368.0)</f>
        <v>1368</v>
      </c>
      <c r="D63" s="6">
        <f>IFERROR(__xludf.DUMMYFUNCTION("""COMPUTED_VALUE"""),870.25)</f>
        <v>870.25</v>
      </c>
      <c r="E63" s="6">
        <f>IFERROR(__xludf.DUMMYFUNCTION("""COMPUTED_VALUE"""),1323.9)</f>
        <v>1323.9</v>
      </c>
      <c r="F63" s="6">
        <f>IFERROR(__xludf.DUMMYFUNCTION("""COMPUTED_VALUE"""),7.8757013E7)</f>
        <v>78757013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IFERROR(__xludf.DUMMYFUNCTION("""COMPUTED_VALUE"""),1360.55)</f>
        <v>1360.55</v>
      </c>
      <c r="C64" s="6">
        <f>IFERROR(__xludf.DUMMYFUNCTION("""COMPUTED_VALUE"""),1447.7)</f>
        <v>1447.7</v>
      </c>
      <c r="D64" s="6">
        <f>IFERROR(__xludf.DUMMYFUNCTION("""COMPUTED_VALUE"""),1205.15)</f>
        <v>1205.15</v>
      </c>
      <c r="E64" s="6">
        <f>IFERROR(__xludf.DUMMYFUNCTION("""COMPUTED_VALUE"""),1210.65)</f>
        <v>1210.65</v>
      </c>
      <c r="F64" s="6">
        <f>IFERROR(__xludf.DUMMYFUNCTION("""COMPUTED_VALUE"""),4.0812456E7)</f>
        <v>40812456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IFERROR(__xludf.DUMMYFUNCTION("""COMPUTED_VALUE"""),1210.65)</f>
        <v>1210.65</v>
      </c>
      <c r="C65" s="6">
        <f>IFERROR(__xludf.DUMMYFUNCTION("""COMPUTED_VALUE"""),1252.3)</f>
        <v>1252.3</v>
      </c>
      <c r="D65" s="6">
        <f>IFERROR(__xludf.DUMMYFUNCTION("""COMPUTED_VALUE"""),1124.2)</f>
        <v>1124.2</v>
      </c>
      <c r="E65" s="6">
        <f>IFERROR(__xludf.DUMMYFUNCTION("""COMPUTED_VALUE"""),1198.4)</f>
        <v>1198.4</v>
      </c>
      <c r="F65" s="6">
        <f>IFERROR(__xludf.DUMMYFUNCTION("""COMPUTED_VALUE"""),2.6983719E7)</f>
        <v>26983719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IFERROR(__xludf.DUMMYFUNCTION("""COMPUTED_VALUE"""),1200.95)</f>
        <v>1200.95</v>
      </c>
      <c r="C66" s="6">
        <f>IFERROR(__xludf.DUMMYFUNCTION("""COMPUTED_VALUE"""),1210.5)</f>
        <v>1210.5</v>
      </c>
      <c r="D66" s="6">
        <f>IFERROR(__xludf.DUMMYFUNCTION("""COMPUTED_VALUE"""),1015.1)</f>
        <v>1015.1</v>
      </c>
      <c r="E66" s="6">
        <f>IFERROR(__xludf.DUMMYFUNCTION("""COMPUTED_VALUE"""),1034.35)</f>
        <v>1034.35</v>
      </c>
      <c r="F66" s="6">
        <f>IFERROR(__xludf.DUMMYFUNCTION("""COMPUTED_VALUE"""),2.495521E7)</f>
        <v>24955210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IFERROR(__xludf.DUMMYFUNCTION("""COMPUTED_VALUE"""),1049.7)</f>
        <v>1049.7</v>
      </c>
      <c r="C67" s="6">
        <f>IFERROR(__xludf.DUMMYFUNCTION("""COMPUTED_VALUE"""),1082.2)</f>
        <v>1082.2</v>
      </c>
      <c r="D67" s="6">
        <f>IFERROR(__xludf.DUMMYFUNCTION("""COMPUTED_VALUE"""),1020.0)</f>
        <v>1020</v>
      </c>
      <c r="E67" s="6">
        <f>IFERROR(__xludf.DUMMYFUNCTION("""COMPUTED_VALUE"""),1054.0)</f>
        <v>1054</v>
      </c>
      <c r="F67" s="6">
        <f>IFERROR(__xludf.DUMMYFUNCTION("""COMPUTED_VALUE"""),1.3757297E7)</f>
        <v>13757297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IFERROR(__xludf.DUMMYFUNCTION("""COMPUTED_VALUE"""),1060.0)</f>
        <v>1060</v>
      </c>
      <c r="C68" s="6">
        <f>IFERROR(__xludf.DUMMYFUNCTION("""COMPUTED_VALUE"""),1113.7)</f>
        <v>1113.7</v>
      </c>
      <c r="D68" s="6">
        <f>IFERROR(__xludf.DUMMYFUNCTION("""COMPUTED_VALUE"""),1029.0)</f>
        <v>1029</v>
      </c>
      <c r="E68" s="6">
        <f>IFERROR(__xludf.DUMMYFUNCTION("""COMPUTED_VALUE"""),1038.25)</f>
        <v>1038.25</v>
      </c>
      <c r="F68" s="6">
        <f>IFERROR(__xludf.DUMMYFUNCTION("""COMPUTED_VALUE"""),1.4683949E7)</f>
        <v>14683949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IFERROR(__xludf.DUMMYFUNCTION("""COMPUTED_VALUE"""),1039.0)</f>
        <v>1039</v>
      </c>
      <c r="C69" s="6">
        <f>IFERROR(__xludf.DUMMYFUNCTION("""COMPUTED_VALUE"""),1040.5)</f>
        <v>1040.5</v>
      </c>
      <c r="D69" s="6">
        <f>IFERROR(__xludf.DUMMYFUNCTION("""COMPUTED_VALUE"""),940.4)</f>
        <v>940.4</v>
      </c>
      <c r="E69" s="6">
        <f>IFERROR(__xludf.DUMMYFUNCTION("""COMPUTED_VALUE"""),943.05)</f>
        <v>943.05</v>
      </c>
      <c r="F69" s="6">
        <f>IFERROR(__xludf.DUMMYFUNCTION("""COMPUTED_VALUE"""),1.0996123E7)</f>
        <v>10996123</v>
      </c>
    </row>
    <row r="70">
      <c r="A70" s="7">
        <f>IFERROR(__xludf.DUMMYFUNCTION("""COMPUTED_VALUE"""),45674.64583333333)</f>
        <v>45674.64583</v>
      </c>
      <c r="B70" s="6">
        <f>IFERROR(__xludf.DUMMYFUNCTION("""COMPUTED_VALUE"""),937.8)</f>
        <v>937.8</v>
      </c>
      <c r="C70" s="6">
        <f>IFERROR(__xludf.DUMMYFUNCTION("""COMPUTED_VALUE"""),1127.0)</f>
        <v>1127</v>
      </c>
      <c r="D70" s="6">
        <f>IFERROR(__xludf.DUMMYFUNCTION("""COMPUTED_VALUE"""),885.0)</f>
        <v>885</v>
      </c>
      <c r="E70" s="6">
        <f>IFERROR(__xludf.DUMMYFUNCTION("""COMPUTED_VALUE"""),1078.2)</f>
        <v>1078.2</v>
      </c>
      <c r="F70" s="6">
        <f>IFERROR(__xludf.DUMMYFUNCTION("""COMPUTED_VALUE"""),4.3666267E7)</f>
        <v>43666267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IFERROR(__xludf.DUMMYFUNCTION("""COMPUTED_VALUE"""),1082.0)</f>
        <v>1082</v>
      </c>
      <c r="C71" s="6">
        <f>IFERROR(__xludf.DUMMYFUNCTION("""COMPUTED_VALUE"""),1088.0)</f>
        <v>1088</v>
      </c>
      <c r="D71" s="6">
        <f>IFERROR(__xludf.DUMMYFUNCTION("""COMPUTED_VALUE"""),1006.0)</f>
        <v>1006</v>
      </c>
      <c r="E71" s="6">
        <f>IFERROR(__xludf.DUMMYFUNCTION("""COMPUTED_VALUE"""),1012.1)</f>
        <v>1012.1</v>
      </c>
      <c r="F71" s="6">
        <f>IFERROR(__xludf.DUMMYFUNCTION("""COMPUTED_VALUE"""),1.5136726E7)</f>
        <v>15136726</v>
      </c>
    </row>
    <row r="72">
      <c r="A72" s="7">
        <f>IFERROR(__xludf.DUMMYFUNCTION("""COMPUTED_VALUE"""),45695.64583333333)</f>
        <v>45695.64583</v>
      </c>
      <c r="B72" s="6">
        <f>IFERROR(__xludf.DUMMYFUNCTION("""COMPUTED_VALUE"""),994.9)</f>
        <v>994.9</v>
      </c>
      <c r="C72" s="6">
        <f>IFERROR(__xludf.DUMMYFUNCTION("""COMPUTED_VALUE"""),1028.7)</f>
        <v>1028.7</v>
      </c>
      <c r="D72" s="6">
        <f>IFERROR(__xludf.DUMMYFUNCTION("""COMPUTED_VALUE"""),967.5)</f>
        <v>967.5</v>
      </c>
      <c r="E72" s="6">
        <f>IFERROR(__xludf.DUMMYFUNCTION("""COMPUTED_VALUE"""),989.5)</f>
        <v>989.5</v>
      </c>
      <c r="F72" s="6">
        <f>IFERROR(__xludf.DUMMYFUNCTION("""COMPUTED_VALUE"""),7775821.0)</f>
        <v>7775821</v>
      </c>
    </row>
    <row r="73">
      <c r="A73" s="7">
        <f>IFERROR(__xludf.DUMMYFUNCTION("""COMPUTED_VALUE"""),45702.64583333333)</f>
        <v>45702.64583</v>
      </c>
      <c r="B73" s="6">
        <f>IFERROR(__xludf.DUMMYFUNCTION("""COMPUTED_VALUE"""),996.0)</f>
        <v>996</v>
      </c>
      <c r="C73" s="6">
        <f>IFERROR(__xludf.DUMMYFUNCTION("""COMPUTED_VALUE"""),998.95)</f>
        <v>998.95</v>
      </c>
      <c r="D73" s="6">
        <f>IFERROR(__xludf.DUMMYFUNCTION("""COMPUTED_VALUE"""),873.0)</f>
        <v>873</v>
      </c>
      <c r="E73" s="6">
        <f>IFERROR(__xludf.DUMMYFUNCTION("""COMPUTED_VALUE"""),884.4)</f>
        <v>884.4</v>
      </c>
      <c r="F73" s="6">
        <f>IFERROR(__xludf.DUMMYFUNCTION("""COMPUTED_VALUE"""),1.474237E7)</f>
        <v>14742370</v>
      </c>
    </row>
    <row r="74">
      <c r="A74" s="7">
        <f>IFERROR(__xludf.DUMMYFUNCTION("""COMPUTED_VALUE"""),45709.64583333333)</f>
        <v>45709.64583</v>
      </c>
      <c r="B74" s="6">
        <f>IFERROR(__xludf.DUMMYFUNCTION("""COMPUTED_VALUE"""),878.95)</f>
        <v>878.95</v>
      </c>
      <c r="C74" s="6">
        <f>IFERROR(__xludf.DUMMYFUNCTION("""COMPUTED_VALUE"""),904.9)</f>
        <v>904.9</v>
      </c>
      <c r="D74" s="6">
        <f>IFERROR(__xludf.DUMMYFUNCTION("""COMPUTED_VALUE"""),840.45)</f>
        <v>840.45</v>
      </c>
      <c r="E74" s="6">
        <f>IFERROR(__xludf.DUMMYFUNCTION("""COMPUTED_VALUE"""),849.35)</f>
        <v>849.35</v>
      </c>
      <c r="F74" s="6">
        <f>IFERROR(__xludf.DUMMYFUNCTION("""COMPUTED_VALUE"""),1.7578325E7)</f>
        <v>17578325</v>
      </c>
    </row>
    <row r="75">
      <c r="A75" s="7">
        <f>IFERROR(__xludf.DUMMYFUNCTION("""COMPUTED_VALUE"""),45716.64583333333)</f>
        <v>45716.64583</v>
      </c>
      <c r="B75" s="6">
        <f>IFERROR(__xludf.DUMMYFUNCTION("""COMPUTED_VALUE"""),840.0)</f>
        <v>840</v>
      </c>
      <c r="C75" s="6">
        <f>IFERROR(__xludf.DUMMYFUNCTION("""COMPUTED_VALUE"""),867.0)</f>
        <v>867</v>
      </c>
      <c r="D75" s="6">
        <f>IFERROR(__xludf.DUMMYFUNCTION("""COMPUTED_VALUE"""),760.15)</f>
        <v>760.15</v>
      </c>
      <c r="E75" s="6">
        <f>IFERROR(__xludf.DUMMYFUNCTION("""COMPUTED_VALUE"""),774.4)</f>
        <v>774.4</v>
      </c>
      <c r="F75" s="6">
        <f>IFERROR(__xludf.DUMMYFUNCTION("""COMPUTED_VALUE"""),5.8541597E7)</f>
        <v>58541597</v>
      </c>
    </row>
    <row r="76">
      <c r="A76" s="7">
        <f>IFERROR(__xludf.DUMMYFUNCTION("""COMPUTED_VALUE"""),45723.64583333333)</f>
        <v>45723.64583</v>
      </c>
      <c r="B76" s="6">
        <f>IFERROR(__xludf.DUMMYFUNCTION("""COMPUTED_VALUE"""),775.0)</f>
        <v>775</v>
      </c>
      <c r="C76" s="6">
        <f>IFERROR(__xludf.DUMMYFUNCTION("""COMPUTED_VALUE"""),872.45)</f>
        <v>872.45</v>
      </c>
      <c r="D76" s="6">
        <f>IFERROR(__xludf.DUMMYFUNCTION("""COMPUTED_VALUE"""),758.0)</f>
        <v>758</v>
      </c>
      <c r="E76" s="6">
        <f>IFERROR(__xludf.DUMMYFUNCTION("""COMPUTED_VALUE"""),837.2)</f>
        <v>837.2</v>
      </c>
      <c r="F76" s="6">
        <f>IFERROR(__xludf.DUMMYFUNCTION("""COMPUTED_VALUE"""),4.7594218E7)</f>
        <v>47594218</v>
      </c>
    </row>
    <row r="77">
      <c r="A77" s="7">
        <f>IFERROR(__xludf.DUMMYFUNCTION("""COMPUTED_VALUE"""),45729.64583333333)</f>
        <v>45729.64583</v>
      </c>
      <c r="B77" s="6">
        <f>IFERROR(__xludf.DUMMYFUNCTION("""COMPUTED_VALUE"""),840.9)</f>
        <v>840.9</v>
      </c>
      <c r="C77" s="6">
        <f>IFERROR(__xludf.DUMMYFUNCTION("""COMPUTED_VALUE"""),896.85)</f>
        <v>896.85</v>
      </c>
      <c r="D77" s="6">
        <f>IFERROR(__xludf.DUMMYFUNCTION("""COMPUTED_VALUE"""),806.35)</f>
        <v>806.35</v>
      </c>
      <c r="E77" s="6">
        <f>IFERROR(__xludf.DUMMYFUNCTION("""COMPUTED_VALUE"""),873.65)</f>
        <v>873.65</v>
      </c>
      <c r="F77" s="6">
        <f>IFERROR(__xludf.DUMMYFUNCTION("""COMPUTED_VALUE"""),2.6695872E7)</f>
        <v>26695872</v>
      </c>
    </row>
    <row r="78">
      <c r="A78" s="7">
        <f>IFERROR(__xludf.DUMMYFUNCTION("""COMPUTED_VALUE"""),45737.64583333333)</f>
        <v>45737.64583</v>
      </c>
      <c r="B78" s="6">
        <f>IFERROR(__xludf.DUMMYFUNCTION("""COMPUTED_VALUE"""),873.65)</f>
        <v>873.65</v>
      </c>
      <c r="C78" s="6">
        <f>IFERROR(__xludf.DUMMYFUNCTION("""COMPUTED_VALUE"""),983.35)</f>
        <v>983.35</v>
      </c>
      <c r="D78" s="6">
        <f>IFERROR(__xludf.DUMMYFUNCTION("""COMPUTED_VALUE"""),868.85)</f>
        <v>868.85</v>
      </c>
      <c r="E78" s="6">
        <f>IFERROR(__xludf.DUMMYFUNCTION("""COMPUTED_VALUE"""),954.25)</f>
        <v>954.25</v>
      </c>
      <c r="F78" s="6">
        <f>IFERROR(__xludf.DUMMYFUNCTION("""COMPUTED_VALUE"""),2.44637E7)</f>
        <v>24463700</v>
      </c>
    </row>
    <row r="79">
      <c r="A79" s="7">
        <f>IFERROR(__xludf.DUMMYFUNCTION("""COMPUTED_VALUE"""),45744.64583333333)</f>
        <v>45744.64583</v>
      </c>
      <c r="B79" s="6">
        <f>IFERROR(__xludf.DUMMYFUNCTION("""COMPUTED_VALUE"""),972.0)</f>
        <v>972</v>
      </c>
      <c r="C79" s="6">
        <f>IFERROR(__xludf.DUMMYFUNCTION("""COMPUTED_VALUE"""),981.0)</f>
        <v>981</v>
      </c>
      <c r="D79" s="6">
        <f>IFERROR(__xludf.DUMMYFUNCTION("""COMPUTED_VALUE"""),905.2)</f>
        <v>905.2</v>
      </c>
      <c r="E79" s="6">
        <f>IFERROR(__xludf.DUMMYFUNCTION("""COMPUTED_VALUE"""),948.65)</f>
        <v>948.65</v>
      </c>
      <c r="F79" s="6">
        <f>IFERROR(__xludf.DUMMYFUNCTION("""COMPUTED_VALUE"""),2.0333545E7)</f>
        <v>20333545</v>
      </c>
    </row>
    <row r="80">
      <c r="A80" s="7">
        <f>IFERROR(__xludf.DUMMYFUNCTION("""COMPUTED_VALUE"""),45751.64583333333)</f>
        <v>45751.64583</v>
      </c>
      <c r="B80" s="6">
        <f>IFERROR(__xludf.DUMMYFUNCTION("""COMPUTED_VALUE"""),948.0)</f>
        <v>948</v>
      </c>
      <c r="C80" s="6">
        <f>IFERROR(__xludf.DUMMYFUNCTION("""COMPUTED_VALUE"""),966.5)</f>
        <v>966.5</v>
      </c>
      <c r="D80" s="6">
        <f>IFERROR(__xludf.DUMMYFUNCTION("""COMPUTED_VALUE"""),910.7)</f>
        <v>910.7</v>
      </c>
      <c r="E80" s="6">
        <f>IFERROR(__xludf.DUMMYFUNCTION("""COMPUTED_VALUE"""),923.8)</f>
        <v>923.8</v>
      </c>
      <c r="F80" s="6">
        <f>IFERROR(__xludf.DUMMYFUNCTION("""COMPUTED_VALUE"""),1.2890963E7)</f>
        <v>12890963</v>
      </c>
    </row>
    <row r="81">
      <c r="A81" s="7">
        <f>IFERROR(__xludf.DUMMYFUNCTION("""COMPUTED_VALUE"""),45758.64583333333)</f>
        <v>45758.64583</v>
      </c>
      <c r="B81" s="6">
        <f>IFERROR(__xludf.DUMMYFUNCTION("""COMPUTED_VALUE"""),850.0)</f>
        <v>850</v>
      </c>
      <c r="C81" s="6">
        <f>IFERROR(__xludf.DUMMYFUNCTION("""COMPUTED_VALUE"""),908.1)</f>
        <v>908.1</v>
      </c>
      <c r="D81" s="6">
        <f>IFERROR(__xludf.DUMMYFUNCTION("""COMPUTED_VALUE"""),850.0)</f>
        <v>850</v>
      </c>
      <c r="E81" s="6">
        <f>IFERROR(__xludf.DUMMYFUNCTION("""COMPUTED_VALUE"""),893.65)</f>
        <v>893.65</v>
      </c>
      <c r="F81" s="6">
        <f>IFERROR(__xludf.DUMMYFUNCTION("""COMPUTED_VALUE"""),1.1580241E7)</f>
        <v>11580241</v>
      </c>
    </row>
    <row r="82">
      <c r="A82" s="7">
        <f>IFERROR(__xludf.DUMMYFUNCTION("""COMPUTED_VALUE"""),45764.64583333333)</f>
        <v>45764.64583</v>
      </c>
      <c r="B82" s="6">
        <f>IFERROR(__xludf.DUMMYFUNCTION("""COMPUTED_VALUE"""),910.0)</f>
        <v>910</v>
      </c>
      <c r="C82" s="6">
        <f>IFERROR(__xludf.DUMMYFUNCTION("""COMPUTED_VALUE"""),972.0)</f>
        <v>972</v>
      </c>
      <c r="D82" s="6">
        <f>IFERROR(__xludf.DUMMYFUNCTION("""COMPUTED_VALUE"""),901.3)</f>
        <v>901.3</v>
      </c>
      <c r="E82" s="6">
        <f>IFERROR(__xludf.DUMMYFUNCTION("""COMPUTED_VALUE"""),947.15)</f>
        <v>947.15</v>
      </c>
      <c r="F82" s="6">
        <f>IFERROR(__xludf.DUMMYFUNCTION("""COMPUTED_VALUE"""),8053762.0)</f>
        <v>8053762</v>
      </c>
    </row>
    <row r="83">
      <c r="A83" s="7">
        <f>IFERROR(__xludf.DUMMYFUNCTION("""COMPUTED_VALUE"""),45772.64583333333)</f>
        <v>45772.64583</v>
      </c>
      <c r="B83" s="6">
        <f>IFERROR(__xludf.DUMMYFUNCTION("""COMPUTED_VALUE"""),954.7)</f>
        <v>954.7</v>
      </c>
      <c r="C83" s="6">
        <f>IFERROR(__xludf.DUMMYFUNCTION("""COMPUTED_VALUE"""),975.85)</f>
        <v>975.85</v>
      </c>
      <c r="D83" s="6">
        <f>IFERROR(__xludf.DUMMYFUNCTION("""COMPUTED_VALUE"""),903.7)</f>
        <v>903.7</v>
      </c>
      <c r="E83" s="6">
        <f>IFERROR(__xludf.DUMMYFUNCTION("""COMPUTED_VALUE"""),912.55)</f>
        <v>912.55</v>
      </c>
      <c r="F83" s="6">
        <f>IFERROR(__xludf.DUMMYFUNCTION("""COMPUTED_VALUE"""),1.7476844E7)</f>
        <v>17476844</v>
      </c>
    </row>
    <row r="84">
      <c r="A84" s="7">
        <f>IFERROR(__xludf.DUMMYFUNCTION("""COMPUTED_VALUE"""),45779.64583333333)</f>
        <v>45779.64583</v>
      </c>
      <c r="B84" s="6">
        <f>IFERROR(__xludf.DUMMYFUNCTION("""COMPUTED_VALUE"""),915.35)</f>
        <v>915.35</v>
      </c>
      <c r="C84" s="6">
        <f>IFERROR(__xludf.DUMMYFUNCTION("""COMPUTED_VALUE"""),961.9)</f>
        <v>961.9</v>
      </c>
      <c r="D84" s="6">
        <f>IFERROR(__xludf.DUMMYFUNCTION("""COMPUTED_VALUE"""),895.0)</f>
        <v>895</v>
      </c>
      <c r="E84" s="6">
        <f>IFERROR(__xludf.DUMMYFUNCTION("""COMPUTED_VALUE"""),905.25)</f>
        <v>905.25</v>
      </c>
      <c r="F84" s="6">
        <f>IFERROR(__xludf.DUMMYFUNCTION("""COMPUTED_VALUE"""),1.577906E7)</f>
        <v>15779060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IFERROR(__xludf.DUMMYFUNCTION("""COMPUTED_VALUE"""),912.7)</f>
        <v>912.7</v>
      </c>
      <c r="C85" s="6">
        <f>IFERROR(__xludf.DUMMYFUNCTION("""COMPUTED_VALUE"""),1003.5)</f>
        <v>1003.5</v>
      </c>
      <c r="D85" s="6">
        <f>IFERROR(__xludf.DUMMYFUNCTION("""COMPUTED_VALUE"""),854.35)</f>
        <v>854.35</v>
      </c>
      <c r="E85" s="6">
        <f>IFERROR(__xludf.DUMMYFUNCTION("""COMPUTED_VALUE"""),879.45)</f>
        <v>879.45</v>
      </c>
      <c r="F85" s="6">
        <f>IFERROR(__xludf.DUMMYFUNCTION("""COMPUTED_VALUE"""),2.8318802E7)</f>
        <v>28318802</v>
      </c>
    </row>
    <row r="86">
      <c r="A86" s="7">
        <f>IFERROR(__xludf.DUMMYFUNCTION("""COMPUTED_VALUE"""),45793.64583333333)</f>
        <v>45793.64583</v>
      </c>
      <c r="B86" s="6">
        <f>IFERROR(__xludf.DUMMYFUNCTION("""COMPUTED_VALUE"""),914.9)</f>
        <v>914.9</v>
      </c>
      <c r="C86" s="6">
        <f>IFERROR(__xludf.DUMMYFUNCTION("""COMPUTED_VALUE"""),1025.0)</f>
        <v>1025</v>
      </c>
      <c r="D86" s="6">
        <f>IFERROR(__xludf.DUMMYFUNCTION("""COMPUTED_VALUE"""),911.05)</f>
        <v>911.05</v>
      </c>
      <c r="E86" s="6">
        <f>IFERROR(__xludf.DUMMYFUNCTION("""COMPUTED_VALUE"""),1020.1)</f>
        <v>1020.1</v>
      </c>
      <c r="F86" s="6">
        <f>IFERROR(__xludf.DUMMYFUNCTION("""COMPUTED_VALUE"""),2.6713858E7)</f>
        <v>26713858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IFERROR(__xludf.DUMMYFUNCTION("""COMPUTED_VALUE"""),1031.95)</f>
        <v>1031.95</v>
      </c>
      <c r="C87" s="6">
        <f>IFERROR(__xludf.DUMMYFUNCTION("""COMPUTED_VALUE"""),1038.35)</f>
        <v>1038.35</v>
      </c>
      <c r="D87" s="6">
        <f>IFERROR(__xludf.DUMMYFUNCTION("""COMPUTED_VALUE"""),976.0)</f>
        <v>976</v>
      </c>
      <c r="E87" s="6">
        <f>IFERROR(__xludf.DUMMYFUNCTION("""COMPUTED_VALUE"""),986.95)</f>
        <v>986.95</v>
      </c>
      <c r="F87" s="6">
        <f>IFERROR(__xludf.DUMMYFUNCTION("""COMPUTED_VALUE"""),1.2891609E7)</f>
        <v>12891609</v>
      </c>
    </row>
    <row r="88">
      <c r="A88" s="7">
        <f>IFERROR(__xludf.DUMMYFUNCTION("""COMPUTED_VALUE"""),45807.64583333333)</f>
        <v>45807.64583</v>
      </c>
      <c r="B88" s="6">
        <f>IFERROR(__xludf.DUMMYFUNCTION("""COMPUTED_VALUE"""),997.0)</f>
        <v>997</v>
      </c>
      <c r="C88" s="6">
        <f>IFERROR(__xludf.DUMMYFUNCTION("""COMPUTED_VALUE"""),1028.0)</f>
        <v>1028</v>
      </c>
      <c r="D88" s="6">
        <f>IFERROR(__xludf.DUMMYFUNCTION("""COMPUTED_VALUE"""),993.3)</f>
        <v>993.3</v>
      </c>
      <c r="E88" s="6">
        <f>IFERROR(__xludf.DUMMYFUNCTION("""COMPUTED_VALUE"""),1014.35)</f>
        <v>1014.35</v>
      </c>
      <c r="F88" s="6">
        <f>IFERROR(__xludf.DUMMYFUNCTION("""COMPUTED_VALUE"""),1.1614279E7)</f>
        <v>11614279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IFERROR(__xludf.DUMMYFUNCTION("""COMPUTED_VALUE"""),1018.5)</f>
        <v>1018.5</v>
      </c>
      <c r="C89" s="6">
        <f>IFERROR(__xludf.DUMMYFUNCTION("""COMPUTED_VALUE"""),1024.7)</f>
        <v>1024.7</v>
      </c>
      <c r="D89" s="6">
        <f>IFERROR(__xludf.DUMMYFUNCTION("""COMPUTED_VALUE"""),983.7)</f>
        <v>983.7</v>
      </c>
      <c r="E89" s="6">
        <f>IFERROR(__xludf.DUMMYFUNCTION("""COMPUTED_VALUE"""),1018.8)</f>
        <v>1018.8</v>
      </c>
      <c r="F89" s="6">
        <f>IFERROR(__xludf.DUMMYFUNCTION("""COMPUTED_VALUE"""),1.0442037E7)</f>
        <v>10442037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IFERROR(__xludf.DUMMYFUNCTION("""COMPUTED_VALUE"""),1024.2)</f>
        <v>1024.2</v>
      </c>
      <c r="C90" s="6">
        <f>IFERROR(__xludf.DUMMYFUNCTION("""COMPUTED_VALUE"""),1077.0)</f>
        <v>1077</v>
      </c>
      <c r="D90" s="6">
        <f>IFERROR(__xludf.DUMMYFUNCTION("""COMPUTED_VALUE"""),985.3)</f>
        <v>985.3</v>
      </c>
      <c r="E90" s="6">
        <f>IFERROR(__xludf.DUMMYFUNCTION("""COMPUTED_VALUE"""),989.5)</f>
        <v>989.5</v>
      </c>
      <c r="F90" s="6">
        <f>IFERROR(__xludf.DUMMYFUNCTION("""COMPUTED_VALUE"""),1.6277253E7)</f>
        <v>16277253</v>
      </c>
    </row>
    <row r="91">
      <c r="A91" s="7">
        <f>IFERROR(__xludf.DUMMYFUNCTION("""COMPUTED_VALUE"""),45828.64583333333)</f>
        <v>45828.64583</v>
      </c>
      <c r="B91" s="6">
        <f>IFERROR(__xludf.DUMMYFUNCTION("""COMPUTED_VALUE"""),989.5)</f>
        <v>989.5</v>
      </c>
      <c r="C91" s="6">
        <f>IFERROR(__xludf.DUMMYFUNCTION("""COMPUTED_VALUE"""),997.5)</f>
        <v>997.5</v>
      </c>
      <c r="D91" s="6">
        <f>IFERROR(__xludf.DUMMYFUNCTION("""COMPUTED_VALUE"""),929.0)</f>
        <v>929</v>
      </c>
      <c r="E91" s="6">
        <f>IFERROR(__xludf.DUMMYFUNCTION("""COMPUTED_VALUE"""),947.7)</f>
        <v>947.7</v>
      </c>
      <c r="F91" s="6">
        <f>IFERROR(__xludf.DUMMYFUNCTION("""COMPUTED_VALUE"""),1.0536198E7)</f>
        <v>10536198</v>
      </c>
    </row>
    <row r="92">
      <c r="A92" s="7">
        <f>IFERROR(__xludf.DUMMYFUNCTION("""COMPUTED_VALUE"""),45835.64583333333)</f>
        <v>45835.64583</v>
      </c>
      <c r="B92" s="6">
        <f>IFERROR(__xludf.DUMMYFUNCTION("""COMPUTED_VALUE"""),939.8)</f>
        <v>939.8</v>
      </c>
      <c r="C92" s="6">
        <f>IFERROR(__xludf.DUMMYFUNCTION("""COMPUTED_VALUE"""),1046.9)</f>
        <v>1046.9</v>
      </c>
      <c r="D92" s="6">
        <f>IFERROR(__xludf.DUMMYFUNCTION("""COMPUTED_VALUE"""),935.0)</f>
        <v>935</v>
      </c>
      <c r="E92" s="6">
        <f>IFERROR(__xludf.DUMMYFUNCTION("""COMPUTED_VALUE"""),1015.6)</f>
        <v>1015.6</v>
      </c>
      <c r="F92" s="6">
        <f>IFERROR(__xludf.DUMMYFUNCTION("""COMPUTED_VALUE"""),1.5820821E7)</f>
        <v>15820821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IFERROR(__xludf.DUMMYFUNCTION("""COMPUTED_VALUE"""),1020.0)</f>
        <v>1020</v>
      </c>
      <c r="C93" s="6">
        <f>IFERROR(__xludf.DUMMYFUNCTION("""COMPUTED_VALUE"""),1038.0)</f>
        <v>1038</v>
      </c>
      <c r="D93" s="6">
        <f>IFERROR(__xludf.DUMMYFUNCTION("""COMPUTED_VALUE"""),990.0)</f>
        <v>990</v>
      </c>
      <c r="E93" s="6">
        <f>IFERROR(__xludf.DUMMYFUNCTION("""COMPUTED_VALUE"""),996.8)</f>
        <v>996.8</v>
      </c>
      <c r="F93" s="6">
        <f>IFERROR(__xludf.DUMMYFUNCTION("""COMPUTED_VALUE"""),7965251.0)</f>
        <v>7965251</v>
      </c>
    </row>
    <row r="94">
      <c r="A94" s="7">
        <f>IFERROR(__xludf.DUMMYFUNCTION("""COMPUTED_VALUE"""),45849.64583333333)</f>
        <v>45849.64583</v>
      </c>
      <c r="B94" s="6">
        <f>IFERROR(__xludf.DUMMYFUNCTION("""COMPUTED_VALUE"""),997.0)</f>
        <v>997</v>
      </c>
      <c r="C94" s="6">
        <f>IFERROR(__xludf.DUMMYFUNCTION("""COMPUTED_VALUE"""),1011.0)</f>
        <v>1011</v>
      </c>
      <c r="D94" s="6">
        <f>IFERROR(__xludf.DUMMYFUNCTION("""COMPUTED_VALUE"""),981.3)</f>
        <v>981.3</v>
      </c>
      <c r="E94" s="6">
        <f>IFERROR(__xludf.DUMMYFUNCTION("""COMPUTED_VALUE"""),995.2)</f>
        <v>995.2</v>
      </c>
      <c r="F94" s="6">
        <f>IFERROR(__xludf.DUMMYFUNCTION("""COMPUTED_VALUE"""),6321013.0)</f>
        <v>6321013</v>
      </c>
    </row>
    <row r="95">
      <c r="A95" s="7">
        <f>IFERROR(__xludf.DUMMYFUNCTION("""COMPUTED_VALUE"""),45856.64583333333)</f>
        <v>45856.64583</v>
      </c>
      <c r="B95" s="6">
        <f>IFERROR(__xludf.DUMMYFUNCTION("""COMPUTED_VALUE"""),995.8)</f>
        <v>995.8</v>
      </c>
      <c r="C95" s="6">
        <f>IFERROR(__xludf.DUMMYFUNCTION("""COMPUTED_VALUE"""),1054.9)</f>
        <v>1054.9</v>
      </c>
      <c r="D95" s="6">
        <f>IFERROR(__xludf.DUMMYFUNCTION("""COMPUTED_VALUE"""),994.2)</f>
        <v>994.2</v>
      </c>
      <c r="E95" s="6">
        <f>IFERROR(__xludf.DUMMYFUNCTION("""COMPUTED_VALUE"""),1030.2)</f>
        <v>1030.2</v>
      </c>
      <c r="F95" s="6">
        <f>IFERROR(__xludf.DUMMYFUNCTION("""COMPUTED_VALUE"""),1.3838345E7)</f>
        <v>13838345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IFERROR(__xludf.DUMMYFUNCTION("""COMPUTED_VALUE"""),1031.2)</f>
        <v>1031.2</v>
      </c>
      <c r="C96" s="6">
        <f>IFERROR(__xludf.DUMMYFUNCTION("""COMPUTED_VALUE"""),1042.2)</f>
        <v>1042.2</v>
      </c>
      <c r="D96" s="6">
        <f>IFERROR(__xludf.DUMMYFUNCTION("""COMPUTED_VALUE"""),973.0)</f>
        <v>973</v>
      </c>
      <c r="E96" s="6">
        <f>IFERROR(__xludf.DUMMYFUNCTION("""COMPUTED_VALUE"""),975.9)</f>
        <v>975.9</v>
      </c>
      <c r="F96" s="6">
        <f>IFERROR(__xludf.DUMMYFUNCTION("""COMPUTED_VALUE"""),7760691.0)</f>
        <v>7760691</v>
      </c>
    </row>
    <row r="97">
      <c r="A97" s="7">
        <f>IFERROR(__xludf.DUMMYFUNCTION("""COMPUTED_VALUE"""),45870.64583333333)</f>
        <v>45870.64583</v>
      </c>
      <c r="B97" s="6">
        <f>IFERROR(__xludf.DUMMYFUNCTION("""COMPUTED_VALUE"""),979.7)</f>
        <v>979.7</v>
      </c>
      <c r="C97" s="6">
        <f>IFERROR(__xludf.DUMMYFUNCTION("""COMPUTED_VALUE"""),1024.5)</f>
        <v>1024.5</v>
      </c>
      <c r="D97" s="6">
        <f>IFERROR(__xludf.DUMMYFUNCTION("""COMPUTED_VALUE"""),968.0)</f>
        <v>968</v>
      </c>
      <c r="E97" s="6">
        <f>IFERROR(__xludf.DUMMYFUNCTION("""COMPUTED_VALUE"""),972.6)</f>
        <v>972.6</v>
      </c>
      <c r="F97" s="6">
        <f>IFERROR(__xludf.DUMMYFUNCTION("""COMPUTED_VALUE"""),1.2769086E7)</f>
        <v>12769086</v>
      </c>
    </row>
    <row r="98">
      <c r="A98" s="7">
        <f>IFERROR(__xludf.DUMMYFUNCTION("""COMPUTED_VALUE"""),45877.64583333333)</f>
        <v>45877.64583</v>
      </c>
      <c r="B98" s="6">
        <f>IFERROR(__xludf.DUMMYFUNCTION("""COMPUTED_VALUE"""),980.0)</f>
        <v>980</v>
      </c>
      <c r="C98" s="6">
        <f>IFERROR(__xludf.DUMMYFUNCTION("""COMPUTED_VALUE"""),997.0)</f>
        <v>997</v>
      </c>
      <c r="D98" s="6">
        <f>IFERROR(__xludf.DUMMYFUNCTION("""COMPUTED_VALUE"""),903.5)</f>
        <v>903.5</v>
      </c>
      <c r="E98" s="6">
        <f>IFERROR(__xludf.DUMMYFUNCTION("""COMPUTED_VALUE"""),914.05)</f>
        <v>914.05</v>
      </c>
      <c r="F98" s="6">
        <f>IFERROR(__xludf.DUMMYFUNCTION("""COMPUTED_VALUE"""),9559399.0)</f>
        <v>9559399</v>
      </c>
    </row>
    <row r="99">
      <c r="A99" s="7">
        <f>IFERROR(__xludf.DUMMYFUNCTION("""COMPUTED_VALUE"""),45883.64583333333)</f>
        <v>45883.64583</v>
      </c>
      <c r="B99" s="6">
        <f>IFERROR(__xludf.DUMMYFUNCTION("""COMPUTED_VALUE"""),914.05)</f>
        <v>914.05</v>
      </c>
      <c r="C99" s="6">
        <f>IFERROR(__xludf.DUMMYFUNCTION("""COMPUTED_VALUE"""),941.0)</f>
        <v>941</v>
      </c>
      <c r="D99" s="6">
        <f>IFERROR(__xludf.DUMMYFUNCTION("""COMPUTED_VALUE"""),908.0)</f>
        <v>908</v>
      </c>
      <c r="E99" s="6">
        <f>IFERROR(__xludf.DUMMYFUNCTION("""COMPUTED_VALUE"""),917.5)</f>
        <v>917.5</v>
      </c>
      <c r="F99" s="6">
        <f>IFERROR(__xludf.DUMMYFUNCTION("""COMPUTED_VALUE"""),4764732.0)</f>
        <v>4764732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IFERROR(__xludf.DUMMYFUNCTION("""COMPUTED_VALUE"""),929.0)</f>
        <v>929</v>
      </c>
      <c r="C100" s="6">
        <f>IFERROR(__xludf.DUMMYFUNCTION("""COMPUTED_VALUE"""),984.0)</f>
        <v>984</v>
      </c>
      <c r="D100" s="6">
        <f>IFERROR(__xludf.DUMMYFUNCTION("""COMPUTED_VALUE"""),925.75)</f>
        <v>925.75</v>
      </c>
      <c r="E100" s="6">
        <f>IFERROR(__xludf.DUMMYFUNCTION("""COMPUTED_VALUE"""),957.2)</f>
        <v>957.2</v>
      </c>
      <c r="F100" s="6">
        <f>IFERROR(__xludf.DUMMYFUNCTION("""COMPUTED_VALUE"""),7093515.0)</f>
        <v>7093515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IFERROR(__xludf.DUMMYFUNCTION("""COMPUTED_VALUE"""),958.35)</f>
        <v>958.35</v>
      </c>
      <c r="C101" s="6">
        <f>IFERROR(__xludf.DUMMYFUNCTION("""COMPUTED_VALUE"""),972.7)</f>
        <v>972.7</v>
      </c>
      <c r="D101" s="6">
        <f>IFERROR(__xludf.DUMMYFUNCTION("""COMPUTED_VALUE"""),926.0)</f>
        <v>926</v>
      </c>
      <c r="E101" s="6">
        <f>IFERROR(__xludf.DUMMYFUNCTION("""COMPUTED_VALUE"""),931.25)</f>
        <v>931.25</v>
      </c>
      <c r="F101" s="6">
        <f>IFERROR(__xludf.DUMMYFUNCTION("""COMPUTED_VALUE"""),1.7176765E7)</f>
        <v>17176765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IFERROR(__xludf.DUMMYFUNCTION("GOOGLEFINANCE(""NSE:ADANIPORTS"",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IFERROR(__xludf.DUMMYFUNCTION("""COMPUTED_VALUE"""),816.0)</f>
        <v>816</v>
      </c>
      <c r="C2" s="6">
        <f>IFERROR(__xludf.DUMMYFUNCTION("""COMPUTED_VALUE"""),833.0)</f>
        <v>833</v>
      </c>
      <c r="D2" s="6">
        <f>IFERROR(__xludf.DUMMYFUNCTION("""COMPUTED_VALUE"""),779.65)</f>
        <v>779.65</v>
      </c>
      <c r="E2" s="6">
        <f>IFERROR(__xludf.DUMMYFUNCTION("""COMPUTED_VALUE"""),799.5)</f>
        <v>799.5</v>
      </c>
      <c r="F2" s="6">
        <f>IFERROR(__xludf.DUMMYFUNCTION("""COMPUTED_VALUE"""),4.1493486E7)</f>
        <v>41493486</v>
      </c>
    </row>
    <row r="3">
      <c r="A3" s="7">
        <f>IFERROR(__xludf.DUMMYFUNCTION("""COMPUTED_VALUE"""),45177.64583333333)</f>
        <v>45177.64583</v>
      </c>
      <c r="B3" s="6">
        <f>IFERROR(__xludf.DUMMYFUNCTION("""COMPUTED_VALUE"""),807.55)</f>
        <v>807.55</v>
      </c>
      <c r="C3" s="6">
        <f>IFERROR(__xludf.DUMMYFUNCTION("""COMPUTED_VALUE"""),828.8)</f>
        <v>828.8</v>
      </c>
      <c r="D3" s="6">
        <f>IFERROR(__xludf.DUMMYFUNCTION("""COMPUTED_VALUE"""),795.55)</f>
        <v>795.55</v>
      </c>
      <c r="E3" s="6">
        <f>IFERROR(__xludf.DUMMYFUNCTION("""COMPUTED_VALUE"""),825.0)</f>
        <v>825</v>
      </c>
      <c r="F3" s="6">
        <f>IFERROR(__xludf.DUMMYFUNCTION("""COMPUTED_VALUE"""),5.120632E7)</f>
        <v>51206320</v>
      </c>
    </row>
    <row r="4">
      <c r="A4" s="7">
        <f>IFERROR(__xludf.DUMMYFUNCTION("""COMPUTED_VALUE"""),45184.64583333333)</f>
        <v>45184.64583</v>
      </c>
      <c r="B4" s="6">
        <f>IFERROR(__xludf.DUMMYFUNCTION("""COMPUTED_VALUE"""),840.0)</f>
        <v>840</v>
      </c>
      <c r="C4" s="6">
        <f>IFERROR(__xludf.DUMMYFUNCTION("""COMPUTED_VALUE"""),889.5)</f>
        <v>889.5</v>
      </c>
      <c r="D4" s="6">
        <f>IFERROR(__xludf.DUMMYFUNCTION("""COMPUTED_VALUE"""),835.0)</f>
        <v>835</v>
      </c>
      <c r="E4" s="6">
        <f>IFERROR(__xludf.DUMMYFUNCTION("""COMPUTED_VALUE"""),845.65)</f>
        <v>845.65</v>
      </c>
      <c r="F4" s="6">
        <f>IFERROR(__xludf.DUMMYFUNCTION("""COMPUTED_VALUE"""),4.6103776E7)</f>
        <v>46103776</v>
      </c>
    </row>
    <row r="5">
      <c r="A5" s="7">
        <f>IFERROR(__xludf.DUMMYFUNCTION("""COMPUTED_VALUE"""),45191.64583333333)</f>
        <v>45191.64583</v>
      </c>
      <c r="B5" s="6">
        <f>IFERROR(__xludf.DUMMYFUNCTION("""COMPUTED_VALUE"""),848.05)</f>
        <v>848.05</v>
      </c>
      <c r="C5" s="6">
        <f>IFERROR(__xludf.DUMMYFUNCTION("""COMPUTED_VALUE"""),848.05)</f>
        <v>848.05</v>
      </c>
      <c r="D5" s="6">
        <f>IFERROR(__xludf.DUMMYFUNCTION("""COMPUTED_VALUE"""),815.0)</f>
        <v>815</v>
      </c>
      <c r="E5" s="6">
        <f>IFERROR(__xludf.DUMMYFUNCTION("""COMPUTED_VALUE"""),827.05)</f>
        <v>827.05</v>
      </c>
      <c r="F5" s="6">
        <f>IFERROR(__xludf.DUMMYFUNCTION("""COMPUTED_VALUE"""),1.5411442E7)</f>
        <v>15411442</v>
      </c>
    </row>
    <row r="6">
      <c r="A6" s="7">
        <f>IFERROR(__xludf.DUMMYFUNCTION("""COMPUTED_VALUE"""),45198.64583333333)</f>
        <v>45198.64583</v>
      </c>
      <c r="B6" s="6">
        <f>IFERROR(__xludf.DUMMYFUNCTION("""COMPUTED_VALUE"""),828.7)</f>
        <v>828.7</v>
      </c>
      <c r="C6" s="6">
        <f>IFERROR(__xludf.DUMMYFUNCTION("""COMPUTED_VALUE"""),841.35)</f>
        <v>841.35</v>
      </c>
      <c r="D6" s="6">
        <f>IFERROR(__xludf.DUMMYFUNCTION("""COMPUTED_VALUE"""),818.95)</f>
        <v>818.95</v>
      </c>
      <c r="E6" s="6">
        <f>IFERROR(__xludf.DUMMYFUNCTION("""COMPUTED_VALUE"""),825.15)</f>
        <v>825.15</v>
      </c>
      <c r="F6" s="6">
        <f>IFERROR(__xludf.DUMMYFUNCTION("""COMPUTED_VALUE"""),1.2955695E7)</f>
        <v>12955695</v>
      </c>
    </row>
    <row r="7">
      <c r="A7" s="7">
        <f>IFERROR(__xludf.DUMMYFUNCTION("""COMPUTED_VALUE"""),45205.64583333333)</f>
        <v>45205.64583</v>
      </c>
      <c r="B7" s="6">
        <f>IFERROR(__xludf.DUMMYFUNCTION("""COMPUTED_VALUE"""),826.0)</f>
        <v>826</v>
      </c>
      <c r="C7" s="6">
        <f>IFERROR(__xludf.DUMMYFUNCTION("""COMPUTED_VALUE"""),845.45)</f>
        <v>845.45</v>
      </c>
      <c r="D7" s="6">
        <f>IFERROR(__xludf.DUMMYFUNCTION("""COMPUTED_VALUE"""),819.35)</f>
        <v>819.35</v>
      </c>
      <c r="E7" s="6">
        <f>IFERROR(__xludf.DUMMYFUNCTION("""COMPUTED_VALUE"""),830.75)</f>
        <v>830.75</v>
      </c>
      <c r="F7" s="6">
        <f>IFERROR(__xludf.DUMMYFUNCTION("""COMPUTED_VALUE"""),1.05103E7)</f>
        <v>10510300</v>
      </c>
    </row>
    <row r="8">
      <c r="A8" s="7">
        <f>IFERROR(__xludf.DUMMYFUNCTION("""COMPUTED_VALUE"""),45212.64583333333)</f>
        <v>45212.64583</v>
      </c>
      <c r="B8" s="6">
        <f>IFERROR(__xludf.DUMMYFUNCTION("""COMPUTED_VALUE"""),815.0)</f>
        <v>815</v>
      </c>
      <c r="C8" s="6">
        <f>IFERROR(__xludf.DUMMYFUNCTION("""COMPUTED_VALUE"""),827.4)</f>
        <v>827.4</v>
      </c>
      <c r="D8" s="6">
        <f>IFERROR(__xludf.DUMMYFUNCTION("""COMPUTED_VALUE"""),785.0)</f>
        <v>785</v>
      </c>
      <c r="E8" s="6">
        <f>IFERROR(__xludf.DUMMYFUNCTION("""COMPUTED_VALUE"""),813.75)</f>
        <v>813.75</v>
      </c>
      <c r="F8" s="6">
        <f>IFERROR(__xludf.DUMMYFUNCTION("""COMPUTED_VALUE"""),2.3231602E7)</f>
        <v>23231602</v>
      </c>
    </row>
    <row r="9">
      <c r="A9" s="7">
        <f>IFERROR(__xludf.DUMMYFUNCTION("""COMPUTED_VALUE"""),45219.64583333333)</f>
        <v>45219.64583</v>
      </c>
      <c r="B9" s="6">
        <f>IFERROR(__xludf.DUMMYFUNCTION("""COMPUTED_VALUE"""),818.5)</f>
        <v>818.5</v>
      </c>
      <c r="C9" s="6">
        <f>IFERROR(__xludf.DUMMYFUNCTION("""COMPUTED_VALUE"""),818.5)</f>
        <v>818.5</v>
      </c>
      <c r="D9" s="6">
        <f>IFERROR(__xludf.DUMMYFUNCTION("""COMPUTED_VALUE"""),787.45)</f>
        <v>787.45</v>
      </c>
      <c r="E9" s="6">
        <f>IFERROR(__xludf.DUMMYFUNCTION("""COMPUTED_VALUE"""),793.65)</f>
        <v>793.65</v>
      </c>
      <c r="F9" s="6">
        <f>IFERROR(__xludf.DUMMYFUNCTION("""COMPUTED_VALUE"""),1.2396275E7)</f>
        <v>12396275</v>
      </c>
    </row>
    <row r="10">
      <c r="A10" s="7">
        <f>IFERROR(__xludf.DUMMYFUNCTION("""COMPUTED_VALUE"""),45226.64583333333)</f>
        <v>45226.64583</v>
      </c>
      <c r="B10" s="6">
        <f>IFERROR(__xludf.DUMMYFUNCTION("""COMPUTED_VALUE"""),793.65)</f>
        <v>793.65</v>
      </c>
      <c r="C10" s="6">
        <f>IFERROR(__xludf.DUMMYFUNCTION("""COMPUTED_VALUE"""),795.8)</f>
        <v>795.8</v>
      </c>
      <c r="D10" s="6">
        <f>IFERROR(__xludf.DUMMYFUNCTION("""COMPUTED_VALUE"""),754.5)</f>
        <v>754.5</v>
      </c>
      <c r="E10" s="6">
        <f>IFERROR(__xludf.DUMMYFUNCTION("""COMPUTED_VALUE"""),782.4)</f>
        <v>782.4</v>
      </c>
      <c r="F10" s="6">
        <f>IFERROR(__xludf.DUMMYFUNCTION("""COMPUTED_VALUE"""),1.1434637E7)</f>
        <v>11434637</v>
      </c>
    </row>
    <row r="11">
      <c r="A11" s="7">
        <f>IFERROR(__xludf.DUMMYFUNCTION("""COMPUTED_VALUE"""),45233.64583333333)</f>
        <v>45233.64583</v>
      </c>
      <c r="B11" s="6">
        <f>IFERROR(__xludf.DUMMYFUNCTION("""COMPUTED_VALUE"""),785.9)</f>
        <v>785.9</v>
      </c>
      <c r="C11" s="6">
        <f>IFERROR(__xludf.DUMMYFUNCTION("""COMPUTED_VALUE"""),798.8)</f>
        <v>798.8</v>
      </c>
      <c r="D11" s="6">
        <f>IFERROR(__xludf.DUMMYFUNCTION("""COMPUTED_VALUE"""),767.2)</f>
        <v>767.2</v>
      </c>
      <c r="E11" s="6">
        <f>IFERROR(__xludf.DUMMYFUNCTION("""COMPUTED_VALUE"""),795.4)</f>
        <v>795.4</v>
      </c>
      <c r="F11" s="6">
        <f>IFERROR(__xludf.DUMMYFUNCTION("""COMPUTED_VALUE"""),1.509416E7)</f>
        <v>15094160</v>
      </c>
    </row>
    <row r="12">
      <c r="A12" s="7">
        <f>IFERROR(__xludf.DUMMYFUNCTION("""COMPUTED_VALUE"""),45240.64583333333)</f>
        <v>45240.64583</v>
      </c>
      <c r="B12" s="6">
        <f>IFERROR(__xludf.DUMMYFUNCTION("""COMPUTED_VALUE"""),801.5)</f>
        <v>801.5</v>
      </c>
      <c r="C12" s="6">
        <f>IFERROR(__xludf.DUMMYFUNCTION("""COMPUTED_VALUE"""),827.7)</f>
        <v>827.7</v>
      </c>
      <c r="D12" s="6">
        <f>IFERROR(__xludf.DUMMYFUNCTION("""COMPUTED_VALUE"""),796.0)</f>
        <v>796</v>
      </c>
      <c r="E12" s="6">
        <f>IFERROR(__xludf.DUMMYFUNCTION("""COMPUTED_VALUE"""),808.6)</f>
        <v>808.6</v>
      </c>
      <c r="F12" s="6">
        <f>IFERROR(__xludf.DUMMYFUNCTION("""COMPUTED_VALUE"""),1.8673647E7)</f>
        <v>18673647</v>
      </c>
    </row>
    <row r="13">
      <c r="A13" s="7">
        <f>IFERROR(__xludf.DUMMYFUNCTION("""COMPUTED_VALUE"""),45247.64583333333)</f>
        <v>45247.64583</v>
      </c>
      <c r="B13" s="6">
        <f>IFERROR(__xludf.DUMMYFUNCTION("""COMPUTED_VALUE"""),816.7)</f>
        <v>816.7</v>
      </c>
      <c r="C13" s="6">
        <f>IFERROR(__xludf.DUMMYFUNCTION("""COMPUTED_VALUE"""),828.0)</f>
        <v>828</v>
      </c>
      <c r="D13" s="6">
        <f>IFERROR(__xludf.DUMMYFUNCTION("""COMPUTED_VALUE"""),807.5)</f>
        <v>807.5</v>
      </c>
      <c r="E13" s="6">
        <f>IFERROR(__xludf.DUMMYFUNCTION("""COMPUTED_VALUE"""),810.05)</f>
        <v>810.05</v>
      </c>
      <c r="F13" s="6">
        <f>IFERROR(__xludf.DUMMYFUNCTION("""COMPUTED_VALUE"""),7919560.0)</f>
        <v>7919560</v>
      </c>
    </row>
    <row r="14">
      <c r="A14" s="7">
        <f>IFERROR(__xludf.DUMMYFUNCTION("""COMPUTED_VALUE"""),45254.64583333333)</f>
        <v>45254.64583</v>
      </c>
      <c r="B14" s="6">
        <f>IFERROR(__xludf.DUMMYFUNCTION("""COMPUTED_VALUE"""),810.05)</f>
        <v>810.05</v>
      </c>
      <c r="C14" s="6">
        <f>IFERROR(__xludf.DUMMYFUNCTION("""COMPUTED_VALUE"""),816.0)</f>
        <v>816</v>
      </c>
      <c r="D14" s="6">
        <f>IFERROR(__xludf.DUMMYFUNCTION("""COMPUTED_VALUE"""),785.0)</f>
        <v>785</v>
      </c>
      <c r="E14" s="6">
        <f>IFERROR(__xludf.DUMMYFUNCTION("""COMPUTED_VALUE"""),795.55)</f>
        <v>795.55</v>
      </c>
      <c r="F14" s="6">
        <f>IFERROR(__xludf.DUMMYFUNCTION("""COMPUTED_VALUE"""),1.8281617E7)</f>
        <v>18281617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IFERROR(__xludf.DUMMYFUNCTION("""COMPUTED_VALUE"""),806.0)</f>
        <v>806</v>
      </c>
      <c r="C15" s="6">
        <f>IFERROR(__xludf.DUMMYFUNCTION("""COMPUTED_VALUE"""),854.4)</f>
        <v>854.4</v>
      </c>
      <c r="D15" s="6">
        <f>IFERROR(__xludf.DUMMYFUNCTION("""COMPUTED_VALUE"""),806.0)</f>
        <v>806</v>
      </c>
      <c r="E15" s="6">
        <f>IFERROR(__xludf.DUMMYFUNCTION("""COMPUTED_VALUE"""),827.8)</f>
        <v>827.8</v>
      </c>
      <c r="F15" s="6">
        <f>IFERROR(__xludf.DUMMYFUNCTION("""COMPUTED_VALUE"""),3.2918447E7)</f>
        <v>32918447</v>
      </c>
    </row>
    <row r="16">
      <c r="A16" s="7">
        <f>IFERROR(__xludf.DUMMYFUNCTION("""COMPUTED_VALUE"""),45268.64583333333)</f>
        <v>45268.64583</v>
      </c>
      <c r="B16" s="6">
        <f>IFERROR(__xludf.DUMMYFUNCTION("""COMPUTED_VALUE"""),865.0)</f>
        <v>865</v>
      </c>
      <c r="C16" s="6">
        <f>IFERROR(__xludf.DUMMYFUNCTION("""COMPUTED_VALUE"""),1082.5)</f>
        <v>1082.5</v>
      </c>
      <c r="D16" s="6">
        <f>IFERROR(__xludf.DUMMYFUNCTION("""COMPUTED_VALUE"""),858.5)</f>
        <v>858.5</v>
      </c>
      <c r="E16" s="6">
        <f>IFERROR(__xludf.DUMMYFUNCTION("""COMPUTED_VALUE"""),1022.95)</f>
        <v>1022.95</v>
      </c>
      <c r="F16" s="6">
        <f>IFERROR(__xludf.DUMMYFUNCTION("""COMPUTED_VALUE"""),1.25680697E8)</f>
        <v>125680697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IFERROR(__xludf.DUMMYFUNCTION("""COMPUTED_VALUE"""),1026.8)</f>
        <v>1026.8</v>
      </c>
      <c r="C17" s="6">
        <f>IFERROR(__xludf.DUMMYFUNCTION("""COMPUTED_VALUE"""),1089.9)</f>
        <v>1089.9</v>
      </c>
      <c r="D17" s="6">
        <f>IFERROR(__xludf.DUMMYFUNCTION("""COMPUTED_VALUE"""),1015.65)</f>
        <v>1015.65</v>
      </c>
      <c r="E17" s="6">
        <f>IFERROR(__xludf.DUMMYFUNCTION("""COMPUTED_VALUE"""),1078.55)</f>
        <v>1078.55</v>
      </c>
      <c r="F17" s="6">
        <f>IFERROR(__xludf.DUMMYFUNCTION("""COMPUTED_VALUE"""),4.0620512E7)</f>
        <v>40620512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IFERROR(__xludf.DUMMYFUNCTION("""COMPUTED_VALUE"""),1079.0)</f>
        <v>1079</v>
      </c>
      <c r="C18" s="6">
        <f>IFERROR(__xludf.DUMMYFUNCTION("""COMPUTED_VALUE"""),1102.4)</f>
        <v>1102.4</v>
      </c>
      <c r="D18" s="6">
        <f>IFERROR(__xludf.DUMMYFUNCTION("""COMPUTED_VALUE"""),989.25)</f>
        <v>989.25</v>
      </c>
      <c r="E18" s="6">
        <f>IFERROR(__xludf.DUMMYFUNCTION("""COMPUTED_VALUE"""),1027.5)</f>
        <v>1027.5</v>
      </c>
      <c r="F18" s="6">
        <f>IFERROR(__xludf.DUMMYFUNCTION("""COMPUTED_VALUE"""),3.0513321E7)</f>
        <v>30513321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IFERROR(__xludf.DUMMYFUNCTION("""COMPUTED_VALUE"""),1034.1)</f>
        <v>1034.1</v>
      </c>
      <c r="C19" s="6">
        <f>IFERROR(__xludf.DUMMYFUNCTION("""COMPUTED_VALUE"""),1041.0)</f>
        <v>1041</v>
      </c>
      <c r="D19" s="6">
        <f>IFERROR(__xludf.DUMMYFUNCTION("""COMPUTED_VALUE"""),1014.65)</f>
        <v>1014.65</v>
      </c>
      <c r="E19" s="6">
        <f>IFERROR(__xludf.DUMMYFUNCTION("""COMPUTED_VALUE"""),1024.35)</f>
        <v>1024.35</v>
      </c>
      <c r="F19" s="6">
        <f>IFERROR(__xludf.DUMMYFUNCTION("""COMPUTED_VALUE"""),1.2275625E7)</f>
        <v>12275625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IFERROR(__xludf.DUMMYFUNCTION("""COMPUTED_VALUE"""),1026.55)</f>
        <v>1026.55</v>
      </c>
      <c r="C20" s="6">
        <f>IFERROR(__xludf.DUMMYFUNCTION("""COMPUTED_VALUE"""),1160.0)</f>
        <v>1160</v>
      </c>
      <c r="D20" s="6">
        <f>IFERROR(__xludf.DUMMYFUNCTION("""COMPUTED_VALUE"""),1023.0)</f>
        <v>1023</v>
      </c>
      <c r="E20" s="6">
        <f>IFERROR(__xludf.DUMMYFUNCTION("""COMPUTED_VALUE"""),1154.25)</f>
        <v>1154.25</v>
      </c>
      <c r="F20" s="6">
        <f>IFERROR(__xludf.DUMMYFUNCTION("""COMPUTED_VALUE"""),6.3789894E7)</f>
        <v>63789894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IFERROR(__xludf.DUMMYFUNCTION("""COMPUTED_VALUE"""),1160.0)</f>
        <v>1160</v>
      </c>
      <c r="C21" s="6">
        <f>IFERROR(__xludf.DUMMYFUNCTION("""COMPUTED_VALUE"""),1229.9)</f>
        <v>1229.9</v>
      </c>
      <c r="D21" s="6">
        <f>IFERROR(__xludf.DUMMYFUNCTION("""COMPUTED_VALUE"""),1152.0)</f>
        <v>1152</v>
      </c>
      <c r="E21" s="6">
        <f>IFERROR(__xludf.DUMMYFUNCTION("""COMPUTED_VALUE"""),1207.1)</f>
        <v>1207.1</v>
      </c>
      <c r="F21" s="6">
        <f>IFERROR(__xludf.DUMMYFUNCTION("""COMPUTED_VALUE"""),3.8131907E7)</f>
        <v>38131907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IFERROR(__xludf.DUMMYFUNCTION("""COMPUTED_VALUE"""),1199.15)</f>
        <v>1199.15</v>
      </c>
      <c r="C22" s="6">
        <f>IFERROR(__xludf.DUMMYFUNCTION("""COMPUTED_VALUE"""),1207.2)</f>
        <v>1207.2</v>
      </c>
      <c r="D22" s="6">
        <f>IFERROR(__xludf.DUMMYFUNCTION("""COMPUTED_VALUE"""),1111.6)</f>
        <v>1111.6</v>
      </c>
      <c r="E22" s="6">
        <f>IFERROR(__xludf.DUMMYFUNCTION("""COMPUTED_VALUE"""),1146.3)</f>
        <v>1146.3</v>
      </c>
      <c r="F22" s="6">
        <f>IFERROR(__xludf.DUMMYFUNCTION("""COMPUTED_VALUE"""),2.9879969E7)</f>
        <v>29879969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IFERROR(__xludf.DUMMYFUNCTION("""COMPUTED_VALUE"""),1155.0)</f>
        <v>1155</v>
      </c>
      <c r="C23" s="6">
        <f>IFERROR(__xludf.DUMMYFUNCTION("""COMPUTED_VALUE"""),1287.5)</f>
        <v>1287.5</v>
      </c>
      <c r="D23" s="6">
        <f>IFERROR(__xludf.DUMMYFUNCTION("""COMPUTED_VALUE"""),1151.0)</f>
        <v>1151</v>
      </c>
      <c r="E23" s="6">
        <f>IFERROR(__xludf.DUMMYFUNCTION("""COMPUTED_VALUE"""),1261.45)</f>
        <v>1261.45</v>
      </c>
      <c r="F23" s="6">
        <f>IFERROR(__xludf.DUMMYFUNCTION("""COMPUTED_VALUE"""),3.4845859E7)</f>
        <v>34845859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IFERROR(__xludf.DUMMYFUNCTION("""COMPUTED_VALUE"""),1269.5)</f>
        <v>1269.5</v>
      </c>
      <c r="C24" s="6">
        <f>IFERROR(__xludf.DUMMYFUNCTION("""COMPUTED_VALUE"""),1291.25)</f>
        <v>1291.25</v>
      </c>
      <c r="D24" s="6">
        <f>IFERROR(__xludf.DUMMYFUNCTION("""COMPUTED_VALUE"""),1232.1)</f>
        <v>1232.1</v>
      </c>
      <c r="E24" s="6">
        <f>IFERROR(__xludf.DUMMYFUNCTION("""COMPUTED_VALUE"""),1271.5)</f>
        <v>1271.5</v>
      </c>
      <c r="F24" s="6">
        <f>IFERROR(__xludf.DUMMYFUNCTION("""COMPUTED_VALUE"""),2.0271836E7)</f>
        <v>20271836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IFERROR(__xludf.DUMMYFUNCTION("""COMPUTED_VALUE"""),1278.0)</f>
        <v>1278</v>
      </c>
      <c r="C25" s="6">
        <f>IFERROR(__xludf.DUMMYFUNCTION("""COMPUTED_VALUE"""),1311.0)</f>
        <v>1311</v>
      </c>
      <c r="D25" s="6">
        <f>IFERROR(__xludf.DUMMYFUNCTION("""COMPUTED_VALUE"""),1226.65)</f>
        <v>1226.65</v>
      </c>
      <c r="E25" s="6">
        <f>IFERROR(__xludf.DUMMYFUNCTION("""COMPUTED_VALUE"""),1306.85)</f>
        <v>1306.85</v>
      </c>
      <c r="F25" s="6">
        <f>IFERROR(__xludf.DUMMYFUNCTION("""COMPUTED_VALUE"""),1.6691829E7)</f>
        <v>16691829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IFERROR(__xludf.DUMMYFUNCTION("""COMPUTED_VALUE"""),1313.4)</f>
        <v>1313.4</v>
      </c>
      <c r="C26" s="6">
        <f>IFERROR(__xludf.DUMMYFUNCTION("""COMPUTED_VALUE"""),1332.0)</f>
        <v>1332</v>
      </c>
      <c r="D26" s="6">
        <f>IFERROR(__xludf.DUMMYFUNCTION("""COMPUTED_VALUE"""),1281.0)</f>
        <v>1281</v>
      </c>
      <c r="E26" s="6">
        <f>IFERROR(__xludf.DUMMYFUNCTION("""COMPUTED_VALUE"""),1320.7)</f>
        <v>1320.7</v>
      </c>
      <c r="F26" s="6">
        <f>IFERROR(__xludf.DUMMYFUNCTION("""COMPUTED_VALUE"""),1.2808306E7)</f>
        <v>12808306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IFERROR(__xludf.DUMMYFUNCTION("""COMPUTED_VALUE"""),1345.25)</f>
        <v>1345.25</v>
      </c>
      <c r="C27" s="6">
        <f>IFERROR(__xludf.DUMMYFUNCTION("""COMPUTED_VALUE"""),1356.55)</f>
        <v>1356.55</v>
      </c>
      <c r="D27" s="6">
        <f>IFERROR(__xludf.DUMMYFUNCTION("""COMPUTED_VALUE"""),1304.0)</f>
        <v>1304</v>
      </c>
      <c r="E27" s="6">
        <f>IFERROR(__xludf.DUMMYFUNCTION("""COMPUTED_VALUE"""),1325.45)</f>
        <v>1325.45</v>
      </c>
      <c r="F27" s="6">
        <f>IFERROR(__xludf.DUMMYFUNCTION("""COMPUTED_VALUE"""),8384881.0)</f>
        <v>8384881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IFERROR(__xludf.DUMMYFUNCTION("""COMPUTED_VALUE"""),1331.0)</f>
        <v>1331</v>
      </c>
      <c r="C28" s="6">
        <f>IFERROR(__xludf.DUMMYFUNCTION("""COMPUTED_VALUE"""),1346.95)</f>
        <v>1346.95</v>
      </c>
      <c r="D28" s="6">
        <f>IFERROR(__xludf.DUMMYFUNCTION("""COMPUTED_VALUE"""),1188.1)</f>
        <v>1188.1</v>
      </c>
      <c r="E28" s="6">
        <f>IFERROR(__xludf.DUMMYFUNCTION("""COMPUTED_VALUE"""),1283.0)</f>
        <v>1283</v>
      </c>
      <c r="F28" s="6">
        <f>IFERROR(__xludf.DUMMYFUNCTION("""COMPUTED_VALUE"""),2.5247966E7)</f>
        <v>25247966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IFERROR(__xludf.DUMMYFUNCTION("""COMPUTED_VALUE"""),1250.0)</f>
        <v>1250</v>
      </c>
      <c r="C29" s="6">
        <f>IFERROR(__xludf.DUMMYFUNCTION("""COMPUTED_VALUE"""),1289.1)</f>
        <v>1289.1</v>
      </c>
      <c r="D29" s="6">
        <f>IFERROR(__xludf.DUMMYFUNCTION("""COMPUTED_VALUE"""),1227.25)</f>
        <v>1227.25</v>
      </c>
      <c r="E29" s="6">
        <f>IFERROR(__xludf.DUMMYFUNCTION("""COMPUTED_VALUE"""),1281.6)</f>
        <v>1281.6</v>
      </c>
      <c r="F29" s="6">
        <f>IFERROR(__xludf.DUMMYFUNCTION("""COMPUTED_VALUE"""),1.6174355E7)</f>
        <v>16174355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IFERROR(__xludf.DUMMYFUNCTION("""COMPUTED_VALUE"""),1281.6)</f>
        <v>1281.6</v>
      </c>
      <c r="C30" s="6">
        <f>IFERROR(__xludf.DUMMYFUNCTION("""COMPUTED_VALUE"""),1358.7)</f>
        <v>1358.7</v>
      </c>
      <c r="D30" s="6">
        <f>IFERROR(__xludf.DUMMYFUNCTION("""COMPUTED_VALUE"""),1281.0)</f>
        <v>1281</v>
      </c>
      <c r="E30" s="6">
        <f>IFERROR(__xludf.DUMMYFUNCTION("""COMPUTED_VALUE"""),1341.85)</f>
        <v>1341.85</v>
      </c>
      <c r="F30" s="6">
        <f>IFERROR(__xludf.DUMMYFUNCTION("""COMPUTED_VALUE"""),1.2737785E7)</f>
        <v>12737785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IFERROR(__xludf.DUMMYFUNCTION("""COMPUTED_VALUE"""),1356.8)</f>
        <v>1356.8</v>
      </c>
      <c r="C31" s="6">
        <f>IFERROR(__xludf.DUMMYFUNCTION("""COMPUTED_VALUE"""),1424.95)</f>
        <v>1424.95</v>
      </c>
      <c r="D31" s="6">
        <f>IFERROR(__xludf.DUMMYFUNCTION("""COMPUTED_VALUE"""),1350.25)</f>
        <v>1350.25</v>
      </c>
      <c r="E31" s="6">
        <f>IFERROR(__xludf.DUMMYFUNCTION("""COMPUTED_VALUE"""),1375.55)</f>
        <v>1375.55</v>
      </c>
      <c r="F31" s="6">
        <f>IFERROR(__xludf.DUMMYFUNCTION("""COMPUTED_VALUE"""),1.7798862E7)</f>
        <v>17798862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IFERROR(__xludf.DUMMYFUNCTION("""COMPUTED_VALUE"""),1381.95)</f>
        <v>1381.95</v>
      </c>
      <c r="C32" s="6">
        <f>IFERROR(__xludf.DUMMYFUNCTION("""COMPUTED_VALUE"""),1381.95)</f>
        <v>1381.95</v>
      </c>
      <c r="D32" s="6">
        <f>IFERROR(__xludf.DUMMYFUNCTION("""COMPUTED_VALUE"""),1337.0)</f>
        <v>1337</v>
      </c>
      <c r="E32" s="6">
        <f>IFERROR(__xludf.DUMMYFUNCTION("""COMPUTED_VALUE"""),1344.2)</f>
        <v>1344.2</v>
      </c>
      <c r="F32" s="6">
        <f>IFERROR(__xludf.DUMMYFUNCTION("""COMPUTED_VALUE"""),2.2141892E7)</f>
        <v>22141892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IFERROR(__xludf.DUMMYFUNCTION("""COMPUTED_VALUE"""),1320.0)</f>
        <v>1320</v>
      </c>
      <c r="C33" s="6">
        <f>IFERROR(__xludf.DUMMYFUNCTION("""COMPUTED_VALUE"""),1336.5)</f>
        <v>1336.5</v>
      </c>
      <c r="D33" s="6">
        <f>IFERROR(__xludf.DUMMYFUNCTION("""COMPUTED_VALUE"""),1270.0)</f>
        <v>1270</v>
      </c>
      <c r="E33" s="6">
        <f>IFERROR(__xludf.DUMMYFUNCTION("""COMPUTED_VALUE"""),1310.0)</f>
        <v>1310</v>
      </c>
      <c r="F33" s="6">
        <f>IFERROR(__xludf.DUMMYFUNCTION("""COMPUTED_VALUE"""),1.6187516E7)</f>
        <v>16187516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IFERROR(__xludf.DUMMYFUNCTION("""COMPUTED_VALUE"""),1321.1)</f>
        <v>1321.1</v>
      </c>
      <c r="C34" s="6">
        <f>IFERROR(__xludf.DUMMYFUNCTION("""COMPUTED_VALUE"""),1341.6)</f>
        <v>1341.6</v>
      </c>
      <c r="D34" s="6">
        <f>IFERROR(__xludf.DUMMYFUNCTION("""COMPUTED_VALUE"""),1315.0)</f>
        <v>1315</v>
      </c>
      <c r="E34" s="6">
        <f>IFERROR(__xludf.DUMMYFUNCTION("""COMPUTED_VALUE"""),1324.6)</f>
        <v>1324.6</v>
      </c>
      <c r="F34" s="6">
        <f>IFERROR(__xludf.DUMMYFUNCTION("""COMPUTED_VALUE"""),2.3966614E7)</f>
        <v>23966614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IFERROR(__xludf.DUMMYFUNCTION("""COMPUTED_VALUE"""),1334.3)</f>
        <v>1334.3</v>
      </c>
      <c r="C35" s="6">
        <f>IFERROR(__xludf.DUMMYFUNCTION("""COMPUTED_VALUE"""),1354.0)</f>
        <v>1354</v>
      </c>
      <c r="D35" s="6">
        <f>IFERROR(__xludf.DUMMYFUNCTION("""COMPUTED_VALUE"""),1306.55)</f>
        <v>1306.55</v>
      </c>
      <c r="E35" s="6">
        <f>IFERROR(__xludf.DUMMYFUNCTION("""COMPUTED_VALUE"""),1320.3)</f>
        <v>1320.3</v>
      </c>
      <c r="F35" s="6">
        <f>IFERROR(__xludf.DUMMYFUNCTION("""COMPUTED_VALUE"""),1.6032968E7)</f>
        <v>16032968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IFERROR(__xludf.DUMMYFUNCTION("""COMPUTED_VALUE"""),1322.5)</f>
        <v>1322.5</v>
      </c>
      <c r="C36" s="6">
        <f>IFERROR(__xludf.DUMMYFUNCTION("""COMPUTED_VALUE"""),1322.5)</f>
        <v>1322.5</v>
      </c>
      <c r="D36" s="6">
        <f>IFERROR(__xludf.DUMMYFUNCTION("""COMPUTED_VALUE"""),1240.0)</f>
        <v>1240</v>
      </c>
      <c r="E36" s="6">
        <f>IFERROR(__xludf.DUMMYFUNCTION("""COMPUTED_VALUE"""),1266.75)</f>
        <v>1266.75</v>
      </c>
      <c r="F36" s="6">
        <f>IFERROR(__xludf.DUMMYFUNCTION("""COMPUTED_VALUE"""),1.3716474E7)</f>
        <v>13716474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IFERROR(__xludf.DUMMYFUNCTION("""COMPUTED_VALUE"""),1344.0)</f>
        <v>1344</v>
      </c>
      <c r="C37" s="6">
        <f>IFERROR(__xludf.DUMMYFUNCTION("""COMPUTED_VALUE"""),1448.8)</f>
        <v>1448.8</v>
      </c>
      <c r="D37" s="6">
        <f>IFERROR(__xludf.DUMMYFUNCTION("""COMPUTED_VALUE"""),1333.0)</f>
        <v>1333</v>
      </c>
      <c r="E37" s="6">
        <f>IFERROR(__xludf.DUMMYFUNCTION("""COMPUTED_VALUE"""),1416.1)</f>
        <v>1416.1</v>
      </c>
      <c r="F37" s="6">
        <f>IFERROR(__xludf.DUMMYFUNCTION("""COMPUTED_VALUE"""),3.3000437E7)</f>
        <v>33000437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IFERROR(__xludf.DUMMYFUNCTION("""COMPUTED_VALUE"""),1445.0)</f>
        <v>1445</v>
      </c>
      <c r="C38" s="6">
        <f>IFERROR(__xludf.DUMMYFUNCTION("""COMPUTED_VALUE"""),1457.05)</f>
        <v>1457.05</v>
      </c>
      <c r="D38" s="6">
        <f>IFERROR(__xludf.DUMMYFUNCTION("""COMPUTED_VALUE"""),1373.65)</f>
        <v>1373.65</v>
      </c>
      <c r="E38" s="6">
        <f>IFERROR(__xludf.DUMMYFUNCTION("""COMPUTED_VALUE"""),1437.4)</f>
        <v>1437.4</v>
      </c>
      <c r="F38" s="6">
        <f>IFERROR(__xludf.DUMMYFUNCTION("""COMPUTED_VALUE"""),2.4519069E7)</f>
        <v>24519069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IFERROR(__xludf.DUMMYFUNCTION("""COMPUTED_VALUE"""),1549.0)</f>
        <v>1549</v>
      </c>
      <c r="C39" s="6">
        <f>IFERROR(__xludf.DUMMYFUNCTION("""COMPUTED_VALUE"""),1621.4)</f>
        <v>1621.4</v>
      </c>
      <c r="D39" s="6">
        <f>IFERROR(__xludf.DUMMYFUNCTION("""COMPUTED_VALUE"""),1160.6)</f>
        <v>1160.6</v>
      </c>
      <c r="E39" s="6">
        <f>IFERROR(__xludf.DUMMYFUNCTION("""COMPUTED_VALUE"""),1378.85)</f>
        <v>1378.85</v>
      </c>
      <c r="F39" s="6">
        <f>IFERROR(__xludf.DUMMYFUNCTION("""COMPUTED_VALUE"""),1.14425754E8)</f>
        <v>114425754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IFERROR(__xludf.DUMMYFUNCTION("""COMPUTED_VALUE"""),1404.0)</f>
        <v>1404</v>
      </c>
      <c r="C40" s="6">
        <f>IFERROR(__xludf.DUMMYFUNCTION("""COMPUTED_VALUE"""),1442.0)</f>
        <v>1442</v>
      </c>
      <c r="D40" s="6">
        <f>IFERROR(__xludf.DUMMYFUNCTION("""COMPUTED_VALUE"""),1381.25)</f>
        <v>1381.25</v>
      </c>
      <c r="E40" s="6">
        <f>IFERROR(__xludf.DUMMYFUNCTION("""COMPUTED_VALUE"""),1430.7)</f>
        <v>1430.7</v>
      </c>
      <c r="F40" s="6">
        <f>IFERROR(__xludf.DUMMYFUNCTION("""COMPUTED_VALUE"""),2.0715027E7)</f>
        <v>20715027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IFERROR(__xludf.DUMMYFUNCTION("""COMPUTED_VALUE"""),1447.0)</f>
        <v>1447</v>
      </c>
      <c r="C41" s="6">
        <f>IFERROR(__xludf.DUMMYFUNCTION("""COMPUTED_VALUE"""),1498.9)</f>
        <v>1498.9</v>
      </c>
      <c r="D41" s="6">
        <f>IFERROR(__xludf.DUMMYFUNCTION("""COMPUTED_VALUE"""),1420.45)</f>
        <v>1420.45</v>
      </c>
      <c r="E41" s="6">
        <f>IFERROR(__xludf.DUMMYFUNCTION("""COMPUTED_VALUE"""),1485.5)</f>
        <v>1485.5</v>
      </c>
      <c r="F41" s="6">
        <f>IFERROR(__xludf.DUMMYFUNCTION("""COMPUTED_VALUE"""),4.0934136E7)</f>
        <v>40934136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IFERROR(__xludf.DUMMYFUNCTION("""COMPUTED_VALUE"""),1474.85)</f>
        <v>1474.85</v>
      </c>
      <c r="C42" s="6">
        <f>IFERROR(__xludf.DUMMYFUNCTION("""COMPUTED_VALUE"""),1494.0)</f>
        <v>1494</v>
      </c>
      <c r="D42" s="6">
        <f>IFERROR(__xludf.DUMMYFUNCTION("""COMPUTED_VALUE"""),1437.0)</f>
        <v>1437</v>
      </c>
      <c r="E42" s="6">
        <f>IFERROR(__xludf.DUMMYFUNCTION("""COMPUTED_VALUE"""),1478.1)</f>
        <v>1478.1</v>
      </c>
      <c r="F42" s="6">
        <f>IFERROR(__xludf.DUMMYFUNCTION("""COMPUTED_VALUE"""),2.8909237E7)</f>
        <v>28909237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IFERROR(__xludf.DUMMYFUNCTION("""COMPUTED_VALUE"""),1483.0)</f>
        <v>1483</v>
      </c>
      <c r="C43" s="6">
        <f>IFERROR(__xludf.DUMMYFUNCTION("""COMPUTED_VALUE"""),1520.0)</f>
        <v>1520</v>
      </c>
      <c r="D43" s="6">
        <f>IFERROR(__xludf.DUMMYFUNCTION("""COMPUTED_VALUE"""),1455.05)</f>
        <v>1455.05</v>
      </c>
      <c r="E43" s="6">
        <f>IFERROR(__xludf.DUMMYFUNCTION("""COMPUTED_VALUE"""),1500.45)</f>
        <v>1500.45</v>
      </c>
      <c r="F43" s="6">
        <f>IFERROR(__xludf.DUMMYFUNCTION("""COMPUTED_VALUE"""),1.8269328E7)</f>
        <v>18269328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IFERROR(__xludf.DUMMYFUNCTION("""COMPUTED_VALUE"""),1496.0)</f>
        <v>1496</v>
      </c>
      <c r="C44" s="6">
        <f>IFERROR(__xludf.DUMMYFUNCTION("""COMPUTED_VALUE"""),1503.95)</f>
        <v>1503.95</v>
      </c>
      <c r="D44" s="6">
        <f>IFERROR(__xludf.DUMMYFUNCTION("""COMPUTED_VALUE"""),1460.0)</f>
        <v>1460</v>
      </c>
      <c r="E44" s="6">
        <f>IFERROR(__xludf.DUMMYFUNCTION("""COMPUTED_VALUE"""),1486.7)</f>
        <v>1486.7</v>
      </c>
      <c r="F44" s="6">
        <f>IFERROR(__xludf.DUMMYFUNCTION("""COMPUTED_VALUE"""),1.0300965E7)</f>
        <v>10300965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IFERROR(__xludf.DUMMYFUNCTION("""COMPUTED_VALUE"""),1494.0)</f>
        <v>1494</v>
      </c>
      <c r="C45" s="6">
        <f>IFERROR(__xludf.DUMMYFUNCTION("""COMPUTED_VALUE"""),1510.6)</f>
        <v>1510.6</v>
      </c>
      <c r="D45" s="6">
        <f>IFERROR(__xludf.DUMMYFUNCTION("""COMPUTED_VALUE"""),1465.5)</f>
        <v>1465.5</v>
      </c>
      <c r="E45" s="6">
        <f>IFERROR(__xludf.DUMMYFUNCTION("""COMPUTED_VALUE"""),1469.3)</f>
        <v>1469.3</v>
      </c>
      <c r="F45" s="6">
        <f>IFERROR(__xludf.DUMMYFUNCTION("""COMPUTED_VALUE"""),9915071.0)</f>
        <v>9915071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IFERROR(__xludf.DUMMYFUNCTION("""COMPUTED_VALUE"""),1470.0)</f>
        <v>1470</v>
      </c>
      <c r="C46" s="6">
        <f>IFERROR(__xludf.DUMMYFUNCTION("""COMPUTED_VALUE"""),1547.9)</f>
        <v>1547.9</v>
      </c>
      <c r="D46" s="6">
        <f>IFERROR(__xludf.DUMMYFUNCTION("""COMPUTED_VALUE"""),1419.0)</f>
        <v>1419</v>
      </c>
      <c r="E46" s="6">
        <f>IFERROR(__xludf.DUMMYFUNCTION("""COMPUTED_VALUE"""),1542.75)</f>
        <v>1542.75</v>
      </c>
      <c r="F46" s="6">
        <f>IFERROR(__xludf.DUMMYFUNCTION("""COMPUTED_VALUE"""),1.6622452E7)</f>
        <v>16622452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IFERROR(__xludf.DUMMYFUNCTION("""COMPUTED_VALUE"""),1547.9)</f>
        <v>1547.9</v>
      </c>
      <c r="C47" s="6">
        <f>IFERROR(__xludf.DUMMYFUNCTION("""COMPUTED_VALUE"""),1604.95)</f>
        <v>1604.95</v>
      </c>
      <c r="D47" s="6">
        <f>IFERROR(__xludf.DUMMYFUNCTION("""COMPUTED_VALUE"""),1536.0)</f>
        <v>1536</v>
      </c>
      <c r="E47" s="6">
        <f>IFERROR(__xludf.DUMMYFUNCTION("""COMPUTED_VALUE"""),1588.0)</f>
        <v>1588</v>
      </c>
      <c r="F47" s="6">
        <f>IFERROR(__xludf.DUMMYFUNCTION("""COMPUTED_VALUE"""),1.8825426E7)</f>
        <v>18825426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IFERROR(__xludf.DUMMYFUNCTION("""COMPUTED_VALUE"""),1540.0)</f>
        <v>1540</v>
      </c>
      <c r="C48" s="6">
        <f>IFERROR(__xludf.DUMMYFUNCTION("""COMPUTED_VALUE"""),1563.45)</f>
        <v>1563.45</v>
      </c>
      <c r="D48" s="6">
        <f>IFERROR(__xludf.DUMMYFUNCTION("""COMPUTED_VALUE"""),1471.55)</f>
        <v>1471.55</v>
      </c>
      <c r="E48" s="6">
        <f>IFERROR(__xludf.DUMMYFUNCTION("""COMPUTED_VALUE"""),1533.8)</f>
        <v>1533.8</v>
      </c>
      <c r="F48" s="6">
        <f>IFERROR(__xludf.DUMMYFUNCTION("""COMPUTED_VALUE"""),1.6536798E7)</f>
        <v>16536798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IFERROR(__xludf.DUMMYFUNCTION("""COMPUTED_VALUE"""),1500.0)</f>
        <v>1500</v>
      </c>
      <c r="C49" s="6">
        <f>IFERROR(__xludf.DUMMYFUNCTION("""COMPUTED_VALUE"""),1524.25)</f>
        <v>1524.25</v>
      </c>
      <c r="D49" s="6">
        <f>IFERROR(__xludf.DUMMYFUNCTION("""COMPUTED_VALUE"""),1452.0)</f>
        <v>1452</v>
      </c>
      <c r="E49" s="6">
        <f>IFERROR(__xludf.DUMMYFUNCTION("""COMPUTED_VALUE"""),1493.45)</f>
        <v>1493.45</v>
      </c>
      <c r="F49" s="6">
        <f>IFERROR(__xludf.DUMMYFUNCTION("""COMPUTED_VALUE"""),1.634933E7)</f>
        <v>16349330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IFERROR(__xludf.DUMMYFUNCTION("""COMPUTED_VALUE"""),1500.95)</f>
        <v>1500.95</v>
      </c>
      <c r="C50" s="6">
        <f>IFERROR(__xludf.DUMMYFUNCTION("""COMPUTED_VALUE"""),1517.0)</f>
        <v>1517</v>
      </c>
      <c r="D50" s="6">
        <f>IFERROR(__xludf.DUMMYFUNCTION("""COMPUTED_VALUE"""),1486.1)</f>
        <v>1486.1</v>
      </c>
      <c r="E50" s="6">
        <f>IFERROR(__xludf.DUMMYFUNCTION("""COMPUTED_VALUE"""),1491.3)</f>
        <v>1491.3</v>
      </c>
      <c r="F50" s="6">
        <f>IFERROR(__xludf.DUMMYFUNCTION("""COMPUTED_VALUE"""),6508605.0)</f>
        <v>6508605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IFERROR(__xludf.DUMMYFUNCTION("""COMPUTED_VALUE"""),1495.5)</f>
        <v>1495.5</v>
      </c>
      <c r="C51" s="6">
        <f>IFERROR(__xludf.DUMMYFUNCTION("""COMPUTED_VALUE"""),1497.0)</f>
        <v>1497</v>
      </c>
      <c r="D51" s="6">
        <f>IFERROR(__xludf.DUMMYFUNCTION("""COMPUTED_VALUE"""),1452.6)</f>
        <v>1452.6</v>
      </c>
      <c r="E51" s="6">
        <f>IFERROR(__xludf.DUMMYFUNCTION("""COMPUTED_VALUE"""),1481.9)</f>
        <v>1481.9</v>
      </c>
      <c r="F51" s="6">
        <f>IFERROR(__xludf.DUMMYFUNCTION("""COMPUTED_VALUE"""),8578664.0)</f>
        <v>8578664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IFERROR(__xludf.DUMMYFUNCTION("""COMPUTED_VALUE"""),1490.0)</f>
        <v>1490</v>
      </c>
      <c r="C52" s="6">
        <f>IFERROR(__xludf.DUMMYFUNCTION("""COMPUTED_VALUE"""),1499.5)</f>
        <v>1499.5</v>
      </c>
      <c r="D52" s="6">
        <f>IFERROR(__xludf.DUMMYFUNCTION("""COMPUTED_VALUE"""),1427.55)</f>
        <v>1427.55</v>
      </c>
      <c r="E52" s="6">
        <f>IFERROR(__xludf.DUMMYFUNCTION("""COMPUTED_VALUE"""),1442.4)</f>
        <v>1442.4</v>
      </c>
      <c r="F52" s="6">
        <f>IFERROR(__xludf.DUMMYFUNCTION("""COMPUTED_VALUE"""),8359516.0)</f>
        <v>8359516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IFERROR(__xludf.DUMMYFUNCTION("""COMPUTED_VALUE"""),1431.0)</f>
        <v>1431</v>
      </c>
      <c r="C53" s="6">
        <f>IFERROR(__xludf.DUMMYFUNCTION("""COMPUTED_VALUE"""),1475.65)</f>
        <v>1475.65</v>
      </c>
      <c r="D53" s="6">
        <f>IFERROR(__xludf.DUMMYFUNCTION("""COMPUTED_VALUE"""),1411.0)</f>
        <v>1411</v>
      </c>
      <c r="E53" s="6">
        <f>IFERROR(__xludf.DUMMYFUNCTION("""COMPUTED_VALUE"""),1452.1)</f>
        <v>1452.1</v>
      </c>
      <c r="F53" s="6">
        <f>IFERROR(__xludf.DUMMYFUNCTION("""COMPUTED_VALUE"""),1.0488983E7)</f>
        <v>10488983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IFERROR(__xludf.DUMMYFUNCTION("""COMPUTED_VALUE"""),1455.1)</f>
        <v>1455.1</v>
      </c>
      <c r="C54" s="6">
        <f>IFERROR(__xludf.DUMMYFUNCTION("""COMPUTED_VALUE"""),1461.15)</f>
        <v>1461.15</v>
      </c>
      <c r="D54" s="6">
        <f>IFERROR(__xludf.DUMMYFUNCTION("""COMPUTED_VALUE"""),1394.45)</f>
        <v>1394.45</v>
      </c>
      <c r="E54" s="6">
        <f>IFERROR(__xludf.DUMMYFUNCTION("""COMPUTED_VALUE"""),1438.7)</f>
        <v>1438.7</v>
      </c>
      <c r="F54" s="6">
        <f>IFERROR(__xludf.DUMMYFUNCTION("""COMPUTED_VALUE"""),1.089655E7)</f>
        <v>10896550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IFERROR(__xludf.DUMMYFUNCTION("""COMPUTED_VALUE"""),1448.0)</f>
        <v>1448</v>
      </c>
      <c r="C55" s="6">
        <f>IFERROR(__xludf.DUMMYFUNCTION("""COMPUTED_VALUE"""),1485.0)</f>
        <v>1485</v>
      </c>
      <c r="D55" s="6">
        <f>IFERROR(__xludf.DUMMYFUNCTION("""COMPUTED_VALUE"""),1438.2)</f>
        <v>1438.2</v>
      </c>
      <c r="E55" s="6">
        <f>IFERROR(__xludf.DUMMYFUNCTION("""COMPUTED_VALUE"""),1456.7)</f>
        <v>1456.7</v>
      </c>
      <c r="F55" s="6">
        <f>IFERROR(__xludf.DUMMYFUNCTION("""COMPUTED_VALUE"""),8666122.0)</f>
        <v>8666122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IFERROR(__xludf.DUMMYFUNCTION("""COMPUTED_VALUE"""),1456.7)</f>
        <v>1456.7</v>
      </c>
      <c r="C56" s="6">
        <f>IFERROR(__xludf.DUMMYFUNCTION("""COMPUTED_VALUE"""),1472.85)</f>
        <v>1472.85</v>
      </c>
      <c r="D56" s="6">
        <f>IFERROR(__xludf.DUMMYFUNCTION("""COMPUTED_VALUE"""),1404.2)</f>
        <v>1404.2</v>
      </c>
      <c r="E56" s="6">
        <f>IFERROR(__xludf.DUMMYFUNCTION("""COMPUTED_VALUE"""),1413.7)</f>
        <v>1413.7</v>
      </c>
      <c r="F56" s="6">
        <f>IFERROR(__xludf.DUMMYFUNCTION("""COMPUTED_VALUE"""),1.0309527E7)</f>
        <v>10309527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IFERROR(__xludf.DUMMYFUNCTION("""COMPUTED_VALUE"""),1410.0)</f>
        <v>1410</v>
      </c>
      <c r="C57" s="6">
        <f>IFERROR(__xludf.DUMMYFUNCTION("""COMPUTED_VALUE"""),1432.95)</f>
        <v>1432.95</v>
      </c>
      <c r="D57" s="6">
        <f>IFERROR(__xludf.DUMMYFUNCTION("""COMPUTED_VALUE"""),1337.0)</f>
        <v>1337</v>
      </c>
      <c r="E57" s="6">
        <f>IFERROR(__xludf.DUMMYFUNCTION("""COMPUTED_VALUE"""),1408.25)</f>
        <v>1408.25</v>
      </c>
      <c r="F57" s="6">
        <f>IFERROR(__xludf.DUMMYFUNCTION("""COMPUTED_VALUE"""),1.1857803E7)</f>
        <v>11857803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IFERROR(__xludf.DUMMYFUNCTION("""COMPUTED_VALUE"""),1418.0)</f>
        <v>1418</v>
      </c>
      <c r="C58" s="6">
        <f>IFERROR(__xludf.DUMMYFUNCTION("""COMPUTED_VALUE"""),1426.0)</f>
        <v>1426</v>
      </c>
      <c r="D58" s="6">
        <f>IFERROR(__xludf.DUMMYFUNCTION("""COMPUTED_VALUE"""),1376.0)</f>
        <v>1376</v>
      </c>
      <c r="E58" s="6">
        <f>IFERROR(__xludf.DUMMYFUNCTION("""COMPUTED_VALUE"""),1405.6)</f>
        <v>1405.6</v>
      </c>
      <c r="F58" s="6">
        <f>IFERROR(__xludf.DUMMYFUNCTION("""COMPUTED_VALUE"""),5940252.0)</f>
        <v>5940252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IFERROR(__xludf.DUMMYFUNCTION("""COMPUTED_VALUE"""),1409.9)</f>
        <v>1409.9</v>
      </c>
      <c r="C59" s="6">
        <f>IFERROR(__xludf.DUMMYFUNCTION("""COMPUTED_VALUE"""),1412.9)</f>
        <v>1412.9</v>
      </c>
      <c r="D59" s="6">
        <f>IFERROR(__xludf.DUMMYFUNCTION("""COMPUTED_VALUE"""),1304.15)</f>
        <v>1304.15</v>
      </c>
      <c r="E59" s="6">
        <f>IFERROR(__xludf.DUMMYFUNCTION("""COMPUTED_VALUE"""),1318.7)</f>
        <v>1318.7</v>
      </c>
      <c r="F59" s="6">
        <f>IFERROR(__xludf.DUMMYFUNCTION("""COMPUTED_VALUE"""),9222167.0)</f>
        <v>9222167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IFERROR(__xludf.DUMMYFUNCTION("""COMPUTED_VALUE"""),1394.2)</f>
        <v>1394.2</v>
      </c>
      <c r="C60" s="6">
        <f>IFERROR(__xludf.DUMMYFUNCTION("""COMPUTED_VALUE"""),1395.0)</f>
        <v>1395</v>
      </c>
      <c r="D60" s="6">
        <f>IFERROR(__xludf.DUMMYFUNCTION("""COMPUTED_VALUE"""),1295.9)</f>
        <v>1295.9</v>
      </c>
      <c r="E60" s="6">
        <f>IFERROR(__xludf.DUMMYFUNCTION("""COMPUTED_VALUE"""),1362.1)</f>
        <v>1362.1</v>
      </c>
      <c r="F60" s="6">
        <f>IFERROR(__xludf.DUMMYFUNCTION("""COMPUTED_VALUE"""),1.2892066E7)</f>
        <v>12892066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IFERROR(__xludf.DUMMYFUNCTION("""COMPUTED_VALUE"""),1355.1)</f>
        <v>1355.1</v>
      </c>
      <c r="C61" s="6">
        <f>IFERROR(__xludf.DUMMYFUNCTION("""COMPUTED_VALUE"""),1357.95)</f>
        <v>1357.95</v>
      </c>
      <c r="D61" s="6">
        <f>IFERROR(__xludf.DUMMYFUNCTION("""COMPUTED_VALUE"""),1260.65)</f>
        <v>1260.65</v>
      </c>
      <c r="E61" s="6">
        <f>IFERROR(__xludf.DUMMYFUNCTION("""COMPUTED_VALUE"""),1264.55)</f>
        <v>1264.55</v>
      </c>
      <c r="F61" s="6">
        <f>IFERROR(__xludf.DUMMYFUNCTION("""COMPUTED_VALUE"""),6707625.0)</f>
        <v>6707625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IFERROR(__xludf.DUMMYFUNCTION("""COMPUTED_VALUE"""),1264.0)</f>
        <v>1264</v>
      </c>
      <c r="C62" s="6">
        <f>IFERROR(__xludf.DUMMYFUNCTION("""COMPUTED_VALUE"""),1321.45)</f>
        <v>1321.45</v>
      </c>
      <c r="D62" s="6">
        <f>IFERROR(__xludf.DUMMYFUNCTION("""COMPUTED_VALUE"""),995.65)</f>
        <v>995.65</v>
      </c>
      <c r="E62" s="6">
        <f>IFERROR(__xludf.DUMMYFUNCTION("""COMPUTED_VALUE"""),1136.75)</f>
        <v>1136.75</v>
      </c>
      <c r="F62" s="6">
        <f>IFERROR(__xludf.DUMMYFUNCTION("""COMPUTED_VALUE"""),7.809027E7)</f>
        <v>78090270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IFERROR(__xludf.DUMMYFUNCTION("""COMPUTED_VALUE"""),1185.0)</f>
        <v>1185</v>
      </c>
      <c r="C63" s="6">
        <f>IFERROR(__xludf.DUMMYFUNCTION("""COMPUTED_VALUE"""),1231.7)</f>
        <v>1231.7</v>
      </c>
      <c r="D63" s="6">
        <f>IFERROR(__xludf.DUMMYFUNCTION("""COMPUTED_VALUE"""),1102.0)</f>
        <v>1102</v>
      </c>
      <c r="E63" s="6">
        <f>IFERROR(__xludf.DUMMYFUNCTION("""COMPUTED_VALUE"""),1190.05)</f>
        <v>1190.05</v>
      </c>
      <c r="F63" s="6">
        <f>IFERROR(__xludf.DUMMYFUNCTION("""COMPUTED_VALUE"""),6.5784773E7)</f>
        <v>65784773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IFERROR(__xludf.DUMMYFUNCTION("""COMPUTED_VALUE"""),1201.9)</f>
        <v>1201.9</v>
      </c>
      <c r="C64" s="6">
        <f>IFERROR(__xludf.DUMMYFUNCTION("""COMPUTED_VALUE"""),1309.5)</f>
        <v>1309.5</v>
      </c>
      <c r="D64" s="6">
        <f>IFERROR(__xludf.DUMMYFUNCTION("""COMPUTED_VALUE"""),1189.4)</f>
        <v>1189.4</v>
      </c>
      <c r="E64" s="6">
        <f>IFERROR(__xludf.DUMMYFUNCTION("""COMPUTED_VALUE"""),1259.05)</f>
        <v>1259.05</v>
      </c>
      <c r="F64" s="6">
        <f>IFERROR(__xludf.DUMMYFUNCTION("""COMPUTED_VALUE"""),3.5171556E7)</f>
        <v>35171556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IFERROR(__xludf.DUMMYFUNCTION("""COMPUTED_VALUE"""),1257.8)</f>
        <v>1257.8</v>
      </c>
      <c r="C65" s="6">
        <f>IFERROR(__xludf.DUMMYFUNCTION("""COMPUTED_VALUE"""),1277.55)</f>
        <v>1277.55</v>
      </c>
      <c r="D65" s="6">
        <f>IFERROR(__xludf.DUMMYFUNCTION("""COMPUTED_VALUE"""),1223.45)</f>
        <v>1223.45</v>
      </c>
      <c r="E65" s="6">
        <f>IFERROR(__xludf.DUMMYFUNCTION("""COMPUTED_VALUE"""),1259.95)</f>
        <v>1259.95</v>
      </c>
      <c r="F65" s="6">
        <f>IFERROR(__xludf.DUMMYFUNCTION("""COMPUTED_VALUE"""),1.6127492E7)</f>
        <v>16127492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IFERROR(__xludf.DUMMYFUNCTION("""COMPUTED_VALUE"""),1258.0)</f>
        <v>1258</v>
      </c>
      <c r="C66" s="6">
        <f>IFERROR(__xludf.DUMMYFUNCTION("""COMPUTED_VALUE"""),1261.85)</f>
        <v>1261.85</v>
      </c>
      <c r="D66" s="6">
        <f>IFERROR(__xludf.DUMMYFUNCTION("""COMPUTED_VALUE"""),1176.2)</f>
        <v>1176.2</v>
      </c>
      <c r="E66" s="6">
        <f>IFERROR(__xludf.DUMMYFUNCTION("""COMPUTED_VALUE"""),1182.45)</f>
        <v>1182.45</v>
      </c>
      <c r="F66" s="6">
        <f>IFERROR(__xludf.DUMMYFUNCTION("""COMPUTED_VALUE"""),1.0540676E7)</f>
        <v>10540676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IFERROR(__xludf.DUMMYFUNCTION("""COMPUTED_VALUE"""),1189.95)</f>
        <v>1189.95</v>
      </c>
      <c r="C67" s="6">
        <f>IFERROR(__xludf.DUMMYFUNCTION("""COMPUTED_VALUE"""),1250.95)</f>
        <v>1250.95</v>
      </c>
      <c r="D67" s="6">
        <f>IFERROR(__xludf.DUMMYFUNCTION("""COMPUTED_VALUE"""),1174.25)</f>
        <v>1174.25</v>
      </c>
      <c r="E67" s="6">
        <f>IFERROR(__xludf.DUMMYFUNCTION("""COMPUTED_VALUE"""),1230.7)</f>
        <v>1230.7</v>
      </c>
      <c r="F67" s="6">
        <f>IFERROR(__xludf.DUMMYFUNCTION("""COMPUTED_VALUE"""),9343763.0)</f>
        <v>9343763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IFERROR(__xludf.DUMMYFUNCTION("""COMPUTED_VALUE"""),1233.75)</f>
        <v>1233.75</v>
      </c>
      <c r="C68" s="6">
        <f>IFERROR(__xludf.DUMMYFUNCTION("""COMPUTED_VALUE"""),1258.8)</f>
        <v>1258.8</v>
      </c>
      <c r="D68" s="6">
        <f>IFERROR(__xludf.DUMMYFUNCTION("""COMPUTED_VALUE"""),1197.0)</f>
        <v>1197</v>
      </c>
      <c r="E68" s="6">
        <f>IFERROR(__xludf.DUMMYFUNCTION("""COMPUTED_VALUE"""),1199.55)</f>
        <v>1199.55</v>
      </c>
      <c r="F68" s="6">
        <f>IFERROR(__xludf.DUMMYFUNCTION("""COMPUTED_VALUE"""),1.8780541E7)</f>
        <v>18780541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IFERROR(__xludf.DUMMYFUNCTION("""COMPUTED_VALUE"""),1199.55)</f>
        <v>1199.55</v>
      </c>
      <c r="C69" s="6">
        <f>IFERROR(__xludf.DUMMYFUNCTION("""COMPUTED_VALUE"""),1200.9)</f>
        <v>1200.9</v>
      </c>
      <c r="D69" s="6">
        <f>IFERROR(__xludf.DUMMYFUNCTION("""COMPUTED_VALUE"""),1106.3)</f>
        <v>1106.3</v>
      </c>
      <c r="E69" s="6">
        <f>IFERROR(__xludf.DUMMYFUNCTION("""COMPUTED_VALUE"""),1112.2)</f>
        <v>1112.2</v>
      </c>
      <c r="F69" s="6">
        <f>IFERROR(__xludf.DUMMYFUNCTION("""COMPUTED_VALUE"""),1.0997393E7)</f>
        <v>10997393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IFERROR(__xludf.DUMMYFUNCTION("""COMPUTED_VALUE"""),1100.9)</f>
        <v>1100.9</v>
      </c>
      <c r="C70" s="6">
        <f>IFERROR(__xludf.DUMMYFUNCTION("""COMPUTED_VALUE"""),1190.0)</f>
        <v>1190</v>
      </c>
      <c r="D70" s="6">
        <f>IFERROR(__xludf.DUMMYFUNCTION("""COMPUTED_VALUE"""),1058.95)</f>
        <v>1058.95</v>
      </c>
      <c r="E70" s="6">
        <f>IFERROR(__xludf.DUMMYFUNCTION("""COMPUTED_VALUE"""),1163.5)</f>
        <v>1163.5</v>
      </c>
      <c r="F70" s="6">
        <f>IFERROR(__xludf.DUMMYFUNCTION("""COMPUTED_VALUE"""),1.8149E7)</f>
        <v>18149000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IFERROR(__xludf.DUMMYFUNCTION("""COMPUTED_VALUE"""),1172.0)</f>
        <v>1172</v>
      </c>
      <c r="C71" s="6">
        <f>IFERROR(__xludf.DUMMYFUNCTION("""COMPUTED_VALUE"""),1172.0)</f>
        <v>1172</v>
      </c>
      <c r="D71" s="6">
        <f>IFERROR(__xludf.DUMMYFUNCTION("""COMPUTED_VALUE"""),1080.45)</f>
        <v>1080.45</v>
      </c>
      <c r="E71" s="6">
        <f>IFERROR(__xludf.DUMMYFUNCTION("""COMPUTED_VALUE"""),1094.15)</f>
        <v>1094.15</v>
      </c>
      <c r="F71" s="6">
        <f>IFERROR(__xludf.DUMMYFUNCTION("""COMPUTED_VALUE"""),1.072111E7)</f>
        <v>10721110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IFERROR(__xludf.DUMMYFUNCTION("""COMPUTED_VALUE"""),1084.0)</f>
        <v>1084</v>
      </c>
      <c r="C72" s="6">
        <f>IFERROR(__xludf.DUMMYFUNCTION("""COMPUTED_VALUE"""),1175.65)</f>
        <v>1175.65</v>
      </c>
      <c r="D72" s="6">
        <f>IFERROR(__xludf.DUMMYFUNCTION("""COMPUTED_VALUE"""),1055.0)</f>
        <v>1055</v>
      </c>
      <c r="E72" s="6">
        <f>IFERROR(__xludf.DUMMYFUNCTION("""COMPUTED_VALUE"""),1146.1)</f>
        <v>1146.1</v>
      </c>
      <c r="F72" s="6">
        <f>IFERROR(__xludf.DUMMYFUNCTION("""COMPUTED_VALUE"""),2.1354765E7)</f>
        <v>21354765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IFERROR(__xludf.DUMMYFUNCTION("""COMPUTED_VALUE"""),1150.0)</f>
        <v>1150</v>
      </c>
      <c r="C73" s="6">
        <f>IFERROR(__xludf.DUMMYFUNCTION("""COMPUTED_VALUE"""),1160.0)</f>
        <v>1160</v>
      </c>
      <c r="D73" s="6">
        <f>IFERROR(__xludf.DUMMYFUNCTION("""COMPUTED_VALUE"""),1042.15)</f>
        <v>1042.15</v>
      </c>
      <c r="E73" s="6">
        <f>IFERROR(__xludf.DUMMYFUNCTION("""COMPUTED_VALUE"""),1062.7)</f>
        <v>1062.7</v>
      </c>
      <c r="F73" s="6">
        <f>IFERROR(__xludf.DUMMYFUNCTION("""COMPUTED_VALUE"""),1.850858E7)</f>
        <v>18508580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IFERROR(__xludf.DUMMYFUNCTION("""COMPUTED_VALUE"""),1058.95)</f>
        <v>1058.95</v>
      </c>
      <c r="C74" s="6">
        <f>IFERROR(__xludf.DUMMYFUNCTION("""COMPUTED_VALUE"""),1126.0)</f>
        <v>1126</v>
      </c>
      <c r="D74" s="6">
        <f>IFERROR(__xludf.DUMMYFUNCTION("""COMPUTED_VALUE"""),1040.0)</f>
        <v>1040</v>
      </c>
      <c r="E74" s="6">
        <f>IFERROR(__xludf.DUMMYFUNCTION("""COMPUTED_VALUE"""),1083.25)</f>
        <v>1083.25</v>
      </c>
      <c r="F74" s="6">
        <f>IFERROR(__xludf.DUMMYFUNCTION("""COMPUTED_VALUE"""),1.2100453E7)</f>
        <v>12100453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IFERROR(__xludf.DUMMYFUNCTION("""COMPUTED_VALUE"""),1083.25)</f>
        <v>1083.25</v>
      </c>
      <c r="C75" s="6">
        <f>IFERROR(__xludf.DUMMYFUNCTION("""COMPUTED_VALUE"""),1091.4)</f>
        <v>1091.4</v>
      </c>
      <c r="D75" s="6">
        <f>IFERROR(__xludf.DUMMYFUNCTION("""COMPUTED_VALUE"""),1059.2)</f>
        <v>1059.2</v>
      </c>
      <c r="E75" s="6">
        <f>IFERROR(__xludf.DUMMYFUNCTION("""COMPUTED_VALUE"""),1069.4)</f>
        <v>1069.4</v>
      </c>
      <c r="F75" s="6">
        <f>IFERROR(__xludf.DUMMYFUNCTION("""COMPUTED_VALUE"""),8003320.0)</f>
        <v>8003320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IFERROR(__xludf.DUMMYFUNCTION("""COMPUTED_VALUE"""),1074.95)</f>
        <v>1074.95</v>
      </c>
      <c r="C76" s="6">
        <f>IFERROR(__xludf.DUMMYFUNCTION("""COMPUTED_VALUE"""),1156.95)</f>
        <v>1156.95</v>
      </c>
      <c r="D76" s="6">
        <f>IFERROR(__xludf.DUMMYFUNCTION("""COMPUTED_VALUE"""),1036.5)</f>
        <v>1036.5</v>
      </c>
      <c r="E76" s="6">
        <f>IFERROR(__xludf.DUMMYFUNCTION("""COMPUTED_VALUE"""),1144.5)</f>
        <v>1144.5</v>
      </c>
      <c r="F76" s="6">
        <f>IFERROR(__xludf.DUMMYFUNCTION("""COMPUTED_VALUE"""),1.4081164E7)</f>
        <v>14081164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IFERROR(__xludf.DUMMYFUNCTION("""COMPUTED_VALUE"""),1146.0)</f>
        <v>1146</v>
      </c>
      <c r="C77" s="6">
        <f>IFERROR(__xludf.DUMMYFUNCTION("""COMPUTED_VALUE"""),1168.65)</f>
        <v>1168.65</v>
      </c>
      <c r="D77" s="6">
        <f>IFERROR(__xludf.DUMMYFUNCTION("""COMPUTED_VALUE"""),1105.0)</f>
        <v>1105</v>
      </c>
      <c r="E77" s="6">
        <f>IFERROR(__xludf.DUMMYFUNCTION("""COMPUTED_VALUE"""),1119.2)</f>
        <v>1119.2</v>
      </c>
      <c r="F77" s="6">
        <f>IFERROR(__xludf.DUMMYFUNCTION("""COMPUTED_VALUE"""),9031855.0)</f>
        <v>9031855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IFERROR(__xludf.DUMMYFUNCTION("""COMPUTED_VALUE"""),1114.8)</f>
        <v>1114.8</v>
      </c>
      <c r="C78" s="6">
        <f>IFERROR(__xludf.DUMMYFUNCTION("""COMPUTED_VALUE"""),1202.55)</f>
        <v>1202.55</v>
      </c>
      <c r="D78" s="6">
        <f>IFERROR(__xludf.DUMMYFUNCTION("""COMPUTED_VALUE"""),1111.2)</f>
        <v>1111.2</v>
      </c>
      <c r="E78" s="6">
        <f>IFERROR(__xludf.DUMMYFUNCTION("""COMPUTED_VALUE"""),1188.8)</f>
        <v>1188.8</v>
      </c>
      <c r="F78" s="6">
        <f>IFERROR(__xludf.DUMMYFUNCTION("""COMPUTED_VALUE"""),1.0817821E7)</f>
        <v>10817821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IFERROR(__xludf.DUMMYFUNCTION("""COMPUTED_VALUE"""),1196.0)</f>
        <v>1196</v>
      </c>
      <c r="C79" s="6">
        <f>IFERROR(__xludf.DUMMYFUNCTION("""COMPUTED_VALUE"""),1212.0)</f>
        <v>1212</v>
      </c>
      <c r="D79" s="6">
        <f>IFERROR(__xludf.DUMMYFUNCTION("""COMPUTED_VALUE"""),1173.05)</f>
        <v>1173.05</v>
      </c>
      <c r="E79" s="6">
        <f>IFERROR(__xludf.DUMMYFUNCTION("""COMPUTED_VALUE"""),1182.95)</f>
        <v>1182.95</v>
      </c>
      <c r="F79" s="6">
        <f>IFERROR(__xludf.DUMMYFUNCTION("""COMPUTED_VALUE"""),9576259.0)</f>
        <v>9576259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IFERROR(__xludf.DUMMYFUNCTION("""COMPUTED_VALUE"""),1179.0)</f>
        <v>1179</v>
      </c>
      <c r="C80" s="6">
        <f>IFERROR(__xludf.DUMMYFUNCTION("""COMPUTED_VALUE"""),1205.8)</f>
        <v>1205.8</v>
      </c>
      <c r="D80" s="6">
        <f>IFERROR(__xludf.DUMMYFUNCTION("""COMPUTED_VALUE"""),1143.0)</f>
        <v>1143</v>
      </c>
      <c r="E80" s="6">
        <f>IFERROR(__xludf.DUMMYFUNCTION("""COMPUTED_VALUE"""),1148.35)</f>
        <v>1148.35</v>
      </c>
      <c r="F80" s="6">
        <f>IFERROR(__xludf.DUMMYFUNCTION("""COMPUTED_VALUE"""),5902998.0)</f>
        <v>5902998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IFERROR(__xludf.DUMMYFUNCTION("""COMPUTED_VALUE"""),1049.95)</f>
        <v>1049.95</v>
      </c>
      <c r="C81" s="6">
        <f>IFERROR(__xludf.DUMMYFUNCTION("""COMPUTED_VALUE"""),1170.3)</f>
        <v>1170.3</v>
      </c>
      <c r="D81" s="6">
        <f>IFERROR(__xludf.DUMMYFUNCTION("""COMPUTED_VALUE"""),1041.5)</f>
        <v>1041.5</v>
      </c>
      <c r="E81" s="6">
        <f>IFERROR(__xludf.DUMMYFUNCTION("""COMPUTED_VALUE"""),1164.55)</f>
        <v>1164.55</v>
      </c>
      <c r="F81" s="6">
        <f>IFERROR(__xludf.DUMMYFUNCTION("""COMPUTED_VALUE"""),9689857.0)</f>
        <v>9689857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IFERROR(__xludf.DUMMYFUNCTION("""COMPUTED_VALUE"""),1200.0)</f>
        <v>1200</v>
      </c>
      <c r="C82" s="6">
        <f>IFERROR(__xludf.DUMMYFUNCTION("""COMPUTED_VALUE"""),1282.5)</f>
        <v>1282.5</v>
      </c>
      <c r="D82" s="6">
        <f>IFERROR(__xludf.DUMMYFUNCTION("""COMPUTED_VALUE"""),1179.0)</f>
        <v>1179</v>
      </c>
      <c r="E82" s="6">
        <f>IFERROR(__xludf.DUMMYFUNCTION("""COMPUTED_VALUE"""),1259.4)</f>
        <v>1259.4</v>
      </c>
      <c r="F82" s="6">
        <f>IFERROR(__xludf.DUMMYFUNCTION("""COMPUTED_VALUE"""),9367018.0)</f>
        <v>9367018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IFERROR(__xludf.DUMMYFUNCTION("""COMPUTED_VALUE"""),1259.4)</f>
        <v>1259.4</v>
      </c>
      <c r="C83" s="6">
        <f>IFERROR(__xludf.DUMMYFUNCTION("""COMPUTED_VALUE"""),1260.0)</f>
        <v>1260</v>
      </c>
      <c r="D83" s="6">
        <f>IFERROR(__xludf.DUMMYFUNCTION("""COMPUTED_VALUE"""),1181.2)</f>
        <v>1181.2</v>
      </c>
      <c r="E83" s="6">
        <f>IFERROR(__xludf.DUMMYFUNCTION("""COMPUTED_VALUE"""),1193.0)</f>
        <v>1193</v>
      </c>
      <c r="F83" s="6">
        <f>IFERROR(__xludf.DUMMYFUNCTION("""COMPUTED_VALUE"""),1.7324857E7)</f>
        <v>17324857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IFERROR(__xludf.DUMMYFUNCTION("""COMPUTED_VALUE"""),1188.1)</f>
        <v>1188.1</v>
      </c>
      <c r="C84" s="6">
        <f>IFERROR(__xludf.DUMMYFUNCTION("""COMPUTED_VALUE"""),1295.0)</f>
        <v>1295</v>
      </c>
      <c r="D84" s="6">
        <f>IFERROR(__xludf.DUMMYFUNCTION("""COMPUTED_VALUE"""),1184.1)</f>
        <v>1184.1</v>
      </c>
      <c r="E84" s="6">
        <f>IFERROR(__xludf.DUMMYFUNCTION("""COMPUTED_VALUE"""),1267.1)</f>
        <v>1267.1</v>
      </c>
      <c r="F84" s="6">
        <f>IFERROR(__xludf.DUMMYFUNCTION("""COMPUTED_VALUE"""),1.7547241E7)</f>
        <v>17547241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IFERROR(__xludf.DUMMYFUNCTION("""COMPUTED_VALUE"""),1290.0)</f>
        <v>1290</v>
      </c>
      <c r="C85" s="6">
        <f>IFERROR(__xludf.DUMMYFUNCTION("""COMPUTED_VALUE"""),1377.0)</f>
        <v>1377</v>
      </c>
      <c r="D85" s="6">
        <f>IFERROR(__xludf.DUMMYFUNCTION("""COMPUTED_VALUE"""),1285.7)</f>
        <v>1285.7</v>
      </c>
      <c r="E85" s="6">
        <f>IFERROR(__xludf.DUMMYFUNCTION("""COMPUTED_VALUE"""),1306.3)</f>
        <v>1306.3</v>
      </c>
      <c r="F85" s="6">
        <f>IFERROR(__xludf.DUMMYFUNCTION("""COMPUTED_VALUE"""),2.9122948E7)</f>
        <v>29122948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IFERROR(__xludf.DUMMYFUNCTION("""COMPUTED_VALUE"""),1360.0)</f>
        <v>1360</v>
      </c>
      <c r="C86" s="6">
        <f>IFERROR(__xludf.DUMMYFUNCTION("""COMPUTED_VALUE"""),1424.9)</f>
        <v>1424.9</v>
      </c>
      <c r="D86" s="6">
        <f>IFERROR(__xludf.DUMMYFUNCTION("""COMPUTED_VALUE"""),1345.5)</f>
        <v>1345.5</v>
      </c>
      <c r="E86" s="6">
        <f>IFERROR(__xludf.DUMMYFUNCTION("""COMPUTED_VALUE"""),1407.4)</f>
        <v>1407.4</v>
      </c>
      <c r="F86" s="6">
        <f>IFERROR(__xludf.DUMMYFUNCTION("""COMPUTED_VALUE"""),1.5060306E7)</f>
        <v>15060306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IFERROR(__xludf.DUMMYFUNCTION("""COMPUTED_VALUE"""),1407.5)</f>
        <v>1407.5</v>
      </c>
      <c r="C87" s="6">
        <f>IFERROR(__xludf.DUMMYFUNCTION("""COMPUTED_VALUE"""),1410.6)</f>
        <v>1410.6</v>
      </c>
      <c r="D87" s="6">
        <f>IFERROR(__xludf.DUMMYFUNCTION("""COMPUTED_VALUE"""),1358.6)</f>
        <v>1358.6</v>
      </c>
      <c r="E87" s="6">
        <f>IFERROR(__xludf.DUMMYFUNCTION("""COMPUTED_VALUE"""),1395.4)</f>
        <v>1395.4</v>
      </c>
      <c r="F87" s="6">
        <f>IFERROR(__xludf.DUMMYFUNCTION("""COMPUTED_VALUE"""),1.1183143E7)</f>
        <v>11183143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IFERROR(__xludf.DUMMYFUNCTION("""COMPUTED_VALUE"""),1395.8)</f>
        <v>1395.8</v>
      </c>
      <c r="C88" s="6">
        <f>IFERROR(__xludf.DUMMYFUNCTION("""COMPUTED_VALUE"""),1457.5)</f>
        <v>1457.5</v>
      </c>
      <c r="D88" s="6">
        <f>IFERROR(__xludf.DUMMYFUNCTION("""COMPUTED_VALUE"""),1385.4)</f>
        <v>1385.4</v>
      </c>
      <c r="E88" s="6">
        <f>IFERROR(__xludf.DUMMYFUNCTION("""COMPUTED_VALUE"""),1432.8)</f>
        <v>1432.8</v>
      </c>
      <c r="F88" s="6">
        <f>IFERROR(__xludf.DUMMYFUNCTION("""COMPUTED_VALUE"""),9869483.0)</f>
        <v>9869483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IFERROR(__xludf.DUMMYFUNCTION("""COMPUTED_VALUE"""),1432.8)</f>
        <v>1432.8</v>
      </c>
      <c r="C89" s="6">
        <f>IFERROR(__xludf.DUMMYFUNCTION("""COMPUTED_VALUE"""),1482.0)</f>
        <v>1482</v>
      </c>
      <c r="D89" s="6">
        <f>IFERROR(__xludf.DUMMYFUNCTION("""COMPUTED_VALUE"""),1423.1)</f>
        <v>1423.1</v>
      </c>
      <c r="E89" s="6">
        <f>IFERROR(__xludf.DUMMYFUNCTION("""COMPUTED_VALUE"""),1471.7)</f>
        <v>1471.7</v>
      </c>
      <c r="F89" s="6">
        <f>IFERROR(__xludf.DUMMYFUNCTION("""COMPUTED_VALUE"""),1.1578676E7)</f>
        <v>11578676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IFERROR(__xludf.DUMMYFUNCTION("""COMPUTED_VALUE"""),1482.0)</f>
        <v>1482</v>
      </c>
      <c r="C90" s="6">
        <f>IFERROR(__xludf.DUMMYFUNCTION("""COMPUTED_VALUE"""),1494.0)</f>
        <v>1494</v>
      </c>
      <c r="D90" s="6">
        <f>IFERROR(__xludf.DUMMYFUNCTION("""COMPUTED_VALUE"""),1397.1)</f>
        <v>1397.1</v>
      </c>
      <c r="E90" s="6">
        <f>IFERROR(__xludf.DUMMYFUNCTION("""COMPUTED_VALUE"""),1405.0)</f>
        <v>1405</v>
      </c>
      <c r="F90" s="6">
        <f>IFERROR(__xludf.DUMMYFUNCTION("""COMPUTED_VALUE"""),1.1384193E7)</f>
        <v>11384193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IFERROR(__xludf.DUMMYFUNCTION("""COMPUTED_VALUE"""),1389.0)</f>
        <v>1389</v>
      </c>
      <c r="C91" s="6">
        <f>IFERROR(__xludf.DUMMYFUNCTION("""COMPUTED_VALUE"""),1414.8)</f>
        <v>1414.8</v>
      </c>
      <c r="D91" s="6">
        <f>IFERROR(__xludf.DUMMYFUNCTION("""COMPUTED_VALUE"""),1331.6)</f>
        <v>1331.6</v>
      </c>
      <c r="E91" s="6">
        <f>IFERROR(__xludf.DUMMYFUNCTION("""COMPUTED_VALUE"""),1349.3)</f>
        <v>1349.3</v>
      </c>
      <c r="F91" s="6">
        <f>IFERROR(__xludf.DUMMYFUNCTION("""COMPUTED_VALUE"""),1.361888E7)</f>
        <v>13618880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IFERROR(__xludf.DUMMYFUNCTION("""COMPUTED_VALUE"""),1341.0)</f>
        <v>1341</v>
      </c>
      <c r="C92" s="6">
        <f>IFERROR(__xludf.DUMMYFUNCTION("""COMPUTED_VALUE"""),1456.8)</f>
        <v>1456.8</v>
      </c>
      <c r="D92" s="6">
        <f>IFERROR(__xludf.DUMMYFUNCTION("""COMPUTED_VALUE"""),1335.7)</f>
        <v>1335.7</v>
      </c>
      <c r="E92" s="6">
        <f>IFERROR(__xludf.DUMMYFUNCTION("""COMPUTED_VALUE"""),1440.2)</f>
        <v>1440.2</v>
      </c>
      <c r="F92" s="6">
        <f>IFERROR(__xludf.DUMMYFUNCTION("""COMPUTED_VALUE"""),1.9238516E7)</f>
        <v>19238516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IFERROR(__xludf.DUMMYFUNCTION("""COMPUTED_VALUE"""),1440.8)</f>
        <v>1440.8</v>
      </c>
      <c r="C93" s="6">
        <f>IFERROR(__xludf.DUMMYFUNCTION("""COMPUTED_VALUE"""),1459.8)</f>
        <v>1459.8</v>
      </c>
      <c r="D93" s="6">
        <f>IFERROR(__xludf.DUMMYFUNCTION("""COMPUTED_VALUE"""),1416.6)</f>
        <v>1416.6</v>
      </c>
      <c r="E93" s="6">
        <f>IFERROR(__xludf.DUMMYFUNCTION("""COMPUTED_VALUE"""),1424.4)</f>
        <v>1424.4</v>
      </c>
      <c r="F93" s="6">
        <f>IFERROR(__xludf.DUMMYFUNCTION("""COMPUTED_VALUE"""),6527001.0)</f>
        <v>6527001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IFERROR(__xludf.DUMMYFUNCTION("""COMPUTED_VALUE"""),1424.4)</f>
        <v>1424.4</v>
      </c>
      <c r="C94" s="6">
        <f>IFERROR(__xludf.DUMMYFUNCTION("""COMPUTED_VALUE"""),1455.8)</f>
        <v>1455.8</v>
      </c>
      <c r="D94" s="6">
        <f>IFERROR(__xludf.DUMMYFUNCTION("""COMPUTED_VALUE"""),1417.0)</f>
        <v>1417</v>
      </c>
      <c r="E94" s="6">
        <f>IFERROR(__xludf.DUMMYFUNCTION("""COMPUTED_VALUE"""),1431.7)</f>
        <v>1431.7</v>
      </c>
      <c r="F94" s="6">
        <f>IFERROR(__xludf.DUMMYFUNCTION("""COMPUTED_VALUE"""),4453464.0)</f>
        <v>4453464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IFERROR(__xludf.DUMMYFUNCTION("""COMPUTED_VALUE"""),1432.0)</f>
        <v>1432</v>
      </c>
      <c r="C95" s="6">
        <f>IFERROR(__xludf.DUMMYFUNCTION("""COMPUTED_VALUE"""),1474.0)</f>
        <v>1474</v>
      </c>
      <c r="D95" s="6">
        <f>IFERROR(__xludf.DUMMYFUNCTION("""COMPUTED_VALUE"""),1426.1)</f>
        <v>1426.1</v>
      </c>
      <c r="E95" s="6">
        <f>IFERROR(__xludf.DUMMYFUNCTION("""COMPUTED_VALUE"""),1443.1)</f>
        <v>1443.1</v>
      </c>
      <c r="F95" s="6">
        <f>IFERROR(__xludf.DUMMYFUNCTION("""COMPUTED_VALUE"""),6258592.0)</f>
        <v>6258592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IFERROR(__xludf.DUMMYFUNCTION("""COMPUTED_VALUE"""),1442.1)</f>
        <v>1442.1</v>
      </c>
      <c r="C96" s="6">
        <f>IFERROR(__xludf.DUMMYFUNCTION("""COMPUTED_VALUE"""),1454.5)</f>
        <v>1454.5</v>
      </c>
      <c r="D96" s="6">
        <f>IFERROR(__xludf.DUMMYFUNCTION("""COMPUTED_VALUE"""),1390.0)</f>
        <v>1390</v>
      </c>
      <c r="E96" s="6">
        <f>IFERROR(__xludf.DUMMYFUNCTION("""COMPUTED_VALUE"""),1396.3)</f>
        <v>1396.3</v>
      </c>
      <c r="F96" s="6">
        <f>IFERROR(__xludf.DUMMYFUNCTION("""COMPUTED_VALUE"""),3875685.0)</f>
        <v>3875685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IFERROR(__xludf.DUMMYFUNCTION("""COMPUTED_VALUE"""),1396.3)</f>
        <v>1396.3</v>
      </c>
      <c r="C97" s="6">
        <f>IFERROR(__xludf.DUMMYFUNCTION("""COMPUTED_VALUE"""),1404.1)</f>
        <v>1404.1</v>
      </c>
      <c r="D97" s="6">
        <f>IFERROR(__xludf.DUMMYFUNCTION("""COMPUTED_VALUE"""),1342.8)</f>
        <v>1342.8</v>
      </c>
      <c r="E97" s="6">
        <f>IFERROR(__xludf.DUMMYFUNCTION("""COMPUTED_VALUE"""),1347.1)</f>
        <v>1347.1</v>
      </c>
      <c r="F97" s="6">
        <f>IFERROR(__xludf.DUMMYFUNCTION("""COMPUTED_VALUE"""),4852929.0)</f>
        <v>4852929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IFERROR(__xludf.DUMMYFUNCTION("""COMPUTED_VALUE"""),1349.8)</f>
        <v>1349.8</v>
      </c>
      <c r="C98" s="6">
        <f>IFERROR(__xludf.DUMMYFUNCTION("""COMPUTED_VALUE"""),1397.0)</f>
        <v>1397</v>
      </c>
      <c r="D98" s="6">
        <f>IFERROR(__xludf.DUMMYFUNCTION("""COMPUTED_VALUE"""),1315.0)</f>
        <v>1315</v>
      </c>
      <c r="E98" s="6">
        <f>IFERROR(__xludf.DUMMYFUNCTION("""COMPUTED_VALUE"""),1325.0)</f>
        <v>1325</v>
      </c>
      <c r="F98" s="6">
        <f>IFERROR(__xludf.DUMMYFUNCTION("""COMPUTED_VALUE"""),1.108015E7)</f>
        <v>11080150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IFERROR(__xludf.DUMMYFUNCTION("""COMPUTED_VALUE"""),1325.0)</f>
        <v>1325</v>
      </c>
      <c r="C99" s="6">
        <f>IFERROR(__xludf.DUMMYFUNCTION("""COMPUTED_VALUE"""),1349.6)</f>
        <v>1349.6</v>
      </c>
      <c r="D99" s="6">
        <f>IFERROR(__xludf.DUMMYFUNCTION("""COMPUTED_VALUE"""),1290.5)</f>
        <v>1290.5</v>
      </c>
      <c r="E99" s="6">
        <f>IFERROR(__xludf.DUMMYFUNCTION("""COMPUTED_VALUE"""),1300.3)</f>
        <v>1300.3</v>
      </c>
      <c r="F99" s="6">
        <f>IFERROR(__xludf.DUMMYFUNCTION("""COMPUTED_VALUE"""),6817600.0)</f>
        <v>6817600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IFERROR(__xludf.DUMMYFUNCTION("""COMPUTED_VALUE"""),1321.9)</f>
        <v>1321.9</v>
      </c>
      <c r="C100" s="6">
        <f>IFERROR(__xludf.DUMMYFUNCTION("""COMPUTED_VALUE"""),1377.8)</f>
        <v>1377.8</v>
      </c>
      <c r="D100" s="6">
        <f>IFERROR(__xludf.DUMMYFUNCTION("""COMPUTED_VALUE"""),1295.0)</f>
        <v>1295</v>
      </c>
      <c r="E100" s="6">
        <f>IFERROR(__xludf.DUMMYFUNCTION("""COMPUTED_VALUE"""),1341.2)</f>
        <v>1341.2</v>
      </c>
      <c r="F100" s="6">
        <f>IFERROR(__xludf.DUMMYFUNCTION("""COMPUTED_VALUE"""),1.7407857E7)</f>
        <v>17407857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IFERROR(__xludf.DUMMYFUNCTION("""COMPUTED_VALUE"""),1341.3)</f>
        <v>1341.3</v>
      </c>
      <c r="C101" s="6">
        <f>IFERROR(__xludf.DUMMYFUNCTION("""COMPUTED_VALUE"""),1348.9)</f>
        <v>1348.9</v>
      </c>
      <c r="D101" s="6">
        <f>IFERROR(__xludf.DUMMYFUNCTION("""COMPUTED_VALUE"""),1310.0)</f>
        <v>1310</v>
      </c>
      <c r="E101" s="6">
        <f>IFERROR(__xludf.DUMMYFUNCTION("""COMPUTED_VALUE"""),1315.4)</f>
        <v>1315.4</v>
      </c>
      <c r="F101" s="6">
        <f>IFERROR(__xludf.DUMMYFUNCTION("""COMPUTED_VALUE"""),2.1180036E7)</f>
        <v>21180036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ConfigSheet!$A14</f>
        <v/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IFERROR(__xludf.DUMMYFUNCTION("GOOGLEFINANCE(""NSE:ALKEM"",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IFERROR(__xludf.DUMMYFUNCTION("""COMPUTED_VALUE"""),3677.75)</f>
        <v>3677.75</v>
      </c>
      <c r="C2" s="6">
        <f>IFERROR(__xludf.DUMMYFUNCTION("""COMPUTED_VALUE"""),3756.95)</f>
        <v>3756.95</v>
      </c>
      <c r="D2" s="6">
        <f>IFERROR(__xludf.DUMMYFUNCTION("""COMPUTED_VALUE"""),3606.6)</f>
        <v>3606.6</v>
      </c>
      <c r="E2" s="6">
        <f>IFERROR(__xludf.DUMMYFUNCTION("""COMPUTED_VALUE"""),3614.75)</f>
        <v>3614.75</v>
      </c>
      <c r="F2" s="6">
        <f>IFERROR(__xludf.DUMMYFUNCTION("""COMPUTED_VALUE"""),872957.0)</f>
        <v>872957</v>
      </c>
    </row>
    <row r="3">
      <c r="A3" s="7">
        <f>IFERROR(__xludf.DUMMYFUNCTION("""COMPUTED_VALUE"""),45177.64583333333)</f>
        <v>45177.64583</v>
      </c>
      <c r="B3" s="6">
        <f>IFERROR(__xludf.DUMMYFUNCTION("""COMPUTED_VALUE"""),3619.5)</f>
        <v>3619.5</v>
      </c>
      <c r="C3" s="6">
        <f>IFERROR(__xludf.DUMMYFUNCTION("""COMPUTED_VALUE"""),3706.95)</f>
        <v>3706.95</v>
      </c>
      <c r="D3" s="6">
        <f>IFERROR(__xludf.DUMMYFUNCTION("""COMPUTED_VALUE"""),3612.45)</f>
        <v>3612.45</v>
      </c>
      <c r="E3" s="6">
        <f>IFERROR(__xludf.DUMMYFUNCTION("""COMPUTED_VALUE"""),3621.25)</f>
        <v>3621.25</v>
      </c>
      <c r="F3" s="6">
        <f>IFERROR(__xludf.DUMMYFUNCTION("""COMPUTED_VALUE"""),768447.0)</f>
        <v>768447</v>
      </c>
    </row>
    <row r="4">
      <c r="A4" s="7">
        <f>IFERROR(__xludf.DUMMYFUNCTION("""COMPUTED_VALUE"""),45184.64583333333)</f>
        <v>45184.64583</v>
      </c>
      <c r="B4" s="6">
        <f>IFERROR(__xludf.DUMMYFUNCTION("""COMPUTED_VALUE"""),3635.0)</f>
        <v>3635</v>
      </c>
      <c r="C4" s="6">
        <f>IFERROR(__xludf.DUMMYFUNCTION("""COMPUTED_VALUE"""),3770.95)</f>
        <v>3770.95</v>
      </c>
      <c r="D4" s="6">
        <f>IFERROR(__xludf.DUMMYFUNCTION("""COMPUTED_VALUE"""),3621.25)</f>
        <v>3621.25</v>
      </c>
      <c r="E4" s="6">
        <f>IFERROR(__xludf.DUMMYFUNCTION("""COMPUTED_VALUE"""),3675.95)</f>
        <v>3675.95</v>
      </c>
      <c r="F4" s="6">
        <f>IFERROR(__xludf.DUMMYFUNCTION("""COMPUTED_VALUE"""),1090307.0)</f>
        <v>1090307</v>
      </c>
    </row>
    <row r="5">
      <c r="A5" s="7">
        <f>IFERROR(__xludf.DUMMYFUNCTION("""COMPUTED_VALUE"""),45191.64583333333)</f>
        <v>45191.64583</v>
      </c>
      <c r="B5" s="6">
        <f>IFERROR(__xludf.DUMMYFUNCTION("""COMPUTED_VALUE"""),3690.95)</f>
        <v>3690.95</v>
      </c>
      <c r="C5" s="6">
        <f>IFERROR(__xludf.DUMMYFUNCTION("""COMPUTED_VALUE"""),3709.85)</f>
        <v>3709.85</v>
      </c>
      <c r="D5" s="6">
        <f>IFERROR(__xludf.DUMMYFUNCTION("""COMPUTED_VALUE"""),3541.05)</f>
        <v>3541.05</v>
      </c>
      <c r="E5" s="6">
        <f>IFERROR(__xludf.DUMMYFUNCTION("""COMPUTED_VALUE"""),3550.65)</f>
        <v>3550.65</v>
      </c>
      <c r="F5" s="6">
        <f>IFERROR(__xludf.DUMMYFUNCTION("""COMPUTED_VALUE"""),595095.0)</f>
        <v>595095</v>
      </c>
    </row>
    <row r="6">
      <c r="A6" s="7">
        <f>IFERROR(__xludf.DUMMYFUNCTION("""COMPUTED_VALUE"""),45198.64583333333)</f>
        <v>45198.64583</v>
      </c>
      <c r="B6" s="6">
        <f>IFERROR(__xludf.DUMMYFUNCTION("""COMPUTED_VALUE"""),3552.6)</f>
        <v>3552.6</v>
      </c>
      <c r="C6" s="6">
        <f>IFERROR(__xludf.DUMMYFUNCTION("""COMPUTED_VALUE"""),3626.3)</f>
        <v>3626.3</v>
      </c>
      <c r="D6" s="6">
        <f>IFERROR(__xludf.DUMMYFUNCTION("""COMPUTED_VALUE"""),3512.05)</f>
        <v>3512.05</v>
      </c>
      <c r="E6" s="6">
        <f>IFERROR(__xludf.DUMMYFUNCTION("""COMPUTED_VALUE"""),3605.9)</f>
        <v>3605.9</v>
      </c>
      <c r="F6" s="6">
        <f>IFERROR(__xludf.DUMMYFUNCTION("""COMPUTED_VALUE"""),456827.0)</f>
        <v>456827</v>
      </c>
    </row>
    <row r="7">
      <c r="A7" s="7">
        <f>IFERROR(__xludf.DUMMYFUNCTION("""COMPUTED_VALUE"""),45205.64583333333)</f>
        <v>45205.64583</v>
      </c>
      <c r="B7" s="6">
        <f>IFERROR(__xludf.DUMMYFUNCTION("""COMPUTED_VALUE"""),3629.95)</f>
        <v>3629.95</v>
      </c>
      <c r="C7" s="6">
        <f>IFERROR(__xludf.DUMMYFUNCTION("""COMPUTED_VALUE"""),3649.0)</f>
        <v>3649</v>
      </c>
      <c r="D7" s="6">
        <f>IFERROR(__xludf.DUMMYFUNCTION("""COMPUTED_VALUE"""),3447.0)</f>
        <v>3447</v>
      </c>
      <c r="E7" s="6">
        <f>IFERROR(__xludf.DUMMYFUNCTION("""COMPUTED_VALUE"""),3522.5)</f>
        <v>3522.5</v>
      </c>
      <c r="F7" s="6">
        <f>IFERROR(__xludf.DUMMYFUNCTION("""COMPUTED_VALUE"""),614269.0)</f>
        <v>614269</v>
      </c>
    </row>
    <row r="8">
      <c r="A8" s="7">
        <f>IFERROR(__xludf.DUMMYFUNCTION("""COMPUTED_VALUE"""),45212.64583333333)</f>
        <v>45212.64583</v>
      </c>
      <c r="B8" s="6">
        <f>IFERROR(__xludf.DUMMYFUNCTION("""COMPUTED_VALUE"""),3502.5)</f>
        <v>3502.5</v>
      </c>
      <c r="C8" s="6">
        <f>IFERROR(__xludf.DUMMYFUNCTION("""COMPUTED_VALUE"""),3646.3)</f>
        <v>3646.3</v>
      </c>
      <c r="D8" s="6">
        <f>IFERROR(__xludf.DUMMYFUNCTION("""COMPUTED_VALUE"""),3490.05)</f>
        <v>3490.05</v>
      </c>
      <c r="E8" s="6">
        <f>IFERROR(__xludf.DUMMYFUNCTION("""COMPUTED_VALUE"""),3612.45)</f>
        <v>3612.45</v>
      </c>
      <c r="F8" s="6">
        <f>IFERROR(__xludf.DUMMYFUNCTION("""COMPUTED_VALUE"""),664207.0)</f>
        <v>664207</v>
      </c>
    </row>
    <row r="9">
      <c r="A9" s="7">
        <f>IFERROR(__xludf.DUMMYFUNCTION("""COMPUTED_VALUE"""),45219.64583333333)</f>
        <v>45219.64583</v>
      </c>
      <c r="B9" s="6">
        <f>IFERROR(__xludf.DUMMYFUNCTION("""COMPUTED_VALUE"""),3615.0)</f>
        <v>3615</v>
      </c>
      <c r="C9" s="6">
        <f>IFERROR(__xludf.DUMMYFUNCTION("""COMPUTED_VALUE"""),3650.0)</f>
        <v>3650</v>
      </c>
      <c r="D9" s="6">
        <f>IFERROR(__xludf.DUMMYFUNCTION("""COMPUTED_VALUE"""),3540.0)</f>
        <v>3540</v>
      </c>
      <c r="E9" s="6">
        <f>IFERROR(__xludf.DUMMYFUNCTION("""COMPUTED_VALUE"""),3585.6)</f>
        <v>3585.6</v>
      </c>
      <c r="F9" s="6">
        <f>IFERROR(__xludf.DUMMYFUNCTION("""COMPUTED_VALUE"""),636935.0)</f>
        <v>636935</v>
      </c>
    </row>
    <row r="10">
      <c r="A10" s="7">
        <f>IFERROR(__xludf.DUMMYFUNCTION("""COMPUTED_VALUE"""),45226.64583333333)</f>
        <v>45226.64583</v>
      </c>
      <c r="B10" s="6">
        <f>IFERROR(__xludf.DUMMYFUNCTION("""COMPUTED_VALUE"""),3576.0)</f>
        <v>3576</v>
      </c>
      <c r="C10" s="6">
        <f>IFERROR(__xludf.DUMMYFUNCTION("""COMPUTED_VALUE"""),3687.0)</f>
        <v>3687</v>
      </c>
      <c r="D10" s="6">
        <f>IFERROR(__xludf.DUMMYFUNCTION("""COMPUTED_VALUE"""),3509.95)</f>
        <v>3509.95</v>
      </c>
      <c r="E10" s="6">
        <f>IFERROR(__xludf.DUMMYFUNCTION("""COMPUTED_VALUE"""),3675.15)</f>
        <v>3675.15</v>
      </c>
      <c r="F10" s="6">
        <f>IFERROR(__xludf.DUMMYFUNCTION("""COMPUTED_VALUE"""),389546.0)</f>
        <v>389546</v>
      </c>
    </row>
    <row r="11">
      <c r="A11" s="7">
        <f>IFERROR(__xludf.DUMMYFUNCTION("""COMPUTED_VALUE"""),45233.64583333333)</f>
        <v>45233.64583</v>
      </c>
      <c r="B11" s="6">
        <f>IFERROR(__xludf.DUMMYFUNCTION("""COMPUTED_VALUE"""),3694.5)</f>
        <v>3694.5</v>
      </c>
      <c r="C11" s="6">
        <f>IFERROR(__xludf.DUMMYFUNCTION("""COMPUTED_VALUE"""),3855.0)</f>
        <v>3855</v>
      </c>
      <c r="D11" s="6">
        <f>IFERROR(__xludf.DUMMYFUNCTION("""COMPUTED_VALUE"""),3650.2)</f>
        <v>3650.2</v>
      </c>
      <c r="E11" s="6">
        <f>IFERROR(__xludf.DUMMYFUNCTION("""COMPUTED_VALUE"""),3808.95)</f>
        <v>3808.95</v>
      </c>
      <c r="F11" s="6">
        <f>IFERROR(__xludf.DUMMYFUNCTION("""COMPUTED_VALUE"""),1018882.0)</f>
        <v>1018882</v>
      </c>
    </row>
    <row r="12">
      <c r="A12" s="7">
        <f>IFERROR(__xludf.DUMMYFUNCTION("""COMPUTED_VALUE"""),45240.64583333333)</f>
        <v>45240.64583</v>
      </c>
      <c r="B12" s="6">
        <f>IFERROR(__xludf.DUMMYFUNCTION("""COMPUTED_VALUE"""),3809.0)</f>
        <v>3809</v>
      </c>
      <c r="C12" s="6">
        <f>IFERROR(__xludf.DUMMYFUNCTION("""COMPUTED_VALUE"""),4337.5)</f>
        <v>4337.5</v>
      </c>
      <c r="D12" s="6">
        <f>IFERROR(__xludf.DUMMYFUNCTION("""COMPUTED_VALUE"""),3783.55)</f>
        <v>3783.55</v>
      </c>
      <c r="E12" s="6">
        <f>IFERROR(__xludf.DUMMYFUNCTION("""COMPUTED_VALUE"""),4306.25)</f>
        <v>4306.25</v>
      </c>
      <c r="F12" s="6">
        <f>IFERROR(__xludf.DUMMYFUNCTION("""COMPUTED_VALUE"""),2933484.0)</f>
        <v>2933484</v>
      </c>
    </row>
    <row r="13">
      <c r="A13" s="7">
        <f>IFERROR(__xludf.DUMMYFUNCTION("""COMPUTED_VALUE"""),45247.64583333333)</f>
        <v>45247.64583</v>
      </c>
      <c r="B13" s="6">
        <f>IFERROR(__xludf.DUMMYFUNCTION("""COMPUTED_VALUE"""),4330.0)</f>
        <v>4330</v>
      </c>
      <c r="C13" s="6">
        <f>IFERROR(__xludf.DUMMYFUNCTION("""COMPUTED_VALUE"""),4450.0)</f>
        <v>4450</v>
      </c>
      <c r="D13" s="6">
        <f>IFERROR(__xludf.DUMMYFUNCTION("""COMPUTED_VALUE"""),4289.15)</f>
        <v>4289.15</v>
      </c>
      <c r="E13" s="6">
        <f>IFERROR(__xludf.DUMMYFUNCTION("""COMPUTED_VALUE"""),4448.45)</f>
        <v>4448.45</v>
      </c>
      <c r="F13" s="6">
        <f>IFERROR(__xludf.DUMMYFUNCTION("""COMPUTED_VALUE"""),766751.0)</f>
        <v>766751</v>
      </c>
    </row>
    <row r="14">
      <c r="A14" s="7">
        <f>IFERROR(__xludf.DUMMYFUNCTION("""COMPUTED_VALUE"""),45254.64583333333)</f>
        <v>45254.64583</v>
      </c>
      <c r="B14" s="6">
        <f>IFERROR(__xludf.DUMMYFUNCTION("""COMPUTED_VALUE"""),4450.0)</f>
        <v>4450</v>
      </c>
      <c r="C14" s="6">
        <f>IFERROR(__xludf.DUMMYFUNCTION("""COMPUTED_VALUE"""),4593.45)</f>
        <v>4593.45</v>
      </c>
      <c r="D14" s="6">
        <f>IFERROR(__xludf.DUMMYFUNCTION("""COMPUTED_VALUE"""),4380.8)</f>
        <v>4380.8</v>
      </c>
      <c r="E14" s="6">
        <f>IFERROR(__xludf.DUMMYFUNCTION("""COMPUTED_VALUE"""),4557.8)</f>
        <v>4557.8</v>
      </c>
      <c r="F14" s="6">
        <f>IFERROR(__xludf.DUMMYFUNCTION("""COMPUTED_VALUE"""),1326015.0)</f>
        <v>1326015</v>
      </c>
    </row>
    <row r="15">
      <c r="A15" s="7">
        <f>IFERROR(__xludf.DUMMYFUNCTION("""COMPUTED_VALUE"""),45261.64583333333)</f>
        <v>45261.64583</v>
      </c>
      <c r="B15" s="6">
        <f>IFERROR(__xludf.DUMMYFUNCTION("""COMPUTED_VALUE"""),4587.0)</f>
        <v>4587</v>
      </c>
      <c r="C15" s="6">
        <f>IFERROR(__xludf.DUMMYFUNCTION("""COMPUTED_VALUE"""),4795.5)</f>
        <v>4795.5</v>
      </c>
      <c r="D15" s="6">
        <f>IFERROR(__xludf.DUMMYFUNCTION("""COMPUTED_VALUE"""),4515.05)</f>
        <v>4515.05</v>
      </c>
      <c r="E15" s="6">
        <f>IFERROR(__xludf.DUMMYFUNCTION("""COMPUTED_VALUE"""),4647.9)</f>
        <v>4647.9</v>
      </c>
      <c r="F15" s="6">
        <f>IFERROR(__xludf.DUMMYFUNCTION("""COMPUTED_VALUE"""),1185893.0)</f>
        <v>1185893</v>
      </c>
    </row>
    <row r="16">
      <c r="A16" s="7">
        <f>IFERROR(__xludf.DUMMYFUNCTION("""COMPUTED_VALUE"""),45268.64583333333)</f>
        <v>45268.64583</v>
      </c>
      <c r="B16" s="6">
        <f>IFERROR(__xludf.DUMMYFUNCTION("""COMPUTED_VALUE"""),4649.0)</f>
        <v>4649</v>
      </c>
      <c r="C16" s="6">
        <f>IFERROR(__xludf.DUMMYFUNCTION("""COMPUTED_VALUE"""),4900.0)</f>
        <v>4900</v>
      </c>
      <c r="D16" s="6">
        <f>IFERROR(__xludf.DUMMYFUNCTION("""COMPUTED_VALUE"""),4589.25)</f>
        <v>4589.25</v>
      </c>
      <c r="E16" s="6">
        <f>IFERROR(__xludf.DUMMYFUNCTION("""COMPUTED_VALUE"""),4796.05)</f>
        <v>4796.05</v>
      </c>
      <c r="F16" s="6">
        <f>IFERROR(__xludf.DUMMYFUNCTION("""COMPUTED_VALUE"""),1500519.0)</f>
        <v>1500519</v>
      </c>
    </row>
    <row r="17">
      <c r="A17" s="7">
        <f>IFERROR(__xludf.DUMMYFUNCTION("""COMPUTED_VALUE"""),45275.64583333333)</f>
        <v>45275.64583</v>
      </c>
      <c r="B17" s="6">
        <f>IFERROR(__xludf.DUMMYFUNCTION("""COMPUTED_VALUE"""),4795.95)</f>
        <v>4795.95</v>
      </c>
      <c r="C17" s="6">
        <f>IFERROR(__xludf.DUMMYFUNCTION("""COMPUTED_VALUE"""),5009.85)</f>
        <v>5009.85</v>
      </c>
      <c r="D17" s="6">
        <f>IFERROR(__xludf.DUMMYFUNCTION("""COMPUTED_VALUE"""),4681.9)</f>
        <v>4681.9</v>
      </c>
      <c r="E17" s="6">
        <f>IFERROR(__xludf.DUMMYFUNCTION("""COMPUTED_VALUE"""),4919.35)</f>
        <v>4919.35</v>
      </c>
      <c r="F17" s="6">
        <f>IFERROR(__xludf.DUMMYFUNCTION("""COMPUTED_VALUE"""),3044223.0)</f>
        <v>3044223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IFERROR(__xludf.DUMMYFUNCTION("""COMPUTED_VALUE"""),4899.1)</f>
        <v>4899.1</v>
      </c>
      <c r="C18" s="6">
        <f>IFERROR(__xludf.DUMMYFUNCTION("""COMPUTED_VALUE"""),5009.0)</f>
        <v>5009</v>
      </c>
      <c r="D18" s="6">
        <f>IFERROR(__xludf.DUMMYFUNCTION("""COMPUTED_VALUE"""),4818.65)</f>
        <v>4818.65</v>
      </c>
      <c r="E18" s="6">
        <f>IFERROR(__xludf.DUMMYFUNCTION("""COMPUTED_VALUE"""),4914.4)</f>
        <v>4914.4</v>
      </c>
      <c r="F18" s="6">
        <f>IFERROR(__xludf.DUMMYFUNCTION("""COMPUTED_VALUE"""),747872.0)</f>
        <v>747872</v>
      </c>
    </row>
    <row r="19">
      <c r="A19" s="7">
        <f>IFERROR(__xludf.DUMMYFUNCTION("""COMPUTED_VALUE"""),45289.64583333333)</f>
        <v>45289.64583</v>
      </c>
      <c r="B19" s="6">
        <f>IFERROR(__xludf.DUMMYFUNCTION("""COMPUTED_VALUE"""),4916.45)</f>
        <v>4916.45</v>
      </c>
      <c r="C19" s="6">
        <f>IFERROR(__xludf.DUMMYFUNCTION("""COMPUTED_VALUE"""),5216.75)</f>
        <v>5216.75</v>
      </c>
      <c r="D19" s="6">
        <f>IFERROR(__xludf.DUMMYFUNCTION("""COMPUTED_VALUE"""),4901.1)</f>
        <v>4901.1</v>
      </c>
      <c r="E19" s="6">
        <f>IFERROR(__xludf.DUMMYFUNCTION("""COMPUTED_VALUE"""),5202.6)</f>
        <v>5202.6</v>
      </c>
      <c r="F19" s="6">
        <f>IFERROR(__xludf.DUMMYFUNCTION("""COMPUTED_VALUE"""),919366.0)</f>
        <v>919366</v>
      </c>
    </row>
    <row r="20">
      <c r="A20" s="7">
        <f>IFERROR(__xludf.DUMMYFUNCTION("""COMPUTED_VALUE"""),45296.64583333333)</f>
        <v>45296.64583</v>
      </c>
      <c r="B20" s="6">
        <f>IFERROR(__xludf.DUMMYFUNCTION("""COMPUTED_VALUE"""),5209.95)</f>
        <v>5209.95</v>
      </c>
      <c r="C20" s="6">
        <f>IFERROR(__xludf.DUMMYFUNCTION("""COMPUTED_VALUE"""),5315.5)</f>
        <v>5315.5</v>
      </c>
      <c r="D20" s="6">
        <f>IFERROR(__xludf.DUMMYFUNCTION("""COMPUTED_VALUE"""),5093.2)</f>
        <v>5093.2</v>
      </c>
      <c r="E20" s="6">
        <f>IFERROR(__xludf.DUMMYFUNCTION("""COMPUTED_VALUE"""),5238.6)</f>
        <v>5238.6</v>
      </c>
      <c r="F20" s="6">
        <f>IFERROR(__xludf.DUMMYFUNCTION("""COMPUTED_VALUE"""),1143487.0)</f>
        <v>1143487</v>
      </c>
    </row>
    <row r="21">
      <c r="A21" s="7">
        <f>IFERROR(__xludf.DUMMYFUNCTION("""COMPUTED_VALUE"""),45303.64583333333)</f>
        <v>45303.64583</v>
      </c>
      <c r="B21" s="6">
        <f>IFERROR(__xludf.DUMMYFUNCTION("""COMPUTED_VALUE"""),5230.0)</f>
        <v>5230</v>
      </c>
      <c r="C21" s="6">
        <f>IFERROR(__xludf.DUMMYFUNCTION("""COMPUTED_VALUE"""),5268.7)</f>
        <v>5268.7</v>
      </c>
      <c r="D21" s="6">
        <f>IFERROR(__xludf.DUMMYFUNCTION("""COMPUTED_VALUE"""),5012.0)</f>
        <v>5012</v>
      </c>
      <c r="E21" s="6">
        <f>IFERROR(__xludf.DUMMYFUNCTION("""COMPUTED_VALUE"""),5048.7)</f>
        <v>5048.7</v>
      </c>
      <c r="F21" s="6">
        <f>IFERROR(__xludf.DUMMYFUNCTION("""COMPUTED_VALUE"""),711454.0)</f>
        <v>711454</v>
      </c>
    </row>
    <row r="22">
      <c r="A22" s="7">
        <f>IFERROR(__xludf.DUMMYFUNCTION("""COMPUTED_VALUE"""),45316.64583333333)</f>
        <v>45316.64583</v>
      </c>
      <c r="B22" s="6">
        <f>IFERROR(__xludf.DUMMYFUNCTION("""COMPUTED_VALUE"""),4878.7)</f>
        <v>4878.7</v>
      </c>
      <c r="C22" s="6">
        <f>IFERROR(__xludf.DUMMYFUNCTION("""COMPUTED_VALUE"""),5044.85)</f>
        <v>5044.85</v>
      </c>
      <c r="D22" s="6">
        <f>IFERROR(__xludf.DUMMYFUNCTION("""COMPUTED_VALUE"""),4763.25)</f>
        <v>4763.25</v>
      </c>
      <c r="E22" s="6">
        <f>IFERROR(__xludf.DUMMYFUNCTION("""COMPUTED_VALUE"""),4971.75)</f>
        <v>4971.75</v>
      </c>
      <c r="F22" s="6">
        <f>IFERROR(__xludf.DUMMYFUNCTION("""COMPUTED_VALUE"""),650522.0)</f>
        <v>650522</v>
      </c>
    </row>
    <row r="23">
      <c r="A23" s="7">
        <f>IFERROR(__xludf.DUMMYFUNCTION("""COMPUTED_VALUE"""),45324.64583333333)</f>
        <v>45324.64583</v>
      </c>
      <c r="B23" s="6">
        <f>IFERROR(__xludf.DUMMYFUNCTION("""COMPUTED_VALUE"""),4998.65)</f>
        <v>4998.65</v>
      </c>
      <c r="C23" s="6">
        <f>IFERROR(__xludf.DUMMYFUNCTION("""COMPUTED_VALUE"""),5087.95)</f>
        <v>5087.95</v>
      </c>
      <c r="D23" s="6">
        <f>IFERROR(__xludf.DUMMYFUNCTION("""COMPUTED_VALUE"""),4781.4)</f>
        <v>4781.4</v>
      </c>
      <c r="E23" s="6">
        <f>IFERROR(__xludf.DUMMYFUNCTION("""COMPUTED_VALUE"""),4917.7)</f>
        <v>4917.7</v>
      </c>
      <c r="F23" s="6">
        <f>IFERROR(__xludf.DUMMYFUNCTION("""COMPUTED_VALUE"""),1009910.0)</f>
        <v>1009910</v>
      </c>
    </row>
    <row r="24">
      <c r="A24" s="7">
        <f>IFERROR(__xludf.DUMMYFUNCTION("""COMPUTED_VALUE"""),45331.64583333333)</f>
        <v>45331.64583</v>
      </c>
      <c r="B24" s="6">
        <f>IFERROR(__xludf.DUMMYFUNCTION("""COMPUTED_VALUE"""),4925.35)</f>
        <v>4925.35</v>
      </c>
      <c r="C24" s="6">
        <f>IFERROR(__xludf.DUMMYFUNCTION("""COMPUTED_VALUE"""),5420.0)</f>
        <v>5420</v>
      </c>
      <c r="D24" s="6">
        <f>IFERROR(__xludf.DUMMYFUNCTION("""COMPUTED_VALUE"""),4870.0)</f>
        <v>4870</v>
      </c>
      <c r="E24" s="6">
        <f>IFERROR(__xludf.DUMMYFUNCTION("""COMPUTED_VALUE"""),5327.9)</f>
        <v>5327.9</v>
      </c>
      <c r="F24" s="6">
        <f>IFERROR(__xludf.DUMMYFUNCTION("""COMPUTED_VALUE"""),2607968.0)</f>
        <v>2607968</v>
      </c>
    </row>
    <row r="25">
      <c r="A25" s="7">
        <f>IFERROR(__xludf.DUMMYFUNCTION("""COMPUTED_VALUE"""),45338.64583333333)</f>
        <v>45338.64583</v>
      </c>
      <c r="B25" s="6">
        <f>IFERROR(__xludf.DUMMYFUNCTION("""COMPUTED_VALUE"""),5320.0)</f>
        <v>5320</v>
      </c>
      <c r="C25" s="6">
        <f>IFERROR(__xludf.DUMMYFUNCTION("""COMPUTED_VALUE"""),5458.2)</f>
        <v>5458.2</v>
      </c>
      <c r="D25" s="6">
        <f>IFERROR(__xludf.DUMMYFUNCTION("""COMPUTED_VALUE"""),4967.45)</f>
        <v>4967.45</v>
      </c>
      <c r="E25" s="6">
        <f>IFERROR(__xludf.DUMMYFUNCTION("""COMPUTED_VALUE"""),5444.6)</f>
        <v>5444.6</v>
      </c>
      <c r="F25" s="6">
        <f>IFERROR(__xludf.DUMMYFUNCTION("""COMPUTED_VALUE"""),1392987.0)</f>
        <v>1392987</v>
      </c>
    </row>
    <row r="26">
      <c r="A26" s="7">
        <f>IFERROR(__xludf.DUMMYFUNCTION("""COMPUTED_VALUE"""),45345.64583333333)</f>
        <v>45345.64583</v>
      </c>
      <c r="B26" s="6">
        <f>IFERROR(__xludf.DUMMYFUNCTION("""COMPUTED_VALUE"""),5444.6)</f>
        <v>5444.6</v>
      </c>
      <c r="C26" s="6">
        <f>IFERROR(__xludf.DUMMYFUNCTION("""COMPUTED_VALUE"""),5520.0)</f>
        <v>5520</v>
      </c>
      <c r="D26" s="6">
        <f>IFERROR(__xludf.DUMMYFUNCTION("""COMPUTED_VALUE"""),5350.95)</f>
        <v>5350.95</v>
      </c>
      <c r="E26" s="6">
        <f>IFERROR(__xludf.DUMMYFUNCTION("""COMPUTED_VALUE"""),5421.15)</f>
        <v>5421.15</v>
      </c>
      <c r="F26" s="6">
        <f>IFERROR(__xludf.DUMMYFUNCTION("""COMPUTED_VALUE"""),743450.0)</f>
        <v>743450</v>
      </c>
    </row>
    <row r="27">
      <c r="A27" s="7">
        <f>IFERROR(__xludf.DUMMYFUNCTION("""COMPUTED_VALUE"""),45358.64583333333)</f>
        <v>45358.64583</v>
      </c>
      <c r="B27" s="6">
        <f>IFERROR(__xludf.DUMMYFUNCTION("""COMPUTED_VALUE"""),5156.55)</f>
        <v>5156.55</v>
      </c>
      <c r="C27" s="6">
        <f>IFERROR(__xludf.DUMMYFUNCTION("""COMPUTED_VALUE"""),5225.0)</f>
        <v>5225</v>
      </c>
      <c r="D27" s="6">
        <f>IFERROR(__xludf.DUMMYFUNCTION("""COMPUTED_VALUE"""),5043.6)</f>
        <v>5043.6</v>
      </c>
      <c r="E27" s="6">
        <f>IFERROR(__xludf.DUMMYFUNCTION("""COMPUTED_VALUE"""),5144.3)</f>
        <v>5144.3</v>
      </c>
      <c r="F27" s="6">
        <f>IFERROR(__xludf.DUMMYFUNCTION("""COMPUTED_VALUE"""),593179.0)</f>
        <v>593179</v>
      </c>
    </row>
    <row r="28">
      <c r="A28" s="7">
        <f>IFERROR(__xludf.DUMMYFUNCTION("""COMPUTED_VALUE"""),45366.64583333333)</f>
        <v>45366.64583</v>
      </c>
      <c r="B28" s="6">
        <f>IFERROR(__xludf.DUMMYFUNCTION("""COMPUTED_VALUE"""),5188.0)</f>
        <v>5188</v>
      </c>
      <c r="C28" s="6">
        <f>IFERROR(__xludf.DUMMYFUNCTION("""COMPUTED_VALUE"""),5225.0)</f>
        <v>5225</v>
      </c>
      <c r="D28" s="6">
        <f>IFERROR(__xludf.DUMMYFUNCTION("""COMPUTED_VALUE"""),4857.05)</f>
        <v>4857.05</v>
      </c>
      <c r="E28" s="6">
        <f>IFERROR(__xludf.DUMMYFUNCTION("""COMPUTED_VALUE"""),5045.2)</f>
        <v>5045.2</v>
      </c>
      <c r="F28" s="6">
        <f>IFERROR(__xludf.DUMMYFUNCTION("""COMPUTED_VALUE"""),876025.0)</f>
        <v>876025</v>
      </c>
    </row>
    <row r="29">
      <c r="A29" s="7">
        <f>IFERROR(__xludf.DUMMYFUNCTION("""COMPUTED_VALUE"""),45373.64583333333)</f>
        <v>45373.64583</v>
      </c>
      <c r="B29" s="6">
        <f>IFERROR(__xludf.DUMMYFUNCTION("""COMPUTED_VALUE"""),5050.0)</f>
        <v>5050</v>
      </c>
      <c r="C29" s="6">
        <f>IFERROR(__xludf.DUMMYFUNCTION("""COMPUTED_VALUE"""),5068.8)</f>
        <v>5068.8</v>
      </c>
      <c r="D29" s="6">
        <f>IFERROR(__xludf.DUMMYFUNCTION("""COMPUTED_VALUE"""),4744.85)</f>
        <v>4744.85</v>
      </c>
      <c r="E29" s="6">
        <f>IFERROR(__xludf.DUMMYFUNCTION("""COMPUTED_VALUE"""),4789.75)</f>
        <v>4789.75</v>
      </c>
      <c r="F29" s="6">
        <f>IFERROR(__xludf.DUMMYFUNCTION("""COMPUTED_VALUE"""),823318.0)</f>
        <v>823318</v>
      </c>
    </row>
    <row r="30">
      <c r="A30" s="7">
        <f>IFERROR(__xludf.DUMMYFUNCTION("""COMPUTED_VALUE"""),45379.64583333333)</f>
        <v>45379.64583</v>
      </c>
      <c r="B30" s="6">
        <f>IFERROR(__xludf.DUMMYFUNCTION("""COMPUTED_VALUE"""),4650.0)</f>
        <v>4650</v>
      </c>
      <c r="C30" s="6">
        <f>IFERROR(__xludf.DUMMYFUNCTION("""COMPUTED_VALUE"""),5059.1)</f>
        <v>5059.1</v>
      </c>
      <c r="D30" s="6">
        <f>IFERROR(__xludf.DUMMYFUNCTION("""COMPUTED_VALUE"""),4650.0)</f>
        <v>4650</v>
      </c>
      <c r="E30" s="6">
        <f>IFERROR(__xludf.DUMMYFUNCTION("""COMPUTED_VALUE"""),4942.0)</f>
        <v>4942</v>
      </c>
      <c r="F30" s="6">
        <f>IFERROR(__xludf.DUMMYFUNCTION("""COMPUTED_VALUE"""),717226.0)</f>
        <v>717226</v>
      </c>
    </row>
    <row r="31">
      <c r="A31" s="7">
        <f>IFERROR(__xludf.DUMMYFUNCTION("""COMPUTED_VALUE"""),45387.64583333333)</f>
        <v>45387.64583</v>
      </c>
      <c r="B31" s="6">
        <f>IFERROR(__xludf.DUMMYFUNCTION("""COMPUTED_VALUE"""),4930.15)</f>
        <v>4930.15</v>
      </c>
      <c r="C31" s="6">
        <f>IFERROR(__xludf.DUMMYFUNCTION("""COMPUTED_VALUE"""),5095.0)</f>
        <v>5095</v>
      </c>
      <c r="D31" s="6">
        <f>IFERROR(__xludf.DUMMYFUNCTION("""COMPUTED_VALUE"""),4830.0)</f>
        <v>4830</v>
      </c>
      <c r="E31" s="6">
        <f>IFERROR(__xludf.DUMMYFUNCTION("""COMPUTED_VALUE"""),4912.65)</f>
        <v>4912.65</v>
      </c>
      <c r="F31" s="6">
        <f>IFERROR(__xludf.DUMMYFUNCTION("""COMPUTED_VALUE"""),851995.0)</f>
        <v>851995</v>
      </c>
    </row>
    <row r="32">
      <c r="A32" s="7">
        <f>IFERROR(__xludf.DUMMYFUNCTION("""COMPUTED_VALUE"""),45394.64583333333)</f>
        <v>45394.64583</v>
      </c>
      <c r="B32" s="6">
        <f>IFERROR(__xludf.DUMMYFUNCTION("""COMPUTED_VALUE"""),4919.95)</f>
        <v>4919.95</v>
      </c>
      <c r="C32" s="6">
        <f>IFERROR(__xludf.DUMMYFUNCTION("""COMPUTED_VALUE"""),4950.0)</f>
        <v>4950</v>
      </c>
      <c r="D32" s="6">
        <f>IFERROR(__xludf.DUMMYFUNCTION("""COMPUTED_VALUE"""),4725.15)</f>
        <v>4725.15</v>
      </c>
      <c r="E32" s="6">
        <f>IFERROR(__xludf.DUMMYFUNCTION("""COMPUTED_VALUE"""),4735.2)</f>
        <v>4735.2</v>
      </c>
      <c r="F32" s="6">
        <f>IFERROR(__xludf.DUMMYFUNCTION("""COMPUTED_VALUE"""),559930.0)</f>
        <v>559930</v>
      </c>
    </row>
    <row r="33">
      <c r="A33" s="7">
        <f>IFERROR(__xludf.DUMMYFUNCTION("""COMPUTED_VALUE"""),45401.64583333333)</f>
        <v>45401.64583</v>
      </c>
      <c r="B33" s="6">
        <f>IFERROR(__xludf.DUMMYFUNCTION("""COMPUTED_VALUE"""),4725.0)</f>
        <v>4725</v>
      </c>
      <c r="C33" s="6">
        <f>IFERROR(__xludf.DUMMYFUNCTION("""COMPUTED_VALUE"""),4775.95)</f>
        <v>4775.95</v>
      </c>
      <c r="D33" s="6">
        <f>IFERROR(__xludf.DUMMYFUNCTION("""COMPUTED_VALUE"""),4567.05)</f>
        <v>4567.05</v>
      </c>
      <c r="E33" s="6">
        <f>IFERROR(__xludf.DUMMYFUNCTION("""COMPUTED_VALUE"""),4616.35)</f>
        <v>4616.35</v>
      </c>
      <c r="F33" s="6">
        <f>IFERROR(__xludf.DUMMYFUNCTION("""COMPUTED_VALUE"""),693152.0)</f>
        <v>693152</v>
      </c>
    </row>
    <row r="34">
      <c r="A34" s="7">
        <f>IFERROR(__xludf.DUMMYFUNCTION("""COMPUTED_VALUE"""),45408.64583333333)</f>
        <v>45408.64583</v>
      </c>
      <c r="B34" s="6">
        <f>IFERROR(__xludf.DUMMYFUNCTION("""COMPUTED_VALUE"""),4644.25)</f>
        <v>4644.25</v>
      </c>
      <c r="C34" s="6">
        <f>IFERROR(__xludf.DUMMYFUNCTION("""COMPUTED_VALUE"""),4937.4)</f>
        <v>4937.4</v>
      </c>
      <c r="D34" s="6">
        <f>IFERROR(__xludf.DUMMYFUNCTION("""COMPUTED_VALUE"""),4631.4)</f>
        <v>4631.4</v>
      </c>
      <c r="E34" s="6">
        <f>IFERROR(__xludf.DUMMYFUNCTION("""COMPUTED_VALUE"""),4910.4)</f>
        <v>4910.4</v>
      </c>
      <c r="F34" s="6">
        <f>IFERROR(__xludf.DUMMYFUNCTION("""COMPUTED_VALUE"""),699607.0)</f>
        <v>699607</v>
      </c>
    </row>
    <row r="35">
      <c r="A35" s="7">
        <f>IFERROR(__xludf.DUMMYFUNCTION("""COMPUTED_VALUE"""),45415.64583333333)</f>
        <v>45415.64583</v>
      </c>
      <c r="B35" s="6">
        <f>IFERROR(__xludf.DUMMYFUNCTION("""COMPUTED_VALUE"""),4909.1)</f>
        <v>4909.1</v>
      </c>
      <c r="C35" s="6">
        <f>IFERROR(__xludf.DUMMYFUNCTION("""COMPUTED_VALUE"""),5020.0)</f>
        <v>5020</v>
      </c>
      <c r="D35" s="6">
        <f>IFERROR(__xludf.DUMMYFUNCTION("""COMPUTED_VALUE"""),4739.5)</f>
        <v>4739.5</v>
      </c>
      <c r="E35" s="6">
        <f>IFERROR(__xludf.DUMMYFUNCTION("""COMPUTED_VALUE"""),4904.0)</f>
        <v>4904</v>
      </c>
      <c r="F35" s="6">
        <f>IFERROR(__xludf.DUMMYFUNCTION("""COMPUTED_VALUE"""),538953.0)</f>
        <v>538953</v>
      </c>
    </row>
    <row r="36">
      <c r="A36" s="7">
        <f>IFERROR(__xludf.DUMMYFUNCTION("""COMPUTED_VALUE"""),45422.64583333333)</f>
        <v>45422.64583</v>
      </c>
      <c r="B36" s="6">
        <f>IFERROR(__xludf.DUMMYFUNCTION("""COMPUTED_VALUE"""),4906.0)</f>
        <v>4906</v>
      </c>
      <c r="C36" s="6">
        <f>IFERROR(__xludf.DUMMYFUNCTION("""COMPUTED_VALUE"""),5208.0)</f>
        <v>5208</v>
      </c>
      <c r="D36" s="6">
        <f>IFERROR(__xludf.DUMMYFUNCTION("""COMPUTED_VALUE"""),4880.0)</f>
        <v>4880</v>
      </c>
      <c r="E36" s="6">
        <f>IFERROR(__xludf.DUMMYFUNCTION("""COMPUTED_VALUE"""),5128.9)</f>
        <v>5128.9</v>
      </c>
      <c r="F36" s="6">
        <f>IFERROR(__xludf.DUMMYFUNCTION("""COMPUTED_VALUE"""),1224488.0)</f>
        <v>1224488</v>
      </c>
    </row>
    <row r="37">
      <c r="A37" s="7">
        <f>IFERROR(__xludf.DUMMYFUNCTION("""COMPUTED_VALUE"""),45436.64583333333)</f>
        <v>45436.64583</v>
      </c>
      <c r="B37" s="6">
        <f>IFERROR(__xludf.DUMMYFUNCTION("""COMPUTED_VALUE"""),5438.25)</f>
        <v>5438.25</v>
      </c>
      <c r="C37" s="6">
        <f>IFERROR(__xludf.DUMMYFUNCTION("""COMPUTED_VALUE"""),5578.8)</f>
        <v>5578.8</v>
      </c>
      <c r="D37" s="6">
        <f>IFERROR(__xludf.DUMMYFUNCTION("""COMPUTED_VALUE"""),5208.15)</f>
        <v>5208.15</v>
      </c>
      <c r="E37" s="6">
        <f>IFERROR(__xludf.DUMMYFUNCTION("""COMPUTED_VALUE"""),5451.65)</f>
        <v>5451.65</v>
      </c>
      <c r="F37" s="6">
        <f>IFERROR(__xludf.DUMMYFUNCTION("""COMPUTED_VALUE"""),821299.0)</f>
        <v>821299</v>
      </c>
    </row>
    <row r="38">
      <c r="A38" s="7">
        <f>IFERROR(__xludf.DUMMYFUNCTION("""COMPUTED_VALUE"""),45443.64583333333)</f>
        <v>45443.64583</v>
      </c>
      <c r="B38" s="6">
        <f>IFERROR(__xludf.DUMMYFUNCTION("""COMPUTED_VALUE"""),5469.95)</f>
        <v>5469.95</v>
      </c>
      <c r="C38" s="6">
        <f>IFERROR(__xludf.DUMMYFUNCTION("""COMPUTED_VALUE"""),5469.95)</f>
        <v>5469.95</v>
      </c>
      <c r="D38" s="6">
        <f>IFERROR(__xludf.DUMMYFUNCTION("""COMPUTED_VALUE"""),4794.1)</f>
        <v>4794.1</v>
      </c>
      <c r="E38" s="6">
        <f>IFERROR(__xludf.DUMMYFUNCTION("""COMPUTED_VALUE"""),4810.45)</f>
        <v>4810.45</v>
      </c>
      <c r="F38" s="6">
        <f>IFERROR(__xludf.DUMMYFUNCTION("""COMPUTED_VALUE"""),3249086.0)</f>
        <v>3249086</v>
      </c>
    </row>
    <row r="39">
      <c r="A39" s="7">
        <f>IFERROR(__xludf.DUMMYFUNCTION("""COMPUTED_VALUE"""),45450.64583333333)</f>
        <v>45450.64583</v>
      </c>
      <c r="B39" s="6">
        <f>IFERROR(__xludf.DUMMYFUNCTION("""COMPUTED_VALUE"""),4815.0)</f>
        <v>4815</v>
      </c>
      <c r="C39" s="6">
        <f>IFERROR(__xludf.DUMMYFUNCTION("""COMPUTED_VALUE"""),4963.8)</f>
        <v>4963.8</v>
      </c>
      <c r="D39" s="6">
        <f>IFERROR(__xludf.DUMMYFUNCTION("""COMPUTED_VALUE"""),4407.05)</f>
        <v>4407.05</v>
      </c>
      <c r="E39" s="6">
        <f>IFERROR(__xludf.DUMMYFUNCTION("""COMPUTED_VALUE"""),4956.1)</f>
        <v>4956.1</v>
      </c>
      <c r="F39" s="6">
        <f>IFERROR(__xludf.DUMMYFUNCTION("""COMPUTED_VALUE"""),1734454.0)</f>
        <v>1734454</v>
      </c>
    </row>
    <row r="40">
      <c r="A40" s="7">
        <f>IFERROR(__xludf.DUMMYFUNCTION("""COMPUTED_VALUE"""),45457.64583333333)</f>
        <v>45457.64583</v>
      </c>
      <c r="B40" s="6">
        <f>IFERROR(__xludf.DUMMYFUNCTION("""COMPUTED_VALUE"""),4989.0)</f>
        <v>4989</v>
      </c>
      <c r="C40" s="6">
        <f>IFERROR(__xludf.DUMMYFUNCTION("""COMPUTED_VALUE"""),5134.6)</f>
        <v>5134.6</v>
      </c>
      <c r="D40" s="6">
        <f>IFERROR(__xludf.DUMMYFUNCTION("""COMPUTED_VALUE"""),4940.0)</f>
        <v>4940</v>
      </c>
      <c r="E40" s="6">
        <f>IFERROR(__xludf.DUMMYFUNCTION("""COMPUTED_VALUE"""),5101.95)</f>
        <v>5101.95</v>
      </c>
      <c r="F40" s="6">
        <f>IFERROR(__xludf.DUMMYFUNCTION("""COMPUTED_VALUE"""),576103.0)</f>
        <v>576103</v>
      </c>
    </row>
    <row r="41">
      <c r="A41" s="7">
        <f>IFERROR(__xludf.DUMMYFUNCTION("""COMPUTED_VALUE"""),45464.64583333333)</f>
        <v>45464.64583</v>
      </c>
      <c r="B41" s="6">
        <f>IFERROR(__xludf.DUMMYFUNCTION("""COMPUTED_VALUE"""),5123.0)</f>
        <v>5123</v>
      </c>
      <c r="C41" s="6">
        <f>IFERROR(__xludf.DUMMYFUNCTION("""COMPUTED_VALUE"""),5258.85)</f>
        <v>5258.85</v>
      </c>
      <c r="D41" s="6">
        <f>IFERROR(__xludf.DUMMYFUNCTION("""COMPUTED_VALUE"""),4908.8)</f>
        <v>4908.8</v>
      </c>
      <c r="E41" s="6">
        <f>IFERROR(__xludf.DUMMYFUNCTION("""COMPUTED_VALUE"""),5129.25)</f>
        <v>5129.25</v>
      </c>
      <c r="F41" s="6">
        <f>IFERROR(__xludf.DUMMYFUNCTION("""COMPUTED_VALUE"""),908381.0)</f>
        <v>908381</v>
      </c>
    </row>
    <row r="42">
      <c r="A42" s="7">
        <f>IFERROR(__xludf.DUMMYFUNCTION("""COMPUTED_VALUE"""),45471.64583333333)</f>
        <v>45471.64583</v>
      </c>
      <c r="B42" s="6">
        <f>IFERROR(__xludf.DUMMYFUNCTION("""COMPUTED_VALUE"""),5088.0)</f>
        <v>5088</v>
      </c>
      <c r="C42" s="6">
        <f>IFERROR(__xludf.DUMMYFUNCTION("""COMPUTED_VALUE"""),5259.0)</f>
        <v>5259</v>
      </c>
      <c r="D42" s="6">
        <f>IFERROR(__xludf.DUMMYFUNCTION("""COMPUTED_VALUE"""),4896.9)</f>
        <v>4896.9</v>
      </c>
      <c r="E42" s="6">
        <f>IFERROR(__xludf.DUMMYFUNCTION("""COMPUTED_VALUE"""),4991.35)</f>
        <v>4991.35</v>
      </c>
      <c r="F42" s="6">
        <f>IFERROR(__xludf.DUMMYFUNCTION("""COMPUTED_VALUE"""),2252818.0)</f>
        <v>2252818</v>
      </c>
    </row>
    <row r="43">
      <c r="A43" s="7">
        <f>IFERROR(__xludf.DUMMYFUNCTION("""COMPUTED_VALUE"""),45478.64583333333)</f>
        <v>45478.64583</v>
      </c>
      <c r="B43" s="6">
        <f>IFERROR(__xludf.DUMMYFUNCTION("""COMPUTED_VALUE"""),4992.0)</f>
        <v>4992</v>
      </c>
      <c r="C43" s="6">
        <f>IFERROR(__xludf.DUMMYFUNCTION("""COMPUTED_VALUE"""),5085.0)</f>
        <v>5085</v>
      </c>
      <c r="D43" s="6">
        <f>IFERROR(__xludf.DUMMYFUNCTION("""COMPUTED_VALUE"""),4872.0)</f>
        <v>4872</v>
      </c>
      <c r="E43" s="6">
        <f>IFERROR(__xludf.DUMMYFUNCTION("""COMPUTED_VALUE"""),5063.55)</f>
        <v>5063.55</v>
      </c>
      <c r="F43" s="6">
        <f>IFERROR(__xludf.DUMMYFUNCTION("""COMPUTED_VALUE"""),842352.0)</f>
        <v>842352</v>
      </c>
    </row>
    <row r="44">
      <c r="A44" s="7">
        <f>IFERROR(__xludf.DUMMYFUNCTION("""COMPUTED_VALUE"""),45485.64583333333)</f>
        <v>45485.64583</v>
      </c>
      <c r="B44" s="6">
        <f>IFERROR(__xludf.DUMMYFUNCTION("""COMPUTED_VALUE"""),5090.0)</f>
        <v>5090</v>
      </c>
      <c r="C44" s="6">
        <f>IFERROR(__xludf.DUMMYFUNCTION("""COMPUTED_VALUE"""),5348.8)</f>
        <v>5348.8</v>
      </c>
      <c r="D44" s="6">
        <f>IFERROR(__xludf.DUMMYFUNCTION("""COMPUTED_VALUE"""),5063.0)</f>
        <v>5063</v>
      </c>
      <c r="E44" s="6">
        <f>IFERROR(__xludf.DUMMYFUNCTION("""COMPUTED_VALUE"""),5198.75)</f>
        <v>5198.75</v>
      </c>
      <c r="F44" s="6">
        <f>IFERROR(__xludf.DUMMYFUNCTION("""COMPUTED_VALUE"""),1276865.0)</f>
        <v>1276865</v>
      </c>
    </row>
    <row r="45">
      <c r="A45" s="7">
        <f>IFERROR(__xludf.DUMMYFUNCTION("""COMPUTED_VALUE"""),45492.64583333333)</f>
        <v>45492.64583</v>
      </c>
      <c r="B45" s="6">
        <f>IFERROR(__xludf.DUMMYFUNCTION("""COMPUTED_VALUE"""),5236.1)</f>
        <v>5236.1</v>
      </c>
      <c r="C45" s="6">
        <f>IFERROR(__xludf.DUMMYFUNCTION("""COMPUTED_VALUE"""),5450.0)</f>
        <v>5450</v>
      </c>
      <c r="D45" s="6">
        <f>IFERROR(__xludf.DUMMYFUNCTION("""COMPUTED_VALUE"""),5111.55)</f>
        <v>5111.55</v>
      </c>
      <c r="E45" s="6">
        <f>IFERROR(__xludf.DUMMYFUNCTION("""COMPUTED_VALUE"""),5133.65)</f>
        <v>5133.65</v>
      </c>
      <c r="F45" s="6">
        <f>IFERROR(__xludf.DUMMYFUNCTION("""COMPUTED_VALUE"""),1191297.0)</f>
        <v>1191297</v>
      </c>
    </row>
    <row r="46">
      <c r="A46" s="7">
        <f>IFERROR(__xludf.DUMMYFUNCTION("""COMPUTED_VALUE"""),45499.64583333333)</f>
        <v>45499.64583</v>
      </c>
      <c r="B46" s="6">
        <f>IFERROR(__xludf.DUMMYFUNCTION("""COMPUTED_VALUE"""),5130.0)</f>
        <v>5130</v>
      </c>
      <c r="C46" s="6">
        <f>IFERROR(__xludf.DUMMYFUNCTION("""COMPUTED_VALUE"""),5316.85)</f>
        <v>5316.85</v>
      </c>
      <c r="D46" s="6">
        <f>IFERROR(__xludf.DUMMYFUNCTION("""COMPUTED_VALUE"""),5030.4)</f>
        <v>5030.4</v>
      </c>
      <c r="E46" s="6">
        <f>IFERROR(__xludf.DUMMYFUNCTION("""COMPUTED_VALUE"""),5289.85)</f>
        <v>5289.85</v>
      </c>
      <c r="F46" s="6">
        <f>IFERROR(__xludf.DUMMYFUNCTION("""COMPUTED_VALUE"""),618714.0)</f>
        <v>618714</v>
      </c>
    </row>
    <row r="47">
      <c r="A47" s="7">
        <f>IFERROR(__xludf.DUMMYFUNCTION("""COMPUTED_VALUE"""),45506.64583333333)</f>
        <v>45506.64583</v>
      </c>
      <c r="B47" s="6">
        <f>IFERROR(__xludf.DUMMYFUNCTION("""COMPUTED_VALUE"""),5325.0)</f>
        <v>5325</v>
      </c>
      <c r="C47" s="6">
        <f>IFERROR(__xludf.DUMMYFUNCTION("""COMPUTED_VALUE"""),5405.85)</f>
        <v>5405.85</v>
      </c>
      <c r="D47" s="6">
        <f>IFERROR(__xludf.DUMMYFUNCTION("""COMPUTED_VALUE"""),5180.0)</f>
        <v>5180</v>
      </c>
      <c r="E47" s="6">
        <f>IFERROR(__xludf.DUMMYFUNCTION("""COMPUTED_VALUE"""),5295.75)</f>
        <v>5295.75</v>
      </c>
      <c r="F47" s="6">
        <f>IFERROR(__xludf.DUMMYFUNCTION("""COMPUTED_VALUE"""),704108.0)</f>
        <v>704108</v>
      </c>
    </row>
    <row r="48">
      <c r="A48" s="7">
        <f>IFERROR(__xludf.DUMMYFUNCTION("""COMPUTED_VALUE"""),45513.64583333333)</f>
        <v>45513.64583</v>
      </c>
      <c r="B48" s="6">
        <f>IFERROR(__xludf.DUMMYFUNCTION("""COMPUTED_VALUE"""),5200.05)</f>
        <v>5200.05</v>
      </c>
      <c r="C48" s="6">
        <f>IFERROR(__xludf.DUMMYFUNCTION("""COMPUTED_VALUE"""),5848.0)</f>
        <v>5848</v>
      </c>
      <c r="D48" s="6">
        <f>IFERROR(__xludf.DUMMYFUNCTION("""COMPUTED_VALUE"""),5164.75)</f>
        <v>5164.75</v>
      </c>
      <c r="E48" s="6">
        <f>IFERROR(__xludf.DUMMYFUNCTION("""COMPUTED_VALUE"""),5796.85)</f>
        <v>5796.85</v>
      </c>
      <c r="F48" s="6">
        <f>IFERROR(__xludf.DUMMYFUNCTION("""COMPUTED_VALUE"""),3135304.0)</f>
        <v>3135304</v>
      </c>
    </row>
    <row r="49">
      <c r="A49" s="7">
        <f>IFERROR(__xludf.DUMMYFUNCTION("""COMPUTED_VALUE"""),45520.64583333333)</f>
        <v>45520.64583</v>
      </c>
      <c r="B49" s="6">
        <f>IFERROR(__xludf.DUMMYFUNCTION("""COMPUTED_VALUE"""),5850.0)</f>
        <v>5850</v>
      </c>
      <c r="C49" s="6">
        <f>IFERROR(__xludf.DUMMYFUNCTION("""COMPUTED_VALUE"""),5850.0)</f>
        <v>5850</v>
      </c>
      <c r="D49" s="6">
        <f>IFERROR(__xludf.DUMMYFUNCTION("""COMPUTED_VALUE"""),5625.6)</f>
        <v>5625.6</v>
      </c>
      <c r="E49" s="6">
        <f>IFERROR(__xludf.DUMMYFUNCTION("""COMPUTED_VALUE"""),5681.95)</f>
        <v>5681.95</v>
      </c>
      <c r="F49" s="6">
        <f>IFERROR(__xludf.DUMMYFUNCTION("""COMPUTED_VALUE"""),1242659.0)</f>
        <v>1242659</v>
      </c>
    </row>
    <row r="50">
      <c r="A50" s="7">
        <f>IFERROR(__xludf.DUMMYFUNCTION("""COMPUTED_VALUE"""),45527.64583333333)</f>
        <v>45527.64583</v>
      </c>
      <c r="B50" s="6">
        <f>IFERROR(__xludf.DUMMYFUNCTION("""COMPUTED_VALUE"""),5722.15)</f>
        <v>5722.15</v>
      </c>
      <c r="C50" s="6">
        <f>IFERROR(__xludf.DUMMYFUNCTION("""COMPUTED_VALUE"""),5864.55)</f>
        <v>5864.55</v>
      </c>
      <c r="D50" s="6">
        <f>IFERROR(__xludf.DUMMYFUNCTION("""COMPUTED_VALUE"""),5677.35)</f>
        <v>5677.35</v>
      </c>
      <c r="E50" s="6">
        <f>IFERROR(__xludf.DUMMYFUNCTION("""COMPUTED_VALUE"""),5753.85)</f>
        <v>5753.85</v>
      </c>
      <c r="F50" s="6">
        <f>IFERROR(__xludf.DUMMYFUNCTION("""COMPUTED_VALUE"""),1434059.0)</f>
        <v>1434059</v>
      </c>
    </row>
    <row r="51">
      <c r="A51" s="7">
        <f>IFERROR(__xludf.DUMMYFUNCTION("""COMPUTED_VALUE"""),45534.64583333333)</f>
        <v>45534.64583</v>
      </c>
      <c r="B51" s="6">
        <f>IFERROR(__xludf.DUMMYFUNCTION("""COMPUTED_VALUE"""),5795.15)</f>
        <v>5795.15</v>
      </c>
      <c r="C51" s="6">
        <f>IFERROR(__xludf.DUMMYFUNCTION("""COMPUTED_VALUE"""),6199.9)</f>
        <v>6199.9</v>
      </c>
      <c r="D51" s="6">
        <f>IFERROR(__xludf.DUMMYFUNCTION("""COMPUTED_VALUE"""),5700.0)</f>
        <v>5700</v>
      </c>
      <c r="E51" s="6">
        <f>IFERROR(__xludf.DUMMYFUNCTION("""COMPUTED_VALUE"""),6170.35)</f>
        <v>6170.35</v>
      </c>
      <c r="F51" s="6">
        <f>IFERROR(__xludf.DUMMYFUNCTION("""COMPUTED_VALUE"""),1686611.0)</f>
        <v>1686611</v>
      </c>
    </row>
    <row r="52">
      <c r="A52" s="7">
        <f>IFERROR(__xludf.DUMMYFUNCTION("""COMPUTED_VALUE"""),45541.64583333333)</f>
        <v>45541.64583</v>
      </c>
      <c r="B52" s="6">
        <f>IFERROR(__xludf.DUMMYFUNCTION("""COMPUTED_VALUE"""),6174.95)</f>
        <v>6174.95</v>
      </c>
      <c r="C52" s="6">
        <f>IFERROR(__xludf.DUMMYFUNCTION("""COMPUTED_VALUE"""),6346.7)</f>
        <v>6346.7</v>
      </c>
      <c r="D52" s="6">
        <f>IFERROR(__xludf.DUMMYFUNCTION("""COMPUTED_VALUE"""),6040.05)</f>
        <v>6040.05</v>
      </c>
      <c r="E52" s="6">
        <f>IFERROR(__xludf.DUMMYFUNCTION("""COMPUTED_VALUE"""),6309.95)</f>
        <v>6309.95</v>
      </c>
      <c r="F52" s="6">
        <f>IFERROR(__xludf.DUMMYFUNCTION("""COMPUTED_VALUE"""),1105594.0)</f>
        <v>1105594</v>
      </c>
    </row>
    <row r="53">
      <c r="A53" s="7">
        <f>IFERROR(__xludf.DUMMYFUNCTION("""COMPUTED_VALUE"""),45548.64583333333)</f>
        <v>45548.64583</v>
      </c>
      <c r="B53" s="6">
        <f>IFERROR(__xludf.DUMMYFUNCTION("""COMPUTED_VALUE"""),6310.45)</f>
        <v>6310.45</v>
      </c>
      <c r="C53" s="6">
        <f>IFERROR(__xludf.DUMMYFUNCTION("""COMPUTED_VALUE"""),6439.9)</f>
        <v>6439.9</v>
      </c>
      <c r="D53" s="6">
        <f>IFERROR(__xludf.DUMMYFUNCTION("""COMPUTED_VALUE"""),6250.4)</f>
        <v>6250.4</v>
      </c>
      <c r="E53" s="6">
        <f>IFERROR(__xludf.DUMMYFUNCTION("""COMPUTED_VALUE"""),6366.25)</f>
        <v>6366.25</v>
      </c>
      <c r="F53" s="6">
        <f>IFERROR(__xludf.DUMMYFUNCTION("""COMPUTED_VALUE"""),956927.0)</f>
        <v>956927</v>
      </c>
    </row>
    <row r="54">
      <c r="A54" s="7">
        <f>IFERROR(__xludf.DUMMYFUNCTION("""COMPUTED_VALUE"""),45555.64583333333)</f>
        <v>45555.64583</v>
      </c>
      <c r="B54" s="6">
        <f>IFERROR(__xludf.DUMMYFUNCTION("""COMPUTED_VALUE"""),6369.0)</f>
        <v>6369</v>
      </c>
      <c r="C54" s="6">
        <f>IFERROR(__xludf.DUMMYFUNCTION("""COMPUTED_VALUE"""),6411.25)</f>
        <v>6411.25</v>
      </c>
      <c r="D54" s="6">
        <f>IFERROR(__xludf.DUMMYFUNCTION("""COMPUTED_VALUE"""),6042.5)</f>
        <v>6042.5</v>
      </c>
      <c r="E54" s="6">
        <f>IFERROR(__xludf.DUMMYFUNCTION("""COMPUTED_VALUE"""),6086.75)</f>
        <v>6086.75</v>
      </c>
      <c r="F54" s="6">
        <f>IFERROR(__xludf.DUMMYFUNCTION("""COMPUTED_VALUE"""),677814.0)</f>
        <v>677814</v>
      </c>
    </row>
    <row r="55">
      <c r="A55" s="7">
        <f>IFERROR(__xludf.DUMMYFUNCTION("""COMPUTED_VALUE"""),45562.64583333333)</f>
        <v>45562.64583</v>
      </c>
      <c r="B55" s="6">
        <f>IFERROR(__xludf.DUMMYFUNCTION("""COMPUTED_VALUE"""),6111.0)</f>
        <v>6111</v>
      </c>
      <c r="C55" s="6">
        <f>IFERROR(__xludf.DUMMYFUNCTION("""COMPUTED_VALUE"""),6264.0)</f>
        <v>6264</v>
      </c>
      <c r="D55" s="6">
        <f>IFERROR(__xludf.DUMMYFUNCTION("""COMPUTED_VALUE"""),5966.05)</f>
        <v>5966.05</v>
      </c>
      <c r="E55" s="6">
        <f>IFERROR(__xludf.DUMMYFUNCTION("""COMPUTED_VALUE"""),6184.6)</f>
        <v>6184.6</v>
      </c>
      <c r="F55" s="6">
        <f>IFERROR(__xludf.DUMMYFUNCTION("""COMPUTED_VALUE"""),939364.0)</f>
        <v>939364</v>
      </c>
    </row>
    <row r="56">
      <c r="A56" s="7">
        <f>IFERROR(__xludf.DUMMYFUNCTION("""COMPUTED_VALUE"""),45569.64583333333)</f>
        <v>45569.64583</v>
      </c>
      <c r="B56" s="6">
        <f>IFERROR(__xludf.DUMMYFUNCTION("""COMPUTED_VALUE"""),6184.6)</f>
        <v>6184.6</v>
      </c>
      <c r="C56" s="6">
        <f>IFERROR(__xludf.DUMMYFUNCTION("""COMPUTED_VALUE"""),6320.0)</f>
        <v>6320</v>
      </c>
      <c r="D56" s="6">
        <f>IFERROR(__xludf.DUMMYFUNCTION("""COMPUTED_VALUE"""),6030.6)</f>
        <v>6030.6</v>
      </c>
      <c r="E56" s="6">
        <f>IFERROR(__xludf.DUMMYFUNCTION("""COMPUTED_VALUE"""),6194.15)</f>
        <v>6194.15</v>
      </c>
      <c r="F56" s="6">
        <f>IFERROR(__xludf.DUMMYFUNCTION("""COMPUTED_VALUE"""),910786.0)</f>
        <v>910786</v>
      </c>
    </row>
    <row r="57">
      <c r="A57" s="7">
        <f>IFERROR(__xludf.DUMMYFUNCTION("""COMPUTED_VALUE"""),45576.64583333333)</f>
        <v>45576.64583</v>
      </c>
      <c r="B57" s="6">
        <f>IFERROR(__xludf.DUMMYFUNCTION("""COMPUTED_VALUE"""),6230.0)</f>
        <v>6230</v>
      </c>
      <c r="C57" s="6">
        <f>IFERROR(__xludf.DUMMYFUNCTION("""COMPUTED_VALUE"""),6375.55)</f>
        <v>6375.55</v>
      </c>
      <c r="D57" s="6">
        <f>IFERROR(__xludf.DUMMYFUNCTION("""COMPUTED_VALUE"""),6071.4)</f>
        <v>6071.4</v>
      </c>
      <c r="E57" s="6">
        <f>IFERROR(__xludf.DUMMYFUNCTION("""COMPUTED_VALUE"""),6191.3)</f>
        <v>6191.3</v>
      </c>
      <c r="F57" s="6">
        <f>IFERROR(__xludf.DUMMYFUNCTION("""COMPUTED_VALUE"""),798969.0)</f>
        <v>798969</v>
      </c>
    </row>
    <row r="58">
      <c r="A58" s="7">
        <f>IFERROR(__xludf.DUMMYFUNCTION("""COMPUTED_VALUE"""),45583.64583333333)</f>
        <v>45583.64583</v>
      </c>
      <c r="B58" s="6">
        <f>IFERROR(__xludf.DUMMYFUNCTION("""COMPUTED_VALUE"""),6191.3)</f>
        <v>6191.3</v>
      </c>
      <c r="C58" s="6">
        <f>IFERROR(__xludf.DUMMYFUNCTION("""COMPUTED_VALUE"""),6318.55)</f>
        <v>6318.55</v>
      </c>
      <c r="D58" s="6">
        <f>IFERROR(__xludf.DUMMYFUNCTION("""COMPUTED_VALUE"""),5998.0)</f>
        <v>5998</v>
      </c>
      <c r="E58" s="6">
        <f>IFERROR(__xludf.DUMMYFUNCTION("""COMPUTED_VALUE"""),6132.75)</f>
        <v>6132.75</v>
      </c>
      <c r="F58" s="6">
        <f>IFERROR(__xludf.DUMMYFUNCTION("""COMPUTED_VALUE"""),823362.0)</f>
        <v>823362</v>
      </c>
    </row>
    <row r="59">
      <c r="A59" s="7">
        <f>IFERROR(__xludf.DUMMYFUNCTION("""COMPUTED_VALUE"""),45590.64583333333)</f>
        <v>45590.64583</v>
      </c>
      <c r="B59" s="6">
        <f>IFERROR(__xludf.DUMMYFUNCTION("""COMPUTED_VALUE"""),6170.0)</f>
        <v>6170</v>
      </c>
      <c r="C59" s="6">
        <f>IFERROR(__xludf.DUMMYFUNCTION("""COMPUTED_VALUE"""),6250.0)</f>
        <v>6250</v>
      </c>
      <c r="D59" s="6">
        <f>IFERROR(__xludf.DUMMYFUNCTION("""COMPUTED_VALUE"""),5805.0)</f>
        <v>5805</v>
      </c>
      <c r="E59" s="6">
        <f>IFERROR(__xludf.DUMMYFUNCTION("""COMPUTED_VALUE"""),5942.55)</f>
        <v>5942.55</v>
      </c>
      <c r="F59" s="6">
        <f>IFERROR(__xludf.DUMMYFUNCTION("""COMPUTED_VALUE"""),1021051.0)</f>
        <v>1021051</v>
      </c>
    </row>
    <row r="60">
      <c r="A60" s="7">
        <f>IFERROR(__xludf.DUMMYFUNCTION("""COMPUTED_VALUE"""),45604.64583333333)</f>
        <v>45604.64583</v>
      </c>
      <c r="B60" s="6">
        <f>IFERROR(__xludf.DUMMYFUNCTION("""COMPUTED_VALUE"""),5762.4)</f>
        <v>5762.4</v>
      </c>
      <c r="C60" s="6">
        <f>IFERROR(__xludf.DUMMYFUNCTION("""COMPUTED_VALUE"""),5958.9)</f>
        <v>5958.9</v>
      </c>
      <c r="D60" s="6">
        <f>IFERROR(__xludf.DUMMYFUNCTION("""COMPUTED_VALUE"""),5620.1)</f>
        <v>5620.1</v>
      </c>
      <c r="E60" s="6">
        <f>IFERROR(__xludf.DUMMYFUNCTION("""COMPUTED_VALUE"""),5706.5)</f>
        <v>5706.5</v>
      </c>
      <c r="F60" s="6">
        <f>IFERROR(__xludf.DUMMYFUNCTION("""COMPUTED_VALUE"""),1204035.0)</f>
        <v>1204035</v>
      </c>
    </row>
    <row r="61">
      <c r="A61" s="7">
        <f>IFERROR(__xludf.DUMMYFUNCTION("""COMPUTED_VALUE"""),45610.64583333333)</f>
        <v>45610.64583</v>
      </c>
      <c r="B61" s="6">
        <f>IFERROR(__xludf.DUMMYFUNCTION("""COMPUTED_VALUE"""),5712.0)</f>
        <v>5712</v>
      </c>
      <c r="C61" s="6">
        <f>IFERROR(__xludf.DUMMYFUNCTION("""COMPUTED_VALUE"""),5745.1)</f>
        <v>5745.1</v>
      </c>
      <c r="D61" s="6">
        <f>IFERROR(__xludf.DUMMYFUNCTION("""COMPUTED_VALUE"""),5361.05)</f>
        <v>5361.05</v>
      </c>
      <c r="E61" s="6">
        <f>IFERROR(__xludf.DUMMYFUNCTION("""COMPUTED_VALUE"""),5524.95)</f>
        <v>5524.95</v>
      </c>
      <c r="F61" s="6">
        <f>IFERROR(__xludf.DUMMYFUNCTION("""COMPUTED_VALUE"""),1503255.0)</f>
        <v>1503255</v>
      </c>
    </row>
    <row r="62">
      <c r="A62" s="7">
        <f>IFERROR(__xludf.DUMMYFUNCTION("""COMPUTED_VALUE"""),45618.64583333333)</f>
        <v>45618.64583</v>
      </c>
      <c r="B62" s="6">
        <f>IFERROR(__xludf.DUMMYFUNCTION("""COMPUTED_VALUE"""),5550.0)</f>
        <v>5550</v>
      </c>
      <c r="C62" s="6">
        <f>IFERROR(__xludf.DUMMYFUNCTION("""COMPUTED_VALUE"""),5665.0)</f>
        <v>5665</v>
      </c>
      <c r="D62" s="6">
        <f>IFERROR(__xludf.DUMMYFUNCTION("""COMPUTED_VALUE"""),5463.0)</f>
        <v>5463</v>
      </c>
      <c r="E62" s="6">
        <f>IFERROR(__xludf.DUMMYFUNCTION("""COMPUTED_VALUE"""),5583.35)</f>
        <v>5583.35</v>
      </c>
      <c r="F62" s="6">
        <f>IFERROR(__xludf.DUMMYFUNCTION("""COMPUTED_VALUE"""),1174651.0)</f>
        <v>1174651</v>
      </c>
    </row>
    <row r="63">
      <c r="A63" s="7">
        <f>IFERROR(__xludf.DUMMYFUNCTION("""COMPUTED_VALUE"""),45625.64583333333)</f>
        <v>45625.64583</v>
      </c>
      <c r="B63" s="6">
        <f>IFERROR(__xludf.DUMMYFUNCTION("""COMPUTED_VALUE"""),5699.0)</f>
        <v>5699</v>
      </c>
      <c r="C63" s="6">
        <f>IFERROR(__xludf.DUMMYFUNCTION("""COMPUTED_VALUE"""),5718.5)</f>
        <v>5718.5</v>
      </c>
      <c r="D63" s="6">
        <f>IFERROR(__xludf.DUMMYFUNCTION("""COMPUTED_VALUE"""),5374.2)</f>
        <v>5374.2</v>
      </c>
      <c r="E63" s="6">
        <f>IFERROR(__xludf.DUMMYFUNCTION("""COMPUTED_VALUE"""),5642.45)</f>
        <v>5642.45</v>
      </c>
      <c r="F63" s="6">
        <f>IFERROR(__xludf.DUMMYFUNCTION("""COMPUTED_VALUE"""),6883129.0)</f>
        <v>6883129</v>
      </c>
    </row>
    <row r="64">
      <c r="A64" s="7">
        <f>IFERROR(__xludf.DUMMYFUNCTION("""COMPUTED_VALUE"""),45632.64583333333)</f>
        <v>45632.64583</v>
      </c>
      <c r="B64" s="6">
        <f>IFERROR(__xludf.DUMMYFUNCTION("""COMPUTED_VALUE"""),5658.0)</f>
        <v>5658</v>
      </c>
      <c r="C64" s="6">
        <f>IFERROR(__xludf.DUMMYFUNCTION("""COMPUTED_VALUE"""),5751.0)</f>
        <v>5751</v>
      </c>
      <c r="D64" s="6">
        <f>IFERROR(__xludf.DUMMYFUNCTION("""COMPUTED_VALUE"""),5493.05)</f>
        <v>5493.05</v>
      </c>
      <c r="E64" s="6">
        <f>IFERROR(__xludf.DUMMYFUNCTION("""COMPUTED_VALUE"""),5505.4)</f>
        <v>5505.4</v>
      </c>
      <c r="F64" s="6">
        <f>IFERROR(__xludf.DUMMYFUNCTION("""COMPUTED_VALUE"""),863235.0)</f>
        <v>863235</v>
      </c>
    </row>
    <row r="65">
      <c r="A65" s="7">
        <f>IFERROR(__xludf.DUMMYFUNCTION("""COMPUTED_VALUE"""),45639.64583333333)</f>
        <v>45639.64583</v>
      </c>
      <c r="B65" s="6">
        <f>IFERROR(__xludf.DUMMYFUNCTION("""COMPUTED_VALUE"""),5532.95)</f>
        <v>5532.95</v>
      </c>
      <c r="C65" s="6">
        <f>IFERROR(__xludf.DUMMYFUNCTION("""COMPUTED_VALUE"""),5700.0)</f>
        <v>5700</v>
      </c>
      <c r="D65" s="6">
        <f>IFERROR(__xludf.DUMMYFUNCTION("""COMPUTED_VALUE"""),5341.55)</f>
        <v>5341.55</v>
      </c>
      <c r="E65" s="6">
        <f>IFERROR(__xludf.DUMMYFUNCTION("""COMPUTED_VALUE"""),5372.55)</f>
        <v>5372.55</v>
      </c>
      <c r="F65" s="6">
        <f>IFERROR(__xludf.DUMMYFUNCTION("""COMPUTED_VALUE"""),530685.0)</f>
        <v>530685</v>
      </c>
    </row>
    <row r="66">
      <c r="A66" s="7">
        <f>IFERROR(__xludf.DUMMYFUNCTION("""COMPUTED_VALUE"""),45646.64583333333)</f>
        <v>45646.64583</v>
      </c>
      <c r="B66" s="6">
        <f>IFERROR(__xludf.DUMMYFUNCTION("""COMPUTED_VALUE"""),5353.35)</f>
        <v>5353.35</v>
      </c>
      <c r="C66" s="6">
        <f>IFERROR(__xludf.DUMMYFUNCTION("""COMPUTED_VALUE"""),5543.25)</f>
        <v>5543.25</v>
      </c>
      <c r="D66" s="6">
        <f>IFERROR(__xludf.DUMMYFUNCTION("""COMPUTED_VALUE"""),5351.65)</f>
        <v>5351.65</v>
      </c>
      <c r="E66" s="6">
        <f>IFERROR(__xludf.DUMMYFUNCTION("""COMPUTED_VALUE"""),5427.5)</f>
        <v>5427.5</v>
      </c>
      <c r="F66" s="6">
        <f>IFERROR(__xludf.DUMMYFUNCTION("""COMPUTED_VALUE"""),632946.0)</f>
        <v>632946</v>
      </c>
    </row>
    <row r="67">
      <c r="A67" s="7">
        <f>IFERROR(__xludf.DUMMYFUNCTION("""COMPUTED_VALUE"""),45653.64583333333)</f>
        <v>45653.64583</v>
      </c>
      <c r="B67" s="6">
        <f>IFERROR(__xludf.DUMMYFUNCTION("""COMPUTED_VALUE"""),5431.3)</f>
        <v>5431.3</v>
      </c>
      <c r="C67" s="6">
        <f>IFERROR(__xludf.DUMMYFUNCTION("""COMPUTED_VALUE"""),5515.0)</f>
        <v>5515</v>
      </c>
      <c r="D67" s="6">
        <f>IFERROR(__xludf.DUMMYFUNCTION("""COMPUTED_VALUE"""),5345.05)</f>
        <v>5345.05</v>
      </c>
      <c r="E67" s="6">
        <f>IFERROR(__xludf.DUMMYFUNCTION("""COMPUTED_VALUE"""),5482.7)</f>
        <v>5482.7</v>
      </c>
      <c r="F67" s="6">
        <f>IFERROR(__xludf.DUMMYFUNCTION("""COMPUTED_VALUE"""),270740.0)</f>
        <v>270740</v>
      </c>
    </row>
    <row r="68">
      <c r="A68" s="7">
        <f>IFERROR(__xludf.DUMMYFUNCTION("""COMPUTED_VALUE"""),45660.64583333333)</f>
        <v>45660.64583</v>
      </c>
      <c r="B68" s="6">
        <f>IFERROR(__xludf.DUMMYFUNCTION("""COMPUTED_VALUE"""),5522.85)</f>
        <v>5522.85</v>
      </c>
      <c r="C68" s="6">
        <f>IFERROR(__xludf.DUMMYFUNCTION("""COMPUTED_VALUE"""),5684.65)</f>
        <v>5684.65</v>
      </c>
      <c r="D68" s="6">
        <f>IFERROR(__xludf.DUMMYFUNCTION("""COMPUTED_VALUE"""),5486.05)</f>
        <v>5486.05</v>
      </c>
      <c r="E68" s="6">
        <f>IFERROR(__xludf.DUMMYFUNCTION("""COMPUTED_VALUE"""),5502.65)</f>
        <v>5502.65</v>
      </c>
      <c r="F68" s="6">
        <f>IFERROR(__xludf.DUMMYFUNCTION("""COMPUTED_VALUE"""),532475.0)</f>
        <v>532475</v>
      </c>
    </row>
    <row r="69">
      <c r="A69" s="7">
        <f>IFERROR(__xludf.DUMMYFUNCTION("""COMPUTED_VALUE"""),45667.64583333333)</f>
        <v>45667.64583</v>
      </c>
      <c r="B69" s="6">
        <f>IFERROR(__xludf.DUMMYFUNCTION("""COMPUTED_VALUE"""),5476.15)</f>
        <v>5476.15</v>
      </c>
      <c r="C69" s="6">
        <f>IFERROR(__xludf.DUMMYFUNCTION("""COMPUTED_VALUE"""),5669.9)</f>
        <v>5669.9</v>
      </c>
      <c r="D69" s="6">
        <f>IFERROR(__xludf.DUMMYFUNCTION("""COMPUTED_VALUE"""),5311.65)</f>
        <v>5311.65</v>
      </c>
      <c r="E69" s="6">
        <f>IFERROR(__xludf.DUMMYFUNCTION("""COMPUTED_VALUE"""),5376.05)</f>
        <v>5376.05</v>
      </c>
      <c r="F69" s="6">
        <f>IFERROR(__xludf.DUMMYFUNCTION("""COMPUTED_VALUE"""),490095.0)</f>
        <v>490095</v>
      </c>
    </row>
    <row r="70">
      <c r="A70" s="7">
        <f>IFERROR(__xludf.DUMMYFUNCTION("""COMPUTED_VALUE"""),45674.64583333333)</f>
        <v>45674.64583</v>
      </c>
      <c r="B70" s="6">
        <f>IFERROR(__xludf.DUMMYFUNCTION("""COMPUTED_VALUE"""),5301.0)</f>
        <v>5301</v>
      </c>
      <c r="C70" s="6">
        <f>IFERROR(__xludf.DUMMYFUNCTION("""COMPUTED_VALUE"""),5461.0)</f>
        <v>5461</v>
      </c>
      <c r="D70" s="6">
        <f>IFERROR(__xludf.DUMMYFUNCTION("""COMPUTED_VALUE"""),5143.0)</f>
        <v>5143</v>
      </c>
      <c r="E70" s="6">
        <f>IFERROR(__xludf.DUMMYFUNCTION("""COMPUTED_VALUE"""),5255.85)</f>
        <v>5255.85</v>
      </c>
      <c r="F70" s="6">
        <f>IFERROR(__xludf.DUMMYFUNCTION("""COMPUTED_VALUE"""),421282.0)</f>
        <v>421282</v>
      </c>
    </row>
    <row r="71">
      <c r="A71" s="7">
        <f>IFERROR(__xludf.DUMMYFUNCTION("""COMPUTED_VALUE"""),45681.64583333333)</f>
        <v>45681.64583</v>
      </c>
      <c r="B71" s="6">
        <f>IFERROR(__xludf.DUMMYFUNCTION("""COMPUTED_VALUE"""),5260.65)</f>
        <v>5260.65</v>
      </c>
      <c r="C71" s="6">
        <f>IFERROR(__xludf.DUMMYFUNCTION("""COMPUTED_VALUE"""),5299.0)</f>
        <v>5299</v>
      </c>
      <c r="D71" s="6">
        <f>IFERROR(__xludf.DUMMYFUNCTION("""COMPUTED_VALUE"""),4999.0)</f>
        <v>4999</v>
      </c>
      <c r="E71" s="6">
        <f>IFERROR(__xludf.DUMMYFUNCTION("""COMPUTED_VALUE"""),5022.7)</f>
        <v>5022.7</v>
      </c>
      <c r="F71" s="6">
        <f>IFERROR(__xludf.DUMMYFUNCTION("""COMPUTED_VALUE"""),361322.0)</f>
        <v>361322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IFERROR(__xludf.DUMMYFUNCTION("""COMPUTED_VALUE"""),5022.65)</f>
        <v>5022.65</v>
      </c>
      <c r="C72" s="6">
        <f>IFERROR(__xludf.DUMMYFUNCTION("""COMPUTED_VALUE"""),5318.0)</f>
        <v>5318</v>
      </c>
      <c r="D72" s="6">
        <f>IFERROR(__xludf.DUMMYFUNCTION("""COMPUTED_VALUE"""),4977.6)</f>
        <v>4977.6</v>
      </c>
      <c r="E72" s="6">
        <f>IFERROR(__xludf.DUMMYFUNCTION("""COMPUTED_VALUE"""),5151.35)</f>
        <v>5151.35</v>
      </c>
      <c r="F72" s="6">
        <f>IFERROR(__xludf.DUMMYFUNCTION("""COMPUTED_VALUE"""),848907.0)</f>
        <v>848907</v>
      </c>
    </row>
    <row r="73">
      <c r="A73" s="7">
        <f>IFERROR(__xludf.DUMMYFUNCTION("""COMPUTED_VALUE"""),45702.64583333333)</f>
        <v>45702.64583</v>
      </c>
      <c r="B73" s="6">
        <f>IFERROR(__xludf.DUMMYFUNCTION("""COMPUTED_VALUE"""),5095.05)</f>
        <v>5095.05</v>
      </c>
      <c r="C73" s="6">
        <f>IFERROR(__xludf.DUMMYFUNCTION("""COMPUTED_VALUE"""),5095.05)</f>
        <v>5095.05</v>
      </c>
      <c r="D73" s="6">
        <f>IFERROR(__xludf.DUMMYFUNCTION("""COMPUTED_VALUE"""),4562.65)</f>
        <v>4562.65</v>
      </c>
      <c r="E73" s="6">
        <f>IFERROR(__xludf.DUMMYFUNCTION("""COMPUTED_VALUE"""),4651.5)</f>
        <v>4651.5</v>
      </c>
      <c r="F73" s="6">
        <f>IFERROR(__xludf.DUMMYFUNCTION("""COMPUTED_VALUE"""),1728360.0)</f>
        <v>1728360</v>
      </c>
    </row>
    <row r="74">
      <c r="A74" s="7">
        <f>IFERROR(__xludf.DUMMYFUNCTION("""COMPUTED_VALUE"""),45709.64583333333)</f>
        <v>45709.64583</v>
      </c>
      <c r="B74" s="6">
        <f>IFERROR(__xludf.DUMMYFUNCTION("""COMPUTED_VALUE"""),4655.0)</f>
        <v>4655</v>
      </c>
      <c r="C74" s="6">
        <f>IFERROR(__xludf.DUMMYFUNCTION("""COMPUTED_VALUE"""),4806.0)</f>
        <v>4806</v>
      </c>
      <c r="D74" s="6">
        <f>IFERROR(__xludf.DUMMYFUNCTION("""COMPUTED_VALUE"""),4570.0)</f>
        <v>4570</v>
      </c>
      <c r="E74" s="6">
        <f>IFERROR(__xludf.DUMMYFUNCTION("""COMPUTED_VALUE"""),4601.25)</f>
        <v>4601.25</v>
      </c>
      <c r="F74" s="6">
        <f>IFERROR(__xludf.DUMMYFUNCTION("""COMPUTED_VALUE"""),930027.0)</f>
        <v>930027</v>
      </c>
    </row>
    <row r="75">
      <c r="A75" s="7">
        <f>IFERROR(__xludf.DUMMYFUNCTION("""COMPUTED_VALUE"""),45716.64583333333)</f>
        <v>45716.64583</v>
      </c>
      <c r="B75" s="6">
        <f>IFERROR(__xludf.DUMMYFUNCTION("""COMPUTED_VALUE"""),4590.0)</f>
        <v>4590</v>
      </c>
      <c r="C75" s="6">
        <f>IFERROR(__xludf.DUMMYFUNCTION("""COMPUTED_VALUE"""),4785.15)</f>
        <v>4785.15</v>
      </c>
      <c r="D75" s="6">
        <f>IFERROR(__xludf.DUMMYFUNCTION("""COMPUTED_VALUE"""),4491.65)</f>
        <v>4491.65</v>
      </c>
      <c r="E75" s="6">
        <f>IFERROR(__xludf.DUMMYFUNCTION("""COMPUTED_VALUE"""),4646.2)</f>
        <v>4646.2</v>
      </c>
      <c r="F75" s="6">
        <f>IFERROR(__xludf.DUMMYFUNCTION("""COMPUTED_VALUE"""),975803.0)</f>
        <v>975803</v>
      </c>
    </row>
    <row r="76">
      <c r="A76" s="7">
        <f>IFERROR(__xludf.DUMMYFUNCTION("""COMPUTED_VALUE"""),45723.64583333333)</f>
        <v>45723.64583</v>
      </c>
      <c r="B76" s="6">
        <f>IFERROR(__xludf.DUMMYFUNCTION("""COMPUTED_VALUE"""),4601.0)</f>
        <v>4601</v>
      </c>
      <c r="C76" s="6">
        <f>IFERROR(__xludf.DUMMYFUNCTION("""COMPUTED_VALUE"""),4782.35)</f>
        <v>4782.35</v>
      </c>
      <c r="D76" s="6">
        <f>IFERROR(__xludf.DUMMYFUNCTION("""COMPUTED_VALUE"""),4523.0)</f>
        <v>4523</v>
      </c>
      <c r="E76" s="6">
        <f>IFERROR(__xludf.DUMMYFUNCTION("""COMPUTED_VALUE"""),4738.05)</f>
        <v>4738.05</v>
      </c>
      <c r="F76" s="6">
        <f>IFERROR(__xludf.DUMMYFUNCTION("""COMPUTED_VALUE"""),772949.0)</f>
        <v>772949</v>
      </c>
    </row>
    <row r="77">
      <c r="A77" s="7">
        <f>IFERROR(__xludf.DUMMYFUNCTION("""COMPUTED_VALUE"""),45729.64583333333)</f>
        <v>45729.64583</v>
      </c>
      <c r="B77" s="6">
        <f>IFERROR(__xludf.DUMMYFUNCTION("""COMPUTED_VALUE"""),4738.0)</f>
        <v>4738</v>
      </c>
      <c r="C77" s="6">
        <f>IFERROR(__xludf.DUMMYFUNCTION("""COMPUTED_VALUE"""),4805.9)</f>
        <v>4805.9</v>
      </c>
      <c r="D77" s="6">
        <f>IFERROR(__xludf.DUMMYFUNCTION("""COMPUTED_VALUE"""),4608.0)</f>
        <v>4608</v>
      </c>
      <c r="E77" s="6">
        <f>IFERROR(__xludf.DUMMYFUNCTION("""COMPUTED_VALUE"""),4706.95)</f>
        <v>4706.95</v>
      </c>
      <c r="F77" s="6">
        <f>IFERROR(__xludf.DUMMYFUNCTION("""COMPUTED_VALUE"""),359961.0)</f>
        <v>359961</v>
      </c>
    </row>
    <row r="78">
      <c r="A78" s="7">
        <f>IFERROR(__xludf.DUMMYFUNCTION("""COMPUTED_VALUE"""),45737.64583333333)</f>
        <v>45737.64583</v>
      </c>
      <c r="B78" s="6">
        <f>IFERROR(__xludf.DUMMYFUNCTION("""COMPUTED_VALUE"""),4870.0)</f>
        <v>4870</v>
      </c>
      <c r="C78" s="6">
        <f>IFERROR(__xludf.DUMMYFUNCTION("""COMPUTED_VALUE"""),5016.75)</f>
        <v>5016.75</v>
      </c>
      <c r="D78" s="6">
        <f>IFERROR(__xludf.DUMMYFUNCTION("""COMPUTED_VALUE"""),4789.0)</f>
        <v>4789</v>
      </c>
      <c r="E78" s="6">
        <f>IFERROR(__xludf.DUMMYFUNCTION("""COMPUTED_VALUE"""),4979.0)</f>
        <v>4979</v>
      </c>
      <c r="F78" s="6">
        <f>IFERROR(__xludf.DUMMYFUNCTION("""COMPUTED_VALUE"""),383768.0)</f>
        <v>383768</v>
      </c>
    </row>
    <row r="79">
      <c r="A79" s="7">
        <f>IFERROR(__xludf.DUMMYFUNCTION("""COMPUTED_VALUE"""),45744.64583333333)</f>
        <v>45744.64583</v>
      </c>
      <c r="B79" s="6">
        <f>IFERROR(__xludf.DUMMYFUNCTION("""COMPUTED_VALUE"""),5015.0)</f>
        <v>5015</v>
      </c>
      <c r="C79" s="6">
        <f>IFERROR(__xludf.DUMMYFUNCTION("""COMPUTED_VALUE"""),5092.4)</f>
        <v>5092.4</v>
      </c>
      <c r="D79" s="6">
        <f>IFERROR(__xludf.DUMMYFUNCTION("""COMPUTED_VALUE"""),4848.0)</f>
        <v>4848</v>
      </c>
      <c r="E79" s="6">
        <f>IFERROR(__xludf.DUMMYFUNCTION("""COMPUTED_VALUE"""),4881.7)</f>
        <v>4881.7</v>
      </c>
      <c r="F79" s="6">
        <f>IFERROR(__xludf.DUMMYFUNCTION("""COMPUTED_VALUE"""),536563.0)</f>
        <v>536563</v>
      </c>
    </row>
    <row r="80">
      <c r="A80" s="7">
        <f>IFERROR(__xludf.DUMMYFUNCTION("""COMPUTED_VALUE"""),45751.64583333333)</f>
        <v>45751.64583</v>
      </c>
      <c r="B80" s="6">
        <f>IFERROR(__xludf.DUMMYFUNCTION("""COMPUTED_VALUE"""),4889.95)</f>
        <v>4889.95</v>
      </c>
      <c r="C80" s="6">
        <f>IFERROR(__xludf.DUMMYFUNCTION("""COMPUTED_VALUE"""),5012.95)</f>
        <v>5012.95</v>
      </c>
      <c r="D80" s="6">
        <f>IFERROR(__xludf.DUMMYFUNCTION("""COMPUTED_VALUE"""),4738.55)</f>
        <v>4738.55</v>
      </c>
      <c r="E80" s="6">
        <f>IFERROR(__xludf.DUMMYFUNCTION("""COMPUTED_VALUE"""),4828.7)</f>
        <v>4828.7</v>
      </c>
      <c r="F80" s="6">
        <f>IFERROR(__xludf.DUMMYFUNCTION("""COMPUTED_VALUE"""),385360.0)</f>
        <v>385360</v>
      </c>
    </row>
    <row r="81">
      <c r="A81" s="7">
        <f>IFERROR(__xludf.DUMMYFUNCTION("""COMPUTED_VALUE"""),45758.64583333333)</f>
        <v>45758.64583</v>
      </c>
      <c r="B81" s="6">
        <f>IFERROR(__xludf.DUMMYFUNCTION("""COMPUTED_VALUE"""),4623.0)</f>
        <v>4623</v>
      </c>
      <c r="C81" s="6">
        <f>IFERROR(__xludf.DUMMYFUNCTION("""COMPUTED_VALUE"""),4909.35)</f>
        <v>4909.35</v>
      </c>
      <c r="D81" s="6">
        <f>IFERROR(__xludf.DUMMYFUNCTION("""COMPUTED_VALUE"""),4611.85)</f>
        <v>4611.85</v>
      </c>
      <c r="E81" s="6">
        <f>IFERROR(__xludf.DUMMYFUNCTION("""COMPUTED_VALUE"""),4887.45)</f>
        <v>4887.45</v>
      </c>
      <c r="F81" s="6">
        <f>IFERROR(__xludf.DUMMYFUNCTION("""COMPUTED_VALUE"""),341458.0)</f>
        <v>341458</v>
      </c>
    </row>
    <row r="82">
      <c r="A82" s="7">
        <f>IFERROR(__xludf.DUMMYFUNCTION("""COMPUTED_VALUE"""),45764.64583333333)</f>
        <v>45764.64583</v>
      </c>
      <c r="B82" s="6">
        <f>IFERROR(__xludf.DUMMYFUNCTION("""COMPUTED_VALUE"""),4900.0)</f>
        <v>4900</v>
      </c>
      <c r="C82" s="6">
        <f>IFERROR(__xludf.DUMMYFUNCTION("""COMPUTED_VALUE"""),4989.5)</f>
        <v>4989.5</v>
      </c>
      <c r="D82" s="6">
        <f>IFERROR(__xludf.DUMMYFUNCTION("""COMPUTED_VALUE"""),4852.0)</f>
        <v>4852</v>
      </c>
      <c r="E82" s="6">
        <f>IFERROR(__xludf.DUMMYFUNCTION("""COMPUTED_VALUE"""),4953.3)</f>
        <v>4953.3</v>
      </c>
      <c r="F82" s="6">
        <f>IFERROR(__xludf.DUMMYFUNCTION("""COMPUTED_VALUE"""),207758.0)</f>
        <v>207758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IFERROR(__xludf.DUMMYFUNCTION("""COMPUTED_VALUE"""),4960.0)</f>
        <v>4960</v>
      </c>
      <c r="C83" s="6">
        <f>IFERROR(__xludf.DUMMYFUNCTION("""COMPUTED_VALUE"""),5299.0)</f>
        <v>5299</v>
      </c>
      <c r="D83" s="6">
        <f>IFERROR(__xludf.DUMMYFUNCTION("""COMPUTED_VALUE"""),4921.0)</f>
        <v>4921</v>
      </c>
      <c r="E83" s="6">
        <f>IFERROR(__xludf.DUMMYFUNCTION("""COMPUTED_VALUE"""),5033.5)</f>
        <v>5033.5</v>
      </c>
      <c r="F83" s="6">
        <f>IFERROR(__xludf.DUMMYFUNCTION("""COMPUTED_VALUE"""),520270.0)</f>
        <v>520270</v>
      </c>
    </row>
    <row r="84">
      <c r="A84" s="7">
        <f>IFERROR(__xludf.DUMMYFUNCTION("""COMPUTED_VALUE"""),45779.64583333333)</f>
        <v>45779.64583</v>
      </c>
      <c r="B84" s="6">
        <f>IFERROR(__xludf.DUMMYFUNCTION("""COMPUTED_VALUE"""),4999.0)</f>
        <v>4999</v>
      </c>
      <c r="C84" s="6">
        <f>IFERROR(__xludf.DUMMYFUNCTION("""COMPUTED_VALUE"""),5165.9)</f>
        <v>5165.9</v>
      </c>
      <c r="D84" s="6">
        <f>IFERROR(__xludf.DUMMYFUNCTION("""COMPUTED_VALUE"""),4960.7)</f>
        <v>4960.7</v>
      </c>
      <c r="E84" s="6">
        <f>IFERROR(__xludf.DUMMYFUNCTION("""COMPUTED_VALUE"""),5076.0)</f>
        <v>5076</v>
      </c>
      <c r="F84" s="6">
        <f>IFERROR(__xludf.DUMMYFUNCTION("""COMPUTED_VALUE"""),253160.0)</f>
        <v>253160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IFERROR(__xludf.DUMMYFUNCTION("""COMPUTED_VALUE"""),5050.0)</f>
        <v>5050</v>
      </c>
      <c r="C85" s="6">
        <f>IFERROR(__xludf.DUMMYFUNCTION("""COMPUTED_VALUE"""),5150.0)</f>
        <v>5150</v>
      </c>
      <c r="D85" s="6">
        <f>IFERROR(__xludf.DUMMYFUNCTION("""COMPUTED_VALUE"""),4850.0)</f>
        <v>4850</v>
      </c>
      <c r="E85" s="6">
        <f>IFERROR(__xludf.DUMMYFUNCTION("""COMPUTED_VALUE"""),4946.5)</f>
        <v>4946.5</v>
      </c>
      <c r="F85" s="6">
        <f>IFERROR(__xludf.DUMMYFUNCTION("""COMPUTED_VALUE"""),306424.0)</f>
        <v>306424</v>
      </c>
    </row>
    <row r="86">
      <c r="A86" s="7">
        <f>IFERROR(__xludf.DUMMYFUNCTION("""COMPUTED_VALUE"""),45793.64583333333)</f>
        <v>45793.64583</v>
      </c>
      <c r="B86" s="6">
        <f>IFERROR(__xludf.DUMMYFUNCTION("""COMPUTED_VALUE"""),4969.0)</f>
        <v>4969</v>
      </c>
      <c r="C86" s="6">
        <f>IFERROR(__xludf.DUMMYFUNCTION("""COMPUTED_VALUE"""),5320.5)</f>
        <v>5320.5</v>
      </c>
      <c r="D86" s="6">
        <f>IFERROR(__xludf.DUMMYFUNCTION("""COMPUTED_VALUE"""),4935.0)</f>
        <v>4935</v>
      </c>
      <c r="E86" s="6">
        <f>IFERROR(__xludf.DUMMYFUNCTION("""COMPUTED_VALUE"""),5221.0)</f>
        <v>5221</v>
      </c>
      <c r="F86" s="6">
        <f>IFERROR(__xludf.DUMMYFUNCTION("""COMPUTED_VALUE"""),521387.0)</f>
        <v>521387</v>
      </c>
    </row>
    <row r="87">
      <c r="A87" s="7">
        <f>IFERROR(__xludf.DUMMYFUNCTION("""COMPUTED_VALUE"""),45800.64583333333)</f>
        <v>45800.64583</v>
      </c>
      <c r="B87" s="6">
        <f>IFERROR(__xludf.DUMMYFUNCTION("""COMPUTED_VALUE"""),5225.0)</f>
        <v>5225</v>
      </c>
      <c r="C87" s="6">
        <f>IFERROR(__xludf.DUMMYFUNCTION("""COMPUTED_VALUE"""),5400.0)</f>
        <v>5400</v>
      </c>
      <c r="D87" s="6">
        <f>IFERROR(__xludf.DUMMYFUNCTION("""COMPUTED_VALUE"""),5192.0)</f>
        <v>5192</v>
      </c>
      <c r="E87" s="6">
        <f>IFERROR(__xludf.DUMMYFUNCTION("""COMPUTED_VALUE"""),5288.0)</f>
        <v>5288</v>
      </c>
      <c r="F87" s="6">
        <f>IFERROR(__xludf.DUMMYFUNCTION("""COMPUTED_VALUE"""),762851.0)</f>
        <v>762851</v>
      </c>
    </row>
    <row r="88">
      <c r="A88" s="7">
        <f>IFERROR(__xludf.DUMMYFUNCTION("""COMPUTED_VALUE"""),45807.64583333333)</f>
        <v>45807.64583</v>
      </c>
      <c r="B88" s="6">
        <f>IFERROR(__xludf.DUMMYFUNCTION("""COMPUTED_VALUE"""),5349.0)</f>
        <v>5349</v>
      </c>
      <c r="C88" s="6">
        <f>IFERROR(__xludf.DUMMYFUNCTION("""COMPUTED_VALUE"""),5367.0)</f>
        <v>5367</v>
      </c>
      <c r="D88" s="6">
        <f>IFERROR(__xludf.DUMMYFUNCTION("""COMPUTED_VALUE"""),5043.5)</f>
        <v>5043.5</v>
      </c>
      <c r="E88" s="6">
        <f>IFERROR(__xludf.DUMMYFUNCTION("""COMPUTED_VALUE"""),5098.5)</f>
        <v>5098.5</v>
      </c>
      <c r="F88" s="6">
        <f>IFERROR(__xludf.DUMMYFUNCTION("""COMPUTED_VALUE"""),1297938.0)</f>
        <v>1297938</v>
      </c>
    </row>
    <row r="89">
      <c r="A89" s="7">
        <f>IFERROR(__xludf.DUMMYFUNCTION("""COMPUTED_VALUE"""),45814.64583333333)</f>
        <v>45814.64583</v>
      </c>
      <c r="B89" s="6">
        <f>IFERROR(__xludf.DUMMYFUNCTION("""COMPUTED_VALUE"""),5077.0)</f>
        <v>5077</v>
      </c>
      <c r="C89" s="6">
        <f>IFERROR(__xludf.DUMMYFUNCTION("""COMPUTED_VALUE"""),5118.0)</f>
        <v>5118</v>
      </c>
      <c r="D89" s="6">
        <f>IFERROR(__xludf.DUMMYFUNCTION("""COMPUTED_VALUE"""),4811.0)</f>
        <v>4811</v>
      </c>
      <c r="E89" s="6">
        <f>IFERROR(__xludf.DUMMYFUNCTION("""COMPUTED_VALUE"""),4862.5)</f>
        <v>4862.5</v>
      </c>
      <c r="F89" s="6">
        <f>IFERROR(__xludf.DUMMYFUNCTION("""COMPUTED_VALUE"""),1381408.0)</f>
        <v>1381408</v>
      </c>
    </row>
    <row r="90">
      <c r="A90" s="7">
        <f>IFERROR(__xludf.DUMMYFUNCTION("""COMPUTED_VALUE"""),45821.64583333333)</f>
        <v>45821.64583</v>
      </c>
      <c r="B90" s="6">
        <f>IFERROR(__xludf.DUMMYFUNCTION("""COMPUTED_VALUE"""),4889.0)</f>
        <v>4889</v>
      </c>
      <c r="C90" s="6">
        <f>IFERROR(__xludf.DUMMYFUNCTION("""COMPUTED_VALUE"""),5005.0)</f>
        <v>5005</v>
      </c>
      <c r="D90" s="6">
        <f>IFERROR(__xludf.DUMMYFUNCTION("""COMPUTED_VALUE"""),4743.5)</f>
        <v>4743.5</v>
      </c>
      <c r="E90" s="6">
        <f>IFERROR(__xludf.DUMMYFUNCTION("""COMPUTED_VALUE"""),4847.5)</f>
        <v>4847.5</v>
      </c>
      <c r="F90" s="6">
        <f>IFERROR(__xludf.DUMMYFUNCTION("""COMPUTED_VALUE"""),1458439.0)</f>
        <v>1458439</v>
      </c>
    </row>
    <row r="91">
      <c r="A91" s="7">
        <f>IFERROR(__xludf.DUMMYFUNCTION("""COMPUTED_VALUE"""),45828.64583333333)</f>
        <v>45828.64583</v>
      </c>
      <c r="B91" s="6">
        <f>IFERROR(__xludf.DUMMYFUNCTION("""COMPUTED_VALUE"""),4832.0)</f>
        <v>4832</v>
      </c>
      <c r="C91" s="6">
        <f>IFERROR(__xludf.DUMMYFUNCTION("""COMPUTED_VALUE"""),4882.5)</f>
        <v>4882.5</v>
      </c>
      <c r="D91" s="6">
        <f>IFERROR(__xludf.DUMMYFUNCTION("""COMPUTED_VALUE"""),4743.5)</f>
        <v>4743.5</v>
      </c>
      <c r="E91" s="6">
        <f>IFERROR(__xludf.DUMMYFUNCTION("""COMPUTED_VALUE"""),4773.5)</f>
        <v>4773.5</v>
      </c>
      <c r="F91" s="6">
        <f>IFERROR(__xludf.DUMMYFUNCTION("""COMPUTED_VALUE"""),1174143.0)</f>
        <v>1174143</v>
      </c>
    </row>
    <row r="92">
      <c r="A92" s="7">
        <f>IFERROR(__xludf.DUMMYFUNCTION("""COMPUTED_VALUE"""),45835.64583333333)</f>
        <v>45835.64583</v>
      </c>
      <c r="B92" s="6">
        <f>IFERROR(__xludf.DUMMYFUNCTION("""COMPUTED_VALUE"""),4774.5)</f>
        <v>4774.5</v>
      </c>
      <c r="C92" s="6">
        <f>IFERROR(__xludf.DUMMYFUNCTION("""COMPUTED_VALUE"""),4920.0)</f>
        <v>4920</v>
      </c>
      <c r="D92" s="6">
        <f>IFERROR(__xludf.DUMMYFUNCTION("""COMPUTED_VALUE"""),4730.5)</f>
        <v>4730.5</v>
      </c>
      <c r="E92" s="6">
        <f>IFERROR(__xludf.DUMMYFUNCTION("""COMPUTED_VALUE"""),4906.5)</f>
        <v>4906.5</v>
      </c>
      <c r="F92" s="6">
        <f>IFERROR(__xludf.DUMMYFUNCTION("""COMPUTED_VALUE"""),879919.0)</f>
        <v>879919</v>
      </c>
    </row>
    <row r="93">
      <c r="A93" s="7">
        <f>IFERROR(__xludf.DUMMYFUNCTION("""COMPUTED_VALUE"""),45842.64583333333)</f>
        <v>45842.64583</v>
      </c>
      <c r="B93" s="6">
        <f>IFERROR(__xludf.DUMMYFUNCTION("""COMPUTED_VALUE"""),4930.5)</f>
        <v>4930.5</v>
      </c>
      <c r="C93" s="6">
        <f>IFERROR(__xludf.DUMMYFUNCTION("""COMPUTED_VALUE"""),4945.0)</f>
        <v>4945</v>
      </c>
      <c r="D93" s="6">
        <f>IFERROR(__xludf.DUMMYFUNCTION("""COMPUTED_VALUE"""),4813.6)</f>
        <v>4813.6</v>
      </c>
      <c r="E93" s="6">
        <f>IFERROR(__xludf.DUMMYFUNCTION("""COMPUTED_VALUE"""),4886.3)</f>
        <v>4886.3</v>
      </c>
      <c r="F93" s="6">
        <f>IFERROR(__xludf.DUMMYFUNCTION("""COMPUTED_VALUE"""),650809.0)</f>
        <v>650809</v>
      </c>
    </row>
    <row r="94">
      <c r="A94" s="7">
        <f>IFERROR(__xludf.DUMMYFUNCTION("""COMPUTED_VALUE"""),45849.64583333333)</f>
        <v>45849.64583</v>
      </c>
      <c r="B94" s="6">
        <f>IFERROR(__xludf.DUMMYFUNCTION("""COMPUTED_VALUE"""),4895.0)</f>
        <v>4895</v>
      </c>
      <c r="C94" s="6">
        <f>IFERROR(__xludf.DUMMYFUNCTION("""COMPUTED_VALUE"""),4905.8)</f>
        <v>4905.8</v>
      </c>
      <c r="D94" s="6">
        <f>IFERROR(__xludf.DUMMYFUNCTION("""COMPUTED_VALUE"""),4716.2)</f>
        <v>4716.2</v>
      </c>
      <c r="E94" s="6">
        <f>IFERROR(__xludf.DUMMYFUNCTION("""COMPUTED_VALUE"""),4806.7)</f>
        <v>4806.7</v>
      </c>
      <c r="F94" s="6">
        <f>IFERROR(__xludf.DUMMYFUNCTION("""COMPUTED_VALUE"""),683518.0)</f>
        <v>683518</v>
      </c>
    </row>
    <row r="95">
      <c r="A95" s="7">
        <f>IFERROR(__xludf.DUMMYFUNCTION("""COMPUTED_VALUE"""),45856.64583333333)</f>
        <v>45856.64583</v>
      </c>
      <c r="B95" s="6">
        <f>IFERROR(__xludf.DUMMYFUNCTION("""COMPUTED_VALUE"""),4796.7)</f>
        <v>4796.7</v>
      </c>
      <c r="C95" s="6">
        <f>IFERROR(__xludf.DUMMYFUNCTION("""COMPUTED_VALUE"""),5048.0)</f>
        <v>5048</v>
      </c>
      <c r="D95" s="6">
        <f>IFERROR(__xludf.DUMMYFUNCTION("""COMPUTED_VALUE"""),4786.7)</f>
        <v>4786.7</v>
      </c>
      <c r="E95" s="6">
        <f>IFERROR(__xludf.DUMMYFUNCTION("""COMPUTED_VALUE"""),4998.5)</f>
        <v>4998.5</v>
      </c>
      <c r="F95" s="6">
        <f>IFERROR(__xludf.DUMMYFUNCTION("""COMPUTED_VALUE"""),687991.0)</f>
        <v>687991</v>
      </c>
    </row>
    <row r="96">
      <c r="A96" s="7">
        <f>IFERROR(__xludf.DUMMYFUNCTION("""COMPUTED_VALUE"""),45863.64583333333)</f>
        <v>45863.64583</v>
      </c>
      <c r="B96" s="6">
        <f>IFERROR(__xludf.DUMMYFUNCTION("""COMPUTED_VALUE"""),4998.5)</f>
        <v>4998.5</v>
      </c>
      <c r="C96" s="6">
        <f>IFERROR(__xludf.DUMMYFUNCTION("""COMPUTED_VALUE"""),5040.0)</f>
        <v>5040</v>
      </c>
      <c r="D96" s="6">
        <f>IFERROR(__xludf.DUMMYFUNCTION("""COMPUTED_VALUE"""),4928.5)</f>
        <v>4928.5</v>
      </c>
      <c r="E96" s="6">
        <f>IFERROR(__xludf.DUMMYFUNCTION("""COMPUTED_VALUE"""),5011.9)</f>
        <v>5011.9</v>
      </c>
      <c r="F96" s="6">
        <f>IFERROR(__xludf.DUMMYFUNCTION("""COMPUTED_VALUE"""),356863.0)</f>
        <v>356863</v>
      </c>
    </row>
    <row r="97">
      <c r="A97" s="7">
        <f>IFERROR(__xludf.DUMMYFUNCTION("""COMPUTED_VALUE"""),45870.64583333333)</f>
        <v>45870.64583</v>
      </c>
      <c r="B97" s="6">
        <f>IFERROR(__xludf.DUMMYFUNCTION("""COMPUTED_VALUE"""),4994.9)</f>
        <v>4994.9</v>
      </c>
      <c r="C97" s="6">
        <f>IFERROR(__xludf.DUMMYFUNCTION("""COMPUTED_VALUE"""),5112.0)</f>
        <v>5112</v>
      </c>
      <c r="D97" s="6">
        <f>IFERROR(__xludf.DUMMYFUNCTION("""COMPUTED_VALUE"""),4840.0)</f>
        <v>4840</v>
      </c>
      <c r="E97" s="6">
        <f>IFERROR(__xludf.DUMMYFUNCTION("""COMPUTED_VALUE"""),4899.0)</f>
        <v>4899</v>
      </c>
      <c r="F97" s="6">
        <f>IFERROR(__xludf.DUMMYFUNCTION("""COMPUTED_VALUE"""),588385.0)</f>
        <v>588385</v>
      </c>
    </row>
    <row r="98">
      <c r="A98" s="7">
        <f>IFERROR(__xludf.DUMMYFUNCTION("""COMPUTED_VALUE"""),45877.64583333333)</f>
        <v>45877.64583</v>
      </c>
      <c r="B98" s="6">
        <f>IFERROR(__xludf.DUMMYFUNCTION("""COMPUTED_VALUE"""),4868.5)</f>
        <v>4868.5</v>
      </c>
      <c r="C98" s="6">
        <f>IFERROR(__xludf.DUMMYFUNCTION("""COMPUTED_VALUE"""),4932.0)</f>
        <v>4932</v>
      </c>
      <c r="D98" s="6">
        <f>IFERROR(__xludf.DUMMYFUNCTION("""COMPUTED_VALUE"""),4750.0)</f>
        <v>4750</v>
      </c>
      <c r="E98" s="6">
        <f>IFERROR(__xludf.DUMMYFUNCTION("""COMPUTED_VALUE"""),4764.0)</f>
        <v>4764</v>
      </c>
      <c r="F98" s="6">
        <f>IFERROR(__xludf.DUMMYFUNCTION("""COMPUTED_VALUE"""),341925.0)</f>
        <v>341925</v>
      </c>
    </row>
    <row r="99">
      <c r="A99" s="7">
        <f>IFERROR(__xludf.DUMMYFUNCTION("""COMPUTED_VALUE"""),45883.64583333333)</f>
        <v>45883.64583</v>
      </c>
      <c r="B99" s="6">
        <f>IFERROR(__xludf.DUMMYFUNCTION("""COMPUTED_VALUE"""),4769.5)</f>
        <v>4769.5</v>
      </c>
      <c r="C99" s="6">
        <f>IFERROR(__xludf.DUMMYFUNCTION("""COMPUTED_VALUE"""),5423.5)</f>
        <v>5423.5</v>
      </c>
      <c r="D99" s="6">
        <f>IFERROR(__xludf.DUMMYFUNCTION("""COMPUTED_VALUE"""),4738.5)</f>
        <v>4738.5</v>
      </c>
      <c r="E99" s="6">
        <f>IFERROR(__xludf.DUMMYFUNCTION("""COMPUTED_VALUE"""),5347.5)</f>
        <v>5347.5</v>
      </c>
      <c r="F99" s="6">
        <f>IFERROR(__xludf.DUMMYFUNCTION("""COMPUTED_VALUE"""),2172906.0)</f>
        <v>2172906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IFERROR(__xludf.DUMMYFUNCTION("""COMPUTED_VALUE"""),5347.5)</f>
        <v>5347.5</v>
      </c>
      <c r="C100" s="6">
        <f>IFERROR(__xludf.DUMMYFUNCTION("""COMPUTED_VALUE"""),5479.0)</f>
        <v>5479</v>
      </c>
      <c r="D100" s="6">
        <f>IFERROR(__xludf.DUMMYFUNCTION("""COMPUTED_VALUE"""),5297.5)</f>
        <v>5297.5</v>
      </c>
      <c r="E100" s="6">
        <f>IFERROR(__xludf.DUMMYFUNCTION("""COMPUTED_VALUE"""),5426.0)</f>
        <v>5426</v>
      </c>
      <c r="F100" s="6">
        <f>IFERROR(__xludf.DUMMYFUNCTION("""COMPUTED_VALUE"""),686908.0)</f>
        <v>686908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IFERROR(__xludf.DUMMYFUNCTION("""COMPUTED_VALUE"""),5430.0)</f>
        <v>5430</v>
      </c>
      <c r="C101" s="6">
        <f>IFERROR(__xludf.DUMMYFUNCTION("""COMPUTED_VALUE"""),5474.0)</f>
        <v>5474</v>
      </c>
      <c r="D101" s="6">
        <f>IFERROR(__xludf.DUMMYFUNCTION("""COMPUTED_VALUE"""),5373.5)</f>
        <v>5373.5</v>
      </c>
      <c r="E101" s="6">
        <f>IFERROR(__xludf.DUMMYFUNCTION("""COMPUTED_VALUE"""),5422.0)</f>
        <v>5422</v>
      </c>
      <c r="F101" s="6">
        <f>IFERROR(__xludf.DUMMYFUNCTION("""COMPUTED_VALUE"""),2463280.0)</f>
        <v>2463280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IFERROR(__xludf.DUMMYFUNCTION("GOOGLEFINANCE(""NSE:AMBUJACEM"",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IFERROR(__xludf.DUMMYFUNCTION("""COMPUTED_VALUE"""),439.2)</f>
        <v>439.2</v>
      </c>
      <c r="C2" s="6">
        <f>IFERROR(__xludf.DUMMYFUNCTION("""COMPUTED_VALUE"""),447.5)</f>
        <v>447.5</v>
      </c>
      <c r="D2" s="6">
        <f>IFERROR(__xludf.DUMMYFUNCTION("""COMPUTED_VALUE"""),425.1)</f>
        <v>425.1</v>
      </c>
      <c r="E2" s="6">
        <f>IFERROR(__xludf.DUMMYFUNCTION("""COMPUTED_VALUE"""),433.9)</f>
        <v>433.9</v>
      </c>
      <c r="F2" s="6">
        <f>IFERROR(__xludf.DUMMYFUNCTION("""COMPUTED_VALUE"""),2.5484437E7)</f>
        <v>25484437</v>
      </c>
    </row>
    <row r="3">
      <c r="A3" s="7">
        <f>IFERROR(__xludf.DUMMYFUNCTION("""COMPUTED_VALUE"""),45177.64583333333)</f>
        <v>45177.64583</v>
      </c>
      <c r="B3" s="6">
        <f>IFERROR(__xludf.DUMMYFUNCTION("""COMPUTED_VALUE"""),435.35)</f>
        <v>435.35</v>
      </c>
      <c r="C3" s="6">
        <f>IFERROR(__xludf.DUMMYFUNCTION("""COMPUTED_VALUE"""),444.45)</f>
        <v>444.45</v>
      </c>
      <c r="D3" s="6">
        <f>IFERROR(__xludf.DUMMYFUNCTION("""COMPUTED_VALUE"""),433.5)</f>
        <v>433.5</v>
      </c>
      <c r="E3" s="6">
        <f>IFERROR(__xludf.DUMMYFUNCTION("""COMPUTED_VALUE"""),439.2)</f>
        <v>439.2</v>
      </c>
      <c r="F3" s="6">
        <f>IFERROR(__xludf.DUMMYFUNCTION("""COMPUTED_VALUE"""),1.3144699E7)</f>
        <v>13144699</v>
      </c>
    </row>
    <row r="4">
      <c r="A4" s="7">
        <f>IFERROR(__xludf.DUMMYFUNCTION("""COMPUTED_VALUE"""),45184.64583333333)</f>
        <v>45184.64583</v>
      </c>
      <c r="B4" s="6">
        <f>IFERROR(__xludf.DUMMYFUNCTION("""COMPUTED_VALUE"""),439.25)</f>
        <v>439.25</v>
      </c>
      <c r="C4" s="6">
        <f>IFERROR(__xludf.DUMMYFUNCTION("""COMPUTED_VALUE"""),453.9)</f>
        <v>453.9</v>
      </c>
      <c r="D4" s="6">
        <f>IFERROR(__xludf.DUMMYFUNCTION("""COMPUTED_VALUE"""),436.65)</f>
        <v>436.65</v>
      </c>
      <c r="E4" s="6">
        <f>IFERROR(__xludf.DUMMYFUNCTION("""COMPUTED_VALUE"""),445.05)</f>
        <v>445.05</v>
      </c>
      <c r="F4" s="6">
        <f>IFERROR(__xludf.DUMMYFUNCTION("""COMPUTED_VALUE"""),1.8303463E7)</f>
        <v>18303463</v>
      </c>
    </row>
    <row r="5">
      <c r="A5" s="7">
        <f>IFERROR(__xludf.DUMMYFUNCTION("""COMPUTED_VALUE"""),45191.64583333333)</f>
        <v>45191.64583</v>
      </c>
      <c r="B5" s="6">
        <f>IFERROR(__xludf.DUMMYFUNCTION("""COMPUTED_VALUE"""),445.0)</f>
        <v>445</v>
      </c>
      <c r="C5" s="6">
        <f>IFERROR(__xludf.DUMMYFUNCTION("""COMPUTED_VALUE"""),445.7)</f>
        <v>445.7</v>
      </c>
      <c r="D5" s="6">
        <f>IFERROR(__xludf.DUMMYFUNCTION("""COMPUTED_VALUE"""),418.05)</f>
        <v>418.05</v>
      </c>
      <c r="E5" s="6">
        <f>IFERROR(__xludf.DUMMYFUNCTION("""COMPUTED_VALUE"""),420.95)</f>
        <v>420.95</v>
      </c>
      <c r="F5" s="6">
        <f>IFERROR(__xludf.DUMMYFUNCTION("""COMPUTED_VALUE"""),1.1344481E7)</f>
        <v>11344481</v>
      </c>
    </row>
    <row r="6">
      <c r="A6" s="7">
        <f>IFERROR(__xludf.DUMMYFUNCTION("""COMPUTED_VALUE"""),45198.64583333333)</f>
        <v>45198.64583</v>
      </c>
      <c r="B6" s="6">
        <f>IFERROR(__xludf.DUMMYFUNCTION("""COMPUTED_VALUE"""),420.5)</f>
        <v>420.5</v>
      </c>
      <c r="C6" s="6">
        <f>IFERROR(__xludf.DUMMYFUNCTION("""COMPUTED_VALUE"""),434.0)</f>
        <v>434</v>
      </c>
      <c r="D6" s="6">
        <f>IFERROR(__xludf.DUMMYFUNCTION("""COMPUTED_VALUE"""),414.7)</f>
        <v>414.7</v>
      </c>
      <c r="E6" s="6">
        <f>IFERROR(__xludf.DUMMYFUNCTION("""COMPUTED_VALUE"""),424.8)</f>
        <v>424.8</v>
      </c>
      <c r="F6" s="6">
        <f>IFERROR(__xludf.DUMMYFUNCTION("""COMPUTED_VALUE"""),1.8325451E7)</f>
        <v>18325451</v>
      </c>
    </row>
    <row r="7">
      <c r="A7" s="7">
        <f>IFERROR(__xludf.DUMMYFUNCTION("""COMPUTED_VALUE"""),45205.64583333333)</f>
        <v>45205.64583</v>
      </c>
      <c r="B7" s="6">
        <f>IFERROR(__xludf.DUMMYFUNCTION("""COMPUTED_VALUE"""),424.05)</f>
        <v>424.05</v>
      </c>
      <c r="C7" s="6">
        <f>IFERROR(__xludf.DUMMYFUNCTION("""COMPUTED_VALUE"""),437.0)</f>
        <v>437</v>
      </c>
      <c r="D7" s="6">
        <f>IFERROR(__xludf.DUMMYFUNCTION("""COMPUTED_VALUE"""),422.5)</f>
        <v>422.5</v>
      </c>
      <c r="E7" s="6">
        <f>IFERROR(__xludf.DUMMYFUNCTION("""COMPUTED_VALUE"""),435.7)</f>
        <v>435.7</v>
      </c>
      <c r="F7" s="6">
        <f>IFERROR(__xludf.DUMMYFUNCTION("""COMPUTED_VALUE"""),8882923.0)</f>
        <v>8882923</v>
      </c>
    </row>
    <row r="8">
      <c r="A8" s="7">
        <f>IFERROR(__xludf.DUMMYFUNCTION("""COMPUTED_VALUE"""),45212.64583333333)</f>
        <v>45212.64583</v>
      </c>
      <c r="B8" s="6">
        <f>IFERROR(__xludf.DUMMYFUNCTION("""COMPUTED_VALUE"""),430.1)</f>
        <v>430.1</v>
      </c>
      <c r="C8" s="6">
        <f>IFERROR(__xludf.DUMMYFUNCTION("""COMPUTED_VALUE"""),450.35)</f>
        <v>450.35</v>
      </c>
      <c r="D8" s="6">
        <f>IFERROR(__xludf.DUMMYFUNCTION("""COMPUTED_VALUE"""),427.5)</f>
        <v>427.5</v>
      </c>
      <c r="E8" s="6">
        <f>IFERROR(__xludf.DUMMYFUNCTION("""COMPUTED_VALUE"""),439.9)</f>
        <v>439.9</v>
      </c>
      <c r="F8" s="6">
        <f>IFERROR(__xludf.DUMMYFUNCTION("""COMPUTED_VALUE"""),1.353837E7)</f>
        <v>13538370</v>
      </c>
    </row>
    <row r="9">
      <c r="A9" s="7">
        <f>IFERROR(__xludf.DUMMYFUNCTION("""COMPUTED_VALUE"""),45219.64583333333)</f>
        <v>45219.64583</v>
      </c>
      <c r="B9" s="6">
        <f>IFERROR(__xludf.DUMMYFUNCTION("""COMPUTED_VALUE"""),439.0)</f>
        <v>439</v>
      </c>
      <c r="C9" s="6">
        <f>IFERROR(__xludf.DUMMYFUNCTION("""COMPUTED_VALUE"""),444.8)</f>
        <v>444.8</v>
      </c>
      <c r="D9" s="6">
        <f>IFERROR(__xludf.DUMMYFUNCTION("""COMPUTED_VALUE"""),428.1)</f>
        <v>428.1</v>
      </c>
      <c r="E9" s="6">
        <f>IFERROR(__xludf.DUMMYFUNCTION("""COMPUTED_VALUE"""),430.85)</f>
        <v>430.85</v>
      </c>
      <c r="F9" s="6">
        <f>IFERROR(__xludf.DUMMYFUNCTION("""COMPUTED_VALUE"""),7515110.0)</f>
        <v>7515110</v>
      </c>
    </row>
    <row r="10">
      <c r="A10" s="7">
        <f>IFERROR(__xludf.DUMMYFUNCTION("""COMPUTED_VALUE"""),45226.64583333333)</f>
        <v>45226.64583</v>
      </c>
      <c r="B10" s="6">
        <f>IFERROR(__xludf.DUMMYFUNCTION("""COMPUTED_VALUE"""),432.75)</f>
        <v>432.75</v>
      </c>
      <c r="C10" s="6">
        <f>IFERROR(__xludf.DUMMYFUNCTION("""COMPUTED_VALUE"""),432.75)</f>
        <v>432.75</v>
      </c>
      <c r="D10" s="6">
        <f>IFERROR(__xludf.DUMMYFUNCTION("""COMPUTED_VALUE"""),407.75)</f>
        <v>407.75</v>
      </c>
      <c r="E10" s="6">
        <f>IFERROR(__xludf.DUMMYFUNCTION("""COMPUTED_VALUE"""),417.25)</f>
        <v>417.25</v>
      </c>
      <c r="F10" s="6">
        <f>IFERROR(__xludf.DUMMYFUNCTION("""COMPUTED_VALUE"""),9205024.0)</f>
        <v>9205024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IFERROR(__xludf.DUMMYFUNCTION("""COMPUTED_VALUE"""),420.2)</f>
        <v>420.2</v>
      </c>
      <c r="C11" s="6">
        <f>IFERROR(__xludf.DUMMYFUNCTION("""COMPUTED_VALUE"""),427.45)</f>
        <v>427.45</v>
      </c>
      <c r="D11" s="6">
        <f>IFERROR(__xludf.DUMMYFUNCTION("""COMPUTED_VALUE"""),404.05)</f>
        <v>404.05</v>
      </c>
      <c r="E11" s="6">
        <f>IFERROR(__xludf.DUMMYFUNCTION("""COMPUTED_VALUE"""),420.9)</f>
        <v>420.9</v>
      </c>
      <c r="F11" s="6">
        <f>IFERROR(__xludf.DUMMYFUNCTION("""COMPUTED_VALUE"""),1.2426899E7)</f>
        <v>12426899</v>
      </c>
    </row>
    <row r="12">
      <c r="A12" s="7">
        <f>IFERROR(__xludf.DUMMYFUNCTION("""COMPUTED_VALUE"""),45240.64583333333)</f>
        <v>45240.64583</v>
      </c>
      <c r="B12" s="6">
        <f>IFERROR(__xludf.DUMMYFUNCTION("""COMPUTED_VALUE"""),421.95)</f>
        <v>421.95</v>
      </c>
      <c r="C12" s="6">
        <f>IFERROR(__xludf.DUMMYFUNCTION("""COMPUTED_VALUE"""),426.0)</f>
        <v>426</v>
      </c>
      <c r="D12" s="6">
        <f>IFERROR(__xludf.DUMMYFUNCTION("""COMPUTED_VALUE"""),415.45)</f>
        <v>415.45</v>
      </c>
      <c r="E12" s="6">
        <f>IFERROR(__xludf.DUMMYFUNCTION("""COMPUTED_VALUE"""),418.1)</f>
        <v>418.1</v>
      </c>
      <c r="F12" s="6">
        <f>IFERROR(__xludf.DUMMYFUNCTION("""COMPUTED_VALUE"""),4687632.0)</f>
        <v>4687632</v>
      </c>
    </row>
    <row r="13">
      <c r="A13" s="7">
        <f>IFERROR(__xludf.DUMMYFUNCTION("""COMPUTED_VALUE"""),45247.64583333333)</f>
        <v>45247.64583</v>
      </c>
      <c r="B13" s="6">
        <f>IFERROR(__xludf.DUMMYFUNCTION("""COMPUTED_VALUE"""),420.0)</f>
        <v>420</v>
      </c>
      <c r="C13" s="6">
        <f>IFERROR(__xludf.DUMMYFUNCTION("""COMPUTED_VALUE"""),428.0)</f>
        <v>428</v>
      </c>
      <c r="D13" s="6">
        <f>IFERROR(__xludf.DUMMYFUNCTION("""COMPUTED_VALUE"""),417.0)</f>
        <v>417</v>
      </c>
      <c r="E13" s="6">
        <f>IFERROR(__xludf.DUMMYFUNCTION("""COMPUTED_VALUE"""),421.1)</f>
        <v>421.1</v>
      </c>
      <c r="F13" s="6">
        <f>IFERROR(__xludf.DUMMYFUNCTION("""COMPUTED_VALUE"""),7520646.0)</f>
        <v>7520646</v>
      </c>
    </row>
    <row r="14">
      <c r="A14" s="7">
        <f>IFERROR(__xludf.DUMMYFUNCTION("""COMPUTED_VALUE"""),45254.64583333333)</f>
        <v>45254.64583</v>
      </c>
      <c r="B14" s="6">
        <f>IFERROR(__xludf.DUMMYFUNCTION("""COMPUTED_VALUE"""),421.1)</f>
        <v>421.1</v>
      </c>
      <c r="C14" s="6">
        <f>IFERROR(__xludf.DUMMYFUNCTION("""COMPUTED_VALUE"""),424.3)</f>
        <v>424.3</v>
      </c>
      <c r="D14" s="6">
        <f>IFERROR(__xludf.DUMMYFUNCTION("""COMPUTED_VALUE"""),408.6)</f>
        <v>408.6</v>
      </c>
      <c r="E14" s="6">
        <f>IFERROR(__xludf.DUMMYFUNCTION("""COMPUTED_VALUE"""),414.3)</f>
        <v>414.3</v>
      </c>
      <c r="F14" s="6">
        <f>IFERROR(__xludf.DUMMYFUNCTION("""COMPUTED_VALUE"""),7085377.0)</f>
        <v>7085377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IFERROR(__xludf.DUMMYFUNCTION("""COMPUTED_VALUE"""),421.0)</f>
        <v>421</v>
      </c>
      <c r="C15" s="6">
        <f>IFERROR(__xludf.DUMMYFUNCTION("""COMPUTED_VALUE"""),444.0)</f>
        <v>444</v>
      </c>
      <c r="D15" s="6">
        <f>IFERROR(__xludf.DUMMYFUNCTION("""COMPUTED_VALUE"""),417.25)</f>
        <v>417.25</v>
      </c>
      <c r="E15" s="6">
        <f>IFERROR(__xludf.DUMMYFUNCTION("""COMPUTED_VALUE"""),442.0)</f>
        <v>442</v>
      </c>
      <c r="F15" s="6">
        <f>IFERROR(__xludf.DUMMYFUNCTION("""COMPUTED_VALUE"""),2.1121285E7)</f>
        <v>21121285</v>
      </c>
    </row>
    <row r="16">
      <c r="A16" s="7">
        <f>IFERROR(__xludf.DUMMYFUNCTION("""COMPUTED_VALUE"""),45268.64583333333)</f>
        <v>45268.64583</v>
      </c>
      <c r="B16" s="6">
        <f>IFERROR(__xludf.DUMMYFUNCTION("""COMPUTED_VALUE"""),460.0)</f>
        <v>460</v>
      </c>
      <c r="C16" s="6">
        <f>IFERROR(__xludf.DUMMYFUNCTION("""COMPUTED_VALUE"""),523.65)</f>
        <v>523.65</v>
      </c>
      <c r="D16" s="6">
        <f>IFERROR(__xludf.DUMMYFUNCTION("""COMPUTED_VALUE"""),453.25)</f>
        <v>453.25</v>
      </c>
      <c r="E16" s="6">
        <f>IFERROR(__xludf.DUMMYFUNCTION("""COMPUTED_VALUE"""),494.35)</f>
        <v>494.35</v>
      </c>
      <c r="F16" s="6">
        <f>IFERROR(__xludf.DUMMYFUNCTION("""COMPUTED_VALUE"""),5.690251E7)</f>
        <v>56902510</v>
      </c>
    </row>
    <row r="17">
      <c r="A17" s="7">
        <f>IFERROR(__xludf.DUMMYFUNCTION("""COMPUTED_VALUE"""),45275.64583333333)</f>
        <v>45275.64583</v>
      </c>
      <c r="B17" s="6">
        <f>IFERROR(__xludf.DUMMYFUNCTION("""COMPUTED_VALUE"""),497.9)</f>
        <v>497.9</v>
      </c>
      <c r="C17" s="6">
        <f>IFERROR(__xludf.DUMMYFUNCTION("""COMPUTED_VALUE"""),529.4)</f>
        <v>529.4</v>
      </c>
      <c r="D17" s="6">
        <f>IFERROR(__xludf.DUMMYFUNCTION("""COMPUTED_VALUE"""),489.5)</f>
        <v>489.5</v>
      </c>
      <c r="E17" s="6">
        <f>IFERROR(__xludf.DUMMYFUNCTION("""COMPUTED_VALUE"""),522.4)</f>
        <v>522.4</v>
      </c>
      <c r="F17" s="6">
        <f>IFERROR(__xludf.DUMMYFUNCTION("""COMPUTED_VALUE"""),2.2788327E7)</f>
        <v>22788327</v>
      </c>
    </row>
    <row r="18">
      <c r="A18" s="7">
        <f>IFERROR(__xludf.DUMMYFUNCTION("""COMPUTED_VALUE"""),45282.64583333333)</f>
        <v>45282.64583</v>
      </c>
      <c r="B18" s="6">
        <f>IFERROR(__xludf.DUMMYFUNCTION("""COMPUTED_VALUE"""),530.0)</f>
        <v>530</v>
      </c>
      <c r="C18" s="6">
        <f>IFERROR(__xludf.DUMMYFUNCTION("""COMPUTED_VALUE"""),532.5)</f>
        <v>532.5</v>
      </c>
      <c r="D18" s="6">
        <f>IFERROR(__xludf.DUMMYFUNCTION("""COMPUTED_VALUE"""),480.45)</f>
        <v>480.45</v>
      </c>
      <c r="E18" s="6">
        <f>IFERROR(__xludf.DUMMYFUNCTION("""COMPUTED_VALUE"""),503.8)</f>
        <v>503.8</v>
      </c>
      <c r="F18" s="6">
        <f>IFERROR(__xludf.DUMMYFUNCTION("""COMPUTED_VALUE"""),1.7253518E7)</f>
        <v>17253518</v>
      </c>
    </row>
    <row r="19">
      <c r="A19" s="7">
        <f>IFERROR(__xludf.DUMMYFUNCTION("""COMPUTED_VALUE"""),45289.64583333333)</f>
        <v>45289.64583</v>
      </c>
      <c r="B19" s="6">
        <f>IFERROR(__xludf.DUMMYFUNCTION("""COMPUTED_VALUE"""),504.0)</f>
        <v>504</v>
      </c>
      <c r="C19" s="6">
        <f>IFERROR(__xludf.DUMMYFUNCTION("""COMPUTED_VALUE"""),523.0)</f>
        <v>523</v>
      </c>
      <c r="D19" s="6">
        <f>IFERROR(__xludf.DUMMYFUNCTION("""COMPUTED_VALUE"""),502.65)</f>
        <v>502.65</v>
      </c>
      <c r="E19" s="6">
        <f>IFERROR(__xludf.DUMMYFUNCTION("""COMPUTED_VALUE"""),520.9)</f>
        <v>520.9</v>
      </c>
      <c r="F19" s="6">
        <f>IFERROR(__xludf.DUMMYFUNCTION("""COMPUTED_VALUE"""),1.211991E7)</f>
        <v>12119910</v>
      </c>
    </row>
    <row r="20">
      <c r="A20" s="7">
        <f>IFERROR(__xludf.DUMMYFUNCTION("""COMPUTED_VALUE"""),45296.64583333333)</f>
        <v>45296.64583</v>
      </c>
      <c r="B20" s="6">
        <f>IFERROR(__xludf.DUMMYFUNCTION("""COMPUTED_VALUE"""),520.85)</f>
        <v>520.85</v>
      </c>
      <c r="C20" s="6">
        <f>IFERROR(__xludf.DUMMYFUNCTION("""COMPUTED_VALUE"""),557.9)</f>
        <v>557.9</v>
      </c>
      <c r="D20" s="6">
        <f>IFERROR(__xludf.DUMMYFUNCTION("""COMPUTED_VALUE"""),518.5)</f>
        <v>518.5</v>
      </c>
      <c r="E20" s="6">
        <f>IFERROR(__xludf.DUMMYFUNCTION("""COMPUTED_VALUE"""),542.35)</f>
        <v>542.35</v>
      </c>
      <c r="F20" s="6">
        <f>IFERROR(__xludf.DUMMYFUNCTION("""COMPUTED_VALUE"""),3.1861375E7)</f>
        <v>31861375</v>
      </c>
    </row>
    <row r="21">
      <c r="A21" s="7">
        <f>IFERROR(__xludf.DUMMYFUNCTION("""COMPUTED_VALUE"""),45303.64583333333)</f>
        <v>45303.64583</v>
      </c>
      <c r="B21" s="6">
        <f>IFERROR(__xludf.DUMMYFUNCTION("""COMPUTED_VALUE"""),544.25)</f>
        <v>544.25</v>
      </c>
      <c r="C21" s="6">
        <f>IFERROR(__xludf.DUMMYFUNCTION("""COMPUTED_VALUE"""),544.75)</f>
        <v>544.75</v>
      </c>
      <c r="D21" s="6">
        <f>IFERROR(__xludf.DUMMYFUNCTION("""COMPUTED_VALUE"""),518.25)</f>
        <v>518.25</v>
      </c>
      <c r="E21" s="6">
        <f>IFERROR(__xludf.DUMMYFUNCTION("""COMPUTED_VALUE"""),532.4)</f>
        <v>532.4</v>
      </c>
      <c r="F21" s="6">
        <f>IFERROR(__xludf.DUMMYFUNCTION("""COMPUTED_VALUE"""),1.2689708E7)</f>
        <v>12689708</v>
      </c>
    </row>
    <row r="22">
      <c r="A22" s="7">
        <f>IFERROR(__xludf.DUMMYFUNCTION("""COMPUTED_VALUE"""),45316.64583333333)</f>
        <v>45316.64583</v>
      </c>
      <c r="B22" s="6">
        <f>IFERROR(__xludf.DUMMYFUNCTION("""COMPUTED_VALUE"""),543.8)</f>
        <v>543.8</v>
      </c>
      <c r="C22" s="6">
        <f>IFERROR(__xludf.DUMMYFUNCTION("""COMPUTED_VALUE"""),566.0)</f>
        <v>566</v>
      </c>
      <c r="D22" s="6">
        <f>IFERROR(__xludf.DUMMYFUNCTION("""COMPUTED_VALUE"""),514.5)</f>
        <v>514.5</v>
      </c>
      <c r="E22" s="6">
        <f>IFERROR(__xludf.DUMMYFUNCTION("""COMPUTED_VALUE"""),560.15)</f>
        <v>560.15</v>
      </c>
      <c r="F22" s="6">
        <f>IFERROR(__xludf.DUMMYFUNCTION("""COMPUTED_VALUE"""),1.4595695E7)</f>
        <v>14595695</v>
      </c>
    </row>
    <row r="23">
      <c r="A23" s="7">
        <f>IFERROR(__xludf.DUMMYFUNCTION("""COMPUTED_VALUE"""),45324.64583333333)</f>
        <v>45324.64583</v>
      </c>
      <c r="B23" s="6">
        <f>IFERROR(__xludf.DUMMYFUNCTION("""COMPUTED_VALUE"""),570.9)</f>
        <v>570.9</v>
      </c>
      <c r="C23" s="6">
        <f>IFERROR(__xludf.DUMMYFUNCTION("""COMPUTED_VALUE"""),586.45)</f>
        <v>586.45</v>
      </c>
      <c r="D23" s="6">
        <f>IFERROR(__xludf.DUMMYFUNCTION("""COMPUTED_VALUE"""),547.0)</f>
        <v>547</v>
      </c>
      <c r="E23" s="6">
        <f>IFERROR(__xludf.DUMMYFUNCTION("""COMPUTED_VALUE"""),557.4)</f>
        <v>557.4</v>
      </c>
      <c r="F23" s="6">
        <f>IFERROR(__xludf.DUMMYFUNCTION("""COMPUTED_VALUE"""),3.5634728E7)</f>
        <v>35634728</v>
      </c>
    </row>
    <row r="24">
      <c r="A24" s="7">
        <f>IFERROR(__xludf.DUMMYFUNCTION("""COMPUTED_VALUE"""),45331.64583333333)</f>
        <v>45331.64583</v>
      </c>
      <c r="B24" s="6">
        <f>IFERROR(__xludf.DUMMYFUNCTION("""COMPUTED_VALUE"""),560.0)</f>
        <v>560</v>
      </c>
      <c r="C24" s="6">
        <f>IFERROR(__xludf.DUMMYFUNCTION("""COMPUTED_VALUE"""),582.25)</f>
        <v>582.25</v>
      </c>
      <c r="D24" s="6">
        <f>IFERROR(__xludf.DUMMYFUNCTION("""COMPUTED_VALUE"""),549.95)</f>
        <v>549.95</v>
      </c>
      <c r="E24" s="6">
        <f>IFERROR(__xludf.DUMMYFUNCTION("""COMPUTED_VALUE"""),576.2)</f>
        <v>576.2</v>
      </c>
      <c r="F24" s="6">
        <f>IFERROR(__xludf.DUMMYFUNCTION("""COMPUTED_VALUE"""),1.6630366E7)</f>
        <v>16630366</v>
      </c>
    </row>
    <row r="25">
      <c r="A25" s="7">
        <f>IFERROR(__xludf.DUMMYFUNCTION("""COMPUTED_VALUE"""),45338.64583333333)</f>
        <v>45338.64583</v>
      </c>
      <c r="B25" s="6">
        <f>IFERROR(__xludf.DUMMYFUNCTION("""COMPUTED_VALUE"""),582.1)</f>
        <v>582.1</v>
      </c>
      <c r="C25" s="6">
        <f>IFERROR(__xludf.DUMMYFUNCTION("""COMPUTED_VALUE"""),590.65)</f>
        <v>590.65</v>
      </c>
      <c r="D25" s="6">
        <f>IFERROR(__xludf.DUMMYFUNCTION("""COMPUTED_VALUE"""),552.5)</f>
        <v>552.5</v>
      </c>
      <c r="E25" s="6">
        <f>IFERROR(__xludf.DUMMYFUNCTION("""COMPUTED_VALUE"""),585.1)</f>
        <v>585.1</v>
      </c>
      <c r="F25" s="6">
        <f>IFERROR(__xludf.DUMMYFUNCTION("""COMPUTED_VALUE"""),1.8960334E7)</f>
        <v>18960334</v>
      </c>
    </row>
    <row r="26">
      <c r="A26" s="7">
        <f>IFERROR(__xludf.DUMMYFUNCTION("""COMPUTED_VALUE"""),45345.64583333333)</f>
        <v>45345.64583</v>
      </c>
      <c r="B26" s="6">
        <f>IFERROR(__xludf.DUMMYFUNCTION("""COMPUTED_VALUE"""),588.8)</f>
        <v>588.8</v>
      </c>
      <c r="C26" s="6">
        <f>IFERROR(__xludf.DUMMYFUNCTION("""COMPUTED_VALUE"""),608.7)</f>
        <v>608.7</v>
      </c>
      <c r="D26" s="6">
        <f>IFERROR(__xludf.DUMMYFUNCTION("""COMPUTED_VALUE"""),579.45)</f>
        <v>579.45</v>
      </c>
      <c r="E26" s="6">
        <f>IFERROR(__xludf.DUMMYFUNCTION("""COMPUTED_VALUE"""),602.95)</f>
        <v>602.95</v>
      </c>
      <c r="F26" s="6">
        <f>IFERROR(__xludf.DUMMYFUNCTION("""COMPUTED_VALUE"""),1.5880895E7)</f>
        <v>15880895</v>
      </c>
    </row>
    <row r="27">
      <c r="A27" s="7">
        <f>IFERROR(__xludf.DUMMYFUNCTION("""COMPUTED_VALUE"""),45358.64583333333)</f>
        <v>45358.64583</v>
      </c>
      <c r="B27" s="6">
        <f>IFERROR(__xludf.DUMMYFUNCTION("""COMPUTED_VALUE"""),621.25)</f>
        <v>621.25</v>
      </c>
      <c r="C27" s="6">
        <f>IFERROR(__xludf.DUMMYFUNCTION("""COMPUTED_VALUE"""),625.0)</f>
        <v>625</v>
      </c>
      <c r="D27" s="6">
        <f>IFERROR(__xludf.DUMMYFUNCTION("""COMPUTED_VALUE"""),595.5)</f>
        <v>595.5</v>
      </c>
      <c r="E27" s="6">
        <f>IFERROR(__xludf.DUMMYFUNCTION("""COMPUTED_VALUE"""),603.15)</f>
        <v>603.15</v>
      </c>
      <c r="F27" s="6">
        <f>IFERROR(__xludf.DUMMYFUNCTION("""COMPUTED_VALUE"""),1.0828729E7)</f>
        <v>10828729</v>
      </c>
    </row>
    <row r="28">
      <c r="A28" s="7">
        <f>IFERROR(__xludf.DUMMYFUNCTION("""COMPUTED_VALUE"""),45366.64583333333)</f>
        <v>45366.64583</v>
      </c>
      <c r="B28" s="6">
        <f>IFERROR(__xludf.DUMMYFUNCTION("""COMPUTED_VALUE"""),604.9)</f>
        <v>604.9</v>
      </c>
      <c r="C28" s="6">
        <f>IFERROR(__xludf.DUMMYFUNCTION("""COMPUTED_VALUE"""),612.4)</f>
        <v>612.4</v>
      </c>
      <c r="D28" s="6">
        <f>IFERROR(__xludf.DUMMYFUNCTION("""COMPUTED_VALUE"""),550.8)</f>
        <v>550.8</v>
      </c>
      <c r="E28" s="6">
        <f>IFERROR(__xludf.DUMMYFUNCTION("""COMPUTED_VALUE"""),600.75)</f>
        <v>600.75</v>
      </c>
      <c r="F28" s="6">
        <f>IFERROR(__xludf.DUMMYFUNCTION("""COMPUTED_VALUE"""),1.8287406E7)</f>
        <v>18287406</v>
      </c>
    </row>
    <row r="29">
      <c r="A29" s="7">
        <f>IFERROR(__xludf.DUMMYFUNCTION("""COMPUTED_VALUE"""),45373.64583333333)</f>
        <v>45373.64583</v>
      </c>
      <c r="B29" s="6">
        <f>IFERROR(__xludf.DUMMYFUNCTION("""COMPUTED_VALUE"""),595.0)</f>
        <v>595</v>
      </c>
      <c r="C29" s="6">
        <f>IFERROR(__xludf.DUMMYFUNCTION("""COMPUTED_VALUE"""),595.0)</f>
        <v>595</v>
      </c>
      <c r="D29" s="6">
        <f>IFERROR(__xludf.DUMMYFUNCTION("""COMPUTED_VALUE"""),566.6)</f>
        <v>566.6</v>
      </c>
      <c r="E29" s="6">
        <f>IFERROR(__xludf.DUMMYFUNCTION("""COMPUTED_VALUE"""),589.35)</f>
        <v>589.35</v>
      </c>
      <c r="F29" s="6">
        <f>IFERROR(__xludf.DUMMYFUNCTION("""COMPUTED_VALUE"""),1.3843494E7)</f>
        <v>13843494</v>
      </c>
    </row>
    <row r="30">
      <c r="A30" s="7">
        <f>IFERROR(__xludf.DUMMYFUNCTION("""COMPUTED_VALUE"""),45379.64583333333)</f>
        <v>45379.64583</v>
      </c>
      <c r="B30" s="6">
        <f>IFERROR(__xludf.DUMMYFUNCTION("""COMPUTED_VALUE"""),589.35)</f>
        <v>589.35</v>
      </c>
      <c r="C30" s="6">
        <f>IFERROR(__xludf.DUMMYFUNCTION("""COMPUTED_VALUE"""),617.0)</f>
        <v>617</v>
      </c>
      <c r="D30" s="6">
        <f>IFERROR(__xludf.DUMMYFUNCTION("""COMPUTED_VALUE"""),586.5)</f>
        <v>586.5</v>
      </c>
      <c r="E30" s="6">
        <f>IFERROR(__xludf.DUMMYFUNCTION("""COMPUTED_VALUE"""),612.35)</f>
        <v>612.35</v>
      </c>
      <c r="F30" s="6">
        <f>IFERROR(__xludf.DUMMYFUNCTION("""COMPUTED_VALUE"""),1.1107023E7)</f>
        <v>11107023</v>
      </c>
    </row>
    <row r="31">
      <c r="A31" s="7">
        <f>IFERROR(__xludf.DUMMYFUNCTION("""COMPUTED_VALUE"""),45387.64583333333)</f>
        <v>45387.64583</v>
      </c>
      <c r="B31" s="6">
        <f>IFERROR(__xludf.DUMMYFUNCTION("""COMPUTED_VALUE"""),619.4)</f>
        <v>619.4</v>
      </c>
      <c r="C31" s="6">
        <f>IFERROR(__xludf.DUMMYFUNCTION("""COMPUTED_VALUE"""),640.8)</f>
        <v>640.8</v>
      </c>
      <c r="D31" s="6">
        <f>IFERROR(__xludf.DUMMYFUNCTION("""COMPUTED_VALUE"""),613.3)</f>
        <v>613.3</v>
      </c>
      <c r="E31" s="6">
        <f>IFERROR(__xludf.DUMMYFUNCTION("""COMPUTED_VALUE"""),627.2)</f>
        <v>627.2</v>
      </c>
      <c r="F31" s="6">
        <f>IFERROR(__xludf.DUMMYFUNCTION("""COMPUTED_VALUE"""),1.7355909E7)</f>
        <v>17355909</v>
      </c>
    </row>
    <row r="32">
      <c r="A32" s="7">
        <f>IFERROR(__xludf.DUMMYFUNCTION("""COMPUTED_VALUE"""),45394.64583333333)</f>
        <v>45394.64583</v>
      </c>
      <c r="B32" s="6">
        <f>IFERROR(__xludf.DUMMYFUNCTION("""COMPUTED_VALUE"""),627.2)</f>
        <v>627.2</v>
      </c>
      <c r="C32" s="6">
        <f>IFERROR(__xludf.DUMMYFUNCTION("""COMPUTED_VALUE"""),634.5)</f>
        <v>634.5</v>
      </c>
      <c r="D32" s="6">
        <f>IFERROR(__xludf.DUMMYFUNCTION("""COMPUTED_VALUE"""),605.6)</f>
        <v>605.6</v>
      </c>
      <c r="E32" s="6">
        <f>IFERROR(__xludf.DUMMYFUNCTION("""COMPUTED_VALUE"""),608.85)</f>
        <v>608.85</v>
      </c>
      <c r="F32" s="6">
        <f>IFERROR(__xludf.DUMMYFUNCTION("""COMPUTED_VALUE"""),1.0852323E7)</f>
        <v>10852323</v>
      </c>
    </row>
    <row r="33">
      <c r="A33" s="7">
        <f>IFERROR(__xludf.DUMMYFUNCTION("""COMPUTED_VALUE"""),45401.64583333333)</f>
        <v>45401.64583</v>
      </c>
      <c r="B33" s="6">
        <f>IFERROR(__xludf.DUMMYFUNCTION("""COMPUTED_VALUE"""),600.0)</f>
        <v>600</v>
      </c>
      <c r="C33" s="6">
        <f>IFERROR(__xludf.DUMMYFUNCTION("""COMPUTED_VALUE"""),637.8)</f>
        <v>637.8</v>
      </c>
      <c r="D33" s="6">
        <f>IFERROR(__xludf.DUMMYFUNCTION("""COMPUTED_VALUE"""),593.45)</f>
        <v>593.45</v>
      </c>
      <c r="E33" s="6">
        <f>IFERROR(__xludf.DUMMYFUNCTION("""COMPUTED_VALUE"""),609.65)</f>
        <v>609.65</v>
      </c>
      <c r="F33" s="6">
        <f>IFERROR(__xludf.DUMMYFUNCTION("""COMPUTED_VALUE"""),1.1576806E7)</f>
        <v>11576806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IFERROR(__xludf.DUMMYFUNCTION("""COMPUTED_VALUE"""),616.0)</f>
        <v>616</v>
      </c>
      <c r="C34" s="6">
        <f>IFERROR(__xludf.DUMMYFUNCTION("""COMPUTED_VALUE"""),649.0)</f>
        <v>649</v>
      </c>
      <c r="D34" s="6">
        <f>IFERROR(__xludf.DUMMYFUNCTION("""COMPUTED_VALUE"""),613.1)</f>
        <v>613.1</v>
      </c>
      <c r="E34" s="6">
        <f>IFERROR(__xludf.DUMMYFUNCTION("""COMPUTED_VALUE"""),632.35)</f>
        <v>632.35</v>
      </c>
      <c r="F34" s="6">
        <f>IFERROR(__xludf.DUMMYFUNCTION("""COMPUTED_VALUE"""),1.5049832E7)</f>
        <v>15049832</v>
      </c>
    </row>
    <row r="35">
      <c r="A35" s="7">
        <f>IFERROR(__xludf.DUMMYFUNCTION("""COMPUTED_VALUE"""),45415.64583333333)</f>
        <v>45415.64583</v>
      </c>
      <c r="B35" s="6">
        <f>IFERROR(__xludf.DUMMYFUNCTION("""COMPUTED_VALUE"""),638.0)</f>
        <v>638</v>
      </c>
      <c r="C35" s="6">
        <f>IFERROR(__xludf.DUMMYFUNCTION("""COMPUTED_VALUE"""),638.3)</f>
        <v>638.3</v>
      </c>
      <c r="D35" s="6">
        <f>IFERROR(__xludf.DUMMYFUNCTION("""COMPUTED_VALUE"""),609.15)</f>
        <v>609.15</v>
      </c>
      <c r="E35" s="6">
        <f>IFERROR(__xludf.DUMMYFUNCTION("""COMPUTED_VALUE"""),622.45)</f>
        <v>622.45</v>
      </c>
      <c r="F35" s="6">
        <f>IFERROR(__xludf.DUMMYFUNCTION("""COMPUTED_VALUE"""),1.6585252E7)</f>
        <v>16585252</v>
      </c>
    </row>
    <row r="36">
      <c r="A36" s="7">
        <f>IFERROR(__xludf.DUMMYFUNCTION("""COMPUTED_VALUE"""),45422.64583333333)</f>
        <v>45422.64583</v>
      </c>
      <c r="B36" s="6">
        <f>IFERROR(__xludf.DUMMYFUNCTION("""COMPUTED_VALUE"""),625.05)</f>
        <v>625.05</v>
      </c>
      <c r="C36" s="6">
        <f>IFERROR(__xludf.DUMMYFUNCTION("""COMPUTED_VALUE"""),625.75)</f>
        <v>625.75</v>
      </c>
      <c r="D36" s="6">
        <f>IFERROR(__xludf.DUMMYFUNCTION("""COMPUTED_VALUE"""),572.0)</f>
        <v>572</v>
      </c>
      <c r="E36" s="6">
        <f>IFERROR(__xludf.DUMMYFUNCTION("""COMPUTED_VALUE"""),581.8)</f>
        <v>581.8</v>
      </c>
      <c r="F36" s="6">
        <f>IFERROR(__xludf.DUMMYFUNCTION("""COMPUTED_VALUE"""),1.4122481E7)</f>
        <v>14122481</v>
      </c>
    </row>
    <row r="37">
      <c r="A37" s="7">
        <f>IFERROR(__xludf.DUMMYFUNCTION("""COMPUTED_VALUE"""),45436.64583333333)</f>
        <v>45436.64583</v>
      </c>
      <c r="B37" s="6">
        <f>IFERROR(__xludf.DUMMYFUNCTION("""COMPUTED_VALUE"""),620.9)</f>
        <v>620.9</v>
      </c>
      <c r="C37" s="6">
        <f>IFERROR(__xludf.DUMMYFUNCTION("""COMPUTED_VALUE"""),656.95)</f>
        <v>656.95</v>
      </c>
      <c r="D37" s="6">
        <f>IFERROR(__xludf.DUMMYFUNCTION("""COMPUTED_VALUE"""),613.3)</f>
        <v>613.3</v>
      </c>
      <c r="E37" s="6">
        <f>IFERROR(__xludf.DUMMYFUNCTION("""COMPUTED_VALUE"""),635.3)</f>
        <v>635.3</v>
      </c>
      <c r="F37" s="6">
        <f>IFERROR(__xludf.DUMMYFUNCTION("""COMPUTED_VALUE"""),1.560505E7)</f>
        <v>15605050</v>
      </c>
    </row>
    <row r="38">
      <c r="A38" s="7">
        <f>IFERROR(__xludf.DUMMYFUNCTION("""COMPUTED_VALUE"""),45443.64583333333)</f>
        <v>45443.64583</v>
      </c>
      <c r="B38" s="6">
        <f>IFERROR(__xludf.DUMMYFUNCTION("""COMPUTED_VALUE"""),638.7)</f>
        <v>638.7</v>
      </c>
      <c r="C38" s="6">
        <f>IFERROR(__xludf.DUMMYFUNCTION("""COMPUTED_VALUE"""),639.85)</f>
        <v>639.85</v>
      </c>
      <c r="D38" s="6">
        <f>IFERROR(__xludf.DUMMYFUNCTION("""COMPUTED_VALUE"""),616.35)</f>
        <v>616.35</v>
      </c>
      <c r="E38" s="6">
        <f>IFERROR(__xludf.DUMMYFUNCTION("""COMPUTED_VALUE"""),634.05)</f>
        <v>634.05</v>
      </c>
      <c r="F38" s="6">
        <f>IFERROR(__xludf.DUMMYFUNCTION("""COMPUTED_VALUE"""),1.1964693E7)</f>
        <v>11964693</v>
      </c>
    </row>
    <row r="39">
      <c r="A39" s="7">
        <f>IFERROR(__xludf.DUMMYFUNCTION("""COMPUTED_VALUE"""),45450.64583333333)</f>
        <v>45450.64583</v>
      </c>
      <c r="B39" s="6">
        <f>IFERROR(__xludf.DUMMYFUNCTION("""COMPUTED_VALUE"""),668.0)</f>
        <v>668</v>
      </c>
      <c r="C39" s="6">
        <f>IFERROR(__xludf.DUMMYFUNCTION("""COMPUTED_VALUE"""),676.65)</f>
        <v>676.65</v>
      </c>
      <c r="D39" s="6">
        <f>IFERROR(__xludf.DUMMYFUNCTION("""COMPUTED_VALUE"""),518.35)</f>
        <v>518.35</v>
      </c>
      <c r="E39" s="6">
        <f>IFERROR(__xludf.DUMMYFUNCTION("""COMPUTED_VALUE"""),621.3)</f>
        <v>621.3</v>
      </c>
      <c r="F39" s="6">
        <f>IFERROR(__xludf.DUMMYFUNCTION("""COMPUTED_VALUE"""),4.459634E7)</f>
        <v>44596340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IFERROR(__xludf.DUMMYFUNCTION("""COMPUTED_VALUE"""),626.0)</f>
        <v>626</v>
      </c>
      <c r="C40" s="6">
        <f>IFERROR(__xludf.DUMMYFUNCTION("""COMPUTED_VALUE"""),689.0)</f>
        <v>689</v>
      </c>
      <c r="D40" s="6">
        <f>IFERROR(__xludf.DUMMYFUNCTION("""COMPUTED_VALUE"""),624.0)</f>
        <v>624</v>
      </c>
      <c r="E40" s="6">
        <f>IFERROR(__xludf.DUMMYFUNCTION("""COMPUTED_VALUE"""),677.2)</f>
        <v>677.2</v>
      </c>
      <c r="F40" s="6">
        <f>IFERROR(__xludf.DUMMYFUNCTION("""COMPUTED_VALUE"""),3.6079627E7)</f>
        <v>36079627</v>
      </c>
    </row>
    <row r="41">
      <c r="A41" s="7">
        <f>IFERROR(__xludf.DUMMYFUNCTION("""COMPUTED_VALUE"""),45464.64583333333)</f>
        <v>45464.64583</v>
      </c>
      <c r="B41" s="6">
        <f>IFERROR(__xludf.DUMMYFUNCTION("""COMPUTED_VALUE"""),682.95)</f>
        <v>682.95</v>
      </c>
      <c r="C41" s="6">
        <f>IFERROR(__xludf.DUMMYFUNCTION("""COMPUTED_VALUE"""),682.95)</f>
        <v>682.95</v>
      </c>
      <c r="D41" s="6">
        <f>IFERROR(__xludf.DUMMYFUNCTION("""COMPUTED_VALUE"""),653.0)</f>
        <v>653</v>
      </c>
      <c r="E41" s="6">
        <f>IFERROR(__xludf.DUMMYFUNCTION("""COMPUTED_VALUE"""),657.45)</f>
        <v>657.45</v>
      </c>
      <c r="F41" s="6">
        <f>IFERROR(__xludf.DUMMYFUNCTION("""COMPUTED_VALUE"""),1.2339061E7)</f>
        <v>12339061</v>
      </c>
    </row>
    <row r="42">
      <c r="A42" s="7">
        <f>IFERROR(__xludf.DUMMYFUNCTION("""COMPUTED_VALUE"""),45471.64583333333)</f>
        <v>45471.64583</v>
      </c>
      <c r="B42" s="6">
        <f>IFERROR(__xludf.DUMMYFUNCTION("""COMPUTED_VALUE"""),655.05)</f>
        <v>655.05</v>
      </c>
      <c r="C42" s="6">
        <f>IFERROR(__xludf.DUMMYFUNCTION("""COMPUTED_VALUE"""),678.15)</f>
        <v>678.15</v>
      </c>
      <c r="D42" s="6">
        <f>IFERROR(__xludf.DUMMYFUNCTION("""COMPUTED_VALUE"""),643.25)</f>
        <v>643.25</v>
      </c>
      <c r="E42" s="6">
        <f>IFERROR(__xludf.DUMMYFUNCTION("""COMPUTED_VALUE"""),670.25)</f>
        <v>670.25</v>
      </c>
      <c r="F42" s="6">
        <f>IFERROR(__xludf.DUMMYFUNCTION("""COMPUTED_VALUE"""),1.96981E7)</f>
        <v>19698100</v>
      </c>
    </row>
    <row r="43">
      <c r="A43" s="7">
        <f>IFERROR(__xludf.DUMMYFUNCTION("""COMPUTED_VALUE"""),45478.64583333333)</f>
        <v>45478.64583</v>
      </c>
      <c r="B43" s="6">
        <f>IFERROR(__xludf.DUMMYFUNCTION("""COMPUTED_VALUE"""),668.0)</f>
        <v>668</v>
      </c>
      <c r="C43" s="6">
        <f>IFERROR(__xludf.DUMMYFUNCTION("""COMPUTED_VALUE"""),706.95)</f>
        <v>706.95</v>
      </c>
      <c r="D43" s="6">
        <f>IFERROR(__xludf.DUMMYFUNCTION("""COMPUTED_VALUE"""),664.05)</f>
        <v>664.05</v>
      </c>
      <c r="E43" s="6">
        <f>IFERROR(__xludf.DUMMYFUNCTION("""COMPUTED_VALUE"""),686.0)</f>
        <v>686</v>
      </c>
      <c r="F43" s="6">
        <f>IFERROR(__xludf.DUMMYFUNCTION("""COMPUTED_VALUE"""),2.2626303E7)</f>
        <v>22626303</v>
      </c>
    </row>
    <row r="44">
      <c r="A44" s="7">
        <f>IFERROR(__xludf.DUMMYFUNCTION("""COMPUTED_VALUE"""),45485.64583333333)</f>
        <v>45485.64583</v>
      </c>
      <c r="B44" s="6">
        <f>IFERROR(__xludf.DUMMYFUNCTION("""COMPUTED_VALUE"""),686.45)</f>
        <v>686.45</v>
      </c>
      <c r="C44" s="6">
        <f>IFERROR(__xludf.DUMMYFUNCTION("""COMPUTED_VALUE"""),688.55)</f>
        <v>688.55</v>
      </c>
      <c r="D44" s="6">
        <f>IFERROR(__xludf.DUMMYFUNCTION("""COMPUTED_VALUE"""),656.2)</f>
        <v>656.2</v>
      </c>
      <c r="E44" s="6">
        <f>IFERROR(__xludf.DUMMYFUNCTION("""COMPUTED_VALUE"""),676.5)</f>
        <v>676.5</v>
      </c>
      <c r="F44" s="6">
        <f>IFERROR(__xludf.DUMMYFUNCTION("""COMPUTED_VALUE"""),2.0393673E7)</f>
        <v>20393673</v>
      </c>
    </row>
    <row r="45">
      <c r="A45" s="7">
        <f>IFERROR(__xludf.DUMMYFUNCTION("""COMPUTED_VALUE"""),45492.64583333333)</f>
        <v>45492.64583</v>
      </c>
      <c r="B45" s="6">
        <f>IFERROR(__xludf.DUMMYFUNCTION("""COMPUTED_VALUE"""),686.55)</f>
        <v>686.55</v>
      </c>
      <c r="C45" s="6">
        <f>IFERROR(__xludf.DUMMYFUNCTION("""COMPUTED_VALUE"""),692.45)</f>
        <v>692.45</v>
      </c>
      <c r="D45" s="6">
        <f>IFERROR(__xludf.DUMMYFUNCTION("""COMPUTED_VALUE"""),670.4)</f>
        <v>670.4</v>
      </c>
      <c r="E45" s="6">
        <f>IFERROR(__xludf.DUMMYFUNCTION("""COMPUTED_VALUE"""),677.9)</f>
        <v>677.9</v>
      </c>
      <c r="F45" s="6">
        <f>IFERROR(__xludf.DUMMYFUNCTION("""COMPUTED_VALUE"""),1.0317103E7)</f>
        <v>10317103</v>
      </c>
    </row>
    <row r="46">
      <c r="A46" s="7">
        <f>IFERROR(__xludf.DUMMYFUNCTION("""COMPUTED_VALUE"""),45499.64583333333)</f>
        <v>45499.64583</v>
      </c>
      <c r="B46" s="6">
        <f>IFERROR(__xludf.DUMMYFUNCTION("""COMPUTED_VALUE"""),677.85)</f>
        <v>677.85</v>
      </c>
      <c r="C46" s="6">
        <f>IFERROR(__xludf.DUMMYFUNCTION("""COMPUTED_VALUE"""),695.0)</f>
        <v>695</v>
      </c>
      <c r="D46" s="6">
        <f>IFERROR(__xludf.DUMMYFUNCTION("""COMPUTED_VALUE"""),662.6)</f>
        <v>662.6</v>
      </c>
      <c r="E46" s="6">
        <f>IFERROR(__xludf.DUMMYFUNCTION("""COMPUTED_VALUE"""),686.4)</f>
        <v>686.4</v>
      </c>
      <c r="F46" s="6">
        <f>IFERROR(__xludf.DUMMYFUNCTION("""COMPUTED_VALUE"""),1.1995458E7)</f>
        <v>11995458</v>
      </c>
    </row>
    <row r="47">
      <c r="A47" s="7">
        <f>IFERROR(__xludf.DUMMYFUNCTION("""COMPUTED_VALUE"""),45506.64583333333)</f>
        <v>45506.64583</v>
      </c>
      <c r="B47" s="6">
        <f>IFERROR(__xludf.DUMMYFUNCTION("""COMPUTED_VALUE"""),692.0)</f>
        <v>692</v>
      </c>
      <c r="C47" s="6">
        <f>IFERROR(__xludf.DUMMYFUNCTION("""COMPUTED_VALUE"""),693.5)</f>
        <v>693.5</v>
      </c>
      <c r="D47" s="6">
        <f>IFERROR(__xludf.DUMMYFUNCTION("""COMPUTED_VALUE"""),648.6)</f>
        <v>648.6</v>
      </c>
      <c r="E47" s="6">
        <f>IFERROR(__xludf.DUMMYFUNCTION("""COMPUTED_VALUE"""),652.8)</f>
        <v>652.8</v>
      </c>
      <c r="F47" s="6">
        <f>IFERROR(__xludf.DUMMYFUNCTION("""COMPUTED_VALUE"""),2.087666E7)</f>
        <v>20876660</v>
      </c>
    </row>
    <row r="48">
      <c r="A48" s="7">
        <f>IFERROR(__xludf.DUMMYFUNCTION("""COMPUTED_VALUE"""),45513.64583333333)</f>
        <v>45513.64583</v>
      </c>
      <c r="B48" s="6">
        <f>IFERROR(__xludf.DUMMYFUNCTION("""COMPUTED_VALUE"""),647.0)</f>
        <v>647</v>
      </c>
      <c r="C48" s="6">
        <f>IFERROR(__xludf.DUMMYFUNCTION("""COMPUTED_VALUE"""),650.55)</f>
        <v>650.55</v>
      </c>
      <c r="D48" s="6">
        <f>IFERROR(__xludf.DUMMYFUNCTION("""COMPUTED_VALUE"""),622.95)</f>
        <v>622.95</v>
      </c>
      <c r="E48" s="6">
        <f>IFERROR(__xludf.DUMMYFUNCTION("""COMPUTED_VALUE"""),632.0)</f>
        <v>632</v>
      </c>
      <c r="F48" s="6">
        <f>IFERROR(__xludf.DUMMYFUNCTION("""COMPUTED_VALUE"""),1.157687E7)</f>
        <v>11576870</v>
      </c>
    </row>
    <row r="49">
      <c r="A49" s="7">
        <f>IFERROR(__xludf.DUMMYFUNCTION("""COMPUTED_VALUE"""),45520.64583333333)</f>
        <v>45520.64583</v>
      </c>
      <c r="B49" s="6">
        <f>IFERROR(__xludf.DUMMYFUNCTION("""COMPUTED_VALUE"""),621.1)</f>
        <v>621.1</v>
      </c>
      <c r="C49" s="6">
        <f>IFERROR(__xludf.DUMMYFUNCTION("""COMPUTED_VALUE"""),641.95)</f>
        <v>641.95</v>
      </c>
      <c r="D49" s="6">
        <f>IFERROR(__xludf.DUMMYFUNCTION("""COMPUTED_VALUE"""),617.5)</f>
        <v>617.5</v>
      </c>
      <c r="E49" s="6">
        <f>IFERROR(__xludf.DUMMYFUNCTION("""COMPUTED_VALUE"""),640.5)</f>
        <v>640.5</v>
      </c>
      <c r="F49" s="6">
        <f>IFERROR(__xludf.DUMMYFUNCTION("""COMPUTED_VALUE"""),6477214.0)</f>
        <v>6477214</v>
      </c>
    </row>
    <row r="50">
      <c r="A50" s="7">
        <f>IFERROR(__xludf.DUMMYFUNCTION("""COMPUTED_VALUE"""),45527.64583333333)</f>
        <v>45527.64583</v>
      </c>
      <c r="B50" s="6">
        <f>IFERROR(__xludf.DUMMYFUNCTION("""COMPUTED_VALUE"""),643.0)</f>
        <v>643</v>
      </c>
      <c r="C50" s="6">
        <f>IFERROR(__xludf.DUMMYFUNCTION("""COMPUTED_VALUE"""),660.0)</f>
        <v>660</v>
      </c>
      <c r="D50" s="6">
        <f>IFERROR(__xludf.DUMMYFUNCTION("""COMPUTED_VALUE"""),622.45)</f>
        <v>622.45</v>
      </c>
      <c r="E50" s="6">
        <f>IFERROR(__xludf.DUMMYFUNCTION("""COMPUTED_VALUE"""),633.6)</f>
        <v>633.6</v>
      </c>
      <c r="F50" s="6">
        <f>IFERROR(__xludf.DUMMYFUNCTION("""COMPUTED_VALUE"""),2.3019058E7)</f>
        <v>23019058</v>
      </c>
    </row>
    <row r="51">
      <c r="A51" s="7">
        <f>IFERROR(__xludf.DUMMYFUNCTION("""COMPUTED_VALUE"""),45534.64583333333)</f>
        <v>45534.64583</v>
      </c>
      <c r="B51" s="6">
        <f>IFERROR(__xludf.DUMMYFUNCTION("""COMPUTED_VALUE"""),638.95)</f>
        <v>638.95</v>
      </c>
      <c r="C51" s="6">
        <f>IFERROR(__xludf.DUMMYFUNCTION("""COMPUTED_VALUE"""),639.9)</f>
        <v>639.9</v>
      </c>
      <c r="D51" s="6">
        <f>IFERROR(__xludf.DUMMYFUNCTION("""COMPUTED_VALUE"""),600.7)</f>
        <v>600.7</v>
      </c>
      <c r="E51" s="6">
        <f>IFERROR(__xludf.DUMMYFUNCTION("""COMPUTED_VALUE"""),617.05)</f>
        <v>617.05</v>
      </c>
      <c r="F51" s="6">
        <f>IFERROR(__xludf.DUMMYFUNCTION("""COMPUTED_VALUE"""),1.847588E7)</f>
        <v>18475880</v>
      </c>
    </row>
    <row r="52">
      <c r="A52" s="7">
        <f>IFERROR(__xludf.DUMMYFUNCTION("""COMPUTED_VALUE"""),45541.64583333333)</f>
        <v>45541.64583</v>
      </c>
      <c r="B52" s="6">
        <f>IFERROR(__xludf.DUMMYFUNCTION("""COMPUTED_VALUE"""),620.0)</f>
        <v>620</v>
      </c>
      <c r="C52" s="6">
        <f>IFERROR(__xludf.DUMMYFUNCTION("""COMPUTED_VALUE"""),636.75)</f>
        <v>636.75</v>
      </c>
      <c r="D52" s="6">
        <f>IFERROR(__xludf.DUMMYFUNCTION("""COMPUTED_VALUE"""),612.6)</f>
        <v>612.6</v>
      </c>
      <c r="E52" s="6">
        <f>IFERROR(__xludf.DUMMYFUNCTION("""COMPUTED_VALUE"""),623.25)</f>
        <v>623.25</v>
      </c>
      <c r="F52" s="6">
        <f>IFERROR(__xludf.DUMMYFUNCTION("""COMPUTED_VALUE"""),1.2037473E7)</f>
        <v>12037473</v>
      </c>
    </row>
    <row r="53">
      <c r="A53" s="7">
        <f>IFERROR(__xludf.DUMMYFUNCTION("""COMPUTED_VALUE"""),45548.64583333333)</f>
        <v>45548.64583</v>
      </c>
      <c r="B53" s="6">
        <f>IFERROR(__xludf.DUMMYFUNCTION("""COMPUTED_VALUE"""),622.9)</f>
        <v>622.9</v>
      </c>
      <c r="C53" s="6">
        <f>IFERROR(__xludf.DUMMYFUNCTION("""COMPUTED_VALUE"""),635.75)</f>
        <v>635.75</v>
      </c>
      <c r="D53" s="6">
        <f>IFERROR(__xludf.DUMMYFUNCTION("""COMPUTED_VALUE"""),614.75)</f>
        <v>614.75</v>
      </c>
      <c r="E53" s="6">
        <f>IFERROR(__xludf.DUMMYFUNCTION("""COMPUTED_VALUE"""),629.6)</f>
        <v>629.6</v>
      </c>
      <c r="F53" s="6">
        <f>IFERROR(__xludf.DUMMYFUNCTION("""COMPUTED_VALUE"""),7752226.0)</f>
        <v>7752226</v>
      </c>
    </row>
    <row r="54">
      <c r="A54" s="7">
        <f>IFERROR(__xludf.DUMMYFUNCTION("""COMPUTED_VALUE"""),45555.64583333333)</f>
        <v>45555.64583</v>
      </c>
      <c r="B54" s="6">
        <f>IFERROR(__xludf.DUMMYFUNCTION("""COMPUTED_VALUE"""),631.0)</f>
        <v>631</v>
      </c>
      <c r="C54" s="6">
        <f>IFERROR(__xludf.DUMMYFUNCTION("""COMPUTED_VALUE"""),633.85)</f>
        <v>633.85</v>
      </c>
      <c r="D54" s="6">
        <f>IFERROR(__xludf.DUMMYFUNCTION("""COMPUTED_VALUE"""),598.0)</f>
        <v>598</v>
      </c>
      <c r="E54" s="6">
        <f>IFERROR(__xludf.DUMMYFUNCTION("""COMPUTED_VALUE"""),616.55)</f>
        <v>616.55</v>
      </c>
      <c r="F54" s="6">
        <f>IFERROR(__xludf.DUMMYFUNCTION("""COMPUTED_VALUE"""),6876478.0)</f>
        <v>6876478</v>
      </c>
    </row>
    <row r="55">
      <c r="A55" s="7">
        <f>IFERROR(__xludf.DUMMYFUNCTION("""COMPUTED_VALUE"""),45562.64583333333)</f>
        <v>45562.64583</v>
      </c>
      <c r="B55" s="6">
        <f>IFERROR(__xludf.DUMMYFUNCTION("""COMPUTED_VALUE"""),620.0)</f>
        <v>620</v>
      </c>
      <c r="C55" s="6">
        <f>IFERROR(__xludf.DUMMYFUNCTION("""COMPUTED_VALUE"""),636.45)</f>
        <v>636.45</v>
      </c>
      <c r="D55" s="6">
        <f>IFERROR(__xludf.DUMMYFUNCTION("""COMPUTED_VALUE"""),610.0)</f>
        <v>610</v>
      </c>
      <c r="E55" s="6">
        <f>IFERROR(__xludf.DUMMYFUNCTION("""COMPUTED_VALUE"""),634.0)</f>
        <v>634</v>
      </c>
      <c r="F55" s="6">
        <f>IFERROR(__xludf.DUMMYFUNCTION("""COMPUTED_VALUE"""),1.0178161E7)</f>
        <v>10178161</v>
      </c>
    </row>
    <row r="56">
      <c r="A56" s="7">
        <f>IFERROR(__xludf.DUMMYFUNCTION("""COMPUTED_VALUE"""),45569.64583333333)</f>
        <v>45569.64583</v>
      </c>
      <c r="B56" s="6">
        <f>IFERROR(__xludf.DUMMYFUNCTION("""COMPUTED_VALUE"""),634.0)</f>
        <v>634</v>
      </c>
      <c r="C56" s="6">
        <f>IFERROR(__xludf.DUMMYFUNCTION("""COMPUTED_VALUE"""),643.3)</f>
        <v>643.3</v>
      </c>
      <c r="D56" s="6">
        <f>IFERROR(__xludf.DUMMYFUNCTION("""COMPUTED_VALUE"""),604.6)</f>
        <v>604.6</v>
      </c>
      <c r="E56" s="6">
        <f>IFERROR(__xludf.DUMMYFUNCTION("""COMPUTED_VALUE"""),610.7)</f>
        <v>610.7</v>
      </c>
      <c r="F56" s="6">
        <f>IFERROR(__xludf.DUMMYFUNCTION("""COMPUTED_VALUE"""),8814245.0)</f>
        <v>8814245</v>
      </c>
    </row>
    <row r="57">
      <c r="A57" s="7">
        <f>IFERROR(__xludf.DUMMYFUNCTION("""COMPUTED_VALUE"""),45576.64583333333)</f>
        <v>45576.64583</v>
      </c>
      <c r="B57" s="6">
        <f>IFERROR(__xludf.DUMMYFUNCTION("""COMPUTED_VALUE"""),615.0)</f>
        <v>615</v>
      </c>
      <c r="C57" s="6">
        <f>IFERROR(__xludf.DUMMYFUNCTION("""COMPUTED_VALUE"""),619.35)</f>
        <v>619.35</v>
      </c>
      <c r="D57" s="6">
        <f>IFERROR(__xludf.DUMMYFUNCTION("""COMPUTED_VALUE"""),582.0)</f>
        <v>582</v>
      </c>
      <c r="E57" s="6">
        <f>IFERROR(__xludf.DUMMYFUNCTION("""COMPUTED_VALUE"""),585.2)</f>
        <v>585.2</v>
      </c>
      <c r="F57" s="6">
        <f>IFERROR(__xludf.DUMMYFUNCTION("""COMPUTED_VALUE"""),1.8182311E7)</f>
        <v>18182311</v>
      </c>
    </row>
    <row r="58">
      <c r="A58" s="7">
        <f>IFERROR(__xludf.DUMMYFUNCTION("""COMPUTED_VALUE"""),45583.64583333333)</f>
        <v>45583.64583</v>
      </c>
      <c r="B58" s="6">
        <f>IFERROR(__xludf.DUMMYFUNCTION("""COMPUTED_VALUE"""),587.95)</f>
        <v>587.95</v>
      </c>
      <c r="C58" s="6">
        <f>IFERROR(__xludf.DUMMYFUNCTION("""COMPUTED_VALUE"""),597.0)</f>
        <v>597</v>
      </c>
      <c r="D58" s="6">
        <f>IFERROR(__xludf.DUMMYFUNCTION("""COMPUTED_VALUE"""),558.95)</f>
        <v>558.95</v>
      </c>
      <c r="E58" s="6">
        <f>IFERROR(__xludf.DUMMYFUNCTION("""COMPUTED_VALUE"""),573.95)</f>
        <v>573.95</v>
      </c>
      <c r="F58" s="6">
        <f>IFERROR(__xludf.DUMMYFUNCTION("""COMPUTED_VALUE"""),3.1890593E7)</f>
        <v>31890593</v>
      </c>
    </row>
    <row r="59">
      <c r="A59" s="7">
        <f>IFERROR(__xludf.DUMMYFUNCTION("""COMPUTED_VALUE"""),45590.64583333333)</f>
        <v>45590.64583</v>
      </c>
      <c r="B59" s="6">
        <f>IFERROR(__xludf.DUMMYFUNCTION("""COMPUTED_VALUE"""),574.3)</f>
        <v>574.3</v>
      </c>
      <c r="C59" s="6">
        <f>IFERROR(__xludf.DUMMYFUNCTION("""COMPUTED_VALUE"""),583.25)</f>
        <v>583.25</v>
      </c>
      <c r="D59" s="6">
        <f>IFERROR(__xludf.DUMMYFUNCTION("""COMPUTED_VALUE"""),545.2)</f>
        <v>545.2</v>
      </c>
      <c r="E59" s="6">
        <f>IFERROR(__xludf.DUMMYFUNCTION("""COMPUTED_VALUE"""),552.7)</f>
        <v>552.7</v>
      </c>
      <c r="F59" s="6">
        <f>IFERROR(__xludf.DUMMYFUNCTION("""COMPUTED_VALUE"""),1.645284E7)</f>
        <v>16452840</v>
      </c>
    </row>
    <row r="60">
      <c r="A60" s="7">
        <f>IFERROR(__xludf.DUMMYFUNCTION("""COMPUTED_VALUE"""),45604.64583333333)</f>
        <v>45604.64583</v>
      </c>
      <c r="B60" s="6">
        <f>IFERROR(__xludf.DUMMYFUNCTION("""COMPUTED_VALUE"""),579.95)</f>
        <v>579.95</v>
      </c>
      <c r="C60" s="6">
        <f>IFERROR(__xludf.DUMMYFUNCTION("""COMPUTED_VALUE"""),585.05)</f>
        <v>585.05</v>
      </c>
      <c r="D60" s="6">
        <f>IFERROR(__xludf.DUMMYFUNCTION("""COMPUTED_VALUE"""),561.5)</f>
        <v>561.5</v>
      </c>
      <c r="E60" s="6">
        <f>IFERROR(__xludf.DUMMYFUNCTION("""COMPUTED_VALUE"""),564.9)</f>
        <v>564.9</v>
      </c>
      <c r="F60" s="6">
        <f>IFERROR(__xludf.DUMMYFUNCTION("""COMPUTED_VALUE"""),5092075.0)</f>
        <v>5092075</v>
      </c>
    </row>
    <row r="61">
      <c r="A61" s="7">
        <f>IFERROR(__xludf.DUMMYFUNCTION("""COMPUTED_VALUE"""),45610.64583333333)</f>
        <v>45610.64583</v>
      </c>
      <c r="B61" s="6">
        <f>IFERROR(__xludf.DUMMYFUNCTION("""COMPUTED_VALUE"""),564.0)</f>
        <v>564</v>
      </c>
      <c r="C61" s="6">
        <f>IFERROR(__xludf.DUMMYFUNCTION("""COMPUTED_VALUE"""),567.8)</f>
        <v>567.8</v>
      </c>
      <c r="D61" s="6">
        <f>IFERROR(__xludf.DUMMYFUNCTION("""COMPUTED_VALUE"""),541.05)</f>
        <v>541.05</v>
      </c>
      <c r="E61" s="6">
        <f>IFERROR(__xludf.DUMMYFUNCTION("""COMPUTED_VALUE"""),544.5)</f>
        <v>544.5</v>
      </c>
      <c r="F61" s="6">
        <f>IFERROR(__xludf.DUMMYFUNCTION("""COMPUTED_VALUE"""),3880806.0)</f>
        <v>3880806</v>
      </c>
    </row>
    <row r="62">
      <c r="A62" s="7">
        <f>IFERROR(__xludf.DUMMYFUNCTION("""COMPUTED_VALUE"""),45618.64583333333)</f>
        <v>45618.64583</v>
      </c>
      <c r="B62" s="6">
        <f>IFERROR(__xludf.DUMMYFUNCTION("""COMPUTED_VALUE"""),541.0)</f>
        <v>541</v>
      </c>
      <c r="C62" s="6">
        <f>IFERROR(__xludf.DUMMYFUNCTION("""COMPUTED_VALUE"""),560.35)</f>
        <v>560.35</v>
      </c>
      <c r="D62" s="6">
        <f>IFERROR(__xludf.DUMMYFUNCTION("""COMPUTED_VALUE"""),453.05)</f>
        <v>453.05</v>
      </c>
      <c r="E62" s="6">
        <f>IFERROR(__xludf.DUMMYFUNCTION("""COMPUTED_VALUE"""),499.85)</f>
        <v>499.85</v>
      </c>
      <c r="F62" s="6">
        <f>IFERROR(__xludf.DUMMYFUNCTION("""COMPUTED_VALUE"""),5.289462E7)</f>
        <v>52894620</v>
      </c>
    </row>
    <row r="63">
      <c r="A63" s="7">
        <f>IFERROR(__xludf.DUMMYFUNCTION("""COMPUTED_VALUE"""),45625.64583333333)</f>
        <v>45625.64583</v>
      </c>
      <c r="B63" s="6">
        <f>IFERROR(__xludf.DUMMYFUNCTION("""COMPUTED_VALUE"""),513.5)</f>
        <v>513.5</v>
      </c>
      <c r="C63" s="6">
        <f>IFERROR(__xludf.DUMMYFUNCTION("""COMPUTED_VALUE"""),535.7)</f>
        <v>535.7</v>
      </c>
      <c r="D63" s="6">
        <f>IFERROR(__xludf.DUMMYFUNCTION("""COMPUTED_VALUE"""),489.05)</f>
        <v>489.05</v>
      </c>
      <c r="E63" s="6">
        <f>IFERROR(__xludf.DUMMYFUNCTION("""COMPUTED_VALUE"""),531.5)</f>
        <v>531.5</v>
      </c>
      <c r="F63" s="6">
        <f>IFERROR(__xludf.DUMMYFUNCTION("""COMPUTED_VALUE"""),3.1669168E7)</f>
        <v>31669168</v>
      </c>
    </row>
    <row r="64">
      <c r="A64" s="7">
        <f>IFERROR(__xludf.DUMMYFUNCTION("""COMPUTED_VALUE"""),45632.64583333333)</f>
        <v>45632.64583</v>
      </c>
      <c r="B64" s="6">
        <f>IFERROR(__xludf.DUMMYFUNCTION("""COMPUTED_VALUE"""),532.0)</f>
        <v>532</v>
      </c>
      <c r="C64" s="6">
        <f>IFERROR(__xludf.DUMMYFUNCTION("""COMPUTED_VALUE"""),573.55)</f>
        <v>573.55</v>
      </c>
      <c r="D64" s="6">
        <f>IFERROR(__xludf.DUMMYFUNCTION("""COMPUTED_VALUE"""),530.05)</f>
        <v>530.05</v>
      </c>
      <c r="E64" s="6">
        <f>IFERROR(__xludf.DUMMYFUNCTION("""COMPUTED_VALUE"""),565.3)</f>
        <v>565.3</v>
      </c>
      <c r="F64" s="6">
        <f>IFERROR(__xludf.DUMMYFUNCTION("""COMPUTED_VALUE"""),1.4188342E7)</f>
        <v>14188342</v>
      </c>
    </row>
    <row r="65">
      <c r="A65" s="7">
        <f>IFERROR(__xludf.DUMMYFUNCTION("""COMPUTED_VALUE"""),45639.64583333333)</f>
        <v>45639.64583</v>
      </c>
      <c r="B65" s="6">
        <f>IFERROR(__xludf.DUMMYFUNCTION("""COMPUTED_VALUE"""),568.0)</f>
        <v>568</v>
      </c>
      <c r="C65" s="6">
        <f>IFERROR(__xludf.DUMMYFUNCTION("""COMPUTED_VALUE"""),584.2)</f>
        <v>584.2</v>
      </c>
      <c r="D65" s="6">
        <f>IFERROR(__xludf.DUMMYFUNCTION("""COMPUTED_VALUE"""),564.05)</f>
        <v>564.05</v>
      </c>
      <c r="E65" s="6">
        <f>IFERROR(__xludf.DUMMYFUNCTION("""COMPUTED_VALUE"""),572.75)</f>
        <v>572.75</v>
      </c>
      <c r="F65" s="6">
        <f>IFERROR(__xludf.DUMMYFUNCTION("""COMPUTED_VALUE"""),9485914.0)</f>
        <v>9485914</v>
      </c>
    </row>
    <row r="66">
      <c r="A66" s="7">
        <f>IFERROR(__xludf.DUMMYFUNCTION("""COMPUTED_VALUE"""),45646.64583333333)</f>
        <v>45646.64583</v>
      </c>
      <c r="B66" s="6">
        <f>IFERROR(__xludf.DUMMYFUNCTION("""COMPUTED_VALUE"""),573.25)</f>
        <v>573.25</v>
      </c>
      <c r="C66" s="6">
        <f>IFERROR(__xludf.DUMMYFUNCTION("""COMPUTED_VALUE"""),579.0)</f>
        <v>579</v>
      </c>
      <c r="D66" s="6">
        <f>IFERROR(__xludf.DUMMYFUNCTION("""COMPUTED_VALUE"""),547.0)</f>
        <v>547</v>
      </c>
      <c r="E66" s="6">
        <f>IFERROR(__xludf.DUMMYFUNCTION("""COMPUTED_VALUE"""),548.8)</f>
        <v>548.8</v>
      </c>
      <c r="F66" s="6">
        <f>IFERROR(__xludf.DUMMYFUNCTION("""COMPUTED_VALUE"""),7320541.0)</f>
        <v>7320541</v>
      </c>
    </row>
    <row r="67">
      <c r="A67" s="7">
        <f>IFERROR(__xludf.DUMMYFUNCTION("""COMPUTED_VALUE"""),45653.64583333333)</f>
        <v>45653.64583</v>
      </c>
      <c r="B67" s="6">
        <f>IFERROR(__xludf.DUMMYFUNCTION("""COMPUTED_VALUE"""),551.0)</f>
        <v>551</v>
      </c>
      <c r="C67" s="6">
        <f>IFERROR(__xludf.DUMMYFUNCTION("""COMPUTED_VALUE"""),557.0)</f>
        <v>557</v>
      </c>
      <c r="D67" s="6">
        <f>IFERROR(__xludf.DUMMYFUNCTION("""COMPUTED_VALUE"""),540.4)</f>
        <v>540.4</v>
      </c>
      <c r="E67" s="6">
        <f>IFERROR(__xludf.DUMMYFUNCTION("""COMPUTED_VALUE"""),547.95)</f>
        <v>547.95</v>
      </c>
      <c r="F67" s="6">
        <f>IFERROR(__xludf.DUMMYFUNCTION("""COMPUTED_VALUE"""),4667022.0)</f>
        <v>4667022</v>
      </c>
    </row>
    <row r="68">
      <c r="A68" s="7">
        <f>IFERROR(__xludf.DUMMYFUNCTION("""COMPUTED_VALUE"""),45660.64583333333)</f>
        <v>45660.64583</v>
      </c>
      <c r="B68" s="6">
        <f>IFERROR(__xludf.DUMMYFUNCTION("""COMPUTED_VALUE"""),548.0)</f>
        <v>548</v>
      </c>
      <c r="C68" s="6">
        <f>IFERROR(__xludf.DUMMYFUNCTION("""COMPUTED_VALUE"""),558.9)</f>
        <v>558.9</v>
      </c>
      <c r="D68" s="6">
        <f>IFERROR(__xludf.DUMMYFUNCTION("""COMPUTED_VALUE"""),530.55)</f>
        <v>530.55</v>
      </c>
      <c r="E68" s="6">
        <f>IFERROR(__xludf.DUMMYFUNCTION("""COMPUTED_VALUE"""),548.7)</f>
        <v>548.7</v>
      </c>
      <c r="F68" s="6">
        <f>IFERROR(__xludf.DUMMYFUNCTION("""COMPUTED_VALUE"""),1.0249059E7)</f>
        <v>10249059</v>
      </c>
    </row>
    <row r="69">
      <c r="A69" s="7">
        <f>IFERROR(__xludf.DUMMYFUNCTION("""COMPUTED_VALUE"""),45667.64583333333)</f>
        <v>45667.64583</v>
      </c>
      <c r="B69" s="6">
        <f>IFERROR(__xludf.DUMMYFUNCTION("""COMPUTED_VALUE"""),547.65)</f>
        <v>547.65</v>
      </c>
      <c r="C69" s="6">
        <f>IFERROR(__xludf.DUMMYFUNCTION("""COMPUTED_VALUE"""),548.0)</f>
        <v>548</v>
      </c>
      <c r="D69" s="6">
        <f>IFERROR(__xludf.DUMMYFUNCTION("""COMPUTED_VALUE"""),508.45)</f>
        <v>508.45</v>
      </c>
      <c r="E69" s="6">
        <f>IFERROR(__xludf.DUMMYFUNCTION("""COMPUTED_VALUE"""),511.25)</f>
        <v>511.25</v>
      </c>
      <c r="F69" s="6">
        <f>IFERROR(__xludf.DUMMYFUNCTION("""COMPUTED_VALUE"""),9117525.0)</f>
        <v>9117525</v>
      </c>
    </row>
    <row r="70">
      <c r="A70" s="7">
        <f>IFERROR(__xludf.DUMMYFUNCTION("""COMPUTED_VALUE"""),45674.64583333333)</f>
        <v>45674.64583</v>
      </c>
      <c r="B70" s="6">
        <f>IFERROR(__xludf.DUMMYFUNCTION("""COMPUTED_VALUE"""),504.0)</f>
        <v>504</v>
      </c>
      <c r="C70" s="6">
        <f>IFERROR(__xludf.DUMMYFUNCTION("""COMPUTED_VALUE"""),543.1)</f>
        <v>543.1</v>
      </c>
      <c r="D70" s="6">
        <f>IFERROR(__xludf.DUMMYFUNCTION("""COMPUTED_VALUE"""),491.2)</f>
        <v>491.2</v>
      </c>
      <c r="E70" s="6">
        <f>IFERROR(__xludf.DUMMYFUNCTION("""COMPUTED_VALUE"""),536.25)</f>
        <v>536.25</v>
      </c>
      <c r="F70" s="6">
        <f>IFERROR(__xludf.DUMMYFUNCTION("""COMPUTED_VALUE"""),1.1073445E7)</f>
        <v>11073445</v>
      </c>
    </row>
    <row r="71">
      <c r="A71" s="7">
        <f>IFERROR(__xludf.DUMMYFUNCTION("""COMPUTED_VALUE"""),45681.64583333333)</f>
        <v>45681.64583</v>
      </c>
      <c r="B71" s="6">
        <f>IFERROR(__xludf.DUMMYFUNCTION("""COMPUTED_VALUE"""),538.75)</f>
        <v>538.75</v>
      </c>
      <c r="C71" s="6">
        <f>IFERROR(__xludf.DUMMYFUNCTION("""COMPUTED_VALUE"""),561.9)</f>
        <v>561.9</v>
      </c>
      <c r="D71" s="6">
        <f>IFERROR(__xludf.DUMMYFUNCTION("""COMPUTED_VALUE"""),526.4)</f>
        <v>526.4</v>
      </c>
      <c r="E71" s="6">
        <f>IFERROR(__xludf.DUMMYFUNCTION("""COMPUTED_VALUE"""),551.8)</f>
        <v>551.8</v>
      </c>
      <c r="F71" s="6">
        <f>IFERROR(__xludf.DUMMYFUNCTION("""COMPUTED_VALUE"""),1.0589647E7)</f>
        <v>10589647</v>
      </c>
    </row>
    <row r="72">
      <c r="A72" s="7">
        <f>IFERROR(__xludf.DUMMYFUNCTION("""COMPUTED_VALUE"""),45695.64583333333)</f>
        <v>45695.64583</v>
      </c>
      <c r="B72" s="6">
        <f>IFERROR(__xludf.DUMMYFUNCTION("""COMPUTED_VALUE"""),500.0)</f>
        <v>500</v>
      </c>
      <c r="C72" s="6">
        <f>IFERROR(__xludf.DUMMYFUNCTION("""COMPUTED_VALUE"""),526.35)</f>
        <v>526.35</v>
      </c>
      <c r="D72" s="6">
        <f>IFERROR(__xludf.DUMMYFUNCTION("""COMPUTED_VALUE"""),486.55)</f>
        <v>486.55</v>
      </c>
      <c r="E72" s="6">
        <f>IFERROR(__xludf.DUMMYFUNCTION("""COMPUTED_VALUE"""),512.75)</f>
        <v>512.75</v>
      </c>
      <c r="F72" s="6">
        <f>IFERROR(__xludf.DUMMYFUNCTION("""COMPUTED_VALUE"""),1.2208934E7)</f>
        <v>12208934</v>
      </c>
    </row>
    <row r="73">
      <c r="A73" s="7">
        <f>IFERROR(__xludf.DUMMYFUNCTION("""COMPUTED_VALUE"""),45702.64583333333)</f>
        <v>45702.64583</v>
      </c>
      <c r="B73" s="6">
        <f>IFERROR(__xludf.DUMMYFUNCTION("""COMPUTED_VALUE"""),517.0)</f>
        <v>517</v>
      </c>
      <c r="C73" s="6">
        <f>IFERROR(__xludf.DUMMYFUNCTION("""COMPUTED_VALUE"""),519.95)</f>
        <v>519.95</v>
      </c>
      <c r="D73" s="6">
        <f>IFERROR(__xludf.DUMMYFUNCTION("""COMPUTED_VALUE"""),481.3)</f>
        <v>481.3</v>
      </c>
      <c r="E73" s="6">
        <f>IFERROR(__xludf.DUMMYFUNCTION("""COMPUTED_VALUE"""),489.5)</f>
        <v>489.5</v>
      </c>
      <c r="F73" s="6">
        <f>IFERROR(__xludf.DUMMYFUNCTION("""COMPUTED_VALUE"""),1.0367632E7)</f>
        <v>10367632</v>
      </c>
    </row>
    <row r="74">
      <c r="A74" s="7">
        <f>IFERROR(__xludf.DUMMYFUNCTION("""COMPUTED_VALUE"""),45709.64583333333)</f>
        <v>45709.64583</v>
      </c>
      <c r="B74" s="6">
        <f>IFERROR(__xludf.DUMMYFUNCTION("""COMPUTED_VALUE"""),488.0)</f>
        <v>488</v>
      </c>
      <c r="C74" s="6">
        <f>IFERROR(__xludf.DUMMYFUNCTION("""COMPUTED_VALUE"""),493.45)</f>
        <v>493.45</v>
      </c>
      <c r="D74" s="6">
        <f>IFERROR(__xludf.DUMMYFUNCTION("""COMPUTED_VALUE"""),474.05)</f>
        <v>474.05</v>
      </c>
      <c r="E74" s="6">
        <f>IFERROR(__xludf.DUMMYFUNCTION("""COMPUTED_VALUE"""),481.95)</f>
        <v>481.95</v>
      </c>
      <c r="F74" s="6">
        <f>IFERROR(__xludf.DUMMYFUNCTION("""COMPUTED_VALUE"""),1.1523168E7)</f>
        <v>11523168</v>
      </c>
    </row>
    <row r="75">
      <c r="A75" s="7">
        <f>IFERROR(__xludf.DUMMYFUNCTION("""COMPUTED_VALUE"""),45716.64583333333)</f>
        <v>45716.64583</v>
      </c>
      <c r="B75" s="6">
        <f>IFERROR(__xludf.DUMMYFUNCTION("""COMPUTED_VALUE"""),477.0)</f>
        <v>477</v>
      </c>
      <c r="C75" s="6">
        <f>IFERROR(__xludf.DUMMYFUNCTION("""COMPUTED_VALUE"""),478.9)</f>
        <v>478.9</v>
      </c>
      <c r="D75" s="6">
        <f>IFERROR(__xludf.DUMMYFUNCTION("""COMPUTED_VALUE"""),458.0)</f>
        <v>458</v>
      </c>
      <c r="E75" s="6">
        <f>IFERROR(__xludf.DUMMYFUNCTION("""COMPUTED_VALUE"""),464.95)</f>
        <v>464.95</v>
      </c>
      <c r="F75" s="6">
        <f>IFERROR(__xludf.DUMMYFUNCTION("""COMPUTED_VALUE"""),1.3348566E7)</f>
        <v>13348566</v>
      </c>
    </row>
    <row r="76">
      <c r="A76" s="7">
        <f>IFERROR(__xludf.DUMMYFUNCTION("""COMPUTED_VALUE"""),45723.64583333333)</f>
        <v>45723.64583</v>
      </c>
      <c r="B76" s="6">
        <f>IFERROR(__xludf.DUMMYFUNCTION("""COMPUTED_VALUE"""),465.0)</f>
        <v>465</v>
      </c>
      <c r="C76" s="6">
        <f>IFERROR(__xludf.DUMMYFUNCTION("""COMPUTED_VALUE"""),505.4)</f>
        <v>505.4</v>
      </c>
      <c r="D76" s="6">
        <f>IFERROR(__xludf.DUMMYFUNCTION("""COMPUTED_VALUE"""),455.0)</f>
        <v>455</v>
      </c>
      <c r="E76" s="6">
        <f>IFERROR(__xludf.DUMMYFUNCTION("""COMPUTED_VALUE"""),499.8)</f>
        <v>499.8</v>
      </c>
      <c r="F76" s="6">
        <f>IFERROR(__xludf.DUMMYFUNCTION("""COMPUTED_VALUE"""),1.0622688E7)</f>
        <v>10622688</v>
      </c>
    </row>
    <row r="77">
      <c r="A77" s="7">
        <f>IFERROR(__xludf.DUMMYFUNCTION("""COMPUTED_VALUE"""),45729.64583333333)</f>
        <v>45729.64583</v>
      </c>
      <c r="B77" s="6">
        <f>IFERROR(__xludf.DUMMYFUNCTION("""COMPUTED_VALUE"""),498.0)</f>
        <v>498</v>
      </c>
      <c r="C77" s="6">
        <f>IFERROR(__xludf.DUMMYFUNCTION("""COMPUTED_VALUE"""),508.0)</f>
        <v>508</v>
      </c>
      <c r="D77" s="6">
        <f>IFERROR(__xludf.DUMMYFUNCTION("""COMPUTED_VALUE"""),480.1)</f>
        <v>480.1</v>
      </c>
      <c r="E77" s="6">
        <f>IFERROR(__xludf.DUMMYFUNCTION("""COMPUTED_VALUE"""),485.8)</f>
        <v>485.8</v>
      </c>
      <c r="F77" s="6">
        <f>IFERROR(__xludf.DUMMYFUNCTION("""COMPUTED_VALUE"""),7160512.0)</f>
        <v>7160512</v>
      </c>
    </row>
    <row r="78">
      <c r="A78" s="7">
        <f>IFERROR(__xludf.DUMMYFUNCTION("""COMPUTED_VALUE"""),45737.64583333333)</f>
        <v>45737.64583</v>
      </c>
      <c r="B78" s="6">
        <f>IFERROR(__xludf.DUMMYFUNCTION("""COMPUTED_VALUE"""),488.0)</f>
        <v>488</v>
      </c>
      <c r="C78" s="6">
        <f>IFERROR(__xludf.DUMMYFUNCTION("""COMPUTED_VALUE"""),517.0)</f>
        <v>517</v>
      </c>
      <c r="D78" s="6">
        <f>IFERROR(__xludf.DUMMYFUNCTION("""COMPUTED_VALUE"""),486.1)</f>
        <v>486.1</v>
      </c>
      <c r="E78" s="6">
        <f>IFERROR(__xludf.DUMMYFUNCTION("""COMPUTED_VALUE"""),514.5)</f>
        <v>514.5</v>
      </c>
      <c r="F78" s="6">
        <f>IFERROR(__xludf.DUMMYFUNCTION("""COMPUTED_VALUE"""),1.18105E7)</f>
        <v>11810500</v>
      </c>
    </row>
    <row r="79">
      <c r="A79" s="7">
        <f>IFERROR(__xludf.DUMMYFUNCTION("""COMPUTED_VALUE"""),45744.64583333333)</f>
        <v>45744.64583</v>
      </c>
      <c r="B79" s="6">
        <f>IFERROR(__xludf.DUMMYFUNCTION("""COMPUTED_VALUE"""),516.9)</f>
        <v>516.9</v>
      </c>
      <c r="C79" s="6">
        <f>IFERROR(__xludf.DUMMYFUNCTION("""COMPUTED_VALUE"""),552.0)</f>
        <v>552</v>
      </c>
      <c r="D79" s="6">
        <f>IFERROR(__xludf.DUMMYFUNCTION("""COMPUTED_VALUE"""),510.55)</f>
        <v>510.55</v>
      </c>
      <c r="E79" s="6">
        <f>IFERROR(__xludf.DUMMYFUNCTION("""COMPUTED_VALUE"""),538.35)</f>
        <v>538.35</v>
      </c>
      <c r="F79" s="6">
        <f>IFERROR(__xludf.DUMMYFUNCTION("""COMPUTED_VALUE"""),1.8799278E7)</f>
        <v>18799278</v>
      </c>
    </row>
    <row r="80">
      <c r="A80" s="7">
        <f>IFERROR(__xludf.DUMMYFUNCTION("""COMPUTED_VALUE"""),45751.64583333333)</f>
        <v>45751.64583</v>
      </c>
      <c r="B80" s="6">
        <f>IFERROR(__xludf.DUMMYFUNCTION("""COMPUTED_VALUE"""),538.0)</f>
        <v>538</v>
      </c>
      <c r="C80" s="6">
        <f>IFERROR(__xludf.DUMMYFUNCTION("""COMPUTED_VALUE"""),544.2)</f>
        <v>544.2</v>
      </c>
      <c r="D80" s="6">
        <f>IFERROR(__xludf.DUMMYFUNCTION("""COMPUTED_VALUE"""),524.35)</f>
        <v>524.35</v>
      </c>
      <c r="E80" s="6">
        <f>IFERROR(__xludf.DUMMYFUNCTION("""COMPUTED_VALUE"""),528.2)</f>
        <v>528.2</v>
      </c>
      <c r="F80" s="6">
        <f>IFERROR(__xludf.DUMMYFUNCTION("""COMPUTED_VALUE"""),4460037.0)</f>
        <v>4460037</v>
      </c>
    </row>
    <row r="81">
      <c r="A81" s="7">
        <f>IFERROR(__xludf.DUMMYFUNCTION("""COMPUTED_VALUE"""),45758.64583333333)</f>
        <v>45758.64583</v>
      </c>
      <c r="B81" s="6">
        <f>IFERROR(__xludf.DUMMYFUNCTION("""COMPUTED_VALUE"""),495.0)</f>
        <v>495</v>
      </c>
      <c r="C81" s="6">
        <f>IFERROR(__xludf.DUMMYFUNCTION("""COMPUTED_VALUE"""),556.8)</f>
        <v>556.8</v>
      </c>
      <c r="D81" s="6">
        <f>IFERROR(__xludf.DUMMYFUNCTION("""COMPUTED_VALUE"""),480.35)</f>
        <v>480.35</v>
      </c>
      <c r="E81" s="6">
        <f>IFERROR(__xludf.DUMMYFUNCTION("""COMPUTED_VALUE"""),548.65)</f>
        <v>548.65</v>
      </c>
      <c r="F81" s="6">
        <f>IFERROR(__xludf.DUMMYFUNCTION("""COMPUTED_VALUE"""),1.2758842E7)</f>
        <v>12758842</v>
      </c>
    </row>
    <row r="82">
      <c r="A82" s="7">
        <f>IFERROR(__xludf.DUMMYFUNCTION("""COMPUTED_VALUE"""),45764.64583333333)</f>
        <v>45764.64583</v>
      </c>
      <c r="B82" s="6">
        <f>IFERROR(__xludf.DUMMYFUNCTION("""COMPUTED_VALUE"""),555.0)</f>
        <v>555</v>
      </c>
      <c r="C82" s="6">
        <f>IFERROR(__xludf.DUMMYFUNCTION("""COMPUTED_VALUE"""),571.1)</f>
        <v>571.1</v>
      </c>
      <c r="D82" s="6">
        <f>IFERROR(__xludf.DUMMYFUNCTION("""COMPUTED_VALUE"""),550.25)</f>
        <v>550.25</v>
      </c>
      <c r="E82" s="6">
        <f>IFERROR(__xludf.DUMMYFUNCTION("""COMPUTED_VALUE"""),569.8)</f>
        <v>569.8</v>
      </c>
      <c r="F82" s="6">
        <f>IFERROR(__xludf.DUMMYFUNCTION("""COMPUTED_VALUE"""),8478850.0)</f>
        <v>8478850</v>
      </c>
    </row>
    <row r="83">
      <c r="A83" s="7">
        <f>IFERROR(__xludf.DUMMYFUNCTION("""COMPUTED_VALUE"""),45772.64583333333)</f>
        <v>45772.64583</v>
      </c>
      <c r="B83" s="6">
        <f>IFERROR(__xludf.DUMMYFUNCTION("""COMPUTED_VALUE"""),572.3)</f>
        <v>572.3</v>
      </c>
      <c r="C83" s="6">
        <f>IFERROR(__xludf.DUMMYFUNCTION("""COMPUTED_VALUE"""),584.8)</f>
        <v>584.8</v>
      </c>
      <c r="D83" s="6">
        <f>IFERROR(__xludf.DUMMYFUNCTION("""COMPUTED_VALUE"""),544.0)</f>
        <v>544</v>
      </c>
      <c r="E83" s="6">
        <f>IFERROR(__xludf.DUMMYFUNCTION("""COMPUTED_VALUE"""),548.7)</f>
        <v>548.7</v>
      </c>
      <c r="F83" s="6">
        <f>IFERROR(__xludf.DUMMYFUNCTION("""COMPUTED_VALUE"""),1.788217E7)</f>
        <v>17882170</v>
      </c>
    </row>
    <row r="84">
      <c r="A84" s="7">
        <f>IFERROR(__xludf.DUMMYFUNCTION("""COMPUTED_VALUE"""),45779.64583333333)</f>
        <v>45779.64583</v>
      </c>
      <c r="B84" s="6">
        <f>IFERROR(__xludf.DUMMYFUNCTION("""COMPUTED_VALUE"""),548.85)</f>
        <v>548.85</v>
      </c>
      <c r="C84" s="6">
        <f>IFERROR(__xludf.DUMMYFUNCTION("""COMPUTED_VALUE"""),552.85)</f>
        <v>552.85</v>
      </c>
      <c r="D84" s="6">
        <f>IFERROR(__xludf.DUMMYFUNCTION("""COMPUTED_VALUE"""),527.25)</f>
        <v>527.25</v>
      </c>
      <c r="E84" s="6">
        <f>IFERROR(__xludf.DUMMYFUNCTION("""COMPUTED_VALUE"""),531.7)</f>
        <v>531.7</v>
      </c>
      <c r="F84" s="6">
        <f>IFERROR(__xludf.DUMMYFUNCTION("""COMPUTED_VALUE"""),1.8411615E7)</f>
        <v>18411615</v>
      </c>
    </row>
    <row r="85">
      <c r="A85" s="7">
        <f>IFERROR(__xludf.DUMMYFUNCTION("""COMPUTED_VALUE"""),45786.64583333333)</f>
        <v>45786.64583</v>
      </c>
      <c r="B85" s="6">
        <f>IFERROR(__xludf.DUMMYFUNCTION("""COMPUTED_VALUE"""),535.8)</f>
        <v>535.8</v>
      </c>
      <c r="C85" s="6">
        <f>IFERROR(__xludf.DUMMYFUNCTION("""COMPUTED_VALUE"""),549.65)</f>
        <v>549.65</v>
      </c>
      <c r="D85" s="6">
        <f>IFERROR(__xludf.DUMMYFUNCTION("""COMPUTED_VALUE"""),512.25)</f>
        <v>512.25</v>
      </c>
      <c r="E85" s="6">
        <f>IFERROR(__xludf.DUMMYFUNCTION("""COMPUTED_VALUE"""),527.45)</f>
        <v>527.45</v>
      </c>
      <c r="F85" s="6">
        <f>IFERROR(__xludf.DUMMYFUNCTION("""COMPUTED_VALUE"""),2.0371097E7)</f>
        <v>20371097</v>
      </c>
    </row>
    <row r="86">
      <c r="A86" s="7">
        <f>IFERROR(__xludf.DUMMYFUNCTION("""COMPUTED_VALUE"""),45793.64583333333)</f>
        <v>45793.64583</v>
      </c>
      <c r="B86" s="6">
        <f>IFERROR(__xludf.DUMMYFUNCTION("""COMPUTED_VALUE"""),540.0)</f>
        <v>540</v>
      </c>
      <c r="C86" s="6">
        <f>IFERROR(__xludf.DUMMYFUNCTION("""COMPUTED_VALUE"""),565.9)</f>
        <v>565.9</v>
      </c>
      <c r="D86" s="6">
        <f>IFERROR(__xludf.DUMMYFUNCTION("""COMPUTED_VALUE"""),534.3)</f>
        <v>534.3</v>
      </c>
      <c r="E86" s="6">
        <f>IFERROR(__xludf.DUMMYFUNCTION("""COMPUTED_VALUE"""),563.5)</f>
        <v>563.5</v>
      </c>
      <c r="F86" s="6">
        <f>IFERROR(__xludf.DUMMYFUNCTION("""COMPUTED_VALUE"""),1.4536234E7)</f>
        <v>14536234</v>
      </c>
    </row>
    <row r="87">
      <c r="A87" s="7">
        <f>IFERROR(__xludf.DUMMYFUNCTION("""COMPUTED_VALUE"""),45800.64583333333)</f>
        <v>45800.64583</v>
      </c>
      <c r="B87" s="6">
        <f>IFERROR(__xludf.DUMMYFUNCTION("""COMPUTED_VALUE"""),566.0)</f>
        <v>566</v>
      </c>
      <c r="C87" s="6">
        <f>IFERROR(__xludf.DUMMYFUNCTION("""COMPUTED_VALUE"""),576.0)</f>
        <v>576</v>
      </c>
      <c r="D87" s="6">
        <f>IFERROR(__xludf.DUMMYFUNCTION("""COMPUTED_VALUE"""),559.35)</f>
        <v>559.35</v>
      </c>
      <c r="E87" s="6">
        <f>IFERROR(__xludf.DUMMYFUNCTION("""COMPUTED_VALUE"""),570.9)</f>
        <v>570.9</v>
      </c>
      <c r="F87" s="6">
        <f>IFERROR(__xludf.DUMMYFUNCTION("""COMPUTED_VALUE"""),8158214.0)</f>
        <v>8158214</v>
      </c>
    </row>
    <row r="88">
      <c r="A88" s="7">
        <f>IFERROR(__xludf.DUMMYFUNCTION("""COMPUTED_VALUE"""),45807.64583333333)</f>
        <v>45807.64583</v>
      </c>
      <c r="B88" s="6">
        <f>IFERROR(__xludf.DUMMYFUNCTION("""COMPUTED_VALUE"""),571.35)</f>
        <v>571.35</v>
      </c>
      <c r="C88" s="6">
        <f>IFERROR(__xludf.DUMMYFUNCTION("""COMPUTED_VALUE"""),576.35)</f>
        <v>576.35</v>
      </c>
      <c r="D88" s="6">
        <f>IFERROR(__xludf.DUMMYFUNCTION("""COMPUTED_VALUE"""),551.3)</f>
        <v>551.3</v>
      </c>
      <c r="E88" s="6">
        <f>IFERROR(__xludf.DUMMYFUNCTION("""COMPUTED_VALUE"""),553.5)</f>
        <v>553.5</v>
      </c>
      <c r="F88" s="6">
        <f>IFERROR(__xludf.DUMMYFUNCTION("""COMPUTED_VALUE"""),7253380.0)</f>
        <v>7253380</v>
      </c>
    </row>
    <row r="89">
      <c r="A89" s="7">
        <f>IFERROR(__xludf.DUMMYFUNCTION("""COMPUTED_VALUE"""),45814.64583333333)</f>
        <v>45814.64583</v>
      </c>
      <c r="B89" s="6">
        <f>IFERROR(__xludf.DUMMYFUNCTION("""COMPUTED_VALUE"""),553.55)</f>
        <v>553.55</v>
      </c>
      <c r="C89" s="6">
        <f>IFERROR(__xludf.DUMMYFUNCTION("""COMPUTED_VALUE"""),559.55)</f>
        <v>559.55</v>
      </c>
      <c r="D89" s="6">
        <f>IFERROR(__xludf.DUMMYFUNCTION("""COMPUTED_VALUE"""),547.5)</f>
        <v>547.5</v>
      </c>
      <c r="E89" s="6">
        <f>IFERROR(__xludf.DUMMYFUNCTION("""COMPUTED_VALUE"""),555.15)</f>
        <v>555.15</v>
      </c>
      <c r="F89" s="6">
        <f>IFERROR(__xludf.DUMMYFUNCTION("""COMPUTED_VALUE"""),1.0152765E7)</f>
        <v>10152765</v>
      </c>
    </row>
    <row r="90">
      <c r="A90" s="7">
        <f>IFERROR(__xludf.DUMMYFUNCTION("""COMPUTED_VALUE"""),45821.64583333333)</f>
        <v>45821.64583</v>
      </c>
      <c r="B90" s="6">
        <f>IFERROR(__xludf.DUMMYFUNCTION("""COMPUTED_VALUE"""),563.0)</f>
        <v>563</v>
      </c>
      <c r="C90" s="6">
        <f>IFERROR(__xludf.DUMMYFUNCTION("""COMPUTED_VALUE"""),567.0)</f>
        <v>567</v>
      </c>
      <c r="D90" s="6">
        <f>IFERROR(__xludf.DUMMYFUNCTION("""COMPUTED_VALUE"""),536.05)</f>
        <v>536.05</v>
      </c>
      <c r="E90" s="6">
        <f>IFERROR(__xludf.DUMMYFUNCTION("""COMPUTED_VALUE"""),542.5)</f>
        <v>542.5</v>
      </c>
      <c r="F90" s="6">
        <f>IFERROR(__xludf.DUMMYFUNCTION("""COMPUTED_VALUE"""),1.2247872E7)</f>
        <v>12247872</v>
      </c>
    </row>
    <row r="91">
      <c r="A91" s="7">
        <f>IFERROR(__xludf.DUMMYFUNCTION("""COMPUTED_VALUE"""),45828.64583333333)</f>
        <v>45828.64583</v>
      </c>
      <c r="B91" s="6">
        <f>IFERROR(__xludf.DUMMYFUNCTION("""COMPUTED_VALUE"""),543.95)</f>
        <v>543.95</v>
      </c>
      <c r="C91" s="6">
        <f>IFERROR(__xludf.DUMMYFUNCTION("""COMPUTED_VALUE"""),556.6)</f>
        <v>556.6</v>
      </c>
      <c r="D91" s="6">
        <f>IFERROR(__xludf.DUMMYFUNCTION("""COMPUTED_VALUE"""),528.45)</f>
        <v>528.45</v>
      </c>
      <c r="E91" s="6">
        <f>IFERROR(__xludf.DUMMYFUNCTION("""COMPUTED_VALUE"""),533.45)</f>
        <v>533.45</v>
      </c>
      <c r="F91" s="6">
        <f>IFERROR(__xludf.DUMMYFUNCTION("""COMPUTED_VALUE"""),7846237.0)</f>
        <v>7846237</v>
      </c>
    </row>
    <row r="92">
      <c r="A92" s="7">
        <f>IFERROR(__xludf.DUMMYFUNCTION("""COMPUTED_VALUE"""),45835.64583333333)</f>
        <v>45835.64583</v>
      </c>
      <c r="B92" s="6">
        <f>IFERROR(__xludf.DUMMYFUNCTION("""COMPUTED_VALUE"""),530.0)</f>
        <v>530</v>
      </c>
      <c r="C92" s="6">
        <f>IFERROR(__xludf.DUMMYFUNCTION("""COMPUTED_VALUE"""),579.75)</f>
        <v>579.75</v>
      </c>
      <c r="D92" s="6">
        <f>IFERROR(__xludf.DUMMYFUNCTION("""COMPUTED_VALUE"""),528.45)</f>
        <v>528.45</v>
      </c>
      <c r="E92" s="6">
        <f>IFERROR(__xludf.DUMMYFUNCTION("""COMPUTED_VALUE"""),574.95)</f>
        <v>574.95</v>
      </c>
      <c r="F92" s="6">
        <f>IFERROR(__xludf.DUMMYFUNCTION("""COMPUTED_VALUE"""),1.5790757E7)</f>
        <v>15790757</v>
      </c>
    </row>
    <row r="93">
      <c r="A93" s="7">
        <f>IFERROR(__xludf.DUMMYFUNCTION("""COMPUTED_VALUE"""),45842.64583333333)</f>
        <v>45842.64583</v>
      </c>
      <c r="B93" s="6">
        <f>IFERROR(__xludf.DUMMYFUNCTION("""COMPUTED_VALUE"""),575.05)</f>
        <v>575.05</v>
      </c>
      <c r="C93" s="6">
        <f>IFERROR(__xludf.DUMMYFUNCTION("""COMPUTED_VALUE"""),601.75)</f>
        <v>601.75</v>
      </c>
      <c r="D93" s="6">
        <f>IFERROR(__xludf.DUMMYFUNCTION("""COMPUTED_VALUE"""),572.2)</f>
        <v>572.2</v>
      </c>
      <c r="E93" s="6">
        <f>IFERROR(__xludf.DUMMYFUNCTION("""COMPUTED_VALUE"""),595.75)</f>
        <v>595.75</v>
      </c>
      <c r="F93" s="6">
        <f>IFERROR(__xludf.DUMMYFUNCTION("""COMPUTED_VALUE"""),1.316074E7)</f>
        <v>13160740</v>
      </c>
    </row>
    <row r="94">
      <c r="A94" s="7">
        <f>IFERROR(__xludf.DUMMYFUNCTION("""COMPUTED_VALUE"""),45849.64583333333)</f>
        <v>45849.64583</v>
      </c>
      <c r="B94" s="6">
        <f>IFERROR(__xludf.DUMMYFUNCTION("""COMPUTED_VALUE"""),596.0)</f>
        <v>596</v>
      </c>
      <c r="C94" s="6">
        <f>IFERROR(__xludf.DUMMYFUNCTION("""COMPUTED_VALUE"""),596.85)</f>
        <v>596.85</v>
      </c>
      <c r="D94" s="6">
        <f>IFERROR(__xludf.DUMMYFUNCTION("""COMPUTED_VALUE"""),580.0)</f>
        <v>580</v>
      </c>
      <c r="E94" s="6">
        <f>IFERROR(__xludf.DUMMYFUNCTION("""COMPUTED_VALUE"""),587.15)</f>
        <v>587.15</v>
      </c>
      <c r="F94" s="6">
        <f>IFERROR(__xludf.DUMMYFUNCTION("""COMPUTED_VALUE"""),1.1776752E7)</f>
        <v>11776752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IFERROR(__xludf.DUMMYFUNCTION("""COMPUTED_VALUE"""),586.75)</f>
        <v>586.75</v>
      </c>
      <c r="C95" s="6">
        <f>IFERROR(__xludf.DUMMYFUNCTION("""COMPUTED_VALUE"""),599.75)</f>
        <v>599.75</v>
      </c>
      <c r="D95" s="6">
        <f>IFERROR(__xludf.DUMMYFUNCTION("""COMPUTED_VALUE"""),584.5)</f>
        <v>584.5</v>
      </c>
      <c r="E95" s="6">
        <f>IFERROR(__xludf.DUMMYFUNCTION("""COMPUTED_VALUE"""),596.7)</f>
        <v>596.7</v>
      </c>
      <c r="F95" s="6">
        <f>IFERROR(__xludf.DUMMYFUNCTION("""COMPUTED_VALUE"""),8904230.0)</f>
        <v>8904230</v>
      </c>
    </row>
    <row r="96">
      <c r="A96" s="7">
        <f>IFERROR(__xludf.DUMMYFUNCTION("""COMPUTED_VALUE"""),45863.64583333333)</f>
        <v>45863.64583</v>
      </c>
      <c r="B96" s="6">
        <f>IFERROR(__xludf.DUMMYFUNCTION("""COMPUTED_VALUE"""),599.35)</f>
        <v>599.35</v>
      </c>
      <c r="C96" s="6">
        <f>IFERROR(__xludf.DUMMYFUNCTION("""COMPUTED_VALUE"""),624.95)</f>
        <v>624.95</v>
      </c>
      <c r="D96" s="6">
        <f>IFERROR(__xludf.DUMMYFUNCTION("""COMPUTED_VALUE"""),597.15)</f>
        <v>597.15</v>
      </c>
      <c r="E96" s="6">
        <f>IFERROR(__xludf.DUMMYFUNCTION("""COMPUTED_VALUE"""),613.1)</f>
        <v>613.1</v>
      </c>
      <c r="F96" s="6">
        <f>IFERROR(__xludf.DUMMYFUNCTION("""COMPUTED_VALUE"""),1.5071223E7)</f>
        <v>15071223</v>
      </c>
    </row>
    <row r="97">
      <c r="A97" s="7">
        <f>IFERROR(__xludf.DUMMYFUNCTION("""COMPUTED_VALUE"""),45870.64583333333)</f>
        <v>45870.64583</v>
      </c>
      <c r="B97" s="6">
        <f>IFERROR(__xludf.DUMMYFUNCTION("""COMPUTED_VALUE"""),611.9)</f>
        <v>611.9</v>
      </c>
      <c r="C97" s="6">
        <f>IFERROR(__xludf.DUMMYFUNCTION("""COMPUTED_VALUE"""),624.8)</f>
        <v>624.8</v>
      </c>
      <c r="D97" s="6">
        <f>IFERROR(__xludf.DUMMYFUNCTION("""COMPUTED_VALUE"""),588.75)</f>
        <v>588.75</v>
      </c>
      <c r="E97" s="6">
        <f>IFERROR(__xludf.DUMMYFUNCTION("""COMPUTED_VALUE"""),607.95)</f>
        <v>607.95</v>
      </c>
      <c r="F97" s="6">
        <f>IFERROR(__xludf.DUMMYFUNCTION("""COMPUTED_VALUE"""),1.8111168E7)</f>
        <v>18111168</v>
      </c>
    </row>
    <row r="98">
      <c r="A98" s="7">
        <f>IFERROR(__xludf.DUMMYFUNCTION("""COMPUTED_VALUE"""),45877.64583333333)</f>
        <v>45877.64583</v>
      </c>
      <c r="B98" s="6">
        <f>IFERROR(__xludf.DUMMYFUNCTION("""COMPUTED_VALUE"""),609.75)</f>
        <v>609.75</v>
      </c>
      <c r="C98" s="6">
        <f>IFERROR(__xludf.DUMMYFUNCTION("""COMPUTED_VALUE"""),615.0)</f>
        <v>615</v>
      </c>
      <c r="D98" s="6">
        <f>IFERROR(__xludf.DUMMYFUNCTION("""COMPUTED_VALUE"""),578.0)</f>
        <v>578</v>
      </c>
      <c r="E98" s="6">
        <f>IFERROR(__xludf.DUMMYFUNCTION("""COMPUTED_VALUE"""),580.0)</f>
        <v>580</v>
      </c>
      <c r="F98" s="6">
        <f>IFERROR(__xludf.DUMMYFUNCTION("""COMPUTED_VALUE"""),7543228.0)</f>
        <v>7543228</v>
      </c>
    </row>
    <row r="99">
      <c r="A99" s="7">
        <f>IFERROR(__xludf.DUMMYFUNCTION("""COMPUTED_VALUE"""),45883.64583333333)</f>
        <v>45883.64583</v>
      </c>
      <c r="B99" s="6">
        <f>IFERROR(__xludf.DUMMYFUNCTION("""COMPUTED_VALUE"""),580.15)</f>
        <v>580.15</v>
      </c>
      <c r="C99" s="6">
        <f>IFERROR(__xludf.DUMMYFUNCTION("""COMPUTED_VALUE"""),591.65)</f>
        <v>591.65</v>
      </c>
      <c r="D99" s="6">
        <f>IFERROR(__xludf.DUMMYFUNCTION("""COMPUTED_VALUE"""),571.55)</f>
        <v>571.55</v>
      </c>
      <c r="E99" s="6">
        <f>IFERROR(__xludf.DUMMYFUNCTION("""COMPUTED_VALUE"""),578.05)</f>
        <v>578.05</v>
      </c>
      <c r="F99" s="6">
        <f>IFERROR(__xludf.DUMMYFUNCTION("""COMPUTED_VALUE"""),5976658.0)</f>
        <v>5976658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IFERROR(__xludf.DUMMYFUNCTION("""COMPUTED_VALUE"""),595.0)</f>
        <v>595</v>
      </c>
      <c r="C100" s="6">
        <f>IFERROR(__xludf.DUMMYFUNCTION("""COMPUTED_VALUE"""),605.45)</f>
        <v>605.45</v>
      </c>
      <c r="D100" s="6">
        <f>IFERROR(__xludf.DUMMYFUNCTION("""COMPUTED_VALUE"""),576.0)</f>
        <v>576</v>
      </c>
      <c r="E100" s="6">
        <f>IFERROR(__xludf.DUMMYFUNCTION("""COMPUTED_VALUE"""),577.15)</f>
        <v>577.15</v>
      </c>
      <c r="F100" s="6">
        <f>IFERROR(__xludf.DUMMYFUNCTION("""COMPUTED_VALUE"""),1.0386538E7)</f>
        <v>10386538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IFERROR(__xludf.DUMMYFUNCTION("""COMPUTED_VALUE"""),581.0)</f>
        <v>581</v>
      </c>
      <c r="C101" s="6">
        <f>IFERROR(__xludf.DUMMYFUNCTION("""COMPUTED_VALUE"""),582.0)</f>
        <v>582</v>
      </c>
      <c r="D101" s="6">
        <f>IFERROR(__xludf.DUMMYFUNCTION("""COMPUTED_VALUE"""),571.75)</f>
        <v>571.75</v>
      </c>
      <c r="E101" s="6">
        <f>IFERROR(__xludf.DUMMYFUNCTION("""COMPUTED_VALUE"""),572.8)</f>
        <v>572.8</v>
      </c>
      <c r="F101" s="6">
        <f>IFERROR(__xludf.DUMMYFUNCTION("""COMPUTED_VALUE"""),2.3610189E7)</f>
        <v>23610189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IFERROR(__xludf.DUMMYFUNCTION("GOOGLEFINANCE(""NSE:APLAPOLLO"",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IFERROR(__xludf.DUMMYFUNCTION("""COMPUTED_VALUE"""),1704.3)</f>
        <v>1704.3</v>
      </c>
      <c r="C2" s="6">
        <f>IFERROR(__xludf.DUMMYFUNCTION("""COMPUTED_VALUE"""),1741.0)</f>
        <v>1741</v>
      </c>
      <c r="D2" s="6">
        <f>IFERROR(__xludf.DUMMYFUNCTION("""COMPUTED_VALUE"""),1607.25)</f>
        <v>1607.25</v>
      </c>
      <c r="E2" s="6">
        <f>IFERROR(__xludf.DUMMYFUNCTION("""COMPUTED_VALUE"""),1729.5)</f>
        <v>1729.5</v>
      </c>
      <c r="F2" s="6">
        <f>IFERROR(__xludf.DUMMYFUNCTION("""COMPUTED_VALUE"""),7494504.0)</f>
        <v>7494504</v>
      </c>
    </row>
    <row r="3">
      <c r="A3" s="7">
        <f>IFERROR(__xludf.DUMMYFUNCTION("""COMPUTED_VALUE"""),45177.64583333333)</f>
        <v>45177.64583</v>
      </c>
      <c r="B3" s="6">
        <f>IFERROR(__xludf.DUMMYFUNCTION("""COMPUTED_VALUE"""),1729.5)</f>
        <v>1729.5</v>
      </c>
      <c r="C3" s="6">
        <f>IFERROR(__xludf.DUMMYFUNCTION("""COMPUTED_VALUE"""),1800.0)</f>
        <v>1800</v>
      </c>
      <c r="D3" s="6">
        <f>IFERROR(__xludf.DUMMYFUNCTION("""COMPUTED_VALUE"""),1703.0)</f>
        <v>1703</v>
      </c>
      <c r="E3" s="6">
        <f>IFERROR(__xludf.DUMMYFUNCTION("""COMPUTED_VALUE"""),1716.45)</f>
        <v>1716.45</v>
      </c>
      <c r="F3" s="6">
        <f>IFERROR(__xludf.DUMMYFUNCTION("""COMPUTED_VALUE"""),4429042.0)</f>
        <v>4429042</v>
      </c>
    </row>
    <row r="4">
      <c r="A4" s="7">
        <f>IFERROR(__xludf.DUMMYFUNCTION("""COMPUTED_VALUE"""),45184.64583333333)</f>
        <v>45184.64583</v>
      </c>
      <c r="B4" s="6">
        <f>IFERROR(__xludf.DUMMYFUNCTION("""COMPUTED_VALUE"""),1719.95)</f>
        <v>1719.95</v>
      </c>
      <c r="C4" s="6">
        <f>IFERROR(__xludf.DUMMYFUNCTION("""COMPUTED_VALUE"""),1754.9)</f>
        <v>1754.9</v>
      </c>
      <c r="D4" s="6">
        <f>IFERROR(__xludf.DUMMYFUNCTION("""COMPUTED_VALUE"""),1590.05)</f>
        <v>1590.05</v>
      </c>
      <c r="E4" s="6">
        <f>IFERROR(__xludf.DUMMYFUNCTION("""COMPUTED_VALUE"""),1620.2)</f>
        <v>1620.2</v>
      </c>
      <c r="F4" s="6">
        <f>IFERROR(__xludf.DUMMYFUNCTION("""COMPUTED_VALUE"""),4008128.0)</f>
        <v>4008128</v>
      </c>
    </row>
    <row r="5">
      <c r="A5" s="7">
        <f>IFERROR(__xludf.DUMMYFUNCTION("""COMPUTED_VALUE"""),45191.64583333333)</f>
        <v>45191.64583</v>
      </c>
      <c r="B5" s="6">
        <f>IFERROR(__xludf.DUMMYFUNCTION("""COMPUTED_VALUE"""),1620.2)</f>
        <v>1620.2</v>
      </c>
      <c r="C5" s="6">
        <f>IFERROR(__xludf.DUMMYFUNCTION("""COMPUTED_VALUE"""),1639.95)</f>
        <v>1639.95</v>
      </c>
      <c r="D5" s="6">
        <f>IFERROR(__xludf.DUMMYFUNCTION("""COMPUTED_VALUE"""),1561.15)</f>
        <v>1561.15</v>
      </c>
      <c r="E5" s="6">
        <f>IFERROR(__xludf.DUMMYFUNCTION("""COMPUTED_VALUE"""),1578.25)</f>
        <v>1578.25</v>
      </c>
      <c r="F5" s="6">
        <f>IFERROR(__xludf.DUMMYFUNCTION("""COMPUTED_VALUE"""),1905948.0)</f>
        <v>1905948</v>
      </c>
    </row>
    <row r="6">
      <c r="A6" s="7">
        <f>IFERROR(__xludf.DUMMYFUNCTION("""COMPUTED_VALUE"""),45198.64583333333)</f>
        <v>45198.64583</v>
      </c>
      <c r="B6" s="6">
        <f>IFERROR(__xludf.DUMMYFUNCTION("""COMPUTED_VALUE"""),1578.25)</f>
        <v>1578.25</v>
      </c>
      <c r="C6" s="6">
        <f>IFERROR(__xludf.DUMMYFUNCTION("""COMPUTED_VALUE"""),1679.0)</f>
        <v>1679</v>
      </c>
      <c r="D6" s="6">
        <f>IFERROR(__xludf.DUMMYFUNCTION("""COMPUTED_VALUE"""),1519.1)</f>
        <v>1519.1</v>
      </c>
      <c r="E6" s="6">
        <f>IFERROR(__xludf.DUMMYFUNCTION("""COMPUTED_VALUE"""),1625.0)</f>
        <v>1625</v>
      </c>
      <c r="F6" s="6">
        <f>IFERROR(__xludf.DUMMYFUNCTION("""COMPUTED_VALUE"""),3697721.0)</f>
        <v>3697721</v>
      </c>
    </row>
    <row r="7">
      <c r="A7" s="7">
        <f>IFERROR(__xludf.DUMMYFUNCTION("""COMPUTED_VALUE"""),45205.64583333333)</f>
        <v>45205.64583</v>
      </c>
      <c r="B7" s="6">
        <f>IFERROR(__xludf.DUMMYFUNCTION("""COMPUTED_VALUE"""),1630.0)</f>
        <v>1630</v>
      </c>
      <c r="C7" s="6">
        <f>IFERROR(__xludf.DUMMYFUNCTION("""COMPUTED_VALUE"""),1657.55)</f>
        <v>1657.55</v>
      </c>
      <c r="D7" s="6">
        <f>IFERROR(__xludf.DUMMYFUNCTION("""COMPUTED_VALUE"""),1599.0)</f>
        <v>1599</v>
      </c>
      <c r="E7" s="6">
        <f>IFERROR(__xludf.DUMMYFUNCTION("""COMPUTED_VALUE"""),1619.3)</f>
        <v>1619.3</v>
      </c>
      <c r="F7" s="6">
        <f>IFERROR(__xludf.DUMMYFUNCTION("""COMPUTED_VALUE"""),2150397.0)</f>
        <v>2150397</v>
      </c>
    </row>
    <row r="8">
      <c r="A8" s="7">
        <f>IFERROR(__xludf.DUMMYFUNCTION("""COMPUTED_VALUE"""),45212.64583333333)</f>
        <v>45212.64583</v>
      </c>
      <c r="B8" s="6">
        <f>IFERROR(__xludf.DUMMYFUNCTION("""COMPUTED_VALUE"""),1610.0)</f>
        <v>1610</v>
      </c>
      <c r="C8" s="6">
        <f>IFERROR(__xludf.DUMMYFUNCTION("""COMPUTED_VALUE"""),1723.0)</f>
        <v>1723</v>
      </c>
      <c r="D8" s="6">
        <f>IFERROR(__xludf.DUMMYFUNCTION("""COMPUTED_VALUE"""),1554.0)</f>
        <v>1554</v>
      </c>
      <c r="E8" s="6">
        <f>IFERROR(__xludf.DUMMYFUNCTION("""COMPUTED_VALUE"""),1712.15)</f>
        <v>1712.15</v>
      </c>
      <c r="F8" s="6">
        <f>IFERROR(__xludf.DUMMYFUNCTION("""COMPUTED_VALUE"""),3721700.0)</f>
        <v>3721700</v>
      </c>
    </row>
    <row r="9">
      <c r="A9" s="7">
        <f>IFERROR(__xludf.DUMMYFUNCTION("""COMPUTED_VALUE"""),45219.64583333333)</f>
        <v>45219.64583</v>
      </c>
      <c r="B9" s="6">
        <f>IFERROR(__xludf.DUMMYFUNCTION("""COMPUTED_VALUE"""),1724.4)</f>
        <v>1724.4</v>
      </c>
      <c r="C9" s="6">
        <f>IFERROR(__xludf.DUMMYFUNCTION("""COMPUTED_VALUE"""),1788.35)</f>
        <v>1788.35</v>
      </c>
      <c r="D9" s="6">
        <f>IFERROR(__xludf.DUMMYFUNCTION("""COMPUTED_VALUE"""),1678.95)</f>
        <v>1678.95</v>
      </c>
      <c r="E9" s="6">
        <f>IFERROR(__xludf.DUMMYFUNCTION("""COMPUTED_VALUE"""),1709.05)</f>
        <v>1709.05</v>
      </c>
      <c r="F9" s="6">
        <f>IFERROR(__xludf.DUMMYFUNCTION("""COMPUTED_VALUE"""),3570399.0)</f>
        <v>3570399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IFERROR(__xludf.DUMMYFUNCTION("""COMPUTED_VALUE"""),1725.0)</f>
        <v>1725</v>
      </c>
      <c r="C10" s="6">
        <f>IFERROR(__xludf.DUMMYFUNCTION("""COMPUTED_VALUE"""),1725.0)</f>
        <v>1725</v>
      </c>
      <c r="D10" s="6">
        <f>IFERROR(__xludf.DUMMYFUNCTION("""COMPUTED_VALUE"""),1587.45)</f>
        <v>1587.45</v>
      </c>
      <c r="E10" s="6">
        <f>IFERROR(__xludf.DUMMYFUNCTION("""COMPUTED_VALUE"""),1623.9)</f>
        <v>1623.9</v>
      </c>
      <c r="F10" s="6">
        <f>IFERROR(__xludf.DUMMYFUNCTION("""COMPUTED_VALUE"""),2640369.0)</f>
        <v>2640369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IFERROR(__xludf.DUMMYFUNCTION("""COMPUTED_VALUE"""),1628.0)</f>
        <v>1628</v>
      </c>
      <c r="C11" s="6">
        <f>IFERROR(__xludf.DUMMYFUNCTION("""COMPUTED_VALUE"""),1637.65)</f>
        <v>1637.65</v>
      </c>
      <c r="D11" s="6">
        <f>IFERROR(__xludf.DUMMYFUNCTION("""COMPUTED_VALUE"""),1506.15)</f>
        <v>1506.15</v>
      </c>
      <c r="E11" s="6">
        <f>IFERROR(__xludf.DUMMYFUNCTION("""COMPUTED_VALUE"""),1543.3)</f>
        <v>1543.3</v>
      </c>
      <c r="F11" s="6">
        <f>IFERROR(__xludf.DUMMYFUNCTION("""COMPUTED_VALUE"""),4994232.0)</f>
        <v>4994232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IFERROR(__xludf.DUMMYFUNCTION("""COMPUTED_VALUE"""),1545.95)</f>
        <v>1545.95</v>
      </c>
      <c r="C12" s="6">
        <f>IFERROR(__xludf.DUMMYFUNCTION("""COMPUTED_VALUE"""),1666.35)</f>
        <v>1666.35</v>
      </c>
      <c r="D12" s="6">
        <f>IFERROR(__xludf.DUMMYFUNCTION("""COMPUTED_VALUE"""),1538.05)</f>
        <v>1538.05</v>
      </c>
      <c r="E12" s="6">
        <f>IFERROR(__xludf.DUMMYFUNCTION("""COMPUTED_VALUE"""),1654.55)</f>
        <v>1654.55</v>
      </c>
      <c r="F12" s="6">
        <f>IFERROR(__xludf.DUMMYFUNCTION("""COMPUTED_VALUE"""),5052748.0)</f>
        <v>5052748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IFERROR(__xludf.DUMMYFUNCTION("""COMPUTED_VALUE"""),1667.95)</f>
        <v>1667.95</v>
      </c>
      <c r="C13" s="6">
        <f>IFERROR(__xludf.DUMMYFUNCTION("""COMPUTED_VALUE"""),1714.9)</f>
        <v>1714.9</v>
      </c>
      <c r="D13" s="6">
        <f>IFERROR(__xludf.DUMMYFUNCTION("""COMPUTED_VALUE"""),1648.05)</f>
        <v>1648.05</v>
      </c>
      <c r="E13" s="6">
        <f>IFERROR(__xludf.DUMMYFUNCTION("""COMPUTED_VALUE"""),1683.1)</f>
        <v>1683.1</v>
      </c>
      <c r="F13" s="6">
        <f>IFERROR(__xludf.DUMMYFUNCTION("""COMPUTED_VALUE"""),5049456.0)</f>
        <v>5049456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IFERROR(__xludf.DUMMYFUNCTION("""COMPUTED_VALUE"""),1694.0)</f>
        <v>1694</v>
      </c>
      <c r="C14" s="6">
        <f>IFERROR(__xludf.DUMMYFUNCTION("""COMPUTED_VALUE"""),1722.3)</f>
        <v>1722.3</v>
      </c>
      <c r="D14" s="6">
        <f>IFERROR(__xludf.DUMMYFUNCTION("""COMPUTED_VALUE"""),1640.15)</f>
        <v>1640.15</v>
      </c>
      <c r="E14" s="6">
        <f>IFERROR(__xludf.DUMMYFUNCTION("""COMPUTED_VALUE"""),1696.25)</f>
        <v>1696.25</v>
      </c>
      <c r="F14" s="6">
        <f>IFERROR(__xludf.DUMMYFUNCTION("""COMPUTED_VALUE"""),5115729.0)</f>
        <v>5115729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IFERROR(__xludf.DUMMYFUNCTION("""COMPUTED_VALUE"""),1709.9)</f>
        <v>1709.9</v>
      </c>
      <c r="C15" s="6">
        <f>IFERROR(__xludf.DUMMYFUNCTION("""COMPUTED_VALUE"""),1774.0)</f>
        <v>1774</v>
      </c>
      <c r="D15" s="6">
        <f>IFERROR(__xludf.DUMMYFUNCTION("""COMPUTED_VALUE"""),1632.95)</f>
        <v>1632.95</v>
      </c>
      <c r="E15" s="6">
        <f>IFERROR(__xludf.DUMMYFUNCTION("""COMPUTED_VALUE"""),1644.95)</f>
        <v>1644.95</v>
      </c>
      <c r="F15" s="6">
        <f>IFERROR(__xludf.DUMMYFUNCTION("""COMPUTED_VALUE"""),2.6784862E7)</f>
        <v>26784862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IFERROR(__xludf.DUMMYFUNCTION("""COMPUTED_VALUE"""),1693.0)</f>
        <v>1693</v>
      </c>
      <c r="C16" s="6">
        <f>IFERROR(__xludf.DUMMYFUNCTION("""COMPUTED_VALUE"""),1694.0)</f>
        <v>1694</v>
      </c>
      <c r="D16" s="6">
        <f>IFERROR(__xludf.DUMMYFUNCTION("""COMPUTED_VALUE"""),1579.15)</f>
        <v>1579.15</v>
      </c>
      <c r="E16" s="6">
        <f>IFERROR(__xludf.DUMMYFUNCTION("""COMPUTED_VALUE"""),1601.55)</f>
        <v>1601.55</v>
      </c>
      <c r="F16" s="6">
        <f>IFERROR(__xludf.DUMMYFUNCTION("""COMPUTED_VALUE"""),3980892.0)</f>
        <v>3980892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IFERROR(__xludf.DUMMYFUNCTION("""COMPUTED_VALUE"""),1601.0)</f>
        <v>1601</v>
      </c>
      <c r="C17" s="6">
        <f>IFERROR(__xludf.DUMMYFUNCTION("""COMPUTED_VALUE"""),1645.0)</f>
        <v>1645</v>
      </c>
      <c r="D17" s="6">
        <f>IFERROR(__xludf.DUMMYFUNCTION("""COMPUTED_VALUE"""),1596.95)</f>
        <v>1596.95</v>
      </c>
      <c r="E17" s="6">
        <f>IFERROR(__xludf.DUMMYFUNCTION("""COMPUTED_VALUE"""),1615.85)</f>
        <v>1615.85</v>
      </c>
      <c r="F17" s="6">
        <f>IFERROR(__xludf.DUMMYFUNCTION("""COMPUTED_VALUE"""),3663329.0)</f>
        <v>3663329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IFERROR(__xludf.DUMMYFUNCTION("""COMPUTED_VALUE"""),1613.0)</f>
        <v>1613</v>
      </c>
      <c r="C18" s="6">
        <f>IFERROR(__xludf.DUMMYFUNCTION("""COMPUTED_VALUE"""),1629.85)</f>
        <v>1629.85</v>
      </c>
      <c r="D18" s="6">
        <f>IFERROR(__xludf.DUMMYFUNCTION("""COMPUTED_VALUE"""),1540.4)</f>
        <v>1540.4</v>
      </c>
      <c r="E18" s="6">
        <f>IFERROR(__xludf.DUMMYFUNCTION("""COMPUTED_VALUE"""),1588.15)</f>
        <v>1588.15</v>
      </c>
      <c r="F18" s="6">
        <f>IFERROR(__xludf.DUMMYFUNCTION("""COMPUTED_VALUE"""),2991073.0)</f>
        <v>2991073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IFERROR(__xludf.DUMMYFUNCTION("""COMPUTED_VALUE"""),1593.9)</f>
        <v>1593.9</v>
      </c>
      <c r="C19" s="6">
        <f>IFERROR(__xludf.DUMMYFUNCTION("""COMPUTED_VALUE"""),1605.05)</f>
        <v>1605.05</v>
      </c>
      <c r="D19" s="6">
        <f>IFERROR(__xludf.DUMMYFUNCTION("""COMPUTED_VALUE"""),1520.15)</f>
        <v>1520.15</v>
      </c>
      <c r="E19" s="6">
        <f>IFERROR(__xludf.DUMMYFUNCTION("""COMPUTED_VALUE"""),1536.8)</f>
        <v>1536.8</v>
      </c>
      <c r="F19" s="6">
        <f>IFERROR(__xludf.DUMMYFUNCTION("""COMPUTED_VALUE"""),2917574.0)</f>
        <v>2917574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IFERROR(__xludf.DUMMYFUNCTION("""COMPUTED_VALUE"""),1553.9)</f>
        <v>1553.9</v>
      </c>
      <c r="C20" s="6">
        <f>IFERROR(__xludf.DUMMYFUNCTION("""COMPUTED_VALUE"""),1560.0)</f>
        <v>1560</v>
      </c>
      <c r="D20" s="6">
        <f>IFERROR(__xludf.DUMMYFUNCTION("""COMPUTED_VALUE"""),1432.9)</f>
        <v>1432.9</v>
      </c>
      <c r="E20" s="6">
        <f>IFERROR(__xludf.DUMMYFUNCTION("""COMPUTED_VALUE"""),1523.75)</f>
        <v>1523.75</v>
      </c>
      <c r="F20" s="6">
        <f>IFERROR(__xludf.DUMMYFUNCTION("""COMPUTED_VALUE"""),7437560.0)</f>
        <v>7437560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IFERROR(__xludf.DUMMYFUNCTION("""COMPUTED_VALUE"""),1524.05)</f>
        <v>1524.05</v>
      </c>
      <c r="C21" s="6">
        <f>IFERROR(__xludf.DUMMYFUNCTION("""COMPUTED_VALUE"""),1589.0)</f>
        <v>1589</v>
      </c>
      <c r="D21" s="6">
        <f>IFERROR(__xludf.DUMMYFUNCTION("""COMPUTED_VALUE"""),1494.55)</f>
        <v>1494.55</v>
      </c>
      <c r="E21" s="6">
        <f>IFERROR(__xludf.DUMMYFUNCTION("""COMPUTED_VALUE"""),1552.85)</f>
        <v>1552.85</v>
      </c>
      <c r="F21" s="6">
        <f>IFERROR(__xludf.DUMMYFUNCTION("""COMPUTED_VALUE"""),4654491.0)</f>
        <v>4654491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IFERROR(__xludf.DUMMYFUNCTION("""COMPUTED_VALUE"""),1539.0)</f>
        <v>1539</v>
      </c>
      <c r="C22" s="6">
        <f>IFERROR(__xludf.DUMMYFUNCTION("""COMPUTED_VALUE"""),1542.85)</f>
        <v>1542.85</v>
      </c>
      <c r="D22" s="6">
        <f>IFERROR(__xludf.DUMMYFUNCTION("""COMPUTED_VALUE"""),1478.0)</f>
        <v>1478</v>
      </c>
      <c r="E22" s="6">
        <f>IFERROR(__xludf.DUMMYFUNCTION("""COMPUTED_VALUE"""),1489.85)</f>
        <v>1489.85</v>
      </c>
      <c r="F22" s="6">
        <f>IFERROR(__xludf.DUMMYFUNCTION("""COMPUTED_VALUE"""),1866521.0)</f>
        <v>1866521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IFERROR(__xludf.DUMMYFUNCTION("""COMPUTED_VALUE"""),1479.95)</f>
        <v>1479.95</v>
      </c>
      <c r="C23" s="6">
        <f>IFERROR(__xludf.DUMMYFUNCTION("""COMPUTED_VALUE"""),1543.9)</f>
        <v>1543.9</v>
      </c>
      <c r="D23" s="6">
        <f>IFERROR(__xludf.DUMMYFUNCTION("""COMPUTED_VALUE"""),1456.6)</f>
        <v>1456.6</v>
      </c>
      <c r="E23" s="6">
        <f>IFERROR(__xludf.DUMMYFUNCTION("""COMPUTED_VALUE"""),1478.65)</f>
        <v>1478.65</v>
      </c>
      <c r="F23" s="6">
        <f>IFERROR(__xludf.DUMMYFUNCTION("""COMPUTED_VALUE"""),5696908.0)</f>
        <v>5696908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IFERROR(__xludf.DUMMYFUNCTION("""COMPUTED_VALUE"""),1478.65)</f>
        <v>1478.65</v>
      </c>
      <c r="C24" s="6">
        <f>IFERROR(__xludf.DUMMYFUNCTION("""COMPUTED_VALUE"""),1494.0)</f>
        <v>1494</v>
      </c>
      <c r="D24" s="6">
        <f>IFERROR(__xludf.DUMMYFUNCTION("""COMPUTED_VALUE"""),1326.75)</f>
        <v>1326.75</v>
      </c>
      <c r="E24" s="6">
        <f>IFERROR(__xludf.DUMMYFUNCTION("""COMPUTED_VALUE"""),1342.6)</f>
        <v>1342.6</v>
      </c>
      <c r="F24" s="6">
        <f>IFERROR(__xludf.DUMMYFUNCTION("""COMPUTED_VALUE"""),6334870.0)</f>
        <v>6334870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IFERROR(__xludf.DUMMYFUNCTION("""COMPUTED_VALUE"""),1358.95)</f>
        <v>1358.95</v>
      </c>
      <c r="C25" s="6">
        <f>IFERROR(__xludf.DUMMYFUNCTION("""COMPUTED_VALUE"""),1444.2)</f>
        <v>1444.2</v>
      </c>
      <c r="D25" s="6">
        <f>IFERROR(__xludf.DUMMYFUNCTION("""COMPUTED_VALUE"""),1305.0)</f>
        <v>1305</v>
      </c>
      <c r="E25" s="6">
        <f>IFERROR(__xludf.DUMMYFUNCTION("""COMPUTED_VALUE"""),1433.15)</f>
        <v>1433.15</v>
      </c>
      <c r="F25" s="6">
        <f>IFERROR(__xludf.DUMMYFUNCTION("""COMPUTED_VALUE"""),3114219.0)</f>
        <v>3114219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IFERROR(__xludf.DUMMYFUNCTION("""COMPUTED_VALUE"""),1433.2)</f>
        <v>1433.2</v>
      </c>
      <c r="C26" s="6">
        <f>IFERROR(__xludf.DUMMYFUNCTION("""COMPUTED_VALUE"""),1470.0)</f>
        <v>1470</v>
      </c>
      <c r="D26" s="6">
        <f>IFERROR(__xludf.DUMMYFUNCTION("""COMPUTED_VALUE"""),1402.4)</f>
        <v>1402.4</v>
      </c>
      <c r="E26" s="6">
        <f>IFERROR(__xludf.DUMMYFUNCTION("""COMPUTED_VALUE"""),1449.25)</f>
        <v>1449.25</v>
      </c>
      <c r="F26" s="6">
        <f>IFERROR(__xludf.DUMMYFUNCTION("""COMPUTED_VALUE"""),2359208.0)</f>
        <v>2359208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IFERROR(__xludf.DUMMYFUNCTION("""COMPUTED_VALUE"""),1539.9)</f>
        <v>1539.9</v>
      </c>
      <c r="C27" s="6">
        <f>IFERROR(__xludf.DUMMYFUNCTION("""COMPUTED_VALUE"""),1589.9)</f>
        <v>1589.9</v>
      </c>
      <c r="D27" s="6">
        <f>IFERROR(__xludf.DUMMYFUNCTION("""COMPUTED_VALUE"""),1523.6)</f>
        <v>1523.6</v>
      </c>
      <c r="E27" s="6">
        <f>IFERROR(__xludf.DUMMYFUNCTION("""COMPUTED_VALUE"""),1582.65)</f>
        <v>1582.65</v>
      </c>
      <c r="F27" s="6">
        <f>IFERROR(__xludf.DUMMYFUNCTION("""COMPUTED_VALUE"""),1594375.0)</f>
        <v>1594375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IFERROR(__xludf.DUMMYFUNCTION("""COMPUTED_VALUE"""),1587.9)</f>
        <v>1587.9</v>
      </c>
      <c r="C28" s="6">
        <f>IFERROR(__xludf.DUMMYFUNCTION("""COMPUTED_VALUE"""),1660.0)</f>
        <v>1660</v>
      </c>
      <c r="D28" s="6">
        <f>IFERROR(__xludf.DUMMYFUNCTION("""COMPUTED_VALUE"""),1440.0)</f>
        <v>1440</v>
      </c>
      <c r="E28" s="6">
        <f>IFERROR(__xludf.DUMMYFUNCTION("""COMPUTED_VALUE"""),1474.7)</f>
        <v>1474.7</v>
      </c>
      <c r="F28" s="6">
        <f>IFERROR(__xludf.DUMMYFUNCTION("""COMPUTED_VALUE"""),8931908.0)</f>
        <v>8931908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IFERROR(__xludf.DUMMYFUNCTION("""COMPUTED_VALUE"""),1472.95)</f>
        <v>1472.95</v>
      </c>
      <c r="C29" s="6">
        <f>IFERROR(__xludf.DUMMYFUNCTION("""COMPUTED_VALUE"""),1570.85)</f>
        <v>1570.85</v>
      </c>
      <c r="D29" s="6">
        <f>IFERROR(__xludf.DUMMYFUNCTION("""COMPUTED_VALUE"""),1463.7)</f>
        <v>1463.7</v>
      </c>
      <c r="E29" s="6">
        <f>IFERROR(__xludf.DUMMYFUNCTION("""COMPUTED_VALUE"""),1518.85)</f>
        <v>1518.85</v>
      </c>
      <c r="F29" s="6">
        <f>IFERROR(__xludf.DUMMYFUNCTION("""COMPUTED_VALUE"""),2446214.0)</f>
        <v>2446214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IFERROR(__xludf.DUMMYFUNCTION("""COMPUTED_VALUE"""),1497.8)</f>
        <v>1497.8</v>
      </c>
      <c r="C30" s="6">
        <f>IFERROR(__xludf.DUMMYFUNCTION("""COMPUTED_VALUE"""),1512.35)</f>
        <v>1512.35</v>
      </c>
      <c r="D30" s="6">
        <f>IFERROR(__xludf.DUMMYFUNCTION("""COMPUTED_VALUE"""),1455.55)</f>
        <v>1455.55</v>
      </c>
      <c r="E30" s="6">
        <f>IFERROR(__xludf.DUMMYFUNCTION("""COMPUTED_VALUE"""),1495.95)</f>
        <v>1495.95</v>
      </c>
      <c r="F30" s="6">
        <f>IFERROR(__xludf.DUMMYFUNCTION("""COMPUTED_VALUE"""),1713395.0)</f>
        <v>1713395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IFERROR(__xludf.DUMMYFUNCTION("""COMPUTED_VALUE"""),1509.95)</f>
        <v>1509.95</v>
      </c>
      <c r="C31" s="6">
        <f>IFERROR(__xludf.DUMMYFUNCTION("""COMPUTED_VALUE"""),1615.0)</f>
        <v>1615</v>
      </c>
      <c r="D31" s="6">
        <f>IFERROR(__xludf.DUMMYFUNCTION("""COMPUTED_VALUE"""),1476.4)</f>
        <v>1476.4</v>
      </c>
      <c r="E31" s="6">
        <f>IFERROR(__xludf.DUMMYFUNCTION("""COMPUTED_VALUE"""),1550.85)</f>
        <v>1550.85</v>
      </c>
      <c r="F31" s="6">
        <f>IFERROR(__xludf.DUMMYFUNCTION("""COMPUTED_VALUE"""),2686330.0)</f>
        <v>2686330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IFERROR(__xludf.DUMMYFUNCTION("""COMPUTED_VALUE"""),1570.0)</f>
        <v>1570</v>
      </c>
      <c r="C32" s="6">
        <f>IFERROR(__xludf.DUMMYFUNCTION("""COMPUTED_VALUE"""),1622.0)</f>
        <v>1622</v>
      </c>
      <c r="D32" s="6">
        <f>IFERROR(__xludf.DUMMYFUNCTION("""COMPUTED_VALUE"""),1535.4)</f>
        <v>1535.4</v>
      </c>
      <c r="E32" s="6">
        <f>IFERROR(__xludf.DUMMYFUNCTION("""COMPUTED_VALUE"""),1547.1)</f>
        <v>1547.1</v>
      </c>
      <c r="F32" s="6">
        <f>IFERROR(__xludf.DUMMYFUNCTION("""COMPUTED_VALUE"""),2333669.0)</f>
        <v>2333669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IFERROR(__xludf.DUMMYFUNCTION("""COMPUTED_VALUE"""),1500.0)</f>
        <v>1500</v>
      </c>
      <c r="C33" s="6">
        <f>IFERROR(__xludf.DUMMYFUNCTION("""COMPUTED_VALUE"""),1570.0)</f>
        <v>1570</v>
      </c>
      <c r="D33" s="6">
        <f>IFERROR(__xludf.DUMMYFUNCTION("""COMPUTED_VALUE"""),1500.0)</f>
        <v>1500</v>
      </c>
      <c r="E33" s="6">
        <f>IFERROR(__xludf.DUMMYFUNCTION("""COMPUTED_VALUE"""),1555.65)</f>
        <v>1555.65</v>
      </c>
      <c r="F33" s="6">
        <f>IFERROR(__xludf.DUMMYFUNCTION("""COMPUTED_VALUE"""),1547355.0)</f>
        <v>1547355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IFERROR(__xludf.DUMMYFUNCTION("""COMPUTED_VALUE"""),1570.0)</f>
        <v>1570</v>
      </c>
      <c r="C34" s="6">
        <f>IFERROR(__xludf.DUMMYFUNCTION("""COMPUTED_VALUE"""),1595.95)</f>
        <v>1595.95</v>
      </c>
      <c r="D34" s="6">
        <f>IFERROR(__xludf.DUMMYFUNCTION("""COMPUTED_VALUE"""),1536.0)</f>
        <v>1536</v>
      </c>
      <c r="E34" s="6">
        <f>IFERROR(__xludf.DUMMYFUNCTION("""COMPUTED_VALUE"""),1554.45)</f>
        <v>1554.45</v>
      </c>
      <c r="F34" s="6">
        <f>IFERROR(__xludf.DUMMYFUNCTION("""COMPUTED_VALUE"""),1685906.0)</f>
        <v>1685906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IFERROR(__xludf.DUMMYFUNCTION("""COMPUTED_VALUE"""),1560.0)</f>
        <v>1560</v>
      </c>
      <c r="C35" s="6">
        <f>IFERROR(__xludf.DUMMYFUNCTION("""COMPUTED_VALUE"""),1613.0)</f>
        <v>1613</v>
      </c>
      <c r="D35" s="6">
        <f>IFERROR(__xludf.DUMMYFUNCTION("""COMPUTED_VALUE"""),1533.35)</f>
        <v>1533.35</v>
      </c>
      <c r="E35" s="6">
        <f>IFERROR(__xludf.DUMMYFUNCTION("""COMPUTED_VALUE"""),1587.3)</f>
        <v>1587.3</v>
      </c>
      <c r="F35" s="6">
        <f>IFERROR(__xludf.DUMMYFUNCTION("""COMPUTED_VALUE"""),1646864.0)</f>
        <v>1646864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IFERROR(__xludf.DUMMYFUNCTION("""COMPUTED_VALUE"""),1580.0)</f>
        <v>1580</v>
      </c>
      <c r="C36" s="6">
        <f>IFERROR(__xludf.DUMMYFUNCTION("""COMPUTED_VALUE"""),1611.0)</f>
        <v>1611</v>
      </c>
      <c r="D36" s="6">
        <f>IFERROR(__xludf.DUMMYFUNCTION("""COMPUTED_VALUE"""),1506.8)</f>
        <v>1506.8</v>
      </c>
      <c r="E36" s="6">
        <f>IFERROR(__xludf.DUMMYFUNCTION("""COMPUTED_VALUE"""),1535.45)</f>
        <v>1535.45</v>
      </c>
      <c r="F36" s="6">
        <f>IFERROR(__xludf.DUMMYFUNCTION("""COMPUTED_VALUE"""),1923119.0)</f>
        <v>1923119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IFERROR(__xludf.DUMMYFUNCTION("""COMPUTED_VALUE"""),1670.3)</f>
        <v>1670.3</v>
      </c>
      <c r="C37" s="6">
        <f>IFERROR(__xludf.DUMMYFUNCTION("""COMPUTED_VALUE"""),1728.95)</f>
        <v>1728.95</v>
      </c>
      <c r="D37" s="6">
        <f>IFERROR(__xludf.DUMMYFUNCTION("""COMPUTED_VALUE"""),1670.3)</f>
        <v>1670.3</v>
      </c>
      <c r="E37" s="6">
        <f>IFERROR(__xludf.DUMMYFUNCTION("""COMPUTED_VALUE"""),1694.25)</f>
        <v>1694.25</v>
      </c>
      <c r="F37" s="6">
        <f>IFERROR(__xludf.DUMMYFUNCTION("""COMPUTED_VALUE"""),1958607.0)</f>
        <v>1958607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IFERROR(__xludf.DUMMYFUNCTION("""COMPUTED_VALUE"""),1700.5)</f>
        <v>1700.5</v>
      </c>
      <c r="C38" s="6">
        <f>IFERROR(__xludf.DUMMYFUNCTION("""COMPUTED_VALUE"""),1705.0)</f>
        <v>1705</v>
      </c>
      <c r="D38" s="6">
        <f>IFERROR(__xludf.DUMMYFUNCTION("""COMPUTED_VALUE"""),1463.6)</f>
        <v>1463.6</v>
      </c>
      <c r="E38" s="6">
        <f>IFERROR(__xludf.DUMMYFUNCTION("""COMPUTED_VALUE"""),1504.9)</f>
        <v>1504.9</v>
      </c>
      <c r="F38" s="6">
        <f>IFERROR(__xludf.DUMMYFUNCTION("""COMPUTED_VALUE"""),4915697.0)</f>
        <v>4915697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IFERROR(__xludf.DUMMYFUNCTION("""COMPUTED_VALUE"""),1562.0)</f>
        <v>1562</v>
      </c>
      <c r="C39" s="6">
        <f>IFERROR(__xludf.DUMMYFUNCTION("""COMPUTED_VALUE"""),1631.5)</f>
        <v>1631.5</v>
      </c>
      <c r="D39" s="6">
        <f>IFERROR(__xludf.DUMMYFUNCTION("""COMPUTED_VALUE"""),1403.25)</f>
        <v>1403.25</v>
      </c>
      <c r="E39" s="6">
        <f>IFERROR(__xludf.DUMMYFUNCTION("""COMPUTED_VALUE"""),1625.05)</f>
        <v>1625.05</v>
      </c>
      <c r="F39" s="6">
        <f>IFERROR(__xludf.DUMMYFUNCTION("""COMPUTED_VALUE"""),6648282.0)</f>
        <v>6648282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IFERROR(__xludf.DUMMYFUNCTION("""COMPUTED_VALUE"""),1634.0)</f>
        <v>1634</v>
      </c>
      <c r="C40" s="6">
        <f>IFERROR(__xludf.DUMMYFUNCTION("""COMPUTED_VALUE"""),1667.5)</f>
        <v>1667.5</v>
      </c>
      <c r="D40" s="6">
        <f>IFERROR(__xludf.DUMMYFUNCTION("""COMPUTED_VALUE"""),1533.25)</f>
        <v>1533.25</v>
      </c>
      <c r="E40" s="6">
        <f>IFERROR(__xludf.DUMMYFUNCTION("""COMPUTED_VALUE"""),1558.8)</f>
        <v>1558.8</v>
      </c>
      <c r="F40" s="6">
        <f>IFERROR(__xludf.DUMMYFUNCTION("""COMPUTED_VALUE"""),2702381.0)</f>
        <v>2702381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IFERROR(__xludf.DUMMYFUNCTION("""COMPUTED_VALUE"""),1559.4)</f>
        <v>1559.4</v>
      </c>
      <c r="C41" s="6">
        <f>IFERROR(__xludf.DUMMYFUNCTION("""COMPUTED_VALUE"""),1679.0)</f>
        <v>1679</v>
      </c>
      <c r="D41" s="6">
        <f>IFERROR(__xludf.DUMMYFUNCTION("""COMPUTED_VALUE"""),1555.05)</f>
        <v>1555.05</v>
      </c>
      <c r="E41" s="6">
        <f>IFERROR(__xludf.DUMMYFUNCTION("""COMPUTED_VALUE"""),1646.6)</f>
        <v>1646.6</v>
      </c>
      <c r="F41" s="6">
        <f>IFERROR(__xludf.DUMMYFUNCTION("""COMPUTED_VALUE"""),3768750.0)</f>
        <v>3768750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IFERROR(__xludf.DUMMYFUNCTION("""COMPUTED_VALUE"""),1638.5)</f>
        <v>1638.5</v>
      </c>
      <c r="C42" s="6">
        <f>IFERROR(__xludf.DUMMYFUNCTION("""COMPUTED_VALUE"""),1647.2)</f>
        <v>1647.2</v>
      </c>
      <c r="D42" s="6">
        <f>IFERROR(__xludf.DUMMYFUNCTION("""COMPUTED_VALUE"""),1520.0)</f>
        <v>1520</v>
      </c>
      <c r="E42" s="6">
        <f>IFERROR(__xludf.DUMMYFUNCTION("""COMPUTED_VALUE"""),1555.3)</f>
        <v>1555.3</v>
      </c>
      <c r="F42" s="6">
        <f>IFERROR(__xludf.DUMMYFUNCTION("""COMPUTED_VALUE"""),2759770.0)</f>
        <v>2759770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IFERROR(__xludf.DUMMYFUNCTION("""COMPUTED_VALUE"""),1560.05)</f>
        <v>1560.05</v>
      </c>
      <c r="C43" s="6">
        <f>IFERROR(__xludf.DUMMYFUNCTION("""COMPUTED_VALUE"""),1654.0)</f>
        <v>1654</v>
      </c>
      <c r="D43" s="6">
        <f>IFERROR(__xludf.DUMMYFUNCTION("""COMPUTED_VALUE"""),1551.0)</f>
        <v>1551</v>
      </c>
      <c r="E43" s="6">
        <f>IFERROR(__xludf.DUMMYFUNCTION("""COMPUTED_VALUE"""),1569.65)</f>
        <v>1569.65</v>
      </c>
      <c r="F43" s="6">
        <f>IFERROR(__xludf.DUMMYFUNCTION("""COMPUTED_VALUE"""),3921000.0)</f>
        <v>3921000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IFERROR(__xludf.DUMMYFUNCTION("""COMPUTED_VALUE"""),1570.0)</f>
        <v>1570</v>
      </c>
      <c r="C44" s="6">
        <f>IFERROR(__xludf.DUMMYFUNCTION("""COMPUTED_VALUE"""),1586.95)</f>
        <v>1586.95</v>
      </c>
      <c r="D44" s="6">
        <f>IFERROR(__xludf.DUMMYFUNCTION("""COMPUTED_VALUE"""),1529.0)</f>
        <v>1529</v>
      </c>
      <c r="E44" s="6">
        <f>IFERROR(__xludf.DUMMYFUNCTION("""COMPUTED_VALUE"""),1541.2)</f>
        <v>1541.2</v>
      </c>
      <c r="F44" s="6">
        <f>IFERROR(__xludf.DUMMYFUNCTION("""COMPUTED_VALUE"""),2306122.0)</f>
        <v>2306122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IFERROR(__xludf.DUMMYFUNCTION("""COMPUTED_VALUE"""),1541.9)</f>
        <v>1541.9</v>
      </c>
      <c r="C45" s="6">
        <f>IFERROR(__xludf.DUMMYFUNCTION("""COMPUTED_VALUE"""),1564.85)</f>
        <v>1564.85</v>
      </c>
      <c r="D45" s="6">
        <f>IFERROR(__xludf.DUMMYFUNCTION("""COMPUTED_VALUE"""),1486.05)</f>
        <v>1486.05</v>
      </c>
      <c r="E45" s="6">
        <f>IFERROR(__xludf.DUMMYFUNCTION("""COMPUTED_VALUE"""),1489.45)</f>
        <v>1489.45</v>
      </c>
      <c r="F45" s="6">
        <f>IFERROR(__xludf.DUMMYFUNCTION("""COMPUTED_VALUE"""),3271533.0)</f>
        <v>3271533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IFERROR(__xludf.DUMMYFUNCTION("""COMPUTED_VALUE"""),1461.1)</f>
        <v>1461.1</v>
      </c>
      <c r="C46" s="6">
        <f>IFERROR(__xludf.DUMMYFUNCTION("""COMPUTED_VALUE"""),1515.0)</f>
        <v>1515</v>
      </c>
      <c r="D46" s="6">
        <f>IFERROR(__xludf.DUMMYFUNCTION("""COMPUTED_VALUE"""),1455.4)</f>
        <v>1455.4</v>
      </c>
      <c r="E46" s="6">
        <f>IFERROR(__xludf.DUMMYFUNCTION("""COMPUTED_VALUE"""),1484.35)</f>
        <v>1484.35</v>
      </c>
      <c r="F46" s="6">
        <f>IFERROR(__xludf.DUMMYFUNCTION("""COMPUTED_VALUE"""),1721283.0)</f>
        <v>1721283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IFERROR(__xludf.DUMMYFUNCTION("""COMPUTED_VALUE"""),1489.95)</f>
        <v>1489.95</v>
      </c>
      <c r="C47" s="6">
        <f>IFERROR(__xludf.DUMMYFUNCTION("""COMPUTED_VALUE"""),1512.0)</f>
        <v>1512</v>
      </c>
      <c r="D47" s="6">
        <f>IFERROR(__xludf.DUMMYFUNCTION("""COMPUTED_VALUE"""),1458.05)</f>
        <v>1458.05</v>
      </c>
      <c r="E47" s="6">
        <f>IFERROR(__xludf.DUMMYFUNCTION("""COMPUTED_VALUE"""),1472.6)</f>
        <v>1472.6</v>
      </c>
      <c r="F47" s="6">
        <f>IFERROR(__xludf.DUMMYFUNCTION("""COMPUTED_VALUE"""),2834761.0)</f>
        <v>2834761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IFERROR(__xludf.DUMMYFUNCTION("""COMPUTED_VALUE"""),1450.0)</f>
        <v>1450</v>
      </c>
      <c r="C48" s="6">
        <f>IFERROR(__xludf.DUMMYFUNCTION("""COMPUTED_VALUE"""),1465.5)</f>
        <v>1465.5</v>
      </c>
      <c r="D48" s="6">
        <f>IFERROR(__xludf.DUMMYFUNCTION("""COMPUTED_VALUE"""),1397.0)</f>
        <v>1397</v>
      </c>
      <c r="E48" s="6">
        <f>IFERROR(__xludf.DUMMYFUNCTION("""COMPUTED_VALUE"""),1425.1)</f>
        <v>1425.1</v>
      </c>
      <c r="F48" s="6">
        <f>IFERROR(__xludf.DUMMYFUNCTION("""COMPUTED_VALUE"""),1534090.0)</f>
        <v>1534090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IFERROR(__xludf.DUMMYFUNCTION("""COMPUTED_VALUE"""),1419.3)</f>
        <v>1419.3</v>
      </c>
      <c r="C49" s="6">
        <f>IFERROR(__xludf.DUMMYFUNCTION("""COMPUTED_VALUE"""),1447.5)</f>
        <v>1447.5</v>
      </c>
      <c r="D49" s="6">
        <f>IFERROR(__xludf.DUMMYFUNCTION("""COMPUTED_VALUE"""),1398.8)</f>
        <v>1398.8</v>
      </c>
      <c r="E49" s="6">
        <f>IFERROR(__xludf.DUMMYFUNCTION("""COMPUTED_VALUE"""),1407.55)</f>
        <v>1407.55</v>
      </c>
      <c r="F49" s="6">
        <f>IFERROR(__xludf.DUMMYFUNCTION("""COMPUTED_VALUE"""),1488865.0)</f>
        <v>1488865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IFERROR(__xludf.DUMMYFUNCTION("""COMPUTED_VALUE"""),1407.0)</f>
        <v>1407</v>
      </c>
      <c r="C50" s="6">
        <f>IFERROR(__xludf.DUMMYFUNCTION("""COMPUTED_VALUE"""),1444.95)</f>
        <v>1444.95</v>
      </c>
      <c r="D50" s="6">
        <f>IFERROR(__xludf.DUMMYFUNCTION("""COMPUTED_VALUE"""),1341.95)</f>
        <v>1341.95</v>
      </c>
      <c r="E50" s="6">
        <f>IFERROR(__xludf.DUMMYFUNCTION("""COMPUTED_VALUE"""),1422.6)</f>
        <v>1422.6</v>
      </c>
      <c r="F50" s="6">
        <f>IFERROR(__xludf.DUMMYFUNCTION("""COMPUTED_VALUE"""),4288972.0)</f>
        <v>4288972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IFERROR(__xludf.DUMMYFUNCTION("""COMPUTED_VALUE"""),1429.0)</f>
        <v>1429</v>
      </c>
      <c r="C51" s="6">
        <f>IFERROR(__xludf.DUMMYFUNCTION("""COMPUTED_VALUE"""),1507.75)</f>
        <v>1507.75</v>
      </c>
      <c r="D51" s="6">
        <f>IFERROR(__xludf.DUMMYFUNCTION("""COMPUTED_VALUE"""),1414.0)</f>
        <v>1414</v>
      </c>
      <c r="E51" s="6">
        <f>IFERROR(__xludf.DUMMYFUNCTION("""COMPUTED_VALUE"""),1462.1)</f>
        <v>1462.1</v>
      </c>
      <c r="F51" s="6">
        <f>IFERROR(__xludf.DUMMYFUNCTION("""COMPUTED_VALUE"""),3209520.0)</f>
        <v>3209520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IFERROR(__xludf.DUMMYFUNCTION("""COMPUTED_VALUE"""),1451.1)</f>
        <v>1451.1</v>
      </c>
      <c r="C52" s="6">
        <f>IFERROR(__xludf.DUMMYFUNCTION("""COMPUTED_VALUE"""),1475.0)</f>
        <v>1475</v>
      </c>
      <c r="D52" s="6">
        <f>IFERROR(__xludf.DUMMYFUNCTION("""COMPUTED_VALUE"""),1394.0)</f>
        <v>1394</v>
      </c>
      <c r="E52" s="6">
        <f>IFERROR(__xludf.DUMMYFUNCTION("""COMPUTED_VALUE"""),1403.1)</f>
        <v>1403.1</v>
      </c>
      <c r="F52" s="6">
        <f>IFERROR(__xludf.DUMMYFUNCTION("""COMPUTED_VALUE"""),2491822.0)</f>
        <v>2491822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IFERROR(__xludf.DUMMYFUNCTION("""COMPUTED_VALUE"""),1414.0)</f>
        <v>1414</v>
      </c>
      <c r="C53" s="6">
        <f>IFERROR(__xludf.DUMMYFUNCTION("""COMPUTED_VALUE"""),1486.35)</f>
        <v>1486.35</v>
      </c>
      <c r="D53" s="6">
        <f>IFERROR(__xludf.DUMMYFUNCTION("""COMPUTED_VALUE"""),1382.45)</f>
        <v>1382.45</v>
      </c>
      <c r="E53" s="6">
        <f>IFERROR(__xludf.DUMMYFUNCTION("""COMPUTED_VALUE"""),1459.05)</f>
        <v>1459.05</v>
      </c>
      <c r="F53" s="6">
        <f>IFERROR(__xludf.DUMMYFUNCTION("""COMPUTED_VALUE"""),1683859.0)</f>
        <v>1683859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IFERROR(__xludf.DUMMYFUNCTION("""COMPUTED_VALUE"""),1461.0)</f>
        <v>1461</v>
      </c>
      <c r="C54" s="6">
        <f>IFERROR(__xludf.DUMMYFUNCTION("""COMPUTED_VALUE"""),1478.75)</f>
        <v>1478.75</v>
      </c>
      <c r="D54" s="6">
        <f>IFERROR(__xludf.DUMMYFUNCTION("""COMPUTED_VALUE"""),1423.0)</f>
        <v>1423</v>
      </c>
      <c r="E54" s="6">
        <f>IFERROR(__xludf.DUMMYFUNCTION("""COMPUTED_VALUE"""),1439.65)</f>
        <v>1439.65</v>
      </c>
      <c r="F54" s="6">
        <f>IFERROR(__xludf.DUMMYFUNCTION("""COMPUTED_VALUE"""),1494356.0)</f>
        <v>1494356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IFERROR(__xludf.DUMMYFUNCTION("""COMPUTED_VALUE"""),1445.0)</f>
        <v>1445</v>
      </c>
      <c r="C55" s="6">
        <f>IFERROR(__xludf.DUMMYFUNCTION("""COMPUTED_VALUE"""),1539.45)</f>
        <v>1539.45</v>
      </c>
      <c r="D55" s="6">
        <f>IFERROR(__xludf.DUMMYFUNCTION("""COMPUTED_VALUE"""),1407.4)</f>
        <v>1407.4</v>
      </c>
      <c r="E55" s="6">
        <f>IFERROR(__xludf.DUMMYFUNCTION("""COMPUTED_VALUE"""),1532.4)</f>
        <v>1532.4</v>
      </c>
      <c r="F55" s="6">
        <f>IFERROR(__xludf.DUMMYFUNCTION("""COMPUTED_VALUE"""),3704526.0)</f>
        <v>3704526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IFERROR(__xludf.DUMMYFUNCTION("""COMPUTED_VALUE"""),1535.85)</f>
        <v>1535.85</v>
      </c>
      <c r="C56" s="6">
        <f>IFERROR(__xludf.DUMMYFUNCTION("""COMPUTED_VALUE"""),1652.6)</f>
        <v>1652.6</v>
      </c>
      <c r="D56" s="6">
        <f>IFERROR(__xludf.DUMMYFUNCTION("""COMPUTED_VALUE"""),1521.9)</f>
        <v>1521.9</v>
      </c>
      <c r="E56" s="6">
        <f>IFERROR(__xludf.DUMMYFUNCTION("""COMPUTED_VALUE"""),1609.3)</f>
        <v>1609.3</v>
      </c>
      <c r="F56" s="6">
        <f>IFERROR(__xludf.DUMMYFUNCTION("""COMPUTED_VALUE"""),4965711.0)</f>
        <v>4965711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IFERROR(__xludf.DUMMYFUNCTION("""COMPUTED_VALUE"""),1610.0)</f>
        <v>1610</v>
      </c>
      <c r="C57" s="6">
        <f>IFERROR(__xludf.DUMMYFUNCTION("""COMPUTED_VALUE"""),1613.9)</f>
        <v>1613.9</v>
      </c>
      <c r="D57" s="6">
        <f>IFERROR(__xludf.DUMMYFUNCTION("""COMPUTED_VALUE"""),1504.2)</f>
        <v>1504.2</v>
      </c>
      <c r="E57" s="6">
        <f>IFERROR(__xludf.DUMMYFUNCTION("""COMPUTED_VALUE"""),1571.7)</f>
        <v>1571.7</v>
      </c>
      <c r="F57" s="6">
        <f>IFERROR(__xludf.DUMMYFUNCTION("""COMPUTED_VALUE"""),1739925.0)</f>
        <v>1739925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IFERROR(__xludf.DUMMYFUNCTION("""COMPUTED_VALUE"""),1569.85)</f>
        <v>1569.85</v>
      </c>
      <c r="C58" s="6">
        <f>IFERROR(__xludf.DUMMYFUNCTION("""COMPUTED_VALUE"""),1601.5)</f>
        <v>1601.5</v>
      </c>
      <c r="D58" s="6">
        <f>IFERROR(__xludf.DUMMYFUNCTION("""COMPUTED_VALUE"""),1532.05)</f>
        <v>1532.05</v>
      </c>
      <c r="E58" s="6">
        <f>IFERROR(__xludf.DUMMYFUNCTION("""COMPUTED_VALUE"""),1576.05)</f>
        <v>1576.05</v>
      </c>
      <c r="F58" s="6">
        <f>IFERROR(__xludf.DUMMYFUNCTION("""COMPUTED_VALUE"""),2180837.0)</f>
        <v>2180837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IFERROR(__xludf.DUMMYFUNCTION("""COMPUTED_VALUE"""),1580.0)</f>
        <v>1580</v>
      </c>
      <c r="C59" s="6">
        <f>IFERROR(__xludf.DUMMYFUNCTION("""COMPUTED_VALUE"""),1589.9)</f>
        <v>1589.9</v>
      </c>
      <c r="D59" s="6">
        <f>IFERROR(__xludf.DUMMYFUNCTION("""COMPUTED_VALUE"""),1439.3)</f>
        <v>1439.3</v>
      </c>
      <c r="E59" s="6">
        <f>IFERROR(__xludf.DUMMYFUNCTION("""COMPUTED_VALUE"""),1473.7)</f>
        <v>1473.7</v>
      </c>
      <c r="F59" s="6">
        <f>IFERROR(__xludf.DUMMYFUNCTION("""COMPUTED_VALUE"""),1891078.0)</f>
        <v>1891078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IFERROR(__xludf.DUMMYFUNCTION("""COMPUTED_VALUE"""),1540.1)</f>
        <v>1540.1</v>
      </c>
      <c r="C60" s="6">
        <f>IFERROR(__xludf.DUMMYFUNCTION("""COMPUTED_VALUE"""),1556.7)</f>
        <v>1556.7</v>
      </c>
      <c r="D60" s="6">
        <f>IFERROR(__xludf.DUMMYFUNCTION("""COMPUTED_VALUE"""),1481.75)</f>
        <v>1481.75</v>
      </c>
      <c r="E60" s="6">
        <f>IFERROR(__xludf.DUMMYFUNCTION("""COMPUTED_VALUE"""),1520.7)</f>
        <v>1520.7</v>
      </c>
      <c r="F60" s="6">
        <f>IFERROR(__xludf.DUMMYFUNCTION("""COMPUTED_VALUE"""),2003548.0)</f>
        <v>2003548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IFERROR(__xludf.DUMMYFUNCTION("""COMPUTED_VALUE"""),1528.35)</f>
        <v>1528.35</v>
      </c>
      <c r="C61" s="6">
        <f>IFERROR(__xludf.DUMMYFUNCTION("""COMPUTED_VALUE"""),1544.4)</f>
        <v>1544.4</v>
      </c>
      <c r="D61" s="6">
        <f>IFERROR(__xludf.DUMMYFUNCTION("""COMPUTED_VALUE"""),1460.0)</f>
        <v>1460</v>
      </c>
      <c r="E61" s="6">
        <f>IFERROR(__xludf.DUMMYFUNCTION("""COMPUTED_VALUE"""),1470.5)</f>
        <v>1470.5</v>
      </c>
      <c r="F61" s="6">
        <f>IFERROR(__xludf.DUMMYFUNCTION("""COMPUTED_VALUE"""),1247057.0)</f>
        <v>1247057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IFERROR(__xludf.DUMMYFUNCTION("""COMPUTED_VALUE"""),1493.95)</f>
        <v>1493.95</v>
      </c>
      <c r="C62" s="6">
        <f>IFERROR(__xludf.DUMMYFUNCTION("""COMPUTED_VALUE"""),1519.2)</f>
        <v>1519.2</v>
      </c>
      <c r="D62" s="6">
        <f>IFERROR(__xludf.DUMMYFUNCTION("""COMPUTED_VALUE"""),1400.0)</f>
        <v>1400</v>
      </c>
      <c r="E62" s="6">
        <f>IFERROR(__xludf.DUMMYFUNCTION("""COMPUTED_VALUE"""),1418.25)</f>
        <v>1418.25</v>
      </c>
      <c r="F62" s="6">
        <f>IFERROR(__xludf.DUMMYFUNCTION("""COMPUTED_VALUE"""),2007687.0)</f>
        <v>2007687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IFERROR(__xludf.DUMMYFUNCTION("""COMPUTED_VALUE"""),1450.0)</f>
        <v>1450</v>
      </c>
      <c r="C63" s="6">
        <f>IFERROR(__xludf.DUMMYFUNCTION("""COMPUTED_VALUE"""),1545.0)</f>
        <v>1545</v>
      </c>
      <c r="D63" s="6">
        <f>IFERROR(__xludf.DUMMYFUNCTION("""COMPUTED_VALUE"""),1435.05)</f>
        <v>1435.05</v>
      </c>
      <c r="E63" s="6">
        <f>IFERROR(__xludf.DUMMYFUNCTION("""COMPUTED_VALUE"""),1516.4)</f>
        <v>1516.4</v>
      </c>
      <c r="F63" s="6">
        <f>IFERROR(__xludf.DUMMYFUNCTION("""COMPUTED_VALUE"""),5180623.0)</f>
        <v>5180623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IFERROR(__xludf.DUMMYFUNCTION("""COMPUTED_VALUE"""),1505.7)</f>
        <v>1505.7</v>
      </c>
      <c r="C64" s="6">
        <f>IFERROR(__xludf.DUMMYFUNCTION("""COMPUTED_VALUE"""),1587.95)</f>
        <v>1587.95</v>
      </c>
      <c r="D64" s="6">
        <f>IFERROR(__xludf.DUMMYFUNCTION("""COMPUTED_VALUE"""),1488.05)</f>
        <v>1488.05</v>
      </c>
      <c r="E64" s="6">
        <f>IFERROR(__xludf.DUMMYFUNCTION("""COMPUTED_VALUE"""),1575.9)</f>
        <v>1575.9</v>
      </c>
      <c r="F64" s="6">
        <f>IFERROR(__xludf.DUMMYFUNCTION("""COMPUTED_VALUE"""),2539724.0)</f>
        <v>2539724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IFERROR(__xludf.DUMMYFUNCTION("""COMPUTED_VALUE"""),1574.8)</f>
        <v>1574.8</v>
      </c>
      <c r="C65" s="6">
        <f>IFERROR(__xludf.DUMMYFUNCTION("""COMPUTED_VALUE"""),1645.8)</f>
        <v>1645.8</v>
      </c>
      <c r="D65" s="6">
        <f>IFERROR(__xludf.DUMMYFUNCTION("""COMPUTED_VALUE"""),1563.1)</f>
        <v>1563.1</v>
      </c>
      <c r="E65" s="6">
        <f>IFERROR(__xludf.DUMMYFUNCTION("""COMPUTED_VALUE"""),1596.9)</f>
        <v>1596.9</v>
      </c>
      <c r="F65" s="6">
        <f>IFERROR(__xludf.DUMMYFUNCTION("""COMPUTED_VALUE"""),3097959.0)</f>
        <v>3097959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IFERROR(__xludf.DUMMYFUNCTION("""COMPUTED_VALUE"""),1596.9)</f>
        <v>1596.9</v>
      </c>
      <c r="C66" s="6">
        <f>IFERROR(__xludf.DUMMYFUNCTION("""COMPUTED_VALUE"""),1611.0)</f>
        <v>1611</v>
      </c>
      <c r="D66" s="6">
        <f>IFERROR(__xludf.DUMMYFUNCTION("""COMPUTED_VALUE"""),1552.0)</f>
        <v>1552</v>
      </c>
      <c r="E66" s="6">
        <f>IFERROR(__xludf.DUMMYFUNCTION("""COMPUTED_VALUE"""),1559.0)</f>
        <v>1559</v>
      </c>
      <c r="F66" s="6">
        <f>IFERROR(__xludf.DUMMYFUNCTION("""COMPUTED_VALUE"""),1902711.0)</f>
        <v>1902711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IFERROR(__xludf.DUMMYFUNCTION("""COMPUTED_VALUE"""),1567.9)</f>
        <v>1567.9</v>
      </c>
      <c r="C67" s="6">
        <f>IFERROR(__xludf.DUMMYFUNCTION("""COMPUTED_VALUE"""),1569.85)</f>
        <v>1569.85</v>
      </c>
      <c r="D67" s="6">
        <f>IFERROR(__xludf.DUMMYFUNCTION("""COMPUTED_VALUE"""),1473.0)</f>
        <v>1473</v>
      </c>
      <c r="E67" s="6">
        <f>IFERROR(__xludf.DUMMYFUNCTION("""COMPUTED_VALUE"""),1514.95)</f>
        <v>1514.95</v>
      </c>
      <c r="F67" s="6">
        <f>IFERROR(__xludf.DUMMYFUNCTION("""COMPUTED_VALUE"""),2595282.0)</f>
        <v>2595282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IFERROR(__xludf.DUMMYFUNCTION("""COMPUTED_VALUE"""),1514.3)</f>
        <v>1514.3</v>
      </c>
      <c r="C68" s="6">
        <f>IFERROR(__xludf.DUMMYFUNCTION("""COMPUTED_VALUE"""),1624.95)</f>
        <v>1624.95</v>
      </c>
      <c r="D68" s="6">
        <f>IFERROR(__xludf.DUMMYFUNCTION("""COMPUTED_VALUE"""),1501.55)</f>
        <v>1501.55</v>
      </c>
      <c r="E68" s="6">
        <f>IFERROR(__xludf.DUMMYFUNCTION("""COMPUTED_VALUE"""),1616.75)</f>
        <v>1616.75</v>
      </c>
      <c r="F68" s="6">
        <f>IFERROR(__xludf.DUMMYFUNCTION("""COMPUTED_VALUE"""),2972882.0)</f>
        <v>2972882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IFERROR(__xludf.DUMMYFUNCTION("""COMPUTED_VALUE"""),1624.0)</f>
        <v>1624</v>
      </c>
      <c r="C69" s="6">
        <f>IFERROR(__xludf.DUMMYFUNCTION("""COMPUTED_VALUE"""),1635.3)</f>
        <v>1635.3</v>
      </c>
      <c r="D69" s="6">
        <f>IFERROR(__xludf.DUMMYFUNCTION("""COMPUTED_VALUE"""),1510.0)</f>
        <v>1510</v>
      </c>
      <c r="E69" s="6">
        <f>IFERROR(__xludf.DUMMYFUNCTION("""COMPUTED_VALUE"""),1520.7)</f>
        <v>1520.7</v>
      </c>
      <c r="F69" s="6">
        <f>IFERROR(__xludf.DUMMYFUNCTION("""COMPUTED_VALUE"""),1722660.0)</f>
        <v>1722660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IFERROR(__xludf.DUMMYFUNCTION("""COMPUTED_VALUE"""),1502.0)</f>
        <v>1502</v>
      </c>
      <c r="C70" s="6">
        <f>IFERROR(__xludf.DUMMYFUNCTION("""COMPUTED_VALUE"""),1598.4)</f>
        <v>1598.4</v>
      </c>
      <c r="D70" s="6">
        <f>IFERROR(__xludf.DUMMYFUNCTION("""COMPUTED_VALUE"""),1415.4)</f>
        <v>1415.4</v>
      </c>
      <c r="E70" s="6">
        <f>IFERROR(__xludf.DUMMYFUNCTION("""COMPUTED_VALUE"""),1570.15)</f>
        <v>1570.15</v>
      </c>
      <c r="F70" s="6">
        <f>IFERROR(__xludf.DUMMYFUNCTION("""COMPUTED_VALUE"""),3541215.0)</f>
        <v>3541215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IFERROR(__xludf.DUMMYFUNCTION("""COMPUTED_VALUE"""),1584.95)</f>
        <v>1584.95</v>
      </c>
      <c r="C71" s="6">
        <f>IFERROR(__xludf.DUMMYFUNCTION("""COMPUTED_VALUE"""),1643.35)</f>
        <v>1643.35</v>
      </c>
      <c r="D71" s="6">
        <f>IFERROR(__xludf.DUMMYFUNCTION("""COMPUTED_VALUE"""),1531.55)</f>
        <v>1531.55</v>
      </c>
      <c r="E71" s="6">
        <f>IFERROR(__xludf.DUMMYFUNCTION("""COMPUTED_VALUE"""),1561.4)</f>
        <v>1561.4</v>
      </c>
      <c r="F71" s="6">
        <f>IFERROR(__xludf.DUMMYFUNCTION("""COMPUTED_VALUE"""),4111305.0)</f>
        <v>4111305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IFERROR(__xludf.DUMMYFUNCTION("""COMPUTED_VALUE"""),1495.55)</f>
        <v>1495.55</v>
      </c>
      <c r="C72" s="6">
        <f>IFERROR(__xludf.DUMMYFUNCTION("""COMPUTED_VALUE"""),1495.55)</f>
        <v>1495.55</v>
      </c>
      <c r="D72" s="6">
        <f>IFERROR(__xludf.DUMMYFUNCTION("""COMPUTED_VALUE"""),1395.25)</f>
        <v>1395.25</v>
      </c>
      <c r="E72" s="6">
        <f>IFERROR(__xludf.DUMMYFUNCTION("""COMPUTED_VALUE"""),1427.85)</f>
        <v>1427.85</v>
      </c>
      <c r="F72" s="6">
        <f>IFERROR(__xludf.DUMMYFUNCTION("""COMPUTED_VALUE"""),2706447.0)</f>
        <v>2706447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IFERROR(__xludf.DUMMYFUNCTION("""COMPUTED_VALUE"""),1433.8)</f>
        <v>1433.8</v>
      </c>
      <c r="C73" s="6">
        <f>IFERROR(__xludf.DUMMYFUNCTION("""COMPUTED_VALUE"""),1438.0)</f>
        <v>1438</v>
      </c>
      <c r="D73" s="6">
        <f>IFERROR(__xludf.DUMMYFUNCTION("""COMPUTED_VALUE"""),1293.0)</f>
        <v>1293</v>
      </c>
      <c r="E73" s="6">
        <f>IFERROR(__xludf.DUMMYFUNCTION("""COMPUTED_VALUE"""),1303.05)</f>
        <v>1303.05</v>
      </c>
      <c r="F73" s="6">
        <f>IFERROR(__xludf.DUMMYFUNCTION("""COMPUTED_VALUE"""),2255850.0)</f>
        <v>2255850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IFERROR(__xludf.DUMMYFUNCTION("""COMPUTED_VALUE"""),1306.75)</f>
        <v>1306.75</v>
      </c>
      <c r="C74" s="6">
        <f>IFERROR(__xludf.DUMMYFUNCTION("""COMPUTED_VALUE"""),1537.5)</f>
        <v>1537.5</v>
      </c>
      <c r="D74" s="6">
        <f>IFERROR(__xludf.DUMMYFUNCTION("""COMPUTED_VALUE"""),1272.7)</f>
        <v>1272.7</v>
      </c>
      <c r="E74" s="6">
        <f>IFERROR(__xludf.DUMMYFUNCTION("""COMPUTED_VALUE"""),1489.2)</f>
        <v>1489.2</v>
      </c>
      <c r="F74" s="6">
        <f>IFERROR(__xludf.DUMMYFUNCTION("""COMPUTED_VALUE"""),5818984.0)</f>
        <v>5818984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IFERROR(__xludf.DUMMYFUNCTION("""COMPUTED_VALUE"""),1480.0)</f>
        <v>1480</v>
      </c>
      <c r="C75" s="6">
        <f>IFERROR(__xludf.DUMMYFUNCTION("""COMPUTED_VALUE"""),1493.65)</f>
        <v>1493.65</v>
      </c>
      <c r="D75" s="6">
        <f>IFERROR(__xludf.DUMMYFUNCTION("""COMPUTED_VALUE"""),1383.85)</f>
        <v>1383.85</v>
      </c>
      <c r="E75" s="6">
        <f>IFERROR(__xludf.DUMMYFUNCTION("""COMPUTED_VALUE"""),1438.95)</f>
        <v>1438.95</v>
      </c>
      <c r="F75" s="6">
        <f>IFERROR(__xludf.DUMMYFUNCTION("""COMPUTED_VALUE"""),2722502.0)</f>
        <v>2722502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IFERROR(__xludf.DUMMYFUNCTION("""COMPUTED_VALUE"""),1426.35)</f>
        <v>1426.35</v>
      </c>
      <c r="C76" s="6">
        <f>IFERROR(__xludf.DUMMYFUNCTION("""COMPUTED_VALUE"""),1497.0)</f>
        <v>1497</v>
      </c>
      <c r="D76" s="6">
        <f>IFERROR(__xludf.DUMMYFUNCTION("""COMPUTED_VALUE"""),1378.5)</f>
        <v>1378.5</v>
      </c>
      <c r="E76" s="6">
        <f>IFERROR(__xludf.DUMMYFUNCTION("""COMPUTED_VALUE"""),1458.25)</f>
        <v>1458.25</v>
      </c>
      <c r="F76" s="6">
        <f>IFERROR(__xludf.DUMMYFUNCTION("""COMPUTED_VALUE"""),2407380.0)</f>
        <v>2407380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IFERROR(__xludf.DUMMYFUNCTION("""COMPUTED_VALUE"""),1458.25)</f>
        <v>1458.25</v>
      </c>
      <c r="C77" s="6">
        <f>IFERROR(__xludf.DUMMYFUNCTION("""COMPUTED_VALUE"""),1474.0)</f>
        <v>1474</v>
      </c>
      <c r="D77" s="6">
        <f>IFERROR(__xludf.DUMMYFUNCTION("""COMPUTED_VALUE"""),1365.0)</f>
        <v>1365</v>
      </c>
      <c r="E77" s="6">
        <f>IFERROR(__xludf.DUMMYFUNCTION("""COMPUTED_VALUE"""),1372.8)</f>
        <v>1372.8</v>
      </c>
      <c r="F77" s="6">
        <f>IFERROR(__xludf.DUMMYFUNCTION("""COMPUTED_VALUE"""),2267644.0)</f>
        <v>2267644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IFERROR(__xludf.DUMMYFUNCTION("""COMPUTED_VALUE"""),1395.0)</f>
        <v>1395</v>
      </c>
      <c r="C78" s="6">
        <f>IFERROR(__xludf.DUMMYFUNCTION("""COMPUTED_VALUE"""),1519.4)</f>
        <v>1519.4</v>
      </c>
      <c r="D78" s="6">
        <f>IFERROR(__xludf.DUMMYFUNCTION("""COMPUTED_VALUE"""),1379.5)</f>
        <v>1379.5</v>
      </c>
      <c r="E78" s="6">
        <f>IFERROR(__xludf.DUMMYFUNCTION("""COMPUTED_VALUE"""),1511.55)</f>
        <v>1511.55</v>
      </c>
      <c r="F78" s="6">
        <f>IFERROR(__xludf.DUMMYFUNCTION("""COMPUTED_VALUE"""),3622002.0)</f>
        <v>3622002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IFERROR(__xludf.DUMMYFUNCTION("""COMPUTED_VALUE"""),1512.05)</f>
        <v>1512.05</v>
      </c>
      <c r="C79" s="6">
        <f>IFERROR(__xludf.DUMMYFUNCTION("""COMPUTED_VALUE"""),1567.5)</f>
        <v>1567.5</v>
      </c>
      <c r="D79" s="6">
        <f>IFERROR(__xludf.DUMMYFUNCTION("""COMPUTED_VALUE"""),1483.65)</f>
        <v>1483.65</v>
      </c>
      <c r="E79" s="6">
        <f>IFERROR(__xludf.DUMMYFUNCTION("""COMPUTED_VALUE"""),1525.25)</f>
        <v>1525.25</v>
      </c>
      <c r="F79" s="6">
        <f>IFERROR(__xludf.DUMMYFUNCTION("""COMPUTED_VALUE"""),2560224.0)</f>
        <v>2560224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IFERROR(__xludf.DUMMYFUNCTION("""COMPUTED_VALUE"""),1524.95)</f>
        <v>1524.95</v>
      </c>
      <c r="C80" s="6">
        <f>IFERROR(__xludf.DUMMYFUNCTION("""COMPUTED_VALUE"""),1571.1)</f>
        <v>1571.1</v>
      </c>
      <c r="D80" s="6">
        <f>IFERROR(__xludf.DUMMYFUNCTION("""COMPUTED_VALUE"""),1496.95)</f>
        <v>1496.95</v>
      </c>
      <c r="E80" s="6">
        <f>IFERROR(__xludf.DUMMYFUNCTION("""COMPUTED_VALUE"""),1519.15)</f>
        <v>1519.15</v>
      </c>
      <c r="F80" s="6">
        <f>IFERROR(__xludf.DUMMYFUNCTION("""COMPUTED_VALUE"""),2119084.0)</f>
        <v>2119084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IFERROR(__xludf.DUMMYFUNCTION("""COMPUTED_VALUE"""),1500.0)</f>
        <v>1500</v>
      </c>
      <c r="C81" s="6">
        <f>IFERROR(__xludf.DUMMYFUNCTION("""COMPUTED_VALUE"""),1533.0)</f>
        <v>1533</v>
      </c>
      <c r="D81" s="6">
        <f>IFERROR(__xludf.DUMMYFUNCTION("""COMPUTED_VALUE"""),1399.95)</f>
        <v>1399.95</v>
      </c>
      <c r="E81" s="6">
        <f>IFERROR(__xludf.DUMMYFUNCTION("""COMPUTED_VALUE"""),1517.35)</f>
        <v>1517.35</v>
      </c>
      <c r="F81" s="6">
        <f>IFERROR(__xludf.DUMMYFUNCTION("""COMPUTED_VALUE"""),2741286.0)</f>
        <v>2741286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IFERROR(__xludf.DUMMYFUNCTION("""COMPUTED_VALUE"""),1560.0)</f>
        <v>1560</v>
      </c>
      <c r="C82" s="6">
        <f>IFERROR(__xludf.DUMMYFUNCTION("""COMPUTED_VALUE"""),1604.4)</f>
        <v>1604.4</v>
      </c>
      <c r="D82" s="6">
        <f>IFERROR(__xludf.DUMMYFUNCTION("""COMPUTED_VALUE"""),1512.8)</f>
        <v>1512.8</v>
      </c>
      <c r="E82" s="6">
        <f>IFERROR(__xludf.DUMMYFUNCTION("""COMPUTED_VALUE"""),1589.4)</f>
        <v>1589.4</v>
      </c>
      <c r="F82" s="6">
        <f>IFERROR(__xludf.DUMMYFUNCTION("""COMPUTED_VALUE"""),1272243.0)</f>
        <v>1272243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IFERROR(__xludf.DUMMYFUNCTION("""COMPUTED_VALUE"""),1591.4)</f>
        <v>1591.4</v>
      </c>
      <c r="C83" s="6">
        <f>IFERROR(__xludf.DUMMYFUNCTION("""COMPUTED_VALUE"""),1647.4)</f>
        <v>1647.4</v>
      </c>
      <c r="D83" s="6">
        <f>IFERROR(__xludf.DUMMYFUNCTION("""COMPUTED_VALUE"""),1572.0)</f>
        <v>1572</v>
      </c>
      <c r="E83" s="6">
        <f>IFERROR(__xludf.DUMMYFUNCTION("""COMPUTED_VALUE"""),1616.9)</f>
        <v>1616.9</v>
      </c>
      <c r="F83" s="6">
        <f>IFERROR(__xludf.DUMMYFUNCTION("""COMPUTED_VALUE"""),2788115.0)</f>
        <v>2788115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IFERROR(__xludf.DUMMYFUNCTION("""COMPUTED_VALUE"""),1610.0)</f>
        <v>1610</v>
      </c>
      <c r="C84" s="6">
        <f>IFERROR(__xludf.DUMMYFUNCTION("""COMPUTED_VALUE"""),1639.8)</f>
        <v>1639.8</v>
      </c>
      <c r="D84" s="6">
        <f>IFERROR(__xludf.DUMMYFUNCTION("""COMPUTED_VALUE"""),1582.1)</f>
        <v>1582.1</v>
      </c>
      <c r="E84" s="6">
        <f>IFERROR(__xludf.DUMMYFUNCTION("""COMPUTED_VALUE"""),1598.8)</f>
        <v>1598.8</v>
      </c>
      <c r="F84" s="6">
        <f>IFERROR(__xludf.DUMMYFUNCTION("""COMPUTED_VALUE"""),1326565.0)</f>
        <v>1326565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IFERROR(__xludf.DUMMYFUNCTION("""COMPUTED_VALUE"""),1600.8)</f>
        <v>1600.8</v>
      </c>
      <c r="C85" s="6">
        <f>IFERROR(__xludf.DUMMYFUNCTION("""COMPUTED_VALUE"""),1709.9)</f>
        <v>1709.9</v>
      </c>
      <c r="D85" s="6">
        <f>IFERROR(__xludf.DUMMYFUNCTION("""COMPUTED_VALUE"""),1595.1)</f>
        <v>1595.1</v>
      </c>
      <c r="E85" s="6">
        <f>IFERROR(__xludf.DUMMYFUNCTION("""COMPUTED_VALUE"""),1655.7)</f>
        <v>1655.7</v>
      </c>
      <c r="F85" s="6">
        <f>IFERROR(__xludf.DUMMYFUNCTION("""COMPUTED_VALUE"""),4226760.0)</f>
        <v>4226760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IFERROR(__xludf.DUMMYFUNCTION("""COMPUTED_VALUE"""),1705.0)</f>
        <v>1705</v>
      </c>
      <c r="C86" s="6">
        <f>IFERROR(__xludf.DUMMYFUNCTION("""COMPUTED_VALUE"""),1796.0)</f>
        <v>1796</v>
      </c>
      <c r="D86" s="6">
        <f>IFERROR(__xludf.DUMMYFUNCTION("""COMPUTED_VALUE"""),1694.1)</f>
        <v>1694.1</v>
      </c>
      <c r="E86" s="6">
        <f>IFERROR(__xludf.DUMMYFUNCTION("""COMPUTED_VALUE"""),1785.4)</f>
        <v>1785.4</v>
      </c>
      <c r="F86" s="6">
        <f>IFERROR(__xludf.DUMMYFUNCTION("""COMPUTED_VALUE"""),4005428.0)</f>
        <v>4005428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IFERROR(__xludf.DUMMYFUNCTION("""COMPUTED_VALUE"""),1795.0)</f>
        <v>1795</v>
      </c>
      <c r="C87" s="6">
        <f>IFERROR(__xludf.DUMMYFUNCTION("""COMPUTED_VALUE"""),1838.0)</f>
        <v>1838</v>
      </c>
      <c r="D87" s="6">
        <f>IFERROR(__xludf.DUMMYFUNCTION("""COMPUTED_VALUE"""),1765.7)</f>
        <v>1765.7</v>
      </c>
      <c r="E87" s="6">
        <f>IFERROR(__xludf.DUMMYFUNCTION("""COMPUTED_VALUE"""),1830.2)</f>
        <v>1830.2</v>
      </c>
      <c r="F87" s="6">
        <f>IFERROR(__xludf.DUMMYFUNCTION("""COMPUTED_VALUE"""),2838746.0)</f>
        <v>2838746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IFERROR(__xludf.DUMMYFUNCTION("""COMPUTED_VALUE"""),1833.0)</f>
        <v>1833</v>
      </c>
      <c r="C88" s="6">
        <f>IFERROR(__xludf.DUMMYFUNCTION("""COMPUTED_VALUE"""),1851.0)</f>
        <v>1851</v>
      </c>
      <c r="D88" s="6">
        <f>IFERROR(__xludf.DUMMYFUNCTION("""COMPUTED_VALUE"""),1787.5)</f>
        <v>1787.5</v>
      </c>
      <c r="E88" s="6">
        <f>IFERROR(__xludf.DUMMYFUNCTION("""COMPUTED_VALUE"""),1811.7)</f>
        <v>1811.7</v>
      </c>
      <c r="F88" s="6">
        <f>IFERROR(__xludf.DUMMYFUNCTION("""COMPUTED_VALUE"""),3750884.0)</f>
        <v>3750884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IFERROR(__xludf.DUMMYFUNCTION("""COMPUTED_VALUE"""),1810.0)</f>
        <v>1810</v>
      </c>
      <c r="C89" s="6">
        <f>IFERROR(__xludf.DUMMYFUNCTION("""COMPUTED_VALUE"""),1924.8)</f>
        <v>1924.8</v>
      </c>
      <c r="D89" s="6">
        <f>IFERROR(__xludf.DUMMYFUNCTION("""COMPUTED_VALUE"""),1782.1)</f>
        <v>1782.1</v>
      </c>
      <c r="E89" s="6">
        <f>IFERROR(__xludf.DUMMYFUNCTION("""COMPUTED_VALUE"""),1920.9)</f>
        <v>1920.9</v>
      </c>
      <c r="F89" s="6">
        <f>IFERROR(__xludf.DUMMYFUNCTION("""COMPUTED_VALUE"""),3396851.0)</f>
        <v>3396851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IFERROR(__xludf.DUMMYFUNCTION("""COMPUTED_VALUE"""),1927.9)</f>
        <v>1927.9</v>
      </c>
      <c r="C90" s="6">
        <f>IFERROR(__xludf.DUMMYFUNCTION("""COMPUTED_VALUE"""),1936.0)</f>
        <v>1936</v>
      </c>
      <c r="D90" s="6">
        <f>IFERROR(__xludf.DUMMYFUNCTION("""COMPUTED_VALUE"""),1808.6)</f>
        <v>1808.6</v>
      </c>
      <c r="E90" s="6">
        <f>IFERROR(__xludf.DUMMYFUNCTION("""COMPUTED_VALUE"""),1846.0)</f>
        <v>1846</v>
      </c>
      <c r="F90" s="6">
        <f>IFERROR(__xludf.DUMMYFUNCTION("""COMPUTED_VALUE"""),1895764.0)</f>
        <v>1895764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IFERROR(__xludf.DUMMYFUNCTION("""COMPUTED_VALUE"""),1844.5)</f>
        <v>1844.5</v>
      </c>
      <c r="C91" s="6">
        <f>IFERROR(__xludf.DUMMYFUNCTION("""COMPUTED_VALUE"""),1868.4)</f>
        <v>1868.4</v>
      </c>
      <c r="D91" s="6">
        <f>IFERROR(__xludf.DUMMYFUNCTION("""COMPUTED_VALUE"""),1753.0)</f>
        <v>1753</v>
      </c>
      <c r="E91" s="6">
        <f>IFERROR(__xludf.DUMMYFUNCTION("""COMPUTED_VALUE"""),1769.8)</f>
        <v>1769.8</v>
      </c>
      <c r="F91" s="6">
        <f>IFERROR(__xludf.DUMMYFUNCTION("""COMPUTED_VALUE"""),3066430.0)</f>
        <v>3066430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IFERROR(__xludf.DUMMYFUNCTION("""COMPUTED_VALUE"""),1766.7)</f>
        <v>1766.7</v>
      </c>
      <c r="C92" s="6">
        <f>IFERROR(__xludf.DUMMYFUNCTION("""COMPUTED_VALUE"""),1830.9)</f>
        <v>1830.9</v>
      </c>
      <c r="D92" s="6">
        <f>IFERROR(__xludf.DUMMYFUNCTION("""COMPUTED_VALUE"""),1743.0)</f>
        <v>1743</v>
      </c>
      <c r="E92" s="6">
        <f>IFERROR(__xludf.DUMMYFUNCTION("""COMPUTED_VALUE"""),1755.9)</f>
        <v>1755.9</v>
      </c>
      <c r="F92" s="6">
        <f>IFERROR(__xludf.DUMMYFUNCTION("""COMPUTED_VALUE"""),3828714.0)</f>
        <v>3828714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IFERROR(__xludf.DUMMYFUNCTION("""COMPUTED_VALUE"""),1755.9)</f>
        <v>1755.9</v>
      </c>
      <c r="C93" s="6">
        <f>IFERROR(__xludf.DUMMYFUNCTION("""COMPUTED_VALUE"""),1793.9)</f>
        <v>1793.9</v>
      </c>
      <c r="D93" s="6">
        <f>IFERROR(__xludf.DUMMYFUNCTION("""COMPUTED_VALUE"""),1703.6)</f>
        <v>1703.6</v>
      </c>
      <c r="E93" s="6">
        <f>IFERROR(__xludf.DUMMYFUNCTION("""COMPUTED_VALUE"""),1717.6)</f>
        <v>1717.6</v>
      </c>
      <c r="F93" s="6">
        <f>IFERROR(__xludf.DUMMYFUNCTION("""COMPUTED_VALUE"""),4806114.0)</f>
        <v>4806114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IFERROR(__xludf.DUMMYFUNCTION("""COMPUTED_VALUE"""),1717.0)</f>
        <v>1717</v>
      </c>
      <c r="C94" s="6">
        <f>IFERROR(__xludf.DUMMYFUNCTION("""COMPUTED_VALUE"""),1749.5)</f>
        <v>1749.5</v>
      </c>
      <c r="D94" s="6">
        <f>IFERROR(__xludf.DUMMYFUNCTION("""COMPUTED_VALUE"""),1690.1)</f>
        <v>1690.1</v>
      </c>
      <c r="E94" s="6">
        <f>IFERROR(__xludf.DUMMYFUNCTION("""COMPUTED_VALUE"""),1701.8)</f>
        <v>1701.8</v>
      </c>
      <c r="F94" s="6">
        <f>IFERROR(__xludf.DUMMYFUNCTION("""COMPUTED_VALUE"""),3005149.0)</f>
        <v>3005149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IFERROR(__xludf.DUMMYFUNCTION("""COMPUTED_VALUE"""),1703.0)</f>
        <v>1703</v>
      </c>
      <c r="C95" s="6">
        <f>IFERROR(__xludf.DUMMYFUNCTION("""COMPUTED_VALUE"""),1726.0)</f>
        <v>1726</v>
      </c>
      <c r="D95" s="6">
        <f>IFERROR(__xludf.DUMMYFUNCTION("""COMPUTED_VALUE"""),1663.3)</f>
        <v>1663.3</v>
      </c>
      <c r="E95" s="6">
        <f>IFERROR(__xludf.DUMMYFUNCTION("""COMPUTED_VALUE"""),1666.4)</f>
        <v>1666.4</v>
      </c>
      <c r="F95" s="6">
        <f>IFERROR(__xludf.DUMMYFUNCTION("""COMPUTED_VALUE"""),2538478.0)</f>
        <v>2538478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IFERROR(__xludf.DUMMYFUNCTION("""COMPUTED_VALUE"""),1666.4)</f>
        <v>1666.4</v>
      </c>
      <c r="C96" s="6">
        <f>IFERROR(__xludf.DUMMYFUNCTION("""COMPUTED_VALUE"""),1703.0)</f>
        <v>1703</v>
      </c>
      <c r="D96" s="6">
        <f>IFERROR(__xludf.DUMMYFUNCTION("""COMPUTED_VALUE"""),1526.1)</f>
        <v>1526.1</v>
      </c>
      <c r="E96" s="6">
        <f>IFERROR(__xludf.DUMMYFUNCTION("""COMPUTED_VALUE"""),1543.1)</f>
        <v>1543.1</v>
      </c>
      <c r="F96" s="6">
        <f>IFERROR(__xludf.DUMMYFUNCTION("""COMPUTED_VALUE"""),4547402.0)</f>
        <v>4547402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IFERROR(__xludf.DUMMYFUNCTION("""COMPUTED_VALUE"""),1539.1)</f>
        <v>1539.1</v>
      </c>
      <c r="C97" s="6">
        <f>IFERROR(__xludf.DUMMYFUNCTION("""COMPUTED_VALUE"""),1626.9)</f>
        <v>1626.9</v>
      </c>
      <c r="D97" s="6">
        <f>IFERROR(__xludf.DUMMYFUNCTION("""COMPUTED_VALUE"""),1492.0)</f>
        <v>1492</v>
      </c>
      <c r="E97" s="6">
        <f>IFERROR(__xludf.DUMMYFUNCTION("""COMPUTED_VALUE"""),1594.1)</f>
        <v>1594.1</v>
      </c>
      <c r="F97" s="6">
        <f>IFERROR(__xludf.DUMMYFUNCTION("""COMPUTED_VALUE"""),7209289.0)</f>
        <v>7209289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IFERROR(__xludf.DUMMYFUNCTION("""COMPUTED_VALUE"""),1590.0)</f>
        <v>1590</v>
      </c>
      <c r="C98" s="6">
        <f>IFERROR(__xludf.DUMMYFUNCTION("""COMPUTED_VALUE"""),1633.1)</f>
        <v>1633.1</v>
      </c>
      <c r="D98" s="6">
        <f>IFERROR(__xludf.DUMMYFUNCTION("""COMPUTED_VALUE"""),1549.0)</f>
        <v>1549</v>
      </c>
      <c r="E98" s="6">
        <f>IFERROR(__xludf.DUMMYFUNCTION("""COMPUTED_VALUE"""),1582.6)</f>
        <v>1582.6</v>
      </c>
      <c r="F98" s="6">
        <f>IFERROR(__xludf.DUMMYFUNCTION("""COMPUTED_VALUE"""),3909192.0)</f>
        <v>3909192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IFERROR(__xludf.DUMMYFUNCTION("""COMPUTED_VALUE"""),1580.0)</f>
        <v>1580</v>
      </c>
      <c r="C99" s="6">
        <f>IFERROR(__xludf.DUMMYFUNCTION("""COMPUTED_VALUE"""),1615.3)</f>
        <v>1615.3</v>
      </c>
      <c r="D99" s="6">
        <f>IFERROR(__xludf.DUMMYFUNCTION("""COMPUTED_VALUE"""),1565.5)</f>
        <v>1565.5</v>
      </c>
      <c r="E99" s="6">
        <f>IFERROR(__xludf.DUMMYFUNCTION("""COMPUTED_VALUE"""),1608.5)</f>
        <v>1608.5</v>
      </c>
      <c r="F99" s="6">
        <f>IFERROR(__xludf.DUMMYFUNCTION("""COMPUTED_VALUE"""),1583948.0)</f>
        <v>1583948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IFERROR(__xludf.DUMMYFUNCTION("""COMPUTED_VALUE"""),1608.5)</f>
        <v>1608.5</v>
      </c>
      <c r="C100" s="6">
        <f>IFERROR(__xludf.DUMMYFUNCTION("""COMPUTED_VALUE"""),1669.0)</f>
        <v>1669</v>
      </c>
      <c r="D100" s="6">
        <f>IFERROR(__xludf.DUMMYFUNCTION("""COMPUTED_VALUE"""),1600.5)</f>
        <v>1600.5</v>
      </c>
      <c r="E100" s="6">
        <f>IFERROR(__xludf.DUMMYFUNCTION("""COMPUTED_VALUE"""),1649.5)</f>
        <v>1649.5</v>
      </c>
      <c r="F100" s="6">
        <f>IFERROR(__xludf.DUMMYFUNCTION("""COMPUTED_VALUE"""),1759014.0)</f>
        <v>1759014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IFERROR(__xludf.DUMMYFUNCTION("""COMPUTED_VALUE"""),1655.0)</f>
        <v>1655</v>
      </c>
      <c r="C101" s="6">
        <f>IFERROR(__xludf.DUMMYFUNCTION("""COMPUTED_VALUE"""),1659.1)</f>
        <v>1659.1</v>
      </c>
      <c r="D101" s="6">
        <f>IFERROR(__xludf.DUMMYFUNCTION("""COMPUTED_VALUE"""),1620.5)</f>
        <v>1620.5</v>
      </c>
      <c r="E101" s="6">
        <f>IFERROR(__xludf.DUMMYFUNCTION("""COMPUTED_VALUE"""),1628.9)</f>
        <v>1628.9</v>
      </c>
      <c r="F101" s="6">
        <f>IFERROR(__xludf.DUMMYFUNCTION("""COMPUTED_VALUE"""),6545320.0)</f>
        <v>6545320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IFERROR(__xludf.DUMMYFUNCTION("GOOGLEFINANCE(""NSE:APOLLOHOSP"",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IFERROR(__xludf.DUMMYFUNCTION("""COMPUTED_VALUE"""),4874.9)</f>
        <v>4874.9</v>
      </c>
      <c r="C2" s="6">
        <f>IFERROR(__xludf.DUMMYFUNCTION("""COMPUTED_VALUE"""),4945.0)</f>
        <v>4945</v>
      </c>
      <c r="D2" s="6">
        <f>IFERROR(__xludf.DUMMYFUNCTION("""COMPUTED_VALUE"""),4801.2)</f>
        <v>4801.2</v>
      </c>
      <c r="E2" s="6">
        <f>IFERROR(__xludf.DUMMYFUNCTION("""COMPUTED_VALUE"""),4840.35)</f>
        <v>4840.35</v>
      </c>
      <c r="F2" s="6">
        <f>IFERROR(__xludf.DUMMYFUNCTION("""COMPUTED_VALUE"""),1886196.0)</f>
        <v>1886196</v>
      </c>
    </row>
    <row r="3">
      <c r="A3" s="7">
        <f>IFERROR(__xludf.DUMMYFUNCTION("""COMPUTED_VALUE"""),45177.64583333333)</f>
        <v>45177.64583</v>
      </c>
      <c r="B3" s="6">
        <f>IFERROR(__xludf.DUMMYFUNCTION("""COMPUTED_VALUE"""),4860.0)</f>
        <v>4860</v>
      </c>
      <c r="C3" s="6">
        <f>IFERROR(__xludf.DUMMYFUNCTION("""COMPUTED_VALUE"""),5049.8)</f>
        <v>5049.8</v>
      </c>
      <c r="D3" s="6">
        <f>IFERROR(__xludf.DUMMYFUNCTION("""COMPUTED_VALUE"""),4817.6)</f>
        <v>4817.6</v>
      </c>
      <c r="E3" s="6">
        <f>IFERROR(__xludf.DUMMYFUNCTION("""COMPUTED_VALUE"""),4985.15)</f>
        <v>4985.15</v>
      </c>
      <c r="F3" s="6">
        <f>IFERROR(__xludf.DUMMYFUNCTION("""COMPUTED_VALUE"""),2317787.0)</f>
        <v>2317787</v>
      </c>
    </row>
    <row r="4">
      <c r="A4" s="7">
        <f>IFERROR(__xludf.DUMMYFUNCTION("""COMPUTED_VALUE"""),45184.64583333333)</f>
        <v>45184.64583</v>
      </c>
      <c r="B4" s="6">
        <f>IFERROR(__xludf.DUMMYFUNCTION("""COMPUTED_VALUE"""),5004.0)</f>
        <v>5004</v>
      </c>
      <c r="C4" s="6">
        <f>IFERROR(__xludf.DUMMYFUNCTION("""COMPUTED_VALUE"""),5150.4)</f>
        <v>5150.4</v>
      </c>
      <c r="D4" s="6">
        <f>IFERROR(__xludf.DUMMYFUNCTION("""COMPUTED_VALUE"""),4945.0)</f>
        <v>4945</v>
      </c>
      <c r="E4" s="6">
        <f>IFERROR(__xludf.DUMMYFUNCTION("""COMPUTED_VALUE"""),5091.8)</f>
        <v>5091.8</v>
      </c>
      <c r="F4" s="6">
        <f>IFERROR(__xludf.DUMMYFUNCTION("""COMPUTED_VALUE"""),2331332.0)</f>
        <v>2331332</v>
      </c>
    </row>
    <row r="5">
      <c r="A5" s="7">
        <f>IFERROR(__xludf.DUMMYFUNCTION("""COMPUTED_VALUE"""),45191.64583333333)</f>
        <v>45191.64583</v>
      </c>
      <c r="B5" s="6">
        <f>IFERROR(__xludf.DUMMYFUNCTION("""COMPUTED_VALUE"""),5100.0)</f>
        <v>5100</v>
      </c>
      <c r="C5" s="6">
        <f>IFERROR(__xludf.DUMMYFUNCTION("""COMPUTED_VALUE"""),5162.0)</f>
        <v>5162</v>
      </c>
      <c r="D5" s="6">
        <f>IFERROR(__xludf.DUMMYFUNCTION("""COMPUTED_VALUE"""),4929.0)</f>
        <v>4929</v>
      </c>
      <c r="E5" s="6">
        <f>IFERROR(__xludf.DUMMYFUNCTION("""COMPUTED_VALUE"""),4989.55)</f>
        <v>4989.55</v>
      </c>
      <c r="F5" s="6">
        <f>IFERROR(__xludf.DUMMYFUNCTION("""COMPUTED_VALUE"""),1652867.0)</f>
        <v>1652867</v>
      </c>
    </row>
    <row r="6">
      <c r="A6" s="7">
        <f>IFERROR(__xludf.DUMMYFUNCTION("""COMPUTED_VALUE"""),45198.64583333333)</f>
        <v>45198.64583</v>
      </c>
      <c r="B6" s="6">
        <f>IFERROR(__xludf.DUMMYFUNCTION("""COMPUTED_VALUE"""),5014.9)</f>
        <v>5014.9</v>
      </c>
      <c r="C6" s="6">
        <f>IFERROR(__xludf.DUMMYFUNCTION("""COMPUTED_VALUE"""),5186.95)</f>
        <v>5186.95</v>
      </c>
      <c r="D6" s="6">
        <f>IFERROR(__xludf.DUMMYFUNCTION("""COMPUTED_VALUE"""),4972.85)</f>
        <v>4972.85</v>
      </c>
      <c r="E6" s="6">
        <f>IFERROR(__xludf.DUMMYFUNCTION("""COMPUTED_VALUE"""),5137.75)</f>
        <v>5137.75</v>
      </c>
      <c r="F6" s="6">
        <f>IFERROR(__xludf.DUMMYFUNCTION("""COMPUTED_VALUE"""),1932897.0)</f>
        <v>1932897</v>
      </c>
    </row>
    <row r="7">
      <c r="A7" s="7">
        <f>IFERROR(__xludf.DUMMYFUNCTION("""COMPUTED_VALUE"""),45205.64583333333)</f>
        <v>45205.64583</v>
      </c>
      <c r="B7" s="6">
        <f>IFERROR(__xludf.DUMMYFUNCTION("""COMPUTED_VALUE"""),5138.95)</f>
        <v>5138.95</v>
      </c>
      <c r="C7" s="6">
        <f>IFERROR(__xludf.DUMMYFUNCTION("""COMPUTED_VALUE"""),5154.95)</f>
        <v>5154.95</v>
      </c>
      <c r="D7" s="6">
        <f>IFERROR(__xludf.DUMMYFUNCTION("""COMPUTED_VALUE"""),4982.3)</f>
        <v>4982.3</v>
      </c>
      <c r="E7" s="6">
        <f>IFERROR(__xludf.DUMMYFUNCTION("""COMPUTED_VALUE"""),5060.25)</f>
        <v>5060.25</v>
      </c>
      <c r="F7" s="6">
        <f>IFERROR(__xludf.DUMMYFUNCTION("""COMPUTED_VALUE"""),1482006.0)</f>
        <v>1482006</v>
      </c>
    </row>
    <row r="8">
      <c r="A8" s="7">
        <f>IFERROR(__xludf.DUMMYFUNCTION("""COMPUTED_VALUE"""),45212.64583333333)</f>
        <v>45212.64583</v>
      </c>
      <c r="B8" s="6">
        <f>IFERROR(__xludf.DUMMYFUNCTION("""COMPUTED_VALUE"""),5000.0)</f>
        <v>5000</v>
      </c>
      <c r="C8" s="6">
        <f>IFERROR(__xludf.DUMMYFUNCTION("""COMPUTED_VALUE"""),5140.0)</f>
        <v>5140</v>
      </c>
      <c r="D8" s="6">
        <f>IFERROR(__xludf.DUMMYFUNCTION("""COMPUTED_VALUE"""),4871.7)</f>
        <v>4871.7</v>
      </c>
      <c r="E8" s="6">
        <f>IFERROR(__xludf.DUMMYFUNCTION("""COMPUTED_VALUE"""),5017.3)</f>
        <v>5017.3</v>
      </c>
      <c r="F8" s="6">
        <f>IFERROR(__xludf.DUMMYFUNCTION("""COMPUTED_VALUE"""),2154648.0)</f>
        <v>2154648</v>
      </c>
    </row>
    <row r="9">
      <c r="A9" s="7">
        <f>IFERROR(__xludf.DUMMYFUNCTION("""COMPUTED_VALUE"""),45219.64583333333)</f>
        <v>45219.64583</v>
      </c>
      <c r="B9" s="6">
        <f>IFERROR(__xludf.DUMMYFUNCTION("""COMPUTED_VALUE"""),5030.0)</f>
        <v>5030</v>
      </c>
      <c r="C9" s="6">
        <f>IFERROR(__xludf.DUMMYFUNCTION("""COMPUTED_VALUE"""),5068.0)</f>
        <v>5068</v>
      </c>
      <c r="D9" s="6">
        <f>IFERROR(__xludf.DUMMYFUNCTION("""COMPUTED_VALUE"""),4935.15)</f>
        <v>4935.15</v>
      </c>
      <c r="E9" s="6">
        <f>IFERROR(__xludf.DUMMYFUNCTION("""COMPUTED_VALUE"""),4977.55)</f>
        <v>4977.55</v>
      </c>
      <c r="F9" s="6">
        <f>IFERROR(__xludf.DUMMYFUNCTION("""COMPUTED_VALUE"""),1303577.0)</f>
        <v>1303577</v>
      </c>
    </row>
    <row r="10">
      <c r="A10" s="7">
        <f>IFERROR(__xludf.DUMMYFUNCTION("""COMPUTED_VALUE"""),45226.64583333333)</f>
        <v>45226.64583</v>
      </c>
      <c r="B10" s="6">
        <f>IFERROR(__xludf.DUMMYFUNCTION("""COMPUTED_VALUE"""),4977.0)</f>
        <v>4977</v>
      </c>
      <c r="C10" s="6">
        <f>IFERROR(__xludf.DUMMYFUNCTION("""COMPUTED_VALUE"""),5010.55)</f>
        <v>5010.55</v>
      </c>
      <c r="D10" s="6">
        <f>IFERROR(__xludf.DUMMYFUNCTION("""COMPUTED_VALUE"""),4726.0)</f>
        <v>4726</v>
      </c>
      <c r="E10" s="6">
        <f>IFERROR(__xludf.DUMMYFUNCTION("""COMPUTED_VALUE"""),4830.2)</f>
        <v>4830.2</v>
      </c>
      <c r="F10" s="6">
        <f>IFERROR(__xludf.DUMMYFUNCTION("""COMPUTED_VALUE"""),2428393.0)</f>
        <v>2428393</v>
      </c>
    </row>
    <row r="11">
      <c r="A11" s="7">
        <f>IFERROR(__xludf.DUMMYFUNCTION("""COMPUTED_VALUE"""),45233.64583333333)</f>
        <v>45233.64583</v>
      </c>
      <c r="B11" s="6">
        <f>IFERROR(__xludf.DUMMYFUNCTION("""COMPUTED_VALUE"""),4840.0)</f>
        <v>4840</v>
      </c>
      <c r="C11" s="6">
        <f>IFERROR(__xludf.DUMMYFUNCTION("""COMPUTED_VALUE"""),5165.5)</f>
        <v>5165.5</v>
      </c>
      <c r="D11" s="6">
        <f>IFERROR(__xludf.DUMMYFUNCTION("""COMPUTED_VALUE"""),4783.05)</f>
        <v>4783.05</v>
      </c>
      <c r="E11" s="6">
        <f>IFERROR(__xludf.DUMMYFUNCTION("""COMPUTED_VALUE"""),5153.2)</f>
        <v>5153.2</v>
      </c>
      <c r="F11" s="6">
        <f>IFERROR(__xludf.DUMMYFUNCTION("""COMPUTED_VALUE"""),2269658.0)</f>
        <v>2269658</v>
      </c>
    </row>
    <row r="12">
      <c r="A12" s="7">
        <f>IFERROR(__xludf.DUMMYFUNCTION("""COMPUTED_VALUE"""),45240.64583333333)</f>
        <v>45240.64583</v>
      </c>
      <c r="B12" s="6">
        <f>IFERROR(__xludf.DUMMYFUNCTION("""COMPUTED_VALUE"""),5141.05)</f>
        <v>5141.05</v>
      </c>
      <c r="C12" s="6">
        <f>IFERROR(__xludf.DUMMYFUNCTION("""COMPUTED_VALUE"""),5338.0)</f>
        <v>5338</v>
      </c>
      <c r="D12" s="6">
        <f>IFERROR(__xludf.DUMMYFUNCTION("""COMPUTED_VALUE"""),5087.45)</f>
        <v>5087.45</v>
      </c>
      <c r="E12" s="6">
        <f>IFERROR(__xludf.DUMMYFUNCTION("""COMPUTED_VALUE"""),5278.5)</f>
        <v>5278.5</v>
      </c>
      <c r="F12" s="6">
        <f>IFERROR(__xludf.DUMMYFUNCTION("""COMPUTED_VALUE"""),2751047.0)</f>
        <v>2751047</v>
      </c>
    </row>
    <row r="13">
      <c r="A13" s="7">
        <f>IFERROR(__xludf.DUMMYFUNCTION("""COMPUTED_VALUE"""),45247.64583333333)</f>
        <v>45247.64583</v>
      </c>
      <c r="B13" s="6">
        <f>IFERROR(__xludf.DUMMYFUNCTION("""COMPUTED_VALUE"""),5300.0)</f>
        <v>5300</v>
      </c>
      <c r="C13" s="6">
        <f>IFERROR(__xludf.DUMMYFUNCTION("""COMPUTED_VALUE"""),5493.35)</f>
        <v>5493.35</v>
      </c>
      <c r="D13" s="6">
        <f>IFERROR(__xludf.DUMMYFUNCTION("""COMPUTED_VALUE"""),5200.2)</f>
        <v>5200.2</v>
      </c>
      <c r="E13" s="6">
        <f>IFERROR(__xludf.DUMMYFUNCTION("""COMPUTED_VALUE"""),5478.95)</f>
        <v>5478.95</v>
      </c>
      <c r="F13" s="6">
        <f>IFERROR(__xludf.DUMMYFUNCTION("""COMPUTED_VALUE"""),1710096.0)</f>
        <v>1710096</v>
      </c>
    </row>
    <row r="14">
      <c r="A14" s="7">
        <f>IFERROR(__xludf.DUMMYFUNCTION("""COMPUTED_VALUE"""),45254.64583333333)</f>
        <v>45254.64583</v>
      </c>
      <c r="B14" s="6">
        <f>IFERROR(__xludf.DUMMYFUNCTION("""COMPUTED_VALUE"""),5475.0)</f>
        <v>5475</v>
      </c>
      <c r="C14" s="6">
        <f>IFERROR(__xludf.DUMMYFUNCTION("""COMPUTED_VALUE"""),5595.0)</f>
        <v>5595</v>
      </c>
      <c r="D14" s="6">
        <f>IFERROR(__xludf.DUMMYFUNCTION("""COMPUTED_VALUE"""),5395.0)</f>
        <v>5395</v>
      </c>
      <c r="E14" s="6">
        <f>IFERROR(__xludf.DUMMYFUNCTION("""COMPUTED_VALUE"""),5401.3)</f>
        <v>5401.3</v>
      </c>
      <c r="F14" s="6">
        <f>IFERROR(__xludf.DUMMYFUNCTION("""COMPUTED_VALUE"""),1716786.0)</f>
        <v>1716786</v>
      </c>
    </row>
    <row r="15">
      <c r="A15" s="7">
        <f>IFERROR(__xludf.DUMMYFUNCTION("""COMPUTED_VALUE"""),45261.64583333333)</f>
        <v>45261.64583</v>
      </c>
      <c r="B15" s="6">
        <f>IFERROR(__xludf.DUMMYFUNCTION("""COMPUTED_VALUE"""),5401.3)</f>
        <v>5401.3</v>
      </c>
      <c r="C15" s="6">
        <f>IFERROR(__xludf.DUMMYFUNCTION("""COMPUTED_VALUE"""),5687.65)</f>
        <v>5687.65</v>
      </c>
      <c r="D15" s="6">
        <f>IFERROR(__xludf.DUMMYFUNCTION("""COMPUTED_VALUE"""),5341.0)</f>
        <v>5341</v>
      </c>
      <c r="E15" s="6">
        <f>IFERROR(__xludf.DUMMYFUNCTION("""COMPUTED_VALUE"""),5591.15)</f>
        <v>5591.15</v>
      </c>
      <c r="F15" s="6">
        <f>IFERROR(__xludf.DUMMYFUNCTION("""COMPUTED_VALUE"""),1962116.0)</f>
        <v>1962116</v>
      </c>
    </row>
    <row r="16">
      <c r="A16" s="7">
        <f>IFERROR(__xludf.DUMMYFUNCTION("""COMPUTED_VALUE"""),45268.64583333333)</f>
        <v>45268.64583</v>
      </c>
      <c r="B16" s="6">
        <f>IFERROR(__xludf.DUMMYFUNCTION("""COMPUTED_VALUE"""),5626.0)</f>
        <v>5626</v>
      </c>
      <c r="C16" s="6">
        <f>IFERROR(__xludf.DUMMYFUNCTION("""COMPUTED_VALUE"""),5689.0)</f>
        <v>5689</v>
      </c>
      <c r="D16" s="6">
        <f>IFERROR(__xludf.DUMMYFUNCTION("""COMPUTED_VALUE"""),5439.05)</f>
        <v>5439.05</v>
      </c>
      <c r="E16" s="6">
        <f>IFERROR(__xludf.DUMMYFUNCTION("""COMPUTED_VALUE"""),5555.35)</f>
        <v>5555.35</v>
      </c>
      <c r="F16" s="6">
        <f>IFERROR(__xludf.DUMMYFUNCTION("""COMPUTED_VALUE"""),3265460.0)</f>
        <v>3265460</v>
      </c>
    </row>
    <row r="17">
      <c r="A17" s="7">
        <f>IFERROR(__xludf.DUMMYFUNCTION("""COMPUTED_VALUE"""),45275.64583333333)</f>
        <v>45275.64583</v>
      </c>
      <c r="B17" s="6">
        <f>IFERROR(__xludf.DUMMYFUNCTION("""COMPUTED_VALUE"""),5550.0)</f>
        <v>5550</v>
      </c>
      <c r="C17" s="6">
        <f>IFERROR(__xludf.DUMMYFUNCTION("""COMPUTED_VALUE"""),5588.0)</f>
        <v>5588</v>
      </c>
      <c r="D17" s="6">
        <f>IFERROR(__xludf.DUMMYFUNCTION("""COMPUTED_VALUE"""),5369.4)</f>
        <v>5369.4</v>
      </c>
      <c r="E17" s="6">
        <f>IFERROR(__xludf.DUMMYFUNCTION("""COMPUTED_VALUE"""),5551.2)</f>
        <v>5551.2</v>
      </c>
      <c r="F17" s="6">
        <f>IFERROR(__xludf.DUMMYFUNCTION("""COMPUTED_VALUE"""),2170422.0)</f>
        <v>2170422</v>
      </c>
    </row>
    <row r="18">
      <c r="A18" s="7">
        <f>IFERROR(__xludf.DUMMYFUNCTION("""COMPUTED_VALUE"""),45282.64583333333)</f>
        <v>45282.64583</v>
      </c>
      <c r="B18" s="6">
        <f>IFERROR(__xludf.DUMMYFUNCTION("""COMPUTED_VALUE"""),5550.5)</f>
        <v>5550.5</v>
      </c>
      <c r="C18" s="6">
        <f>IFERROR(__xludf.DUMMYFUNCTION("""COMPUTED_VALUE"""),5675.35)</f>
        <v>5675.35</v>
      </c>
      <c r="D18" s="6">
        <f>IFERROR(__xludf.DUMMYFUNCTION("""COMPUTED_VALUE"""),5284.85)</f>
        <v>5284.85</v>
      </c>
      <c r="E18" s="6">
        <f>IFERROR(__xludf.DUMMYFUNCTION("""COMPUTED_VALUE"""),5541.4)</f>
        <v>5541.4</v>
      </c>
      <c r="F18" s="6">
        <f>IFERROR(__xludf.DUMMYFUNCTION("""COMPUTED_VALUE"""),2256148.0)</f>
        <v>2256148</v>
      </c>
    </row>
    <row r="19">
      <c r="A19" s="7">
        <f>IFERROR(__xludf.DUMMYFUNCTION("""COMPUTED_VALUE"""),45289.64583333333)</f>
        <v>45289.64583</v>
      </c>
      <c r="B19" s="6">
        <f>IFERROR(__xludf.DUMMYFUNCTION("""COMPUTED_VALUE"""),5541.4)</f>
        <v>5541.4</v>
      </c>
      <c r="C19" s="6">
        <f>IFERROR(__xludf.DUMMYFUNCTION("""COMPUTED_VALUE"""),5770.0)</f>
        <v>5770</v>
      </c>
      <c r="D19" s="6">
        <f>IFERROR(__xludf.DUMMYFUNCTION("""COMPUTED_VALUE"""),5526.15)</f>
        <v>5526.15</v>
      </c>
      <c r="E19" s="6">
        <f>IFERROR(__xludf.DUMMYFUNCTION("""COMPUTED_VALUE"""),5704.1)</f>
        <v>5704.1</v>
      </c>
      <c r="F19" s="6">
        <f>IFERROR(__xludf.DUMMYFUNCTION("""COMPUTED_VALUE"""),1444289.0)</f>
        <v>1444289</v>
      </c>
    </row>
    <row r="20">
      <c r="A20" s="7">
        <f>IFERROR(__xludf.DUMMYFUNCTION("""COMPUTED_VALUE"""),45296.64583333333)</f>
        <v>45296.64583</v>
      </c>
      <c r="B20" s="6">
        <f>IFERROR(__xludf.DUMMYFUNCTION("""COMPUTED_VALUE"""),5741.0)</f>
        <v>5741</v>
      </c>
      <c r="C20" s="6">
        <f>IFERROR(__xludf.DUMMYFUNCTION("""COMPUTED_VALUE"""),5839.95)</f>
        <v>5839.95</v>
      </c>
      <c r="D20" s="6">
        <f>IFERROR(__xludf.DUMMYFUNCTION("""COMPUTED_VALUE"""),5673.05)</f>
        <v>5673.05</v>
      </c>
      <c r="E20" s="6">
        <f>IFERROR(__xludf.DUMMYFUNCTION("""COMPUTED_VALUE"""),5754.25)</f>
        <v>5754.25</v>
      </c>
      <c r="F20" s="6">
        <f>IFERROR(__xludf.DUMMYFUNCTION("""COMPUTED_VALUE"""),858072.0)</f>
        <v>858072</v>
      </c>
    </row>
    <row r="21">
      <c r="A21" s="7">
        <f>IFERROR(__xludf.DUMMYFUNCTION("""COMPUTED_VALUE"""),45303.64583333333)</f>
        <v>45303.64583</v>
      </c>
      <c r="B21" s="6">
        <f>IFERROR(__xludf.DUMMYFUNCTION("""COMPUTED_VALUE"""),5750.0)</f>
        <v>5750</v>
      </c>
      <c r="C21" s="6">
        <f>IFERROR(__xludf.DUMMYFUNCTION("""COMPUTED_VALUE"""),5922.0)</f>
        <v>5922</v>
      </c>
      <c r="D21" s="6">
        <f>IFERROR(__xludf.DUMMYFUNCTION("""COMPUTED_VALUE"""),5640.0)</f>
        <v>5640</v>
      </c>
      <c r="E21" s="6">
        <f>IFERROR(__xludf.DUMMYFUNCTION("""COMPUTED_VALUE"""),5795.7)</f>
        <v>5795.7</v>
      </c>
      <c r="F21" s="6">
        <f>IFERROR(__xludf.DUMMYFUNCTION("""COMPUTED_VALUE"""),1190315.0)</f>
        <v>1190315</v>
      </c>
    </row>
    <row r="22">
      <c r="A22" s="7">
        <f>IFERROR(__xludf.DUMMYFUNCTION("""COMPUTED_VALUE"""),45316.64583333333)</f>
        <v>45316.64583</v>
      </c>
      <c r="B22" s="6">
        <f>IFERROR(__xludf.DUMMYFUNCTION("""COMPUTED_VALUE"""),6428.0)</f>
        <v>6428</v>
      </c>
      <c r="C22" s="6">
        <f>IFERROR(__xludf.DUMMYFUNCTION("""COMPUTED_VALUE"""),6428.7)</f>
        <v>6428.7</v>
      </c>
      <c r="D22" s="6">
        <f>IFERROR(__xludf.DUMMYFUNCTION("""COMPUTED_VALUE"""),6083.35)</f>
        <v>6083.35</v>
      </c>
      <c r="E22" s="6">
        <f>IFERROR(__xludf.DUMMYFUNCTION("""COMPUTED_VALUE"""),6168.85)</f>
        <v>6168.85</v>
      </c>
      <c r="F22" s="6">
        <f>IFERROR(__xludf.DUMMYFUNCTION("""COMPUTED_VALUE"""),1755431.0)</f>
        <v>1755431</v>
      </c>
    </row>
    <row r="23">
      <c r="A23" s="7">
        <f>IFERROR(__xludf.DUMMYFUNCTION("""COMPUTED_VALUE"""),45324.64583333333)</f>
        <v>45324.64583</v>
      </c>
      <c r="B23" s="6">
        <f>IFERROR(__xludf.DUMMYFUNCTION("""COMPUTED_VALUE"""),6199.05)</f>
        <v>6199.05</v>
      </c>
      <c r="C23" s="6">
        <f>IFERROR(__xludf.DUMMYFUNCTION("""COMPUTED_VALUE"""),6387.85)</f>
        <v>6387.85</v>
      </c>
      <c r="D23" s="6">
        <f>IFERROR(__xludf.DUMMYFUNCTION("""COMPUTED_VALUE"""),6177.8)</f>
        <v>6177.8</v>
      </c>
      <c r="E23" s="6">
        <f>IFERROR(__xludf.DUMMYFUNCTION("""COMPUTED_VALUE"""),6320.55)</f>
        <v>6320.55</v>
      </c>
      <c r="F23" s="6">
        <f>IFERROR(__xludf.DUMMYFUNCTION("""COMPUTED_VALUE"""),1852723.0)</f>
        <v>1852723</v>
      </c>
    </row>
    <row r="24">
      <c r="A24" s="7">
        <f>IFERROR(__xludf.DUMMYFUNCTION("""COMPUTED_VALUE"""),45331.64583333333)</f>
        <v>45331.64583</v>
      </c>
      <c r="B24" s="6">
        <f>IFERROR(__xludf.DUMMYFUNCTION("""COMPUTED_VALUE"""),6320.55)</f>
        <v>6320.55</v>
      </c>
      <c r="C24" s="6">
        <f>IFERROR(__xludf.DUMMYFUNCTION("""COMPUTED_VALUE"""),6473.95)</f>
        <v>6473.95</v>
      </c>
      <c r="D24" s="6">
        <f>IFERROR(__xludf.DUMMYFUNCTION("""COMPUTED_VALUE"""),6150.0)</f>
        <v>6150</v>
      </c>
      <c r="E24" s="6">
        <f>IFERROR(__xludf.DUMMYFUNCTION("""COMPUTED_VALUE"""),6437.35)</f>
        <v>6437.35</v>
      </c>
      <c r="F24" s="6">
        <f>IFERROR(__xludf.DUMMYFUNCTION("""COMPUTED_VALUE"""),2525860.0)</f>
        <v>2525860</v>
      </c>
    </row>
    <row r="25">
      <c r="A25" s="7">
        <f>IFERROR(__xludf.DUMMYFUNCTION("""COMPUTED_VALUE"""),45338.64583333333)</f>
        <v>45338.64583</v>
      </c>
      <c r="B25" s="6">
        <f>IFERROR(__xludf.DUMMYFUNCTION("""COMPUTED_VALUE"""),6464.9)</f>
        <v>6464.9</v>
      </c>
      <c r="C25" s="6">
        <f>IFERROR(__xludf.DUMMYFUNCTION("""COMPUTED_VALUE"""),6775.0)</f>
        <v>6775</v>
      </c>
      <c r="D25" s="6">
        <f>IFERROR(__xludf.DUMMYFUNCTION("""COMPUTED_VALUE"""),6375.0)</f>
        <v>6375</v>
      </c>
      <c r="E25" s="6">
        <f>IFERROR(__xludf.DUMMYFUNCTION("""COMPUTED_VALUE"""),6600.55)</f>
        <v>6600.55</v>
      </c>
      <c r="F25" s="6">
        <f>IFERROR(__xludf.DUMMYFUNCTION("""COMPUTED_VALUE"""),2522122.0)</f>
        <v>2522122</v>
      </c>
    </row>
    <row r="26">
      <c r="A26" s="7">
        <f>IFERROR(__xludf.DUMMYFUNCTION("""COMPUTED_VALUE"""),45345.64583333333)</f>
        <v>45345.64583</v>
      </c>
      <c r="B26" s="6">
        <f>IFERROR(__xludf.DUMMYFUNCTION("""COMPUTED_VALUE"""),6620.0)</f>
        <v>6620</v>
      </c>
      <c r="C26" s="6">
        <f>IFERROR(__xludf.DUMMYFUNCTION("""COMPUTED_VALUE"""),6874.45)</f>
        <v>6874.45</v>
      </c>
      <c r="D26" s="6">
        <f>IFERROR(__xludf.DUMMYFUNCTION("""COMPUTED_VALUE"""),6511.05)</f>
        <v>6511.05</v>
      </c>
      <c r="E26" s="6">
        <f>IFERROR(__xludf.DUMMYFUNCTION("""COMPUTED_VALUE"""),6774.05)</f>
        <v>6774.05</v>
      </c>
      <c r="F26" s="6">
        <f>IFERROR(__xludf.DUMMYFUNCTION("""COMPUTED_VALUE"""),2348139.0)</f>
        <v>2348139</v>
      </c>
    </row>
    <row r="27">
      <c r="A27" s="7">
        <f>IFERROR(__xludf.DUMMYFUNCTION("""COMPUTED_VALUE"""),45358.64583333333)</f>
        <v>45358.64583</v>
      </c>
      <c r="B27" s="6">
        <f>IFERROR(__xludf.DUMMYFUNCTION("""COMPUTED_VALUE"""),6145.0)</f>
        <v>6145</v>
      </c>
      <c r="C27" s="6">
        <f>IFERROR(__xludf.DUMMYFUNCTION("""COMPUTED_VALUE"""),6171.75)</f>
        <v>6171.75</v>
      </c>
      <c r="D27" s="6">
        <f>IFERROR(__xludf.DUMMYFUNCTION("""COMPUTED_VALUE"""),5945.0)</f>
        <v>5945</v>
      </c>
      <c r="E27" s="6">
        <f>IFERROR(__xludf.DUMMYFUNCTION("""COMPUTED_VALUE"""),6048.8)</f>
        <v>6048.8</v>
      </c>
      <c r="F27" s="6">
        <f>IFERROR(__xludf.DUMMYFUNCTION("""COMPUTED_VALUE"""),2602960.0)</f>
        <v>2602960</v>
      </c>
    </row>
    <row r="28">
      <c r="A28" s="7">
        <f>IFERROR(__xludf.DUMMYFUNCTION("""COMPUTED_VALUE"""),45366.64583333333)</f>
        <v>45366.64583</v>
      </c>
      <c r="B28" s="6">
        <f>IFERROR(__xludf.DUMMYFUNCTION("""COMPUTED_VALUE"""),6048.8)</f>
        <v>6048.8</v>
      </c>
      <c r="C28" s="6">
        <f>IFERROR(__xludf.DUMMYFUNCTION("""COMPUTED_VALUE"""),6274.25)</f>
        <v>6274.25</v>
      </c>
      <c r="D28" s="6">
        <f>IFERROR(__xludf.DUMMYFUNCTION("""COMPUTED_VALUE"""),5941.6)</f>
        <v>5941.6</v>
      </c>
      <c r="E28" s="6">
        <f>IFERROR(__xludf.DUMMYFUNCTION("""COMPUTED_VALUE"""),5983.2)</f>
        <v>5983.2</v>
      </c>
      <c r="F28" s="6">
        <f>IFERROR(__xludf.DUMMYFUNCTION("""COMPUTED_VALUE"""),2563310.0)</f>
        <v>2563310</v>
      </c>
    </row>
    <row r="29">
      <c r="A29" s="7">
        <f>IFERROR(__xludf.DUMMYFUNCTION("""COMPUTED_VALUE"""),45373.64583333333)</f>
        <v>45373.64583</v>
      </c>
      <c r="B29" s="6">
        <f>IFERROR(__xludf.DUMMYFUNCTION("""COMPUTED_VALUE"""),5997.75)</f>
        <v>5997.75</v>
      </c>
      <c r="C29" s="6">
        <f>IFERROR(__xludf.DUMMYFUNCTION("""COMPUTED_VALUE"""),6390.9)</f>
        <v>6390.9</v>
      </c>
      <c r="D29" s="6">
        <f>IFERROR(__xludf.DUMMYFUNCTION("""COMPUTED_VALUE"""),5978.65)</f>
        <v>5978.65</v>
      </c>
      <c r="E29" s="6">
        <f>IFERROR(__xludf.DUMMYFUNCTION("""COMPUTED_VALUE"""),6375.9)</f>
        <v>6375.9</v>
      </c>
      <c r="F29" s="6">
        <f>IFERROR(__xludf.DUMMYFUNCTION("""COMPUTED_VALUE"""),2453193.0)</f>
        <v>2453193</v>
      </c>
    </row>
    <row r="30">
      <c r="A30" s="7">
        <f>IFERROR(__xludf.DUMMYFUNCTION("""COMPUTED_VALUE"""),45379.64583333333)</f>
        <v>45379.64583</v>
      </c>
      <c r="B30" s="6">
        <f>IFERROR(__xludf.DUMMYFUNCTION("""COMPUTED_VALUE"""),6398.0)</f>
        <v>6398</v>
      </c>
      <c r="C30" s="6">
        <f>IFERROR(__xludf.DUMMYFUNCTION("""COMPUTED_VALUE"""),6463.45)</f>
        <v>6463.45</v>
      </c>
      <c r="D30" s="6">
        <f>IFERROR(__xludf.DUMMYFUNCTION("""COMPUTED_VALUE"""),6112.5)</f>
        <v>6112.5</v>
      </c>
      <c r="E30" s="6">
        <f>IFERROR(__xludf.DUMMYFUNCTION("""COMPUTED_VALUE"""),6356.8)</f>
        <v>6356.8</v>
      </c>
      <c r="F30" s="6">
        <f>IFERROR(__xludf.DUMMYFUNCTION("""COMPUTED_VALUE"""),2050610.0)</f>
        <v>2050610</v>
      </c>
    </row>
    <row r="31">
      <c r="A31" s="7">
        <f>IFERROR(__xludf.DUMMYFUNCTION("""COMPUTED_VALUE"""),45387.64583333333)</f>
        <v>45387.64583</v>
      </c>
      <c r="B31" s="6">
        <f>IFERROR(__xludf.DUMMYFUNCTION("""COMPUTED_VALUE"""),6401.0)</f>
        <v>6401</v>
      </c>
      <c r="C31" s="6">
        <f>IFERROR(__xludf.DUMMYFUNCTION("""COMPUTED_VALUE"""),6557.0)</f>
        <v>6557</v>
      </c>
      <c r="D31" s="6">
        <f>IFERROR(__xludf.DUMMYFUNCTION("""COMPUTED_VALUE"""),6311.0)</f>
        <v>6311</v>
      </c>
      <c r="E31" s="6">
        <f>IFERROR(__xludf.DUMMYFUNCTION("""COMPUTED_VALUE"""),6397.75)</f>
        <v>6397.75</v>
      </c>
      <c r="F31" s="6">
        <f>IFERROR(__xludf.DUMMYFUNCTION("""COMPUTED_VALUE"""),1730451.0)</f>
        <v>1730451</v>
      </c>
    </row>
    <row r="32">
      <c r="A32" s="7">
        <f>IFERROR(__xludf.DUMMYFUNCTION("""COMPUTED_VALUE"""),45394.64583333333)</f>
        <v>45394.64583</v>
      </c>
      <c r="B32" s="6">
        <f>IFERROR(__xludf.DUMMYFUNCTION("""COMPUTED_VALUE"""),6397.75)</f>
        <v>6397.75</v>
      </c>
      <c r="C32" s="6">
        <f>IFERROR(__xludf.DUMMYFUNCTION("""COMPUTED_VALUE"""),6540.0)</f>
        <v>6540</v>
      </c>
      <c r="D32" s="6">
        <f>IFERROR(__xludf.DUMMYFUNCTION("""COMPUTED_VALUE"""),6280.0)</f>
        <v>6280</v>
      </c>
      <c r="E32" s="6">
        <f>IFERROR(__xludf.DUMMYFUNCTION("""COMPUTED_VALUE"""),6406.55)</f>
        <v>6406.55</v>
      </c>
      <c r="F32" s="6">
        <f>IFERROR(__xludf.DUMMYFUNCTION("""COMPUTED_VALUE"""),1710040.0)</f>
        <v>1710040</v>
      </c>
    </row>
    <row r="33">
      <c r="A33" s="7">
        <f>IFERROR(__xludf.DUMMYFUNCTION("""COMPUTED_VALUE"""),45401.64583333333)</f>
        <v>45401.64583</v>
      </c>
      <c r="B33" s="6">
        <f>IFERROR(__xludf.DUMMYFUNCTION("""COMPUTED_VALUE"""),6325.1)</f>
        <v>6325.1</v>
      </c>
      <c r="C33" s="6">
        <f>IFERROR(__xludf.DUMMYFUNCTION("""COMPUTED_VALUE"""),6399.1)</f>
        <v>6399.1</v>
      </c>
      <c r="D33" s="6">
        <f>IFERROR(__xludf.DUMMYFUNCTION("""COMPUTED_VALUE"""),6050.0)</f>
        <v>6050</v>
      </c>
      <c r="E33" s="6">
        <f>IFERROR(__xludf.DUMMYFUNCTION("""COMPUTED_VALUE"""),6169.55)</f>
        <v>6169.55</v>
      </c>
      <c r="F33" s="6">
        <f>IFERROR(__xludf.DUMMYFUNCTION("""COMPUTED_VALUE"""),1620132.0)</f>
        <v>1620132</v>
      </c>
    </row>
    <row r="34">
      <c r="A34" s="7">
        <f>IFERROR(__xludf.DUMMYFUNCTION("""COMPUTED_VALUE"""),45408.64583333333)</f>
        <v>45408.64583</v>
      </c>
      <c r="B34" s="6">
        <f>IFERROR(__xludf.DUMMYFUNCTION("""COMPUTED_VALUE"""),6154.5)</f>
        <v>6154.5</v>
      </c>
      <c r="C34" s="6">
        <f>IFERROR(__xludf.DUMMYFUNCTION("""COMPUTED_VALUE"""),6402.2)</f>
        <v>6402.2</v>
      </c>
      <c r="D34" s="6">
        <f>IFERROR(__xludf.DUMMYFUNCTION("""COMPUTED_VALUE"""),6150.0)</f>
        <v>6150</v>
      </c>
      <c r="E34" s="6">
        <f>IFERROR(__xludf.DUMMYFUNCTION("""COMPUTED_VALUE"""),6258.6)</f>
        <v>6258.6</v>
      </c>
      <c r="F34" s="6">
        <f>IFERROR(__xludf.DUMMYFUNCTION("""COMPUTED_VALUE"""),1403402.0)</f>
        <v>1403402</v>
      </c>
    </row>
    <row r="35">
      <c r="A35" s="7">
        <f>IFERROR(__xludf.DUMMYFUNCTION("""COMPUTED_VALUE"""),45415.64583333333)</f>
        <v>45415.64583</v>
      </c>
      <c r="B35" s="6">
        <f>IFERROR(__xludf.DUMMYFUNCTION("""COMPUTED_VALUE"""),6200.0)</f>
        <v>6200</v>
      </c>
      <c r="C35" s="6">
        <f>IFERROR(__xludf.DUMMYFUNCTION("""COMPUTED_VALUE"""),6200.0)</f>
        <v>6200</v>
      </c>
      <c r="D35" s="6">
        <f>IFERROR(__xludf.DUMMYFUNCTION("""COMPUTED_VALUE"""),5733.0)</f>
        <v>5733</v>
      </c>
      <c r="E35" s="6">
        <f>IFERROR(__xludf.DUMMYFUNCTION("""COMPUTED_VALUE"""),6009.6)</f>
        <v>6009.6</v>
      </c>
      <c r="F35" s="6">
        <f>IFERROR(__xludf.DUMMYFUNCTION("""COMPUTED_VALUE"""),4962108.0)</f>
        <v>4962108</v>
      </c>
    </row>
    <row r="36">
      <c r="A36" s="7">
        <f>IFERROR(__xludf.DUMMYFUNCTION("""COMPUTED_VALUE"""),45422.64583333333)</f>
        <v>45422.64583</v>
      </c>
      <c r="B36" s="6">
        <f>IFERROR(__xludf.DUMMYFUNCTION("""COMPUTED_VALUE"""),6050.0)</f>
        <v>6050</v>
      </c>
      <c r="C36" s="6">
        <f>IFERROR(__xludf.DUMMYFUNCTION("""COMPUTED_VALUE"""),6086.15)</f>
        <v>6086.15</v>
      </c>
      <c r="D36" s="6">
        <f>IFERROR(__xludf.DUMMYFUNCTION("""COMPUTED_VALUE"""),5753.25)</f>
        <v>5753.25</v>
      </c>
      <c r="E36" s="6">
        <f>IFERROR(__xludf.DUMMYFUNCTION("""COMPUTED_VALUE"""),5842.45)</f>
        <v>5842.45</v>
      </c>
      <c r="F36" s="6">
        <f>IFERROR(__xludf.DUMMYFUNCTION("""COMPUTED_VALUE"""),2357043.0)</f>
        <v>2357043</v>
      </c>
    </row>
    <row r="37">
      <c r="A37" s="7">
        <f>IFERROR(__xludf.DUMMYFUNCTION("""COMPUTED_VALUE"""),45436.64583333333)</f>
        <v>45436.64583</v>
      </c>
      <c r="B37" s="6">
        <f>IFERROR(__xludf.DUMMYFUNCTION("""COMPUTED_VALUE"""),6000.0)</f>
        <v>6000</v>
      </c>
      <c r="C37" s="6">
        <f>IFERROR(__xludf.DUMMYFUNCTION("""COMPUTED_VALUE"""),6041.9)</f>
        <v>6041.9</v>
      </c>
      <c r="D37" s="6">
        <f>IFERROR(__xludf.DUMMYFUNCTION("""COMPUTED_VALUE"""),5844.95)</f>
        <v>5844.95</v>
      </c>
      <c r="E37" s="6">
        <f>IFERROR(__xludf.DUMMYFUNCTION("""COMPUTED_VALUE"""),5914.35)</f>
        <v>5914.35</v>
      </c>
      <c r="F37" s="6">
        <f>IFERROR(__xludf.DUMMYFUNCTION("""COMPUTED_VALUE"""),2259347.0)</f>
        <v>2259347</v>
      </c>
    </row>
    <row r="38">
      <c r="A38" s="7">
        <f>IFERROR(__xludf.DUMMYFUNCTION("""COMPUTED_VALUE"""),45443.64583333333)</f>
        <v>45443.64583</v>
      </c>
      <c r="B38" s="6">
        <f>IFERROR(__xludf.DUMMYFUNCTION("""COMPUTED_VALUE"""),5950.0)</f>
        <v>5950</v>
      </c>
      <c r="C38" s="6">
        <f>IFERROR(__xludf.DUMMYFUNCTION("""COMPUTED_VALUE"""),5971.45)</f>
        <v>5971.45</v>
      </c>
      <c r="D38" s="6">
        <f>IFERROR(__xludf.DUMMYFUNCTION("""COMPUTED_VALUE"""),5743.0)</f>
        <v>5743</v>
      </c>
      <c r="E38" s="6">
        <f>IFERROR(__xludf.DUMMYFUNCTION("""COMPUTED_VALUE"""),5839.2)</f>
        <v>5839.2</v>
      </c>
      <c r="F38" s="6">
        <f>IFERROR(__xludf.DUMMYFUNCTION("""COMPUTED_VALUE"""),2866863.0)</f>
        <v>2866863</v>
      </c>
    </row>
    <row r="39">
      <c r="A39" s="7">
        <f>IFERROR(__xludf.DUMMYFUNCTION("""COMPUTED_VALUE"""),45450.64583333333)</f>
        <v>45450.64583</v>
      </c>
      <c r="B39" s="6">
        <f>IFERROR(__xludf.DUMMYFUNCTION("""COMPUTED_VALUE"""),5986.3)</f>
        <v>5986.3</v>
      </c>
      <c r="C39" s="6">
        <f>IFERROR(__xludf.DUMMYFUNCTION("""COMPUTED_VALUE"""),6031.0)</f>
        <v>6031</v>
      </c>
      <c r="D39" s="6">
        <f>IFERROR(__xludf.DUMMYFUNCTION("""COMPUTED_VALUE"""),5693.2)</f>
        <v>5693.2</v>
      </c>
      <c r="E39" s="6">
        <f>IFERROR(__xludf.DUMMYFUNCTION("""COMPUTED_VALUE"""),6014.55)</f>
        <v>6014.55</v>
      </c>
      <c r="F39" s="6">
        <f>IFERROR(__xludf.DUMMYFUNCTION("""COMPUTED_VALUE"""),2860821.0)</f>
        <v>2860821</v>
      </c>
    </row>
    <row r="40">
      <c r="A40" s="7">
        <f>IFERROR(__xludf.DUMMYFUNCTION("""COMPUTED_VALUE"""),45457.64583333333)</f>
        <v>45457.64583</v>
      </c>
      <c r="B40" s="6">
        <f>IFERROR(__xludf.DUMMYFUNCTION("""COMPUTED_VALUE"""),6040.0)</f>
        <v>6040</v>
      </c>
      <c r="C40" s="6">
        <f>IFERROR(__xludf.DUMMYFUNCTION("""COMPUTED_VALUE"""),6219.95)</f>
        <v>6219.95</v>
      </c>
      <c r="D40" s="6">
        <f>IFERROR(__xludf.DUMMYFUNCTION("""COMPUTED_VALUE"""),5992.05)</f>
        <v>5992.05</v>
      </c>
      <c r="E40" s="6">
        <f>IFERROR(__xludf.DUMMYFUNCTION("""COMPUTED_VALUE"""),6207.6)</f>
        <v>6207.6</v>
      </c>
      <c r="F40" s="6">
        <f>IFERROR(__xludf.DUMMYFUNCTION("""COMPUTED_VALUE"""),1904766.0)</f>
        <v>1904766</v>
      </c>
    </row>
    <row r="41">
      <c r="A41" s="7">
        <f>IFERROR(__xludf.DUMMYFUNCTION("""COMPUTED_VALUE"""),45464.64583333333)</f>
        <v>45464.64583</v>
      </c>
      <c r="B41" s="6">
        <f>IFERROR(__xludf.DUMMYFUNCTION("""COMPUTED_VALUE"""),6225.0)</f>
        <v>6225</v>
      </c>
      <c r="C41" s="6">
        <f>IFERROR(__xludf.DUMMYFUNCTION("""COMPUTED_VALUE"""),6269.0)</f>
        <v>6269</v>
      </c>
      <c r="D41" s="6">
        <f>IFERROR(__xludf.DUMMYFUNCTION("""COMPUTED_VALUE"""),6115.75)</f>
        <v>6115.75</v>
      </c>
      <c r="E41" s="6">
        <f>IFERROR(__xludf.DUMMYFUNCTION("""COMPUTED_VALUE"""),6170.0)</f>
        <v>6170</v>
      </c>
      <c r="F41" s="6">
        <f>IFERROR(__xludf.DUMMYFUNCTION("""COMPUTED_VALUE"""),1357028.0)</f>
        <v>1357028</v>
      </c>
    </row>
    <row r="42">
      <c r="A42" s="7">
        <f>IFERROR(__xludf.DUMMYFUNCTION("""COMPUTED_VALUE"""),45471.64583333333)</f>
        <v>45471.64583</v>
      </c>
      <c r="B42" s="6">
        <f>IFERROR(__xludf.DUMMYFUNCTION("""COMPUTED_VALUE"""),6170.0)</f>
        <v>6170</v>
      </c>
      <c r="C42" s="6">
        <f>IFERROR(__xludf.DUMMYFUNCTION("""COMPUTED_VALUE"""),6315.0)</f>
        <v>6315</v>
      </c>
      <c r="D42" s="6">
        <f>IFERROR(__xludf.DUMMYFUNCTION("""COMPUTED_VALUE"""),6055.0)</f>
        <v>6055</v>
      </c>
      <c r="E42" s="6">
        <f>IFERROR(__xludf.DUMMYFUNCTION("""COMPUTED_VALUE"""),6185.7)</f>
        <v>6185.7</v>
      </c>
      <c r="F42" s="6">
        <f>IFERROR(__xludf.DUMMYFUNCTION("""COMPUTED_VALUE"""),2020081.0)</f>
        <v>2020081</v>
      </c>
    </row>
    <row r="43">
      <c r="A43" s="7">
        <f>IFERROR(__xludf.DUMMYFUNCTION("""COMPUTED_VALUE"""),45478.64583333333)</f>
        <v>45478.64583</v>
      </c>
      <c r="B43" s="6">
        <f>IFERROR(__xludf.DUMMYFUNCTION("""COMPUTED_VALUE"""),6180.0)</f>
        <v>6180</v>
      </c>
      <c r="C43" s="6">
        <f>IFERROR(__xludf.DUMMYFUNCTION("""COMPUTED_VALUE"""),6342.85)</f>
        <v>6342.85</v>
      </c>
      <c r="D43" s="6">
        <f>IFERROR(__xludf.DUMMYFUNCTION("""COMPUTED_VALUE"""),6077.0)</f>
        <v>6077</v>
      </c>
      <c r="E43" s="6">
        <f>IFERROR(__xludf.DUMMYFUNCTION("""COMPUTED_VALUE"""),6328.55)</f>
        <v>6328.55</v>
      </c>
      <c r="F43" s="6">
        <f>IFERROR(__xludf.DUMMYFUNCTION("""COMPUTED_VALUE"""),1571523.0)</f>
        <v>1571523</v>
      </c>
    </row>
    <row r="44">
      <c r="A44" s="7">
        <f>IFERROR(__xludf.DUMMYFUNCTION("""COMPUTED_VALUE"""),45485.64583333333)</f>
        <v>45485.64583</v>
      </c>
      <c r="B44" s="6">
        <f>IFERROR(__xludf.DUMMYFUNCTION("""COMPUTED_VALUE"""),6380.0)</f>
        <v>6380</v>
      </c>
      <c r="C44" s="6">
        <f>IFERROR(__xludf.DUMMYFUNCTION("""COMPUTED_VALUE"""),6419.95)</f>
        <v>6419.95</v>
      </c>
      <c r="D44" s="6">
        <f>IFERROR(__xludf.DUMMYFUNCTION("""COMPUTED_VALUE"""),6255.9)</f>
        <v>6255.9</v>
      </c>
      <c r="E44" s="6">
        <f>IFERROR(__xludf.DUMMYFUNCTION("""COMPUTED_VALUE"""),6353.9)</f>
        <v>6353.9</v>
      </c>
      <c r="F44" s="6">
        <f>IFERROR(__xludf.DUMMYFUNCTION("""COMPUTED_VALUE"""),1355665.0)</f>
        <v>1355665</v>
      </c>
    </row>
    <row r="45">
      <c r="A45" s="7">
        <f>IFERROR(__xludf.DUMMYFUNCTION("""COMPUTED_VALUE"""),45492.64583333333)</f>
        <v>45492.64583</v>
      </c>
      <c r="B45" s="6">
        <f>IFERROR(__xludf.DUMMYFUNCTION("""COMPUTED_VALUE"""),6340.5)</f>
        <v>6340.5</v>
      </c>
      <c r="C45" s="6">
        <f>IFERROR(__xludf.DUMMYFUNCTION("""COMPUTED_VALUE"""),6539.7)</f>
        <v>6539.7</v>
      </c>
      <c r="D45" s="6">
        <f>IFERROR(__xludf.DUMMYFUNCTION("""COMPUTED_VALUE"""),6340.5)</f>
        <v>6340.5</v>
      </c>
      <c r="E45" s="6">
        <f>IFERROR(__xludf.DUMMYFUNCTION("""COMPUTED_VALUE"""),6381.95)</f>
        <v>6381.95</v>
      </c>
      <c r="F45" s="6">
        <f>IFERROR(__xludf.DUMMYFUNCTION("""COMPUTED_VALUE"""),1469826.0)</f>
        <v>1469826</v>
      </c>
    </row>
    <row r="46">
      <c r="A46" s="7">
        <f>IFERROR(__xludf.DUMMYFUNCTION("""COMPUTED_VALUE"""),45499.64583333333)</f>
        <v>45499.64583</v>
      </c>
      <c r="B46" s="6">
        <f>IFERROR(__xludf.DUMMYFUNCTION("""COMPUTED_VALUE"""),6381.95)</f>
        <v>6381.95</v>
      </c>
      <c r="C46" s="6">
        <f>IFERROR(__xludf.DUMMYFUNCTION("""COMPUTED_VALUE"""),6679.95)</f>
        <v>6679.95</v>
      </c>
      <c r="D46" s="6">
        <f>IFERROR(__xludf.DUMMYFUNCTION("""COMPUTED_VALUE"""),6324.8)</f>
        <v>6324.8</v>
      </c>
      <c r="E46" s="6">
        <f>IFERROR(__xludf.DUMMYFUNCTION("""COMPUTED_VALUE"""),6664.55)</f>
        <v>6664.55</v>
      </c>
      <c r="F46" s="6">
        <f>IFERROR(__xludf.DUMMYFUNCTION("""COMPUTED_VALUE"""),1661602.0)</f>
        <v>1661602</v>
      </c>
    </row>
    <row r="47">
      <c r="A47" s="7">
        <f>IFERROR(__xludf.DUMMYFUNCTION("""COMPUTED_VALUE"""),45506.64583333333)</f>
        <v>45506.64583</v>
      </c>
      <c r="B47" s="6">
        <f>IFERROR(__xludf.DUMMYFUNCTION("""COMPUTED_VALUE"""),6777.0)</f>
        <v>6777</v>
      </c>
      <c r="C47" s="6">
        <f>IFERROR(__xludf.DUMMYFUNCTION("""COMPUTED_VALUE"""),6795.85)</f>
        <v>6795.85</v>
      </c>
      <c r="D47" s="6">
        <f>IFERROR(__xludf.DUMMYFUNCTION("""COMPUTED_VALUE"""),6584.1)</f>
        <v>6584.1</v>
      </c>
      <c r="E47" s="6">
        <f>IFERROR(__xludf.DUMMYFUNCTION("""COMPUTED_VALUE"""),6710.15)</f>
        <v>6710.15</v>
      </c>
      <c r="F47" s="6">
        <f>IFERROR(__xludf.DUMMYFUNCTION("""COMPUTED_VALUE"""),1934199.0)</f>
        <v>1934199</v>
      </c>
    </row>
    <row r="48">
      <c r="A48" s="7">
        <f>IFERROR(__xludf.DUMMYFUNCTION("""COMPUTED_VALUE"""),45513.64583333333)</f>
        <v>45513.64583</v>
      </c>
      <c r="B48" s="6">
        <f>IFERROR(__xludf.DUMMYFUNCTION("""COMPUTED_VALUE"""),6689.0)</f>
        <v>6689</v>
      </c>
      <c r="C48" s="6">
        <f>IFERROR(__xludf.DUMMYFUNCTION("""COMPUTED_VALUE"""),6768.0)</f>
        <v>6768</v>
      </c>
      <c r="D48" s="6">
        <f>IFERROR(__xludf.DUMMYFUNCTION("""COMPUTED_VALUE"""),6500.0)</f>
        <v>6500</v>
      </c>
      <c r="E48" s="6">
        <f>IFERROR(__xludf.DUMMYFUNCTION("""COMPUTED_VALUE"""),6587.85)</f>
        <v>6587.85</v>
      </c>
      <c r="F48" s="6">
        <f>IFERROR(__xludf.DUMMYFUNCTION("""COMPUTED_VALUE"""),2226117.0)</f>
        <v>2226117</v>
      </c>
    </row>
    <row r="49">
      <c r="A49" s="7">
        <f>IFERROR(__xludf.DUMMYFUNCTION("""COMPUTED_VALUE"""),45520.64583333333)</f>
        <v>45520.64583</v>
      </c>
      <c r="B49" s="6">
        <f>IFERROR(__xludf.DUMMYFUNCTION("""COMPUTED_VALUE"""),6550.0)</f>
        <v>6550</v>
      </c>
      <c r="C49" s="6">
        <f>IFERROR(__xludf.DUMMYFUNCTION("""COMPUTED_VALUE"""),6865.0)</f>
        <v>6865</v>
      </c>
      <c r="D49" s="6">
        <f>IFERROR(__xludf.DUMMYFUNCTION("""COMPUTED_VALUE"""),6420.95)</f>
        <v>6420.95</v>
      </c>
      <c r="E49" s="6">
        <f>IFERROR(__xludf.DUMMYFUNCTION("""COMPUTED_VALUE"""),6686.9)</f>
        <v>6686.9</v>
      </c>
      <c r="F49" s="6">
        <f>IFERROR(__xludf.DUMMYFUNCTION("""COMPUTED_VALUE"""),2964678.0)</f>
        <v>2964678</v>
      </c>
    </row>
    <row r="50">
      <c r="A50" s="7">
        <f>IFERROR(__xludf.DUMMYFUNCTION("""COMPUTED_VALUE"""),45527.64583333333)</f>
        <v>45527.64583</v>
      </c>
      <c r="B50" s="6">
        <f>IFERROR(__xludf.DUMMYFUNCTION("""COMPUTED_VALUE"""),6750.0)</f>
        <v>6750</v>
      </c>
      <c r="C50" s="6">
        <f>IFERROR(__xludf.DUMMYFUNCTION("""COMPUTED_VALUE"""),6927.4)</f>
        <v>6927.4</v>
      </c>
      <c r="D50" s="6">
        <f>IFERROR(__xludf.DUMMYFUNCTION("""COMPUTED_VALUE"""),6565.05)</f>
        <v>6565.05</v>
      </c>
      <c r="E50" s="6">
        <f>IFERROR(__xludf.DUMMYFUNCTION("""COMPUTED_VALUE"""),6860.7)</f>
        <v>6860.7</v>
      </c>
      <c r="F50" s="6">
        <f>IFERROR(__xludf.DUMMYFUNCTION("""COMPUTED_VALUE"""),1649010.0)</f>
        <v>1649010</v>
      </c>
    </row>
    <row r="51">
      <c r="A51" s="7">
        <f>IFERROR(__xludf.DUMMYFUNCTION("""COMPUTED_VALUE"""),45534.64583333333)</f>
        <v>45534.64583</v>
      </c>
      <c r="B51" s="6">
        <f>IFERROR(__xludf.DUMMYFUNCTION("""COMPUTED_VALUE"""),6830.0)</f>
        <v>6830</v>
      </c>
      <c r="C51" s="6">
        <f>IFERROR(__xludf.DUMMYFUNCTION("""COMPUTED_VALUE"""),6990.0)</f>
        <v>6990</v>
      </c>
      <c r="D51" s="6">
        <f>IFERROR(__xludf.DUMMYFUNCTION("""COMPUTED_VALUE"""),6608.8)</f>
        <v>6608.8</v>
      </c>
      <c r="E51" s="6">
        <f>IFERROR(__xludf.DUMMYFUNCTION("""COMPUTED_VALUE"""),6927.5)</f>
        <v>6927.5</v>
      </c>
      <c r="F51" s="6">
        <f>IFERROR(__xludf.DUMMYFUNCTION("""COMPUTED_VALUE"""),2092215.0)</f>
        <v>2092215</v>
      </c>
    </row>
    <row r="52">
      <c r="A52" s="7">
        <f>IFERROR(__xludf.DUMMYFUNCTION("""COMPUTED_VALUE"""),45541.64583333333)</f>
        <v>45541.64583</v>
      </c>
      <c r="B52" s="6">
        <f>IFERROR(__xludf.DUMMYFUNCTION("""COMPUTED_VALUE"""),6989.0)</f>
        <v>6989</v>
      </c>
      <c r="C52" s="6">
        <f>IFERROR(__xludf.DUMMYFUNCTION("""COMPUTED_VALUE"""),7044.0)</f>
        <v>7044</v>
      </c>
      <c r="D52" s="6">
        <f>IFERROR(__xludf.DUMMYFUNCTION("""COMPUTED_VALUE"""),6790.05)</f>
        <v>6790.05</v>
      </c>
      <c r="E52" s="6">
        <f>IFERROR(__xludf.DUMMYFUNCTION("""COMPUTED_VALUE"""),6906.8)</f>
        <v>6906.8</v>
      </c>
      <c r="F52" s="6">
        <f>IFERROR(__xludf.DUMMYFUNCTION("""COMPUTED_VALUE"""),1572837.0)</f>
        <v>1572837</v>
      </c>
    </row>
    <row r="53">
      <c r="A53" s="7">
        <f>IFERROR(__xludf.DUMMYFUNCTION("""COMPUTED_VALUE"""),45548.64583333333)</f>
        <v>45548.64583</v>
      </c>
      <c r="B53" s="6">
        <f>IFERROR(__xludf.DUMMYFUNCTION("""COMPUTED_VALUE"""),6906.8)</f>
        <v>6906.8</v>
      </c>
      <c r="C53" s="6">
        <f>IFERROR(__xludf.DUMMYFUNCTION("""COMPUTED_VALUE"""),7099.95)</f>
        <v>7099.95</v>
      </c>
      <c r="D53" s="6">
        <f>IFERROR(__xludf.DUMMYFUNCTION("""COMPUTED_VALUE"""),6820.45)</f>
        <v>6820.45</v>
      </c>
      <c r="E53" s="6">
        <f>IFERROR(__xludf.DUMMYFUNCTION("""COMPUTED_VALUE"""),7019.15)</f>
        <v>7019.15</v>
      </c>
      <c r="F53" s="6">
        <f>IFERROR(__xludf.DUMMYFUNCTION("""COMPUTED_VALUE"""),1951145.0)</f>
        <v>1951145</v>
      </c>
    </row>
    <row r="54">
      <c r="A54" s="7">
        <f>IFERROR(__xludf.DUMMYFUNCTION("""COMPUTED_VALUE"""),45555.64583333333)</f>
        <v>45555.64583</v>
      </c>
      <c r="B54" s="6">
        <f>IFERROR(__xludf.DUMMYFUNCTION("""COMPUTED_VALUE"""),7025.0)</f>
        <v>7025</v>
      </c>
      <c r="C54" s="6">
        <f>IFERROR(__xludf.DUMMYFUNCTION("""COMPUTED_VALUE"""),7152.45)</f>
        <v>7152.45</v>
      </c>
      <c r="D54" s="6">
        <f>IFERROR(__xludf.DUMMYFUNCTION("""COMPUTED_VALUE"""),6960.75)</f>
        <v>6960.75</v>
      </c>
      <c r="E54" s="6">
        <f>IFERROR(__xludf.DUMMYFUNCTION("""COMPUTED_VALUE"""),7082.65)</f>
        <v>7082.65</v>
      </c>
      <c r="F54" s="6">
        <f>IFERROR(__xludf.DUMMYFUNCTION("""COMPUTED_VALUE"""),1644934.0)</f>
        <v>1644934</v>
      </c>
    </row>
    <row r="55">
      <c r="A55" s="7">
        <f>IFERROR(__xludf.DUMMYFUNCTION("""COMPUTED_VALUE"""),45562.64583333333)</f>
        <v>45562.64583</v>
      </c>
      <c r="B55" s="6">
        <f>IFERROR(__xludf.DUMMYFUNCTION("""COMPUTED_VALUE"""),7090.4)</f>
        <v>7090.4</v>
      </c>
      <c r="C55" s="6">
        <f>IFERROR(__xludf.DUMMYFUNCTION("""COMPUTED_VALUE"""),7279.9)</f>
        <v>7279.9</v>
      </c>
      <c r="D55" s="6">
        <f>IFERROR(__xludf.DUMMYFUNCTION("""COMPUTED_VALUE"""),7074.15)</f>
        <v>7074.15</v>
      </c>
      <c r="E55" s="6">
        <f>IFERROR(__xludf.DUMMYFUNCTION("""COMPUTED_VALUE"""),7234.0)</f>
        <v>7234</v>
      </c>
      <c r="F55" s="6">
        <f>IFERROR(__xludf.DUMMYFUNCTION("""COMPUTED_VALUE"""),2002704.0)</f>
        <v>2002704</v>
      </c>
    </row>
    <row r="56">
      <c r="A56" s="7">
        <f>IFERROR(__xludf.DUMMYFUNCTION("""COMPUTED_VALUE"""),45569.64583333333)</f>
        <v>45569.64583</v>
      </c>
      <c r="B56" s="6">
        <f>IFERROR(__xludf.DUMMYFUNCTION("""COMPUTED_VALUE"""),7160.5)</f>
        <v>7160.5</v>
      </c>
      <c r="C56" s="6">
        <f>IFERROR(__xludf.DUMMYFUNCTION("""COMPUTED_VALUE"""),7316.95)</f>
        <v>7316.95</v>
      </c>
      <c r="D56" s="6">
        <f>IFERROR(__xludf.DUMMYFUNCTION("""COMPUTED_VALUE"""),6727.35)</f>
        <v>6727.35</v>
      </c>
      <c r="E56" s="6">
        <f>IFERROR(__xludf.DUMMYFUNCTION("""COMPUTED_VALUE"""),6773.6)</f>
        <v>6773.6</v>
      </c>
      <c r="F56" s="6">
        <f>IFERROR(__xludf.DUMMYFUNCTION("""COMPUTED_VALUE"""),1838205.0)</f>
        <v>1838205</v>
      </c>
    </row>
    <row r="57">
      <c r="A57" s="7">
        <f>IFERROR(__xludf.DUMMYFUNCTION("""COMPUTED_VALUE"""),45576.64583333333)</f>
        <v>45576.64583</v>
      </c>
      <c r="B57" s="6">
        <f>IFERROR(__xludf.DUMMYFUNCTION("""COMPUTED_VALUE"""),6801.0)</f>
        <v>6801</v>
      </c>
      <c r="C57" s="6">
        <f>IFERROR(__xludf.DUMMYFUNCTION("""COMPUTED_VALUE"""),7070.0)</f>
        <v>7070</v>
      </c>
      <c r="D57" s="6">
        <f>IFERROR(__xludf.DUMMYFUNCTION("""COMPUTED_VALUE"""),6743.15)</f>
        <v>6743.15</v>
      </c>
      <c r="E57" s="6">
        <f>IFERROR(__xludf.DUMMYFUNCTION("""COMPUTED_VALUE"""),6983.4)</f>
        <v>6983.4</v>
      </c>
      <c r="F57" s="6">
        <f>IFERROR(__xludf.DUMMYFUNCTION("""COMPUTED_VALUE"""),1311693.0)</f>
        <v>1311693</v>
      </c>
    </row>
    <row r="58">
      <c r="A58" s="7">
        <f>IFERROR(__xludf.DUMMYFUNCTION("""COMPUTED_VALUE"""),45583.64583333333)</f>
        <v>45583.64583</v>
      </c>
      <c r="B58" s="6">
        <f>IFERROR(__xludf.DUMMYFUNCTION("""COMPUTED_VALUE"""),6976.85)</f>
        <v>6976.85</v>
      </c>
      <c r="C58" s="6">
        <f>IFERROR(__xludf.DUMMYFUNCTION("""COMPUTED_VALUE"""),7150.35)</f>
        <v>7150.35</v>
      </c>
      <c r="D58" s="6">
        <f>IFERROR(__xludf.DUMMYFUNCTION("""COMPUTED_VALUE"""),6950.0)</f>
        <v>6950</v>
      </c>
      <c r="E58" s="6">
        <f>IFERROR(__xludf.DUMMYFUNCTION("""COMPUTED_VALUE"""),6982.9)</f>
        <v>6982.9</v>
      </c>
      <c r="F58" s="6">
        <f>IFERROR(__xludf.DUMMYFUNCTION("""COMPUTED_VALUE"""),1134816.0)</f>
        <v>1134816</v>
      </c>
    </row>
    <row r="59">
      <c r="A59" s="7">
        <f>IFERROR(__xludf.DUMMYFUNCTION("""COMPUTED_VALUE"""),45590.64583333333)</f>
        <v>45590.64583</v>
      </c>
      <c r="B59" s="6">
        <f>IFERROR(__xludf.DUMMYFUNCTION("""COMPUTED_VALUE"""),6972.25)</f>
        <v>6972.25</v>
      </c>
      <c r="C59" s="6">
        <f>IFERROR(__xludf.DUMMYFUNCTION("""COMPUTED_VALUE"""),7037.25)</f>
        <v>7037.25</v>
      </c>
      <c r="D59" s="6">
        <f>IFERROR(__xludf.DUMMYFUNCTION("""COMPUTED_VALUE"""),6854.75)</f>
        <v>6854.75</v>
      </c>
      <c r="E59" s="6">
        <f>IFERROR(__xludf.DUMMYFUNCTION("""COMPUTED_VALUE"""),6944.85)</f>
        <v>6944.85</v>
      </c>
      <c r="F59" s="6">
        <f>IFERROR(__xludf.DUMMYFUNCTION("""COMPUTED_VALUE"""),766979.0)</f>
        <v>766979</v>
      </c>
    </row>
    <row r="60">
      <c r="A60" s="7">
        <f>IFERROR(__xludf.DUMMYFUNCTION("""COMPUTED_VALUE"""),45604.64583333333)</f>
        <v>45604.64583</v>
      </c>
      <c r="B60" s="6">
        <f>IFERROR(__xludf.DUMMYFUNCTION("""COMPUTED_VALUE"""),7090.0)</f>
        <v>7090</v>
      </c>
      <c r="C60" s="6">
        <f>IFERROR(__xludf.DUMMYFUNCTION("""COMPUTED_VALUE"""),7545.0)</f>
        <v>7545</v>
      </c>
      <c r="D60" s="6">
        <f>IFERROR(__xludf.DUMMYFUNCTION("""COMPUTED_VALUE"""),6814.25)</f>
        <v>6814.25</v>
      </c>
      <c r="E60" s="6">
        <f>IFERROR(__xludf.DUMMYFUNCTION("""COMPUTED_VALUE"""),7421.4)</f>
        <v>7421.4</v>
      </c>
      <c r="F60" s="6">
        <f>IFERROR(__xludf.DUMMYFUNCTION("""COMPUTED_VALUE"""),4514544.0)</f>
        <v>4514544</v>
      </c>
    </row>
    <row r="61">
      <c r="A61" s="7">
        <f>IFERROR(__xludf.DUMMYFUNCTION("""COMPUTED_VALUE"""),45610.64583333333)</f>
        <v>45610.64583</v>
      </c>
      <c r="B61" s="6">
        <f>IFERROR(__xludf.DUMMYFUNCTION("""COMPUTED_VALUE"""),7400.0)</f>
        <v>7400</v>
      </c>
      <c r="C61" s="6">
        <f>IFERROR(__xludf.DUMMYFUNCTION("""COMPUTED_VALUE"""),7454.15)</f>
        <v>7454.15</v>
      </c>
      <c r="D61" s="6">
        <f>IFERROR(__xludf.DUMMYFUNCTION("""COMPUTED_VALUE"""),6827.05)</f>
        <v>6827.05</v>
      </c>
      <c r="E61" s="6">
        <f>IFERROR(__xludf.DUMMYFUNCTION("""COMPUTED_VALUE"""),6860.65)</f>
        <v>6860.65</v>
      </c>
      <c r="F61" s="6">
        <f>IFERROR(__xludf.DUMMYFUNCTION("""COMPUTED_VALUE"""),1312226.0)</f>
        <v>1312226</v>
      </c>
    </row>
    <row r="62">
      <c r="A62" s="7">
        <f>IFERROR(__xludf.DUMMYFUNCTION("""COMPUTED_VALUE"""),45618.64583333333)</f>
        <v>45618.64583</v>
      </c>
      <c r="B62" s="6">
        <f>IFERROR(__xludf.DUMMYFUNCTION("""COMPUTED_VALUE"""),6874.45)</f>
        <v>6874.45</v>
      </c>
      <c r="C62" s="6">
        <f>IFERROR(__xludf.DUMMYFUNCTION("""COMPUTED_VALUE"""),6950.3)</f>
        <v>6950.3</v>
      </c>
      <c r="D62" s="6">
        <f>IFERROR(__xludf.DUMMYFUNCTION("""COMPUTED_VALUE"""),6594.15)</f>
        <v>6594.15</v>
      </c>
      <c r="E62" s="6">
        <f>IFERROR(__xludf.DUMMYFUNCTION("""COMPUTED_VALUE"""),6935.1)</f>
        <v>6935.1</v>
      </c>
      <c r="F62" s="6">
        <f>IFERROR(__xludf.DUMMYFUNCTION("""COMPUTED_VALUE"""),1315931.0)</f>
        <v>1315931</v>
      </c>
    </row>
    <row r="63">
      <c r="A63" s="7">
        <f>IFERROR(__xludf.DUMMYFUNCTION("""COMPUTED_VALUE"""),45625.64583333333)</f>
        <v>45625.64583</v>
      </c>
      <c r="B63" s="6">
        <f>IFERROR(__xludf.DUMMYFUNCTION("""COMPUTED_VALUE"""),6980.0)</f>
        <v>6980</v>
      </c>
      <c r="C63" s="6">
        <f>IFERROR(__xludf.DUMMYFUNCTION("""COMPUTED_VALUE"""),7147.0)</f>
        <v>7147</v>
      </c>
      <c r="D63" s="6">
        <f>IFERROR(__xludf.DUMMYFUNCTION("""COMPUTED_VALUE"""),6812.0)</f>
        <v>6812</v>
      </c>
      <c r="E63" s="6">
        <f>IFERROR(__xludf.DUMMYFUNCTION("""COMPUTED_VALUE"""),6828.9)</f>
        <v>6828.9</v>
      </c>
      <c r="F63" s="6">
        <f>IFERROR(__xludf.DUMMYFUNCTION("""COMPUTED_VALUE"""),1868745.0)</f>
        <v>1868745</v>
      </c>
    </row>
    <row r="64">
      <c r="A64" s="7">
        <f>IFERROR(__xludf.DUMMYFUNCTION("""COMPUTED_VALUE"""),45632.64583333333)</f>
        <v>45632.64583</v>
      </c>
      <c r="B64" s="6">
        <f>IFERROR(__xludf.DUMMYFUNCTION("""COMPUTED_VALUE"""),6858.0)</f>
        <v>6858</v>
      </c>
      <c r="C64" s="6">
        <f>IFERROR(__xludf.DUMMYFUNCTION("""COMPUTED_VALUE"""),7334.95)</f>
        <v>7334.95</v>
      </c>
      <c r="D64" s="6">
        <f>IFERROR(__xludf.DUMMYFUNCTION("""COMPUTED_VALUE"""),6821.1)</f>
        <v>6821.1</v>
      </c>
      <c r="E64" s="6">
        <f>IFERROR(__xludf.DUMMYFUNCTION("""COMPUTED_VALUE"""),7233.3)</f>
        <v>7233.3</v>
      </c>
      <c r="F64" s="6">
        <f>IFERROR(__xludf.DUMMYFUNCTION("""COMPUTED_VALUE"""),2235490.0)</f>
        <v>2235490</v>
      </c>
    </row>
    <row r="65">
      <c r="A65" s="7">
        <f>IFERROR(__xludf.DUMMYFUNCTION("""COMPUTED_VALUE"""),45639.64583333333)</f>
        <v>45639.64583</v>
      </c>
      <c r="B65" s="6">
        <f>IFERROR(__xludf.DUMMYFUNCTION("""COMPUTED_VALUE"""),7162.75)</f>
        <v>7162.75</v>
      </c>
      <c r="C65" s="6">
        <f>IFERROR(__xludf.DUMMYFUNCTION("""COMPUTED_VALUE"""),7364.0)</f>
        <v>7364</v>
      </c>
      <c r="D65" s="6">
        <f>IFERROR(__xludf.DUMMYFUNCTION("""COMPUTED_VALUE"""),7162.75)</f>
        <v>7162.75</v>
      </c>
      <c r="E65" s="6">
        <f>IFERROR(__xludf.DUMMYFUNCTION("""COMPUTED_VALUE"""),7259.45)</f>
        <v>7259.45</v>
      </c>
      <c r="F65" s="6">
        <f>IFERROR(__xludf.DUMMYFUNCTION("""COMPUTED_VALUE"""),1639907.0)</f>
        <v>1639907</v>
      </c>
    </row>
    <row r="66">
      <c r="A66" s="7">
        <f>IFERROR(__xludf.DUMMYFUNCTION("""COMPUTED_VALUE"""),45646.64583333333)</f>
        <v>45646.64583</v>
      </c>
      <c r="B66" s="6">
        <f>IFERROR(__xludf.DUMMYFUNCTION("""COMPUTED_VALUE"""),7251.65)</f>
        <v>7251.65</v>
      </c>
      <c r="C66" s="6">
        <f>IFERROR(__xludf.DUMMYFUNCTION("""COMPUTED_VALUE"""),7389.9)</f>
        <v>7389.9</v>
      </c>
      <c r="D66" s="6">
        <f>IFERROR(__xludf.DUMMYFUNCTION("""COMPUTED_VALUE"""),7137.4)</f>
        <v>7137.4</v>
      </c>
      <c r="E66" s="6">
        <f>IFERROR(__xludf.DUMMYFUNCTION("""COMPUTED_VALUE"""),7251.7)</f>
        <v>7251.7</v>
      </c>
      <c r="F66" s="6">
        <f>IFERROR(__xludf.DUMMYFUNCTION("""COMPUTED_VALUE"""),1353129.0)</f>
        <v>1353129</v>
      </c>
    </row>
    <row r="67">
      <c r="A67" s="7">
        <f>IFERROR(__xludf.DUMMYFUNCTION("""COMPUTED_VALUE"""),45653.64583333333)</f>
        <v>45653.64583</v>
      </c>
      <c r="B67" s="6">
        <f>IFERROR(__xludf.DUMMYFUNCTION("""COMPUTED_VALUE"""),7251.1)</f>
        <v>7251.1</v>
      </c>
      <c r="C67" s="6">
        <f>IFERROR(__xludf.DUMMYFUNCTION("""COMPUTED_VALUE"""),7329.9)</f>
        <v>7329.9</v>
      </c>
      <c r="D67" s="6">
        <f>IFERROR(__xludf.DUMMYFUNCTION("""COMPUTED_VALUE"""),7155.0)</f>
        <v>7155</v>
      </c>
      <c r="E67" s="6">
        <f>IFERROR(__xludf.DUMMYFUNCTION("""COMPUTED_VALUE"""),7246.3)</f>
        <v>7246.3</v>
      </c>
      <c r="F67" s="6">
        <f>IFERROR(__xludf.DUMMYFUNCTION("""COMPUTED_VALUE"""),631404.0)</f>
        <v>631404</v>
      </c>
    </row>
    <row r="68">
      <c r="A68" s="7">
        <f>IFERROR(__xludf.DUMMYFUNCTION("""COMPUTED_VALUE"""),45660.64583333333)</f>
        <v>45660.64583</v>
      </c>
      <c r="B68" s="6">
        <f>IFERROR(__xludf.DUMMYFUNCTION("""COMPUTED_VALUE"""),7240.0)</f>
        <v>7240</v>
      </c>
      <c r="C68" s="6">
        <f>IFERROR(__xludf.DUMMYFUNCTION("""COMPUTED_VALUE"""),7445.0)</f>
        <v>7445</v>
      </c>
      <c r="D68" s="6">
        <f>IFERROR(__xludf.DUMMYFUNCTION("""COMPUTED_VALUE"""),7220.05)</f>
        <v>7220.05</v>
      </c>
      <c r="E68" s="6">
        <f>IFERROR(__xludf.DUMMYFUNCTION("""COMPUTED_VALUE"""),7298.35)</f>
        <v>7298.35</v>
      </c>
      <c r="F68" s="6">
        <f>IFERROR(__xludf.DUMMYFUNCTION("""COMPUTED_VALUE"""),1429137.0)</f>
        <v>1429137</v>
      </c>
    </row>
    <row r="69">
      <c r="A69" s="7">
        <f>IFERROR(__xludf.DUMMYFUNCTION("""COMPUTED_VALUE"""),45667.64583333333)</f>
        <v>45667.64583</v>
      </c>
      <c r="B69" s="6">
        <f>IFERROR(__xludf.DUMMYFUNCTION("""COMPUTED_VALUE"""),7298.35)</f>
        <v>7298.35</v>
      </c>
      <c r="C69" s="6">
        <f>IFERROR(__xludf.DUMMYFUNCTION("""COMPUTED_VALUE"""),7545.35)</f>
        <v>7545.35</v>
      </c>
      <c r="D69" s="6">
        <f>IFERROR(__xludf.DUMMYFUNCTION("""COMPUTED_VALUE"""),6991.1)</f>
        <v>6991.1</v>
      </c>
      <c r="E69" s="6">
        <f>IFERROR(__xludf.DUMMYFUNCTION("""COMPUTED_VALUE"""),7036.75)</f>
        <v>7036.75</v>
      </c>
      <c r="F69" s="6">
        <f>IFERROR(__xludf.DUMMYFUNCTION("""COMPUTED_VALUE"""),1866703.0)</f>
        <v>1866703</v>
      </c>
    </row>
    <row r="70">
      <c r="A70" s="7">
        <f>IFERROR(__xludf.DUMMYFUNCTION("""COMPUTED_VALUE"""),45674.64583333333)</f>
        <v>45674.64583</v>
      </c>
      <c r="B70" s="6">
        <f>IFERROR(__xludf.DUMMYFUNCTION("""COMPUTED_VALUE"""),7000.0)</f>
        <v>7000</v>
      </c>
      <c r="C70" s="6">
        <f>IFERROR(__xludf.DUMMYFUNCTION("""COMPUTED_VALUE"""),7000.0)</f>
        <v>7000</v>
      </c>
      <c r="D70" s="6">
        <f>IFERROR(__xludf.DUMMYFUNCTION("""COMPUTED_VALUE"""),6608.0)</f>
        <v>6608</v>
      </c>
      <c r="E70" s="6">
        <f>IFERROR(__xludf.DUMMYFUNCTION("""COMPUTED_VALUE"""),6828.1)</f>
        <v>6828.1</v>
      </c>
      <c r="F70" s="6">
        <f>IFERROR(__xludf.DUMMYFUNCTION("""COMPUTED_VALUE"""),2087636.0)</f>
        <v>2087636</v>
      </c>
    </row>
    <row r="71">
      <c r="A71" s="7">
        <f>IFERROR(__xludf.DUMMYFUNCTION("""COMPUTED_VALUE"""),45681.64583333333)</f>
        <v>45681.64583</v>
      </c>
      <c r="B71" s="6">
        <f>IFERROR(__xludf.DUMMYFUNCTION("""COMPUTED_VALUE"""),6901.0)</f>
        <v>6901</v>
      </c>
      <c r="C71" s="6">
        <f>IFERROR(__xludf.DUMMYFUNCTION("""COMPUTED_VALUE"""),7014.95)</f>
        <v>7014.95</v>
      </c>
      <c r="D71" s="6">
        <f>IFERROR(__xludf.DUMMYFUNCTION("""COMPUTED_VALUE"""),6728.45)</f>
        <v>6728.45</v>
      </c>
      <c r="E71" s="6">
        <f>IFERROR(__xludf.DUMMYFUNCTION("""COMPUTED_VALUE"""),6745.05)</f>
        <v>6745.05</v>
      </c>
      <c r="F71" s="6">
        <f>IFERROR(__xludf.DUMMYFUNCTION("""COMPUTED_VALUE"""),1755616.0)</f>
        <v>1755616</v>
      </c>
    </row>
    <row r="72">
      <c r="A72" s="7">
        <f>IFERROR(__xludf.DUMMYFUNCTION("""COMPUTED_VALUE"""),45695.64583333333)</f>
        <v>45695.64583</v>
      </c>
      <c r="B72" s="6">
        <f>IFERROR(__xludf.DUMMYFUNCTION("""COMPUTED_VALUE"""),6781.6)</f>
        <v>6781.6</v>
      </c>
      <c r="C72" s="6">
        <f>IFERROR(__xludf.DUMMYFUNCTION("""COMPUTED_VALUE"""),7008.0)</f>
        <v>7008</v>
      </c>
      <c r="D72" s="6">
        <f>IFERROR(__xludf.DUMMYFUNCTION("""COMPUTED_VALUE"""),6706.3)</f>
        <v>6706.3</v>
      </c>
      <c r="E72" s="6">
        <f>IFERROR(__xludf.DUMMYFUNCTION("""COMPUTED_VALUE"""),6790.55)</f>
        <v>6790.55</v>
      </c>
      <c r="F72" s="6">
        <f>IFERROR(__xludf.DUMMYFUNCTION("""COMPUTED_VALUE"""),1457402.0)</f>
        <v>1457402</v>
      </c>
    </row>
    <row r="73">
      <c r="A73" s="7">
        <f>IFERROR(__xludf.DUMMYFUNCTION("""COMPUTED_VALUE"""),45702.64583333333)</f>
        <v>45702.64583</v>
      </c>
      <c r="B73" s="6">
        <f>IFERROR(__xludf.DUMMYFUNCTION("""COMPUTED_VALUE"""),6817.2)</f>
        <v>6817.2</v>
      </c>
      <c r="C73" s="6">
        <f>IFERROR(__xludf.DUMMYFUNCTION("""COMPUTED_VALUE"""),6834.35)</f>
        <v>6834.35</v>
      </c>
      <c r="D73" s="6">
        <f>IFERROR(__xludf.DUMMYFUNCTION("""COMPUTED_VALUE"""),6215.0)</f>
        <v>6215</v>
      </c>
      <c r="E73" s="6">
        <f>IFERROR(__xludf.DUMMYFUNCTION("""COMPUTED_VALUE"""),6270.5)</f>
        <v>6270.5</v>
      </c>
      <c r="F73" s="6">
        <f>IFERROR(__xludf.DUMMYFUNCTION("""COMPUTED_VALUE"""),4032451.0)</f>
        <v>4032451</v>
      </c>
    </row>
    <row r="74">
      <c r="A74" s="7">
        <f>IFERROR(__xludf.DUMMYFUNCTION("""COMPUTED_VALUE"""),45709.64583333333)</f>
        <v>45709.64583</v>
      </c>
      <c r="B74" s="6">
        <f>IFERROR(__xludf.DUMMYFUNCTION("""COMPUTED_VALUE"""),6150.0)</f>
        <v>6150</v>
      </c>
      <c r="C74" s="6">
        <f>IFERROR(__xludf.DUMMYFUNCTION("""COMPUTED_VALUE"""),6469.45)</f>
        <v>6469.45</v>
      </c>
      <c r="D74" s="6">
        <f>IFERROR(__xludf.DUMMYFUNCTION("""COMPUTED_VALUE"""),6150.0)</f>
        <v>6150</v>
      </c>
      <c r="E74" s="6">
        <f>IFERROR(__xludf.DUMMYFUNCTION("""COMPUTED_VALUE"""),6317.55)</f>
        <v>6317.55</v>
      </c>
      <c r="F74" s="6">
        <f>IFERROR(__xludf.DUMMYFUNCTION("""COMPUTED_VALUE"""),1283246.0)</f>
        <v>1283246</v>
      </c>
    </row>
    <row r="75">
      <c r="A75" s="7">
        <f>IFERROR(__xludf.DUMMYFUNCTION("""COMPUTED_VALUE"""),45716.64583333333)</f>
        <v>45716.64583</v>
      </c>
      <c r="B75" s="6">
        <f>IFERROR(__xludf.DUMMYFUNCTION("""COMPUTED_VALUE"""),6275.0)</f>
        <v>6275</v>
      </c>
      <c r="C75" s="6">
        <f>IFERROR(__xludf.DUMMYFUNCTION("""COMPUTED_VALUE"""),6282.25)</f>
        <v>6282.25</v>
      </c>
      <c r="D75" s="6">
        <f>IFERROR(__xludf.DUMMYFUNCTION("""COMPUTED_VALUE"""),6001.35)</f>
        <v>6001.35</v>
      </c>
      <c r="E75" s="6">
        <f>IFERROR(__xludf.DUMMYFUNCTION("""COMPUTED_VALUE"""),6052.6)</f>
        <v>6052.6</v>
      </c>
      <c r="F75" s="6">
        <f>IFERROR(__xludf.DUMMYFUNCTION("""COMPUTED_VALUE"""),2122757.0)</f>
        <v>2122757</v>
      </c>
    </row>
    <row r="76">
      <c r="A76" s="7">
        <f>IFERROR(__xludf.DUMMYFUNCTION("""COMPUTED_VALUE"""),45723.64583333333)</f>
        <v>45723.64583</v>
      </c>
      <c r="B76" s="6">
        <f>IFERROR(__xludf.DUMMYFUNCTION("""COMPUTED_VALUE"""),6025.6)</f>
        <v>6025.6</v>
      </c>
      <c r="C76" s="6">
        <f>IFERROR(__xludf.DUMMYFUNCTION("""COMPUTED_VALUE"""),6314.75)</f>
        <v>6314.75</v>
      </c>
      <c r="D76" s="6">
        <f>IFERROR(__xludf.DUMMYFUNCTION("""COMPUTED_VALUE"""),6001.0)</f>
        <v>6001</v>
      </c>
      <c r="E76" s="6">
        <f>IFERROR(__xludf.DUMMYFUNCTION("""COMPUTED_VALUE"""),6216.1)</f>
        <v>6216.1</v>
      </c>
      <c r="F76" s="6">
        <f>IFERROR(__xludf.DUMMYFUNCTION("""COMPUTED_VALUE"""),1748591.0)</f>
        <v>1748591</v>
      </c>
    </row>
    <row r="77">
      <c r="A77" s="7">
        <f>IFERROR(__xludf.DUMMYFUNCTION("""COMPUTED_VALUE"""),45729.64583333333)</f>
        <v>45729.64583</v>
      </c>
      <c r="B77" s="6">
        <f>IFERROR(__xludf.DUMMYFUNCTION("""COMPUTED_VALUE"""),6206.4)</f>
        <v>6206.4</v>
      </c>
      <c r="C77" s="6">
        <f>IFERROR(__xludf.DUMMYFUNCTION("""COMPUTED_VALUE"""),6212.0)</f>
        <v>6212</v>
      </c>
      <c r="D77" s="6">
        <f>IFERROR(__xludf.DUMMYFUNCTION("""COMPUTED_VALUE"""),6040.0)</f>
        <v>6040</v>
      </c>
      <c r="E77" s="6">
        <f>IFERROR(__xludf.DUMMYFUNCTION("""COMPUTED_VALUE"""),6105.65)</f>
        <v>6105.65</v>
      </c>
      <c r="F77" s="6">
        <f>IFERROR(__xludf.DUMMYFUNCTION("""COMPUTED_VALUE"""),1290520.0)</f>
        <v>1290520</v>
      </c>
    </row>
    <row r="78">
      <c r="A78" s="7">
        <f>IFERROR(__xludf.DUMMYFUNCTION("""COMPUTED_VALUE"""),45737.64583333333)</f>
        <v>45737.64583</v>
      </c>
      <c r="B78" s="6">
        <f>IFERROR(__xludf.DUMMYFUNCTION("""COMPUTED_VALUE"""),6209.9)</f>
        <v>6209.9</v>
      </c>
      <c r="C78" s="6">
        <f>IFERROR(__xludf.DUMMYFUNCTION("""COMPUTED_VALUE"""),6634.1)</f>
        <v>6634.1</v>
      </c>
      <c r="D78" s="6">
        <f>IFERROR(__xludf.DUMMYFUNCTION("""COMPUTED_VALUE"""),6162.5)</f>
        <v>6162.5</v>
      </c>
      <c r="E78" s="6">
        <f>IFERROR(__xludf.DUMMYFUNCTION("""COMPUTED_VALUE"""),6611.55)</f>
        <v>6611.55</v>
      </c>
      <c r="F78" s="6">
        <f>IFERROR(__xludf.DUMMYFUNCTION("""COMPUTED_VALUE"""),1842277.0)</f>
        <v>1842277</v>
      </c>
    </row>
    <row r="79">
      <c r="A79" s="7">
        <f>IFERROR(__xludf.DUMMYFUNCTION("""COMPUTED_VALUE"""),45744.64583333333)</f>
        <v>45744.64583</v>
      </c>
      <c r="B79" s="6">
        <f>IFERROR(__xludf.DUMMYFUNCTION("""COMPUTED_VALUE"""),6649.4)</f>
        <v>6649.4</v>
      </c>
      <c r="C79" s="6">
        <f>IFERROR(__xludf.DUMMYFUNCTION("""COMPUTED_VALUE"""),6699.95)</f>
        <v>6699.95</v>
      </c>
      <c r="D79" s="6">
        <f>IFERROR(__xludf.DUMMYFUNCTION("""COMPUTED_VALUE"""),6430.25)</f>
        <v>6430.25</v>
      </c>
      <c r="E79" s="6">
        <f>IFERROR(__xludf.DUMMYFUNCTION("""COMPUTED_VALUE"""),6616.2)</f>
        <v>6616.2</v>
      </c>
      <c r="F79" s="6">
        <f>IFERROR(__xludf.DUMMYFUNCTION("""COMPUTED_VALUE"""),2038126.0)</f>
        <v>2038126</v>
      </c>
    </row>
    <row r="80">
      <c r="A80" s="7">
        <f>IFERROR(__xludf.DUMMYFUNCTION("""COMPUTED_VALUE"""),45751.64583333333)</f>
        <v>45751.64583</v>
      </c>
      <c r="B80" s="6">
        <f>IFERROR(__xludf.DUMMYFUNCTION("""COMPUTED_VALUE"""),6599.0)</f>
        <v>6599</v>
      </c>
      <c r="C80" s="6">
        <f>IFERROR(__xludf.DUMMYFUNCTION("""COMPUTED_VALUE"""),6774.95)</f>
        <v>6774.95</v>
      </c>
      <c r="D80" s="6">
        <f>IFERROR(__xludf.DUMMYFUNCTION("""COMPUTED_VALUE"""),6545.65)</f>
        <v>6545.65</v>
      </c>
      <c r="E80" s="6">
        <f>IFERROR(__xludf.DUMMYFUNCTION("""COMPUTED_VALUE"""),6714.55)</f>
        <v>6714.55</v>
      </c>
      <c r="F80" s="6">
        <f>IFERROR(__xludf.DUMMYFUNCTION("""COMPUTED_VALUE"""),1205024.0)</f>
        <v>1205024</v>
      </c>
    </row>
    <row r="81">
      <c r="A81" s="7">
        <f>IFERROR(__xludf.DUMMYFUNCTION("""COMPUTED_VALUE"""),45758.64583333333)</f>
        <v>45758.64583</v>
      </c>
      <c r="B81" s="6">
        <f>IFERROR(__xludf.DUMMYFUNCTION("""COMPUTED_VALUE"""),6565.0)</f>
        <v>6565</v>
      </c>
      <c r="C81" s="6">
        <f>IFERROR(__xludf.DUMMYFUNCTION("""COMPUTED_VALUE"""),6870.95)</f>
        <v>6870.95</v>
      </c>
      <c r="D81" s="6">
        <f>IFERROR(__xludf.DUMMYFUNCTION("""COMPUTED_VALUE"""),6490.85)</f>
        <v>6490.85</v>
      </c>
      <c r="E81" s="6">
        <f>IFERROR(__xludf.DUMMYFUNCTION("""COMPUTED_VALUE"""),6780.95)</f>
        <v>6780.95</v>
      </c>
      <c r="F81" s="6">
        <f>IFERROR(__xludf.DUMMYFUNCTION("""COMPUTED_VALUE"""),2655101.0)</f>
        <v>2655101</v>
      </c>
    </row>
    <row r="82">
      <c r="A82" s="7">
        <f>IFERROR(__xludf.DUMMYFUNCTION("""COMPUTED_VALUE"""),45764.64583333333)</f>
        <v>45764.64583</v>
      </c>
      <c r="B82" s="6">
        <f>IFERROR(__xludf.DUMMYFUNCTION("""COMPUTED_VALUE"""),6965.0)</f>
        <v>6965</v>
      </c>
      <c r="C82" s="6">
        <f>IFERROR(__xludf.DUMMYFUNCTION("""COMPUTED_VALUE"""),7092.0)</f>
        <v>7092</v>
      </c>
      <c r="D82" s="6">
        <f>IFERROR(__xludf.DUMMYFUNCTION("""COMPUTED_VALUE"""),6835.0)</f>
        <v>6835</v>
      </c>
      <c r="E82" s="6">
        <f>IFERROR(__xludf.DUMMYFUNCTION("""COMPUTED_VALUE"""),7073.5)</f>
        <v>7073.5</v>
      </c>
      <c r="F82" s="6">
        <f>IFERROR(__xludf.DUMMYFUNCTION("""COMPUTED_VALUE"""),1933746.0)</f>
        <v>1933746</v>
      </c>
    </row>
    <row r="83">
      <c r="A83" s="7">
        <f>IFERROR(__xludf.DUMMYFUNCTION("""COMPUTED_VALUE"""),45772.64583333333)</f>
        <v>45772.64583</v>
      </c>
      <c r="B83" s="6">
        <f>IFERROR(__xludf.DUMMYFUNCTION("""COMPUTED_VALUE"""),7150.0)</f>
        <v>7150</v>
      </c>
      <c r="C83" s="6">
        <f>IFERROR(__xludf.DUMMYFUNCTION("""COMPUTED_VALUE"""),7243.0)</f>
        <v>7243</v>
      </c>
      <c r="D83" s="6">
        <f>IFERROR(__xludf.DUMMYFUNCTION("""COMPUTED_VALUE"""),6898.0)</f>
        <v>6898</v>
      </c>
      <c r="E83" s="6">
        <f>IFERROR(__xludf.DUMMYFUNCTION("""COMPUTED_VALUE"""),6953.0)</f>
        <v>6953</v>
      </c>
      <c r="F83" s="6">
        <f>IFERROR(__xludf.DUMMYFUNCTION("""COMPUTED_VALUE"""),1665630.0)</f>
        <v>1665630</v>
      </c>
    </row>
    <row r="84">
      <c r="A84" s="7">
        <f>IFERROR(__xludf.DUMMYFUNCTION("""COMPUTED_VALUE"""),45779.64583333333)</f>
        <v>45779.64583</v>
      </c>
      <c r="B84" s="6">
        <f>IFERROR(__xludf.DUMMYFUNCTION("""COMPUTED_VALUE"""),6954.5)</f>
        <v>6954.5</v>
      </c>
      <c r="C84" s="6">
        <f>IFERROR(__xludf.DUMMYFUNCTION("""COMPUTED_VALUE"""),7098.0)</f>
        <v>7098</v>
      </c>
      <c r="D84" s="6">
        <f>IFERROR(__xludf.DUMMYFUNCTION("""COMPUTED_VALUE"""),6918.0)</f>
        <v>6918</v>
      </c>
      <c r="E84" s="6">
        <f>IFERROR(__xludf.DUMMYFUNCTION("""COMPUTED_VALUE"""),6954.5)</f>
        <v>6954.5</v>
      </c>
      <c r="F84" s="6">
        <f>IFERROR(__xludf.DUMMYFUNCTION("""COMPUTED_VALUE"""),1261251.0)</f>
        <v>1261251</v>
      </c>
    </row>
    <row r="85">
      <c r="A85" s="7">
        <f>IFERROR(__xludf.DUMMYFUNCTION("""COMPUTED_VALUE"""),45786.64583333333)</f>
        <v>45786.64583</v>
      </c>
      <c r="B85" s="6">
        <f>IFERROR(__xludf.DUMMYFUNCTION("""COMPUTED_VALUE"""),6960.0)</f>
        <v>6960</v>
      </c>
      <c r="C85" s="6">
        <f>IFERROR(__xludf.DUMMYFUNCTION("""COMPUTED_VALUE"""),7074.0)</f>
        <v>7074</v>
      </c>
      <c r="D85" s="6">
        <f>IFERROR(__xludf.DUMMYFUNCTION("""COMPUTED_VALUE"""),6677.5)</f>
        <v>6677.5</v>
      </c>
      <c r="E85" s="6">
        <f>IFERROR(__xludf.DUMMYFUNCTION("""COMPUTED_VALUE"""),6722.0)</f>
        <v>6722</v>
      </c>
      <c r="F85" s="6">
        <f>IFERROR(__xludf.DUMMYFUNCTION("""COMPUTED_VALUE"""),1701470.0)</f>
        <v>1701470</v>
      </c>
    </row>
    <row r="86">
      <c r="A86" s="7">
        <f>IFERROR(__xludf.DUMMYFUNCTION("""COMPUTED_VALUE"""),45793.64583333333)</f>
        <v>45793.64583</v>
      </c>
      <c r="B86" s="6">
        <f>IFERROR(__xludf.DUMMYFUNCTION("""COMPUTED_VALUE"""),6800.0)</f>
        <v>6800</v>
      </c>
      <c r="C86" s="6">
        <f>IFERROR(__xludf.DUMMYFUNCTION("""COMPUTED_VALUE"""),7105.0)</f>
        <v>7105</v>
      </c>
      <c r="D86" s="6">
        <f>IFERROR(__xludf.DUMMYFUNCTION("""COMPUTED_VALUE"""),6758.5)</f>
        <v>6758.5</v>
      </c>
      <c r="E86" s="6">
        <f>IFERROR(__xludf.DUMMYFUNCTION("""COMPUTED_VALUE"""),7015.0)</f>
        <v>7015</v>
      </c>
      <c r="F86" s="6">
        <f>IFERROR(__xludf.DUMMYFUNCTION("""COMPUTED_VALUE"""),1812119.0)</f>
        <v>1812119</v>
      </c>
    </row>
    <row r="87">
      <c r="A87" s="7">
        <f>IFERROR(__xludf.DUMMYFUNCTION("""COMPUTED_VALUE"""),45800.64583333333)</f>
        <v>45800.64583</v>
      </c>
      <c r="B87" s="6">
        <f>IFERROR(__xludf.DUMMYFUNCTION("""COMPUTED_VALUE"""),6985.0)</f>
        <v>6985</v>
      </c>
      <c r="C87" s="6">
        <f>IFERROR(__xludf.DUMMYFUNCTION("""COMPUTED_VALUE"""),7088.0)</f>
        <v>7088</v>
      </c>
      <c r="D87" s="6">
        <f>IFERROR(__xludf.DUMMYFUNCTION("""COMPUTED_VALUE"""),6891.0)</f>
        <v>6891</v>
      </c>
      <c r="E87" s="6">
        <f>IFERROR(__xludf.DUMMYFUNCTION("""COMPUTED_VALUE"""),7064.5)</f>
        <v>7064.5</v>
      </c>
      <c r="F87" s="6">
        <f>IFERROR(__xludf.DUMMYFUNCTION("""COMPUTED_VALUE"""),1673879.0)</f>
        <v>1673879</v>
      </c>
    </row>
    <row r="88">
      <c r="A88" s="7">
        <f>IFERROR(__xludf.DUMMYFUNCTION("""COMPUTED_VALUE"""),45807.64583333333)</f>
        <v>45807.64583</v>
      </c>
      <c r="B88" s="6">
        <f>IFERROR(__xludf.DUMMYFUNCTION("""COMPUTED_VALUE"""),7095.0)</f>
        <v>7095</v>
      </c>
      <c r="C88" s="6">
        <f>IFERROR(__xludf.DUMMYFUNCTION("""COMPUTED_VALUE"""),7124.5)</f>
        <v>7124.5</v>
      </c>
      <c r="D88" s="6">
        <f>IFERROR(__xludf.DUMMYFUNCTION("""COMPUTED_VALUE"""),6853.5)</f>
        <v>6853.5</v>
      </c>
      <c r="E88" s="6">
        <f>IFERROR(__xludf.DUMMYFUNCTION("""COMPUTED_VALUE"""),6880.5)</f>
        <v>6880.5</v>
      </c>
      <c r="F88" s="6">
        <f>IFERROR(__xludf.DUMMYFUNCTION("""COMPUTED_VALUE"""),1944375.0)</f>
        <v>1944375</v>
      </c>
    </row>
    <row r="89">
      <c r="A89" s="7">
        <f>IFERROR(__xludf.DUMMYFUNCTION("""COMPUTED_VALUE"""),45814.64583333333)</f>
        <v>45814.64583</v>
      </c>
      <c r="B89" s="6">
        <f>IFERROR(__xludf.DUMMYFUNCTION("""COMPUTED_VALUE"""),6944.0)</f>
        <v>6944</v>
      </c>
      <c r="C89" s="6">
        <f>IFERROR(__xludf.DUMMYFUNCTION("""COMPUTED_VALUE"""),7090.0)</f>
        <v>7090</v>
      </c>
      <c r="D89" s="6">
        <f>IFERROR(__xludf.DUMMYFUNCTION("""COMPUTED_VALUE"""),6772.0)</f>
        <v>6772</v>
      </c>
      <c r="E89" s="6">
        <f>IFERROR(__xludf.DUMMYFUNCTION("""COMPUTED_VALUE"""),6942.5)</f>
        <v>6942.5</v>
      </c>
      <c r="F89" s="6">
        <f>IFERROR(__xludf.DUMMYFUNCTION("""COMPUTED_VALUE"""),3095017.0)</f>
        <v>3095017</v>
      </c>
    </row>
    <row r="90">
      <c r="A90" s="7">
        <f>IFERROR(__xludf.DUMMYFUNCTION("""COMPUTED_VALUE"""),45821.64583333333)</f>
        <v>45821.64583</v>
      </c>
      <c r="B90" s="6">
        <f>IFERROR(__xludf.DUMMYFUNCTION("""COMPUTED_VALUE"""),6976.5)</f>
        <v>6976.5</v>
      </c>
      <c r="C90" s="6">
        <f>IFERROR(__xludf.DUMMYFUNCTION("""COMPUTED_VALUE"""),7055.0)</f>
        <v>7055</v>
      </c>
      <c r="D90" s="6">
        <f>IFERROR(__xludf.DUMMYFUNCTION("""COMPUTED_VALUE"""),6863.0)</f>
        <v>6863</v>
      </c>
      <c r="E90" s="6">
        <f>IFERROR(__xludf.DUMMYFUNCTION("""COMPUTED_VALUE"""),6994.5)</f>
        <v>6994.5</v>
      </c>
      <c r="F90" s="6">
        <f>IFERROR(__xludf.DUMMYFUNCTION("""COMPUTED_VALUE"""),2245637.0)</f>
        <v>2245637</v>
      </c>
    </row>
    <row r="91">
      <c r="A91" s="7">
        <f>IFERROR(__xludf.DUMMYFUNCTION("""COMPUTED_VALUE"""),45828.64583333333)</f>
        <v>45828.64583</v>
      </c>
      <c r="B91" s="6">
        <f>IFERROR(__xludf.DUMMYFUNCTION("""COMPUTED_VALUE"""),7010.5)</f>
        <v>7010.5</v>
      </c>
      <c r="C91" s="6">
        <f>IFERROR(__xludf.DUMMYFUNCTION("""COMPUTED_VALUE"""),7138.0)</f>
        <v>7138</v>
      </c>
      <c r="D91" s="6">
        <f>IFERROR(__xludf.DUMMYFUNCTION("""COMPUTED_VALUE"""),6912.0)</f>
        <v>6912</v>
      </c>
      <c r="E91" s="6">
        <f>IFERROR(__xludf.DUMMYFUNCTION("""COMPUTED_VALUE"""),7063.5)</f>
        <v>7063.5</v>
      </c>
      <c r="F91" s="6">
        <f>IFERROR(__xludf.DUMMYFUNCTION("""COMPUTED_VALUE"""),2088015.0)</f>
        <v>2088015</v>
      </c>
    </row>
    <row r="92">
      <c r="A92" s="7">
        <f>IFERROR(__xludf.DUMMYFUNCTION("""COMPUTED_VALUE"""),45835.64583333333)</f>
        <v>45835.64583</v>
      </c>
      <c r="B92" s="6">
        <f>IFERROR(__xludf.DUMMYFUNCTION("""COMPUTED_VALUE"""),7000.0)</f>
        <v>7000</v>
      </c>
      <c r="C92" s="6">
        <f>IFERROR(__xludf.DUMMYFUNCTION("""COMPUTED_VALUE"""),7324.0)</f>
        <v>7324</v>
      </c>
      <c r="D92" s="6">
        <f>IFERROR(__xludf.DUMMYFUNCTION("""COMPUTED_VALUE"""),6993.5)</f>
        <v>6993.5</v>
      </c>
      <c r="E92" s="6">
        <f>IFERROR(__xludf.DUMMYFUNCTION("""COMPUTED_VALUE"""),7308.5)</f>
        <v>7308.5</v>
      </c>
      <c r="F92" s="6">
        <f>IFERROR(__xludf.DUMMYFUNCTION("""COMPUTED_VALUE"""),1704624.0)</f>
        <v>1704624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IFERROR(__xludf.DUMMYFUNCTION("""COMPUTED_VALUE"""),7336.5)</f>
        <v>7336.5</v>
      </c>
      <c r="C93" s="6">
        <f>IFERROR(__xludf.DUMMYFUNCTION("""COMPUTED_VALUE"""),7600.5)</f>
        <v>7600.5</v>
      </c>
      <c r="D93" s="6">
        <f>IFERROR(__xludf.DUMMYFUNCTION("""COMPUTED_VALUE"""),7203.5)</f>
        <v>7203.5</v>
      </c>
      <c r="E93" s="6">
        <f>IFERROR(__xludf.DUMMYFUNCTION("""COMPUTED_VALUE"""),7553.5)</f>
        <v>7553.5</v>
      </c>
      <c r="F93" s="6">
        <f>IFERROR(__xludf.DUMMYFUNCTION("""COMPUTED_VALUE"""),4380961.0)</f>
        <v>4380961</v>
      </c>
    </row>
    <row r="94">
      <c r="A94" s="7">
        <f>IFERROR(__xludf.DUMMYFUNCTION("""COMPUTED_VALUE"""),45849.64583333333)</f>
        <v>45849.64583</v>
      </c>
      <c r="B94" s="6">
        <f>IFERROR(__xludf.DUMMYFUNCTION("""COMPUTED_VALUE"""),7562.5)</f>
        <v>7562.5</v>
      </c>
      <c r="C94" s="6">
        <f>IFERROR(__xludf.DUMMYFUNCTION("""COMPUTED_VALUE"""),7635.0)</f>
        <v>7635</v>
      </c>
      <c r="D94" s="6">
        <f>IFERROR(__xludf.DUMMYFUNCTION("""COMPUTED_VALUE"""),7159.0)</f>
        <v>7159</v>
      </c>
      <c r="E94" s="6">
        <f>IFERROR(__xludf.DUMMYFUNCTION("""COMPUTED_VALUE"""),7189.5)</f>
        <v>7189.5</v>
      </c>
      <c r="F94" s="6">
        <f>IFERROR(__xludf.DUMMYFUNCTION("""COMPUTED_VALUE"""),2160204.0)</f>
        <v>2160204</v>
      </c>
    </row>
    <row r="95">
      <c r="A95" s="7">
        <f>IFERROR(__xludf.DUMMYFUNCTION("""COMPUTED_VALUE"""),45856.64583333333)</f>
        <v>45856.64583</v>
      </c>
      <c r="B95" s="6">
        <f>IFERROR(__xludf.DUMMYFUNCTION("""COMPUTED_VALUE"""),7200.0)</f>
        <v>7200</v>
      </c>
      <c r="C95" s="6">
        <f>IFERROR(__xludf.DUMMYFUNCTION("""COMPUTED_VALUE"""),7410.0)</f>
        <v>7410</v>
      </c>
      <c r="D95" s="6">
        <f>IFERROR(__xludf.DUMMYFUNCTION("""COMPUTED_VALUE"""),7173.0)</f>
        <v>7173</v>
      </c>
      <c r="E95" s="6">
        <f>IFERROR(__xludf.DUMMYFUNCTION("""COMPUTED_VALUE"""),7303.5)</f>
        <v>7303.5</v>
      </c>
      <c r="F95" s="6">
        <f>IFERROR(__xludf.DUMMYFUNCTION("""COMPUTED_VALUE"""),2287321.0)</f>
        <v>2287321</v>
      </c>
    </row>
    <row r="96">
      <c r="A96" s="7">
        <f>IFERROR(__xludf.DUMMYFUNCTION("""COMPUTED_VALUE"""),45863.64583333333)</f>
        <v>45863.64583</v>
      </c>
      <c r="B96" s="6">
        <f>IFERROR(__xludf.DUMMYFUNCTION("""COMPUTED_VALUE"""),7303.5)</f>
        <v>7303.5</v>
      </c>
      <c r="C96" s="6">
        <f>IFERROR(__xludf.DUMMYFUNCTION("""COMPUTED_VALUE"""),7485.5)</f>
        <v>7485.5</v>
      </c>
      <c r="D96" s="6">
        <f>IFERROR(__xludf.DUMMYFUNCTION("""COMPUTED_VALUE"""),7216.5)</f>
        <v>7216.5</v>
      </c>
      <c r="E96" s="6">
        <f>IFERROR(__xludf.DUMMYFUNCTION("""COMPUTED_VALUE"""),7468.5)</f>
        <v>7468.5</v>
      </c>
      <c r="F96" s="6">
        <f>IFERROR(__xludf.DUMMYFUNCTION("""COMPUTED_VALUE"""),1916069.0)</f>
        <v>1916069</v>
      </c>
    </row>
    <row r="97">
      <c r="A97" s="7">
        <f>IFERROR(__xludf.DUMMYFUNCTION("""COMPUTED_VALUE"""),45870.64583333333)</f>
        <v>45870.64583</v>
      </c>
      <c r="B97" s="6">
        <f>IFERROR(__xludf.DUMMYFUNCTION("""COMPUTED_VALUE"""),7480.0)</f>
        <v>7480</v>
      </c>
      <c r="C97" s="6">
        <f>IFERROR(__xludf.DUMMYFUNCTION("""COMPUTED_VALUE"""),7538.0)</f>
        <v>7538</v>
      </c>
      <c r="D97" s="6">
        <f>IFERROR(__xludf.DUMMYFUNCTION("""COMPUTED_VALUE"""),7310.5)</f>
        <v>7310.5</v>
      </c>
      <c r="E97" s="6">
        <f>IFERROR(__xludf.DUMMYFUNCTION("""COMPUTED_VALUE"""),7351.5)</f>
        <v>7351.5</v>
      </c>
      <c r="F97" s="6">
        <f>IFERROR(__xludf.DUMMYFUNCTION("""COMPUTED_VALUE"""),1402280.0)</f>
        <v>1402280</v>
      </c>
    </row>
    <row r="98">
      <c r="A98" s="7">
        <f>IFERROR(__xludf.DUMMYFUNCTION("""COMPUTED_VALUE"""),45877.64583333333)</f>
        <v>45877.64583</v>
      </c>
      <c r="B98" s="6">
        <f>IFERROR(__xludf.DUMMYFUNCTION("""COMPUTED_VALUE"""),7387.0)</f>
        <v>7387</v>
      </c>
      <c r="C98" s="6">
        <f>IFERROR(__xludf.DUMMYFUNCTION("""COMPUTED_VALUE"""),7388.0)</f>
        <v>7388</v>
      </c>
      <c r="D98" s="6">
        <f>IFERROR(__xludf.DUMMYFUNCTION("""COMPUTED_VALUE"""),7053.5)</f>
        <v>7053.5</v>
      </c>
      <c r="E98" s="6">
        <f>IFERROR(__xludf.DUMMYFUNCTION("""COMPUTED_VALUE"""),7084.5)</f>
        <v>7084.5</v>
      </c>
      <c r="F98" s="6">
        <f>IFERROR(__xludf.DUMMYFUNCTION("""COMPUTED_VALUE"""),1575369.0)</f>
        <v>1575369</v>
      </c>
    </row>
    <row r="99">
      <c r="A99" s="7">
        <f>IFERROR(__xludf.DUMMYFUNCTION("""COMPUTED_VALUE"""),45883.64583333333)</f>
        <v>45883.64583</v>
      </c>
      <c r="B99" s="6">
        <f>IFERROR(__xludf.DUMMYFUNCTION("""COMPUTED_VALUE"""),7101.0)</f>
        <v>7101</v>
      </c>
      <c r="C99" s="6">
        <f>IFERROR(__xludf.DUMMYFUNCTION("""COMPUTED_VALUE"""),7859.5)</f>
        <v>7859.5</v>
      </c>
      <c r="D99" s="6">
        <f>IFERROR(__xludf.DUMMYFUNCTION("""COMPUTED_VALUE"""),7020.5)</f>
        <v>7020.5</v>
      </c>
      <c r="E99" s="6">
        <f>IFERROR(__xludf.DUMMYFUNCTION("""COMPUTED_VALUE"""),7821.5)</f>
        <v>7821.5</v>
      </c>
      <c r="F99" s="6">
        <f>IFERROR(__xludf.DUMMYFUNCTION("""COMPUTED_VALUE"""),3805391.0)</f>
        <v>3805391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IFERROR(__xludf.DUMMYFUNCTION("""COMPUTED_VALUE"""),7850.0)</f>
        <v>7850</v>
      </c>
      <c r="C100" s="6">
        <f>IFERROR(__xludf.DUMMYFUNCTION("""COMPUTED_VALUE"""),7980.0)</f>
        <v>7980</v>
      </c>
      <c r="D100" s="6">
        <f>IFERROR(__xludf.DUMMYFUNCTION("""COMPUTED_VALUE"""),7800.0)</f>
        <v>7800</v>
      </c>
      <c r="E100" s="6">
        <f>IFERROR(__xludf.DUMMYFUNCTION("""COMPUTED_VALUE"""),7922.5)</f>
        <v>7922.5</v>
      </c>
      <c r="F100" s="6">
        <f>IFERROR(__xludf.DUMMYFUNCTION("""COMPUTED_VALUE"""),2796981.0)</f>
        <v>2796981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IFERROR(__xludf.DUMMYFUNCTION("""COMPUTED_VALUE"""),7926.0)</f>
        <v>7926</v>
      </c>
      <c r="C101" s="6">
        <f>IFERROR(__xludf.DUMMYFUNCTION("""COMPUTED_VALUE"""),7950.0)</f>
        <v>7950</v>
      </c>
      <c r="D101" s="6">
        <f>IFERROR(__xludf.DUMMYFUNCTION("""COMPUTED_VALUE"""),7720.5)</f>
        <v>7720.5</v>
      </c>
      <c r="E101" s="6">
        <f>IFERROR(__xludf.DUMMYFUNCTION("""COMPUTED_VALUE"""),7793.5)</f>
        <v>7793.5</v>
      </c>
      <c r="F101" s="6">
        <f>IFERROR(__xludf.DUMMYFUNCTION("""COMPUTED_VALUE"""),7522375.0)</f>
        <v>7522375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IFERROR(__xludf.DUMMYFUNCTION("GOOGLEFINANCE(""NSE:APOLLOTYRE"",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IFERROR(__xludf.DUMMYFUNCTION("""COMPUTED_VALUE"""),390.0)</f>
        <v>390</v>
      </c>
      <c r="C2" s="6">
        <f>IFERROR(__xludf.DUMMYFUNCTION("""COMPUTED_VALUE"""),397.75)</f>
        <v>397.75</v>
      </c>
      <c r="D2" s="6">
        <f>IFERROR(__xludf.DUMMYFUNCTION("""COMPUTED_VALUE"""),383.8)</f>
        <v>383.8</v>
      </c>
      <c r="E2" s="6">
        <f>IFERROR(__xludf.DUMMYFUNCTION("""COMPUTED_VALUE"""),384.75)</f>
        <v>384.75</v>
      </c>
      <c r="F2" s="6">
        <f>IFERROR(__xludf.DUMMYFUNCTION("""COMPUTED_VALUE"""),1.0174709E7)</f>
        <v>10174709</v>
      </c>
    </row>
    <row r="3">
      <c r="A3" s="7">
        <f>IFERROR(__xludf.DUMMYFUNCTION("""COMPUTED_VALUE"""),45177.64583333333)</f>
        <v>45177.64583</v>
      </c>
      <c r="B3" s="6">
        <f>IFERROR(__xludf.DUMMYFUNCTION("""COMPUTED_VALUE"""),386.9)</f>
        <v>386.9</v>
      </c>
      <c r="C3" s="6">
        <f>IFERROR(__xludf.DUMMYFUNCTION("""COMPUTED_VALUE"""),390.85)</f>
        <v>390.85</v>
      </c>
      <c r="D3" s="6">
        <f>IFERROR(__xludf.DUMMYFUNCTION("""COMPUTED_VALUE"""),371.25)</f>
        <v>371.25</v>
      </c>
      <c r="E3" s="6">
        <f>IFERROR(__xludf.DUMMYFUNCTION("""COMPUTED_VALUE"""),381.65)</f>
        <v>381.65</v>
      </c>
      <c r="F3" s="6">
        <f>IFERROR(__xludf.DUMMYFUNCTION("""COMPUTED_VALUE"""),1.1263433E7)</f>
        <v>11263433</v>
      </c>
    </row>
    <row r="4">
      <c r="A4" s="7">
        <f>IFERROR(__xludf.DUMMYFUNCTION("""COMPUTED_VALUE"""),45184.64583333333)</f>
        <v>45184.64583</v>
      </c>
      <c r="B4" s="6">
        <f>IFERROR(__xludf.DUMMYFUNCTION("""COMPUTED_VALUE"""),384.0)</f>
        <v>384</v>
      </c>
      <c r="C4" s="6">
        <f>IFERROR(__xludf.DUMMYFUNCTION("""COMPUTED_VALUE"""),391.1)</f>
        <v>391.1</v>
      </c>
      <c r="D4" s="6">
        <f>IFERROR(__xludf.DUMMYFUNCTION("""COMPUTED_VALUE"""),375.3)</f>
        <v>375.3</v>
      </c>
      <c r="E4" s="6">
        <f>IFERROR(__xludf.DUMMYFUNCTION("""COMPUTED_VALUE"""),376.4)</f>
        <v>376.4</v>
      </c>
      <c r="F4" s="6">
        <f>IFERROR(__xludf.DUMMYFUNCTION("""COMPUTED_VALUE"""),1.1878098E7)</f>
        <v>11878098</v>
      </c>
    </row>
    <row r="5">
      <c r="A5" s="7">
        <f>IFERROR(__xludf.DUMMYFUNCTION("""COMPUTED_VALUE"""),45191.64583333333)</f>
        <v>45191.64583</v>
      </c>
      <c r="B5" s="6">
        <f>IFERROR(__xludf.DUMMYFUNCTION("""COMPUTED_VALUE"""),377.5)</f>
        <v>377.5</v>
      </c>
      <c r="C5" s="6">
        <f>IFERROR(__xludf.DUMMYFUNCTION("""COMPUTED_VALUE"""),379.85)</f>
        <v>379.85</v>
      </c>
      <c r="D5" s="6">
        <f>IFERROR(__xludf.DUMMYFUNCTION("""COMPUTED_VALUE"""),366.35)</f>
        <v>366.35</v>
      </c>
      <c r="E5" s="6">
        <f>IFERROR(__xludf.DUMMYFUNCTION("""COMPUTED_VALUE"""),371.75)</f>
        <v>371.75</v>
      </c>
      <c r="F5" s="6">
        <f>IFERROR(__xludf.DUMMYFUNCTION("""COMPUTED_VALUE"""),1.3729898E7)</f>
        <v>13729898</v>
      </c>
    </row>
    <row r="6">
      <c r="A6" s="7">
        <f>IFERROR(__xludf.DUMMYFUNCTION("""COMPUTED_VALUE"""),45198.64583333333)</f>
        <v>45198.64583</v>
      </c>
      <c r="B6" s="6">
        <f>IFERROR(__xludf.DUMMYFUNCTION("""COMPUTED_VALUE"""),373.7)</f>
        <v>373.7</v>
      </c>
      <c r="C6" s="6">
        <f>IFERROR(__xludf.DUMMYFUNCTION("""COMPUTED_VALUE"""),380.5)</f>
        <v>380.5</v>
      </c>
      <c r="D6" s="6">
        <f>IFERROR(__xludf.DUMMYFUNCTION("""COMPUTED_VALUE"""),365.0)</f>
        <v>365</v>
      </c>
      <c r="E6" s="6">
        <f>IFERROR(__xludf.DUMMYFUNCTION("""COMPUTED_VALUE"""),368.65)</f>
        <v>368.65</v>
      </c>
      <c r="F6" s="6">
        <f>IFERROR(__xludf.DUMMYFUNCTION("""COMPUTED_VALUE"""),9729109.0)</f>
        <v>9729109</v>
      </c>
    </row>
    <row r="7">
      <c r="A7" s="7">
        <f>IFERROR(__xludf.DUMMYFUNCTION("""COMPUTED_VALUE"""),45205.64583333333)</f>
        <v>45205.64583</v>
      </c>
      <c r="B7" s="6">
        <f>IFERROR(__xludf.DUMMYFUNCTION("""COMPUTED_VALUE"""),369.55)</f>
        <v>369.55</v>
      </c>
      <c r="C7" s="6">
        <f>IFERROR(__xludf.DUMMYFUNCTION("""COMPUTED_VALUE"""),382.15)</f>
        <v>382.15</v>
      </c>
      <c r="D7" s="6">
        <f>IFERROR(__xludf.DUMMYFUNCTION("""COMPUTED_VALUE"""),366.0)</f>
        <v>366</v>
      </c>
      <c r="E7" s="6">
        <f>IFERROR(__xludf.DUMMYFUNCTION("""COMPUTED_VALUE"""),380.4)</f>
        <v>380.4</v>
      </c>
      <c r="F7" s="6">
        <f>IFERROR(__xludf.DUMMYFUNCTION("""COMPUTED_VALUE"""),7976054.0)</f>
        <v>7976054</v>
      </c>
    </row>
    <row r="8">
      <c r="A8" s="7">
        <f>IFERROR(__xludf.DUMMYFUNCTION("""COMPUTED_VALUE"""),45212.64583333333)</f>
        <v>45212.64583</v>
      </c>
      <c r="B8" s="6">
        <f>IFERROR(__xludf.DUMMYFUNCTION("""COMPUTED_VALUE"""),372.8)</f>
        <v>372.8</v>
      </c>
      <c r="C8" s="6">
        <f>IFERROR(__xludf.DUMMYFUNCTION("""COMPUTED_VALUE"""),383.85)</f>
        <v>383.85</v>
      </c>
      <c r="D8" s="6">
        <f>IFERROR(__xludf.DUMMYFUNCTION("""COMPUTED_VALUE"""),368.1)</f>
        <v>368.1</v>
      </c>
      <c r="E8" s="6">
        <f>IFERROR(__xludf.DUMMYFUNCTION("""COMPUTED_VALUE"""),381.55)</f>
        <v>381.55</v>
      </c>
      <c r="F8" s="6">
        <f>IFERROR(__xludf.DUMMYFUNCTION("""COMPUTED_VALUE"""),1.0673208E7)</f>
        <v>10673208</v>
      </c>
    </row>
    <row r="9">
      <c r="A9" s="7">
        <f>IFERROR(__xludf.DUMMYFUNCTION("""COMPUTED_VALUE"""),45219.64583333333)</f>
        <v>45219.64583</v>
      </c>
      <c r="B9" s="6">
        <f>IFERROR(__xludf.DUMMYFUNCTION("""COMPUTED_VALUE"""),379.55)</f>
        <v>379.55</v>
      </c>
      <c r="C9" s="6">
        <f>IFERROR(__xludf.DUMMYFUNCTION("""COMPUTED_VALUE"""),394.5)</f>
        <v>394.5</v>
      </c>
      <c r="D9" s="6">
        <f>IFERROR(__xludf.DUMMYFUNCTION("""COMPUTED_VALUE"""),373.3)</f>
        <v>373.3</v>
      </c>
      <c r="E9" s="6">
        <f>IFERROR(__xludf.DUMMYFUNCTION("""COMPUTED_VALUE"""),383.95)</f>
        <v>383.95</v>
      </c>
      <c r="F9" s="6">
        <f>IFERROR(__xludf.DUMMYFUNCTION("""COMPUTED_VALUE"""),1.7420641E7)</f>
        <v>17420641</v>
      </c>
    </row>
    <row r="10">
      <c r="A10" s="7">
        <f>IFERROR(__xludf.DUMMYFUNCTION("""COMPUTED_VALUE"""),45226.64583333333)</f>
        <v>45226.64583</v>
      </c>
      <c r="B10" s="6">
        <f>IFERROR(__xludf.DUMMYFUNCTION("""COMPUTED_VALUE"""),383.35)</f>
        <v>383.35</v>
      </c>
      <c r="C10" s="6">
        <f>IFERROR(__xludf.DUMMYFUNCTION("""COMPUTED_VALUE"""),385.4)</f>
        <v>385.4</v>
      </c>
      <c r="D10" s="6">
        <f>IFERROR(__xludf.DUMMYFUNCTION("""COMPUTED_VALUE"""),368.1)</f>
        <v>368.1</v>
      </c>
      <c r="E10" s="6">
        <f>IFERROR(__xludf.DUMMYFUNCTION("""COMPUTED_VALUE"""),375.6)</f>
        <v>375.6</v>
      </c>
      <c r="F10" s="6">
        <f>IFERROR(__xludf.DUMMYFUNCTION("""COMPUTED_VALUE"""),4718837.0)</f>
        <v>4718837</v>
      </c>
    </row>
    <row r="11">
      <c r="A11" s="7">
        <f>IFERROR(__xludf.DUMMYFUNCTION("""COMPUTED_VALUE"""),45233.64583333333)</f>
        <v>45233.64583</v>
      </c>
      <c r="B11" s="6">
        <f>IFERROR(__xludf.DUMMYFUNCTION("""COMPUTED_VALUE"""),377.9)</f>
        <v>377.9</v>
      </c>
      <c r="C11" s="6">
        <f>IFERROR(__xludf.DUMMYFUNCTION("""COMPUTED_VALUE"""),390.0)</f>
        <v>390</v>
      </c>
      <c r="D11" s="6">
        <f>IFERROR(__xludf.DUMMYFUNCTION("""COMPUTED_VALUE"""),370.6)</f>
        <v>370.6</v>
      </c>
      <c r="E11" s="6">
        <f>IFERROR(__xludf.DUMMYFUNCTION("""COMPUTED_VALUE"""),384.3)</f>
        <v>384.3</v>
      </c>
      <c r="F11" s="6">
        <f>IFERROR(__xludf.DUMMYFUNCTION("""COMPUTED_VALUE"""),5157121.0)</f>
        <v>5157121</v>
      </c>
    </row>
    <row r="12">
      <c r="A12" s="7">
        <f>IFERROR(__xludf.DUMMYFUNCTION("""COMPUTED_VALUE"""),45240.64583333333)</f>
        <v>45240.64583</v>
      </c>
      <c r="B12" s="6">
        <f>IFERROR(__xludf.DUMMYFUNCTION("""COMPUTED_VALUE"""),387.2)</f>
        <v>387.2</v>
      </c>
      <c r="C12" s="6">
        <f>IFERROR(__xludf.DUMMYFUNCTION("""COMPUTED_VALUE"""),427.8)</f>
        <v>427.8</v>
      </c>
      <c r="D12" s="6">
        <f>IFERROR(__xludf.DUMMYFUNCTION("""COMPUTED_VALUE"""),382.0)</f>
        <v>382</v>
      </c>
      <c r="E12" s="6">
        <f>IFERROR(__xludf.DUMMYFUNCTION("""COMPUTED_VALUE"""),418.7)</f>
        <v>418.7</v>
      </c>
      <c r="F12" s="6">
        <f>IFERROR(__xludf.DUMMYFUNCTION("""COMPUTED_VALUE"""),3.4244901E7)</f>
        <v>34244901</v>
      </c>
    </row>
    <row r="13">
      <c r="A13" s="7">
        <f>IFERROR(__xludf.DUMMYFUNCTION("""COMPUTED_VALUE"""),45247.64583333333)</f>
        <v>45247.64583</v>
      </c>
      <c r="B13" s="6">
        <f>IFERROR(__xludf.DUMMYFUNCTION("""COMPUTED_VALUE"""),422.15)</f>
        <v>422.15</v>
      </c>
      <c r="C13" s="6">
        <f>IFERROR(__xludf.DUMMYFUNCTION("""COMPUTED_VALUE"""),435.0)</f>
        <v>435</v>
      </c>
      <c r="D13" s="6">
        <f>IFERROR(__xludf.DUMMYFUNCTION("""COMPUTED_VALUE"""),414.05)</f>
        <v>414.05</v>
      </c>
      <c r="E13" s="6">
        <f>IFERROR(__xludf.DUMMYFUNCTION("""COMPUTED_VALUE"""),431.0)</f>
        <v>431</v>
      </c>
      <c r="F13" s="6">
        <f>IFERROR(__xludf.DUMMYFUNCTION("""COMPUTED_VALUE"""),8283552.0)</f>
        <v>8283552</v>
      </c>
    </row>
    <row r="14">
      <c r="A14" s="7">
        <f>IFERROR(__xludf.DUMMYFUNCTION("""COMPUTED_VALUE"""),45254.64583333333)</f>
        <v>45254.64583</v>
      </c>
      <c r="B14" s="6">
        <f>IFERROR(__xludf.DUMMYFUNCTION("""COMPUTED_VALUE"""),433.0)</f>
        <v>433</v>
      </c>
      <c r="C14" s="6">
        <f>IFERROR(__xludf.DUMMYFUNCTION("""COMPUTED_VALUE"""),433.15)</f>
        <v>433.15</v>
      </c>
      <c r="D14" s="6">
        <f>IFERROR(__xludf.DUMMYFUNCTION("""COMPUTED_VALUE"""),413.95)</f>
        <v>413.95</v>
      </c>
      <c r="E14" s="6">
        <f>IFERROR(__xludf.DUMMYFUNCTION("""COMPUTED_VALUE"""),414.6)</f>
        <v>414.6</v>
      </c>
      <c r="F14" s="6">
        <f>IFERROR(__xludf.DUMMYFUNCTION("""COMPUTED_VALUE"""),4482267.0)</f>
        <v>4482267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IFERROR(__xludf.DUMMYFUNCTION("""COMPUTED_VALUE"""),416.5)</f>
        <v>416.5</v>
      </c>
      <c r="C15" s="6">
        <f>IFERROR(__xludf.DUMMYFUNCTION("""COMPUTED_VALUE"""),445.8)</f>
        <v>445.8</v>
      </c>
      <c r="D15" s="6">
        <f>IFERROR(__xludf.DUMMYFUNCTION("""COMPUTED_VALUE"""),414.6)</f>
        <v>414.6</v>
      </c>
      <c r="E15" s="6">
        <f>IFERROR(__xludf.DUMMYFUNCTION("""COMPUTED_VALUE"""),442.45)</f>
        <v>442.45</v>
      </c>
      <c r="F15" s="6">
        <f>IFERROR(__xludf.DUMMYFUNCTION("""COMPUTED_VALUE"""),8585869.0)</f>
        <v>8585869</v>
      </c>
    </row>
    <row r="16">
      <c r="A16" s="7">
        <f>IFERROR(__xludf.DUMMYFUNCTION("""COMPUTED_VALUE"""),45268.64583333333)</f>
        <v>45268.64583</v>
      </c>
      <c r="B16" s="6">
        <f>IFERROR(__xludf.DUMMYFUNCTION("""COMPUTED_VALUE"""),449.4)</f>
        <v>449.4</v>
      </c>
      <c r="C16" s="6">
        <f>IFERROR(__xludf.DUMMYFUNCTION("""COMPUTED_VALUE"""),475.7)</f>
        <v>475.7</v>
      </c>
      <c r="D16" s="6">
        <f>IFERROR(__xludf.DUMMYFUNCTION("""COMPUTED_VALUE"""),442.45)</f>
        <v>442.45</v>
      </c>
      <c r="E16" s="6">
        <f>IFERROR(__xludf.DUMMYFUNCTION("""COMPUTED_VALUE"""),458.55)</f>
        <v>458.55</v>
      </c>
      <c r="F16" s="6">
        <f>IFERROR(__xludf.DUMMYFUNCTION("""COMPUTED_VALUE"""),1.389574E7)</f>
        <v>13895740</v>
      </c>
    </row>
    <row r="17">
      <c r="A17" s="7">
        <f>IFERROR(__xludf.DUMMYFUNCTION("""COMPUTED_VALUE"""),45275.64583333333)</f>
        <v>45275.64583</v>
      </c>
      <c r="B17" s="6">
        <f>IFERROR(__xludf.DUMMYFUNCTION("""COMPUTED_VALUE"""),458.0)</f>
        <v>458</v>
      </c>
      <c r="C17" s="6">
        <f>IFERROR(__xludf.DUMMYFUNCTION("""COMPUTED_VALUE"""),465.75)</f>
        <v>465.75</v>
      </c>
      <c r="D17" s="6">
        <f>IFERROR(__xludf.DUMMYFUNCTION("""COMPUTED_VALUE"""),441.85)</f>
        <v>441.85</v>
      </c>
      <c r="E17" s="6">
        <f>IFERROR(__xludf.DUMMYFUNCTION("""COMPUTED_VALUE"""),450.55)</f>
        <v>450.55</v>
      </c>
      <c r="F17" s="6">
        <f>IFERROR(__xludf.DUMMYFUNCTION("""COMPUTED_VALUE"""),1.0158628E7)</f>
        <v>10158628</v>
      </c>
    </row>
    <row r="18">
      <c r="A18" s="7">
        <f>IFERROR(__xludf.DUMMYFUNCTION("""COMPUTED_VALUE"""),45282.64583333333)</f>
        <v>45282.64583</v>
      </c>
      <c r="B18" s="6">
        <f>IFERROR(__xludf.DUMMYFUNCTION("""COMPUTED_VALUE"""),453.65)</f>
        <v>453.65</v>
      </c>
      <c r="C18" s="6">
        <f>IFERROR(__xludf.DUMMYFUNCTION("""COMPUTED_VALUE"""),485.0)</f>
        <v>485</v>
      </c>
      <c r="D18" s="6">
        <f>IFERROR(__xludf.DUMMYFUNCTION("""COMPUTED_VALUE"""),419.25)</f>
        <v>419.25</v>
      </c>
      <c r="E18" s="6">
        <f>IFERROR(__xludf.DUMMYFUNCTION("""COMPUTED_VALUE"""),427.55)</f>
        <v>427.55</v>
      </c>
      <c r="F18" s="6">
        <f>IFERROR(__xludf.DUMMYFUNCTION("""COMPUTED_VALUE"""),2.3349016E7)</f>
        <v>23349016</v>
      </c>
    </row>
    <row r="19">
      <c r="A19" s="7">
        <f>IFERROR(__xludf.DUMMYFUNCTION("""COMPUTED_VALUE"""),45289.64583333333)</f>
        <v>45289.64583</v>
      </c>
      <c r="B19" s="6">
        <f>IFERROR(__xludf.DUMMYFUNCTION("""COMPUTED_VALUE"""),429.7)</f>
        <v>429.7</v>
      </c>
      <c r="C19" s="6">
        <f>IFERROR(__xludf.DUMMYFUNCTION("""COMPUTED_VALUE"""),455.15)</f>
        <v>455.15</v>
      </c>
      <c r="D19" s="6">
        <f>IFERROR(__xludf.DUMMYFUNCTION("""COMPUTED_VALUE"""),425.25)</f>
        <v>425.25</v>
      </c>
      <c r="E19" s="6">
        <f>IFERROR(__xludf.DUMMYFUNCTION("""COMPUTED_VALUE"""),454.05)</f>
        <v>454.05</v>
      </c>
      <c r="F19" s="6">
        <f>IFERROR(__xludf.DUMMYFUNCTION("""COMPUTED_VALUE"""),1.0973162E7)</f>
        <v>10973162</v>
      </c>
    </row>
    <row r="20">
      <c r="A20" s="7">
        <f>IFERROR(__xludf.DUMMYFUNCTION("""COMPUTED_VALUE"""),45296.64583333333)</f>
        <v>45296.64583</v>
      </c>
      <c r="B20" s="6">
        <f>IFERROR(__xludf.DUMMYFUNCTION("""COMPUTED_VALUE"""),456.45)</f>
        <v>456.45</v>
      </c>
      <c r="C20" s="6">
        <f>IFERROR(__xludf.DUMMYFUNCTION("""COMPUTED_VALUE"""),465.0)</f>
        <v>465</v>
      </c>
      <c r="D20" s="6">
        <f>IFERROR(__xludf.DUMMYFUNCTION("""COMPUTED_VALUE"""),447.25)</f>
        <v>447.25</v>
      </c>
      <c r="E20" s="6">
        <f>IFERROR(__xludf.DUMMYFUNCTION("""COMPUTED_VALUE"""),460.5)</f>
        <v>460.5</v>
      </c>
      <c r="F20" s="6">
        <f>IFERROR(__xludf.DUMMYFUNCTION("""COMPUTED_VALUE"""),1.2415252E7)</f>
        <v>12415252</v>
      </c>
    </row>
    <row r="21">
      <c r="A21" s="7">
        <f>IFERROR(__xludf.DUMMYFUNCTION("""COMPUTED_VALUE"""),45303.64583333333)</f>
        <v>45303.64583</v>
      </c>
      <c r="B21" s="6">
        <f>IFERROR(__xludf.DUMMYFUNCTION("""COMPUTED_VALUE"""),461.45)</f>
        <v>461.45</v>
      </c>
      <c r="C21" s="6">
        <f>IFERROR(__xludf.DUMMYFUNCTION("""COMPUTED_VALUE"""),474.4)</f>
        <v>474.4</v>
      </c>
      <c r="D21" s="6">
        <f>IFERROR(__xludf.DUMMYFUNCTION("""COMPUTED_VALUE"""),453.75)</f>
        <v>453.75</v>
      </c>
      <c r="E21" s="6">
        <f>IFERROR(__xludf.DUMMYFUNCTION("""COMPUTED_VALUE"""),468.65)</f>
        <v>468.65</v>
      </c>
      <c r="F21" s="6">
        <f>IFERROR(__xludf.DUMMYFUNCTION("""COMPUTED_VALUE"""),1.1675763E7)</f>
        <v>11675763</v>
      </c>
    </row>
    <row r="22">
      <c r="A22" s="7">
        <f>IFERROR(__xludf.DUMMYFUNCTION("""COMPUTED_VALUE"""),45316.64583333333)</f>
        <v>45316.64583</v>
      </c>
      <c r="B22" s="6">
        <f>IFERROR(__xludf.DUMMYFUNCTION("""COMPUTED_VALUE"""),525.95)</f>
        <v>525.95</v>
      </c>
      <c r="C22" s="6">
        <f>IFERROR(__xludf.DUMMYFUNCTION("""COMPUTED_VALUE"""),532.0)</f>
        <v>532</v>
      </c>
      <c r="D22" s="6">
        <f>IFERROR(__xludf.DUMMYFUNCTION("""COMPUTED_VALUE"""),508.4)</f>
        <v>508.4</v>
      </c>
      <c r="E22" s="6">
        <f>IFERROR(__xludf.DUMMYFUNCTION("""COMPUTED_VALUE"""),517.6)</f>
        <v>517.6</v>
      </c>
      <c r="F22" s="6">
        <f>IFERROR(__xludf.DUMMYFUNCTION("""COMPUTED_VALUE"""),5727885.0)</f>
        <v>5727885</v>
      </c>
    </row>
    <row r="23">
      <c r="A23" s="7">
        <f>IFERROR(__xludf.DUMMYFUNCTION("""COMPUTED_VALUE"""),45324.64583333333)</f>
        <v>45324.64583</v>
      </c>
      <c r="B23" s="6">
        <f>IFERROR(__xludf.DUMMYFUNCTION("""COMPUTED_VALUE"""),518.0)</f>
        <v>518</v>
      </c>
      <c r="C23" s="6">
        <f>IFERROR(__xludf.DUMMYFUNCTION("""COMPUTED_VALUE"""),547.85)</f>
        <v>547.85</v>
      </c>
      <c r="D23" s="6">
        <f>IFERROR(__xludf.DUMMYFUNCTION("""COMPUTED_VALUE"""),515.15)</f>
        <v>515.15</v>
      </c>
      <c r="E23" s="6">
        <f>IFERROR(__xludf.DUMMYFUNCTION("""COMPUTED_VALUE"""),539.7)</f>
        <v>539.7</v>
      </c>
      <c r="F23" s="6">
        <f>IFERROR(__xludf.DUMMYFUNCTION("""COMPUTED_VALUE"""),9724811.0)</f>
        <v>9724811</v>
      </c>
    </row>
    <row r="24">
      <c r="A24" s="7">
        <f>IFERROR(__xludf.DUMMYFUNCTION("""COMPUTED_VALUE"""),45331.64583333333)</f>
        <v>45331.64583</v>
      </c>
      <c r="B24" s="6">
        <f>IFERROR(__xludf.DUMMYFUNCTION("""COMPUTED_VALUE"""),541.5)</f>
        <v>541.5</v>
      </c>
      <c r="C24" s="6">
        <f>IFERROR(__xludf.DUMMYFUNCTION("""COMPUTED_VALUE"""),557.9)</f>
        <v>557.9</v>
      </c>
      <c r="D24" s="6">
        <f>IFERROR(__xludf.DUMMYFUNCTION("""COMPUTED_VALUE"""),499.85)</f>
        <v>499.85</v>
      </c>
      <c r="E24" s="6">
        <f>IFERROR(__xludf.DUMMYFUNCTION("""COMPUTED_VALUE"""),509.9)</f>
        <v>509.9</v>
      </c>
      <c r="F24" s="6">
        <f>IFERROR(__xludf.DUMMYFUNCTION("""COMPUTED_VALUE"""),1.0175146E7)</f>
        <v>10175146</v>
      </c>
    </row>
    <row r="25">
      <c r="A25" s="7">
        <f>IFERROR(__xludf.DUMMYFUNCTION("""COMPUTED_VALUE"""),45338.64583333333)</f>
        <v>45338.64583</v>
      </c>
      <c r="B25" s="6">
        <f>IFERROR(__xludf.DUMMYFUNCTION("""COMPUTED_VALUE"""),518.0)</f>
        <v>518</v>
      </c>
      <c r="C25" s="6">
        <f>IFERROR(__xludf.DUMMYFUNCTION("""COMPUTED_VALUE"""),532.45)</f>
        <v>532.45</v>
      </c>
      <c r="D25" s="6">
        <f>IFERROR(__xludf.DUMMYFUNCTION("""COMPUTED_VALUE"""),502.85)</f>
        <v>502.85</v>
      </c>
      <c r="E25" s="6">
        <f>IFERROR(__xludf.DUMMYFUNCTION("""COMPUTED_VALUE"""),528.65)</f>
        <v>528.65</v>
      </c>
      <c r="F25" s="6">
        <f>IFERROR(__xludf.DUMMYFUNCTION("""COMPUTED_VALUE"""),8412559.0)</f>
        <v>8412559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IFERROR(__xludf.DUMMYFUNCTION("""COMPUTED_VALUE"""),530.0)</f>
        <v>530</v>
      </c>
      <c r="C26" s="6">
        <f>IFERROR(__xludf.DUMMYFUNCTION("""COMPUTED_VALUE"""),537.2)</f>
        <v>537.2</v>
      </c>
      <c r="D26" s="6">
        <f>IFERROR(__xludf.DUMMYFUNCTION("""COMPUTED_VALUE"""),513.1)</f>
        <v>513.1</v>
      </c>
      <c r="E26" s="6">
        <f>IFERROR(__xludf.DUMMYFUNCTION("""COMPUTED_VALUE"""),523.75)</f>
        <v>523.75</v>
      </c>
      <c r="F26" s="6">
        <f>IFERROR(__xludf.DUMMYFUNCTION("""COMPUTED_VALUE"""),5724004.0)</f>
        <v>5724004</v>
      </c>
    </row>
    <row r="27">
      <c r="A27" s="7">
        <f>IFERROR(__xludf.DUMMYFUNCTION("""COMPUTED_VALUE"""),45358.64583333333)</f>
        <v>45358.64583</v>
      </c>
      <c r="B27" s="6">
        <f>IFERROR(__xludf.DUMMYFUNCTION("""COMPUTED_VALUE"""),530.55)</f>
        <v>530.55</v>
      </c>
      <c r="C27" s="6">
        <f>IFERROR(__xludf.DUMMYFUNCTION("""COMPUTED_VALUE"""),546.0)</f>
        <v>546</v>
      </c>
      <c r="D27" s="6">
        <f>IFERROR(__xludf.DUMMYFUNCTION("""COMPUTED_VALUE"""),515.55)</f>
        <v>515.55</v>
      </c>
      <c r="E27" s="6">
        <f>IFERROR(__xludf.DUMMYFUNCTION("""COMPUTED_VALUE"""),516.7)</f>
        <v>516.7</v>
      </c>
      <c r="F27" s="6">
        <f>IFERROR(__xludf.DUMMYFUNCTION("""COMPUTED_VALUE"""),7576112.0)</f>
        <v>7576112</v>
      </c>
    </row>
    <row r="28">
      <c r="A28" s="7">
        <f>IFERROR(__xludf.DUMMYFUNCTION("""COMPUTED_VALUE"""),45366.64583333333)</f>
        <v>45366.64583</v>
      </c>
      <c r="B28" s="6">
        <f>IFERROR(__xludf.DUMMYFUNCTION("""COMPUTED_VALUE"""),519.8)</f>
        <v>519.8</v>
      </c>
      <c r="C28" s="6">
        <f>IFERROR(__xludf.DUMMYFUNCTION("""COMPUTED_VALUE"""),519.8)</f>
        <v>519.8</v>
      </c>
      <c r="D28" s="6">
        <f>IFERROR(__xludf.DUMMYFUNCTION("""COMPUTED_VALUE"""),470.7)</f>
        <v>470.7</v>
      </c>
      <c r="E28" s="6">
        <f>IFERROR(__xludf.DUMMYFUNCTION("""COMPUTED_VALUE"""),472.95)</f>
        <v>472.95</v>
      </c>
      <c r="F28" s="6">
        <f>IFERROR(__xludf.DUMMYFUNCTION("""COMPUTED_VALUE"""),1.3663119E7)</f>
        <v>13663119</v>
      </c>
    </row>
    <row r="29">
      <c r="A29" s="7">
        <f>IFERROR(__xludf.DUMMYFUNCTION("""COMPUTED_VALUE"""),45373.64583333333)</f>
        <v>45373.64583</v>
      </c>
      <c r="B29" s="6">
        <f>IFERROR(__xludf.DUMMYFUNCTION("""COMPUTED_VALUE"""),475.0)</f>
        <v>475</v>
      </c>
      <c r="C29" s="6">
        <f>IFERROR(__xludf.DUMMYFUNCTION("""COMPUTED_VALUE"""),475.9)</f>
        <v>475.9</v>
      </c>
      <c r="D29" s="6">
        <f>IFERROR(__xludf.DUMMYFUNCTION("""COMPUTED_VALUE"""),441.65)</f>
        <v>441.65</v>
      </c>
      <c r="E29" s="6">
        <f>IFERROR(__xludf.DUMMYFUNCTION("""COMPUTED_VALUE"""),468.35)</f>
        <v>468.35</v>
      </c>
      <c r="F29" s="6">
        <f>IFERROR(__xludf.DUMMYFUNCTION("""COMPUTED_VALUE"""),1.2252231E7)</f>
        <v>12252231</v>
      </c>
    </row>
    <row r="30">
      <c r="A30" s="7">
        <f>IFERROR(__xludf.DUMMYFUNCTION("""COMPUTED_VALUE"""),45379.64583333333)</f>
        <v>45379.64583</v>
      </c>
      <c r="B30" s="6">
        <f>IFERROR(__xludf.DUMMYFUNCTION("""COMPUTED_VALUE"""),469.5)</f>
        <v>469.5</v>
      </c>
      <c r="C30" s="6">
        <f>IFERROR(__xludf.DUMMYFUNCTION("""COMPUTED_VALUE"""),476.45)</f>
        <v>476.45</v>
      </c>
      <c r="D30" s="6">
        <f>IFERROR(__xludf.DUMMYFUNCTION("""COMPUTED_VALUE"""),462.7)</f>
        <v>462.7</v>
      </c>
      <c r="E30" s="6">
        <f>IFERROR(__xludf.DUMMYFUNCTION("""COMPUTED_VALUE"""),466.45)</f>
        <v>466.45</v>
      </c>
      <c r="F30" s="6">
        <f>IFERROR(__xludf.DUMMYFUNCTION("""COMPUTED_VALUE"""),3904222.0)</f>
        <v>3904222</v>
      </c>
    </row>
    <row r="31">
      <c r="A31" s="7">
        <f>IFERROR(__xludf.DUMMYFUNCTION("""COMPUTED_VALUE"""),45387.64583333333)</f>
        <v>45387.64583</v>
      </c>
      <c r="B31" s="6">
        <f>IFERROR(__xludf.DUMMYFUNCTION("""COMPUTED_VALUE"""),468.95)</f>
        <v>468.95</v>
      </c>
      <c r="C31" s="6">
        <f>IFERROR(__xludf.DUMMYFUNCTION("""COMPUTED_VALUE"""),474.75)</f>
        <v>474.75</v>
      </c>
      <c r="D31" s="6">
        <f>IFERROR(__xludf.DUMMYFUNCTION("""COMPUTED_VALUE"""),452.8)</f>
        <v>452.8</v>
      </c>
      <c r="E31" s="6">
        <f>IFERROR(__xludf.DUMMYFUNCTION("""COMPUTED_VALUE"""),468.45)</f>
        <v>468.45</v>
      </c>
      <c r="F31" s="6">
        <f>IFERROR(__xludf.DUMMYFUNCTION("""COMPUTED_VALUE"""),1.0412744E7)</f>
        <v>10412744</v>
      </c>
    </row>
    <row r="32">
      <c r="A32" s="7">
        <f>IFERROR(__xludf.DUMMYFUNCTION("""COMPUTED_VALUE"""),45394.64583333333)</f>
        <v>45394.64583</v>
      </c>
      <c r="B32" s="6">
        <f>IFERROR(__xludf.DUMMYFUNCTION("""COMPUTED_VALUE"""),473.35)</f>
        <v>473.35</v>
      </c>
      <c r="C32" s="6">
        <f>IFERROR(__xludf.DUMMYFUNCTION("""COMPUTED_VALUE"""),491.1)</f>
        <v>491.1</v>
      </c>
      <c r="D32" s="6">
        <f>IFERROR(__xludf.DUMMYFUNCTION("""COMPUTED_VALUE"""),464.5)</f>
        <v>464.5</v>
      </c>
      <c r="E32" s="6">
        <f>IFERROR(__xludf.DUMMYFUNCTION("""COMPUTED_VALUE"""),482.3)</f>
        <v>482.3</v>
      </c>
      <c r="F32" s="6">
        <f>IFERROR(__xludf.DUMMYFUNCTION("""COMPUTED_VALUE"""),9857443.0)</f>
        <v>9857443</v>
      </c>
    </row>
    <row r="33">
      <c r="A33" s="7">
        <f>IFERROR(__xludf.DUMMYFUNCTION("""COMPUTED_VALUE"""),45401.64583333333)</f>
        <v>45401.64583</v>
      </c>
      <c r="B33" s="6">
        <f>IFERROR(__xludf.DUMMYFUNCTION("""COMPUTED_VALUE"""),472.0)</f>
        <v>472</v>
      </c>
      <c r="C33" s="6">
        <f>IFERROR(__xludf.DUMMYFUNCTION("""COMPUTED_VALUE"""),485.4)</f>
        <v>485.4</v>
      </c>
      <c r="D33" s="6">
        <f>IFERROR(__xludf.DUMMYFUNCTION("""COMPUTED_VALUE"""),457.5)</f>
        <v>457.5</v>
      </c>
      <c r="E33" s="6">
        <f>IFERROR(__xludf.DUMMYFUNCTION("""COMPUTED_VALUE"""),473.4)</f>
        <v>473.4</v>
      </c>
      <c r="F33" s="6">
        <f>IFERROR(__xludf.DUMMYFUNCTION("""COMPUTED_VALUE"""),7578084.0)</f>
        <v>7578084</v>
      </c>
    </row>
    <row r="34">
      <c r="A34" s="7">
        <f>IFERROR(__xludf.DUMMYFUNCTION("""COMPUTED_VALUE"""),45408.64583333333)</f>
        <v>45408.64583</v>
      </c>
      <c r="B34" s="6">
        <f>IFERROR(__xludf.DUMMYFUNCTION("""COMPUTED_VALUE"""),476.0)</f>
        <v>476</v>
      </c>
      <c r="C34" s="6">
        <f>IFERROR(__xludf.DUMMYFUNCTION("""COMPUTED_VALUE"""),501.3)</f>
        <v>501.3</v>
      </c>
      <c r="D34" s="6">
        <f>IFERROR(__xludf.DUMMYFUNCTION("""COMPUTED_VALUE"""),475.45)</f>
        <v>475.45</v>
      </c>
      <c r="E34" s="6">
        <f>IFERROR(__xludf.DUMMYFUNCTION("""COMPUTED_VALUE"""),492.4)</f>
        <v>492.4</v>
      </c>
      <c r="F34" s="6">
        <f>IFERROR(__xludf.DUMMYFUNCTION("""COMPUTED_VALUE"""),9205120.0)</f>
        <v>9205120</v>
      </c>
    </row>
    <row r="35">
      <c r="A35" s="7">
        <f>IFERROR(__xludf.DUMMYFUNCTION("""COMPUTED_VALUE"""),45415.64583333333)</f>
        <v>45415.64583</v>
      </c>
      <c r="B35" s="6">
        <f>IFERROR(__xludf.DUMMYFUNCTION("""COMPUTED_VALUE"""),495.7)</f>
        <v>495.7</v>
      </c>
      <c r="C35" s="6">
        <f>IFERROR(__xludf.DUMMYFUNCTION("""COMPUTED_VALUE"""),518.8)</f>
        <v>518.8</v>
      </c>
      <c r="D35" s="6">
        <f>IFERROR(__xludf.DUMMYFUNCTION("""COMPUTED_VALUE"""),488.1)</f>
        <v>488.1</v>
      </c>
      <c r="E35" s="6">
        <f>IFERROR(__xludf.DUMMYFUNCTION("""COMPUTED_VALUE"""),502.55)</f>
        <v>502.55</v>
      </c>
      <c r="F35" s="6">
        <f>IFERROR(__xludf.DUMMYFUNCTION("""COMPUTED_VALUE"""),1.1667764E7)</f>
        <v>11667764</v>
      </c>
    </row>
    <row r="36">
      <c r="A36" s="7">
        <f>IFERROR(__xludf.DUMMYFUNCTION("""COMPUTED_VALUE"""),45422.64583333333)</f>
        <v>45422.64583</v>
      </c>
      <c r="B36" s="6">
        <f>IFERROR(__xludf.DUMMYFUNCTION("""COMPUTED_VALUE"""),506.0)</f>
        <v>506</v>
      </c>
      <c r="C36" s="6">
        <f>IFERROR(__xludf.DUMMYFUNCTION("""COMPUTED_VALUE"""),506.0)</f>
        <v>506</v>
      </c>
      <c r="D36" s="6">
        <f>IFERROR(__xludf.DUMMYFUNCTION("""COMPUTED_VALUE"""),466.9)</f>
        <v>466.9</v>
      </c>
      <c r="E36" s="6">
        <f>IFERROR(__xludf.DUMMYFUNCTION("""COMPUTED_VALUE"""),480.75)</f>
        <v>480.75</v>
      </c>
      <c r="F36" s="6">
        <f>IFERROR(__xludf.DUMMYFUNCTION("""COMPUTED_VALUE"""),8111200.0)</f>
        <v>8111200</v>
      </c>
    </row>
    <row r="37">
      <c r="A37" s="7">
        <f>IFERROR(__xludf.DUMMYFUNCTION("""COMPUTED_VALUE"""),45436.64583333333)</f>
        <v>45436.64583</v>
      </c>
      <c r="B37" s="6">
        <f>IFERROR(__xludf.DUMMYFUNCTION("""COMPUTED_VALUE"""),492.6)</f>
        <v>492.6</v>
      </c>
      <c r="C37" s="6">
        <f>IFERROR(__xludf.DUMMYFUNCTION("""COMPUTED_VALUE"""),510.0)</f>
        <v>510</v>
      </c>
      <c r="D37" s="6">
        <f>IFERROR(__xludf.DUMMYFUNCTION("""COMPUTED_VALUE"""),478.35)</f>
        <v>478.35</v>
      </c>
      <c r="E37" s="6">
        <f>IFERROR(__xludf.DUMMYFUNCTION("""COMPUTED_VALUE"""),481.65)</f>
        <v>481.65</v>
      </c>
      <c r="F37" s="6">
        <f>IFERROR(__xludf.DUMMYFUNCTION("""COMPUTED_VALUE"""),1.7116289E7)</f>
        <v>17116289</v>
      </c>
    </row>
    <row r="38">
      <c r="A38" s="7">
        <f>IFERROR(__xludf.DUMMYFUNCTION("""COMPUTED_VALUE"""),45443.64583333333)</f>
        <v>45443.64583</v>
      </c>
      <c r="B38" s="6">
        <f>IFERROR(__xludf.DUMMYFUNCTION("""COMPUTED_VALUE"""),481.7)</f>
        <v>481.7</v>
      </c>
      <c r="C38" s="6">
        <f>IFERROR(__xludf.DUMMYFUNCTION("""COMPUTED_VALUE"""),483.0)</f>
        <v>483</v>
      </c>
      <c r="D38" s="6">
        <f>IFERROR(__xludf.DUMMYFUNCTION("""COMPUTED_VALUE"""),461.95)</f>
        <v>461.95</v>
      </c>
      <c r="E38" s="6">
        <f>IFERROR(__xludf.DUMMYFUNCTION("""COMPUTED_VALUE"""),463.5)</f>
        <v>463.5</v>
      </c>
      <c r="F38" s="6">
        <f>IFERROR(__xludf.DUMMYFUNCTION("""COMPUTED_VALUE"""),1.8952541E7)</f>
        <v>18952541</v>
      </c>
    </row>
    <row r="39">
      <c r="A39" s="7">
        <f>IFERROR(__xludf.DUMMYFUNCTION("""COMPUTED_VALUE"""),45450.64583333333)</f>
        <v>45450.64583</v>
      </c>
      <c r="B39" s="6">
        <f>IFERROR(__xludf.DUMMYFUNCTION("""COMPUTED_VALUE"""),477.0)</f>
        <v>477</v>
      </c>
      <c r="C39" s="6">
        <f>IFERROR(__xludf.DUMMYFUNCTION("""COMPUTED_VALUE"""),486.55)</f>
        <v>486.55</v>
      </c>
      <c r="D39" s="6">
        <f>IFERROR(__xludf.DUMMYFUNCTION("""COMPUTED_VALUE"""),429.0)</f>
        <v>429</v>
      </c>
      <c r="E39" s="6">
        <f>IFERROR(__xludf.DUMMYFUNCTION("""COMPUTED_VALUE"""),485.05)</f>
        <v>485.05</v>
      </c>
      <c r="F39" s="6">
        <f>IFERROR(__xludf.DUMMYFUNCTION("""COMPUTED_VALUE"""),1.3835452E7)</f>
        <v>13835452</v>
      </c>
    </row>
    <row r="40">
      <c r="A40" s="7">
        <f>IFERROR(__xludf.DUMMYFUNCTION("""COMPUTED_VALUE"""),45457.64583333333)</f>
        <v>45457.64583</v>
      </c>
      <c r="B40" s="6">
        <f>IFERROR(__xludf.DUMMYFUNCTION("""COMPUTED_VALUE"""),486.05)</f>
        <v>486.05</v>
      </c>
      <c r="C40" s="6">
        <f>IFERROR(__xludf.DUMMYFUNCTION("""COMPUTED_VALUE"""),488.4)</f>
        <v>488.4</v>
      </c>
      <c r="D40" s="6">
        <f>IFERROR(__xludf.DUMMYFUNCTION("""COMPUTED_VALUE"""),472.1)</f>
        <v>472.1</v>
      </c>
      <c r="E40" s="6">
        <f>IFERROR(__xludf.DUMMYFUNCTION("""COMPUTED_VALUE"""),476.45)</f>
        <v>476.45</v>
      </c>
      <c r="F40" s="6">
        <f>IFERROR(__xludf.DUMMYFUNCTION("""COMPUTED_VALUE"""),9841735.0)</f>
        <v>9841735</v>
      </c>
    </row>
    <row r="41">
      <c r="A41" s="7">
        <f>IFERROR(__xludf.DUMMYFUNCTION("""COMPUTED_VALUE"""),45464.64583333333)</f>
        <v>45464.64583</v>
      </c>
      <c r="B41" s="6">
        <f>IFERROR(__xludf.DUMMYFUNCTION("""COMPUTED_VALUE"""),477.25)</f>
        <v>477.25</v>
      </c>
      <c r="C41" s="6">
        <f>IFERROR(__xludf.DUMMYFUNCTION("""COMPUTED_VALUE"""),507.0)</f>
        <v>507</v>
      </c>
      <c r="D41" s="6">
        <f>IFERROR(__xludf.DUMMYFUNCTION("""COMPUTED_VALUE"""),477.0)</f>
        <v>477</v>
      </c>
      <c r="E41" s="6">
        <f>IFERROR(__xludf.DUMMYFUNCTION("""COMPUTED_VALUE"""),502.05)</f>
        <v>502.05</v>
      </c>
      <c r="F41" s="6">
        <f>IFERROR(__xludf.DUMMYFUNCTION("""COMPUTED_VALUE"""),1.5945481E7)</f>
        <v>15945481</v>
      </c>
    </row>
    <row r="42">
      <c r="A42" s="7">
        <f>IFERROR(__xludf.DUMMYFUNCTION("""COMPUTED_VALUE"""),45471.64583333333)</f>
        <v>45471.64583</v>
      </c>
      <c r="B42" s="6">
        <f>IFERROR(__xludf.DUMMYFUNCTION("""COMPUTED_VALUE"""),501.0)</f>
        <v>501</v>
      </c>
      <c r="C42" s="6">
        <f>IFERROR(__xludf.DUMMYFUNCTION("""COMPUTED_VALUE"""),547.6)</f>
        <v>547.6</v>
      </c>
      <c r="D42" s="6">
        <f>IFERROR(__xludf.DUMMYFUNCTION("""COMPUTED_VALUE"""),488.4)</f>
        <v>488.4</v>
      </c>
      <c r="E42" s="6">
        <f>IFERROR(__xludf.DUMMYFUNCTION("""COMPUTED_VALUE"""),541.9)</f>
        <v>541.9</v>
      </c>
      <c r="F42" s="6">
        <f>IFERROR(__xludf.DUMMYFUNCTION("""COMPUTED_VALUE"""),3.3111311E7)</f>
        <v>33111311</v>
      </c>
    </row>
    <row r="43">
      <c r="A43" s="7">
        <f>IFERROR(__xludf.DUMMYFUNCTION("""COMPUTED_VALUE"""),45478.64583333333)</f>
        <v>45478.64583</v>
      </c>
      <c r="B43" s="6">
        <f>IFERROR(__xludf.DUMMYFUNCTION("""COMPUTED_VALUE"""),543.7)</f>
        <v>543.7</v>
      </c>
      <c r="C43" s="6">
        <f>IFERROR(__xludf.DUMMYFUNCTION("""COMPUTED_VALUE"""),550.15)</f>
        <v>550.15</v>
      </c>
      <c r="D43" s="6">
        <f>IFERROR(__xludf.DUMMYFUNCTION("""COMPUTED_VALUE"""),521.0)</f>
        <v>521</v>
      </c>
      <c r="E43" s="6">
        <f>IFERROR(__xludf.DUMMYFUNCTION("""COMPUTED_VALUE"""),524.35)</f>
        <v>524.35</v>
      </c>
      <c r="F43" s="6">
        <f>IFERROR(__xludf.DUMMYFUNCTION("""COMPUTED_VALUE"""),1.3169283E7)</f>
        <v>13169283</v>
      </c>
    </row>
    <row r="44">
      <c r="A44" s="7">
        <f>IFERROR(__xludf.DUMMYFUNCTION("""COMPUTED_VALUE"""),45485.64583333333)</f>
        <v>45485.64583</v>
      </c>
      <c r="B44" s="6">
        <f>IFERROR(__xludf.DUMMYFUNCTION("""COMPUTED_VALUE"""),527.1)</f>
        <v>527.1</v>
      </c>
      <c r="C44" s="6">
        <f>IFERROR(__xludf.DUMMYFUNCTION("""COMPUTED_VALUE"""),542.45)</f>
        <v>542.45</v>
      </c>
      <c r="D44" s="6">
        <f>IFERROR(__xludf.DUMMYFUNCTION("""COMPUTED_VALUE"""),518.0)</f>
        <v>518</v>
      </c>
      <c r="E44" s="6">
        <f>IFERROR(__xludf.DUMMYFUNCTION("""COMPUTED_VALUE"""),518.8)</f>
        <v>518.8</v>
      </c>
      <c r="F44" s="6">
        <f>IFERROR(__xludf.DUMMYFUNCTION("""COMPUTED_VALUE"""),1.2503478E7)</f>
        <v>12503478</v>
      </c>
    </row>
    <row r="45">
      <c r="A45" s="7">
        <f>IFERROR(__xludf.DUMMYFUNCTION("""COMPUTED_VALUE"""),45492.64583333333)</f>
        <v>45492.64583</v>
      </c>
      <c r="B45" s="6">
        <f>IFERROR(__xludf.DUMMYFUNCTION("""COMPUTED_VALUE"""),525.0)</f>
        <v>525</v>
      </c>
      <c r="C45" s="6">
        <f>IFERROR(__xludf.DUMMYFUNCTION("""COMPUTED_VALUE"""),555.15)</f>
        <v>555.15</v>
      </c>
      <c r="D45" s="6">
        <f>IFERROR(__xludf.DUMMYFUNCTION("""COMPUTED_VALUE"""),501.55)</f>
        <v>501.55</v>
      </c>
      <c r="E45" s="6">
        <f>IFERROR(__xludf.DUMMYFUNCTION("""COMPUTED_VALUE"""),525.6)</f>
        <v>525.6</v>
      </c>
      <c r="F45" s="6">
        <f>IFERROR(__xludf.DUMMYFUNCTION("""COMPUTED_VALUE"""),3.3458823E7)</f>
        <v>33458823</v>
      </c>
    </row>
    <row r="46">
      <c r="A46" s="7">
        <f>IFERROR(__xludf.DUMMYFUNCTION("""COMPUTED_VALUE"""),45499.64583333333)</f>
        <v>45499.64583</v>
      </c>
      <c r="B46" s="6">
        <f>IFERROR(__xludf.DUMMYFUNCTION("""COMPUTED_VALUE"""),524.0)</f>
        <v>524</v>
      </c>
      <c r="C46" s="6">
        <f>IFERROR(__xludf.DUMMYFUNCTION("""COMPUTED_VALUE"""),558.5)</f>
        <v>558.5</v>
      </c>
      <c r="D46" s="6">
        <f>IFERROR(__xludf.DUMMYFUNCTION("""COMPUTED_VALUE"""),500.5)</f>
        <v>500.5</v>
      </c>
      <c r="E46" s="6">
        <f>IFERROR(__xludf.DUMMYFUNCTION("""COMPUTED_VALUE"""),550.4)</f>
        <v>550.4</v>
      </c>
      <c r="F46" s="6">
        <f>IFERROR(__xludf.DUMMYFUNCTION("""COMPUTED_VALUE"""),1.4238046E7)</f>
        <v>14238046</v>
      </c>
    </row>
    <row r="47">
      <c r="A47" s="7">
        <f>IFERROR(__xludf.DUMMYFUNCTION("""COMPUTED_VALUE"""),45506.64583333333)</f>
        <v>45506.64583</v>
      </c>
      <c r="B47" s="6">
        <f>IFERROR(__xludf.DUMMYFUNCTION("""COMPUTED_VALUE"""),557.0)</f>
        <v>557</v>
      </c>
      <c r="C47" s="6">
        <f>IFERROR(__xludf.DUMMYFUNCTION("""COMPUTED_VALUE"""),568.05)</f>
        <v>568.05</v>
      </c>
      <c r="D47" s="6">
        <f>IFERROR(__xludf.DUMMYFUNCTION("""COMPUTED_VALUE"""),535.5)</f>
        <v>535.5</v>
      </c>
      <c r="E47" s="6">
        <f>IFERROR(__xludf.DUMMYFUNCTION("""COMPUTED_VALUE"""),536.65)</f>
        <v>536.65</v>
      </c>
      <c r="F47" s="6">
        <f>IFERROR(__xludf.DUMMYFUNCTION("""COMPUTED_VALUE"""),1.1761628E7)</f>
        <v>11761628</v>
      </c>
    </row>
    <row r="48">
      <c r="A48" s="7">
        <f>IFERROR(__xludf.DUMMYFUNCTION("""COMPUTED_VALUE"""),45513.64583333333)</f>
        <v>45513.64583</v>
      </c>
      <c r="B48" s="6">
        <f>IFERROR(__xludf.DUMMYFUNCTION("""COMPUTED_VALUE"""),527.9)</f>
        <v>527.9</v>
      </c>
      <c r="C48" s="6">
        <f>IFERROR(__xludf.DUMMYFUNCTION("""COMPUTED_VALUE"""),536.55)</f>
        <v>536.55</v>
      </c>
      <c r="D48" s="6">
        <f>IFERROR(__xludf.DUMMYFUNCTION("""COMPUTED_VALUE"""),489.7)</f>
        <v>489.7</v>
      </c>
      <c r="E48" s="6">
        <f>IFERROR(__xludf.DUMMYFUNCTION("""COMPUTED_VALUE"""),491.85)</f>
        <v>491.85</v>
      </c>
      <c r="F48" s="6">
        <f>IFERROR(__xludf.DUMMYFUNCTION("""COMPUTED_VALUE"""),1.4906632E7)</f>
        <v>14906632</v>
      </c>
    </row>
    <row r="49">
      <c r="A49" s="7">
        <f>IFERROR(__xludf.DUMMYFUNCTION("""COMPUTED_VALUE"""),45520.64583333333)</f>
        <v>45520.64583</v>
      </c>
      <c r="B49" s="6">
        <f>IFERROR(__xludf.DUMMYFUNCTION("""COMPUTED_VALUE"""),491.85)</f>
        <v>491.85</v>
      </c>
      <c r="C49" s="6">
        <f>IFERROR(__xludf.DUMMYFUNCTION("""COMPUTED_VALUE"""),497.4)</f>
        <v>497.4</v>
      </c>
      <c r="D49" s="6">
        <f>IFERROR(__xludf.DUMMYFUNCTION("""COMPUTED_VALUE"""),477.15)</f>
        <v>477.15</v>
      </c>
      <c r="E49" s="6">
        <f>IFERROR(__xludf.DUMMYFUNCTION("""COMPUTED_VALUE"""),485.15)</f>
        <v>485.15</v>
      </c>
      <c r="F49" s="6">
        <f>IFERROR(__xludf.DUMMYFUNCTION("""COMPUTED_VALUE"""),6589202.0)</f>
        <v>6589202</v>
      </c>
    </row>
    <row r="50">
      <c r="A50" s="7">
        <f>IFERROR(__xludf.DUMMYFUNCTION("""COMPUTED_VALUE"""),45527.64583333333)</f>
        <v>45527.64583</v>
      </c>
      <c r="B50" s="6">
        <f>IFERROR(__xludf.DUMMYFUNCTION("""COMPUTED_VALUE"""),486.6)</f>
        <v>486.6</v>
      </c>
      <c r="C50" s="6">
        <f>IFERROR(__xludf.DUMMYFUNCTION("""COMPUTED_VALUE"""),511.75)</f>
        <v>511.75</v>
      </c>
      <c r="D50" s="6">
        <f>IFERROR(__xludf.DUMMYFUNCTION("""COMPUTED_VALUE"""),482.2)</f>
        <v>482.2</v>
      </c>
      <c r="E50" s="6">
        <f>IFERROR(__xludf.DUMMYFUNCTION("""COMPUTED_VALUE"""),508.6)</f>
        <v>508.6</v>
      </c>
      <c r="F50" s="6">
        <f>IFERROR(__xludf.DUMMYFUNCTION("""COMPUTED_VALUE"""),9528478.0)</f>
        <v>9528478</v>
      </c>
    </row>
    <row r="51">
      <c r="A51" s="7">
        <f>IFERROR(__xludf.DUMMYFUNCTION("""COMPUTED_VALUE"""),45534.64583333333)</f>
        <v>45534.64583</v>
      </c>
      <c r="B51" s="6">
        <f>IFERROR(__xludf.DUMMYFUNCTION("""COMPUTED_VALUE"""),510.0)</f>
        <v>510</v>
      </c>
      <c r="C51" s="6">
        <f>IFERROR(__xludf.DUMMYFUNCTION("""COMPUTED_VALUE"""),512.0)</f>
        <v>512</v>
      </c>
      <c r="D51" s="6">
        <f>IFERROR(__xludf.DUMMYFUNCTION("""COMPUTED_VALUE"""),485.0)</f>
        <v>485</v>
      </c>
      <c r="E51" s="6">
        <f>IFERROR(__xludf.DUMMYFUNCTION("""COMPUTED_VALUE"""),492.9)</f>
        <v>492.9</v>
      </c>
      <c r="F51" s="6">
        <f>IFERROR(__xludf.DUMMYFUNCTION("""COMPUTED_VALUE"""),8833299.0)</f>
        <v>8833299</v>
      </c>
    </row>
    <row r="52">
      <c r="A52" s="7">
        <f>IFERROR(__xludf.DUMMYFUNCTION("""COMPUTED_VALUE"""),45541.64583333333)</f>
        <v>45541.64583</v>
      </c>
      <c r="B52" s="6">
        <f>IFERROR(__xludf.DUMMYFUNCTION("""COMPUTED_VALUE"""),494.05)</f>
        <v>494.05</v>
      </c>
      <c r="C52" s="6">
        <f>IFERROR(__xludf.DUMMYFUNCTION("""COMPUTED_VALUE"""),515.5)</f>
        <v>515.5</v>
      </c>
      <c r="D52" s="6">
        <f>IFERROR(__xludf.DUMMYFUNCTION("""COMPUTED_VALUE"""),492.8)</f>
        <v>492.8</v>
      </c>
      <c r="E52" s="6">
        <f>IFERROR(__xludf.DUMMYFUNCTION("""COMPUTED_VALUE"""),507.75)</f>
        <v>507.75</v>
      </c>
      <c r="F52" s="6">
        <f>IFERROR(__xludf.DUMMYFUNCTION("""COMPUTED_VALUE"""),8475927.0)</f>
        <v>8475927</v>
      </c>
    </row>
    <row r="53">
      <c r="A53" s="7">
        <f>IFERROR(__xludf.DUMMYFUNCTION("""COMPUTED_VALUE"""),45548.64583333333)</f>
        <v>45548.64583</v>
      </c>
      <c r="B53" s="6">
        <f>IFERROR(__xludf.DUMMYFUNCTION("""COMPUTED_VALUE"""),507.0)</f>
        <v>507</v>
      </c>
      <c r="C53" s="6">
        <f>IFERROR(__xludf.DUMMYFUNCTION("""COMPUTED_VALUE"""),531.35)</f>
        <v>531.35</v>
      </c>
      <c r="D53" s="6">
        <f>IFERROR(__xludf.DUMMYFUNCTION("""COMPUTED_VALUE"""),499.1)</f>
        <v>499.1</v>
      </c>
      <c r="E53" s="6">
        <f>IFERROR(__xludf.DUMMYFUNCTION("""COMPUTED_VALUE"""),526.7)</f>
        <v>526.7</v>
      </c>
      <c r="F53" s="6">
        <f>IFERROR(__xludf.DUMMYFUNCTION("""COMPUTED_VALUE"""),8981985.0)</f>
        <v>8981985</v>
      </c>
    </row>
    <row r="54">
      <c r="A54" s="7">
        <f>IFERROR(__xludf.DUMMYFUNCTION("""COMPUTED_VALUE"""),45555.64583333333)</f>
        <v>45555.64583</v>
      </c>
      <c r="B54" s="6">
        <f>IFERROR(__xludf.DUMMYFUNCTION("""COMPUTED_VALUE"""),529.7)</f>
        <v>529.7</v>
      </c>
      <c r="C54" s="6">
        <f>IFERROR(__xludf.DUMMYFUNCTION("""COMPUTED_VALUE"""),534.1)</f>
        <v>534.1</v>
      </c>
      <c r="D54" s="6">
        <f>IFERROR(__xludf.DUMMYFUNCTION("""COMPUTED_VALUE"""),505.65)</f>
        <v>505.65</v>
      </c>
      <c r="E54" s="6">
        <f>IFERROR(__xludf.DUMMYFUNCTION("""COMPUTED_VALUE"""),515.6)</f>
        <v>515.6</v>
      </c>
      <c r="F54" s="6">
        <f>IFERROR(__xludf.DUMMYFUNCTION("""COMPUTED_VALUE"""),8305288.0)</f>
        <v>8305288</v>
      </c>
    </row>
    <row r="55">
      <c r="A55" s="7">
        <f>IFERROR(__xludf.DUMMYFUNCTION("""COMPUTED_VALUE"""),45562.64583333333)</f>
        <v>45562.64583</v>
      </c>
      <c r="B55" s="6">
        <f>IFERROR(__xludf.DUMMYFUNCTION("""COMPUTED_VALUE"""),516.95)</f>
        <v>516.95</v>
      </c>
      <c r="C55" s="6">
        <f>IFERROR(__xludf.DUMMYFUNCTION("""COMPUTED_VALUE"""),584.9)</f>
        <v>584.9</v>
      </c>
      <c r="D55" s="6">
        <f>IFERROR(__xludf.DUMMYFUNCTION("""COMPUTED_VALUE"""),515.8)</f>
        <v>515.8</v>
      </c>
      <c r="E55" s="6">
        <f>IFERROR(__xludf.DUMMYFUNCTION("""COMPUTED_VALUE"""),547.55)</f>
        <v>547.55</v>
      </c>
      <c r="F55" s="6">
        <f>IFERROR(__xludf.DUMMYFUNCTION("""COMPUTED_VALUE"""),1.630692E7)</f>
        <v>16306920</v>
      </c>
    </row>
    <row r="56">
      <c r="A56" s="7">
        <f>IFERROR(__xludf.DUMMYFUNCTION("""COMPUTED_VALUE"""),45569.64583333333)</f>
        <v>45569.64583</v>
      </c>
      <c r="B56" s="6">
        <f>IFERROR(__xludf.DUMMYFUNCTION("""COMPUTED_VALUE"""),547.5)</f>
        <v>547.5</v>
      </c>
      <c r="C56" s="6">
        <f>IFERROR(__xludf.DUMMYFUNCTION("""COMPUTED_VALUE"""),552.15)</f>
        <v>552.15</v>
      </c>
      <c r="D56" s="6">
        <f>IFERROR(__xludf.DUMMYFUNCTION("""COMPUTED_VALUE"""),508.65)</f>
        <v>508.65</v>
      </c>
      <c r="E56" s="6">
        <f>IFERROR(__xludf.DUMMYFUNCTION("""COMPUTED_VALUE"""),511.55)</f>
        <v>511.55</v>
      </c>
      <c r="F56" s="6">
        <f>IFERROR(__xludf.DUMMYFUNCTION("""COMPUTED_VALUE"""),7866518.0)</f>
        <v>7866518</v>
      </c>
    </row>
    <row r="57">
      <c r="A57" s="7">
        <f>IFERROR(__xludf.DUMMYFUNCTION("""COMPUTED_VALUE"""),45576.64583333333)</f>
        <v>45576.64583</v>
      </c>
      <c r="B57" s="6">
        <f>IFERROR(__xludf.DUMMYFUNCTION("""COMPUTED_VALUE"""),511.6)</f>
        <v>511.6</v>
      </c>
      <c r="C57" s="6">
        <f>IFERROR(__xludf.DUMMYFUNCTION("""COMPUTED_VALUE"""),519.35)</f>
        <v>519.35</v>
      </c>
      <c r="D57" s="6">
        <f>IFERROR(__xludf.DUMMYFUNCTION("""COMPUTED_VALUE"""),491.4)</f>
        <v>491.4</v>
      </c>
      <c r="E57" s="6">
        <f>IFERROR(__xludf.DUMMYFUNCTION("""COMPUTED_VALUE"""),505.05)</f>
        <v>505.05</v>
      </c>
      <c r="F57" s="6">
        <f>IFERROR(__xludf.DUMMYFUNCTION("""COMPUTED_VALUE"""),7503284.0)</f>
        <v>7503284</v>
      </c>
    </row>
    <row r="58">
      <c r="A58" s="7">
        <f>IFERROR(__xludf.DUMMYFUNCTION("""COMPUTED_VALUE"""),45583.64583333333)</f>
        <v>45583.64583</v>
      </c>
      <c r="B58" s="6">
        <f>IFERROR(__xludf.DUMMYFUNCTION("""COMPUTED_VALUE"""),505.0)</f>
        <v>505</v>
      </c>
      <c r="C58" s="6">
        <f>IFERROR(__xludf.DUMMYFUNCTION("""COMPUTED_VALUE"""),522.9)</f>
        <v>522.9</v>
      </c>
      <c r="D58" s="6">
        <f>IFERROR(__xludf.DUMMYFUNCTION("""COMPUTED_VALUE"""),494.95)</f>
        <v>494.95</v>
      </c>
      <c r="E58" s="6">
        <f>IFERROR(__xludf.DUMMYFUNCTION("""COMPUTED_VALUE"""),505.75)</f>
        <v>505.75</v>
      </c>
      <c r="F58" s="6">
        <f>IFERROR(__xludf.DUMMYFUNCTION("""COMPUTED_VALUE"""),7897633.0)</f>
        <v>7897633</v>
      </c>
    </row>
    <row r="59">
      <c r="A59" s="7">
        <f>IFERROR(__xludf.DUMMYFUNCTION("""COMPUTED_VALUE"""),45590.64583333333)</f>
        <v>45590.64583</v>
      </c>
      <c r="B59" s="6">
        <f>IFERROR(__xludf.DUMMYFUNCTION("""COMPUTED_VALUE"""),506.65)</f>
        <v>506.65</v>
      </c>
      <c r="C59" s="6">
        <f>IFERROR(__xludf.DUMMYFUNCTION("""COMPUTED_VALUE"""),514.4)</f>
        <v>514.4</v>
      </c>
      <c r="D59" s="6">
        <f>IFERROR(__xludf.DUMMYFUNCTION("""COMPUTED_VALUE"""),474.25)</f>
        <v>474.25</v>
      </c>
      <c r="E59" s="6">
        <f>IFERROR(__xludf.DUMMYFUNCTION("""COMPUTED_VALUE"""),480.05)</f>
        <v>480.05</v>
      </c>
      <c r="F59" s="6">
        <f>IFERROR(__xludf.DUMMYFUNCTION("""COMPUTED_VALUE"""),6665466.0)</f>
        <v>6665466</v>
      </c>
    </row>
    <row r="60">
      <c r="A60" s="7">
        <f>IFERROR(__xludf.DUMMYFUNCTION("""COMPUTED_VALUE"""),45604.64583333333)</f>
        <v>45604.64583</v>
      </c>
      <c r="B60" s="6">
        <f>IFERROR(__xludf.DUMMYFUNCTION("""COMPUTED_VALUE"""),502.95)</f>
        <v>502.95</v>
      </c>
      <c r="C60" s="6">
        <f>IFERROR(__xludf.DUMMYFUNCTION("""COMPUTED_VALUE"""),504.0)</f>
        <v>504</v>
      </c>
      <c r="D60" s="6">
        <f>IFERROR(__xludf.DUMMYFUNCTION("""COMPUTED_VALUE"""),474.75)</f>
        <v>474.75</v>
      </c>
      <c r="E60" s="6">
        <f>IFERROR(__xludf.DUMMYFUNCTION("""COMPUTED_VALUE"""),491.05)</f>
        <v>491.05</v>
      </c>
      <c r="F60" s="6">
        <f>IFERROR(__xludf.DUMMYFUNCTION("""COMPUTED_VALUE"""),5470483.0)</f>
        <v>5470483</v>
      </c>
    </row>
    <row r="61">
      <c r="A61" s="7">
        <f>IFERROR(__xludf.DUMMYFUNCTION("""COMPUTED_VALUE"""),45610.64583333333)</f>
        <v>45610.64583</v>
      </c>
      <c r="B61" s="6">
        <f>IFERROR(__xludf.DUMMYFUNCTION("""COMPUTED_VALUE"""),491.55)</f>
        <v>491.55</v>
      </c>
      <c r="C61" s="6">
        <f>IFERROR(__xludf.DUMMYFUNCTION("""COMPUTED_VALUE"""),493.45)</f>
        <v>493.45</v>
      </c>
      <c r="D61" s="6">
        <f>IFERROR(__xludf.DUMMYFUNCTION("""COMPUTED_VALUE"""),448.15)</f>
        <v>448.15</v>
      </c>
      <c r="E61" s="6">
        <f>IFERROR(__xludf.DUMMYFUNCTION("""COMPUTED_VALUE"""),475.3)</f>
        <v>475.3</v>
      </c>
      <c r="F61" s="6">
        <f>IFERROR(__xludf.DUMMYFUNCTION("""COMPUTED_VALUE"""),8055658.0)</f>
        <v>8055658</v>
      </c>
    </row>
    <row r="62">
      <c r="A62" s="7">
        <f>IFERROR(__xludf.DUMMYFUNCTION("""COMPUTED_VALUE"""),45618.64583333333)</f>
        <v>45618.64583</v>
      </c>
      <c r="B62" s="6">
        <f>IFERROR(__xludf.DUMMYFUNCTION("""COMPUTED_VALUE"""),471.3)</f>
        <v>471.3</v>
      </c>
      <c r="C62" s="6">
        <f>IFERROR(__xludf.DUMMYFUNCTION("""COMPUTED_VALUE"""),496.1)</f>
        <v>496.1</v>
      </c>
      <c r="D62" s="6">
        <f>IFERROR(__xludf.DUMMYFUNCTION("""COMPUTED_VALUE"""),465.6)</f>
        <v>465.6</v>
      </c>
      <c r="E62" s="6">
        <f>IFERROR(__xludf.DUMMYFUNCTION("""COMPUTED_VALUE"""),495.0)</f>
        <v>495</v>
      </c>
      <c r="F62" s="6">
        <f>IFERROR(__xludf.DUMMYFUNCTION("""COMPUTED_VALUE"""),4559514.0)</f>
        <v>4559514</v>
      </c>
    </row>
    <row r="63">
      <c r="A63" s="7">
        <f>IFERROR(__xludf.DUMMYFUNCTION("""COMPUTED_VALUE"""),45625.64583333333)</f>
        <v>45625.64583</v>
      </c>
      <c r="B63" s="6">
        <f>IFERROR(__xludf.DUMMYFUNCTION("""COMPUTED_VALUE"""),495.1)</f>
        <v>495.1</v>
      </c>
      <c r="C63" s="6">
        <f>IFERROR(__xludf.DUMMYFUNCTION("""COMPUTED_VALUE"""),522.4)</f>
        <v>522.4</v>
      </c>
      <c r="D63" s="6">
        <f>IFERROR(__xludf.DUMMYFUNCTION("""COMPUTED_VALUE"""),495.1)</f>
        <v>495.1</v>
      </c>
      <c r="E63" s="6">
        <f>IFERROR(__xludf.DUMMYFUNCTION("""COMPUTED_VALUE"""),509.65)</f>
        <v>509.65</v>
      </c>
      <c r="F63" s="6">
        <f>IFERROR(__xludf.DUMMYFUNCTION("""COMPUTED_VALUE"""),5592100.0)</f>
        <v>5592100</v>
      </c>
    </row>
    <row r="64">
      <c r="A64" s="7">
        <f>IFERROR(__xludf.DUMMYFUNCTION("""COMPUTED_VALUE"""),45632.64583333333)</f>
        <v>45632.64583</v>
      </c>
      <c r="B64" s="6">
        <f>IFERROR(__xludf.DUMMYFUNCTION("""COMPUTED_VALUE"""),509.9)</f>
        <v>509.9</v>
      </c>
      <c r="C64" s="6">
        <f>IFERROR(__xludf.DUMMYFUNCTION("""COMPUTED_VALUE"""),544.65)</f>
        <v>544.65</v>
      </c>
      <c r="D64" s="6">
        <f>IFERROR(__xludf.DUMMYFUNCTION("""COMPUTED_VALUE"""),506.35)</f>
        <v>506.35</v>
      </c>
      <c r="E64" s="6">
        <f>IFERROR(__xludf.DUMMYFUNCTION("""COMPUTED_VALUE"""),541.8)</f>
        <v>541.8</v>
      </c>
      <c r="F64" s="6">
        <f>IFERROR(__xludf.DUMMYFUNCTION("""COMPUTED_VALUE"""),5616470.0)</f>
        <v>5616470</v>
      </c>
    </row>
    <row r="65">
      <c r="A65" s="7">
        <f>IFERROR(__xludf.DUMMYFUNCTION("""COMPUTED_VALUE"""),45639.64583333333)</f>
        <v>45639.64583</v>
      </c>
      <c r="B65" s="6">
        <f>IFERROR(__xludf.DUMMYFUNCTION("""COMPUTED_VALUE"""),538.0)</f>
        <v>538</v>
      </c>
      <c r="C65" s="6">
        <f>IFERROR(__xludf.DUMMYFUNCTION("""COMPUTED_VALUE"""),557.0)</f>
        <v>557</v>
      </c>
      <c r="D65" s="6">
        <f>IFERROR(__xludf.DUMMYFUNCTION("""COMPUTED_VALUE"""),536.65)</f>
        <v>536.65</v>
      </c>
      <c r="E65" s="6">
        <f>IFERROR(__xludf.DUMMYFUNCTION("""COMPUTED_VALUE"""),547.8)</f>
        <v>547.8</v>
      </c>
      <c r="F65" s="6">
        <f>IFERROR(__xludf.DUMMYFUNCTION("""COMPUTED_VALUE"""),7523591.0)</f>
        <v>7523591</v>
      </c>
    </row>
    <row r="66">
      <c r="A66" s="7">
        <f>IFERROR(__xludf.DUMMYFUNCTION("""COMPUTED_VALUE"""),45646.64583333333)</f>
        <v>45646.64583</v>
      </c>
      <c r="B66" s="6">
        <f>IFERROR(__xludf.DUMMYFUNCTION("""COMPUTED_VALUE"""),548.0)</f>
        <v>548</v>
      </c>
      <c r="C66" s="6">
        <f>IFERROR(__xludf.DUMMYFUNCTION("""COMPUTED_VALUE"""),550.45)</f>
        <v>550.45</v>
      </c>
      <c r="D66" s="6">
        <f>IFERROR(__xludf.DUMMYFUNCTION("""COMPUTED_VALUE"""),520.05)</f>
        <v>520.05</v>
      </c>
      <c r="E66" s="6">
        <f>IFERROR(__xludf.DUMMYFUNCTION("""COMPUTED_VALUE"""),531.95)</f>
        <v>531.95</v>
      </c>
      <c r="F66" s="6">
        <f>IFERROR(__xludf.DUMMYFUNCTION("""COMPUTED_VALUE"""),7319149.0)</f>
        <v>7319149</v>
      </c>
    </row>
    <row r="67">
      <c r="A67" s="7">
        <f>IFERROR(__xludf.DUMMYFUNCTION("""COMPUTED_VALUE"""),45653.64583333333)</f>
        <v>45653.64583</v>
      </c>
      <c r="B67" s="6">
        <f>IFERROR(__xludf.DUMMYFUNCTION("""COMPUTED_VALUE"""),533.9)</f>
        <v>533.9</v>
      </c>
      <c r="C67" s="6">
        <f>IFERROR(__xludf.DUMMYFUNCTION("""COMPUTED_VALUE"""),546.0)</f>
        <v>546</v>
      </c>
      <c r="D67" s="6">
        <f>IFERROR(__xludf.DUMMYFUNCTION("""COMPUTED_VALUE"""),527.0)</f>
        <v>527</v>
      </c>
      <c r="E67" s="6">
        <f>IFERROR(__xludf.DUMMYFUNCTION("""COMPUTED_VALUE"""),540.7)</f>
        <v>540.7</v>
      </c>
      <c r="F67" s="6">
        <f>IFERROR(__xludf.DUMMYFUNCTION("""COMPUTED_VALUE"""),5730017.0)</f>
        <v>5730017</v>
      </c>
    </row>
    <row r="68">
      <c r="A68" s="7">
        <f>IFERROR(__xludf.DUMMYFUNCTION("""COMPUTED_VALUE"""),45660.64583333333)</f>
        <v>45660.64583</v>
      </c>
      <c r="B68" s="6">
        <f>IFERROR(__xludf.DUMMYFUNCTION("""COMPUTED_VALUE"""),538.0)</f>
        <v>538</v>
      </c>
      <c r="C68" s="6">
        <f>IFERROR(__xludf.DUMMYFUNCTION("""COMPUTED_VALUE"""),540.55)</f>
        <v>540.55</v>
      </c>
      <c r="D68" s="6">
        <f>IFERROR(__xludf.DUMMYFUNCTION("""COMPUTED_VALUE"""),510.55)</f>
        <v>510.55</v>
      </c>
      <c r="E68" s="6">
        <f>IFERROR(__xludf.DUMMYFUNCTION("""COMPUTED_VALUE"""),511.95)</f>
        <v>511.95</v>
      </c>
      <c r="F68" s="6">
        <f>IFERROR(__xludf.DUMMYFUNCTION("""COMPUTED_VALUE"""),4700893.0)</f>
        <v>4700893</v>
      </c>
    </row>
    <row r="69">
      <c r="A69" s="7">
        <f>IFERROR(__xludf.DUMMYFUNCTION("""COMPUTED_VALUE"""),45667.64583333333)</f>
        <v>45667.64583</v>
      </c>
      <c r="B69" s="6">
        <f>IFERROR(__xludf.DUMMYFUNCTION("""COMPUTED_VALUE"""),511.5)</f>
        <v>511.5</v>
      </c>
      <c r="C69" s="6">
        <f>IFERROR(__xludf.DUMMYFUNCTION("""COMPUTED_VALUE"""),513.5)</f>
        <v>513.5</v>
      </c>
      <c r="D69" s="6">
        <f>IFERROR(__xludf.DUMMYFUNCTION("""COMPUTED_VALUE"""),458.5)</f>
        <v>458.5</v>
      </c>
      <c r="E69" s="6">
        <f>IFERROR(__xludf.DUMMYFUNCTION("""COMPUTED_VALUE"""),462.0)</f>
        <v>462</v>
      </c>
      <c r="F69" s="6">
        <f>IFERROR(__xludf.DUMMYFUNCTION("""COMPUTED_VALUE"""),9078874.0)</f>
        <v>9078874</v>
      </c>
    </row>
    <row r="70">
      <c r="A70" s="7">
        <f>IFERROR(__xludf.DUMMYFUNCTION("""COMPUTED_VALUE"""),45674.64583333333)</f>
        <v>45674.64583</v>
      </c>
      <c r="B70" s="6">
        <f>IFERROR(__xludf.DUMMYFUNCTION("""COMPUTED_VALUE"""),452.0)</f>
        <v>452</v>
      </c>
      <c r="C70" s="6">
        <f>IFERROR(__xludf.DUMMYFUNCTION("""COMPUTED_VALUE"""),465.35)</f>
        <v>465.35</v>
      </c>
      <c r="D70" s="6">
        <f>IFERROR(__xludf.DUMMYFUNCTION("""COMPUTED_VALUE"""),440.95)</f>
        <v>440.95</v>
      </c>
      <c r="E70" s="6">
        <f>IFERROR(__xludf.DUMMYFUNCTION("""COMPUTED_VALUE"""),452.8)</f>
        <v>452.8</v>
      </c>
      <c r="F70" s="6">
        <f>IFERROR(__xludf.DUMMYFUNCTION("""COMPUTED_VALUE"""),6223785.0)</f>
        <v>6223785</v>
      </c>
    </row>
    <row r="71">
      <c r="A71" s="7">
        <f>IFERROR(__xludf.DUMMYFUNCTION("""COMPUTED_VALUE"""),45681.64583333333)</f>
        <v>45681.64583</v>
      </c>
      <c r="B71" s="6">
        <f>IFERROR(__xludf.DUMMYFUNCTION("""COMPUTED_VALUE"""),452.8)</f>
        <v>452.8</v>
      </c>
      <c r="C71" s="6">
        <f>IFERROR(__xludf.DUMMYFUNCTION("""COMPUTED_VALUE"""),458.2)</f>
        <v>458.2</v>
      </c>
      <c r="D71" s="6">
        <f>IFERROR(__xludf.DUMMYFUNCTION("""COMPUTED_VALUE"""),422.45)</f>
        <v>422.45</v>
      </c>
      <c r="E71" s="6">
        <f>IFERROR(__xludf.DUMMYFUNCTION("""COMPUTED_VALUE"""),423.4)</f>
        <v>423.4</v>
      </c>
      <c r="F71" s="6">
        <f>IFERROR(__xludf.DUMMYFUNCTION("""COMPUTED_VALUE"""),7419138.0)</f>
        <v>7419138</v>
      </c>
    </row>
    <row r="72">
      <c r="A72" s="7">
        <f>IFERROR(__xludf.DUMMYFUNCTION("""COMPUTED_VALUE"""),45695.64583333333)</f>
        <v>45695.64583</v>
      </c>
      <c r="B72" s="6">
        <f>IFERROR(__xludf.DUMMYFUNCTION("""COMPUTED_VALUE"""),424.0)</f>
        <v>424</v>
      </c>
      <c r="C72" s="6">
        <f>IFERROR(__xludf.DUMMYFUNCTION("""COMPUTED_VALUE"""),430.9)</f>
        <v>430.9</v>
      </c>
      <c r="D72" s="6">
        <f>IFERROR(__xludf.DUMMYFUNCTION("""COMPUTED_VALUE"""),411.35)</f>
        <v>411.35</v>
      </c>
      <c r="E72" s="6">
        <f>IFERROR(__xludf.DUMMYFUNCTION("""COMPUTED_VALUE"""),426.15)</f>
        <v>426.15</v>
      </c>
      <c r="F72" s="6">
        <f>IFERROR(__xludf.DUMMYFUNCTION("""COMPUTED_VALUE"""),1.0032622E7)</f>
        <v>10032622</v>
      </c>
    </row>
    <row r="73">
      <c r="A73" s="7">
        <f>IFERROR(__xludf.DUMMYFUNCTION("""COMPUTED_VALUE"""),45702.64583333333)</f>
        <v>45702.64583</v>
      </c>
      <c r="B73" s="6">
        <f>IFERROR(__xludf.DUMMYFUNCTION("""COMPUTED_VALUE"""),429.0)</f>
        <v>429</v>
      </c>
      <c r="C73" s="6">
        <f>IFERROR(__xludf.DUMMYFUNCTION("""COMPUTED_VALUE"""),437.35)</f>
        <v>437.35</v>
      </c>
      <c r="D73" s="6">
        <f>IFERROR(__xludf.DUMMYFUNCTION("""COMPUTED_VALUE"""),408.1)</f>
        <v>408.1</v>
      </c>
      <c r="E73" s="6">
        <f>IFERROR(__xludf.DUMMYFUNCTION("""COMPUTED_VALUE"""),413.2)</f>
        <v>413.2</v>
      </c>
      <c r="F73" s="6">
        <f>IFERROR(__xludf.DUMMYFUNCTION("""COMPUTED_VALUE"""),8023801.0)</f>
        <v>8023801</v>
      </c>
    </row>
    <row r="74">
      <c r="A74" s="7">
        <f>IFERROR(__xludf.DUMMYFUNCTION("""COMPUTED_VALUE"""),45709.64583333333)</f>
        <v>45709.64583</v>
      </c>
      <c r="B74" s="6">
        <f>IFERROR(__xludf.DUMMYFUNCTION("""COMPUTED_VALUE"""),414.0)</f>
        <v>414</v>
      </c>
      <c r="C74" s="6">
        <f>IFERROR(__xludf.DUMMYFUNCTION("""COMPUTED_VALUE"""),423.55)</f>
        <v>423.55</v>
      </c>
      <c r="D74" s="6">
        <f>IFERROR(__xludf.DUMMYFUNCTION("""COMPUTED_VALUE"""),403.5)</f>
        <v>403.5</v>
      </c>
      <c r="E74" s="6">
        <f>IFERROR(__xludf.DUMMYFUNCTION("""COMPUTED_VALUE"""),408.65)</f>
        <v>408.65</v>
      </c>
      <c r="F74" s="6">
        <f>IFERROR(__xludf.DUMMYFUNCTION("""COMPUTED_VALUE"""),3961089.0)</f>
        <v>3961089</v>
      </c>
    </row>
    <row r="75">
      <c r="A75" s="7">
        <f>IFERROR(__xludf.DUMMYFUNCTION("""COMPUTED_VALUE"""),45716.64583333333)</f>
        <v>45716.64583</v>
      </c>
      <c r="B75" s="6">
        <f>IFERROR(__xludf.DUMMYFUNCTION("""COMPUTED_VALUE"""),408.5)</f>
        <v>408.5</v>
      </c>
      <c r="C75" s="6">
        <f>IFERROR(__xludf.DUMMYFUNCTION("""COMPUTED_VALUE"""),408.5)</f>
        <v>408.5</v>
      </c>
      <c r="D75" s="6">
        <f>IFERROR(__xludf.DUMMYFUNCTION("""COMPUTED_VALUE"""),373.35)</f>
        <v>373.35</v>
      </c>
      <c r="E75" s="6">
        <f>IFERROR(__xludf.DUMMYFUNCTION("""COMPUTED_VALUE"""),374.3)</f>
        <v>374.3</v>
      </c>
      <c r="F75" s="6">
        <f>IFERROR(__xludf.DUMMYFUNCTION("""COMPUTED_VALUE"""),6389565.0)</f>
        <v>6389565</v>
      </c>
    </row>
    <row r="76">
      <c r="A76" s="7">
        <f>IFERROR(__xludf.DUMMYFUNCTION("""COMPUTED_VALUE"""),45723.64583333333)</f>
        <v>45723.64583</v>
      </c>
      <c r="B76" s="6">
        <f>IFERROR(__xludf.DUMMYFUNCTION("""COMPUTED_VALUE"""),378.1)</f>
        <v>378.1</v>
      </c>
      <c r="C76" s="6">
        <f>IFERROR(__xludf.DUMMYFUNCTION("""COMPUTED_VALUE"""),413.5)</f>
        <v>413.5</v>
      </c>
      <c r="D76" s="6">
        <f>IFERROR(__xludf.DUMMYFUNCTION("""COMPUTED_VALUE"""),370.9)</f>
        <v>370.9</v>
      </c>
      <c r="E76" s="6">
        <f>IFERROR(__xludf.DUMMYFUNCTION("""COMPUTED_VALUE"""),411.7)</f>
        <v>411.7</v>
      </c>
      <c r="F76" s="6">
        <f>IFERROR(__xludf.DUMMYFUNCTION("""COMPUTED_VALUE"""),9638336.0)</f>
        <v>9638336</v>
      </c>
    </row>
    <row r="77">
      <c r="A77" s="7">
        <f>IFERROR(__xludf.DUMMYFUNCTION("""COMPUTED_VALUE"""),45729.64583333333)</f>
        <v>45729.64583</v>
      </c>
      <c r="B77" s="6">
        <f>IFERROR(__xludf.DUMMYFUNCTION("""COMPUTED_VALUE"""),411.5)</f>
        <v>411.5</v>
      </c>
      <c r="C77" s="6">
        <f>IFERROR(__xludf.DUMMYFUNCTION("""COMPUTED_VALUE"""),414.75)</f>
        <v>414.75</v>
      </c>
      <c r="D77" s="6">
        <f>IFERROR(__xludf.DUMMYFUNCTION("""COMPUTED_VALUE"""),399.1)</f>
        <v>399.1</v>
      </c>
      <c r="E77" s="6">
        <f>IFERROR(__xludf.DUMMYFUNCTION("""COMPUTED_VALUE"""),400.95)</f>
        <v>400.95</v>
      </c>
      <c r="F77" s="6">
        <f>IFERROR(__xludf.DUMMYFUNCTION("""COMPUTED_VALUE"""),3824376.0)</f>
        <v>3824376</v>
      </c>
    </row>
    <row r="78">
      <c r="A78" s="7">
        <f>IFERROR(__xludf.DUMMYFUNCTION("""COMPUTED_VALUE"""),45737.64583333333)</f>
        <v>45737.64583</v>
      </c>
      <c r="B78" s="6">
        <f>IFERROR(__xludf.DUMMYFUNCTION("""COMPUTED_VALUE"""),404.0)</f>
        <v>404</v>
      </c>
      <c r="C78" s="6">
        <f>IFERROR(__xludf.DUMMYFUNCTION("""COMPUTED_VALUE"""),428.7)</f>
        <v>428.7</v>
      </c>
      <c r="D78" s="6">
        <f>IFERROR(__xludf.DUMMYFUNCTION("""COMPUTED_VALUE"""),402.0)</f>
        <v>402</v>
      </c>
      <c r="E78" s="6">
        <f>IFERROR(__xludf.DUMMYFUNCTION("""COMPUTED_VALUE"""),425.85)</f>
        <v>425.85</v>
      </c>
      <c r="F78" s="6">
        <f>IFERROR(__xludf.DUMMYFUNCTION("""COMPUTED_VALUE"""),6133523.0)</f>
        <v>6133523</v>
      </c>
    </row>
    <row r="79">
      <c r="A79" s="7">
        <f>IFERROR(__xludf.DUMMYFUNCTION("""COMPUTED_VALUE"""),45744.64583333333)</f>
        <v>45744.64583</v>
      </c>
      <c r="B79" s="6">
        <f>IFERROR(__xludf.DUMMYFUNCTION("""COMPUTED_VALUE"""),428.7)</f>
        <v>428.7</v>
      </c>
      <c r="C79" s="6">
        <f>IFERROR(__xludf.DUMMYFUNCTION("""COMPUTED_VALUE"""),440.65)</f>
        <v>440.65</v>
      </c>
      <c r="D79" s="6">
        <f>IFERROR(__xludf.DUMMYFUNCTION("""COMPUTED_VALUE"""),420.05)</f>
        <v>420.05</v>
      </c>
      <c r="E79" s="6">
        <f>IFERROR(__xludf.DUMMYFUNCTION("""COMPUTED_VALUE"""),426.05)</f>
        <v>426.05</v>
      </c>
      <c r="F79" s="6">
        <f>IFERROR(__xludf.DUMMYFUNCTION("""COMPUTED_VALUE"""),8213526.0)</f>
        <v>8213526</v>
      </c>
    </row>
    <row r="80">
      <c r="A80" s="7">
        <f>IFERROR(__xludf.DUMMYFUNCTION("""COMPUTED_VALUE"""),45751.64583333333)</f>
        <v>45751.64583</v>
      </c>
      <c r="B80" s="6">
        <f>IFERROR(__xludf.DUMMYFUNCTION("""COMPUTED_VALUE"""),425.0)</f>
        <v>425</v>
      </c>
      <c r="C80" s="6">
        <f>IFERROR(__xludf.DUMMYFUNCTION("""COMPUTED_VALUE"""),429.35)</f>
        <v>429.35</v>
      </c>
      <c r="D80" s="6">
        <f>IFERROR(__xludf.DUMMYFUNCTION("""COMPUTED_VALUE"""),406.2)</f>
        <v>406.2</v>
      </c>
      <c r="E80" s="6">
        <f>IFERROR(__xludf.DUMMYFUNCTION("""COMPUTED_VALUE"""),407.95)</f>
        <v>407.95</v>
      </c>
      <c r="F80" s="6">
        <f>IFERROR(__xludf.DUMMYFUNCTION("""COMPUTED_VALUE"""),3557787.0)</f>
        <v>3557787</v>
      </c>
    </row>
    <row r="81">
      <c r="A81" s="7">
        <f>IFERROR(__xludf.DUMMYFUNCTION("""COMPUTED_VALUE"""),45758.64583333333)</f>
        <v>45758.64583</v>
      </c>
      <c r="B81" s="6">
        <f>IFERROR(__xludf.DUMMYFUNCTION("""COMPUTED_VALUE"""),375.0)</f>
        <v>375</v>
      </c>
      <c r="C81" s="6">
        <f>IFERROR(__xludf.DUMMYFUNCTION("""COMPUTED_VALUE"""),428.7)</f>
        <v>428.7</v>
      </c>
      <c r="D81" s="6">
        <f>IFERROR(__xludf.DUMMYFUNCTION("""COMPUTED_VALUE"""),375.0)</f>
        <v>375</v>
      </c>
      <c r="E81" s="6">
        <f>IFERROR(__xludf.DUMMYFUNCTION("""COMPUTED_VALUE"""),427.75)</f>
        <v>427.75</v>
      </c>
      <c r="F81" s="6">
        <f>IFERROR(__xludf.DUMMYFUNCTION("""COMPUTED_VALUE"""),6487247.0)</f>
        <v>6487247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IFERROR(__xludf.DUMMYFUNCTION("""COMPUTED_VALUE"""),428.6)</f>
        <v>428.6</v>
      </c>
      <c r="C82" s="6">
        <f>IFERROR(__xludf.DUMMYFUNCTION("""COMPUTED_VALUE"""),454.9)</f>
        <v>454.9</v>
      </c>
      <c r="D82" s="6">
        <f>IFERROR(__xludf.DUMMYFUNCTION("""COMPUTED_VALUE"""),428.6)</f>
        <v>428.6</v>
      </c>
      <c r="E82" s="6">
        <f>IFERROR(__xludf.DUMMYFUNCTION("""COMPUTED_VALUE"""),451.75)</f>
        <v>451.75</v>
      </c>
      <c r="F82" s="6">
        <f>IFERROR(__xludf.DUMMYFUNCTION("""COMPUTED_VALUE"""),5470013.0)</f>
        <v>5470013</v>
      </c>
    </row>
    <row r="83">
      <c r="A83" s="7">
        <f>IFERROR(__xludf.DUMMYFUNCTION("""COMPUTED_VALUE"""),45772.64583333333)</f>
        <v>45772.64583</v>
      </c>
      <c r="B83" s="6">
        <f>IFERROR(__xludf.DUMMYFUNCTION("""COMPUTED_VALUE"""),451.8)</f>
        <v>451.8</v>
      </c>
      <c r="C83" s="6">
        <f>IFERROR(__xludf.DUMMYFUNCTION("""COMPUTED_VALUE"""),474.35)</f>
        <v>474.35</v>
      </c>
      <c r="D83" s="6">
        <f>IFERROR(__xludf.DUMMYFUNCTION("""COMPUTED_VALUE"""),448.2)</f>
        <v>448.2</v>
      </c>
      <c r="E83" s="6">
        <f>IFERROR(__xludf.DUMMYFUNCTION("""COMPUTED_VALUE"""),461.4)</f>
        <v>461.4</v>
      </c>
      <c r="F83" s="6">
        <f>IFERROR(__xludf.DUMMYFUNCTION("""COMPUTED_VALUE"""),5998354.0)</f>
        <v>5998354</v>
      </c>
    </row>
    <row r="84">
      <c r="A84" s="7">
        <f>IFERROR(__xludf.DUMMYFUNCTION("""COMPUTED_VALUE"""),45779.64583333333)</f>
        <v>45779.64583</v>
      </c>
      <c r="B84" s="6">
        <f>IFERROR(__xludf.DUMMYFUNCTION("""COMPUTED_VALUE"""),459.0)</f>
        <v>459</v>
      </c>
      <c r="C84" s="6">
        <f>IFERROR(__xludf.DUMMYFUNCTION("""COMPUTED_VALUE"""),479.85)</f>
        <v>479.85</v>
      </c>
      <c r="D84" s="6">
        <f>IFERROR(__xludf.DUMMYFUNCTION("""COMPUTED_VALUE"""),445.9)</f>
        <v>445.9</v>
      </c>
      <c r="E84" s="6">
        <f>IFERROR(__xludf.DUMMYFUNCTION("""COMPUTED_VALUE"""),478.3)</f>
        <v>478.3</v>
      </c>
      <c r="F84" s="6">
        <f>IFERROR(__xludf.DUMMYFUNCTION("""COMPUTED_VALUE"""),8772075.0)</f>
        <v>8772075</v>
      </c>
    </row>
    <row r="85">
      <c r="A85" s="7">
        <f>IFERROR(__xludf.DUMMYFUNCTION("""COMPUTED_VALUE"""),45786.64583333333)</f>
        <v>45786.64583</v>
      </c>
      <c r="B85" s="6">
        <f>IFERROR(__xludf.DUMMYFUNCTION("""COMPUTED_VALUE"""),485.0)</f>
        <v>485</v>
      </c>
      <c r="C85" s="6">
        <f>IFERROR(__xludf.DUMMYFUNCTION("""COMPUTED_VALUE"""),503.95)</f>
        <v>503.95</v>
      </c>
      <c r="D85" s="6">
        <f>IFERROR(__xludf.DUMMYFUNCTION("""COMPUTED_VALUE"""),460.1)</f>
        <v>460.1</v>
      </c>
      <c r="E85" s="6">
        <f>IFERROR(__xludf.DUMMYFUNCTION("""COMPUTED_VALUE"""),466.6)</f>
        <v>466.6</v>
      </c>
      <c r="F85" s="6">
        <f>IFERROR(__xludf.DUMMYFUNCTION("""COMPUTED_VALUE"""),1.0948313E7)</f>
        <v>10948313</v>
      </c>
    </row>
    <row r="86">
      <c r="A86" s="7">
        <f>IFERROR(__xludf.DUMMYFUNCTION("""COMPUTED_VALUE"""),45793.64583333333)</f>
        <v>45793.64583</v>
      </c>
      <c r="B86" s="6">
        <f>IFERROR(__xludf.DUMMYFUNCTION("""COMPUTED_VALUE"""),475.0)</f>
        <v>475</v>
      </c>
      <c r="C86" s="6">
        <f>IFERROR(__xludf.DUMMYFUNCTION("""COMPUTED_VALUE"""),509.8)</f>
        <v>509.8</v>
      </c>
      <c r="D86" s="6">
        <f>IFERROR(__xludf.DUMMYFUNCTION("""COMPUTED_VALUE"""),467.65)</f>
        <v>467.65</v>
      </c>
      <c r="E86" s="6">
        <f>IFERROR(__xludf.DUMMYFUNCTION("""COMPUTED_VALUE"""),494.25)</f>
        <v>494.25</v>
      </c>
      <c r="F86" s="6">
        <f>IFERROR(__xludf.DUMMYFUNCTION("""COMPUTED_VALUE"""),1.2990542E7)</f>
        <v>12990542</v>
      </c>
    </row>
    <row r="87">
      <c r="A87" s="7">
        <f>IFERROR(__xludf.DUMMYFUNCTION("""COMPUTED_VALUE"""),45800.64583333333)</f>
        <v>45800.64583</v>
      </c>
      <c r="B87" s="6">
        <f>IFERROR(__xludf.DUMMYFUNCTION("""COMPUTED_VALUE"""),495.0)</f>
        <v>495</v>
      </c>
      <c r="C87" s="6">
        <f>IFERROR(__xludf.DUMMYFUNCTION("""COMPUTED_VALUE"""),498.3)</f>
        <v>498.3</v>
      </c>
      <c r="D87" s="6">
        <f>IFERROR(__xludf.DUMMYFUNCTION("""COMPUTED_VALUE"""),482.25)</f>
        <v>482.25</v>
      </c>
      <c r="E87" s="6">
        <f>IFERROR(__xludf.DUMMYFUNCTION("""COMPUTED_VALUE"""),494.7)</f>
        <v>494.7</v>
      </c>
      <c r="F87" s="6">
        <f>IFERROR(__xludf.DUMMYFUNCTION("""COMPUTED_VALUE"""),6116028.0)</f>
        <v>6116028</v>
      </c>
    </row>
    <row r="88">
      <c r="A88" s="7">
        <f>IFERROR(__xludf.DUMMYFUNCTION("""COMPUTED_VALUE"""),45807.64583333333)</f>
        <v>45807.64583</v>
      </c>
      <c r="B88" s="6">
        <f>IFERROR(__xludf.DUMMYFUNCTION("""COMPUTED_VALUE"""),494.4)</f>
        <v>494.4</v>
      </c>
      <c r="C88" s="6">
        <f>IFERROR(__xludf.DUMMYFUNCTION("""COMPUTED_VALUE"""),500.55)</f>
        <v>500.55</v>
      </c>
      <c r="D88" s="6">
        <f>IFERROR(__xludf.DUMMYFUNCTION("""COMPUTED_VALUE"""),465.7)</f>
        <v>465.7</v>
      </c>
      <c r="E88" s="6">
        <f>IFERROR(__xludf.DUMMYFUNCTION("""COMPUTED_VALUE"""),470.55)</f>
        <v>470.55</v>
      </c>
      <c r="F88" s="6">
        <f>IFERROR(__xludf.DUMMYFUNCTION("""COMPUTED_VALUE"""),6397702.0)</f>
        <v>6397702</v>
      </c>
    </row>
    <row r="89">
      <c r="A89" s="7">
        <f>IFERROR(__xludf.DUMMYFUNCTION("""COMPUTED_VALUE"""),45814.64583333333)</f>
        <v>45814.64583</v>
      </c>
      <c r="B89" s="6">
        <f>IFERROR(__xludf.DUMMYFUNCTION("""COMPUTED_VALUE"""),467.75)</f>
        <v>467.75</v>
      </c>
      <c r="C89" s="6">
        <f>IFERROR(__xludf.DUMMYFUNCTION("""COMPUTED_VALUE"""),476.0)</f>
        <v>476</v>
      </c>
      <c r="D89" s="6">
        <f>IFERROR(__xludf.DUMMYFUNCTION("""COMPUTED_VALUE"""),456.65)</f>
        <v>456.65</v>
      </c>
      <c r="E89" s="6">
        <f>IFERROR(__xludf.DUMMYFUNCTION("""COMPUTED_VALUE"""),471.2)</f>
        <v>471.2</v>
      </c>
      <c r="F89" s="6">
        <f>IFERROR(__xludf.DUMMYFUNCTION("""COMPUTED_VALUE"""),5148322.0)</f>
        <v>5148322</v>
      </c>
    </row>
    <row r="90">
      <c r="A90" s="7">
        <f>IFERROR(__xludf.DUMMYFUNCTION("""COMPUTED_VALUE"""),45821.64583333333)</f>
        <v>45821.64583</v>
      </c>
      <c r="B90" s="6">
        <f>IFERROR(__xludf.DUMMYFUNCTION("""COMPUTED_VALUE"""),475.9)</f>
        <v>475.9</v>
      </c>
      <c r="C90" s="6">
        <f>IFERROR(__xludf.DUMMYFUNCTION("""COMPUTED_VALUE"""),477.0)</f>
        <v>477</v>
      </c>
      <c r="D90" s="6">
        <f>IFERROR(__xludf.DUMMYFUNCTION("""COMPUTED_VALUE"""),440.0)</f>
        <v>440</v>
      </c>
      <c r="E90" s="6">
        <f>IFERROR(__xludf.DUMMYFUNCTION("""COMPUTED_VALUE"""),451.95)</f>
        <v>451.95</v>
      </c>
      <c r="F90" s="6">
        <f>IFERROR(__xludf.DUMMYFUNCTION("""COMPUTED_VALUE"""),4694122.0)</f>
        <v>4694122</v>
      </c>
    </row>
    <row r="91">
      <c r="A91" s="7">
        <f>IFERROR(__xludf.DUMMYFUNCTION("""COMPUTED_VALUE"""),45828.64583333333)</f>
        <v>45828.64583</v>
      </c>
      <c r="B91" s="6">
        <f>IFERROR(__xludf.DUMMYFUNCTION("""COMPUTED_VALUE"""),450.3)</f>
        <v>450.3</v>
      </c>
      <c r="C91" s="6">
        <f>IFERROR(__xludf.DUMMYFUNCTION("""COMPUTED_VALUE"""),451.95)</f>
        <v>451.95</v>
      </c>
      <c r="D91" s="6">
        <f>IFERROR(__xludf.DUMMYFUNCTION("""COMPUTED_VALUE"""),436.1)</f>
        <v>436.1</v>
      </c>
      <c r="E91" s="6">
        <f>IFERROR(__xludf.DUMMYFUNCTION("""COMPUTED_VALUE"""),439.8)</f>
        <v>439.8</v>
      </c>
      <c r="F91" s="6">
        <f>IFERROR(__xludf.DUMMYFUNCTION("""COMPUTED_VALUE"""),4218329.0)</f>
        <v>4218329</v>
      </c>
    </row>
    <row r="92">
      <c r="A92" s="7">
        <f>IFERROR(__xludf.DUMMYFUNCTION("""COMPUTED_VALUE"""),45835.64583333333)</f>
        <v>45835.64583</v>
      </c>
      <c r="B92" s="6">
        <f>IFERROR(__xludf.DUMMYFUNCTION("""COMPUTED_VALUE"""),439.0)</f>
        <v>439</v>
      </c>
      <c r="C92" s="6">
        <f>IFERROR(__xludf.DUMMYFUNCTION("""COMPUTED_VALUE"""),454.95)</f>
        <v>454.95</v>
      </c>
      <c r="D92" s="6">
        <f>IFERROR(__xludf.DUMMYFUNCTION("""COMPUTED_VALUE"""),435.3)</f>
        <v>435.3</v>
      </c>
      <c r="E92" s="6">
        <f>IFERROR(__xludf.DUMMYFUNCTION("""COMPUTED_VALUE"""),447.35)</f>
        <v>447.35</v>
      </c>
      <c r="F92" s="6">
        <f>IFERROR(__xludf.DUMMYFUNCTION("""COMPUTED_VALUE"""),5509585.0)</f>
        <v>5509585</v>
      </c>
    </row>
    <row r="93">
      <c r="A93" s="7">
        <f>IFERROR(__xludf.DUMMYFUNCTION("""COMPUTED_VALUE"""),45842.64583333333)</f>
        <v>45842.64583</v>
      </c>
      <c r="B93" s="6">
        <f>IFERROR(__xludf.DUMMYFUNCTION("""COMPUTED_VALUE"""),449.15)</f>
        <v>449.15</v>
      </c>
      <c r="C93" s="6">
        <f>IFERROR(__xludf.DUMMYFUNCTION("""COMPUTED_VALUE"""),471.0)</f>
        <v>471</v>
      </c>
      <c r="D93" s="6">
        <f>IFERROR(__xludf.DUMMYFUNCTION("""COMPUTED_VALUE"""),445.5)</f>
        <v>445.5</v>
      </c>
      <c r="E93" s="6">
        <f>IFERROR(__xludf.DUMMYFUNCTION("""COMPUTED_VALUE"""),459.15)</f>
        <v>459.15</v>
      </c>
      <c r="F93" s="6">
        <f>IFERROR(__xludf.DUMMYFUNCTION("""COMPUTED_VALUE"""),1.1198434E7)</f>
        <v>11198434</v>
      </c>
    </row>
    <row r="94">
      <c r="A94" s="7">
        <f>IFERROR(__xludf.DUMMYFUNCTION("""COMPUTED_VALUE"""),45849.64583333333)</f>
        <v>45849.64583</v>
      </c>
      <c r="B94" s="6">
        <f>IFERROR(__xludf.DUMMYFUNCTION("""COMPUTED_VALUE"""),459.05)</f>
        <v>459.05</v>
      </c>
      <c r="C94" s="6">
        <f>IFERROR(__xludf.DUMMYFUNCTION("""COMPUTED_VALUE"""),477.1)</f>
        <v>477.1</v>
      </c>
      <c r="D94" s="6">
        <f>IFERROR(__xludf.DUMMYFUNCTION("""COMPUTED_VALUE"""),455.6)</f>
        <v>455.6</v>
      </c>
      <c r="E94" s="6">
        <f>IFERROR(__xludf.DUMMYFUNCTION("""COMPUTED_VALUE"""),458.6)</f>
        <v>458.6</v>
      </c>
      <c r="F94" s="6">
        <f>IFERROR(__xludf.DUMMYFUNCTION("""COMPUTED_VALUE"""),6493012.0)</f>
        <v>6493012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IFERROR(__xludf.DUMMYFUNCTION("""COMPUTED_VALUE"""),458.0)</f>
        <v>458</v>
      </c>
      <c r="C95" s="6">
        <f>IFERROR(__xludf.DUMMYFUNCTION("""COMPUTED_VALUE"""),473.0)</f>
        <v>473</v>
      </c>
      <c r="D95" s="6">
        <f>IFERROR(__xludf.DUMMYFUNCTION("""COMPUTED_VALUE"""),451.8)</f>
        <v>451.8</v>
      </c>
      <c r="E95" s="6">
        <f>IFERROR(__xludf.DUMMYFUNCTION("""COMPUTED_VALUE"""),455.15)</f>
        <v>455.15</v>
      </c>
      <c r="F95" s="6">
        <f>IFERROR(__xludf.DUMMYFUNCTION("""COMPUTED_VALUE"""),5793401.0)</f>
        <v>5793401</v>
      </c>
    </row>
    <row r="96">
      <c r="A96" s="7">
        <f>IFERROR(__xludf.DUMMYFUNCTION("""COMPUTED_VALUE"""),45863.64583333333)</f>
        <v>45863.64583</v>
      </c>
      <c r="B96" s="6">
        <f>IFERROR(__xludf.DUMMYFUNCTION("""COMPUTED_VALUE"""),455.0)</f>
        <v>455</v>
      </c>
      <c r="C96" s="6">
        <f>IFERROR(__xludf.DUMMYFUNCTION("""COMPUTED_VALUE"""),465.5)</f>
        <v>465.5</v>
      </c>
      <c r="D96" s="6">
        <f>IFERROR(__xludf.DUMMYFUNCTION("""COMPUTED_VALUE"""),446.45)</f>
        <v>446.45</v>
      </c>
      <c r="E96" s="6">
        <f>IFERROR(__xludf.DUMMYFUNCTION("""COMPUTED_VALUE"""),455.05)</f>
        <v>455.05</v>
      </c>
      <c r="F96" s="6">
        <f>IFERROR(__xludf.DUMMYFUNCTION("""COMPUTED_VALUE"""),2913966.0)</f>
        <v>2913966</v>
      </c>
    </row>
    <row r="97">
      <c r="A97" s="7">
        <f>IFERROR(__xludf.DUMMYFUNCTION("""COMPUTED_VALUE"""),45870.64583333333)</f>
        <v>45870.64583</v>
      </c>
      <c r="B97" s="6">
        <f>IFERROR(__xludf.DUMMYFUNCTION("""COMPUTED_VALUE"""),455.75)</f>
        <v>455.75</v>
      </c>
      <c r="C97" s="6">
        <f>IFERROR(__xludf.DUMMYFUNCTION("""COMPUTED_VALUE"""),463.25)</f>
        <v>463.25</v>
      </c>
      <c r="D97" s="6">
        <f>IFERROR(__xludf.DUMMYFUNCTION("""COMPUTED_VALUE"""),439.2)</f>
        <v>439.2</v>
      </c>
      <c r="E97" s="6">
        <f>IFERROR(__xludf.DUMMYFUNCTION("""COMPUTED_VALUE"""),440.85)</f>
        <v>440.85</v>
      </c>
      <c r="F97" s="6">
        <f>IFERROR(__xludf.DUMMYFUNCTION("""COMPUTED_VALUE"""),1905168.0)</f>
        <v>1905168</v>
      </c>
    </row>
    <row r="98">
      <c r="A98" s="7">
        <f>IFERROR(__xludf.DUMMYFUNCTION("""COMPUTED_VALUE"""),45877.64583333333)</f>
        <v>45877.64583</v>
      </c>
      <c r="B98" s="6">
        <f>IFERROR(__xludf.DUMMYFUNCTION("""COMPUTED_VALUE"""),444.0)</f>
        <v>444</v>
      </c>
      <c r="C98" s="6">
        <f>IFERROR(__xludf.DUMMYFUNCTION("""COMPUTED_VALUE"""),446.15)</f>
        <v>446.15</v>
      </c>
      <c r="D98" s="6">
        <f>IFERROR(__xludf.DUMMYFUNCTION("""COMPUTED_VALUE"""),421.0)</f>
        <v>421</v>
      </c>
      <c r="E98" s="6">
        <f>IFERROR(__xludf.DUMMYFUNCTION("""COMPUTED_VALUE"""),434.2)</f>
        <v>434.2</v>
      </c>
      <c r="F98" s="6">
        <f>IFERROR(__xludf.DUMMYFUNCTION("""COMPUTED_VALUE"""),1671444.0)</f>
        <v>1671444</v>
      </c>
    </row>
    <row r="99">
      <c r="A99" s="7">
        <f>IFERROR(__xludf.DUMMYFUNCTION("""COMPUTED_VALUE"""),45883.64583333333)</f>
        <v>45883.64583</v>
      </c>
      <c r="B99" s="6">
        <f>IFERROR(__xludf.DUMMYFUNCTION("""COMPUTED_VALUE"""),434.25)</f>
        <v>434.25</v>
      </c>
      <c r="C99" s="6">
        <f>IFERROR(__xludf.DUMMYFUNCTION("""COMPUTED_VALUE"""),448.95)</f>
        <v>448.95</v>
      </c>
      <c r="D99" s="6">
        <f>IFERROR(__xludf.DUMMYFUNCTION("""COMPUTED_VALUE"""),430.0)</f>
        <v>430</v>
      </c>
      <c r="E99" s="6">
        <f>IFERROR(__xludf.DUMMYFUNCTION("""COMPUTED_VALUE"""),432.3)</f>
        <v>432.3</v>
      </c>
      <c r="F99" s="6">
        <f>IFERROR(__xludf.DUMMYFUNCTION("""COMPUTED_VALUE"""),1838281.0)</f>
        <v>1838281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IFERROR(__xludf.DUMMYFUNCTION("""COMPUTED_VALUE"""),436.8)</f>
        <v>436.8</v>
      </c>
      <c r="C100" s="6">
        <f>IFERROR(__xludf.DUMMYFUNCTION("""COMPUTED_VALUE"""),469.7)</f>
        <v>469.7</v>
      </c>
      <c r="D100" s="6">
        <f>IFERROR(__xludf.DUMMYFUNCTION("""COMPUTED_VALUE"""),431.0)</f>
        <v>431</v>
      </c>
      <c r="E100" s="6">
        <f>IFERROR(__xludf.DUMMYFUNCTION("""COMPUTED_VALUE"""),465.75)</f>
        <v>465.75</v>
      </c>
      <c r="F100" s="6">
        <f>IFERROR(__xludf.DUMMYFUNCTION("""COMPUTED_VALUE"""),5372207.0)</f>
        <v>5372207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IFERROR(__xludf.DUMMYFUNCTION("""COMPUTED_VALUE"""),465.95)</f>
        <v>465.95</v>
      </c>
      <c r="C101" s="6">
        <f>IFERROR(__xludf.DUMMYFUNCTION("""COMPUTED_VALUE"""),471.3)</f>
        <v>471.3</v>
      </c>
      <c r="D101" s="6">
        <f>IFERROR(__xludf.DUMMYFUNCTION("""COMPUTED_VALUE"""),455.0)</f>
        <v>455</v>
      </c>
      <c r="E101" s="6">
        <f>IFERROR(__xludf.DUMMYFUNCTION("""COMPUTED_VALUE"""),456.55)</f>
        <v>456.55</v>
      </c>
      <c r="F101" s="6">
        <f>IFERROR(__xludf.DUMMYFUNCTION("""COMPUTED_VALUE"""),1.1954768E7)</f>
        <v>11954768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IFERROR(__xludf.DUMMYFUNCTION("GOOGLEFINANCE(""NSE:ASHOKLEY"",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IFERROR(__xludf.DUMMYFUNCTION("""COMPUTED_VALUE"""),93.43)</f>
        <v>93.43</v>
      </c>
      <c r="C2" s="6">
        <f>IFERROR(__xludf.DUMMYFUNCTION("""COMPUTED_VALUE"""),95.5)</f>
        <v>95.5</v>
      </c>
      <c r="D2" s="6">
        <f>IFERROR(__xludf.DUMMYFUNCTION("""COMPUTED_VALUE"""),90.5)</f>
        <v>90.5</v>
      </c>
      <c r="E2" s="6">
        <f>IFERROR(__xludf.DUMMYFUNCTION("""COMPUTED_VALUE"""),92.1)</f>
        <v>92.1</v>
      </c>
      <c r="F2" s="6">
        <f>IFERROR(__xludf.DUMMYFUNCTION("""COMPUTED_VALUE"""),2.65841867E8)</f>
        <v>265841867</v>
      </c>
    </row>
    <row r="3">
      <c r="A3" s="7">
        <f>IFERROR(__xludf.DUMMYFUNCTION("""COMPUTED_VALUE"""),45177.64583333333)</f>
        <v>45177.64583</v>
      </c>
      <c r="B3" s="6">
        <f>IFERROR(__xludf.DUMMYFUNCTION("""COMPUTED_VALUE"""),92.55)</f>
        <v>92.55</v>
      </c>
      <c r="C3" s="6">
        <f>IFERROR(__xludf.DUMMYFUNCTION("""COMPUTED_VALUE"""),92.75)</f>
        <v>92.75</v>
      </c>
      <c r="D3" s="6">
        <f>IFERROR(__xludf.DUMMYFUNCTION("""COMPUTED_VALUE"""),90.7)</f>
        <v>90.7</v>
      </c>
      <c r="E3" s="6">
        <f>IFERROR(__xludf.DUMMYFUNCTION("""COMPUTED_VALUE"""),91.8)</f>
        <v>91.8</v>
      </c>
      <c r="F3" s="6">
        <f>IFERROR(__xludf.DUMMYFUNCTION("""COMPUTED_VALUE"""),4.2704083E7)</f>
        <v>42704083</v>
      </c>
    </row>
    <row r="4">
      <c r="A4" s="7">
        <f>IFERROR(__xludf.DUMMYFUNCTION("""COMPUTED_VALUE"""),45184.64583333333)</f>
        <v>45184.64583</v>
      </c>
      <c r="B4" s="6">
        <f>IFERROR(__xludf.DUMMYFUNCTION("""COMPUTED_VALUE"""),92.38)</f>
        <v>92.38</v>
      </c>
      <c r="C4" s="6">
        <f>IFERROR(__xludf.DUMMYFUNCTION("""COMPUTED_VALUE"""),92.95)</f>
        <v>92.95</v>
      </c>
      <c r="D4" s="6">
        <f>IFERROR(__xludf.DUMMYFUNCTION("""COMPUTED_VALUE"""),88.43)</f>
        <v>88.43</v>
      </c>
      <c r="E4" s="6">
        <f>IFERROR(__xludf.DUMMYFUNCTION("""COMPUTED_VALUE"""),91.5)</f>
        <v>91.5</v>
      </c>
      <c r="F4" s="6">
        <f>IFERROR(__xludf.DUMMYFUNCTION("""COMPUTED_VALUE"""),4.9612932E7)</f>
        <v>49612932</v>
      </c>
    </row>
    <row r="5">
      <c r="A5" s="7">
        <f>IFERROR(__xludf.DUMMYFUNCTION("""COMPUTED_VALUE"""),45191.64583333333)</f>
        <v>45191.64583</v>
      </c>
      <c r="B5" s="6">
        <f>IFERROR(__xludf.DUMMYFUNCTION("""COMPUTED_VALUE"""),92.15)</f>
        <v>92.15</v>
      </c>
      <c r="C5" s="6">
        <f>IFERROR(__xludf.DUMMYFUNCTION("""COMPUTED_VALUE"""),92.15)</f>
        <v>92.15</v>
      </c>
      <c r="D5" s="6">
        <f>IFERROR(__xludf.DUMMYFUNCTION("""COMPUTED_VALUE"""),88.9)</f>
        <v>88.9</v>
      </c>
      <c r="E5" s="6">
        <f>IFERROR(__xludf.DUMMYFUNCTION("""COMPUTED_VALUE"""),89.43)</f>
        <v>89.43</v>
      </c>
      <c r="F5" s="6">
        <f>IFERROR(__xludf.DUMMYFUNCTION("""COMPUTED_VALUE"""),2.9958547E7)</f>
        <v>29958547</v>
      </c>
    </row>
    <row r="6">
      <c r="A6" s="7">
        <f>IFERROR(__xludf.DUMMYFUNCTION("""COMPUTED_VALUE"""),45198.64583333333)</f>
        <v>45198.64583</v>
      </c>
      <c r="B6" s="6">
        <f>IFERROR(__xludf.DUMMYFUNCTION("""COMPUTED_VALUE"""),89.5)</f>
        <v>89.5</v>
      </c>
      <c r="C6" s="6">
        <f>IFERROR(__xludf.DUMMYFUNCTION("""COMPUTED_VALUE"""),91.6)</f>
        <v>91.6</v>
      </c>
      <c r="D6" s="6">
        <f>IFERROR(__xludf.DUMMYFUNCTION("""COMPUTED_VALUE"""),86.78)</f>
        <v>86.78</v>
      </c>
      <c r="E6" s="6">
        <f>IFERROR(__xludf.DUMMYFUNCTION("""COMPUTED_VALUE"""),88.5)</f>
        <v>88.5</v>
      </c>
      <c r="F6" s="6">
        <f>IFERROR(__xludf.DUMMYFUNCTION("""COMPUTED_VALUE"""),5.1575337E7)</f>
        <v>51575337</v>
      </c>
    </row>
    <row r="7">
      <c r="A7" s="7">
        <f>IFERROR(__xludf.DUMMYFUNCTION("""COMPUTED_VALUE"""),45205.64583333333)</f>
        <v>45205.64583</v>
      </c>
      <c r="B7" s="6">
        <f>IFERROR(__xludf.DUMMYFUNCTION("""COMPUTED_VALUE"""),89.0)</f>
        <v>89</v>
      </c>
      <c r="C7" s="6">
        <f>IFERROR(__xludf.DUMMYFUNCTION("""COMPUTED_VALUE"""),90.0)</f>
        <v>90</v>
      </c>
      <c r="D7" s="6">
        <f>IFERROR(__xludf.DUMMYFUNCTION("""COMPUTED_VALUE"""),85.43)</f>
        <v>85.43</v>
      </c>
      <c r="E7" s="6">
        <f>IFERROR(__xludf.DUMMYFUNCTION("""COMPUTED_VALUE"""),85.95)</f>
        <v>85.95</v>
      </c>
      <c r="F7" s="6">
        <f>IFERROR(__xludf.DUMMYFUNCTION("""COMPUTED_VALUE"""),3.4837405E7)</f>
        <v>34837405</v>
      </c>
    </row>
    <row r="8">
      <c r="A8" s="7">
        <f>IFERROR(__xludf.DUMMYFUNCTION("""COMPUTED_VALUE"""),45212.64583333333)</f>
        <v>45212.64583</v>
      </c>
      <c r="B8" s="6">
        <f>IFERROR(__xludf.DUMMYFUNCTION("""COMPUTED_VALUE"""),85.0)</f>
        <v>85</v>
      </c>
      <c r="C8" s="6">
        <f>IFERROR(__xludf.DUMMYFUNCTION("""COMPUTED_VALUE"""),88.53)</f>
        <v>88.53</v>
      </c>
      <c r="D8" s="6">
        <f>IFERROR(__xludf.DUMMYFUNCTION("""COMPUTED_VALUE"""),84.0)</f>
        <v>84</v>
      </c>
      <c r="E8" s="6">
        <f>IFERROR(__xludf.DUMMYFUNCTION("""COMPUTED_VALUE"""),87.9)</f>
        <v>87.9</v>
      </c>
      <c r="F8" s="6">
        <f>IFERROR(__xludf.DUMMYFUNCTION("""COMPUTED_VALUE"""),5.0270115E7)</f>
        <v>50270115</v>
      </c>
    </row>
    <row r="9">
      <c r="A9" s="7">
        <f>IFERROR(__xludf.DUMMYFUNCTION("""COMPUTED_VALUE"""),45219.64583333333)</f>
        <v>45219.64583</v>
      </c>
      <c r="B9" s="6">
        <f>IFERROR(__xludf.DUMMYFUNCTION("""COMPUTED_VALUE"""),88.28)</f>
        <v>88.28</v>
      </c>
      <c r="C9" s="6">
        <f>IFERROR(__xludf.DUMMYFUNCTION("""COMPUTED_VALUE"""),89.9)</f>
        <v>89.9</v>
      </c>
      <c r="D9" s="6">
        <f>IFERROR(__xludf.DUMMYFUNCTION("""COMPUTED_VALUE"""),85.85)</f>
        <v>85.85</v>
      </c>
      <c r="E9" s="6">
        <f>IFERROR(__xludf.DUMMYFUNCTION("""COMPUTED_VALUE"""),86.1)</f>
        <v>86.1</v>
      </c>
      <c r="F9" s="6">
        <f>IFERROR(__xludf.DUMMYFUNCTION("""COMPUTED_VALUE"""),4.2025891E7)</f>
        <v>42025891</v>
      </c>
    </row>
    <row r="10">
      <c r="A10" s="7">
        <f>IFERROR(__xludf.DUMMYFUNCTION("""COMPUTED_VALUE"""),45226.64583333333)</f>
        <v>45226.64583</v>
      </c>
      <c r="B10" s="6">
        <f>IFERROR(__xludf.DUMMYFUNCTION("""COMPUTED_VALUE"""),86.1)</f>
        <v>86.1</v>
      </c>
      <c r="C10" s="6">
        <f>IFERROR(__xludf.DUMMYFUNCTION("""COMPUTED_VALUE"""),86.63)</f>
        <v>86.63</v>
      </c>
      <c r="D10" s="6">
        <f>IFERROR(__xludf.DUMMYFUNCTION("""COMPUTED_VALUE"""),82.58)</f>
        <v>82.58</v>
      </c>
      <c r="E10" s="6">
        <f>IFERROR(__xludf.DUMMYFUNCTION("""COMPUTED_VALUE"""),84.08)</f>
        <v>84.08</v>
      </c>
      <c r="F10" s="6">
        <f>IFERROR(__xludf.DUMMYFUNCTION("""COMPUTED_VALUE"""),2.6187777E7)</f>
        <v>26187777</v>
      </c>
    </row>
    <row r="11">
      <c r="A11" s="7">
        <f>IFERROR(__xludf.DUMMYFUNCTION("""COMPUTED_VALUE"""),45233.64583333333)</f>
        <v>45233.64583</v>
      </c>
      <c r="B11" s="6">
        <f>IFERROR(__xludf.DUMMYFUNCTION("""COMPUTED_VALUE"""),84.6)</f>
        <v>84.6</v>
      </c>
      <c r="C11" s="6">
        <f>IFERROR(__xludf.DUMMYFUNCTION("""COMPUTED_VALUE"""),85.53)</f>
        <v>85.53</v>
      </c>
      <c r="D11" s="6">
        <f>IFERROR(__xludf.DUMMYFUNCTION("""COMPUTED_VALUE"""),82.38)</f>
        <v>82.38</v>
      </c>
      <c r="E11" s="6">
        <f>IFERROR(__xludf.DUMMYFUNCTION("""COMPUTED_VALUE"""),84.15)</f>
        <v>84.15</v>
      </c>
      <c r="F11" s="6">
        <f>IFERROR(__xludf.DUMMYFUNCTION("""COMPUTED_VALUE"""),3.2371442E7)</f>
        <v>32371442</v>
      </c>
    </row>
    <row r="12">
      <c r="A12" s="7">
        <f>IFERROR(__xludf.DUMMYFUNCTION("""COMPUTED_VALUE"""),45240.64583333333)</f>
        <v>45240.64583</v>
      </c>
      <c r="B12" s="6">
        <f>IFERROR(__xludf.DUMMYFUNCTION("""COMPUTED_VALUE"""),84.75)</f>
        <v>84.75</v>
      </c>
      <c r="C12" s="6">
        <f>IFERROR(__xludf.DUMMYFUNCTION("""COMPUTED_VALUE"""),87.28)</f>
        <v>87.28</v>
      </c>
      <c r="D12" s="6">
        <f>IFERROR(__xludf.DUMMYFUNCTION("""COMPUTED_VALUE"""),84.13)</f>
        <v>84.13</v>
      </c>
      <c r="E12" s="6">
        <f>IFERROR(__xludf.DUMMYFUNCTION("""COMPUTED_VALUE"""),86.9)</f>
        <v>86.9</v>
      </c>
      <c r="F12" s="6">
        <f>IFERROR(__xludf.DUMMYFUNCTION("""COMPUTED_VALUE"""),3.5775109E7)</f>
        <v>35775109</v>
      </c>
    </row>
    <row r="13">
      <c r="A13" s="7">
        <f>IFERROR(__xludf.DUMMYFUNCTION("""COMPUTED_VALUE"""),45247.64583333333)</f>
        <v>45247.64583</v>
      </c>
      <c r="B13" s="6">
        <f>IFERROR(__xludf.DUMMYFUNCTION("""COMPUTED_VALUE"""),88.18)</f>
        <v>88.18</v>
      </c>
      <c r="C13" s="6">
        <f>IFERROR(__xludf.DUMMYFUNCTION("""COMPUTED_VALUE"""),88.18)</f>
        <v>88.18</v>
      </c>
      <c r="D13" s="6">
        <f>IFERROR(__xludf.DUMMYFUNCTION("""COMPUTED_VALUE"""),86.45)</f>
        <v>86.45</v>
      </c>
      <c r="E13" s="6">
        <f>IFERROR(__xludf.DUMMYFUNCTION("""COMPUTED_VALUE"""),87.15)</f>
        <v>87.15</v>
      </c>
      <c r="F13" s="6">
        <f>IFERROR(__xludf.DUMMYFUNCTION("""COMPUTED_VALUE"""),4.247287E7)</f>
        <v>42472870</v>
      </c>
    </row>
    <row r="14">
      <c r="A14" s="7">
        <f>IFERROR(__xludf.DUMMYFUNCTION("""COMPUTED_VALUE"""),45254.64583333333)</f>
        <v>45254.64583</v>
      </c>
      <c r="B14" s="6">
        <f>IFERROR(__xludf.DUMMYFUNCTION("""COMPUTED_VALUE"""),87.5)</f>
        <v>87.5</v>
      </c>
      <c r="C14" s="6">
        <f>IFERROR(__xludf.DUMMYFUNCTION("""COMPUTED_VALUE"""),90.63)</f>
        <v>90.63</v>
      </c>
      <c r="D14" s="6">
        <f>IFERROR(__xludf.DUMMYFUNCTION("""COMPUTED_VALUE"""),85.5)</f>
        <v>85.5</v>
      </c>
      <c r="E14" s="6">
        <f>IFERROR(__xludf.DUMMYFUNCTION("""COMPUTED_VALUE"""),89.08)</f>
        <v>89.08</v>
      </c>
      <c r="F14" s="6">
        <f>IFERROR(__xludf.DUMMYFUNCTION("""COMPUTED_VALUE"""),5.4993977E7)</f>
        <v>54993977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IFERROR(__xludf.DUMMYFUNCTION("""COMPUTED_VALUE"""),89.68)</f>
        <v>89.68</v>
      </c>
      <c r="C15" s="6">
        <f>IFERROR(__xludf.DUMMYFUNCTION("""COMPUTED_VALUE"""),92.4)</f>
        <v>92.4</v>
      </c>
      <c r="D15" s="6">
        <f>IFERROR(__xludf.DUMMYFUNCTION("""COMPUTED_VALUE"""),87.53)</f>
        <v>87.53</v>
      </c>
      <c r="E15" s="6">
        <f>IFERROR(__xludf.DUMMYFUNCTION("""COMPUTED_VALUE"""),88.15)</f>
        <v>88.15</v>
      </c>
      <c r="F15" s="6">
        <f>IFERROR(__xludf.DUMMYFUNCTION("""COMPUTED_VALUE"""),5.879925E7)</f>
        <v>58799250</v>
      </c>
    </row>
    <row r="16">
      <c r="A16" s="7">
        <f>IFERROR(__xludf.DUMMYFUNCTION("""COMPUTED_VALUE"""),45268.64583333333)</f>
        <v>45268.64583</v>
      </c>
      <c r="B16" s="6">
        <f>IFERROR(__xludf.DUMMYFUNCTION("""COMPUTED_VALUE"""),89.75)</f>
        <v>89.75</v>
      </c>
      <c r="C16" s="6">
        <f>IFERROR(__xludf.DUMMYFUNCTION("""COMPUTED_VALUE"""),89.95)</f>
        <v>89.95</v>
      </c>
      <c r="D16" s="6">
        <f>IFERROR(__xludf.DUMMYFUNCTION("""COMPUTED_VALUE"""),86.55)</f>
        <v>86.55</v>
      </c>
      <c r="E16" s="6">
        <f>IFERROR(__xludf.DUMMYFUNCTION("""COMPUTED_VALUE"""),87.45)</f>
        <v>87.45</v>
      </c>
      <c r="F16" s="6">
        <f>IFERROR(__xludf.DUMMYFUNCTION("""COMPUTED_VALUE"""),8.9895289E7)</f>
        <v>89895289</v>
      </c>
    </row>
    <row r="17">
      <c r="A17" s="7">
        <f>IFERROR(__xludf.DUMMYFUNCTION("""COMPUTED_VALUE"""),45275.64583333333)</f>
        <v>45275.64583</v>
      </c>
      <c r="B17" s="6">
        <f>IFERROR(__xludf.DUMMYFUNCTION("""COMPUTED_VALUE"""),87.43)</f>
        <v>87.43</v>
      </c>
      <c r="C17" s="6">
        <f>IFERROR(__xludf.DUMMYFUNCTION("""COMPUTED_VALUE"""),88.35)</f>
        <v>88.35</v>
      </c>
      <c r="D17" s="6">
        <f>IFERROR(__xludf.DUMMYFUNCTION("""COMPUTED_VALUE"""),85.0)</f>
        <v>85</v>
      </c>
      <c r="E17" s="6">
        <f>IFERROR(__xludf.DUMMYFUNCTION("""COMPUTED_VALUE"""),87.15)</f>
        <v>87.15</v>
      </c>
      <c r="F17" s="6">
        <f>IFERROR(__xludf.DUMMYFUNCTION("""COMPUTED_VALUE"""),6.4887992E7)</f>
        <v>64887992</v>
      </c>
    </row>
    <row r="18">
      <c r="A18" s="7">
        <f>IFERROR(__xludf.DUMMYFUNCTION("""COMPUTED_VALUE"""),45282.64583333333)</f>
        <v>45282.64583</v>
      </c>
      <c r="B18" s="6">
        <f>IFERROR(__xludf.DUMMYFUNCTION("""COMPUTED_VALUE"""),87.15)</f>
        <v>87.15</v>
      </c>
      <c r="C18" s="6">
        <f>IFERROR(__xludf.DUMMYFUNCTION("""COMPUTED_VALUE"""),89.48)</f>
        <v>89.48</v>
      </c>
      <c r="D18" s="6">
        <f>IFERROR(__xludf.DUMMYFUNCTION("""COMPUTED_VALUE"""),82.63)</f>
        <v>82.63</v>
      </c>
      <c r="E18" s="6">
        <f>IFERROR(__xludf.DUMMYFUNCTION("""COMPUTED_VALUE"""),86.0)</f>
        <v>86</v>
      </c>
      <c r="F18" s="6">
        <f>IFERROR(__xludf.DUMMYFUNCTION("""COMPUTED_VALUE"""),7.4479758E7)</f>
        <v>74479758</v>
      </c>
    </row>
    <row r="19">
      <c r="A19" s="7">
        <f>IFERROR(__xludf.DUMMYFUNCTION("""COMPUTED_VALUE"""),45289.64583333333)</f>
        <v>45289.64583</v>
      </c>
      <c r="B19" s="6">
        <f>IFERROR(__xludf.DUMMYFUNCTION("""COMPUTED_VALUE"""),86.63)</f>
        <v>86.63</v>
      </c>
      <c r="C19" s="6">
        <f>IFERROR(__xludf.DUMMYFUNCTION("""COMPUTED_VALUE"""),91.5)</f>
        <v>91.5</v>
      </c>
      <c r="D19" s="6">
        <f>IFERROR(__xludf.DUMMYFUNCTION("""COMPUTED_VALUE"""),86.25)</f>
        <v>86.25</v>
      </c>
      <c r="E19" s="6">
        <f>IFERROR(__xludf.DUMMYFUNCTION("""COMPUTED_VALUE"""),90.78)</f>
        <v>90.78</v>
      </c>
      <c r="F19" s="6">
        <f>IFERROR(__xludf.DUMMYFUNCTION("""COMPUTED_VALUE"""),7.5174314E7)</f>
        <v>75174314</v>
      </c>
    </row>
    <row r="20">
      <c r="A20" s="7">
        <f>IFERROR(__xludf.DUMMYFUNCTION("""COMPUTED_VALUE"""),45296.64583333333)</f>
        <v>45296.64583</v>
      </c>
      <c r="B20" s="6">
        <f>IFERROR(__xludf.DUMMYFUNCTION("""COMPUTED_VALUE"""),91.25)</f>
        <v>91.25</v>
      </c>
      <c r="C20" s="6">
        <f>IFERROR(__xludf.DUMMYFUNCTION("""COMPUTED_VALUE"""),94.8)</f>
        <v>94.8</v>
      </c>
      <c r="D20" s="6">
        <f>IFERROR(__xludf.DUMMYFUNCTION("""COMPUTED_VALUE"""),88.98)</f>
        <v>88.98</v>
      </c>
      <c r="E20" s="6">
        <f>IFERROR(__xludf.DUMMYFUNCTION("""COMPUTED_VALUE"""),89.73)</f>
        <v>89.73</v>
      </c>
      <c r="F20" s="6">
        <f>IFERROR(__xludf.DUMMYFUNCTION("""COMPUTED_VALUE"""),1.08814202E8)</f>
        <v>108814202</v>
      </c>
    </row>
    <row r="21">
      <c r="A21" s="7">
        <f>IFERROR(__xludf.DUMMYFUNCTION("""COMPUTED_VALUE"""),45303.64583333333)</f>
        <v>45303.64583</v>
      </c>
      <c r="B21" s="6">
        <f>IFERROR(__xludf.DUMMYFUNCTION("""COMPUTED_VALUE"""),90.25)</f>
        <v>90.25</v>
      </c>
      <c r="C21" s="6">
        <f>IFERROR(__xludf.DUMMYFUNCTION("""COMPUTED_VALUE"""),90.93)</f>
        <v>90.93</v>
      </c>
      <c r="D21" s="6">
        <f>IFERROR(__xludf.DUMMYFUNCTION("""COMPUTED_VALUE"""),86.88)</f>
        <v>86.88</v>
      </c>
      <c r="E21" s="6">
        <f>IFERROR(__xludf.DUMMYFUNCTION("""COMPUTED_VALUE"""),88.33)</f>
        <v>88.33</v>
      </c>
      <c r="F21" s="6">
        <f>IFERROR(__xludf.DUMMYFUNCTION("""COMPUTED_VALUE"""),4.7349326E7)</f>
        <v>47349326</v>
      </c>
    </row>
    <row r="22">
      <c r="A22" s="7">
        <f>IFERROR(__xludf.DUMMYFUNCTION("""COMPUTED_VALUE"""),45316.64583333333)</f>
        <v>45316.64583</v>
      </c>
      <c r="B22" s="6">
        <f>IFERROR(__xludf.DUMMYFUNCTION("""COMPUTED_VALUE"""),87.48)</f>
        <v>87.48</v>
      </c>
      <c r="C22" s="6">
        <f>IFERROR(__xludf.DUMMYFUNCTION("""COMPUTED_VALUE"""),87.88)</f>
        <v>87.88</v>
      </c>
      <c r="D22" s="6">
        <f>IFERROR(__xludf.DUMMYFUNCTION("""COMPUTED_VALUE"""),83.85)</f>
        <v>83.85</v>
      </c>
      <c r="E22" s="6">
        <f>IFERROR(__xludf.DUMMYFUNCTION("""COMPUTED_VALUE"""),84.88)</f>
        <v>84.88</v>
      </c>
      <c r="F22" s="6">
        <f>IFERROR(__xludf.DUMMYFUNCTION("""COMPUTED_VALUE"""),3.4613104E7)</f>
        <v>34613104</v>
      </c>
    </row>
    <row r="23">
      <c r="A23" s="7">
        <f>IFERROR(__xludf.DUMMYFUNCTION("""COMPUTED_VALUE"""),45324.64583333333)</f>
        <v>45324.64583</v>
      </c>
      <c r="B23" s="6">
        <f>IFERROR(__xludf.DUMMYFUNCTION("""COMPUTED_VALUE"""),85.38)</f>
        <v>85.38</v>
      </c>
      <c r="C23" s="6">
        <f>IFERROR(__xludf.DUMMYFUNCTION("""COMPUTED_VALUE"""),88.6)</f>
        <v>88.6</v>
      </c>
      <c r="D23" s="6">
        <f>IFERROR(__xludf.DUMMYFUNCTION("""COMPUTED_VALUE"""),84.15)</f>
        <v>84.15</v>
      </c>
      <c r="E23" s="6">
        <f>IFERROR(__xludf.DUMMYFUNCTION("""COMPUTED_VALUE"""),87.03)</f>
        <v>87.03</v>
      </c>
      <c r="F23" s="6">
        <f>IFERROR(__xludf.DUMMYFUNCTION("""COMPUTED_VALUE"""),7.6472136E7)</f>
        <v>76472136</v>
      </c>
    </row>
    <row r="24">
      <c r="A24" s="7">
        <f>IFERROR(__xludf.DUMMYFUNCTION("""COMPUTED_VALUE"""),45331.64583333333)</f>
        <v>45331.64583</v>
      </c>
      <c r="B24" s="6">
        <f>IFERROR(__xludf.DUMMYFUNCTION("""COMPUTED_VALUE"""),87.95)</f>
        <v>87.95</v>
      </c>
      <c r="C24" s="6">
        <f>IFERROR(__xludf.DUMMYFUNCTION("""COMPUTED_VALUE"""),93.43)</f>
        <v>93.43</v>
      </c>
      <c r="D24" s="6">
        <f>IFERROR(__xludf.DUMMYFUNCTION("""COMPUTED_VALUE"""),84.93)</f>
        <v>84.93</v>
      </c>
      <c r="E24" s="6">
        <f>IFERROR(__xludf.DUMMYFUNCTION("""COMPUTED_VALUE"""),86.73)</f>
        <v>86.73</v>
      </c>
      <c r="F24" s="6">
        <f>IFERROR(__xludf.DUMMYFUNCTION("""COMPUTED_VALUE"""),1.84381713E8)</f>
        <v>184381713</v>
      </c>
    </row>
    <row r="25">
      <c r="A25" s="7">
        <f>IFERROR(__xludf.DUMMYFUNCTION("""COMPUTED_VALUE"""),45338.64583333333)</f>
        <v>45338.64583</v>
      </c>
      <c r="B25" s="6">
        <f>IFERROR(__xludf.DUMMYFUNCTION("""COMPUTED_VALUE"""),87.18)</f>
        <v>87.18</v>
      </c>
      <c r="C25" s="6">
        <f>IFERROR(__xludf.DUMMYFUNCTION("""COMPUTED_VALUE"""),88.4)</f>
        <v>88.4</v>
      </c>
      <c r="D25" s="6">
        <f>IFERROR(__xludf.DUMMYFUNCTION("""COMPUTED_VALUE"""),84.88)</f>
        <v>84.88</v>
      </c>
      <c r="E25" s="6">
        <f>IFERROR(__xludf.DUMMYFUNCTION("""COMPUTED_VALUE"""),87.1)</f>
        <v>87.1</v>
      </c>
      <c r="F25" s="6">
        <f>IFERROR(__xludf.DUMMYFUNCTION("""COMPUTED_VALUE"""),4.9718664E7)</f>
        <v>49718664</v>
      </c>
    </row>
    <row r="26">
      <c r="A26" s="7">
        <f>IFERROR(__xludf.DUMMYFUNCTION("""COMPUTED_VALUE"""),45345.64583333333)</f>
        <v>45345.64583</v>
      </c>
      <c r="B26" s="6">
        <f>IFERROR(__xludf.DUMMYFUNCTION("""COMPUTED_VALUE"""),87.18)</f>
        <v>87.18</v>
      </c>
      <c r="C26" s="6">
        <f>IFERROR(__xludf.DUMMYFUNCTION("""COMPUTED_VALUE"""),88.7)</f>
        <v>88.7</v>
      </c>
      <c r="D26" s="6">
        <f>IFERROR(__xludf.DUMMYFUNCTION("""COMPUTED_VALUE"""),83.2)</f>
        <v>83.2</v>
      </c>
      <c r="E26" s="6">
        <f>IFERROR(__xludf.DUMMYFUNCTION("""COMPUTED_VALUE"""),87.0)</f>
        <v>87</v>
      </c>
      <c r="F26" s="6">
        <f>IFERROR(__xludf.DUMMYFUNCTION("""COMPUTED_VALUE"""),8.7647456E7)</f>
        <v>87647456</v>
      </c>
    </row>
    <row r="27">
      <c r="A27" s="7">
        <f>IFERROR(__xludf.DUMMYFUNCTION("""COMPUTED_VALUE"""),45358.64583333333)</f>
        <v>45358.64583</v>
      </c>
      <c r="B27" s="6">
        <f>IFERROR(__xludf.DUMMYFUNCTION("""COMPUTED_VALUE"""),86.0)</f>
        <v>86</v>
      </c>
      <c r="C27" s="6">
        <f>IFERROR(__xludf.DUMMYFUNCTION("""COMPUTED_VALUE"""),86.98)</f>
        <v>86.98</v>
      </c>
      <c r="D27" s="6">
        <f>IFERROR(__xludf.DUMMYFUNCTION("""COMPUTED_VALUE"""),84.5)</f>
        <v>84.5</v>
      </c>
      <c r="E27" s="6">
        <f>IFERROR(__xludf.DUMMYFUNCTION("""COMPUTED_VALUE"""),85.53)</f>
        <v>85.53</v>
      </c>
      <c r="F27" s="6">
        <f>IFERROR(__xludf.DUMMYFUNCTION("""COMPUTED_VALUE"""),4.1081385E7)</f>
        <v>41081385</v>
      </c>
    </row>
    <row r="28">
      <c r="A28" s="7">
        <f>IFERROR(__xludf.DUMMYFUNCTION("""COMPUTED_VALUE"""),45366.64583333333)</f>
        <v>45366.64583</v>
      </c>
      <c r="B28" s="6">
        <f>IFERROR(__xludf.DUMMYFUNCTION("""COMPUTED_VALUE"""),85.98)</f>
        <v>85.98</v>
      </c>
      <c r="C28" s="6">
        <f>IFERROR(__xludf.DUMMYFUNCTION("""COMPUTED_VALUE"""),86.38)</f>
        <v>86.38</v>
      </c>
      <c r="D28" s="6">
        <f>IFERROR(__xludf.DUMMYFUNCTION("""COMPUTED_VALUE"""),78.78)</f>
        <v>78.78</v>
      </c>
      <c r="E28" s="6">
        <f>IFERROR(__xludf.DUMMYFUNCTION("""COMPUTED_VALUE"""),80.93)</f>
        <v>80.93</v>
      </c>
      <c r="F28" s="6">
        <f>IFERROR(__xludf.DUMMYFUNCTION("""COMPUTED_VALUE"""),7.3962073E7)</f>
        <v>73962073</v>
      </c>
    </row>
    <row r="29">
      <c r="A29" s="7">
        <f>IFERROR(__xludf.DUMMYFUNCTION("""COMPUTED_VALUE"""),45373.64583333333)</f>
        <v>45373.64583</v>
      </c>
      <c r="B29" s="6">
        <f>IFERROR(__xludf.DUMMYFUNCTION("""COMPUTED_VALUE"""),81.1)</f>
        <v>81.1</v>
      </c>
      <c r="C29" s="6">
        <f>IFERROR(__xludf.DUMMYFUNCTION("""COMPUTED_VALUE"""),84.23)</f>
        <v>84.23</v>
      </c>
      <c r="D29" s="6">
        <f>IFERROR(__xludf.DUMMYFUNCTION("""COMPUTED_VALUE"""),79.88)</f>
        <v>79.88</v>
      </c>
      <c r="E29" s="6">
        <f>IFERROR(__xludf.DUMMYFUNCTION("""COMPUTED_VALUE"""),83.33)</f>
        <v>83.33</v>
      </c>
      <c r="F29" s="6">
        <f>IFERROR(__xludf.DUMMYFUNCTION("""COMPUTED_VALUE"""),6.1612665E7)</f>
        <v>61612665</v>
      </c>
    </row>
    <row r="30">
      <c r="A30" s="7">
        <f>IFERROR(__xludf.DUMMYFUNCTION("""COMPUTED_VALUE"""),45379.64583333333)</f>
        <v>45379.64583</v>
      </c>
      <c r="B30" s="6">
        <f>IFERROR(__xludf.DUMMYFUNCTION("""COMPUTED_VALUE"""),83.63)</f>
        <v>83.63</v>
      </c>
      <c r="C30" s="6">
        <f>IFERROR(__xludf.DUMMYFUNCTION("""COMPUTED_VALUE"""),86.3)</f>
        <v>86.3</v>
      </c>
      <c r="D30" s="6">
        <f>IFERROR(__xludf.DUMMYFUNCTION("""COMPUTED_VALUE"""),83.5)</f>
        <v>83.5</v>
      </c>
      <c r="E30" s="6">
        <f>IFERROR(__xludf.DUMMYFUNCTION("""COMPUTED_VALUE"""),85.63)</f>
        <v>85.63</v>
      </c>
      <c r="F30" s="6">
        <f>IFERROR(__xludf.DUMMYFUNCTION("""COMPUTED_VALUE"""),4.9557812E7)</f>
        <v>49557812</v>
      </c>
    </row>
    <row r="31">
      <c r="A31" s="7">
        <f>IFERROR(__xludf.DUMMYFUNCTION("""COMPUTED_VALUE"""),45387.64583333333)</f>
        <v>45387.64583</v>
      </c>
      <c r="B31" s="6">
        <f>IFERROR(__xludf.DUMMYFUNCTION("""COMPUTED_VALUE"""),86.5)</f>
        <v>86.5</v>
      </c>
      <c r="C31" s="6">
        <f>IFERROR(__xludf.DUMMYFUNCTION("""COMPUTED_VALUE"""),89.18)</f>
        <v>89.18</v>
      </c>
      <c r="D31" s="6">
        <f>IFERROR(__xludf.DUMMYFUNCTION("""COMPUTED_VALUE"""),85.5)</f>
        <v>85.5</v>
      </c>
      <c r="E31" s="6">
        <f>IFERROR(__xludf.DUMMYFUNCTION("""COMPUTED_VALUE"""),88.0)</f>
        <v>88</v>
      </c>
      <c r="F31" s="6">
        <f>IFERROR(__xludf.DUMMYFUNCTION("""COMPUTED_VALUE"""),9.4157216E7)</f>
        <v>94157216</v>
      </c>
    </row>
    <row r="32">
      <c r="A32" s="7">
        <f>IFERROR(__xludf.DUMMYFUNCTION("""COMPUTED_VALUE"""),45394.64583333333)</f>
        <v>45394.64583</v>
      </c>
      <c r="B32" s="6">
        <f>IFERROR(__xludf.DUMMYFUNCTION("""COMPUTED_VALUE"""),88.05)</f>
        <v>88.05</v>
      </c>
      <c r="C32" s="6">
        <f>IFERROR(__xludf.DUMMYFUNCTION("""COMPUTED_VALUE"""),90.6)</f>
        <v>90.6</v>
      </c>
      <c r="D32" s="6">
        <f>IFERROR(__xludf.DUMMYFUNCTION("""COMPUTED_VALUE"""),87.55)</f>
        <v>87.55</v>
      </c>
      <c r="E32" s="6">
        <f>IFERROR(__xludf.DUMMYFUNCTION("""COMPUTED_VALUE"""),89.18)</f>
        <v>89.18</v>
      </c>
      <c r="F32" s="6">
        <f>IFERROR(__xludf.DUMMYFUNCTION("""COMPUTED_VALUE"""),6.2052295E7)</f>
        <v>62052295</v>
      </c>
    </row>
    <row r="33">
      <c r="A33" s="7">
        <f>IFERROR(__xludf.DUMMYFUNCTION("""COMPUTED_VALUE"""),45401.64583333333)</f>
        <v>45401.64583</v>
      </c>
      <c r="B33" s="6">
        <f>IFERROR(__xludf.DUMMYFUNCTION("""COMPUTED_VALUE"""),87.08)</f>
        <v>87.08</v>
      </c>
      <c r="C33" s="6">
        <f>IFERROR(__xludf.DUMMYFUNCTION("""COMPUTED_VALUE"""),88.65)</f>
        <v>88.65</v>
      </c>
      <c r="D33" s="6">
        <f>IFERROR(__xludf.DUMMYFUNCTION("""COMPUTED_VALUE"""),83.13)</f>
        <v>83.13</v>
      </c>
      <c r="E33" s="6">
        <f>IFERROR(__xludf.DUMMYFUNCTION("""COMPUTED_VALUE"""),84.68)</f>
        <v>84.68</v>
      </c>
      <c r="F33" s="6">
        <f>IFERROR(__xludf.DUMMYFUNCTION("""COMPUTED_VALUE"""),5.4950116E7)</f>
        <v>54950116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IFERROR(__xludf.DUMMYFUNCTION("""COMPUTED_VALUE"""),85.5)</f>
        <v>85.5</v>
      </c>
      <c r="C34" s="6">
        <f>IFERROR(__xludf.DUMMYFUNCTION("""COMPUTED_VALUE"""),93.6)</f>
        <v>93.6</v>
      </c>
      <c r="D34" s="6">
        <f>IFERROR(__xludf.DUMMYFUNCTION("""COMPUTED_VALUE"""),85.13)</f>
        <v>85.13</v>
      </c>
      <c r="E34" s="6">
        <f>IFERROR(__xludf.DUMMYFUNCTION("""COMPUTED_VALUE"""),92.5)</f>
        <v>92.5</v>
      </c>
      <c r="F34" s="6">
        <f>IFERROR(__xludf.DUMMYFUNCTION("""COMPUTED_VALUE"""),9.5302848E7)</f>
        <v>95302848</v>
      </c>
    </row>
    <row r="35">
      <c r="A35" s="7">
        <f>IFERROR(__xludf.DUMMYFUNCTION("""COMPUTED_VALUE"""),45415.64583333333)</f>
        <v>45415.64583</v>
      </c>
      <c r="B35" s="6">
        <f>IFERROR(__xludf.DUMMYFUNCTION("""COMPUTED_VALUE"""),93.6)</f>
        <v>93.6</v>
      </c>
      <c r="C35" s="6">
        <f>IFERROR(__xludf.DUMMYFUNCTION("""COMPUTED_VALUE"""),102.55)</f>
        <v>102.55</v>
      </c>
      <c r="D35" s="6">
        <f>IFERROR(__xludf.DUMMYFUNCTION("""COMPUTED_VALUE"""),92.43)</f>
        <v>92.43</v>
      </c>
      <c r="E35" s="6">
        <f>IFERROR(__xludf.DUMMYFUNCTION("""COMPUTED_VALUE"""),101.15)</f>
        <v>101.15</v>
      </c>
      <c r="F35" s="6">
        <f>IFERROR(__xludf.DUMMYFUNCTION("""COMPUTED_VALUE"""),1.47329474E8)</f>
        <v>147329474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IFERROR(__xludf.DUMMYFUNCTION("""COMPUTED_VALUE"""),101.85)</f>
        <v>101.85</v>
      </c>
      <c r="C36" s="6">
        <f>IFERROR(__xludf.DUMMYFUNCTION("""COMPUTED_VALUE"""),102.45)</f>
        <v>102.45</v>
      </c>
      <c r="D36" s="6">
        <f>IFERROR(__xludf.DUMMYFUNCTION("""COMPUTED_VALUE"""),96.25)</f>
        <v>96.25</v>
      </c>
      <c r="E36" s="6">
        <f>IFERROR(__xludf.DUMMYFUNCTION("""COMPUTED_VALUE"""),99.15)</f>
        <v>99.15</v>
      </c>
      <c r="F36" s="6">
        <f>IFERROR(__xludf.DUMMYFUNCTION("""COMPUTED_VALUE"""),7.3204165E7)</f>
        <v>73204165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IFERROR(__xludf.DUMMYFUNCTION("""COMPUTED_VALUE"""),105.48)</f>
        <v>105.48</v>
      </c>
      <c r="C37" s="6">
        <f>IFERROR(__xludf.DUMMYFUNCTION("""COMPUTED_VALUE"""),109.73)</f>
        <v>109.73</v>
      </c>
      <c r="D37" s="6">
        <f>IFERROR(__xludf.DUMMYFUNCTION("""COMPUTED_VALUE"""),103.08)</f>
        <v>103.08</v>
      </c>
      <c r="E37" s="6">
        <f>IFERROR(__xludf.DUMMYFUNCTION("""COMPUTED_VALUE"""),105.35)</f>
        <v>105.35</v>
      </c>
      <c r="F37" s="6">
        <f>IFERROR(__xludf.DUMMYFUNCTION("""COMPUTED_VALUE"""),8.9224031E7)</f>
        <v>89224031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IFERROR(__xludf.DUMMYFUNCTION("""COMPUTED_VALUE"""),108.0)</f>
        <v>108</v>
      </c>
      <c r="C38" s="6">
        <f>IFERROR(__xludf.DUMMYFUNCTION("""COMPUTED_VALUE"""),115.4)</f>
        <v>115.4</v>
      </c>
      <c r="D38" s="6">
        <f>IFERROR(__xludf.DUMMYFUNCTION("""COMPUTED_VALUE"""),106.3)</f>
        <v>106.3</v>
      </c>
      <c r="E38" s="6">
        <f>IFERROR(__xludf.DUMMYFUNCTION("""COMPUTED_VALUE"""),112.0)</f>
        <v>112</v>
      </c>
      <c r="F38" s="6">
        <f>IFERROR(__xludf.DUMMYFUNCTION("""COMPUTED_VALUE"""),1.66525884E8)</f>
        <v>166525884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IFERROR(__xludf.DUMMYFUNCTION("""COMPUTED_VALUE"""),117.5)</f>
        <v>117.5</v>
      </c>
      <c r="C39" s="6">
        <f>IFERROR(__xludf.DUMMYFUNCTION("""COMPUTED_VALUE"""),118.98)</f>
        <v>118.98</v>
      </c>
      <c r="D39" s="6">
        <f>IFERROR(__xludf.DUMMYFUNCTION("""COMPUTED_VALUE"""),96.0)</f>
        <v>96</v>
      </c>
      <c r="E39" s="6">
        <f>IFERROR(__xludf.DUMMYFUNCTION("""COMPUTED_VALUE"""),115.73)</f>
        <v>115.73</v>
      </c>
      <c r="F39" s="6">
        <f>IFERROR(__xludf.DUMMYFUNCTION("""COMPUTED_VALUE"""),1.34060241E8)</f>
        <v>134060241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IFERROR(__xludf.DUMMYFUNCTION("""COMPUTED_VALUE"""),116.95)</f>
        <v>116.95</v>
      </c>
      <c r="C40" s="6">
        <f>IFERROR(__xludf.DUMMYFUNCTION("""COMPUTED_VALUE"""),121.35)</f>
        <v>121.35</v>
      </c>
      <c r="D40" s="6">
        <f>IFERROR(__xludf.DUMMYFUNCTION("""COMPUTED_VALUE"""),114.41)</f>
        <v>114.41</v>
      </c>
      <c r="E40" s="6">
        <f>IFERROR(__xludf.DUMMYFUNCTION("""COMPUTED_VALUE"""),119.92)</f>
        <v>119.92</v>
      </c>
      <c r="F40" s="6">
        <f>IFERROR(__xludf.DUMMYFUNCTION("""COMPUTED_VALUE"""),6.9501832E7)</f>
        <v>69501832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IFERROR(__xludf.DUMMYFUNCTION("""COMPUTED_VALUE"""),120.3)</f>
        <v>120.3</v>
      </c>
      <c r="C41" s="6">
        <f>IFERROR(__xludf.DUMMYFUNCTION("""COMPUTED_VALUE"""),121.33)</f>
        <v>121.33</v>
      </c>
      <c r="D41" s="6">
        <f>IFERROR(__xludf.DUMMYFUNCTION("""COMPUTED_VALUE"""),115.78)</f>
        <v>115.78</v>
      </c>
      <c r="E41" s="6">
        <f>IFERROR(__xludf.DUMMYFUNCTION("""COMPUTED_VALUE"""),117.83)</f>
        <v>117.83</v>
      </c>
      <c r="F41" s="6">
        <f>IFERROR(__xludf.DUMMYFUNCTION("""COMPUTED_VALUE"""),3.9098012E7)</f>
        <v>39098012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IFERROR(__xludf.DUMMYFUNCTION("""COMPUTED_VALUE"""),116.8)</f>
        <v>116.8</v>
      </c>
      <c r="C42" s="6">
        <f>IFERROR(__xludf.DUMMYFUNCTION("""COMPUTED_VALUE"""),122.84)</f>
        <v>122.84</v>
      </c>
      <c r="D42" s="6">
        <f>IFERROR(__xludf.DUMMYFUNCTION("""COMPUTED_VALUE"""),115.62)</f>
        <v>115.62</v>
      </c>
      <c r="E42" s="6">
        <f>IFERROR(__xludf.DUMMYFUNCTION("""COMPUTED_VALUE"""),120.95)</f>
        <v>120.95</v>
      </c>
      <c r="F42" s="6">
        <f>IFERROR(__xludf.DUMMYFUNCTION("""COMPUTED_VALUE"""),4.990173E7)</f>
        <v>49901730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IFERROR(__xludf.DUMMYFUNCTION("""COMPUTED_VALUE"""),120.95)</f>
        <v>120.95</v>
      </c>
      <c r="C43" s="6">
        <f>IFERROR(__xludf.DUMMYFUNCTION("""COMPUTED_VALUE"""),121.65)</f>
        <v>121.65</v>
      </c>
      <c r="D43" s="6">
        <f>IFERROR(__xludf.DUMMYFUNCTION("""COMPUTED_VALUE"""),113.0)</f>
        <v>113</v>
      </c>
      <c r="E43" s="6">
        <f>IFERROR(__xludf.DUMMYFUNCTION("""COMPUTED_VALUE"""),114.78)</f>
        <v>114.78</v>
      </c>
      <c r="F43" s="6">
        <f>IFERROR(__xludf.DUMMYFUNCTION("""COMPUTED_VALUE"""),6.1920389E7)</f>
        <v>61920389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IFERROR(__xludf.DUMMYFUNCTION("""COMPUTED_VALUE"""),115.0)</f>
        <v>115</v>
      </c>
      <c r="C44" s="6">
        <f>IFERROR(__xludf.DUMMYFUNCTION("""COMPUTED_VALUE"""),115.64)</f>
        <v>115.64</v>
      </c>
      <c r="D44" s="6">
        <f>IFERROR(__xludf.DUMMYFUNCTION("""COMPUTED_VALUE"""),110.63)</f>
        <v>110.63</v>
      </c>
      <c r="E44" s="6">
        <f>IFERROR(__xludf.DUMMYFUNCTION("""COMPUTED_VALUE"""),112.13)</f>
        <v>112.13</v>
      </c>
      <c r="F44" s="6">
        <f>IFERROR(__xludf.DUMMYFUNCTION("""COMPUTED_VALUE"""),5.217857E7)</f>
        <v>52178570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IFERROR(__xludf.DUMMYFUNCTION("""COMPUTED_VALUE"""),112.5)</f>
        <v>112.5</v>
      </c>
      <c r="C45" s="6">
        <f>IFERROR(__xludf.DUMMYFUNCTION("""COMPUTED_VALUE"""),115.35)</f>
        <v>115.35</v>
      </c>
      <c r="D45" s="6">
        <f>IFERROR(__xludf.DUMMYFUNCTION("""COMPUTED_VALUE"""),111.5)</f>
        <v>111.5</v>
      </c>
      <c r="E45" s="6">
        <f>IFERROR(__xludf.DUMMYFUNCTION("""COMPUTED_VALUE"""),111.98)</f>
        <v>111.98</v>
      </c>
      <c r="F45" s="6">
        <f>IFERROR(__xludf.DUMMYFUNCTION("""COMPUTED_VALUE"""),3.7355172E7)</f>
        <v>37355172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IFERROR(__xludf.DUMMYFUNCTION("""COMPUTED_VALUE"""),112.58)</f>
        <v>112.58</v>
      </c>
      <c r="C46" s="6">
        <f>IFERROR(__xludf.DUMMYFUNCTION("""COMPUTED_VALUE"""),124.45)</f>
        <v>124.45</v>
      </c>
      <c r="D46" s="6">
        <f>IFERROR(__xludf.DUMMYFUNCTION("""COMPUTED_VALUE"""),109.68)</f>
        <v>109.68</v>
      </c>
      <c r="E46" s="6">
        <f>IFERROR(__xludf.DUMMYFUNCTION("""COMPUTED_VALUE"""),123.19)</f>
        <v>123.19</v>
      </c>
      <c r="F46" s="6">
        <f>IFERROR(__xludf.DUMMYFUNCTION("""COMPUTED_VALUE"""),1.10907912E8)</f>
        <v>110907912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IFERROR(__xludf.DUMMYFUNCTION("""COMPUTED_VALUE"""),124.5)</f>
        <v>124.5</v>
      </c>
      <c r="C47" s="6">
        <f>IFERROR(__xludf.DUMMYFUNCTION("""COMPUTED_VALUE"""),129.5)</f>
        <v>129.5</v>
      </c>
      <c r="D47" s="6">
        <f>IFERROR(__xludf.DUMMYFUNCTION("""COMPUTED_VALUE"""),122.23)</f>
        <v>122.23</v>
      </c>
      <c r="E47" s="6">
        <f>IFERROR(__xludf.DUMMYFUNCTION("""COMPUTED_VALUE"""),125.08)</f>
        <v>125.08</v>
      </c>
      <c r="F47" s="6">
        <f>IFERROR(__xludf.DUMMYFUNCTION("""COMPUTED_VALUE"""),7.630707E7)</f>
        <v>76307070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IFERROR(__xludf.DUMMYFUNCTION("""COMPUTED_VALUE"""),120.0)</f>
        <v>120</v>
      </c>
      <c r="C48" s="6">
        <f>IFERROR(__xludf.DUMMYFUNCTION("""COMPUTED_VALUE"""),127.3)</f>
        <v>127.3</v>
      </c>
      <c r="D48" s="6">
        <f>IFERROR(__xludf.DUMMYFUNCTION("""COMPUTED_VALUE"""),120.0)</f>
        <v>120</v>
      </c>
      <c r="E48" s="6">
        <f>IFERROR(__xludf.DUMMYFUNCTION("""COMPUTED_VALUE"""),126.55)</f>
        <v>126.55</v>
      </c>
      <c r="F48" s="6">
        <f>IFERROR(__xludf.DUMMYFUNCTION("""COMPUTED_VALUE"""),5.4873034E7)</f>
        <v>54873034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IFERROR(__xludf.DUMMYFUNCTION("""COMPUTED_VALUE"""),124.98)</f>
        <v>124.98</v>
      </c>
      <c r="C49" s="6">
        <f>IFERROR(__xludf.DUMMYFUNCTION("""COMPUTED_VALUE"""),128.45)</f>
        <v>128.45</v>
      </c>
      <c r="D49" s="6">
        <f>IFERROR(__xludf.DUMMYFUNCTION("""COMPUTED_VALUE"""),122.85)</f>
        <v>122.85</v>
      </c>
      <c r="E49" s="6">
        <f>IFERROR(__xludf.DUMMYFUNCTION("""COMPUTED_VALUE"""),127.98)</f>
        <v>127.98</v>
      </c>
      <c r="F49" s="6">
        <f>IFERROR(__xludf.DUMMYFUNCTION("""COMPUTED_VALUE"""),3.3431447E7)</f>
        <v>33431447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IFERROR(__xludf.DUMMYFUNCTION("""COMPUTED_VALUE"""),129.0)</f>
        <v>129</v>
      </c>
      <c r="C50" s="6">
        <f>IFERROR(__xludf.DUMMYFUNCTION("""COMPUTED_VALUE"""),131.43)</f>
        <v>131.43</v>
      </c>
      <c r="D50" s="6">
        <f>IFERROR(__xludf.DUMMYFUNCTION("""COMPUTED_VALUE"""),127.85)</f>
        <v>127.85</v>
      </c>
      <c r="E50" s="6">
        <f>IFERROR(__xludf.DUMMYFUNCTION("""COMPUTED_VALUE"""),130.2)</f>
        <v>130.2</v>
      </c>
      <c r="F50" s="6">
        <f>IFERROR(__xludf.DUMMYFUNCTION("""COMPUTED_VALUE"""),3.6806606E7)</f>
        <v>36806606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IFERROR(__xludf.DUMMYFUNCTION("""COMPUTED_VALUE"""),130.03)</f>
        <v>130.03</v>
      </c>
      <c r="C51" s="6">
        <f>IFERROR(__xludf.DUMMYFUNCTION("""COMPUTED_VALUE"""),132.32)</f>
        <v>132.32</v>
      </c>
      <c r="D51" s="6">
        <f>IFERROR(__xludf.DUMMYFUNCTION("""COMPUTED_VALUE"""),125.55)</f>
        <v>125.55</v>
      </c>
      <c r="E51" s="6">
        <f>IFERROR(__xludf.DUMMYFUNCTION("""COMPUTED_VALUE"""),128.23)</f>
        <v>128.23</v>
      </c>
      <c r="F51" s="6">
        <f>IFERROR(__xludf.DUMMYFUNCTION("""COMPUTED_VALUE"""),4.4951235E7)</f>
        <v>44951235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IFERROR(__xludf.DUMMYFUNCTION("""COMPUTED_VALUE"""),129.05)</f>
        <v>129.05</v>
      </c>
      <c r="C52" s="6">
        <f>IFERROR(__xludf.DUMMYFUNCTION("""COMPUTED_VALUE"""),129.05)</f>
        <v>129.05</v>
      </c>
      <c r="D52" s="6">
        <f>IFERROR(__xludf.DUMMYFUNCTION("""COMPUTED_VALUE"""),123.2)</f>
        <v>123.2</v>
      </c>
      <c r="E52" s="6">
        <f>IFERROR(__xludf.DUMMYFUNCTION("""COMPUTED_VALUE"""),123.9)</f>
        <v>123.9</v>
      </c>
      <c r="F52" s="6">
        <f>IFERROR(__xludf.DUMMYFUNCTION("""COMPUTED_VALUE"""),3.2770192E7)</f>
        <v>32770192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IFERROR(__xludf.DUMMYFUNCTION("""COMPUTED_VALUE"""),123.93)</f>
        <v>123.93</v>
      </c>
      <c r="C53" s="6">
        <f>IFERROR(__xludf.DUMMYFUNCTION("""COMPUTED_VALUE"""),124.9)</f>
        <v>124.9</v>
      </c>
      <c r="D53" s="6">
        <f>IFERROR(__xludf.DUMMYFUNCTION("""COMPUTED_VALUE"""),120.08)</f>
        <v>120.08</v>
      </c>
      <c r="E53" s="6">
        <f>IFERROR(__xludf.DUMMYFUNCTION("""COMPUTED_VALUE"""),122.83)</f>
        <v>122.83</v>
      </c>
      <c r="F53" s="6">
        <f>IFERROR(__xludf.DUMMYFUNCTION("""COMPUTED_VALUE"""),3.2953093E7)</f>
        <v>32953093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IFERROR(__xludf.DUMMYFUNCTION("""COMPUTED_VALUE"""),122.98)</f>
        <v>122.98</v>
      </c>
      <c r="C54" s="6">
        <f>IFERROR(__xludf.DUMMYFUNCTION("""COMPUTED_VALUE"""),124.1)</f>
        <v>124.1</v>
      </c>
      <c r="D54" s="6">
        <f>IFERROR(__xludf.DUMMYFUNCTION("""COMPUTED_VALUE"""),116.53)</f>
        <v>116.53</v>
      </c>
      <c r="E54" s="6">
        <f>IFERROR(__xludf.DUMMYFUNCTION("""COMPUTED_VALUE"""),118.93)</f>
        <v>118.93</v>
      </c>
      <c r="F54" s="6">
        <f>IFERROR(__xludf.DUMMYFUNCTION("""COMPUTED_VALUE"""),4.3181284E7)</f>
        <v>43181284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IFERROR(__xludf.DUMMYFUNCTION("""COMPUTED_VALUE"""),119.25)</f>
        <v>119.25</v>
      </c>
      <c r="C55" s="6">
        <f>IFERROR(__xludf.DUMMYFUNCTION("""COMPUTED_VALUE"""),121.35)</f>
        <v>121.35</v>
      </c>
      <c r="D55" s="6">
        <f>IFERROR(__xludf.DUMMYFUNCTION("""COMPUTED_VALUE"""),117.53)</f>
        <v>117.53</v>
      </c>
      <c r="E55" s="6">
        <f>IFERROR(__xludf.DUMMYFUNCTION("""COMPUTED_VALUE"""),119.78)</f>
        <v>119.78</v>
      </c>
      <c r="F55" s="6">
        <f>IFERROR(__xludf.DUMMYFUNCTION("""COMPUTED_VALUE"""),4.206738E7)</f>
        <v>42067380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IFERROR(__xludf.DUMMYFUNCTION("""COMPUTED_VALUE"""),119.78)</f>
        <v>119.78</v>
      </c>
      <c r="C56" s="6">
        <f>IFERROR(__xludf.DUMMYFUNCTION("""COMPUTED_VALUE"""),121.1)</f>
        <v>121.1</v>
      </c>
      <c r="D56" s="6">
        <f>IFERROR(__xludf.DUMMYFUNCTION("""COMPUTED_VALUE"""),111.94)</f>
        <v>111.94</v>
      </c>
      <c r="E56" s="6">
        <f>IFERROR(__xludf.DUMMYFUNCTION("""COMPUTED_VALUE"""),112.7)</f>
        <v>112.7</v>
      </c>
      <c r="F56" s="6">
        <f>IFERROR(__xludf.DUMMYFUNCTION("""COMPUTED_VALUE"""),4.6515222E7)</f>
        <v>46515222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IFERROR(__xludf.DUMMYFUNCTION("""COMPUTED_VALUE"""),112.7)</f>
        <v>112.7</v>
      </c>
      <c r="C57" s="6">
        <f>IFERROR(__xludf.DUMMYFUNCTION("""COMPUTED_VALUE"""),114.41)</f>
        <v>114.41</v>
      </c>
      <c r="D57" s="6">
        <f>IFERROR(__xludf.DUMMYFUNCTION("""COMPUTED_VALUE"""),107.6)</f>
        <v>107.6</v>
      </c>
      <c r="E57" s="6">
        <f>IFERROR(__xludf.DUMMYFUNCTION("""COMPUTED_VALUE"""),113.93)</f>
        <v>113.93</v>
      </c>
      <c r="F57" s="6">
        <f>IFERROR(__xludf.DUMMYFUNCTION("""COMPUTED_VALUE"""),7.4488934E7)</f>
        <v>74488934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IFERROR(__xludf.DUMMYFUNCTION("""COMPUTED_VALUE"""),114.35)</f>
        <v>114.35</v>
      </c>
      <c r="C58" s="6">
        <f>IFERROR(__xludf.DUMMYFUNCTION("""COMPUTED_VALUE"""),115.33)</f>
        <v>115.33</v>
      </c>
      <c r="D58" s="6">
        <f>IFERROR(__xludf.DUMMYFUNCTION("""COMPUTED_VALUE"""),108.9)</f>
        <v>108.9</v>
      </c>
      <c r="E58" s="6">
        <f>IFERROR(__xludf.DUMMYFUNCTION("""COMPUTED_VALUE"""),111.64)</f>
        <v>111.64</v>
      </c>
      <c r="F58" s="6">
        <f>IFERROR(__xludf.DUMMYFUNCTION("""COMPUTED_VALUE"""),4.073284E7)</f>
        <v>40732840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IFERROR(__xludf.DUMMYFUNCTION("""COMPUTED_VALUE"""),111.64)</f>
        <v>111.64</v>
      </c>
      <c r="C59" s="6">
        <f>IFERROR(__xludf.DUMMYFUNCTION("""COMPUTED_VALUE"""),112.1)</f>
        <v>112.1</v>
      </c>
      <c r="D59" s="6">
        <f>IFERROR(__xludf.DUMMYFUNCTION("""COMPUTED_VALUE"""),105.44)</f>
        <v>105.44</v>
      </c>
      <c r="E59" s="6">
        <f>IFERROR(__xludf.DUMMYFUNCTION("""COMPUTED_VALUE"""),107.0)</f>
        <v>107</v>
      </c>
      <c r="F59" s="6">
        <f>IFERROR(__xludf.DUMMYFUNCTION("""COMPUTED_VALUE"""),3.9030265E7)</f>
        <v>39030265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IFERROR(__xludf.DUMMYFUNCTION("""COMPUTED_VALUE"""),105.35)</f>
        <v>105.35</v>
      </c>
      <c r="C60" s="6">
        <f>IFERROR(__xludf.DUMMYFUNCTION("""COMPUTED_VALUE"""),111.35)</f>
        <v>111.35</v>
      </c>
      <c r="D60" s="6">
        <f>IFERROR(__xludf.DUMMYFUNCTION("""COMPUTED_VALUE"""),101.0)</f>
        <v>101</v>
      </c>
      <c r="E60" s="6">
        <f>IFERROR(__xludf.DUMMYFUNCTION("""COMPUTED_VALUE"""),110.95)</f>
        <v>110.95</v>
      </c>
      <c r="F60" s="6">
        <f>IFERROR(__xludf.DUMMYFUNCTION("""COMPUTED_VALUE"""),5.2404252E7)</f>
        <v>52404252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IFERROR(__xludf.DUMMYFUNCTION("""COMPUTED_VALUE"""),112.0)</f>
        <v>112</v>
      </c>
      <c r="C61" s="6">
        <f>IFERROR(__xludf.DUMMYFUNCTION("""COMPUTED_VALUE"""),115.23)</f>
        <v>115.23</v>
      </c>
      <c r="D61" s="6">
        <f>IFERROR(__xludf.DUMMYFUNCTION("""COMPUTED_VALUE"""),107.13)</f>
        <v>107.13</v>
      </c>
      <c r="E61" s="6">
        <f>IFERROR(__xludf.DUMMYFUNCTION("""COMPUTED_VALUE"""),108.79)</f>
        <v>108.79</v>
      </c>
      <c r="F61" s="6">
        <f>IFERROR(__xludf.DUMMYFUNCTION("""COMPUTED_VALUE"""),4.0519755E7)</f>
        <v>40519755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IFERROR(__xludf.DUMMYFUNCTION("""COMPUTED_VALUE"""),108.78)</f>
        <v>108.78</v>
      </c>
      <c r="C62" s="6">
        <f>IFERROR(__xludf.DUMMYFUNCTION("""COMPUTED_VALUE"""),112.87)</f>
        <v>112.87</v>
      </c>
      <c r="D62" s="6">
        <f>IFERROR(__xludf.DUMMYFUNCTION("""COMPUTED_VALUE"""),107.19)</f>
        <v>107.19</v>
      </c>
      <c r="E62" s="6">
        <f>IFERROR(__xludf.DUMMYFUNCTION("""COMPUTED_VALUE"""),111.98)</f>
        <v>111.98</v>
      </c>
      <c r="F62" s="6">
        <f>IFERROR(__xludf.DUMMYFUNCTION("""COMPUTED_VALUE"""),3.0351488E7)</f>
        <v>30351488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IFERROR(__xludf.DUMMYFUNCTION("""COMPUTED_VALUE"""),113.0)</f>
        <v>113</v>
      </c>
      <c r="C63" s="6">
        <f>IFERROR(__xludf.DUMMYFUNCTION("""COMPUTED_VALUE"""),118.53)</f>
        <v>118.53</v>
      </c>
      <c r="D63" s="6">
        <f>IFERROR(__xludf.DUMMYFUNCTION("""COMPUTED_VALUE"""),113.0)</f>
        <v>113</v>
      </c>
      <c r="E63" s="6">
        <f>IFERROR(__xludf.DUMMYFUNCTION("""COMPUTED_VALUE"""),116.04)</f>
        <v>116.04</v>
      </c>
      <c r="F63" s="6">
        <f>IFERROR(__xludf.DUMMYFUNCTION("""COMPUTED_VALUE"""),4.5089454E7)</f>
        <v>45089454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IFERROR(__xludf.DUMMYFUNCTION("""COMPUTED_VALUE"""),114.75)</f>
        <v>114.75</v>
      </c>
      <c r="C64" s="6">
        <f>IFERROR(__xludf.DUMMYFUNCTION("""COMPUTED_VALUE"""),117.99)</f>
        <v>117.99</v>
      </c>
      <c r="D64" s="6">
        <f>IFERROR(__xludf.DUMMYFUNCTION("""COMPUTED_VALUE"""),113.09)</f>
        <v>113.09</v>
      </c>
      <c r="E64" s="6">
        <f>IFERROR(__xludf.DUMMYFUNCTION("""COMPUTED_VALUE"""),116.09)</f>
        <v>116.09</v>
      </c>
      <c r="F64" s="6">
        <f>IFERROR(__xludf.DUMMYFUNCTION("""COMPUTED_VALUE"""),3.0999295E7)</f>
        <v>30999295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IFERROR(__xludf.DUMMYFUNCTION("""COMPUTED_VALUE"""),116.21)</f>
        <v>116.21</v>
      </c>
      <c r="C65" s="6">
        <f>IFERROR(__xludf.DUMMYFUNCTION("""COMPUTED_VALUE"""),117.0)</f>
        <v>117</v>
      </c>
      <c r="D65" s="6">
        <f>IFERROR(__xludf.DUMMYFUNCTION("""COMPUTED_VALUE"""),112.87)</f>
        <v>112.87</v>
      </c>
      <c r="E65" s="6">
        <f>IFERROR(__xludf.DUMMYFUNCTION("""COMPUTED_VALUE"""),115.97)</f>
        <v>115.97</v>
      </c>
      <c r="F65" s="6">
        <f>IFERROR(__xludf.DUMMYFUNCTION("""COMPUTED_VALUE"""),2.7702911E7)</f>
        <v>27702911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IFERROR(__xludf.DUMMYFUNCTION("""COMPUTED_VALUE"""),116.0)</f>
        <v>116</v>
      </c>
      <c r="C66" s="6">
        <f>IFERROR(__xludf.DUMMYFUNCTION("""COMPUTED_VALUE"""),118.31)</f>
        <v>118.31</v>
      </c>
      <c r="D66" s="6">
        <f>IFERROR(__xludf.DUMMYFUNCTION("""COMPUTED_VALUE"""),107.85)</f>
        <v>107.85</v>
      </c>
      <c r="E66" s="6">
        <f>IFERROR(__xludf.DUMMYFUNCTION("""COMPUTED_VALUE"""),108.64)</f>
        <v>108.64</v>
      </c>
      <c r="F66" s="6">
        <f>IFERROR(__xludf.DUMMYFUNCTION("""COMPUTED_VALUE"""),3.4937593E7)</f>
        <v>34937593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IFERROR(__xludf.DUMMYFUNCTION("""COMPUTED_VALUE"""),108.68)</f>
        <v>108.68</v>
      </c>
      <c r="C67" s="6">
        <f>IFERROR(__xludf.DUMMYFUNCTION("""COMPUTED_VALUE"""),111.88)</f>
        <v>111.88</v>
      </c>
      <c r="D67" s="6">
        <f>IFERROR(__xludf.DUMMYFUNCTION("""COMPUTED_VALUE"""),108.68)</f>
        <v>108.68</v>
      </c>
      <c r="E67" s="6">
        <f>IFERROR(__xludf.DUMMYFUNCTION("""COMPUTED_VALUE"""),110.26)</f>
        <v>110.26</v>
      </c>
      <c r="F67" s="6">
        <f>IFERROR(__xludf.DUMMYFUNCTION("""COMPUTED_VALUE"""),1.5461052E7)</f>
        <v>15461052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IFERROR(__xludf.DUMMYFUNCTION("""COMPUTED_VALUE"""),110.25)</f>
        <v>110.25</v>
      </c>
      <c r="C68" s="6">
        <f>IFERROR(__xludf.DUMMYFUNCTION("""COMPUTED_VALUE"""),119.1)</f>
        <v>119.1</v>
      </c>
      <c r="D68" s="6">
        <f>IFERROR(__xludf.DUMMYFUNCTION("""COMPUTED_VALUE"""),109.03)</f>
        <v>109.03</v>
      </c>
      <c r="E68" s="6">
        <f>IFERROR(__xludf.DUMMYFUNCTION("""COMPUTED_VALUE"""),117.07)</f>
        <v>117.07</v>
      </c>
      <c r="F68" s="6">
        <f>IFERROR(__xludf.DUMMYFUNCTION("""COMPUTED_VALUE"""),3.8069944E7)</f>
        <v>38069944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IFERROR(__xludf.DUMMYFUNCTION("""COMPUTED_VALUE"""),117.0)</f>
        <v>117</v>
      </c>
      <c r="C69" s="6">
        <f>IFERROR(__xludf.DUMMYFUNCTION("""COMPUTED_VALUE"""),117.07)</f>
        <v>117.07</v>
      </c>
      <c r="D69" s="6">
        <f>IFERROR(__xludf.DUMMYFUNCTION("""COMPUTED_VALUE"""),103.8)</f>
        <v>103.8</v>
      </c>
      <c r="E69" s="6">
        <f>IFERROR(__xludf.DUMMYFUNCTION("""COMPUTED_VALUE"""),105.29)</f>
        <v>105.29</v>
      </c>
      <c r="F69" s="6">
        <f>IFERROR(__xludf.DUMMYFUNCTION("""COMPUTED_VALUE"""),2.8750297E7)</f>
        <v>28750297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IFERROR(__xludf.DUMMYFUNCTION("""COMPUTED_VALUE"""),103.99)</f>
        <v>103.99</v>
      </c>
      <c r="C70" s="6">
        <f>IFERROR(__xludf.DUMMYFUNCTION("""COMPUTED_VALUE"""),106.05)</f>
        <v>106.05</v>
      </c>
      <c r="D70" s="6">
        <f>IFERROR(__xludf.DUMMYFUNCTION("""COMPUTED_VALUE"""),100.95)</f>
        <v>100.95</v>
      </c>
      <c r="E70" s="6">
        <f>IFERROR(__xludf.DUMMYFUNCTION("""COMPUTED_VALUE"""),103.3)</f>
        <v>103.3</v>
      </c>
      <c r="F70" s="6">
        <f>IFERROR(__xludf.DUMMYFUNCTION("""COMPUTED_VALUE"""),2.1010358E7)</f>
        <v>21010358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IFERROR(__xludf.DUMMYFUNCTION("""COMPUTED_VALUE"""),103.75)</f>
        <v>103.75</v>
      </c>
      <c r="C71" s="6">
        <f>IFERROR(__xludf.DUMMYFUNCTION("""COMPUTED_VALUE"""),105.45)</f>
        <v>105.45</v>
      </c>
      <c r="D71" s="6">
        <f>IFERROR(__xludf.DUMMYFUNCTION("""COMPUTED_VALUE"""),101.83)</f>
        <v>101.83</v>
      </c>
      <c r="E71" s="6">
        <f>IFERROR(__xludf.DUMMYFUNCTION("""COMPUTED_VALUE"""),102.15)</f>
        <v>102.15</v>
      </c>
      <c r="F71" s="6">
        <f>IFERROR(__xludf.DUMMYFUNCTION("""COMPUTED_VALUE"""),3.5941849E7)</f>
        <v>35941849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IFERROR(__xludf.DUMMYFUNCTION("""COMPUTED_VALUE"""),103.18)</f>
        <v>103.18</v>
      </c>
      <c r="C72" s="6">
        <f>IFERROR(__xludf.DUMMYFUNCTION("""COMPUTED_VALUE"""),108.12)</f>
        <v>108.12</v>
      </c>
      <c r="D72" s="6">
        <f>IFERROR(__xludf.DUMMYFUNCTION("""COMPUTED_VALUE"""),99.82)</f>
        <v>99.82</v>
      </c>
      <c r="E72" s="6">
        <f>IFERROR(__xludf.DUMMYFUNCTION("""COMPUTED_VALUE"""),106.03)</f>
        <v>106.03</v>
      </c>
      <c r="F72" s="6">
        <f>IFERROR(__xludf.DUMMYFUNCTION("""COMPUTED_VALUE"""),2.6387661E7)</f>
        <v>26387661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IFERROR(__xludf.DUMMYFUNCTION("""COMPUTED_VALUE"""),105.5)</f>
        <v>105.5</v>
      </c>
      <c r="C73" s="6">
        <f>IFERROR(__xludf.DUMMYFUNCTION("""COMPUTED_VALUE"""),112.63)</f>
        <v>112.63</v>
      </c>
      <c r="D73" s="6">
        <f>IFERROR(__xludf.DUMMYFUNCTION("""COMPUTED_VALUE"""),99.83)</f>
        <v>99.83</v>
      </c>
      <c r="E73" s="6">
        <f>IFERROR(__xludf.DUMMYFUNCTION("""COMPUTED_VALUE"""),106.93)</f>
        <v>106.93</v>
      </c>
      <c r="F73" s="6">
        <f>IFERROR(__xludf.DUMMYFUNCTION("""COMPUTED_VALUE"""),7.3046169E7)</f>
        <v>73046169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IFERROR(__xludf.DUMMYFUNCTION("""COMPUTED_VALUE"""),106.5)</f>
        <v>106.5</v>
      </c>
      <c r="C74" s="6">
        <f>IFERROR(__xludf.DUMMYFUNCTION("""COMPUTED_VALUE"""),114.2)</f>
        <v>114.2</v>
      </c>
      <c r="D74" s="6">
        <f>IFERROR(__xludf.DUMMYFUNCTION("""COMPUTED_VALUE"""),104.68)</f>
        <v>104.68</v>
      </c>
      <c r="E74" s="6">
        <f>IFERROR(__xludf.DUMMYFUNCTION("""COMPUTED_VALUE"""),111.27)</f>
        <v>111.27</v>
      </c>
      <c r="F74" s="6">
        <f>IFERROR(__xludf.DUMMYFUNCTION("""COMPUTED_VALUE"""),4.6489546E7)</f>
        <v>46489546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IFERROR(__xludf.DUMMYFUNCTION("""COMPUTED_VALUE"""),110.0)</f>
        <v>110</v>
      </c>
      <c r="C75" s="6">
        <f>IFERROR(__xludf.DUMMYFUNCTION("""COMPUTED_VALUE"""),114.2)</f>
        <v>114.2</v>
      </c>
      <c r="D75" s="6">
        <f>IFERROR(__xludf.DUMMYFUNCTION("""COMPUTED_VALUE"""),105.66)</f>
        <v>105.66</v>
      </c>
      <c r="E75" s="6">
        <f>IFERROR(__xludf.DUMMYFUNCTION("""COMPUTED_VALUE"""),106.47)</f>
        <v>106.47</v>
      </c>
      <c r="F75" s="6">
        <f>IFERROR(__xludf.DUMMYFUNCTION("""COMPUTED_VALUE"""),3.6857596E7)</f>
        <v>36857596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IFERROR(__xludf.DUMMYFUNCTION("""COMPUTED_VALUE"""),108.0)</f>
        <v>108</v>
      </c>
      <c r="C76" s="6">
        <f>IFERROR(__xludf.DUMMYFUNCTION("""COMPUTED_VALUE"""),109.8)</f>
        <v>109.8</v>
      </c>
      <c r="D76" s="6">
        <f>IFERROR(__xludf.DUMMYFUNCTION("""COMPUTED_VALUE"""),101.58)</f>
        <v>101.58</v>
      </c>
      <c r="E76" s="6">
        <f>IFERROR(__xludf.DUMMYFUNCTION("""COMPUTED_VALUE"""),104.89)</f>
        <v>104.89</v>
      </c>
      <c r="F76" s="6">
        <f>IFERROR(__xludf.DUMMYFUNCTION("""COMPUTED_VALUE"""),3.6085783E7)</f>
        <v>36085783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IFERROR(__xludf.DUMMYFUNCTION("""COMPUTED_VALUE"""),105.13)</f>
        <v>105.13</v>
      </c>
      <c r="C77" s="6">
        <f>IFERROR(__xludf.DUMMYFUNCTION("""COMPUTED_VALUE"""),106.35)</f>
        <v>106.35</v>
      </c>
      <c r="D77" s="6">
        <f>IFERROR(__xludf.DUMMYFUNCTION("""COMPUTED_VALUE"""),96.45)</f>
        <v>96.45</v>
      </c>
      <c r="E77" s="6">
        <f>IFERROR(__xludf.DUMMYFUNCTION("""COMPUTED_VALUE"""),98.32)</f>
        <v>98.32</v>
      </c>
      <c r="F77" s="6">
        <f>IFERROR(__xludf.DUMMYFUNCTION("""COMPUTED_VALUE"""),3.8723918E7)</f>
        <v>38723918</v>
      </c>
    </row>
    <row r="78">
      <c r="A78" s="7">
        <f>IFERROR(__xludf.DUMMYFUNCTION("""COMPUTED_VALUE"""),45737.64583333333)</f>
        <v>45737.64583</v>
      </c>
      <c r="B78" s="6">
        <f>IFERROR(__xludf.DUMMYFUNCTION("""COMPUTED_VALUE"""),98.75)</f>
        <v>98.75</v>
      </c>
      <c r="C78" s="6">
        <f>IFERROR(__xludf.DUMMYFUNCTION("""COMPUTED_VALUE"""),106.15)</f>
        <v>106.15</v>
      </c>
      <c r="D78" s="6">
        <f>IFERROR(__xludf.DUMMYFUNCTION("""COMPUTED_VALUE"""),98.14)</f>
        <v>98.14</v>
      </c>
      <c r="E78" s="6">
        <f>IFERROR(__xludf.DUMMYFUNCTION("""COMPUTED_VALUE"""),105.42)</f>
        <v>105.42</v>
      </c>
      <c r="F78" s="6">
        <f>IFERROR(__xludf.DUMMYFUNCTION("""COMPUTED_VALUE"""),3.4719402E7)</f>
        <v>34719402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IFERROR(__xludf.DUMMYFUNCTION("""COMPUTED_VALUE"""),106.0)</f>
        <v>106</v>
      </c>
      <c r="C79" s="6">
        <f>IFERROR(__xludf.DUMMYFUNCTION("""COMPUTED_VALUE"""),109.8)</f>
        <v>109.8</v>
      </c>
      <c r="D79" s="6">
        <f>IFERROR(__xludf.DUMMYFUNCTION("""COMPUTED_VALUE"""),101.78)</f>
        <v>101.78</v>
      </c>
      <c r="E79" s="6">
        <f>IFERROR(__xludf.DUMMYFUNCTION("""COMPUTED_VALUE"""),102.11)</f>
        <v>102.11</v>
      </c>
      <c r="F79" s="6">
        <f>IFERROR(__xludf.DUMMYFUNCTION("""COMPUTED_VALUE"""),7.4176174E7)</f>
        <v>74176174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IFERROR(__xludf.DUMMYFUNCTION("""COMPUTED_VALUE"""),102.5)</f>
        <v>102.5</v>
      </c>
      <c r="C80" s="6">
        <f>IFERROR(__xludf.DUMMYFUNCTION("""COMPUTED_VALUE"""),105.23)</f>
        <v>105.23</v>
      </c>
      <c r="D80" s="6">
        <f>IFERROR(__xludf.DUMMYFUNCTION("""COMPUTED_VALUE"""),101.55)</f>
        <v>101.55</v>
      </c>
      <c r="E80" s="6">
        <f>IFERROR(__xludf.DUMMYFUNCTION("""COMPUTED_VALUE"""),102.57)</f>
        <v>102.57</v>
      </c>
      <c r="F80" s="6">
        <f>IFERROR(__xludf.DUMMYFUNCTION("""COMPUTED_VALUE"""),2.5815383E7)</f>
        <v>25815383</v>
      </c>
    </row>
    <row r="81">
      <c r="A81" s="7">
        <f>IFERROR(__xludf.DUMMYFUNCTION("""COMPUTED_VALUE"""),45758.64583333333)</f>
        <v>45758.64583</v>
      </c>
      <c r="B81" s="6">
        <f>IFERROR(__xludf.DUMMYFUNCTION("""COMPUTED_VALUE"""),98.2)</f>
        <v>98.2</v>
      </c>
      <c r="C81" s="6">
        <f>IFERROR(__xludf.DUMMYFUNCTION("""COMPUTED_VALUE"""),104.9)</f>
        <v>104.9</v>
      </c>
      <c r="D81" s="6">
        <f>IFERROR(__xludf.DUMMYFUNCTION("""COMPUTED_VALUE"""),95.93)</f>
        <v>95.93</v>
      </c>
      <c r="E81" s="6">
        <f>IFERROR(__xludf.DUMMYFUNCTION("""COMPUTED_VALUE"""),104.25)</f>
        <v>104.25</v>
      </c>
      <c r="F81" s="6">
        <f>IFERROR(__xludf.DUMMYFUNCTION("""COMPUTED_VALUE"""),2.2148192E7)</f>
        <v>22148192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IFERROR(__xludf.DUMMYFUNCTION("""COMPUTED_VALUE"""),105.5)</f>
        <v>105.5</v>
      </c>
      <c r="C82" s="6">
        <f>IFERROR(__xludf.DUMMYFUNCTION("""COMPUTED_VALUE"""),109.7)</f>
        <v>109.7</v>
      </c>
      <c r="D82" s="6">
        <f>IFERROR(__xludf.DUMMYFUNCTION("""COMPUTED_VALUE"""),105.06)</f>
        <v>105.06</v>
      </c>
      <c r="E82" s="6">
        <f>IFERROR(__xludf.DUMMYFUNCTION("""COMPUTED_VALUE"""),109.49)</f>
        <v>109.49</v>
      </c>
      <c r="F82" s="6">
        <f>IFERROR(__xludf.DUMMYFUNCTION("""COMPUTED_VALUE"""),1.8301418E7)</f>
        <v>18301418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IFERROR(__xludf.DUMMYFUNCTION("""COMPUTED_VALUE"""),109.72)</f>
        <v>109.72</v>
      </c>
      <c r="C83" s="6">
        <f>IFERROR(__xludf.DUMMYFUNCTION("""COMPUTED_VALUE"""),116.5)</f>
        <v>116.5</v>
      </c>
      <c r="D83" s="6">
        <f>IFERROR(__xludf.DUMMYFUNCTION("""COMPUTED_VALUE"""),109.08)</f>
        <v>109.08</v>
      </c>
      <c r="E83" s="6">
        <f>IFERROR(__xludf.DUMMYFUNCTION("""COMPUTED_VALUE"""),112.52)</f>
        <v>112.52</v>
      </c>
      <c r="F83" s="6">
        <f>IFERROR(__xludf.DUMMYFUNCTION("""COMPUTED_VALUE"""),3.4433115E7)</f>
        <v>34433115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IFERROR(__xludf.DUMMYFUNCTION("""COMPUTED_VALUE"""),111.55)</f>
        <v>111.55</v>
      </c>
      <c r="C84" s="6">
        <f>IFERROR(__xludf.DUMMYFUNCTION("""COMPUTED_VALUE"""),115.66)</f>
        <v>115.66</v>
      </c>
      <c r="D84" s="6">
        <f>IFERROR(__xludf.DUMMYFUNCTION("""COMPUTED_VALUE"""),109.0)</f>
        <v>109</v>
      </c>
      <c r="E84" s="6">
        <f>IFERROR(__xludf.DUMMYFUNCTION("""COMPUTED_VALUE"""),110.24)</f>
        <v>110.24</v>
      </c>
      <c r="F84" s="6">
        <f>IFERROR(__xludf.DUMMYFUNCTION("""COMPUTED_VALUE"""),1.5184555E7)</f>
        <v>15184555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IFERROR(__xludf.DUMMYFUNCTION("""COMPUTED_VALUE"""),110.25)</f>
        <v>110.25</v>
      </c>
      <c r="C85" s="6">
        <f>IFERROR(__xludf.DUMMYFUNCTION("""COMPUTED_VALUE"""),113.99)</f>
        <v>113.99</v>
      </c>
      <c r="D85" s="6">
        <f>IFERROR(__xludf.DUMMYFUNCTION("""COMPUTED_VALUE"""),108.1)</f>
        <v>108.1</v>
      </c>
      <c r="E85" s="6">
        <f>IFERROR(__xludf.DUMMYFUNCTION("""COMPUTED_VALUE"""),110.81)</f>
        <v>110.81</v>
      </c>
      <c r="F85" s="6">
        <f>IFERROR(__xludf.DUMMYFUNCTION("""COMPUTED_VALUE"""),1.409236E7)</f>
        <v>14092360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IFERROR(__xludf.DUMMYFUNCTION("""COMPUTED_VALUE"""),113.59)</f>
        <v>113.59</v>
      </c>
      <c r="C86" s="6">
        <f>IFERROR(__xludf.DUMMYFUNCTION("""COMPUTED_VALUE"""),120.65)</f>
        <v>120.65</v>
      </c>
      <c r="D86" s="6">
        <f>IFERROR(__xludf.DUMMYFUNCTION("""COMPUTED_VALUE"""),112.8)</f>
        <v>112.8</v>
      </c>
      <c r="E86" s="6">
        <f>IFERROR(__xludf.DUMMYFUNCTION("""COMPUTED_VALUE"""),118.67)</f>
        <v>118.67</v>
      </c>
      <c r="F86" s="6">
        <f>IFERROR(__xludf.DUMMYFUNCTION("""COMPUTED_VALUE"""),2.388265E7)</f>
        <v>23882650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IFERROR(__xludf.DUMMYFUNCTION("""COMPUTED_VALUE"""),119.5)</f>
        <v>119.5</v>
      </c>
      <c r="C87" s="6">
        <f>IFERROR(__xludf.DUMMYFUNCTION("""COMPUTED_VALUE"""),124.77)</f>
        <v>124.77</v>
      </c>
      <c r="D87" s="6">
        <f>IFERROR(__xludf.DUMMYFUNCTION("""COMPUTED_VALUE"""),117.57)</f>
        <v>117.57</v>
      </c>
      <c r="E87" s="6">
        <f>IFERROR(__xludf.DUMMYFUNCTION("""COMPUTED_VALUE"""),119.81)</f>
        <v>119.81</v>
      </c>
      <c r="F87" s="6">
        <f>IFERROR(__xludf.DUMMYFUNCTION("""COMPUTED_VALUE"""),5.4478391E7)</f>
        <v>54478391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IFERROR(__xludf.DUMMYFUNCTION("""COMPUTED_VALUE"""),120.9)</f>
        <v>120.9</v>
      </c>
      <c r="C88" s="6">
        <f>IFERROR(__xludf.DUMMYFUNCTION("""COMPUTED_VALUE"""),121.23)</f>
        <v>121.23</v>
      </c>
      <c r="D88" s="6">
        <f>IFERROR(__xludf.DUMMYFUNCTION("""COMPUTED_VALUE"""),117.55)</f>
        <v>117.55</v>
      </c>
      <c r="E88" s="6">
        <f>IFERROR(__xludf.DUMMYFUNCTION("""COMPUTED_VALUE"""),118.02)</f>
        <v>118.02</v>
      </c>
      <c r="F88" s="6">
        <f>IFERROR(__xludf.DUMMYFUNCTION("""COMPUTED_VALUE"""),4.6793626E7)</f>
        <v>46793626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IFERROR(__xludf.DUMMYFUNCTION("""COMPUTED_VALUE"""),118.88)</f>
        <v>118.88</v>
      </c>
      <c r="C89" s="6">
        <f>IFERROR(__xludf.DUMMYFUNCTION("""COMPUTED_VALUE"""),121.4)</f>
        <v>121.4</v>
      </c>
      <c r="D89" s="6">
        <f>IFERROR(__xludf.DUMMYFUNCTION("""COMPUTED_VALUE"""),116.4)</f>
        <v>116.4</v>
      </c>
      <c r="E89" s="6">
        <f>IFERROR(__xludf.DUMMYFUNCTION("""COMPUTED_VALUE"""),121.02)</f>
        <v>121.02</v>
      </c>
      <c r="F89" s="6">
        <f>IFERROR(__xludf.DUMMYFUNCTION("""COMPUTED_VALUE"""),3.6366291E7)</f>
        <v>36366291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IFERROR(__xludf.DUMMYFUNCTION("""COMPUTED_VALUE"""),121.5)</f>
        <v>121.5</v>
      </c>
      <c r="C90" s="6">
        <f>IFERROR(__xludf.DUMMYFUNCTION("""COMPUTED_VALUE"""),122.39)</f>
        <v>122.39</v>
      </c>
      <c r="D90" s="6">
        <f>IFERROR(__xludf.DUMMYFUNCTION("""COMPUTED_VALUE"""),115.3)</f>
        <v>115.3</v>
      </c>
      <c r="E90" s="6">
        <f>IFERROR(__xludf.DUMMYFUNCTION("""COMPUTED_VALUE"""),117.4)</f>
        <v>117.4</v>
      </c>
      <c r="F90" s="6">
        <f>IFERROR(__xludf.DUMMYFUNCTION("""COMPUTED_VALUE"""),2.4164023E7)</f>
        <v>24164023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IFERROR(__xludf.DUMMYFUNCTION("""COMPUTED_VALUE"""),117.05)</f>
        <v>117.05</v>
      </c>
      <c r="C91" s="6">
        <f>IFERROR(__xludf.DUMMYFUNCTION("""COMPUTED_VALUE"""),118.25)</f>
        <v>118.25</v>
      </c>
      <c r="D91" s="6">
        <f>IFERROR(__xludf.DUMMYFUNCTION("""COMPUTED_VALUE"""),115.66)</f>
        <v>115.66</v>
      </c>
      <c r="E91" s="6">
        <f>IFERROR(__xludf.DUMMYFUNCTION("""COMPUTED_VALUE"""),117.58)</f>
        <v>117.58</v>
      </c>
      <c r="F91" s="6">
        <f>IFERROR(__xludf.DUMMYFUNCTION("""COMPUTED_VALUE"""),1.9375512E7)</f>
        <v>19375512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IFERROR(__xludf.DUMMYFUNCTION("""COMPUTED_VALUE"""),116.51)</f>
        <v>116.51</v>
      </c>
      <c r="C92" s="6">
        <f>IFERROR(__xludf.DUMMYFUNCTION("""COMPUTED_VALUE"""),125.95)</f>
        <v>125.95</v>
      </c>
      <c r="D92" s="6">
        <f>IFERROR(__xludf.DUMMYFUNCTION("""COMPUTED_VALUE"""),116.08)</f>
        <v>116.08</v>
      </c>
      <c r="E92" s="6">
        <f>IFERROR(__xludf.DUMMYFUNCTION("""COMPUTED_VALUE"""),124.87)</f>
        <v>124.87</v>
      </c>
      <c r="F92" s="6">
        <f>IFERROR(__xludf.DUMMYFUNCTION("""COMPUTED_VALUE"""),3.1054307E7)</f>
        <v>31054307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IFERROR(__xludf.DUMMYFUNCTION("""COMPUTED_VALUE"""),125.5)</f>
        <v>125.5</v>
      </c>
      <c r="C93" s="6">
        <f>IFERROR(__xludf.DUMMYFUNCTION("""COMPUTED_VALUE"""),127.0)</f>
        <v>127</v>
      </c>
      <c r="D93" s="6">
        <f>IFERROR(__xludf.DUMMYFUNCTION("""COMPUTED_VALUE"""),123.88)</f>
        <v>123.88</v>
      </c>
      <c r="E93" s="6">
        <f>IFERROR(__xludf.DUMMYFUNCTION("""COMPUTED_VALUE"""),124.93)</f>
        <v>124.93</v>
      </c>
      <c r="F93" s="6">
        <f>IFERROR(__xludf.DUMMYFUNCTION("""COMPUTED_VALUE"""),1.970585E7)</f>
        <v>19705850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IFERROR(__xludf.DUMMYFUNCTION("""COMPUTED_VALUE"""),124.93)</f>
        <v>124.93</v>
      </c>
      <c r="C94" s="6">
        <f>IFERROR(__xludf.DUMMYFUNCTION("""COMPUTED_VALUE"""),127.0)</f>
        <v>127</v>
      </c>
      <c r="D94" s="6">
        <f>IFERROR(__xludf.DUMMYFUNCTION("""COMPUTED_VALUE"""),122.98)</f>
        <v>122.98</v>
      </c>
      <c r="E94" s="6">
        <f>IFERROR(__xludf.DUMMYFUNCTION("""COMPUTED_VALUE"""),123.13)</f>
        <v>123.13</v>
      </c>
      <c r="F94" s="6">
        <f>IFERROR(__xludf.DUMMYFUNCTION("""COMPUTED_VALUE"""),2.2354444E7)</f>
        <v>22354444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IFERROR(__xludf.DUMMYFUNCTION("""COMPUTED_VALUE"""),125.0)</f>
        <v>125</v>
      </c>
      <c r="C95" s="6">
        <f>IFERROR(__xludf.DUMMYFUNCTION("""COMPUTED_VALUE"""),127.2)</f>
        <v>127.2</v>
      </c>
      <c r="D95" s="6">
        <f>IFERROR(__xludf.DUMMYFUNCTION("""COMPUTED_VALUE"""),122.0)</f>
        <v>122</v>
      </c>
      <c r="E95" s="6">
        <f>IFERROR(__xludf.DUMMYFUNCTION("""COMPUTED_VALUE"""),122.25)</f>
        <v>122.25</v>
      </c>
      <c r="F95" s="6">
        <f>IFERROR(__xludf.DUMMYFUNCTION("""COMPUTED_VALUE"""),3.9941321E7)</f>
        <v>39941321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IFERROR(__xludf.DUMMYFUNCTION("""COMPUTED_VALUE"""),122.85)</f>
        <v>122.85</v>
      </c>
      <c r="C96" s="6">
        <f>IFERROR(__xludf.DUMMYFUNCTION("""COMPUTED_VALUE"""),125.45)</f>
        <v>125.45</v>
      </c>
      <c r="D96" s="6">
        <f>IFERROR(__xludf.DUMMYFUNCTION("""COMPUTED_VALUE"""),121.6)</f>
        <v>121.6</v>
      </c>
      <c r="E96" s="6">
        <f>IFERROR(__xludf.DUMMYFUNCTION("""COMPUTED_VALUE"""),121.95)</f>
        <v>121.95</v>
      </c>
      <c r="F96" s="6">
        <f>IFERROR(__xludf.DUMMYFUNCTION("""COMPUTED_VALUE"""),3.892894E7)</f>
        <v>38928940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IFERROR(__xludf.DUMMYFUNCTION("""COMPUTED_VALUE"""),121.95)</f>
        <v>121.95</v>
      </c>
      <c r="C97" s="6">
        <f>IFERROR(__xludf.DUMMYFUNCTION("""COMPUTED_VALUE"""),125.0)</f>
        <v>125</v>
      </c>
      <c r="D97" s="6">
        <f>IFERROR(__xludf.DUMMYFUNCTION("""COMPUTED_VALUE"""),117.72)</f>
        <v>117.72</v>
      </c>
      <c r="E97" s="6">
        <f>IFERROR(__xludf.DUMMYFUNCTION("""COMPUTED_VALUE"""),120.35)</f>
        <v>120.35</v>
      </c>
      <c r="F97" s="6">
        <f>IFERROR(__xludf.DUMMYFUNCTION("""COMPUTED_VALUE"""),4.766656E7)</f>
        <v>47666560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IFERROR(__xludf.DUMMYFUNCTION("""COMPUTED_VALUE"""),120.35)</f>
        <v>120.35</v>
      </c>
      <c r="C98" s="6">
        <f>IFERROR(__xludf.DUMMYFUNCTION("""COMPUTED_VALUE"""),123.35)</f>
        <v>123.35</v>
      </c>
      <c r="D98" s="6">
        <f>IFERROR(__xludf.DUMMYFUNCTION("""COMPUTED_VALUE"""),115.1)</f>
        <v>115.1</v>
      </c>
      <c r="E98" s="6">
        <f>IFERROR(__xludf.DUMMYFUNCTION("""COMPUTED_VALUE"""),115.42)</f>
        <v>115.42</v>
      </c>
      <c r="F98" s="6">
        <f>IFERROR(__xludf.DUMMYFUNCTION("""COMPUTED_VALUE"""),4.1993392E7)</f>
        <v>41993392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IFERROR(__xludf.DUMMYFUNCTION("""COMPUTED_VALUE"""),115.9)</f>
        <v>115.9</v>
      </c>
      <c r="C99" s="6">
        <f>IFERROR(__xludf.DUMMYFUNCTION("""COMPUTED_VALUE"""),124.0)</f>
        <v>124</v>
      </c>
      <c r="D99" s="6">
        <f>IFERROR(__xludf.DUMMYFUNCTION("""COMPUTED_VALUE"""),114.96)</f>
        <v>114.96</v>
      </c>
      <c r="E99" s="6">
        <f>IFERROR(__xludf.DUMMYFUNCTION("""COMPUTED_VALUE"""),121.96)</f>
        <v>121.96</v>
      </c>
      <c r="F99" s="6">
        <f>IFERROR(__xludf.DUMMYFUNCTION("""COMPUTED_VALUE"""),4.0797814E7)</f>
        <v>40797814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IFERROR(__xludf.DUMMYFUNCTION("""COMPUTED_VALUE"""),125.1)</f>
        <v>125.1</v>
      </c>
      <c r="C100" s="6">
        <f>IFERROR(__xludf.DUMMYFUNCTION("""COMPUTED_VALUE"""),134.31)</f>
        <v>134.31</v>
      </c>
      <c r="D100" s="6">
        <f>IFERROR(__xludf.DUMMYFUNCTION("""COMPUTED_VALUE"""),125.1)</f>
        <v>125.1</v>
      </c>
      <c r="E100" s="6">
        <f>IFERROR(__xludf.DUMMYFUNCTION("""COMPUTED_VALUE"""),131.2)</f>
        <v>131.2</v>
      </c>
      <c r="F100" s="6">
        <f>IFERROR(__xludf.DUMMYFUNCTION("""COMPUTED_VALUE"""),1.69562661E8)</f>
        <v>169562661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IFERROR(__xludf.DUMMYFUNCTION("""COMPUTED_VALUE"""),131.41)</f>
        <v>131.41</v>
      </c>
      <c r="C101" s="6">
        <f>IFERROR(__xludf.DUMMYFUNCTION("""COMPUTED_VALUE"""),132.36)</f>
        <v>132.36</v>
      </c>
      <c r="D101" s="6">
        <f>IFERROR(__xludf.DUMMYFUNCTION("""COMPUTED_VALUE"""),129.91)</f>
        <v>129.91</v>
      </c>
      <c r="E101" s="6">
        <f>IFERROR(__xludf.DUMMYFUNCTION("""COMPUTED_VALUE"""),131.37)</f>
        <v>131.37</v>
      </c>
      <c r="F101" s="6">
        <f>IFERROR(__xludf.DUMMYFUNCTION("""COMPUTED_VALUE"""),1.16137789E8)</f>
        <v>116137789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IFERROR(__xludf.DUMMYFUNCTION("GOOGLEFINANCE(""NSE:ASIANPAINT"",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IFERROR(__xludf.DUMMYFUNCTION("""COMPUTED_VALUE"""),3264.95)</f>
        <v>3264.95</v>
      </c>
      <c r="C2" s="6">
        <f>IFERROR(__xludf.DUMMYFUNCTION("""COMPUTED_VALUE"""),3302.85)</f>
        <v>3302.85</v>
      </c>
      <c r="D2" s="6">
        <f>IFERROR(__xludf.DUMMYFUNCTION("""COMPUTED_VALUE"""),3217.1)</f>
        <v>3217.1</v>
      </c>
      <c r="E2" s="6">
        <f>IFERROR(__xludf.DUMMYFUNCTION("""COMPUTED_VALUE"""),3259.55)</f>
        <v>3259.55</v>
      </c>
      <c r="F2" s="6">
        <f>IFERROR(__xludf.DUMMYFUNCTION("""COMPUTED_VALUE"""),4091656.0)</f>
        <v>4091656</v>
      </c>
    </row>
    <row r="3">
      <c r="A3" s="7">
        <f>IFERROR(__xludf.DUMMYFUNCTION("""COMPUTED_VALUE"""),45177.64583333333)</f>
        <v>45177.64583</v>
      </c>
      <c r="B3" s="6">
        <f>IFERROR(__xludf.DUMMYFUNCTION("""COMPUTED_VALUE"""),3259.55)</f>
        <v>3259.55</v>
      </c>
      <c r="C3" s="6">
        <f>IFERROR(__xludf.DUMMYFUNCTION("""COMPUTED_VALUE"""),3266.25)</f>
        <v>3266.25</v>
      </c>
      <c r="D3" s="6">
        <f>IFERROR(__xludf.DUMMYFUNCTION("""COMPUTED_VALUE"""),3195.0)</f>
        <v>3195</v>
      </c>
      <c r="E3" s="6">
        <f>IFERROR(__xludf.DUMMYFUNCTION("""COMPUTED_VALUE"""),3238.05)</f>
        <v>3238.05</v>
      </c>
      <c r="F3" s="6">
        <f>IFERROR(__xludf.DUMMYFUNCTION("""COMPUTED_VALUE"""),3366367.0)</f>
        <v>3366367</v>
      </c>
    </row>
    <row r="4">
      <c r="A4" s="7">
        <f>IFERROR(__xludf.DUMMYFUNCTION("""COMPUTED_VALUE"""),45184.64583333333)</f>
        <v>45184.64583</v>
      </c>
      <c r="B4" s="6">
        <f>IFERROR(__xludf.DUMMYFUNCTION("""COMPUTED_VALUE"""),3242.0)</f>
        <v>3242</v>
      </c>
      <c r="C4" s="6">
        <f>IFERROR(__xludf.DUMMYFUNCTION("""COMPUTED_VALUE"""),3294.2)</f>
        <v>3294.2</v>
      </c>
      <c r="D4" s="6">
        <f>IFERROR(__xludf.DUMMYFUNCTION("""COMPUTED_VALUE"""),3185.0)</f>
        <v>3185</v>
      </c>
      <c r="E4" s="6">
        <f>IFERROR(__xludf.DUMMYFUNCTION("""COMPUTED_VALUE"""),3196.65)</f>
        <v>3196.65</v>
      </c>
      <c r="F4" s="6">
        <f>IFERROR(__xludf.DUMMYFUNCTION("""COMPUTED_VALUE"""),4466318.0)</f>
        <v>4466318</v>
      </c>
    </row>
    <row r="5">
      <c r="A5" s="7">
        <f>IFERROR(__xludf.DUMMYFUNCTION("""COMPUTED_VALUE"""),45191.64583333333)</f>
        <v>45191.64583</v>
      </c>
      <c r="B5" s="6">
        <f>IFERROR(__xludf.DUMMYFUNCTION("""COMPUTED_VALUE"""),3200.0)</f>
        <v>3200</v>
      </c>
      <c r="C5" s="6">
        <f>IFERROR(__xludf.DUMMYFUNCTION("""COMPUTED_VALUE"""),3283.6)</f>
        <v>3283.6</v>
      </c>
      <c r="D5" s="6">
        <f>IFERROR(__xludf.DUMMYFUNCTION("""COMPUTED_VALUE"""),3180.55)</f>
        <v>3180.55</v>
      </c>
      <c r="E5" s="6">
        <f>IFERROR(__xludf.DUMMYFUNCTION("""COMPUTED_VALUE"""),3274.85)</f>
        <v>3274.85</v>
      </c>
      <c r="F5" s="6">
        <f>IFERROR(__xludf.DUMMYFUNCTION("""COMPUTED_VALUE"""),3316946.0)</f>
        <v>3316946</v>
      </c>
    </row>
    <row r="6">
      <c r="A6" s="7">
        <f>IFERROR(__xludf.DUMMYFUNCTION("""COMPUTED_VALUE"""),45198.64583333333)</f>
        <v>45198.64583</v>
      </c>
      <c r="B6" s="6">
        <f>IFERROR(__xludf.DUMMYFUNCTION("""COMPUTED_VALUE"""),3272.3)</f>
        <v>3272.3</v>
      </c>
      <c r="C6" s="6">
        <f>IFERROR(__xludf.DUMMYFUNCTION("""COMPUTED_VALUE"""),3334.8)</f>
        <v>3334.8</v>
      </c>
      <c r="D6" s="6">
        <f>IFERROR(__xludf.DUMMYFUNCTION("""COMPUTED_VALUE"""),3134.0)</f>
        <v>3134</v>
      </c>
      <c r="E6" s="6">
        <f>IFERROR(__xludf.DUMMYFUNCTION("""COMPUTED_VALUE"""),3161.05)</f>
        <v>3161.05</v>
      </c>
      <c r="F6" s="6">
        <f>IFERROR(__xludf.DUMMYFUNCTION("""COMPUTED_VALUE"""),6427936.0)</f>
        <v>6427936</v>
      </c>
    </row>
    <row r="7">
      <c r="A7" s="7">
        <f>IFERROR(__xludf.DUMMYFUNCTION("""COMPUTED_VALUE"""),45205.64583333333)</f>
        <v>45205.64583</v>
      </c>
      <c r="B7" s="6">
        <f>IFERROR(__xludf.DUMMYFUNCTION("""COMPUTED_VALUE"""),3166.1)</f>
        <v>3166.1</v>
      </c>
      <c r="C7" s="6">
        <f>IFERROR(__xludf.DUMMYFUNCTION("""COMPUTED_VALUE"""),3232.1)</f>
        <v>3232.1</v>
      </c>
      <c r="D7" s="6">
        <f>IFERROR(__xludf.DUMMYFUNCTION("""COMPUTED_VALUE"""),3151.35)</f>
        <v>3151.35</v>
      </c>
      <c r="E7" s="6">
        <f>IFERROR(__xludf.DUMMYFUNCTION("""COMPUTED_VALUE"""),3195.75)</f>
        <v>3195.75</v>
      </c>
      <c r="F7" s="6">
        <f>IFERROR(__xludf.DUMMYFUNCTION("""COMPUTED_VALUE"""),3928596.0)</f>
        <v>3928596</v>
      </c>
    </row>
    <row r="8">
      <c r="A8" s="7">
        <f>IFERROR(__xludf.DUMMYFUNCTION("""COMPUTED_VALUE"""),45212.64583333333)</f>
        <v>45212.64583</v>
      </c>
      <c r="B8" s="6">
        <f>IFERROR(__xludf.DUMMYFUNCTION("""COMPUTED_VALUE"""),3140.05)</f>
        <v>3140.05</v>
      </c>
      <c r="C8" s="6">
        <f>IFERROR(__xludf.DUMMYFUNCTION("""COMPUTED_VALUE"""),3188.5)</f>
        <v>3188.5</v>
      </c>
      <c r="D8" s="6">
        <f>IFERROR(__xludf.DUMMYFUNCTION("""COMPUTED_VALUE"""),3128.25)</f>
        <v>3128.25</v>
      </c>
      <c r="E8" s="6">
        <f>IFERROR(__xludf.DUMMYFUNCTION("""COMPUTED_VALUE"""),3148.8)</f>
        <v>3148.8</v>
      </c>
      <c r="F8" s="6">
        <f>IFERROR(__xludf.DUMMYFUNCTION("""COMPUTED_VALUE"""),4419915.0)</f>
        <v>4419915</v>
      </c>
    </row>
    <row r="9">
      <c r="A9" s="7">
        <f>IFERROR(__xludf.DUMMYFUNCTION("""COMPUTED_VALUE"""),45219.64583333333)</f>
        <v>45219.64583</v>
      </c>
      <c r="B9" s="6">
        <f>IFERROR(__xludf.DUMMYFUNCTION("""COMPUTED_VALUE"""),3124.0)</f>
        <v>3124</v>
      </c>
      <c r="C9" s="6">
        <f>IFERROR(__xludf.DUMMYFUNCTION("""COMPUTED_VALUE"""),3137.0)</f>
        <v>3137</v>
      </c>
      <c r="D9" s="6">
        <f>IFERROR(__xludf.DUMMYFUNCTION("""COMPUTED_VALUE"""),3064.55)</f>
        <v>3064.55</v>
      </c>
      <c r="E9" s="6">
        <f>IFERROR(__xludf.DUMMYFUNCTION("""COMPUTED_VALUE"""),3105.85)</f>
        <v>3105.85</v>
      </c>
      <c r="F9" s="6">
        <f>IFERROR(__xludf.DUMMYFUNCTION("""COMPUTED_VALUE"""),3407194.0)</f>
        <v>3407194</v>
      </c>
    </row>
    <row r="10">
      <c r="A10" s="7">
        <f>IFERROR(__xludf.DUMMYFUNCTION("""COMPUTED_VALUE"""),45226.64583333333)</f>
        <v>45226.64583</v>
      </c>
      <c r="B10" s="6">
        <f>IFERROR(__xludf.DUMMYFUNCTION("""COMPUTED_VALUE"""),3096.05)</f>
        <v>3096.05</v>
      </c>
      <c r="C10" s="6">
        <f>IFERROR(__xludf.DUMMYFUNCTION("""COMPUTED_VALUE"""),3108.9)</f>
        <v>3108.9</v>
      </c>
      <c r="D10" s="6">
        <f>IFERROR(__xludf.DUMMYFUNCTION("""COMPUTED_VALUE"""),2931.0)</f>
        <v>2931</v>
      </c>
      <c r="E10" s="6">
        <f>IFERROR(__xludf.DUMMYFUNCTION("""COMPUTED_VALUE"""),2955.15)</f>
        <v>2955.15</v>
      </c>
      <c r="F10" s="6">
        <f>IFERROR(__xludf.DUMMYFUNCTION("""COMPUTED_VALUE"""),4586062.0)</f>
        <v>4586062</v>
      </c>
    </row>
    <row r="11">
      <c r="A11" s="7">
        <f>IFERROR(__xludf.DUMMYFUNCTION("""COMPUTED_VALUE"""),45233.64583333333)</f>
        <v>45233.64583</v>
      </c>
      <c r="B11" s="6">
        <f>IFERROR(__xludf.DUMMYFUNCTION("""COMPUTED_VALUE"""),2974.0)</f>
        <v>2974</v>
      </c>
      <c r="C11" s="6">
        <f>IFERROR(__xludf.DUMMYFUNCTION("""COMPUTED_VALUE"""),3012.75)</f>
        <v>3012.75</v>
      </c>
      <c r="D11" s="6">
        <f>IFERROR(__xludf.DUMMYFUNCTION("""COMPUTED_VALUE"""),2930.0)</f>
        <v>2930</v>
      </c>
      <c r="E11" s="6">
        <f>IFERROR(__xludf.DUMMYFUNCTION("""COMPUTED_VALUE"""),2977.85)</f>
        <v>2977.85</v>
      </c>
      <c r="F11" s="6">
        <f>IFERROR(__xludf.DUMMYFUNCTION("""COMPUTED_VALUE"""),4677303.0)</f>
        <v>4677303</v>
      </c>
    </row>
    <row r="12">
      <c r="A12" s="7">
        <f>IFERROR(__xludf.DUMMYFUNCTION("""COMPUTED_VALUE"""),45240.64583333333)</f>
        <v>45240.64583</v>
      </c>
      <c r="B12" s="6">
        <f>IFERROR(__xludf.DUMMYFUNCTION("""COMPUTED_VALUE"""),2998.0)</f>
        <v>2998</v>
      </c>
      <c r="C12" s="6">
        <f>IFERROR(__xludf.DUMMYFUNCTION("""COMPUTED_VALUE"""),3111.4)</f>
        <v>3111.4</v>
      </c>
      <c r="D12" s="6">
        <f>IFERROR(__xludf.DUMMYFUNCTION("""COMPUTED_VALUE"""),2983.85)</f>
        <v>2983.85</v>
      </c>
      <c r="E12" s="6">
        <f>IFERROR(__xludf.DUMMYFUNCTION("""COMPUTED_VALUE"""),3076.45)</f>
        <v>3076.45</v>
      </c>
      <c r="F12" s="6">
        <f>IFERROR(__xludf.DUMMYFUNCTION("""COMPUTED_VALUE"""),3376291.0)</f>
        <v>3376291</v>
      </c>
    </row>
    <row r="13">
      <c r="A13" s="7">
        <f>IFERROR(__xludf.DUMMYFUNCTION("""COMPUTED_VALUE"""),45247.64583333333)</f>
        <v>45247.64583</v>
      </c>
      <c r="B13" s="6">
        <f>IFERROR(__xludf.DUMMYFUNCTION("""COMPUTED_VALUE"""),3099.95)</f>
        <v>3099.95</v>
      </c>
      <c r="C13" s="6">
        <f>IFERROR(__xludf.DUMMYFUNCTION("""COMPUTED_VALUE"""),3228.25)</f>
        <v>3228.25</v>
      </c>
      <c r="D13" s="6">
        <f>IFERROR(__xludf.DUMMYFUNCTION("""COMPUTED_VALUE"""),3065.0)</f>
        <v>3065</v>
      </c>
      <c r="E13" s="6">
        <f>IFERROR(__xludf.DUMMYFUNCTION("""COMPUTED_VALUE"""),3168.9)</f>
        <v>3168.9</v>
      </c>
      <c r="F13" s="6">
        <f>IFERROR(__xludf.DUMMYFUNCTION("""COMPUTED_VALUE"""),3296765.0)</f>
        <v>3296765</v>
      </c>
    </row>
    <row r="14">
      <c r="A14" s="7">
        <f>IFERROR(__xludf.DUMMYFUNCTION("""COMPUTED_VALUE"""),45254.64583333333)</f>
        <v>45254.64583</v>
      </c>
      <c r="B14" s="6">
        <f>IFERROR(__xludf.DUMMYFUNCTION("""COMPUTED_VALUE"""),3168.9)</f>
        <v>3168.9</v>
      </c>
      <c r="C14" s="6">
        <f>IFERROR(__xludf.DUMMYFUNCTION("""COMPUTED_VALUE"""),3171.9)</f>
        <v>3171.9</v>
      </c>
      <c r="D14" s="6">
        <f>IFERROR(__xludf.DUMMYFUNCTION("""COMPUTED_VALUE"""),3111.0)</f>
        <v>3111</v>
      </c>
      <c r="E14" s="6">
        <f>IFERROR(__xludf.DUMMYFUNCTION("""COMPUTED_VALUE"""),3136.15)</f>
        <v>3136.15</v>
      </c>
      <c r="F14" s="6">
        <f>IFERROR(__xludf.DUMMYFUNCTION("""COMPUTED_VALUE"""),2854178.0)</f>
        <v>2854178</v>
      </c>
    </row>
    <row r="15">
      <c r="A15" s="7">
        <f>IFERROR(__xludf.DUMMYFUNCTION("""COMPUTED_VALUE"""),45261.64583333333)</f>
        <v>45261.64583</v>
      </c>
      <c r="B15" s="6">
        <f>IFERROR(__xludf.DUMMYFUNCTION("""COMPUTED_VALUE"""),3141.15)</f>
        <v>3141.15</v>
      </c>
      <c r="C15" s="6">
        <f>IFERROR(__xludf.DUMMYFUNCTION("""COMPUTED_VALUE"""),3190.6)</f>
        <v>3190.6</v>
      </c>
      <c r="D15" s="6">
        <f>IFERROR(__xludf.DUMMYFUNCTION("""COMPUTED_VALUE"""),3108.35)</f>
        <v>3108.35</v>
      </c>
      <c r="E15" s="6">
        <f>IFERROR(__xludf.DUMMYFUNCTION("""COMPUTED_VALUE"""),3173.4)</f>
        <v>3173.4</v>
      </c>
      <c r="F15" s="6">
        <f>IFERROR(__xludf.DUMMYFUNCTION("""COMPUTED_VALUE"""),4021920.0)</f>
        <v>4021920</v>
      </c>
    </row>
    <row r="16">
      <c r="A16" s="7">
        <f>IFERROR(__xludf.DUMMYFUNCTION("""COMPUTED_VALUE"""),45268.64583333333)</f>
        <v>45268.64583</v>
      </c>
      <c r="B16" s="6">
        <f>IFERROR(__xludf.DUMMYFUNCTION("""COMPUTED_VALUE"""),3190.0)</f>
        <v>3190</v>
      </c>
      <c r="C16" s="6">
        <f>IFERROR(__xludf.DUMMYFUNCTION("""COMPUTED_VALUE"""),3299.95)</f>
        <v>3299.95</v>
      </c>
      <c r="D16" s="6">
        <f>IFERROR(__xludf.DUMMYFUNCTION("""COMPUTED_VALUE"""),3166.5)</f>
        <v>3166.5</v>
      </c>
      <c r="E16" s="6">
        <f>IFERROR(__xludf.DUMMYFUNCTION("""COMPUTED_VALUE"""),3232.0)</f>
        <v>3232</v>
      </c>
      <c r="F16" s="6">
        <f>IFERROR(__xludf.DUMMYFUNCTION("""COMPUTED_VALUE"""),5220474.0)</f>
        <v>5220474</v>
      </c>
    </row>
    <row r="17">
      <c r="A17" s="7">
        <f>IFERROR(__xludf.DUMMYFUNCTION("""COMPUTED_VALUE"""),45275.64583333333)</f>
        <v>45275.64583</v>
      </c>
      <c r="B17" s="6">
        <f>IFERROR(__xludf.DUMMYFUNCTION("""COMPUTED_VALUE"""),3230.0)</f>
        <v>3230</v>
      </c>
      <c r="C17" s="6">
        <f>IFERROR(__xludf.DUMMYFUNCTION("""COMPUTED_VALUE"""),3326.35)</f>
        <v>3326.35</v>
      </c>
      <c r="D17" s="6">
        <f>IFERROR(__xludf.DUMMYFUNCTION("""COMPUTED_VALUE"""),3185.5)</f>
        <v>3185.5</v>
      </c>
      <c r="E17" s="6">
        <f>IFERROR(__xludf.DUMMYFUNCTION("""COMPUTED_VALUE"""),3313.9)</f>
        <v>3313.9</v>
      </c>
      <c r="F17" s="6">
        <f>IFERROR(__xludf.DUMMYFUNCTION("""COMPUTED_VALUE"""),5536329.0)</f>
        <v>5536329</v>
      </c>
    </row>
    <row r="18">
      <c r="A18" s="7">
        <f>IFERROR(__xludf.DUMMYFUNCTION("""COMPUTED_VALUE"""),45282.64583333333)</f>
        <v>45282.64583</v>
      </c>
      <c r="B18" s="6">
        <f>IFERROR(__xludf.DUMMYFUNCTION("""COMPUTED_VALUE"""),3313.0)</f>
        <v>3313</v>
      </c>
      <c r="C18" s="6">
        <f>IFERROR(__xludf.DUMMYFUNCTION("""COMPUTED_VALUE"""),3359.95)</f>
        <v>3359.95</v>
      </c>
      <c r="D18" s="6">
        <f>IFERROR(__xludf.DUMMYFUNCTION("""COMPUTED_VALUE"""),3271.85)</f>
        <v>3271.85</v>
      </c>
      <c r="E18" s="6">
        <f>IFERROR(__xludf.DUMMYFUNCTION("""COMPUTED_VALUE"""),3341.3)</f>
        <v>3341.3</v>
      </c>
      <c r="F18" s="6">
        <f>IFERROR(__xludf.DUMMYFUNCTION("""COMPUTED_VALUE"""),5188588.0)</f>
        <v>5188588</v>
      </c>
    </row>
    <row r="19">
      <c r="A19" s="7">
        <f>IFERROR(__xludf.DUMMYFUNCTION("""COMPUTED_VALUE"""),45289.64583333333)</f>
        <v>45289.64583</v>
      </c>
      <c r="B19" s="6">
        <f>IFERROR(__xludf.DUMMYFUNCTION("""COMPUTED_VALUE"""),3349.95)</f>
        <v>3349.95</v>
      </c>
      <c r="C19" s="6">
        <f>IFERROR(__xludf.DUMMYFUNCTION("""COMPUTED_VALUE"""),3422.95)</f>
        <v>3422.95</v>
      </c>
      <c r="D19" s="6">
        <f>IFERROR(__xludf.DUMMYFUNCTION("""COMPUTED_VALUE"""),3345.2)</f>
        <v>3345.2</v>
      </c>
      <c r="E19" s="6">
        <f>IFERROR(__xludf.DUMMYFUNCTION("""COMPUTED_VALUE"""),3402.4)</f>
        <v>3402.4</v>
      </c>
      <c r="F19" s="6">
        <f>IFERROR(__xludf.DUMMYFUNCTION("""COMPUTED_VALUE"""),2832298.0)</f>
        <v>2832298</v>
      </c>
    </row>
    <row r="20">
      <c r="A20" s="7">
        <f>IFERROR(__xludf.DUMMYFUNCTION("""COMPUTED_VALUE"""),45296.64583333333)</f>
        <v>45296.64583</v>
      </c>
      <c r="B20" s="6">
        <f>IFERROR(__xludf.DUMMYFUNCTION("""COMPUTED_VALUE"""),3403.0)</f>
        <v>3403</v>
      </c>
      <c r="C20" s="6">
        <f>IFERROR(__xludf.DUMMYFUNCTION("""COMPUTED_VALUE"""),3411.8)</f>
        <v>3411.8</v>
      </c>
      <c r="D20" s="6">
        <f>IFERROR(__xludf.DUMMYFUNCTION("""COMPUTED_VALUE"""),3345.0)</f>
        <v>3345</v>
      </c>
      <c r="E20" s="6">
        <f>IFERROR(__xludf.DUMMYFUNCTION("""COMPUTED_VALUE"""),3355.55)</f>
        <v>3355.55</v>
      </c>
      <c r="F20" s="6">
        <f>IFERROR(__xludf.DUMMYFUNCTION("""COMPUTED_VALUE"""),2409559.0)</f>
        <v>2409559</v>
      </c>
    </row>
    <row r="21">
      <c r="A21" s="7">
        <f>IFERROR(__xludf.DUMMYFUNCTION("""COMPUTED_VALUE"""),45303.64583333333)</f>
        <v>45303.64583</v>
      </c>
      <c r="B21" s="6">
        <f>IFERROR(__xludf.DUMMYFUNCTION("""COMPUTED_VALUE"""),3355.0)</f>
        <v>3355</v>
      </c>
      <c r="C21" s="6">
        <f>IFERROR(__xludf.DUMMYFUNCTION("""COMPUTED_VALUE"""),3376.5)</f>
        <v>3376.5</v>
      </c>
      <c r="D21" s="6">
        <f>IFERROR(__xludf.DUMMYFUNCTION("""COMPUTED_VALUE"""),3244.0)</f>
        <v>3244</v>
      </c>
      <c r="E21" s="6">
        <f>IFERROR(__xludf.DUMMYFUNCTION("""COMPUTED_VALUE"""),3277.8)</f>
        <v>3277.8</v>
      </c>
      <c r="F21" s="6">
        <f>IFERROR(__xludf.DUMMYFUNCTION("""COMPUTED_VALUE"""),3118148.0)</f>
        <v>3118148</v>
      </c>
    </row>
    <row r="22">
      <c r="A22" s="7">
        <f>IFERROR(__xludf.DUMMYFUNCTION("""COMPUTED_VALUE"""),45316.64583333333)</f>
        <v>45316.64583</v>
      </c>
      <c r="B22" s="6">
        <f>IFERROR(__xludf.DUMMYFUNCTION("""COMPUTED_VALUE"""),3087.55)</f>
        <v>3087.55</v>
      </c>
      <c r="C22" s="6">
        <f>IFERROR(__xludf.DUMMYFUNCTION("""COMPUTED_VALUE"""),3109.0)</f>
        <v>3109</v>
      </c>
      <c r="D22" s="6">
        <f>IFERROR(__xludf.DUMMYFUNCTION("""COMPUTED_VALUE"""),2942.3)</f>
        <v>2942.3</v>
      </c>
      <c r="E22" s="6">
        <f>IFERROR(__xludf.DUMMYFUNCTION("""COMPUTED_VALUE"""),2949.2)</f>
        <v>2949.2</v>
      </c>
      <c r="F22" s="6">
        <f>IFERROR(__xludf.DUMMYFUNCTION("""COMPUTED_VALUE"""),7033118.0)</f>
        <v>7033118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IFERROR(__xludf.DUMMYFUNCTION("""COMPUTED_VALUE"""),2940.05)</f>
        <v>2940.05</v>
      </c>
      <c r="C23" s="6">
        <f>IFERROR(__xludf.DUMMYFUNCTION("""COMPUTED_VALUE"""),3005.0)</f>
        <v>3005</v>
      </c>
      <c r="D23" s="6">
        <f>IFERROR(__xludf.DUMMYFUNCTION("""COMPUTED_VALUE"""),2919.95)</f>
        <v>2919.95</v>
      </c>
      <c r="E23" s="6">
        <f>IFERROR(__xludf.DUMMYFUNCTION("""COMPUTED_VALUE"""),2936.3)</f>
        <v>2936.3</v>
      </c>
      <c r="F23" s="6">
        <f>IFERROR(__xludf.DUMMYFUNCTION("""COMPUTED_VALUE"""),9795538.0)</f>
        <v>9795538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IFERROR(__xludf.DUMMYFUNCTION("""COMPUTED_VALUE"""),2950.0)</f>
        <v>2950</v>
      </c>
      <c r="C24" s="6">
        <f>IFERROR(__xludf.DUMMYFUNCTION("""COMPUTED_VALUE"""),3002.95)</f>
        <v>3002.95</v>
      </c>
      <c r="D24" s="6">
        <f>IFERROR(__xludf.DUMMYFUNCTION("""COMPUTED_VALUE"""),2902.65)</f>
        <v>2902.65</v>
      </c>
      <c r="E24" s="6">
        <f>IFERROR(__xludf.DUMMYFUNCTION("""COMPUTED_VALUE"""),2951.65)</f>
        <v>2951.65</v>
      </c>
      <c r="F24" s="6">
        <f>IFERROR(__xludf.DUMMYFUNCTION("""COMPUTED_VALUE"""),6307178.0)</f>
        <v>6307178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IFERROR(__xludf.DUMMYFUNCTION("""COMPUTED_VALUE"""),2951.65)</f>
        <v>2951.65</v>
      </c>
      <c r="C25" s="6">
        <f>IFERROR(__xludf.DUMMYFUNCTION("""COMPUTED_VALUE"""),3035.0)</f>
        <v>3035</v>
      </c>
      <c r="D25" s="6">
        <f>IFERROR(__xludf.DUMMYFUNCTION("""COMPUTED_VALUE"""),2920.05)</f>
        <v>2920.05</v>
      </c>
      <c r="E25" s="6">
        <f>IFERROR(__xludf.DUMMYFUNCTION("""COMPUTED_VALUE"""),3007.9)</f>
        <v>3007.9</v>
      </c>
      <c r="F25" s="6">
        <f>IFERROR(__xludf.DUMMYFUNCTION("""COMPUTED_VALUE"""),4330129.0)</f>
        <v>4330129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IFERROR(__xludf.DUMMYFUNCTION("""COMPUTED_VALUE"""),3007.9)</f>
        <v>3007.9</v>
      </c>
      <c r="C26" s="6">
        <f>IFERROR(__xludf.DUMMYFUNCTION("""COMPUTED_VALUE"""),3027.2)</f>
        <v>3027.2</v>
      </c>
      <c r="D26" s="6">
        <f>IFERROR(__xludf.DUMMYFUNCTION("""COMPUTED_VALUE"""),2932.1)</f>
        <v>2932.1</v>
      </c>
      <c r="E26" s="6">
        <f>IFERROR(__xludf.DUMMYFUNCTION("""COMPUTED_VALUE"""),2985.95)</f>
        <v>2985.95</v>
      </c>
      <c r="F26" s="6">
        <f>IFERROR(__xludf.DUMMYFUNCTION("""COMPUTED_VALUE"""),6483545.0)</f>
        <v>6483545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IFERROR(__xludf.DUMMYFUNCTION("""COMPUTED_VALUE"""),2860.0)</f>
        <v>2860</v>
      </c>
      <c r="C27" s="6">
        <f>IFERROR(__xludf.DUMMYFUNCTION("""COMPUTED_VALUE"""),2894.0)</f>
        <v>2894</v>
      </c>
      <c r="D27" s="6">
        <f>IFERROR(__xludf.DUMMYFUNCTION("""COMPUTED_VALUE"""),2777.75)</f>
        <v>2777.75</v>
      </c>
      <c r="E27" s="6">
        <f>IFERROR(__xludf.DUMMYFUNCTION("""COMPUTED_VALUE"""),2870.55)</f>
        <v>2870.55</v>
      </c>
      <c r="F27" s="6">
        <f>IFERROR(__xludf.DUMMYFUNCTION("""COMPUTED_VALUE"""),4995110.0)</f>
        <v>4995110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IFERROR(__xludf.DUMMYFUNCTION("""COMPUTED_VALUE"""),2895.55)</f>
        <v>2895.55</v>
      </c>
      <c r="C28" s="6">
        <f>IFERROR(__xludf.DUMMYFUNCTION("""COMPUTED_VALUE"""),2899.9)</f>
        <v>2899.9</v>
      </c>
      <c r="D28" s="6">
        <f>IFERROR(__xludf.DUMMYFUNCTION("""COMPUTED_VALUE"""),2835.0)</f>
        <v>2835</v>
      </c>
      <c r="E28" s="6">
        <f>IFERROR(__xludf.DUMMYFUNCTION("""COMPUTED_VALUE"""),2867.55)</f>
        <v>2867.55</v>
      </c>
      <c r="F28" s="6">
        <f>IFERROR(__xludf.DUMMYFUNCTION("""COMPUTED_VALUE"""),5223540.0)</f>
        <v>5223540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IFERROR(__xludf.DUMMYFUNCTION("""COMPUTED_VALUE"""),2866.0)</f>
        <v>2866</v>
      </c>
      <c r="C29" s="6">
        <f>IFERROR(__xludf.DUMMYFUNCTION("""COMPUTED_VALUE"""),2866.0)</f>
        <v>2866</v>
      </c>
      <c r="D29" s="6">
        <f>IFERROR(__xludf.DUMMYFUNCTION("""COMPUTED_VALUE"""),2797.55)</f>
        <v>2797.55</v>
      </c>
      <c r="E29" s="6">
        <f>IFERROR(__xludf.DUMMYFUNCTION("""COMPUTED_VALUE"""),2841.5)</f>
        <v>2841.5</v>
      </c>
      <c r="F29" s="6">
        <f>IFERROR(__xludf.DUMMYFUNCTION("""COMPUTED_VALUE"""),5778838.0)</f>
        <v>5778838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IFERROR(__xludf.DUMMYFUNCTION("""COMPUTED_VALUE"""),2820.0)</f>
        <v>2820</v>
      </c>
      <c r="C30" s="6">
        <f>IFERROR(__xludf.DUMMYFUNCTION("""COMPUTED_VALUE"""),2868.0)</f>
        <v>2868</v>
      </c>
      <c r="D30" s="6">
        <f>IFERROR(__xludf.DUMMYFUNCTION("""COMPUTED_VALUE"""),2810.0)</f>
        <v>2810</v>
      </c>
      <c r="E30" s="6">
        <f>IFERROR(__xludf.DUMMYFUNCTION("""COMPUTED_VALUE"""),2846.75)</f>
        <v>2846.75</v>
      </c>
      <c r="F30" s="6">
        <f>IFERROR(__xludf.DUMMYFUNCTION("""COMPUTED_VALUE"""),4393244.0)</f>
        <v>4393244</v>
      </c>
    </row>
    <row r="31">
      <c r="A31" s="7">
        <f>IFERROR(__xludf.DUMMYFUNCTION("""COMPUTED_VALUE"""),45387.64583333333)</f>
        <v>45387.64583</v>
      </c>
      <c r="B31" s="6">
        <f>IFERROR(__xludf.DUMMYFUNCTION("""COMPUTED_VALUE"""),2860.95)</f>
        <v>2860.95</v>
      </c>
      <c r="C31" s="6">
        <f>IFERROR(__xludf.DUMMYFUNCTION("""COMPUTED_VALUE"""),2943.25)</f>
        <v>2943.25</v>
      </c>
      <c r="D31" s="6">
        <f>IFERROR(__xludf.DUMMYFUNCTION("""COMPUTED_VALUE"""),2845.0)</f>
        <v>2845</v>
      </c>
      <c r="E31" s="6">
        <f>IFERROR(__xludf.DUMMYFUNCTION("""COMPUTED_VALUE"""),2883.45)</f>
        <v>2883.45</v>
      </c>
      <c r="F31" s="6">
        <f>IFERROR(__xludf.DUMMYFUNCTION("""COMPUTED_VALUE"""),4924254.0)</f>
        <v>4924254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IFERROR(__xludf.DUMMYFUNCTION("""COMPUTED_VALUE"""),2908.0)</f>
        <v>2908</v>
      </c>
      <c r="C32" s="6">
        <f>IFERROR(__xludf.DUMMYFUNCTION("""COMPUTED_VALUE"""),2916.45)</f>
        <v>2916.45</v>
      </c>
      <c r="D32" s="6">
        <f>IFERROR(__xludf.DUMMYFUNCTION("""COMPUTED_VALUE"""),2845.0)</f>
        <v>2845</v>
      </c>
      <c r="E32" s="6">
        <f>IFERROR(__xludf.DUMMYFUNCTION("""COMPUTED_VALUE"""),2854.5)</f>
        <v>2854.5</v>
      </c>
      <c r="F32" s="6">
        <f>IFERROR(__xludf.DUMMYFUNCTION("""COMPUTED_VALUE"""),4095171.0)</f>
        <v>4095171</v>
      </c>
    </row>
    <row r="33">
      <c r="A33" s="7">
        <f>IFERROR(__xludf.DUMMYFUNCTION("""COMPUTED_VALUE"""),45401.64583333333)</f>
        <v>45401.64583</v>
      </c>
      <c r="B33" s="6">
        <f>IFERROR(__xludf.DUMMYFUNCTION("""COMPUTED_VALUE"""),2830.2)</f>
        <v>2830.2</v>
      </c>
      <c r="C33" s="6">
        <f>IFERROR(__xludf.DUMMYFUNCTION("""COMPUTED_VALUE"""),2859.2)</f>
        <v>2859.2</v>
      </c>
      <c r="D33" s="6">
        <f>IFERROR(__xludf.DUMMYFUNCTION("""COMPUTED_VALUE"""),2766.15)</f>
        <v>2766.15</v>
      </c>
      <c r="E33" s="6">
        <f>IFERROR(__xludf.DUMMYFUNCTION("""COMPUTED_VALUE"""),2808.55)</f>
        <v>2808.55</v>
      </c>
      <c r="F33" s="6">
        <f>IFERROR(__xludf.DUMMYFUNCTION("""COMPUTED_VALUE"""),4866009.0)</f>
        <v>4866009</v>
      </c>
    </row>
    <row r="34">
      <c r="A34" s="7">
        <f>IFERROR(__xludf.DUMMYFUNCTION("""COMPUTED_VALUE"""),45408.64583333333)</f>
        <v>45408.64583</v>
      </c>
      <c r="B34" s="6">
        <f>IFERROR(__xludf.DUMMYFUNCTION("""COMPUTED_VALUE"""),2846.6)</f>
        <v>2846.6</v>
      </c>
      <c r="C34" s="6">
        <f>IFERROR(__xludf.DUMMYFUNCTION("""COMPUTED_VALUE"""),2883.1)</f>
        <v>2883.1</v>
      </c>
      <c r="D34" s="6">
        <f>IFERROR(__xludf.DUMMYFUNCTION("""COMPUTED_VALUE"""),2814.05)</f>
        <v>2814.05</v>
      </c>
      <c r="E34" s="6">
        <f>IFERROR(__xludf.DUMMYFUNCTION("""COMPUTED_VALUE"""),2844.15)</f>
        <v>2844.15</v>
      </c>
      <c r="F34" s="6">
        <f>IFERROR(__xludf.DUMMYFUNCTION("""COMPUTED_VALUE"""),4543202.0)</f>
        <v>4543202</v>
      </c>
    </row>
    <row r="35">
      <c r="A35" s="7">
        <f>IFERROR(__xludf.DUMMYFUNCTION("""COMPUTED_VALUE"""),45415.64583333333)</f>
        <v>45415.64583</v>
      </c>
      <c r="B35" s="6">
        <f>IFERROR(__xludf.DUMMYFUNCTION("""COMPUTED_VALUE"""),2844.15)</f>
        <v>2844.15</v>
      </c>
      <c r="C35" s="6">
        <f>IFERROR(__xludf.DUMMYFUNCTION("""COMPUTED_VALUE"""),2997.0)</f>
        <v>2997</v>
      </c>
      <c r="D35" s="6">
        <f>IFERROR(__xludf.DUMMYFUNCTION("""COMPUTED_VALUE"""),2839.0)</f>
        <v>2839</v>
      </c>
      <c r="E35" s="6">
        <f>IFERROR(__xludf.DUMMYFUNCTION("""COMPUTED_VALUE"""),2929.75)</f>
        <v>2929.75</v>
      </c>
      <c r="F35" s="6">
        <f>IFERROR(__xludf.DUMMYFUNCTION("""COMPUTED_VALUE"""),5944719.0)</f>
        <v>5944719</v>
      </c>
    </row>
    <row r="36">
      <c r="A36" s="7">
        <f>IFERROR(__xludf.DUMMYFUNCTION("""COMPUTED_VALUE"""),45422.64583333333)</f>
        <v>45422.64583</v>
      </c>
      <c r="B36" s="6">
        <f>IFERROR(__xludf.DUMMYFUNCTION("""COMPUTED_VALUE"""),2950.0)</f>
        <v>2950</v>
      </c>
      <c r="C36" s="6">
        <f>IFERROR(__xludf.DUMMYFUNCTION("""COMPUTED_VALUE"""),2967.95)</f>
        <v>2967.95</v>
      </c>
      <c r="D36" s="6">
        <f>IFERROR(__xludf.DUMMYFUNCTION("""COMPUTED_VALUE"""),2670.1)</f>
        <v>2670.1</v>
      </c>
      <c r="E36" s="6">
        <f>IFERROR(__xludf.DUMMYFUNCTION("""COMPUTED_VALUE"""),2771.25)</f>
        <v>2771.25</v>
      </c>
      <c r="F36" s="6">
        <f>IFERROR(__xludf.DUMMYFUNCTION("""COMPUTED_VALUE"""),9077760.0)</f>
        <v>9077760</v>
      </c>
    </row>
    <row r="37">
      <c r="A37" s="7">
        <f>IFERROR(__xludf.DUMMYFUNCTION("""COMPUTED_VALUE"""),45436.64583333333)</f>
        <v>45436.64583</v>
      </c>
      <c r="B37" s="6">
        <f>IFERROR(__xludf.DUMMYFUNCTION("""COMPUTED_VALUE"""),2815.0)</f>
        <v>2815</v>
      </c>
      <c r="C37" s="6">
        <f>IFERROR(__xludf.DUMMYFUNCTION("""COMPUTED_VALUE"""),2921.25)</f>
        <v>2921.25</v>
      </c>
      <c r="D37" s="6">
        <f>IFERROR(__xludf.DUMMYFUNCTION("""COMPUTED_VALUE"""),2801.0)</f>
        <v>2801</v>
      </c>
      <c r="E37" s="6">
        <f>IFERROR(__xludf.DUMMYFUNCTION("""COMPUTED_VALUE"""),2874.75)</f>
        <v>2874.75</v>
      </c>
      <c r="F37" s="6">
        <f>IFERROR(__xludf.DUMMYFUNCTION("""COMPUTED_VALUE"""),3793384.0)</f>
        <v>3793384</v>
      </c>
    </row>
    <row r="38">
      <c r="A38" s="7">
        <f>IFERROR(__xludf.DUMMYFUNCTION("""COMPUTED_VALUE"""),45443.64583333333)</f>
        <v>45443.64583</v>
      </c>
      <c r="B38" s="6">
        <f>IFERROR(__xludf.DUMMYFUNCTION("""COMPUTED_VALUE"""),2887.9)</f>
        <v>2887.9</v>
      </c>
      <c r="C38" s="6">
        <f>IFERROR(__xludf.DUMMYFUNCTION("""COMPUTED_VALUE"""),2921.7)</f>
        <v>2921.7</v>
      </c>
      <c r="D38" s="6">
        <f>IFERROR(__xludf.DUMMYFUNCTION("""COMPUTED_VALUE"""),2855.55)</f>
        <v>2855.55</v>
      </c>
      <c r="E38" s="6">
        <f>IFERROR(__xludf.DUMMYFUNCTION("""COMPUTED_VALUE"""),2881.2)</f>
        <v>2881.2</v>
      </c>
      <c r="F38" s="6">
        <f>IFERROR(__xludf.DUMMYFUNCTION("""COMPUTED_VALUE"""),7524721.0)</f>
        <v>7524721</v>
      </c>
    </row>
    <row r="39">
      <c r="A39" s="7">
        <f>IFERROR(__xludf.DUMMYFUNCTION("""COMPUTED_VALUE"""),45450.64583333333)</f>
        <v>45450.64583</v>
      </c>
      <c r="B39" s="6">
        <f>IFERROR(__xludf.DUMMYFUNCTION("""COMPUTED_VALUE"""),2950.0)</f>
        <v>2950</v>
      </c>
      <c r="C39" s="6">
        <f>IFERROR(__xludf.DUMMYFUNCTION("""COMPUTED_VALUE"""),3027.3)</f>
        <v>3027.3</v>
      </c>
      <c r="D39" s="6">
        <f>IFERROR(__xludf.DUMMYFUNCTION("""COMPUTED_VALUE"""),2775.75)</f>
        <v>2775.75</v>
      </c>
      <c r="E39" s="6">
        <f>IFERROR(__xludf.DUMMYFUNCTION("""COMPUTED_VALUE"""),2927.7)</f>
        <v>2927.7</v>
      </c>
      <c r="F39" s="6">
        <f>IFERROR(__xludf.DUMMYFUNCTION("""COMPUTED_VALUE"""),9336712.0)</f>
        <v>9336712</v>
      </c>
    </row>
    <row r="40">
      <c r="A40" s="7">
        <f>IFERROR(__xludf.DUMMYFUNCTION("""COMPUTED_VALUE"""),45457.64583333333)</f>
        <v>45457.64583</v>
      </c>
      <c r="B40" s="6">
        <f>IFERROR(__xludf.DUMMYFUNCTION("""COMPUTED_VALUE"""),2928.0)</f>
        <v>2928</v>
      </c>
      <c r="C40" s="6">
        <f>IFERROR(__xludf.DUMMYFUNCTION("""COMPUTED_VALUE"""),2951.9)</f>
        <v>2951.9</v>
      </c>
      <c r="D40" s="6">
        <f>IFERROR(__xludf.DUMMYFUNCTION("""COMPUTED_VALUE"""),2865.65)</f>
        <v>2865.65</v>
      </c>
      <c r="E40" s="6">
        <f>IFERROR(__xludf.DUMMYFUNCTION("""COMPUTED_VALUE"""),2921.6)</f>
        <v>2921.6</v>
      </c>
      <c r="F40" s="6">
        <f>IFERROR(__xludf.DUMMYFUNCTION("""COMPUTED_VALUE"""),5143262.0)</f>
        <v>5143262</v>
      </c>
    </row>
    <row r="41">
      <c r="A41" s="7">
        <f>IFERROR(__xludf.DUMMYFUNCTION("""COMPUTED_VALUE"""),45464.64583333333)</f>
        <v>45464.64583</v>
      </c>
      <c r="B41" s="6">
        <f>IFERROR(__xludf.DUMMYFUNCTION("""COMPUTED_VALUE"""),2921.6)</f>
        <v>2921.6</v>
      </c>
      <c r="C41" s="6">
        <f>IFERROR(__xludf.DUMMYFUNCTION("""COMPUTED_VALUE"""),2928.0)</f>
        <v>2928</v>
      </c>
      <c r="D41" s="6">
        <f>IFERROR(__xludf.DUMMYFUNCTION("""COMPUTED_VALUE"""),2872.4)</f>
        <v>2872.4</v>
      </c>
      <c r="E41" s="6">
        <f>IFERROR(__xludf.DUMMYFUNCTION("""COMPUTED_VALUE"""),2890.85)</f>
        <v>2890.85</v>
      </c>
      <c r="F41" s="6">
        <f>IFERROR(__xludf.DUMMYFUNCTION("""COMPUTED_VALUE"""),4611523.0)</f>
        <v>4611523</v>
      </c>
    </row>
    <row r="42">
      <c r="A42" s="7">
        <f>IFERROR(__xludf.DUMMYFUNCTION("""COMPUTED_VALUE"""),45471.64583333333)</f>
        <v>45471.64583</v>
      </c>
      <c r="B42" s="6">
        <f>IFERROR(__xludf.DUMMYFUNCTION("""COMPUTED_VALUE"""),2883.0)</f>
        <v>2883</v>
      </c>
      <c r="C42" s="6">
        <f>IFERROR(__xludf.DUMMYFUNCTION("""COMPUTED_VALUE"""),2932.0)</f>
        <v>2932</v>
      </c>
      <c r="D42" s="6">
        <f>IFERROR(__xludf.DUMMYFUNCTION("""COMPUTED_VALUE"""),2844.05)</f>
        <v>2844.05</v>
      </c>
      <c r="E42" s="6">
        <f>IFERROR(__xludf.DUMMYFUNCTION("""COMPUTED_VALUE"""),2917.05)</f>
        <v>2917.05</v>
      </c>
      <c r="F42" s="6">
        <f>IFERROR(__xludf.DUMMYFUNCTION("""COMPUTED_VALUE"""),5905273.0)</f>
        <v>5905273</v>
      </c>
    </row>
    <row r="43">
      <c r="A43" s="7">
        <f>IFERROR(__xludf.DUMMYFUNCTION("""COMPUTED_VALUE"""),45478.64583333333)</f>
        <v>45478.64583</v>
      </c>
      <c r="B43" s="6">
        <f>IFERROR(__xludf.DUMMYFUNCTION("""COMPUTED_VALUE"""),2889.3)</f>
        <v>2889.3</v>
      </c>
      <c r="C43" s="6">
        <f>IFERROR(__xludf.DUMMYFUNCTION("""COMPUTED_VALUE"""),2968.45)</f>
        <v>2968.45</v>
      </c>
      <c r="D43" s="6">
        <f>IFERROR(__xludf.DUMMYFUNCTION("""COMPUTED_VALUE"""),2888.0)</f>
        <v>2888</v>
      </c>
      <c r="E43" s="6">
        <f>IFERROR(__xludf.DUMMYFUNCTION("""COMPUTED_VALUE"""),2935.9)</f>
        <v>2935.9</v>
      </c>
      <c r="F43" s="6">
        <f>IFERROR(__xludf.DUMMYFUNCTION("""COMPUTED_VALUE"""),4879689.0)</f>
        <v>4879689</v>
      </c>
    </row>
    <row r="44">
      <c r="A44" s="7">
        <f>IFERROR(__xludf.DUMMYFUNCTION("""COMPUTED_VALUE"""),45485.64583333333)</f>
        <v>45485.64583</v>
      </c>
      <c r="B44" s="6">
        <f>IFERROR(__xludf.DUMMYFUNCTION("""COMPUTED_VALUE"""),2935.9)</f>
        <v>2935.9</v>
      </c>
      <c r="C44" s="6">
        <f>IFERROR(__xludf.DUMMYFUNCTION("""COMPUTED_VALUE"""),3052.0)</f>
        <v>3052</v>
      </c>
      <c r="D44" s="6">
        <f>IFERROR(__xludf.DUMMYFUNCTION("""COMPUTED_VALUE"""),2890.0)</f>
        <v>2890</v>
      </c>
      <c r="E44" s="6">
        <f>IFERROR(__xludf.DUMMYFUNCTION("""COMPUTED_VALUE"""),2999.15)</f>
        <v>2999.15</v>
      </c>
      <c r="F44" s="6">
        <f>IFERROR(__xludf.DUMMYFUNCTION("""COMPUTED_VALUE"""),7662551.0)</f>
        <v>7662551</v>
      </c>
    </row>
    <row r="45">
      <c r="A45" s="7">
        <f>IFERROR(__xludf.DUMMYFUNCTION("""COMPUTED_VALUE"""),45492.64583333333)</f>
        <v>45492.64583</v>
      </c>
      <c r="B45" s="6">
        <f>IFERROR(__xludf.DUMMYFUNCTION("""COMPUTED_VALUE"""),2999.0)</f>
        <v>2999</v>
      </c>
      <c r="C45" s="6">
        <f>IFERROR(__xludf.DUMMYFUNCTION("""COMPUTED_VALUE"""),3015.95)</f>
        <v>3015.95</v>
      </c>
      <c r="D45" s="6">
        <f>IFERROR(__xludf.DUMMYFUNCTION("""COMPUTED_VALUE"""),2842.0)</f>
        <v>2842</v>
      </c>
      <c r="E45" s="6">
        <f>IFERROR(__xludf.DUMMYFUNCTION("""COMPUTED_VALUE"""),2946.05)</f>
        <v>2946.05</v>
      </c>
      <c r="F45" s="6">
        <f>IFERROR(__xludf.DUMMYFUNCTION("""COMPUTED_VALUE"""),1.2060309E7)</f>
        <v>12060309</v>
      </c>
    </row>
    <row r="46">
      <c r="A46" s="7">
        <f>IFERROR(__xludf.DUMMYFUNCTION("""COMPUTED_VALUE"""),45499.64583333333)</f>
        <v>45499.64583</v>
      </c>
      <c r="B46" s="6">
        <f>IFERROR(__xludf.DUMMYFUNCTION("""COMPUTED_VALUE"""),2937.0)</f>
        <v>2937</v>
      </c>
      <c r="C46" s="6">
        <f>IFERROR(__xludf.DUMMYFUNCTION("""COMPUTED_VALUE"""),2973.35)</f>
        <v>2973.35</v>
      </c>
      <c r="D46" s="6">
        <f>IFERROR(__xludf.DUMMYFUNCTION("""COMPUTED_VALUE"""),2885.25)</f>
        <v>2885.25</v>
      </c>
      <c r="E46" s="6">
        <f>IFERROR(__xludf.DUMMYFUNCTION("""COMPUTED_VALUE"""),2950.15)</f>
        <v>2950.15</v>
      </c>
      <c r="F46" s="6">
        <f>IFERROR(__xludf.DUMMYFUNCTION("""COMPUTED_VALUE"""),7598509.0)</f>
        <v>7598509</v>
      </c>
    </row>
    <row r="47">
      <c r="A47" s="7">
        <f>IFERROR(__xludf.DUMMYFUNCTION("""COMPUTED_VALUE"""),45506.64583333333)</f>
        <v>45506.64583</v>
      </c>
      <c r="B47" s="6">
        <f>IFERROR(__xludf.DUMMYFUNCTION("""COMPUTED_VALUE"""),2953.05)</f>
        <v>2953.05</v>
      </c>
      <c r="C47" s="6">
        <f>IFERROR(__xludf.DUMMYFUNCTION("""COMPUTED_VALUE"""),3129.05)</f>
        <v>3129.05</v>
      </c>
      <c r="D47" s="6">
        <f>IFERROR(__xludf.DUMMYFUNCTION("""COMPUTED_VALUE"""),2936.0)</f>
        <v>2936</v>
      </c>
      <c r="E47" s="6">
        <f>IFERROR(__xludf.DUMMYFUNCTION("""COMPUTED_VALUE"""),3106.7)</f>
        <v>3106.7</v>
      </c>
      <c r="F47" s="6">
        <f>IFERROR(__xludf.DUMMYFUNCTION("""COMPUTED_VALUE"""),9572402.0)</f>
        <v>9572402</v>
      </c>
    </row>
    <row r="48">
      <c r="A48" s="7">
        <f>IFERROR(__xludf.DUMMYFUNCTION("""COMPUTED_VALUE"""),45513.64583333333)</f>
        <v>45513.64583</v>
      </c>
      <c r="B48" s="6">
        <f>IFERROR(__xludf.DUMMYFUNCTION("""COMPUTED_VALUE"""),3069.95)</f>
        <v>3069.95</v>
      </c>
      <c r="C48" s="6">
        <f>IFERROR(__xludf.DUMMYFUNCTION("""COMPUTED_VALUE"""),3145.0)</f>
        <v>3145</v>
      </c>
      <c r="D48" s="6">
        <f>IFERROR(__xludf.DUMMYFUNCTION("""COMPUTED_VALUE"""),2966.0)</f>
        <v>2966</v>
      </c>
      <c r="E48" s="6">
        <f>IFERROR(__xludf.DUMMYFUNCTION("""COMPUTED_VALUE"""),3040.6)</f>
        <v>3040.6</v>
      </c>
      <c r="F48" s="6">
        <f>IFERROR(__xludf.DUMMYFUNCTION("""COMPUTED_VALUE"""),7757512.0)</f>
        <v>7757512</v>
      </c>
    </row>
    <row r="49">
      <c r="A49" s="7">
        <f>IFERROR(__xludf.DUMMYFUNCTION("""COMPUTED_VALUE"""),45520.64583333333)</f>
        <v>45520.64583</v>
      </c>
      <c r="B49" s="6">
        <f>IFERROR(__xludf.DUMMYFUNCTION("""COMPUTED_VALUE"""),3020.0)</f>
        <v>3020</v>
      </c>
      <c r="C49" s="6">
        <f>IFERROR(__xludf.DUMMYFUNCTION("""COMPUTED_VALUE"""),3084.0)</f>
        <v>3084</v>
      </c>
      <c r="D49" s="6">
        <f>IFERROR(__xludf.DUMMYFUNCTION("""COMPUTED_VALUE"""),2994.05)</f>
        <v>2994.05</v>
      </c>
      <c r="E49" s="6">
        <f>IFERROR(__xludf.DUMMYFUNCTION("""COMPUTED_VALUE"""),3048.15)</f>
        <v>3048.15</v>
      </c>
      <c r="F49" s="6">
        <f>IFERROR(__xludf.DUMMYFUNCTION("""COMPUTED_VALUE"""),3208041.0)</f>
        <v>3208041</v>
      </c>
    </row>
    <row r="50">
      <c r="A50" s="7">
        <f>IFERROR(__xludf.DUMMYFUNCTION("""COMPUTED_VALUE"""),45527.64583333333)</f>
        <v>45527.64583</v>
      </c>
      <c r="B50" s="6">
        <f>IFERROR(__xludf.DUMMYFUNCTION("""COMPUTED_VALUE"""),3053.95)</f>
        <v>3053.95</v>
      </c>
      <c r="C50" s="6">
        <f>IFERROR(__xludf.DUMMYFUNCTION("""COMPUTED_VALUE"""),3198.65)</f>
        <v>3198.65</v>
      </c>
      <c r="D50" s="6">
        <f>IFERROR(__xludf.DUMMYFUNCTION("""COMPUTED_VALUE"""),3038.35)</f>
        <v>3038.35</v>
      </c>
      <c r="E50" s="6">
        <f>IFERROR(__xludf.DUMMYFUNCTION("""COMPUTED_VALUE"""),3154.65)</f>
        <v>3154.65</v>
      </c>
      <c r="F50" s="6">
        <f>IFERROR(__xludf.DUMMYFUNCTION("""COMPUTED_VALUE"""),4717848.0)</f>
        <v>4717848</v>
      </c>
    </row>
    <row r="51">
      <c r="A51" s="7">
        <f>IFERROR(__xludf.DUMMYFUNCTION("""COMPUTED_VALUE"""),45534.64583333333)</f>
        <v>45534.64583</v>
      </c>
      <c r="B51" s="6">
        <f>IFERROR(__xludf.DUMMYFUNCTION("""COMPUTED_VALUE"""),3155.0)</f>
        <v>3155</v>
      </c>
      <c r="C51" s="6">
        <f>IFERROR(__xludf.DUMMYFUNCTION("""COMPUTED_VALUE"""),3203.65)</f>
        <v>3203.65</v>
      </c>
      <c r="D51" s="6">
        <f>IFERROR(__xludf.DUMMYFUNCTION("""COMPUTED_VALUE"""),3092.7)</f>
        <v>3092.7</v>
      </c>
      <c r="E51" s="6">
        <f>IFERROR(__xludf.DUMMYFUNCTION("""COMPUTED_VALUE"""),3126.8)</f>
        <v>3126.8</v>
      </c>
      <c r="F51" s="6">
        <f>IFERROR(__xludf.DUMMYFUNCTION("""COMPUTED_VALUE"""),4431638.0)</f>
        <v>4431638</v>
      </c>
    </row>
    <row r="52">
      <c r="A52" s="7">
        <f>IFERROR(__xludf.DUMMYFUNCTION("""COMPUTED_VALUE"""),45541.64583333333)</f>
        <v>45541.64583</v>
      </c>
      <c r="B52" s="6">
        <f>IFERROR(__xludf.DUMMYFUNCTION("""COMPUTED_VALUE"""),3148.0)</f>
        <v>3148</v>
      </c>
      <c r="C52" s="6">
        <f>IFERROR(__xludf.DUMMYFUNCTION("""COMPUTED_VALUE"""),3285.9)</f>
        <v>3285.9</v>
      </c>
      <c r="D52" s="6">
        <f>IFERROR(__xludf.DUMMYFUNCTION("""COMPUTED_VALUE"""),3139.6)</f>
        <v>3139.6</v>
      </c>
      <c r="E52" s="6">
        <f>IFERROR(__xludf.DUMMYFUNCTION("""COMPUTED_VALUE"""),3273.7)</f>
        <v>3273.7</v>
      </c>
      <c r="F52" s="6">
        <f>IFERROR(__xludf.DUMMYFUNCTION("""COMPUTED_VALUE"""),7272314.0)</f>
        <v>7272314</v>
      </c>
    </row>
    <row r="53">
      <c r="A53" s="7">
        <f>IFERROR(__xludf.DUMMYFUNCTION("""COMPUTED_VALUE"""),45548.64583333333)</f>
        <v>45548.64583</v>
      </c>
      <c r="B53" s="6">
        <f>IFERROR(__xludf.DUMMYFUNCTION("""COMPUTED_VALUE"""),3273.7)</f>
        <v>3273.7</v>
      </c>
      <c r="C53" s="6">
        <f>IFERROR(__xludf.DUMMYFUNCTION("""COMPUTED_VALUE"""),3393.0)</f>
        <v>3393</v>
      </c>
      <c r="D53" s="6">
        <f>IFERROR(__xludf.DUMMYFUNCTION("""COMPUTED_VALUE"""),3258.0)</f>
        <v>3258</v>
      </c>
      <c r="E53" s="6">
        <f>IFERROR(__xludf.DUMMYFUNCTION("""COMPUTED_VALUE"""),3358.05)</f>
        <v>3358.05</v>
      </c>
      <c r="F53" s="6">
        <f>IFERROR(__xludf.DUMMYFUNCTION("""COMPUTED_VALUE"""),7436037.0)</f>
        <v>7436037</v>
      </c>
    </row>
    <row r="54">
      <c r="A54" s="7">
        <f>IFERROR(__xludf.DUMMYFUNCTION("""COMPUTED_VALUE"""),45555.64583333333)</f>
        <v>45555.64583</v>
      </c>
      <c r="B54" s="6">
        <f>IFERROR(__xludf.DUMMYFUNCTION("""COMPUTED_VALUE"""),3360.0)</f>
        <v>3360</v>
      </c>
      <c r="C54" s="6">
        <f>IFERROR(__xludf.DUMMYFUNCTION("""COMPUTED_VALUE"""),3394.9)</f>
        <v>3394.9</v>
      </c>
      <c r="D54" s="6">
        <f>IFERROR(__xludf.DUMMYFUNCTION("""COMPUTED_VALUE"""),3251.55)</f>
        <v>3251.55</v>
      </c>
      <c r="E54" s="6">
        <f>IFERROR(__xludf.DUMMYFUNCTION("""COMPUTED_VALUE"""),3306.95)</f>
        <v>3306.95</v>
      </c>
      <c r="F54" s="6">
        <f>IFERROR(__xludf.DUMMYFUNCTION("""COMPUTED_VALUE"""),4484357.0)</f>
        <v>4484357</v>
      </c>
    </row>
    <row r="55">
      <c r="A55" s="7">
        <f>IFERROR(__xludf.DUMMYFUNCTION("""COMPUTED_VALUE"""),45562.64583333333)</f>
        <v>45562.64583</v>
      </c>
      <c r="B55" s="6">
        <f>IFERROR(__xludf.DUMMYFUNCTION("""COMPUTED_VALUE"""),3316.95)</f>
        <v>3316.95</v>
      </c>
      <c r="C55" s="6">
        <f>IFERROR(__xludf.DUMMYFUNCTION("""COMPUTED_VALUE"""),3337.95)</f>
        <v>3337.95</v>
      </c>
      <c r="D55" s="6">
        <f>IFERROR(__xludf.DUMMYFUNCTION("""COMPUTED_VALUE"""),3206.75)</f>
        <v>3206.75</v>
      </c>
      <c r="E55" s="6">
        <f>IFERROR(__xludf.DUMMYFUNCTION("""COMPUTED_VALUE"""),3310.75)</f>
        <v>3310.75</v>
      </c>
      <c r="F55" s="6">
        <f>IFERROR(__xludf.DUMMYFUNCTION("""COMPUTED_VALUE"""),4588420.0)</f>
        <v>4588420</v>
      </c>
    </row>
    <row r="56">
      <c r="A56" s="7">
        <f>IFERROR(__xludf.DUMMYFUNCTION("""COMPUTED_VALUE"""),45569.64583333333)</f>
        <v>45569.64583</v>
      </c>
      <c r="B56" s="6">
        <f>IFERROR(__xludf.DUMMYFUNCTION("""COMPUTED_VALUE"""),3310.75)</f>
        <v>3310.75</v>
      </c>
      <c r="C56" s="6">
        <f>IFERROR(__xludf.DUMMYFUNCTION("""COMPUTED_VALUE"""),3358.0)</f>
        <v>3358</v>
      </c>
      <c r="D56" s="6">
        <f>IFERROR(__xludf.DUMMYFUNCTION("""COMPUTED_VALUE"""),3054.55)</f>
        <v>3054.55</v>
      </c>
      <c r="E56" s="6">
        <f>IFERROR(__xludf.DUMMYFUNCTION("""COMPUTED_VALUE"""),3072.5)</f>
        <v>3072.5</v>
      </c>
      <c r="F56" s="6">
        <f>IFERROR(__xludf.DUMMYFUNCTION("""COMPUTED_VALUE"""),5350003.0)</f>
        <v>5350003</v>
      </c>
    </row>
    <row r="57">
      <c r="A57" s="7">
        <f>IFERROR(__xludf.DUMMYFUNCTION("""COMPUTED_VALUE"""),45576.64583333333)</f>
        <v>45576.64583</v>
      </c>
      <c r="B57" s="6">
        <f>IFERROR(__xludf.DUMMYFUNCTION("""COMPUTED_VALUE"""),3075.0)</f>
        <v>3075</v>
      </c>
      <c r="C57" s="6">
        <f>IFERROR(__xludf.DUMMYFUNCTION("""COMPUTED_VALUE"""),3146.7)</f>
        <v>3146.7</v>
      </c>
      <c r="D57" s="6">
        <f>IFERROR(__xludf.DUMMYFUNCTION("""COMPUTED_VALUE"""),3026.0)</f>
        <v>3026</v>
      </c>
      <c r="E57" s="6">
        <f>IFERROR(__xludf.DUMMYFUNCTION("""COMPUTED_VALUE"""),3037.2)</f>
        <v>3037.2</v>
      </c>
      <c r="F57" s="6">
        <f>IFERROR(__xludf.DUMMYFUNCTION("""COMPUTED_VALUE"""),5091078.0)</f>
        <v>5091078</v>
      </c>
    </row>
    <row r="58">
      <c r="A58" s="7">
        <f>IFERROR(__xludf.DUMMYFUNCTION("""COMPUTED_VALUE"""),45583.64583333333)</f>
        <v>45583.64583</v>
      </c>
      <c r="B58" s="6">
        <f>IFERROR(__xludf.DUMMYFUNCTION("""COMPUTED_VALUE"""),3037.0)</f>
        <v>3037</v>
      </c>
      <c r="C58" s="6">
        <f>IFERROR(__xludf.DUMMYFUNCTION("""COMPUTED_VALUE"""),3103.55)</f>
        <v>3103.55</v>
      </c>
      <c r="D58" s="6">
        <f>IFERROR(__xludf.DUMMYFUNCTION("""COMPUTED_VALUE"""),2980.6)</f>
        <v>2980.6</v>
      </c>
      <c r="E58" s="6">
        <f>IFERROR(__xludf.DUMMYFUNCTION("""COMPUTED_VALUE"""),2992.15)</f>
        <v>2992.15</v>
      </c>
      <c r="F58" s="6">
        <f>IFERROR(__xludf.DUMMYFUNCTION("""COMPUTED_VALUE"""),4296133.0)</f>
        <v>4296133</v>
      </c>
    </row>
    <row r="59">
      <c r="A59" s="7">
        <f>IFERROR(__xludf.DUMMYFUNCTION("""COMPUTED_VALUE"""),45590.64583333333)</f>
        <v>45590.64583</v>
      </c>
      <c r="B59" s="6">
        <f>IFERROR(__xludf.DUMMYFUNCTION("""COMPUTED_VALUE"""),3007.05)</f>
        <v>3007.05</v>
      </c>
      <c r="C59" s="6">
        <f>IFERROR(__xludf.DUMMYFUNCTION("""COMPUTED_VALUE"""),3057.95)</f>
        <v>3057.95</v>
      </c>
      <c r="D59" s="6">
        <f>IFERROR(__xludf.DUMMYFUNCTION("""COMPUTED_VALUE"""),2951.0)</f>
        <v>2951</v>
      </c>
      <c r="E59" s="6">
        <f>IFERROR(__xludf.DUMMYFUNCTION("""COMPUTED_VALUE"""),2958.0)</f>
        <v>2958</v>
      </c>
      <c r="F59" s="6">
        <f>IFERROR(__xludf.DUMMYFUNCTION("""COMPUTED_VALUE"""),3592525.0)</f>
        <v>3592525</v>
      </c>
    </row>
    <row r="60">
      <c r="A60" s="7">
        <f>IFERROR(__xludf.DUMMYFUNCTION("""COMPUTED_VALUE"""),45604.64583333333)</f>
        <v>45604.64583</v>
      </c>
      <c r="B60" s="6">
        <f>IFERROR(__xludf.DUMMYFUNCTION("""COMPUTED_VALUE"""),2962.15)</f>
        <v>2962.15</v>
      </c>
      <c r="C60" s="6">
        <f>IFERROR(__xludf.DUMMYFUNCTION("""COMPUTED_VALUE"""),2962.15)</f>
        <v>2962.15</v>
      </c>
      <c r="D60" s="6">
        <f>IFERROR(__xludf.DUMMYFUNCTION("""COMPUTED_VALUE"""),2762.4)</f>
        <v>2762.4</v>
      </c>
      <c r="E60" s="6">
        <f>IFERROR(__xludf.DUMMYFUNCTION("""COMPUTED_VALUE"""),2769.45)</f>
        <v>2769.45</v>
      </c>
      <c r="F60" s="6">
        <f>IFERROR(__xludf.DUMMYFUNCTION("""COMPUTED_VALUE"""),7071612.0)</f>
        <v>7071612</v>
      </c>
    </row>
    <row r="61">
      <c r="A61" s="7">
        <f>IFERROR(__xludf.DUMMYFUNCTION("""COMPUTED_VALUE"""),45610.64583333333)</f>
        <v>45610.64583</v>
      </c>
      <c r="B61" s="6">
        <f>IFERROR(__xludf.DUMMYFUNCTION("""COMPUTED_VALUE"""),2565.05)</f>
        <v>2565.05</v>
      </c>
      <c r="C61" s="6">
        <f>IFERROR(__xludf.DUMMYFUNCTION("""COMPUTED_VALUE"""),2598.75)</f>
        <v>2598.75</v>
      </c>
      <c r="D61" s="6">
        <f>IFERROR(__xludf.DUMMYFUNCTION("""COMPUTED_VALUE"""),2451.1)</f>
        <v>2451.1</v>
      </c>
      <c r="E61" s="6">
        <f>IFERROR(__xludf.DUMMYFUNCTION("""COMPUTED_VALUE"""),2483.15)</f>
        <v>2483.15</v>
      </c>
      <c r="F61" s="6">
        <f>IFERROR(__xludf.DUMMYFUNCTION("""COMPUTED_VALUE"""),1.5311829E7)</f>
        <v>15311829</v>
      </c>
    </row>
    <row r="62">
      <c r="A62" s="7">
        <f>IFERROR(__xludf.DUMMYFUNCTION("""COMPUTED_VALUE"""),45618.64583333333)</f>
        <v>45618.64583</v>
      </c>
      <c r="B62" s="6">
        <f>IFERROR(__xludf.DUMMYFUNCTION("""COMPUTED_VALUE"""),2520.0)</f>
        <v>2520</v>
      </c>
      <c r="C62" s="6">
        <f>IFERROR(__xludf.DUMMYFUNCTION("""COMPUTED_VALUE"""),2520.0)</f>
        <v>2520</v>
      </c>
      <c r="D62" s="6">
        <f>IFERROR(__xludf.DUMMYFUNCTION("""COMPUTED_VALUE"""),2422.95)</f>
        <v>2422.95</v>
      </c>
      <c r="E62" s="6">
        <f>IFERROR(__xludf.DUMMYFUNCTION("""COMPUTED_VALUE"""),2472.2)</f>
        <v>2472.2</v>
      </c>
      <c r="F62" s="6">
        <f>IFERROR(__xludf.DUMMYFUNCTION("""COMPUTED_VALUE"""),7070513.0)</f>
        <v>7070513</v>
      </c>
    </row>
    <row r="63">
      <c r="A63" s="7">
        <f>IFERROR(__xludf.DUMMYFUNCTION("""COMPUTED_VALUE"""),45625.64583333333)</f>
        <v>45625.64583</v>
      </c>
      <c r="B63" s="6">
        <f>IFERROR(__xludf.DUMMYFUNCTION("""COMPUTED_VALUE"""),2505.0)</f>
        <v>2505</v>
      </c>
      <c r="C63" s="6">
        <f>IFERROR(__xludf.DUMMYFUNCTION("""COMPUTED_VALUE"""),2518.0)</f>
        <v>2518</v>
      </c>
      <c r="D63" s="6">
        <f>IFERROR(__xludf.DUMMYFUNCTION("""COMPUTED_VALUE"""),2450.05)</f>
        <v>2450.05</v>
      </c>
      <c r="E63" s="6">
        <f>IFERROR(__xludf.DUMMYFUNCTION("""COMPUTED_VALUE"""),2479.6)</f>
        <v>2479.6</v>
      </c>
      <c r="F63" s="6">
        <f>IFERROR(__xludf.DUMMYFUNCTION("""COMPUTED_VALUE"""),6411283.0)</f>
        <v>6411283</v>
      </c>
    </row>
    <row r="64">
      <c r="A64" s="7">
        <f>IFERROR(__xludf.DUMMYFUNCTION("""COMPUTED_VALUE"""),45632.64583333333)</f>
        <v>45632.64583</v>
      </c>
      <c r="B64" s="6">
        <f>IFERROR(__xludf.DUMMYFUNCTION("""COMPUTED_VALUE"""),2479.6)</f>
        <v>2479.6</v>
      </c>
      <c r="C64" s="6">
        <f>IFERROR(__xludf.DUMMYFUNCTION("""COMPUTED_VALUE"""),2494.0)</f>
        <v>2494</v>
      </c>
      <c r="D64" s="6">
        <f>IFERROR(__xludf.DUMMYFUNCTION("""COMPUTED_VALUE"""),2423.9)</f>
        <v>2423.9</v>
      </c>
      <c r="E64" s="6">
        <f>IFERROR(__xludf.DUMMYFUNCTION("""COMPUTED_VALUE"""),2429.7)</f>
        <v>2429.7</v>
      </c>
      <c r="F64" s="6">
        <f>IFERROR(__xludf.DUMMYFUNCTION("""COMPUTED_VALUE"""),8191372.0)</f>
        <v>8191372</v>
      </c>
    </row>
    <row r="65">
      <c r="A65" s="7">
        <f>IFERROR(__xludf.DUMMYFUNCTION("""COMPUTED_VALUE"""),45639.64583333333)</f>
        <v>45639.64583</v>
      </c>
      <c r="B65" s="6">
        <f>IFERROR(__xludf.DUMMYFUNCTION("""COMPUTED_VALUE"""),2438.15)</f>
        <v>2438.15</v>
      </c>
      <c r="C65" s="6">
        <f>IFERROR(__xludf.DUMMYFUNCTION("""COMPUTED_VALUE"""),2439.0)</f>
        <v>2439</v>
      </c>
      <c r="D65" s="6">
        <f>IFERROR(__xludf.DUMMYFUNCTION("""COMPUTED_VALUE"""),2354.0)</f>
        <v>2354</v>
      </c>
      <c r="E65" s="6">
        <f>IFERROR(__xludf.DUMMYFUNCTION("""COMPUTED_VALUE"""),2407.65)</f>
        <v>2407.65</v>
      </c>
      <c r="F65" s="6">
        <f>IFERROR(__xludf.DUMMYFUNCTION("""COMPUTED_VALUE"""),7536873.0)</f>
        <v>7536873</v>
      </c>
    </row>
    <row r="66">
      <c r="A66" s="7">
        <f>IFERROR(__xludf.DUMMYFUNCTION("""COMPUTED_VALUE"""),45646.64583333333)</f>
        <v>45646.64583</v>
      </c>
      <c r="B66" s="6">
        <f>IFERROR(__xludf.DUMMYFUNCTION("""COMPUTED_VALUE"""),2419.95)</f>
        <v>2419.95</v>
      </c>
      <c r="C66" s="6">
        <f>IFERROR(__xludf.DUMMYFUNCTION("""COMPUTED_VALUE"""),2419.95)</f>
        <v>2419.95</v>
      </c>
      <c r="D66" s="6">
        <f>IFERROR(__xludf.DUMMYFUNCTION("""COMPUTED_VALUE"""),2265.35)</f>
        <v>2265.35</v>
      </c>
      <c r="E66" s="6">
        <f>IFERROR(__xludf.DUMMYFUNCTION("""COMPUTED_VALUE"""),2282.35)</f>
        <v>2282.35</v>
      </c>
      <c r="F66" s="6">
        <f>IFERROR(__xludf.DUMMYFUNCTION("""COMPUTED_VALUE"""),7605872.0)</f>
        <v>7605872</v>
      </c>
    </row>
    <row r="67">
      <c r="A67" s="7">
        <f>IFERROR(__xludf.DUMMYFUNCTION("""COMPUTED_VALUE"""),45653.64583333333)</f>
        <v>45653.64583</v>
      </c>
      <c r="B67" s="6">
        <f>IFERROR(__xludf.DUMMYFUNCTION("""COMPUTED_VALUE"""),2300.0)</f>
        <v>2300</v>
      </c>
      <c r="C67" s="6">
        <f>IFERROR(__xludf.DUMMYFUNCTION("""COMPUTED_VALUE"""),2302.55)</f>
        <v>2302.55</v>
      </c>
      <c r="D67" s="6">
        <f>IFERROR(__xludf.DUMMYFUNCTION("""COMPUTED_VALUE"""),2256.5)</f>
        <v>2256.5</v>
      </c>
      <c r="E67" s="6">
        <f>IFERROR(__xludf.DUMMYFUNCTION("""COMPUTED_VALUE"""),2271.4)</f>
        <v>2271.4</v>
      </c>
      <c r="F67" s="6">
        <f>IFERROR(__xludf.DUMMYFUNCTION("""COMPUTED_VALUE"""),3546694.0)</f>
        <v>3546694</v>
      </c>
    </row>
    <row r="68">
      <c r="A68" s="7">
        <f>IFERROR(__xludf.DUMMYFUNCTION("""COMPUTED_VALUE"""),45660.64583333333)</f>
        <v>45660.64583</v>
      </c>
      <c r="B68" s="6">
        <f>IFERROR(__xludf.DUMMYFUNCTION("""COMPUTED_VALUE"""),2280.25)</f>
        <v>2280.25</v>
      </c>
      <c r="C68" s="6">
        <f>IFERROR(__xludf.DUMMYFUNCTION("""COMPUTED_VALUE"""),2348.95)</f>
        <v>2348.95</v>
      </c>
      <c r="D68" s="6">
        <f>IFERROR(__xludf.DUMMYFUNCTION("""COMPUTED_VALUE"""),2256.8)</f>
        <v>2256.8</v>
      </c>
      <c r="E68" s="6">
        <f>IFERROR(__xludf.DUMMYFUNCTION("""COMPUTED_VALUE"""),2335.95)</f>
        <v>2335.95</v>
      </c>
      <c r="F68" s="6">
        <f>IFERROR(__xludf.DUMMYFUNCTION("""COMPUTED_VALUE"""),5528073.0)</f>
        <v>5528073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IFERROR(__xludf.DUMMYFUNCTION("""COMPUTED_VALUE"""),2335.95)</f>
        <v>2335.95</v>
      </c>
      <c r="C69" s="6">
        <f>IFERROR(__xludf.DUMMYFUNCTION("""COMPUTED_VALUE"""),2361.4)</f>
        <v>2361.4</v>
      </c>
      <c r="D69" s="6">
        <f>IFERROR(__xludf.DUMMYFUNCTION("""COMPUTED_VALUE"""),2256.7)</f>
        <v>2256.7</v>
      </c>
      <c r="E69" s="6">
        <f>IFERROR(__xludf.DUMMYFUNCTION("""COMPUTED_VALUE"""),2320.75)</f>
        <v>2320.75</v>
      </c>
      <c r="F69" s="6">
        <f>IFERROR(__xludf.DUMMYFUNCTION("""COMPUTED_VALUE"""),5948193.0)</f>
        <v>5948193</v>
      </c>
    </row>
    <row r="70">
      <c r="A70" s="7">
        <f>IFERROR(__xludf.DUMMYFUNCTION("""COMPUTED_VALUE"""),45674.64583333333)</f>
        <v>45674.64583</v>
      </c>
      <c r="B70" s="6">
        <f>IFERROR(__xludf.DUMMYFUNCTION("""COMPUTED_VALUE"""),2291.75)</f>
        <v>2291.75</v>
      </c>
      <c r="C70" s="6">
        <f>IFERROR(__xludf.DUMMYFUNCTION("""COMPUTED_VALUE"""),2301.9)</f>
        <v>2301.9</v>
      </c>
      <c r="D70" s="6">
        <f>IFERROR(__xludf.DUMMYFUNCTION("""COMPUTED_VALUE"""),2207.8)</f>
        <v>2207.8</v>
      </c>
      <c r="E70" s="6">
        <f>IFERROR(__xludf.DUMMYFUNCTION("""COMPUTED_VALUE"""),2261.0)</f>
        <v>2261</v>
      </c>
      <c r="F70" s="6">
        <f>IFERROR(__xludf.DUMMYFUNCTION("""COMPUTED_VALUE"""),6623608.0)</f>
        <v>6623608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IFERROR(__xludf.DUMMYFUNCTION("""COMPUTED_VALUE"""),2272.25)</f>
        <v>2272.25</v>
      </c>
      <c r="C71" s="6">
        <f>IFERROR(__xludf.DUMMYFUNCTION("""COMPUTED_VALUE"""),2315.0)</f>
        <v>2315</v>
      </c>
      <c r="D71" s="6">
        <f>IFERROR(__xludf.DUMMYFUNCTION("""COMPUTED_VALUE"""),2244.9)</f>
        <v>2244.9</v>
      </c>
      <c r="E71" s="6">
        <f>IFERROR(__xludf.DUMMYFUNCTION("""COMPUTED_VALUE"""),2262.4)</f>
        <v>2262.4</v>
      </c>
      <c r="F71" s="6">
        <f>IFERROR(__xludf.DUMMYFUNCTION("""COMPUTED_VALUE"""),4487299.0)</f>
        <v>4487299</v>
      </c>
    </row>
    <row r="72">
      <c r="A72" s="7">
        <f>IFERROR(__xludf.DUMMYFUNCTION("""COMPUTED_VALUE"""),45695.64583333333)</f>
        <v>45695.64583</v>
      </c>
      <c r="B72" s="6">
        <f>IFERROR(__xludf.DUMMYFUNCTION("""COMPUTED_VALUE"""),2351.15)</f>
        <v>2351.15</v>
      </c>
      <c r="C72" s="6">
        <f>IFERROR(__xludf.DUMMYFUNCTION("""COMPUTED_VALUE"""),2418.6)</f>
        <v>2418.6</v>
      </c>
      <c r="D72" s="6">
        <f>IFERROR(__xludf.DUMMYFUNCTION("""COMPUTED_VALUE"""),2237.25)</f>
        <v>2237.25</v>
      </c>
      <c r="E72" s="6">
        <f>IFERROR(__xludf.DUMMYFUNCTION("""COMPUTED_VALUE"""),2271.0)</f>
        <v>2271</v>
      </c>
      <c r="F72" s="6">
        <f>IFERROR(__xludf.DUMMYFUNCTION("""COMPUTED_VALUE"""),1.2541527E7)</f>
        <v>12541527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IFERROR(__xludf.DUMMYFUNCTION("""COMPUTED_VALUE"""),2271.05)</f>
        <v>2271.05</v>
      </c>
      <c r="C73" s="6">
        <f>IFERROR(__xludf.DUMMYFUNCTION("""COMPUTED_VALUE"""),2282.9)</f>
        <v>2282.9</v>
      </c>
      <c r="D73" s="6">
        <f>IFERROR(__xludf.DUMMYFUNCTION("""COMPUTED_VALUE"""),2185.7)</f>
        <v>2185.7</v>
      </c>
      <c r="E73" s="6">
        <f>IFERROR(__xludf.DUMMYFUNCTION("""COMPUTED_VALUE"""),2231.3)</f>
        <v>2231.3</v>
      </c>
      <c r="F73" s="6">
        <f>IFERROR(__xludf.DUMMYFUNCTION("""COMPUTED_VALUE"""),6273210.0)</f>
        <v>6273210</v>
      </c>
    </row>
    <row r="74">
      <c r="A74" s="7">
        <f>IFERROR(__xludf.DUMMYFUNCTION("""COMPUTED_VALUE"""),45709.64583333333)</f>
        <v>45709.64583</v>
      </c>
      <c r="B74" s="6">
        <f>IFERROR(__xludf.DUMMYFUNCTION("""COMPUTED_VALUE"""),2231.3)</f>
        <v>2231.3</v>
      </c>
      <c r="C74" s="6">
        <f>IFERROR(__xludf.DUMMYFUNCTION("""COMPUTED_VALUE"""),2265.8)</f>
        <v>2265.8</v>
      </c>
      <c r="D74" s="6">
        <f>IFERROR(__xludf.DUMMYFUNCTION("""COMPUTED_VALUE"""),2218.75)</f>
        <v>2218.75</v>
      </c>
      <c r="E74" s="6">
        <f>IFERROR(__xludf.DUMMYFUNCTION("""COMPUTED_VALUE"""),2257.6)</f>
        <v>2257.6</v>
      </c>
      <c r="F74" s="6">
        <f>IFERROR(__xludf.DUMMYFUNCTION("""COMPUTED_VALUE"""),3698145.0)</f>
        <v>3698145</v>
      </c>
    </row>
    <row r="75">
      <c r="A75" s="7">
        <f>IFERROR(__xludf.DUMMYFUNCTION("""COMPUTED_VALUE"""),45716.64583333333)</f>
        <v>45716.64583</v>
      </c>
      <c r="B75" s="6">
        <f>IFERROR(__xludf.DUMMYFUNCTION("""COMPUTED_VALUE"""),2245.9)</f>
        <v>2245.9</v>
      </c>
      <c r="C75" s="6">
        <f>IFERROR(__xludf.DUMMYFUNCTION("""COMPUTED_VALUE"""),2259.0)</f>
        <v>2259</v>
      </c>
      <c r="D75" s="6">
        <f>IFERROR(__xludf.DUMMYFUNCTION("""COMPUTED_VALUE"""),2175.8)</f>
        <v>2175.8</v>
      </c>
      <c r="E75" s="6">
        <f>IFERROR(__xludf.DUMMYFUNCTION("""COMPUTED_VALUE"""),2179.75)</f>
        <v>2179.75</v>
      </c>
      <c r="F75" s="6">
        <f>IFERROR(__xludf.DUMMYFUNCTION("""COMPUTED_VALUE"""),4441173.0)</f>
        <v>4441173</v>
      </c>
    </row>
    <row r="76">
      <c r="A76" s="7">
        <f>IFERROR(__xludf.DUMMYFUNCTION("""COMPUTED_VALUE"""),45723.64583333333)</f>
        <v>45723.64583</v>
      </c>
      <c r="B76" s="6">
        <f>IFERROR(__xludf.DUMMYFUNCTION("""COMPUTED_VALUE"""),2179.75)</f>
        <v>2179.75</v>
      </c>
      <c r="C76" s="6">
        <f>IFERROR(__xludf.DUMMYFUNCTION("""COMPUTED_VALUE"""),2277.95)</f>
        <v>2277.95</v>
      </c>
      <c r="D76" s="6">
        <f>IFERROR(__xludf.DUMMYFUNCTION("""COMPUTED_VALUE"""),2124.75)</f>
        <v>2124.75</v>
      </c>
      <c r="E76" s="6">
        <f>IFERROR(__xludf.DUMMYFUNCTION("""COMPUTED_VALUE"""),2270.0)</f>
        <v>2270</v>
      </c>
      <c r="F76" s="6">
        <f>IFERROR(__xludf.DUMMYFUNCTION("""COMPUTED_VALUE"""),7581827.0)</f>
        <v>7581827</v>
      </c>
    </row>
    <row r="77">
      <c r="A77" s="7">
        <f>IFERROR(__xludf.DUMMYFUNCTION("""COMPUTED_VALUE"""),45729.64583333333)</f>
        <v>45729.64583</v>
      </c>
      <c r="B77" s="6">
        <f>IFERROR(__xludf.DUMMYFUNCTION("""COMPUTED_VALUE"""),2270.0)</f>
        <v>2270</v>
      </c>
      <c r="C77" s="6">
        <f>IFERROR(__xludf.DUMMYFUNCTION("""COMPUTED_VALUE"""),2295.95)</f>
        <v>2295.95</v>
      </c>
      <c r="D77" s="6">
        <f>IFERROR(__xludf.DUMMYFUNCTION("""COMPUTED_VALUE"""),2222.5)</f>
        <v>2222.5</v>
      </c>
      <c r="E77" s="6">
        <f>IFERROR(__xludf.DUMMYFUNCTION("""COMPUTED_VALUE"""),2231.3)</f>
        <v>2231.3</v>
      </c>
      <c r="F77" s="6">
        <f>IFERROR(__xludf.DUMMYFUNCTION("""COMPUTED_VALUE"""),3170355.0)</f>
        <v>3170355</v>
      </c>
    </row>
    <row r="78">
      <c r="A78" s="7">
        <f>IFERROR(__xludf.DUMMYFUNCTION("""COMPUTED_VALUE"""),45737.64583333333)</f>
        <v>45737.64583</v>
      </c>
      <c r="B78" s="6">
        <f>IFERROR(__xludf.DUMMYFUNCTION("""COMPUTED_VALUE"""),2205.0)</f>
        <v>2205</v>
      </c>
      <c r="C78" s="6">
        <f>IFERROR(__xludf.DUMMYFUNCTION("""COMPUTED_VALUE"""),2314.5)</f>
        <v>2314.5</v>
      </c>
      <c r="D78" s="6">
        <f>IFERROR(__xludf.DUMMYFUNCTION("""COMPUTED_VALUE"""),2196.05)</f>
        <v>2196.05</v>
      </c>
      <c r="E78" s="6">
        <f>IFERROR(__xludf.DUMMYFUNCTION("""COMPUTED_VALUE"""),2300.4)</f>
        <v>2300.4</v>
      </c>
      <c r="F78" s="6">
        <f>IFERROR(__xludf.DUMMYFUNCTION("""COMPUTED_VALUE"""),5108686.0)</f>
        <v>5108686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IFERROR(__xludf.DUMMYFUNCTION("""COMPUTED_VALUE"""),2302.4)</f>
        <v>2302.4</v>
      </c>
      <c r="C79" s="6">
        <f>IFERROR(__xludf.DUMMYFUNCTION("""COMPUTED_VALUE"""),2364.0)</f>
        <v>2364</v>
      </c>
      <c r="D79" s="6">
        <f>IFERROR(__xludf.DUMMYFUNCTION("""COMPUTED_VALUE"""),2290.5)</f>
        <v>2290.5</v>
      </c>
      <c r="E79" s="6">
        <f>IFERROR(__xludf.DUMMYFUNCTION("""COMPUTED_VALUE"""),2340.65)</f>
        <v>2340.65</v>
      </c>
      <c r="F79" s="6">
        <f>IFERROR(__xludf.DUMMYFUNCTION("""COMPUTED_VALUE"""),7642590.0)</f>
        <v>7642590</v>
      </c>
    </row>
    <row r="80">
      <c r="A80" s="7">
        <f>IFERROR(__xludf.DUMMYFUNCTION("""COMPUTED_VALUE"""),45751.64583333333)</f>
        <v>45751.64583</v>
      </c>
      <c r="B80" s="6">
        <f>IFERROR(__xludf.DUMMYFUNCTION("""COMPUTED_VALUE"""),2342.0)</f>
        <v>2342</v>
      </c>
      <c r="C80" s="6">
        <f>IFERROR(__xludf.DUMMYFUNCTION("""COMPUTED_VALUE"""),2363.95)</f>
        <v>2363.95</v>
      </c>
      <c r="D80" s="6">
        <f>IFERROR(__xludf.DUMMYFUNCTION("""COMPUTED_VALUE"""),2289.8)</f>
        <v>2289.8</v>
      </c>
      <c r="E80" s="6">
        <f>IFERROR(__xludf.DUMMYFUNCTION("""COMPUTED_VALUE"""),2356.05)</f>
        <v>2356.05</v>
      </c>
      <c r="F80" s="6">
        <f>IFERROR(__xludf.DUMMYFUNCTION("""COMPUTED_VALUE"""),3535312.0)</f>
        <v>3535312</v>
      </c>
    </row>
    <row r="81">
      <c r="A81" s="7">
        <f>IFERROR(__xludf.DUMMYFUNCTION("""COMPUTED_VALUE"""),45758.64583333333)</f>
        <v>45758.64583</v>
      </c>
      <c r="B81" s="6">
        <f>IFERROR(__xludf.DUMMYFUNCTION("""COMPUTED_VALUE"""),2190.0)</f>
        <v>2190</v>
      </c>
      <c r="C81" s="6">
        <f>IFERROR(__xludf.DUMMYFUNCTION("""COMPUTED_VALUE"""),2448.0)</f>
        <v>2448</v>
      </c>
      <c r="D81" s="6">
        <f>IFERROR(__xludf.DUMMYFUNCTION("""COMPUTED_VALUE"""),2190.0)</f>
        <v>2190</v>
      </c>
      <c r="E81" s="6">
        <f>IFERROR(__xludf.DUMMYFUNCTION("""COMPUTED_VALUE"""),2393.6)</f>
        <v>2393.6</v>
      </c>
      <c r="F81" s="6">
        <f>IFERROR(__xludf.DUMMYFUNCTION("""COMPUTED_VALUE"""),5777793.0)</f>
        <v>5777793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IFERROR(__xludf.DUMMYFUNCTION("""COMPUTED_VALUE"""),2414.9)</f>
        <v>2414.9</v>
      </c>
      <c r="C82" s="6">
        <f>IFERROR(__xludf.DUMMYFUNCTION("""COMPUTED_VALUE"""),2476.4)</f>
        <v>2476.4</v>
      </c>
      <c r="D82" s="6">
        <f>IFERROR(__xludf.DUMMYFUNCTION("""COMPUTED_VALUE"""),2385.0)</f>
        <v>2385</v>
      </c>
      <c r="E82" s="6">
        <f>IFERROR(__xludf.DUMMYFUNCTION("""COMPUTED_VALUE"""),2467.9)</f>
        <v>2467.9</v>
      </c>
      <c r="F82" s="6">
        <f>IFERROR(__xludf.DUMMYFUNCTION("""COMPUTED_VALUE"""),3193821.0)</f>
        <v>3193821</v>
      </c>
    </row>
    <row r="83">
      <c r="A83" s="7">
        <f>IFERROR(__xludf.DUMMYFUNCTION("""COMPUTED_VALUE"""),45772.64583333333)</f>
        <v>45772.64583</v>
      </c>
      <c r="B83" s="6">
        <f>IFERROR(__xludf.DUMMYFUNCTION("""COMPUTED_VALUE"""),2465.9)</f>
        <v>2465.9</v>
      </c>
      <c r="C83" s="6">
        <f>IFERROR(__xludf.DUMMYFUNCTION("""COMPUTED_VALUE"""),2491.0)</f>
        <v>2491</v>
      </c>
      <c r="D83" s="6">
        <f>IFERROR(__xludf.DUMMYFUNCTION("""COMPUTED_VALUE"""),2413.5)</f>
        <v>2413.5</v>
      </c>
      <c r="E83" s="6">
        <f>IFERROR(__xludf.DUMMYFUNCTION("""COMPUTED_VALUE"""),2431.6)</f>
        <v>2431.6</v>
      </c>
      <c r="F83" s="6">
        <f>IFERROR(__xludf.DUMMYFUNCTION("""COMPUTED_VALUE"""),3735936.0)</f>
        <v>3735936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IFERROR(__xludf.DUMMYFUNCTION("""COMPUTED_VALUE"""),2419.9)</f>
        <v>2419.9</v>
      </c>
      <c r="C84" s="6">
        <f>IFERROR(__xludf.DUMMYFUNCTION("""COMPUTED_VALUE"""),2472.0)</f>
        <v>2472</v>
      </c>
      <c r="D84" s="6">
        <f>IFERROR(__xludf.DUMMYFUNCTION("""COMPUTED_VALUE"""),2398.0)</f>
        <v>2398</v>
      </c>
      <c r="E84" s="6">
        <f>IFERROR(__xludf.DUMMYFUNCTION("""COMPUTED_VALUE"""),2409.8)</f>
        <v>2409.8</v>
      </c>
      <c r="F84" s="6">
        <f>IFERROR(__xludf.DUMMYFUNCTION("""COMPUTED_VALUE"""),4014339.0)</f>
        <v>4014339</v>
      </c>
    </row>
    <row r="85">
      <c r="A85" s="7">
        <f>IFERROR(__xludf.DUMMYFUNCTION("""COMPUTED_VALUE"""),45786.64583333333)</f>
        <v>45786.64583</v>
      </c>
      <c r="B85" s="6">
        <f>IFERROR(__xludf.DUMMYFUNCTION("""COMPUTED_VALUE"""),2423.1)</f>
        <v>2423.1</v>
      </c>
      <c r="C85" s="6">
        <f>IFERROR(__xludf.DUMMYFUNCTION("""COMPUTED_VALUE"""),2475.0)</f>
        <v>2475</v>
      </c>
      <c r="D85" s="6">
        <f>IFERROR(__xludf.DUMMYFUNCTION("""COMPUTED_VALUE"""),2245.0)</f>
        <v>2245</v>
      </c>
      <c r="E85" s="6">
        <f>IFERROR(__xludf.DUMMYFUNCTION("""COMPUTED_VALUE"""),2299.6)</f>
        <v>2299.6</v>
      </c>
      <c r="F85" s="6">
        <f>IFERROR(__xludf.DUMMYFUNCTION("""COMPUTED_VALUE"""),7439443.0)</f>
        <v>7439443</v>
      </c>
    </row>
    <row r="86">
      <c r="A86" s="7">
        <f>IFERROR(__xludf.DUMMYFUNCTION("""COMPUTED_VALUE"""),45793.64583333333)</f>
        <v>45793.64583</v>
      </c>
      <c r="B86" s="6">
        <f>IFERROR(__xludf.DUMMYFUNCTION("""COMPUTED_VALUE"""),2330.0)</f>
        <v>2330</v>
      </c>
      <c r="C86" s="6">
        <f>IFERROR(__xludf.DUMMYFUNCTION("""COMPUTED_VALUE"""),2378.5)</f>
        <v>2378.5</v>
      </c>
      <c r="D86" s="6">
        <f>IFERROR(__xludf.DUMMYFUNCTION("""COMPUTED_VALUE"""),2268.0)</f>
        <v>2268</v>
      </c>
      <c r="E86" s="6">
        <f>IFERROR(__xludf.DUMMYFUNCTION("""COMPUTED_VALUE"""),2353.6)</f>
        <v>2353.6</v>
      </c>
      <c r="F86" s="6">
        <f>IFERROR(__xludf.DUMMYFUNCTION("""COMPUTED_VALUE"""),6170598.0)</f>
        <v>6170598</v>
      </c>
    </row>
    <row r="87">
      <c r="A87" s="7">
        <f>IFERROR(__xludf.DUMMYFUNCTION("""COMPUTED_VALUE"""),45800.64583333333)</f>
        <v>45800.64583</v>
      </c>
      <c r="B87" s="6">
        <f>IFERROR(__xludf.DUMMYFUNCTION("""COMPUTED_VALUE"""),2353.6)</f>
        <v>2353.6</v>
      </c>
      <c r="C87" s="6">
        <f>IFERROR(__xludf.DUMMYFUNCTION("""COMPUTED_VALUE"""),2378.9)</f>
        <v>2378.9</v>
      </c>
      <c r="D87" s="6">
        <f>IFERROR(__xludf.DUMMYFUNCTION("""COMPUTED_VALUE"""),2283.1)</f>
        <v>2283.1</v>
      </c>
      <c r="E87" s="6">
        <f>IFERROR(__xludf.DUMMYFUNCTION("""COMPUTED_VALUE"""),2315.5)</f>
        <v>2315.5</v>
      </c>
      <c r="F87" s="6">
        <f>IFERROR(__xludf.DUMMYFUNCTION("""COMPUTED_VALUE"""),3492676.0)</f>
        <v>3492676</v>
      </c>
    </row>
    <row r="88">
      <c r="A88" s="7">
        <f>IFERROR(__xludf.DUMMYFUNCTION("""COMPUTED_VALUE"""),45807.64583333333)</f>
        <v>45807.64583</v>
      </c>
      <c r="B88" s="6">
        <f>IFERROR(__xludf.DUMMYFUNCTION("""COMPUTED_VALUE"""),2316.0)</f>
        <v>2316</v>
      </c>
      <c r="C88" s="6">
        <f>IFERROR(__xludf.DUMMYFUNCTION("""COMPUTED_VALUE"""),2351.6)</f>
        <v>2351.6</v>
      </c>
      <c r="D88" s="6">
        <f>IFERROR(__xludf.DUMMYFUNCTION("""COMPUTED_VALUE"""),2255.0)</f>
        <v>2255</v>
      </c>
      <c r="E88" s="6">
        <f>IFERROR(__xludf.DUMMYFUNCTION("""COMPUTED_VALUE"""),2259.1)</f>
        <v>2259.1</v>
      </c>
      <c r="F88" s="6">
        <f>IFERROR(__xludf.DUMMYFUNCTION("""COMPUTED_VALUE"""),9543415.0)</f>
        <v>9543415</v>
      </c>
    </row>
    <row r="89">
      <c r="A89" s="7">
        <f>IFERROR(__xludf.DUMMYFUNCTION("""COMPUTED_VALUE"""),45814.64583333333)</f>
        <v>45814.64583</v>
      </c>
      <c r="B89" s="6">
        <f>IFERROR(__xludf.DUMMYFUNCTION("""COMPUTED_VALUE"""),2259.1)</f>
        <v>2259.1</v>
      </c>
      <c r="C89" s="6">
        <f>IFERROR(__xludf.DUMMYFUNCTION("""COMPUTED_VALUE"""),2287.3)</f>
        <v>2287.3</v>
      </c>
      <c r="D89" s="6">
        <f>IFERROR(__xludf.DUMMYFUNCTION("""COMPUTED_VALUE"""),2233.0)</f>
        <v>2233</v>
      </c>
      <c r="E89" s="6">
        <f>IFERROR(__xludf.DUMMYFUNCTION("""COMPUTED_VALUE"""),2245.2)</f>
        <v>2245.2</v>
      </c>
      <c r="F89" s="6">
        <f>IFERROR(__xludf.DUMMYFUNCTION("""COMPUTED_VALUE"""),4082162.0)</f>
        <v>4082162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IFERROR(__xludf.DUMMYFUNCTION("""COMPUTED_VALUE"""),2240.0)</f>
        <v>2240</v>
      </c>
      <c r="C90" s="6">
        <f>IFERROR(__xludf.DUMMYFUNCTION("""COMPUTED_VALUE"""),2263.0)</f>
        <v>2263</v>
      </c>
      <c r="D90" s="6">
        <f>IFERROR(__xludf.DUMMYFUNCTION("""COMPUTED_VALUE"""),2174.8)</f>
        <v>2174.8</v>
      </c>
      <c r="E90" s="6">
        <f>IFERROR(__xludf.DUMMYFUNCTION("""COMPUTED_VALUE"""),2214.2)</f>
        <v>2214.2</v>
      </c>
      <c r="F90" s="6">
        <f>IFERROR(__xludf.DUMMYFUNCTION("""COMPUTED_VALUE"""),9486147.0)</f>
        <v>9486147</v>
      </c>
    </row>
    <row r="91">
      <c r="A91" s="7">
        <f>IFERROR(__xludf.DUMMYFUNCTION("""COMPUTED_VALUE"""),45828.64583333333)</f>
        <v>45828.64583</v>
      </c>
      <c r="B91" s="6">
        <f>IFERROR(__xludf.DUMMYFUNCTION("""COMPUTED_VALUE"""),2214.2)</f>
        <v>2214.2</v>
      </c>
      <c r="C91" s="6">
        <f>IFERROR(__xludf.DUMMYFUNCTION("""COMPUTED_VALUE"""),2289.9)</f>
        <v>2289.9</v>
      </c>
      <c r="D91" s="6">
        <f>IFERROR(__xludf.DUMMYFUNCTION("""COMPUTED_VALUE"""),2209.3)</f>
        <v>2209.3</v>
      </c>
      <c r="E91" s="6">
        <f>IFERROR(__xludf.DUMMYFUNCTION("""COMPUTED_VALUE"""),2285.7)</f>
        <v>2285.7</v>
      </c>
      <c r="F91" s="6">
        <f>IFERROR(__xludf.DUMMYFUNCTION("""COMPUTED_VALUE"""),6443934.0)</f>
        <v>6443934</v>
      </c>
    </row>
    <row r="92">
      <c r="A92" s="7">
        <f>IFERROR(__xludf.DUMMYFUNCTION("""COMPUTED_VALUE"""),45835.64583333333)</f>
        <v>45835.64583</v>
      </c>
      <c r="B92" s="6">
        <f>IFERROR(__xludf.DUMMYFUNCTION("""COMPUTED_VALUE"""),2261.2)</f>
        <v>2261.2</v>
      </c>
      <c r="C92" s="6">
        <f>IFERROR(__xludf.DUMMYFUNCTION("""COMPUTED_VALUE"""),2364.5)</f>
        <v>2364.5</v>
      </c>
      <c r="D92" s="6">
        <f>IFERROR(__xludf.DUMMYFUNCTION("""COMPUTED_VALUE"""),2253.9)</f>
        <v>2253.9</v>
      </c>
      <c r="E92" s="6">
        <f>IFERROR(__xludf.DUMMYFUNCTION("""COMPUTED_VALUE"""),2358.7)</f>
        <v>2358.7</v>
      </c>
      <c r="F92" s="6">
        <f>IFERROR(__xludf.DUMMYFUNCTION("""COMPUTED_VALUE"""),4924534.0)</f>
        <v>4924534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IFERROR(__xludf.DUMMYFUNCTION("""COMPUTED_VALUE"""),2362.0)</f>
        <v>2362</v>
      </c>
      <c r="C93" s="6">
        <f>IFERROR(__xludf.DUMMYFUNCTION("""COMPUTED_VALUE"""),2464.4)</f>
        <v>2464.4</v>
      </c>
      <c r="D93" s="6">
        <f>IFERROR(__xludf.DUMMYFUNCTION("""COMPUTED_VALUE"""),2326.1)</f>
        <v>2326.1</v>
      </c>
      <c r="E93" s="6">
        <f>IFERROR(__xludf.DUMMYFUNCTION("""COMPUTED_VALUE"""),2424.2)</f>
        <v>2424.2</v>
      </c>
      <c r="F93" s="6">
        <f>IFERROR(__xludf.DUMMYFUNCTION("""COMPUTED_VALUE"""),6103443.0)</f>
        <v>6103443</v>
      </c>
    </row>
    <row r="94">
      <c r="A94" s="7">
        <f>IFERROR(__xludf.DUMMYFUNCTION("""COMPUTED_VALUE"""),45849.64583333333)</f>
        <v>45849.64583</v>
      </c>
      <c r="B94" s="6">
        <f>IFERROR(__xludf.DUMMYFUNCTION("""COMPUTED_VALUE"""),2423.3)</f>
        <v>2423.3</v>
      </c>
      <c r="C94" s="6">
        <f>IFERROR(__xludf.DUMMYFUNCTION("""COMPUTED_VALUE"""),2535.0)</f>
        <v>2535</v>
      </c>
      <c r="D94" s="6">
        <f>IFERROR(__xludf.DUMMYFUNCTION("""COMPUTED_VALUE"""),2421.0)</f>
        <v>2421</v>
      </c>
      <c r="E94" s="6">
        <f>IFERROR(__xludf.DUMMYFUNCTION("""COMPUTED_VALUE"""),2439.2)</f>
        <v>2439.2</v>
      </c>
      <c r="F94" s="6">
        <f>IFERROR(__xludf.DUMMYFUNCTION("""COMPUTED_VALUE"""),6317650.0)</f>
        <v>6317650</v>
      </c>
    </row>
    <row r="95">
      <c r="A95" s="7">
        <f>IFERROR(__xludf.DUMMYFUNCTION("""COMPUTED_VALUE"""),45856.64583333333)</f>
        <v>45856.64583</v>
      </c>
      <c r="B95" s="6">
        <f>IFERROR(__xludf.DUMMYFUNCTION("""COMPUTED_VALUE"""),2431.1)</f>
        <v>2431.1</v>
      </c>
      <c r="C95" s="6">
        <f>IFERROR(__xludf.DUMMYFUNCTION("""COMPUTED_VALUE"""),2448.6)</f>
        <v>2448.6</v>
      </c>
      <c r="D95" s="6">
        <f>IFERROR(__xludf.DUMMYFUNCTION("""COMPUTED_VALUE"""),2371.0)</f>
        <v>2371</v>
      </c>
      <c r="E95" s="6">
        <f>IFERROR(__xludf.DUMMYFUNCTION("""COMPUTED_VALUE"""),2382.4)</f>
        <v>2382.4</v>
      </c>
      <c r="F95" s="6">
        <f>IFERROR(__xludf.DUMMYFUNCTION("""COMPUTED_VALUE"""),3828481.0)</f>
        <v>3828481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IFERROR(__xludf.DUMMYFUNCTION("""COMPUTED_VALUE"""),2382.4)</f>
        <v>2382.4</v>
      </c>
      <c r="C96" s="6">
        <f>IFERROR(__xludf.DUMMYFUNCTION("""COMPUTED_VALUE"""),2408.0)</f>
        <v>2408</v>
      </c>
      <c r="D96" s="6">
        <f>IFERROR(__xludf.DUMMYFUNCTION("""COMPUTED_VALUE"""),2325.8)</f>
        <v>2325.8</v>
      </c>
      <c r="E96" s="6">
        <f>IFERROR(__xludf.DUMMYFUNCTION("""COMPUTED_VALUE"""),2336.2)</f>
        <v>2336.2</v>
      </c>
      <c r="F96" s="6">
        <f>IFERROR(__xludf.DUMMYFUNCTION("""COMPUTED_VALUE"""),2061846.0)</f>
        <v>2061846</v>
      </c>
    </row>
    <row r="97">
      <c r="A97" s="7">
        <f>IFERROR(__xludf.DUMMYFUNCTION("""COMPUTED_VALUE"""),45870.64583333333)</f>
        <v>45870.64583</v>
      </c>
      <c r="B97" s="6">
        <f>IFERROR(__xludf.DUMMYFUNCTION("""COMPUTED_VALUE"""),2336.2)</f>
        <v>2336.2</v>
      </c>
      <c r="C97" s="6">
        <f>IFERROR(__xludf.DUMMYFUNCTION("""COMPUTED_VALUE"""),2472.0)</f>
        <v>2472</v>
      </c>
      <c r="D97" s="6">
        <f>IFERROR(__xludf.DUMMYFUNCTION("""COMPUTED_VALUE"""),2320.0)</f>
        <v>2320</v>
      </c>
      <c r="E97" s="6">
        <f>IFERROR(__xludf.DUMMYFUNCTION("""COMPUTED_VALUE"""),2431.0)</f>
        <v>2431</v>
      </c>
      <c r="F97" s="6">
        <f>IFERROR(__xludf.DUMMYFUNCTION("""COMPUTED_VALUE"""),7579025.0)</f>
        <v>7579025</v>
      </c>
    </row>
    <row r="98">
      <c r="A98" s="7">
        <f>IFERROR(__xludf.DUMMYFUNCTION("""COMPUTED_VALUE"""),45877.64583333333)</f>
        <v>45877.64583</v>
      </c>
      <c r="B98" s="6">
        <f>IFERROR(__xludf.DUMMYFUNCTION("""COMPUTED_VALUE"""),2443.2)</f>
        <v>2443.2</v>
      </c>
      <c r="C98" s="6">
        <f>IFERROR(__xludf.DUMMYFUNCTION("""COMPUTED_VALUE"""),2511.7)</f>
        <v>2511.7</v>
      </c>
      <c r="D98" s="6">
        <f>IFERROR(__xludf.DUMMYFUNCTION("""COMPUTED_VALUE"""),2409.1)</f>
        <v>2409.1</v>
      </c>
      <c r="E98" s="6">
        <f>IFERROR(__xludf.DUMMYFUNCTION("""COMPUTED_VALUE"""),2475.6)</f>
        <v>2475.6</v>
      </c>
      <c r="F98" s="6">
        <f>IFERROR(__xludf.DUMMYFUNCTION("""COMPUTED_VALUE"""),6525133.0)</f>
        <v>6525133</v>
      </c>
    </row>
    <row r="99">
      <c r="A99" s="7">
        <f>IFERROR(__xludf.DUMMYFUNCTION("""COMPUTED_VALUE"""),45883.64583333333)</f>
        <v>45883.64583</v>
      </c>
      <c r="B99" s="6">
        <f>IFERROR(__xludf.DUMMYFUNCTION("""COMPUTED_VALUE"""),2463.9)</f>
        <v>2463.9</v>
      </c>
      <c r="C99" s="6">
        <f>IFERROR(__xludf.DUMMYFUNCTION("""COMPUTED_VALUE"""),2534.9)</f>
        <v>2534.9</v>
      </c>
      <c r="D99" s="6">
        <f>IFERROR(__xludf.DUMMYFUNCTION("""COMPUTED_VALUE"""),2452.0)</f>
        <v>2452</v>
      </c>
      <c r="E99" s="6">
        <f>IFERROR(__xludf.DUMMYFUNCTION("""COMPUTED_VALUE"""),2528.7)</f>
        <v>2528.7</v>
      </c>
      <c r="F99" s="6">
        <f>IFERROR(__xludf.DUMMYFUNCTION("""COMPUTED_VALUE"""),2769513.0)</f>
        <v>2769513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IFERROR(__xludf.DUMMYFUNCTION("""COMPUTED_VALUE"""),2550.0)</f>
        <v>2550</v>
      </c>
      <c r="C100" s="6">
        <f>IFERROR(__xludf.DUMMYFUNCTION("""COMPUTED_VALUE"""),2595.0)</f>
        <v>2595</v>
      </c>
      <c r="D100" s="6">
        <f>IFERROR(__xludf.DUMMYFUNCTION("""COMPUTED_VALUE"""),2501.1)</f>
        <v>2501.1</v>
      </c>
      <c r="E100" s="6">
        <f>IFERROR(__xludf.DUMMYFUNCTION("""COMPUTED_VALUE"""),2504.5)</f>
        <v>2504.5</v>
      </c>
      <c r="F100" s="6">
        <f>IFERROR(__xludf.DUMMYFUNCTION("""COMPUTED_VALUE"""),4067086.0)</f>
        <v>4067086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IFERROR(__xludf.DUMMYFUNCTION("""COMPUTED_VALUE"""),2516.0)</f>
        <v>2516</v>
      </c>
      <c r="C101" s="6">
        <f>IFERROR(__xludf.DUMMYFUNCTION("""COMPUTED_VALUE"""),2523.3)</f>
        <v>2523.3</v>
      </c>
      <c r="D101" s="6">
        <f>IFERROR(__xludf.DUMMYFUNCTION("""COMPUTED_VALUE"""),2468.0)</f>
        <v>2468</v>
      </c>
      <c r="E101" s="6">
        <f>IFERROR(__xludf.DUMMYFUNCTION("""COMPUTED_VALUE"""),2481.4)</f>
        <v>2481.4</v>
      </c>
      <c r="F101" s="6">
        <f>IFERROR(__xludf.DUMMYFUNCTION("""COMPUTED_VALUE"""),3.76235E7)</f>
        <v>37623500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IFERROR(__xludf.DUMMYFUNCTION("GOOGLEFINANCE(""NSE:ASTRAL"",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IFERROR(__xludf.DUMMYFUNCTION("""COMPUTED_VALUE"""),1984.25)</f>
        <v>1984.25</v>
      </c>
      <c r="C2" s="6">
        <f>IFERROR(__xludf.DUMMYFUNCTION("""COMPUTED_VALUE"""),2040.0)</f>
        <v>2040</v>
      </c>
      <c r="D2" s="6">
        <f>IFERROR(__xludf.DUMMYFUNCTION("""COMPUTED_VALUE"""),1905.1)</f>
        <v>1905.1</v>
      </c>
      <c r="E2" s="6">
        <f>IFERROR(__xludf.DUMMYFUNCTION("""COMPUTED_VALUE"""),1911.1)</f>
        <v>1911.1</v>
      </c>
      <c r="F2" s="6">
        <f>IFERROR(__xludf.DUMMYFUNCTION("""COMPUTED_VALUE"""),2.2775459E7)</f>
        <v>22775459</v>
      </c>
    </row>
    <row r="3">
      <c r="A3" s="7">
        <f>IFERROR(__xludf.DUMMYFUNCTION("""COMPUTED_VALUE"""),45177.64583333333)</f>
        <v>45177.64583</v>
      </c>
      <c r="B3" s="6">
        <f>IFERROR(__xludf.DUMMYFUNCTION("""COMPUTED_VALUE"""),1927.15)</f>
        <v>1927.15</v>
      </c>
      <c r="C3" s="6">
        <f>IFERROR(__xludf.DUMMYFUNCTION("""COMPUTED_VALUE"""),1929.55)</f>
        <v>1929.55</v>
      </c>
      <c r="D3" s="6">
        <f>IFERROR(__xludf.DUMMYFUNCTION("""COMPUTED_VALUE"""),1884.65)</f>
        <v>1884.65</v>
      </c>
      <c r="E3" s="6">
        <f>IFERROR(__xludf.DUMMYFUNCTION("""COMPUTED_VALUE"""),1909.3)</f>
        <v>1909.3</v>
      </c>
      <c r="F3" s="6">
        <f>IFERROR(__xludf.DUMMYFUNCTION("""COMPUTED_VALUE"""),2770437.0)</f>
        <v>2770437</v>
      </c>
    </row>
    <row r="4">
      <c r="A4" s="7">
        <f>IFERROR(__xludf.DUMMYFUNCTION("""COMPUTED_VALUE"""),45184.64583333333)</f>
        <v>45184.64583</v>
      </c>
      <c r="B4" s="6">
        <f>IFERROR(__xludf.DUMMYFUNCTION("""COMPUTED_VALUE"""),1910.65)</f>
        <v>1910.65</v>
      </c>
      <c r="C4" s="6">
        <f>IFERROR(__xludf.DUMMYFUNCTION("""COMPUTED_VALUE"""),1935.0)</f>
        <v>1935</v>
      </c>
      <c r="D4" s="6">
        <f>IFERROR(__xludf.DUMMYFUNCTION("""COMPUTED_VALUE"""),1867.35)</f>
        <v>1867.35</v>
      </c>
      <c r="E4" s="6">
        <f>IFERROR(__xludf.DUMMYFUNCTION("""COMPUTED_VALUE"""),1926.65)</f>
        <v>1926.65</v>
      </c>
      <c r="F4" s="6">
        <f>IFERROR(__xludf.DUMMYFUNCTION("""COMPUTED_VALUE"""),2404362.0)</f>
        <v>2404362</v>
      </c>
    </row>
    <row r="5">
      <c r="A5" s="7">
        <f>IFERROR(__xludf.DUMMYFUNCTION("""COMPUTED_VALUE"""),45191.64583333333)</f>
        <v>45191.64583</v>
      </c>
      <c r="B5" s="6">
        <f>IFERROR(__xludf.DUMMYFUNCTION("""COMPUTED_VALUE"""),1925.0)</f>
        <v>1925</v>
      </c>
      <c r="C5" s="6">
        <f>IFERROR(__xludf.DUMMYFUNCTION("""COMPUTED_VALUE"""),1925.0)</f>
        <v>1925</v>
      </c>
      <c r="D5" s="6">
        <f>IFERROR(__xludf.DUMMYFUNCTION("""COMPUTED_VALUE"""),1833.65)</f>
        <v>1833.65</v>
      </c>
      <c r="E5" s="6">
        <f>IFERROR(__xludf.DUMMYFUNCTION("""COMPUTED_VALUE"""),1841.05)</f>
        <v>1841.05</v>
      </c>
      <c r="F5" s="6">
        <f>IFERROR(__xludf.DUMMYFUNCTION("""COMPUTED_VALUE"""),1263084.0)</f>
        <v>1263084</v>
      </c>
    </row>
    <row r="6">
      <c r="A6" s="7">
        <f>IFERROR(__xludf.DUMMYFUNCTION("""COMPUTED_VALUE"""),45198.64583333333)</f>
        <v>45198.64583</v>
      </c>
      <c r="B6" s="6">
        <f>IFERROR(__xludf.DUMMYFUNCTION("""COMPUTED_VALUE"""),1844.45)</f>
        <v>1844.45</v>
      </c>
      <c r="C6" s="6">
        <f>IFERROR(__xludf.DUMMYFUNCTION("""COMPUTED_VALUE"""),1939.65)</f>
        <v>1939.65</v>
      </c>
      <c r="D6" s="6">
        <f>IFERROR(__xludf.DUMMYFUNCTION("""COMPUTED_VALUE"""),1810.25)</f>
        <v>1810.25</v>
      </c>
      <c r="E6" s="6">
        <f>IFERROR(__xludf.DUMMYFUNCTION("""COMPUTED_VALUE"""),1912.45)</f>
        <v>1912.45</v>
      </c>
      <c r="F6" s="6">
        <f>IFERROR(__xludf.DUMMYFUNCTION("""COMPUTED_VALUE"""),2521486.0)</f>
        <v>2521486</v>
      </c>
    </row>
    <row r="7">
      <c r="A7" s="7">
        <f>IFERROR(__xludf.DUMMYFUNCTION("""COMPUTED_VALUE"""),45205.64583333333)</f>
        <v>45205.64583</v>
      </c>
      <c r="B7" s="6">
        <f>IFERROR(__xludf.DUMMYFUNCTION("""COMPUTED_VALUE"""),1919.0)</f>
        <v>1919</v>
      </c>
      <c r="C7" s="6">
        <f>IFERROR(__xludf.DUMMYFUNCTION("""COMPUTED_VALUE"""),1919.0)</f>
        <v>1919</v>
      </c>
      <c r="D7" s="6">
        <f>IFERROR(__xludf.DUMMYFUNCTION("""COMPUTED_VALUE"""),1851.7)</f>
        <v>1851.7</v>
      </c>
      <c r="E7" s="6">
        <f>IFERROR(__xludf.DUMMYFUNCTION("""COMPUTED_VALUE"""),1889.4)</f>
        <v>1889.4</v>
      </c>
      <c r="F7" s="6">
        <f>IFERROR(__xludf.DUMMYFUNCTION("""COMPUTED_VALUE"""),1085417.0)</f>
        <v>1085417</v>
      </c>
    </row>
    <row r="8">
      <c r="A8" s="7">
        <f>IFERROR(__xludf.DUMMYFUNCTION("""COMPUTED_VALUE"""),45212.64583333333)</f>
        <v>45212.64583</v>
      </c>
      <c r="B8" s="6">
        <f>IFERROR(__xludf.DUMMYFUNCTION("""COMPUTED_VALUE"""),1879.95)</f>
        <v>1879.95</v>
      </c>
      <c r="C8" s="6">
        <f>IFERROR(__xludf.DUMMYFUNCTION("""COMPUTED_VALUE"""),1953.4)</f>
        <v>1953.4</v>
      </c>
      <c r="D8" s="6">
        <f>IFERROR(__xludf.DUMMYFUNCTION("""COMPUTED_VALUE"""),1852.3)</f>
        <v>1852.3</v>
      </c>
      <c r="E8" s="6">
        <f>IFERROR(__xludf.DUMMYFUNCTION("""COMPUTED_VALUE"""),1937.15)</f>
        <v>1937.15</v>
      </c>
      <c r="F8" s="6">
        <f>IFERROR(__xludf.DUMMYFUNCTION("""COMPUTED_VALUE"""),1863292.0)</f>
        <v>1863292</v>
      </c>
    </row>
    <row r="9">
      <c r="A9" s="7">
        <f>IFERROR(__xludf.DUMMYFUNCTION("""COMPUTED_VALUE"""),45219.64583333333)</f>
        <v>45219.64583</v>
      </c>
      <c r="B9" s="6">
        <f>IFERROR(__xludf.DUMMYFUNCTION("""COMPUTED_VALUE"""),1949.8)</f>
        <v>1949.8</v>
      </c>
      <c r="C9" s="6">
        <f>IFERROR(__xludf.DUMMYFUNCTION("""COMPUTED_VALUE"""),1979.65)</f>
        <v>1979.65</v>
      </c>
      <c r="D9" s="6">
        <f>IFERROR(__xludf.DUMMYFUNCTION("""COMPUTED_VALUE"""),1825.5)</f>
        <v>1825.5</v>
      </c>
      <c r="E9" s="6">
        <f>IFERROR(__xludf.DUMMYFUNCTION("""COMPUTED_VALUE"""),1842.55)</f>
        <v>1842.55</v>
      </c>
      <c r="F9" s="6">
        <f>IFERROR(__xludf.DUMMYFUNCTION("""COMPUTED_VALUE"""),6218728.0)</f>
        <v>6218728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IFERROR(__xludf.DUMMYFUNCTION("""COMPUTED_VALUE"""),1839.0)</f>
        <v>1839</v>
      </c>
      <c r="C10" s="6">
        <f>IFERROR(__xludf.DUMMYFUNCTION("""COMPUTED_VALUE"""),1858.5)</f>
        <v>1858.5</v>
      </c>
      <c r="D10" s="6">
        <f>IFERROR(__xludf.DUMMYFUNCTION("""COMPUTED_VALUE"""),1773.0)</f>
        <v>1773</v>
      </c>
      <c r="E10" s="6">
        <f>IFERROR(__xludf.DUMMYFUNCTION("""COMPUTED_VALUE"""),1826.95)</f>
        <v>1826.95</v>
      </c>
      <c r="F10" s="6">
        <f>IFERROR(__xludf.DUMMYFUNCTION("""COMPUTED_VALUE"""),2095013.0)</f>
        <v>2095013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IFERROR(__xludf.DUMMYFUNCTION("""COMPUTED_VALUE"""),1830.0)</f>
        <v>1830</v>
      </c>
      <c r="C11" s="6">
        <f>IFERROR(__xludf.DUMMYFUNCTION("""COMPUTED_VALUE"""),1866.95)</f>
        <v>1866.95</v>
      </c>
      <c r="D11" s="6">
        <f>IFERROR(__xludf.DUMMYFUNCTION("""COMPUTED_VALUE"""),1799.7)</f>
        <v>1799.7</v>
      </c>
      <c r="E11" s="6">
        <f>IFERROR(__xludf.DUMMYFUNCTION("""COMPUTED_VALUE"""),1851.35)</f>
        <v>1851.35</v>
      </c>
      <c r="F11" s="6">
        <f>IFERROR(__xludf.DUMMYFUNCTION("""COMPUTED_VALUE"""),2837469.0)</f>
        <v>2837469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IFERROR(__xludf.DUMMYFUNCTION("""COMPUTED_VALUE"""),1857.0)</f>
        <v>1857</v>
      </c>
      <c r="C12" s="6">
        <f>IFERROR(__xludf.DUMMYFUNCTION("""COMPUTED_VALUE"""),1905.0)</f>
        <v>1905</v>
      </c>
      <c r="D12" s="6">
        <f>IFERROR(__xludf.DUMMYFUNCTION("""COMPUTED_VALUE"""),1844.4)</f>
        <v>1844.4</v>
      </c>
      <c r="E12" s="6">
        <f>IFERROR(__xludf.DUMMYFUNCTION("""COMPUTED_VALUE"""),1891.35)</f>
        <v>1891.35</v>
      </c>
      <c r="F12" s="6">
        <f>IFERROR(__xludf.DUMMYFUNCTION("""COMPUTED_VALUE"""),1239412.0)</f>
        <v>1239412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IFERROR(__xludf.DUMMYFUNCTION("""COMPUTED_VALUE"""),1900.8)</f>
        <v>1900.8</v>
      </c>
      <c r="C13" s="6">
        <f>IFERROR(__xludf.DUMMYFUNCTION("""COMPUTED_VALUE"""),1927.5)</f>
        <v>1927.5</v>
      </c>
      <c r="D13" s="6">
        <f>IFERROR(__xludf.DUMMYFUNCTION("""COMPUTED_VALUE"""),1862.55)</f>
        <v>1862.55</v>
      </c>
      <c r="E13" s="6">
        <f>IFERROR(__xludf.DUMMYFUNCTION("""COMPUTED_VALUE"""),1911.4)</f>
        <v>1911.4</v>
      </c>
      <c r="F13" s="6">
        <f>IFERROR(__xludf.DUMMYFUNCTION("""COMPUTED_VALUE"""),1067852.0)</f>
        <v>1067852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IFERROR(__xludf.DUMMYFUNCTION("""COMPUTED_VALUE"""),1918.0)</f>
        <v>1918</v>
      </c>
      <c r="C14" s="6">
        <f>IFERROR(__xludf.DUMMYFUNCTION("""COMPUTED_VALUE"""),1973.9)</f>
        <v>1973.9</v>
      </c>
      <c r="D14" s="6">
        <f>IFERROR(__xludf.DUMMYFUNCTION("""COMPUTED_VALUE"""),1886.15)</f>
        <v>1886.15</v>
      </c>
      <c r="E14" s="6">
        <f>IFERROR(__xludf.DUMMYFUNCTION("""COMPUTED_VALUE"""),1933.7)</f>
        <v>1933.7</v>
      </c>
      <c r="F14" s="6">
        <f>IFERROR(__xludf.DUMMYFUNCTION("""COMPUTED_VALUE"""),1604508.0)</f>
        <v>1604508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IFERROR(__xludf.DUMMYFUNCTION("""COMPUTED_VALUE"""),1934.95)</f>
        <v>1934.95</v>
      </c>
      <c r="C15" s="6">
        <f>IFERROR(__xludf.DUMMYFUNCTION("""COMPUTED_VALUE"""),1985.0)</f>
        <v>1985</v>
      </c>
      <c r="D15" s="6">
        <f>IFERROR(__xludf.DUMMYFUNCTION("""COMPUTED_VALUE"""),1914.1)</f>
        <v>1914.1</v>
      </c>
      <c r="E15" s="6">
        <f>IFERROR(__xludf.DUMMYFUNCTION("""COMPUTED_VALUE"""),1978.45)</f>
        <v>1978.45</v>
      </c>
      <c r="F15" s="6">
        <f>IFERROR(__xludf.DUMMYFUNCTION("""COMPUTED_VALUE"""),2832958.0)</f>
        <v>2832958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IFERROR(__xludf.DUMMYFUNCTION("""COMPUTED_VALUE"""),1999.0)</f>
        <v>1999</v>
      </c>
      <c r="C16" s="6">
        <f>IFERROR(__xludf.DUMMYFUNCTION("""COMPUTED_VALUE"""),2015.45)</f>
        <v>2015.45</v>
      </c>
      <c r="D16" s="6">
        <f>IFERROR(__xludf.DUMMYFUNCTION("""COMPUTED_VALUE"""),1918.25)</f>
        <v>1918.25</v>
      </c>
      <c r="E16" s="6">
        <f>IFERROR(__xludf.DUMMYFUNCTION("""COMPUTED_VALUE"""),1928.75)</f>
        <v>1928.75</v>
      </c>
      <c r="F16" s="6">
        <f>IFERROR(__xludf.DUMMYFUNCTION("""COMPUTED_VALUE"""),2542983.0)</f>
        <v>2542983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IFERROR(__xludf.DUMMYFUNCTION("""COMPUTED_VALUE"""),1941.05)</f>
        <v>1941.05</v>
      </c>
      <c r="C17" s="6">
        <f>IFERROR(__xludf.DUMMYFUNCTION("""COMPUTED_VALUE"""),1976.65)</f>
        <v>1976.65</v>
      </c>
      <c r="D17" s="6">
        <f>IFERROR(__xludf.DUMMYFUNCTION("""COMPUTED_VALUE"""),1898.6)</f>
        <v>1898.6</v>
      </c>
      <c r="E17" s="6">
        <f>IFERROR(__xludf.DUMMYFUNCTION("""COMPUTED_VALUE"""),1960.5)</f>
        <v>1960.5</v>
      </c>
      <c r="F17" s="6">
        <f>IFERROR(__xludf.DUMMYFUNCTION("""COMPUTED_VALUE"""),1634619.0)</f>
        <v>1634619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IFERROR(__xludf.DUMMYFUNCTION("""COMPUTED_VALUE"""),1968.0)</f>
        <v>1968</v>
      </c>
      <c r="C18" s="6">
        <f>IFERROR(__xludf.DUMMYFUNCTION("""COMPUTED_VALUE"""),1974.0)</f>
        <v>1974</v>
      </c>
      <c r="D18" s="6">
        <f>IFERROR(__xludf.DUMMYFUNCTION("""COMPUTED_VALUE"""),1823.55)</f>
        <v>1823.55</v>
      </c>
      <c r="E18" s="6">
        <f>IFERROR(__xludf.DUMMYFUNCTION("""COMPUTED_VALUE"""),1933.9)</f>
        <v>1933.9</v>
      </c>
      <c r="F18" s="6">
        <f>IFERROR(__xludf.DUMMYFUNCTION("""COMPUTED_VALUE"""),2804631.0)</f>
        <v>2804631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IFERROR(__xludf.DUMMYFUNCTION("""COMPUTED_VALUE"""),1945.0)</f>
        <v>1945</v>
      </c>
      <c r="C19" s="6">
        <f>IFERROR(__xludf.DUMMYFUNCTION("""COMPUTED_VALUE"""),1946.0)</f>
        <v>1946</v>
      </c>
      <c r="D19" s="6">
        <f>IFERROR(__xludf.DUMMYFUNCTION("""COMPUTED_VALUE"""),1878.15)</f>
        <v>1878.15</v>
      </c>
      <c r="E19" s="6">
        <f>IFERROR(__xludf.DUMMYFUNCTION("""COMPUTED_VALUE"""),1907.55)</f>
        <v>1907.55</v>
      </c>
      <c r="F19" s="6">
        <f>IFERROR(__xludf.DUMMYFUNCTION("""COMPUTED_VALUE"""),1929689.0)</f>
        <v>1929689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IFERROR(__xludf.DUMMYFUNCTION("""COMPUTED_VALUE"""),1909.0)</f>
        <v>1909</v>
      </c>
      <c r="C20" s="6">
        <f>IFERROR(__xludf.DUMMYFUNCTION("""COMPUTED_VALUE"""),1913.95)</f>
        <v>1913.95</v>
      </c>
      <c r="D20" s="6">
        <f>IFERROR(__xludf.DUMMYFUNCTION("""COMPUTED_VALUE"""),1835.5)</f>
        <v>1835.5</v>
      </c>
      <c r="E20" s="6">
        <f>IFERROR(__xludf.DUMMYFUNCTION("""COMPUTED_VALUE"""),1841.15)</f>
        <v>1841.15</v>
      </c>
      <c r="F20" s="6">
        <f>IFERROR(__xludf.DUMMYFUNCTION("""COMPUTED_VALUE"""),1809221.0)</f>
        <v>1809221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IFERROR(__xludf.DUMMYFUNCTION("""COMPUTED_VALUE"""),1841.1)</f>
        <v>1841.1</v>
      </c>
      <c r="C21" s="6">
        <f>IFERROR(__xludf.DUMMYFUNCTION("""COMPUTED_VALUE"""),1844.65)</f>
        <v>1844.65</v>
      </c>
      <c r="D21" s="6">
        <f>IFERROR(__xludf.DUMMYFUNCTION("""COMPUTED_VALUE"""),1803.0)</f>
        <v>1803</v>
      </c>
      <c r="E21" s="6">
        <f>IFERROR(__xludf.DUMMYFUNCTION("""COMPUTED_VALUE"""),1811.85)</f>
        <v>1811.85</v>
      </c>
      <c r="F21" s="6">
        <f>IFERROR(__xludf.DUMMYFUNCTION("""COMPUTED_VALUE"""),2640788.0)</f>
        <v>2640788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IFERROR(__xludf.DUMMYFUNCTION("""COMPUTED_VALUE"""),1834.95)</f>
        <v>1834.95</v>
      </c>
      <c r="C22" s="6">
        <f>IFERROR(__xludf.DUMMYFUNCTION("""COMPUTED_VALUE"""),1838.8)</f>
        <v>1838.8</v>
      </c>
      <c r="D22" s="6">
        <f>IFERROR(__xludf.DUMMYFUNCTION("""COMPUTED_VALUE"""),1765.0)</f>
        <v>1765</v>
      </c>
      <c r="E22" s="6">
        <f>IFERROR(__xludf.DUMMYFUNCTION("""COMPUTED_VALUE"""),1800.05)</f>
        <v>1800.05</v>
      </c>
      <c r="F22" s="6">
        <f>IFERROR(__xludf.DUMMYFUNCTION("""COMPUTED_VALUE"""),2308529.0)</f>
        <v>2308529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IFERROR(__xludf.DUMMYFUNCTION("""COMPUTED_VALUE"""),1810.0)</f>
        <v>1810</v>
      </c>
      <c r="C23" s="6">
        <f>IFERROR(__xludf.DUMMYFUNCTION("""COMPUTED_VALUE"""),1943.0)</f>
        <v>1943</v>
      </c>
      <c r="D23" s="6">
        <f>IFERROR(__xludf.DUMMYFUNCTION("""COMPUTED_VALUE"""),1807.1)</f>
        <v>1807.1</v>
      </c>
      <c r="E23" s="6">
        <f>IFERROR(__xludf.DUMMYFUNCTION("""COMPUTED_VALUE"""),1902.45)</f>
        <v>1902.45</v>
      </c>
      <c r="F23" s="6">
        <f>IFERROR(__xludf.DUMMYFUNCTION("""COMPUTED_VALUE"""),5420963.0)</f>
        <v>5420963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IFERROR(__xludf.DUMMYFUNCTION("""COMPUTED_VALUE"""),1910.0)</f>
        <v>1910</v>
      </c>
      <c r="C24" s="6">
        <f>IFERROR(__xludf.DUMMYFUNCTION("""COMPUTED_VALUE"""),1919.85)</f>
        <v>1919.85</v>
      </c>
      <c r="D24" s="6">
        <f>IFERROR(__xludf.DUMMYFUNCTION("""COMPUTED_VALUE"""),1835.55)</f>
        <v>1835.55</v>
      </c>
      <c r="E24" s="6">
        <f>IFERROR(__xludf.DUMMYFUNCTION("""COMPUTED_VALUE"""),1852.45)</f>
        <v>1852.45</v>
      </c>
      <c r="F24" s="6">
        <f>IFERROR(__xludf.DUMMYFUNCTION("""COMPUTED_VALUE"""),2305299.0)</f>
        <v>2305299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IFERROR(__xludf.DUMMYFUNCTION("""COMPUTED_VALUE"""),1852.45)</f>
        <v>1852.45</v>
      </c>
      <c r="C25" s="6">
        <f>IFERROR(__xludf.DUMMYFUNCTION("""COMPUTED_VALUE"""),1983.8)</f>
        <v>1983.8</v>
      </c>
      <c r="D25" s="6">
        <f>IFERROR(__xludf.DUMMYFUNCTION("""COMPUTED_VALUE"""),1833.55)</f>
        <v>1833.55</v>
      </c>
      <c r="E25" s="6">
        <f>IFERROR(__xludf.DUMMYFUNCTION("""COMPUTED_VALUE"""),1968.8)</f>
        <v>1968.8</v>
      </c>
      <c r="F25" s="6">
        <f>IFERROR(__xludf.DUMMYFUNCTION("""COMPUTED_VALUE"""),3397933.0)</f>
        <v>3397933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IFERROR(__xludf.DUMMYFUNCTION("""COMPUTED_VALUE"""),1970.15)</f>
        <v>1970.15</v>
      </c>
      <c r="C26" s="6">
        <f>IFERROR(__xludf.DUMMYFUNCTION("""COMPUTED_VALUE"""),2095.0)</f>
        <v>2095</v>
      </c>
      <c r="D26" s="6">
        <f>IFERROR(__xludf.DUMMYFUNCTION("""COMPUTED_VALUE"""),1922.75)</f>
        <v>1922.75</v>
      </c>
      <c r="E26" s="6">
        <f>IFERROR(__xludf.DUMMYFUNCTION("""COMPUTED_VALUE"""),2075.9)</f>
        <v>2075.9</v>
      </c>
      <c r="F26" s="6">
        <f>IFERROR(__xludf.DUMMYFUNCTION("""COMPUTED_VALUE"""),4622872.0)</f>
        <v>4622872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IFERROR(__xludf.DUMMYFUNCTION("""COMPUTED_VALUE"""),2115.0)</f>
        <v>2115</v>
      </c>
      <c r="C27" s="6">
        <f>IFERROR(__xludf.DUMMYFUNCTION("""COMPUTED_VALUE"""),2143.8)</f>
        <v>2143.8</v>
      </c>
      <c r="D27" s="6">
        <f>IFERROR(__xludf.DUMMYFUNCTION("""COMPUTED_VALUE"""),2047.65)</f>
        <v>2047.65</v>
      </c>
      <c r="E27" s="6">
        <f>IFERROR(__xludf.DUMMYFUNCTION("""COMPUTED_VALUE"""),2100.25)</f>
        <v>2100.25</v>
      </c>
      <c r="F27" s="6">
        <f>IFERROR(__xludf.DUMMYFUNCTION("""COMPUTED_VALUE"""),2459700.0)</f>
        <v>2459700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IFERROR(__xludf.DUMMYFUNCTION("""COMPUTED_VALUE"""),2100.25)</f>
        <v>2100.25</v>
      </c>
      <c r="C28" s="6">
        <f>IFERROR(__xludf.DUMMYFUNCTION("""COMPUTED_VALUE"""),2124.95)</f>
        <v>2124.95</v>
      </c>
      <c r="D28" s="6">
        <f>IFERROR(__xludf.DUMMYFUNCTION("""COMPUTED_VALUE"""),1956.8)</f>
        <v>1956.8</v>
      </c>
      <c r="E28" s="6">
        <f>IFERROR(__xludf.DUMMYFUNCTION("""COMPUTED_VALUE"""),2030.2)</f>
        <v>2030.2</v>
      </c>
      <c r="F28" s="6">
        <f>IFERROR(__xludf.DUMMYFUNCTION("""COMPUTED_VALUE"""),3426544.0)</f>
        <v>3426544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IFERROR(__xludf.DUMMYFUNCTION("""COMPUTED_VALUE"""),2035.25)</f>
        <v>2035.25</v>
      </c>
      <c r="C29" s="6">
        <f>IFERROR(__xludf.DUMMYFUNCTION("""COMPUTED_VALUE"""),2050.0)</f>
        <v>2050</v>
      </c>
      <c r="D29" s="6">
        <f>IFERROR(__xludf.DUMMYFUNCTION("""COMPUTED_VALUE"""),1878.6)</f>
        <v>1878.6</v>
      </c>
      <c r="E29" s="6">
        <f>IFERROR(__xludf.DUMMYFUNCTION("""COMPUTED_VALUE"""),1938.9)</f>
        <v>1938.9</v>
      </c>
      <c r="F29" s="6">
        <f>IFERROR(__xludf.DUMMYFUNCTION("""COMPUTED_VALUE"""),5917876.0)</f>
        <v>5917876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IFERROR(__xludf.DUMMYFUNCTION("""COMPUTED_VALUE"""),1925.8)</f>
        <v>1925.8</v>
      </c>
      <c r="C30" s="6">
        <f>IFERROR(__xludf.DUMMYFUNCTION("""COMPUTED_VALUE"""),2018.8)</f>
        <v>2018.8</v>
      </c>
      <c r="D30" s="6">
        <f>IFERROR(__xludf.DUMMYFUNCTION("""COMPUTED_VALUE"""),1925.8)</f>
        <v>1925.8</v>
      </c>
      <c r="E30" s="6">
        <f>IFERROR(__xludf.DUMMYFUNCTION("""COMPUTED_VALUE"""),1991.25)</f>
        <v>1991.25</v>
      </c>
      <c r="F30" s="6">
        <f>IFERROR(__xludf.DUMMYFUNCTION("""COMPUTED_VALUE"""),1163507.0)</f>
        <v>1163507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IFERROR(__xludf.DUMMYFUNCTION("""COMPUTED_VALUE"""),1998.2)</f>
        <v>1998.2</v>
      </c>
      <c r="C31" s="6">
        <f>IFERROR(__xludf.DUMMYFUNCTION("""COMPUTED_VALUE"""),2100.0)</f>
        <v>2100</v>
      </c>
      <c r="D31" s="6">
        <f>IFERROR(__xludf.DUMMYFUNCTION("""COMPUTED_VALUE"""),1995.0)</f>
        <v>1995</v>
      </c>
      <c r="E31" s="6">
        <f>IFERROR(__xludf.DUMMYFUNCTION("""COMPUTED_VALUE"""),2042.3)</f>
        <v>2042.3</v>
      </c>
      <c r="F31" s="6">
        <f>IFERROR(__xludf.DUMMYFUNCTION("""COMPUTED_VALUE"""),1907944.0)</f>
        <v>1907944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IFERROR(__xludf.DUMMYFUNCTION("""COMPUTED_VALUE"""),2058.65)</f>
        <v>2058.65</v>
      </c>
      <c r="C32" s="6">
        <f>IFERROR(__xludf.DUMMYFUNCTION("""COMPUTED_VALUE"""),2058.65)</f>
        <v>2058.65</v>
      </c>
      <c r="D32" s="6">
        <f>IFERROR(__xludf.DUMMYFUNCTION("""COMPUTED_VALUE"""),1960.05)</f>
        <v>1960.05</v>
      </c>
      <c r="E32" s="6">
        <f>IFERROR(__xludf.DUMMYFUNCTION("""COMPUTED_VALUE"""),1964.25)</f>
        <v>1964.25</v>
      </c>
      <c r="F32" s="6">
        <f>IFERROR(__xludf.DUMMYFUNCTION("""COMPUTED_VALUE"""),1437550.0)</f>
        <v>1437550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IFERROR(__xludf.DUMMYFUNCTION("""COMPUTED_VALUE"""),1940.05)</f>
        <v>1940.05</v>
      </c>
      <c r="C33" s="6">
        <f>IFERROR(__xludf.DUMMYFUNCTION("""COMPUTED_VALUE"""),2008.0)</f>
        <v>2008</v>
      </c>
      <c r="D33" s="6">
        <f>IFERROR(__xludf.DUMMYFUNCTION("""COMPUTED_VALUE"""),1936.05)</f>
        <v>1936.05</v>
      </c>
      <c r="E33" s="6">
        <f>IFERROR(__xludf.DUMMYFUNCTION("""COMPUTED_VALUE"""),1943.65)</f>
        <v>1943.65</v>
      </c>
      <c r="F33" s="6">
        <f>IFERROR(__xludf.DUMMYFUNCTION("""COMPUTED_VALUE"""),1988533.0)</f>
        <v>1988533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IFERROR(__xludf.DUMMYFUNCTION("""COMPUTED_VALUE"""),1949.9)</f>
        <v>1949.9</v>
      </c>
      <c r="C34" s="6">
        <f>IFERROR(__xludf.DUMMYFUNCTION("""COMPUTED_VALUE"""),2043.2)</f>
        <v>2043.2</v>
      </c>
      <c r="D34" s="6">
        <f>IFERROR(__xludf.DUMMYFUNCTION("""COMPUTED_VALUE"""),1949.9)</f>
        <v>1949.9</v>
      </c>
      <c r="E34" s="6">
        <f>IFERROR(__xludf.DUMMYFUNCTION("""COMPUTED_VALUE"""),2039.75)</f>
        <v>2039.75</v>
      </c>
      <c r="F34" s="6">
        <f>IFERROR(__xludf.DUMMYFUNCTION("""COMPUTED_VALUE"""),2046964.0)</f>
        <v>2046964</v>
      </c>
    </row>
    <row r="35">
      <c r="A35" s="7">
        <f>IFERROR(__xludf.DUMMYFUNCTION("""COMPUTED_VALUE"""),45415.64583333333)</f>
        <v>45415.64583</v>
      </c>
      <c r="B35" s="6">
        <f>IFERROR(__xludf.DUMMYFUNCTION("""COMPUTED_VALUE"""),2057.0)</f>
        <v>2057</v>
      </c>
      <c r="C35" s="6">
        <f>IFERROR(__xludf.DUMMYFUNCTION("""COMPUTED_VALUE"""),2149.4)</f>
        <v>2149.4</v>
      </c>
      <c r="D35" s="6">
        <f>IFERROR(__xludf.DUMMYFUNCTION("""COMPUTED_VALUE"""),2023.0)</f>
        <v>2023</v>
      </c>
      <c r="E35" s="6">
        <f>IFERROR(__xludf.DUMMYFUNCTION("""COMPUTED_VALUE"""),2069.5)</f>
        <v>2069.5</v>
      </c>
      <c r="F35" s="6">
        <f>IFERROR(__xludf.DUMMYFUNCTION("""COMPUTED_VALUE"""),2501614.0)</f>
        <v>2501614</v>
      </c>
    </row>
    <row r="36">
      <c r="A36" s="7">
        <f>IFERROR(__xludf.DUMMYFUNCTION("""COMPUTED_VALUE"""),45422.64583333333)</f>
        <v>45422.64583</v>
      </c>
      <c r="B36" s="6">
        <f>IFERROR(__xludf.DUMMYFUNCTION("""COMPUTED_VALUE"""),2063.7)</f>
        <v>2063.7</v>
      </c>
      <c r="C36" s="6">
        <f>IFERROR(__xludf.DUMMYFUNCTION("""COMPUTED_VALUE"""),2164.9)</f>
        <v>2164.9</v>
      </c>
      <c r="D36" s="6">
        <f>IFERROR(__xludf.DUMMYFUNCTION("""COMPUTED_VALUE"""),2031.05)</f>
        <v>2031.05</v>
      </c>
      <c r="E36" s="6">
        <f>IFERROR(__xludf.DUMMYFUNCTION("""COMPUTED_VALUE"""),2158.65)</f>
        <v>2158.65</v>
      </c>
      <c r="F36" s="6">
        <f>IFERROR(__xludf.DUMMYFUNCTION("""COMPUTED_VALUE"""),2796598.0)</f>
        <v>2796598</v>
      </c>
    </row>
    <row r="37">
      <c r="A37" s="7">
        <f>IFERROR(__xludf.DUMMYFUNCTION("""COMPUTED_VALUE"""),45436.64583333333)</f>
        <v>45436.64583</v>
      </c>
      <c r="B37" s="6">
        <f>IFERROR(__xludf.DUMMYFUNCTION("""COMPUTED_VALUE"""),2200.0)</f>
        <v>2200</v>
      </c>
      <c r="C37" s="6">
        <f>IFERROR(__xludf.DUMMYFUNCTION("""COMPUTED_VALUE"""),2204.9)</f>
        <v>2204.9</v>
      </c>
      <c r="D37" s="6">
        <f>IFERROR(__xludf.DUMMYFUNCTION("""COMPUTED_VALUE"""),2061.05)</f>
        <v>2061.05</v>
      </c>
      <c r="E37" s="6">
        <f>IFERROR(__xludf.DUMMYFUNCTION("""COMPUTED_VALUE"""),2149.0)</f>
        <v>2149</v>
      </c>
      <c r="F37" s="6">
        <f>IFERROR(__xludf.DUMMYFUNCTION("""COMPUTED_VALUE"""),4455329.0)</f>
        <v>4455329</v>
      </c>
    </row>
    <row r="38">
      <c r="A38" s="7">
        <f>IFERROR(__xludf.DUMMYFUNCTION("""COMPUTED_VALUE"""),45443.64583333333)</f>
        <v>45443.64583</v>
      </c>
      <c r="B38" s="6">
        <f>IFERROR(__xludf.DUMMYFUNCTION("""COMPUTED_VALUE"""),2166.95)</f>
        <v>2166.95</v>
      </c>
      <c r="C38" s="6">
        <f>IFERROR(__xludf.DUMMYFUNCTION("""COMPUTED_VALUE"""),2202.35)</f>
        <v>2202.35</v>
      </c>
      <c r="D38" s="6">
        <f>IFERROR(__xludf.DUMMYFUNCTION("""COMPUTED_VALUE"""),2070.0)</f>
        <v>2070</v>
      </c>
      <c r="E38" s="6">
        <f>IFERROR(__xludf.DUMMYFUNCTION("""COMPUTED_VALUE"""),2096.85)</f>
        <v>2096.85</v>
      </c>
      <c r="F38" s="6">
        <f>IFERROR(__xludf.DUMMYFUNCTION("""COMPUTED_VALUE"""),4264017.0)</f>
        <v>4264017</v>
      </c>
    </row>
    <row r="39">
      <c r="A39" s="7">
        <f>IFERROR(__xludf.DUMMYFUNCTION("""COMPUTED_VALUE"""),45450.64583333333)</f>
        <v>45450.64583</v>
      </c>
      <c r="B39" s="6">
        <f>IFERROR(__xludf.DUMMYFUNCTION("""COMPUTED_VALUE"""),2148.0)</f>
        <v>2148</v>
      </c>
      <c r="C39" s="6">
        <f>IFERROR(__xludf.DUMMYFUNCTION("""COMPUTED_VALUE"""),2184.0)</f>
        <v>2184</v>
      </c>
      <c r="D39" s="6">
        <f>IFERROR(__xludf.DUMMYFUNCTION("""COMPUTED_VALUE"""),1931.4)</f>
        <v>1931.4</v>
      </c>
      <c r="E39" s="6">
        <f>IFERROR(__xludf.DUMMYFUNCTION("""COMPUTED_VALUE"""),2158.8)</f>
        <v>2158.8</v>
      </c>
      <c r="F39" s="6">
        <f>IFERROR(__xludf.DUMMYFUNCTION("""COMPUTED_VALUE"""),3138219.0)</f>
        <v>3138219</v>
      </c>
    </row>
    <row r="40">
      <c r="A40" s="7">
        <f>IFERROR(__xludf.DUMMYFUNCTION("""COMPUTED_VALUE"""),45457.64583333333)</f>
        <v>45457.64583</v>
      </c>
      <c r="B40" s="6">
        <f>IFERROR(__xludf.DUMMYFUNCTION("""COMPUTED_VALUE"""),2180.0)</f>
        <v>2180</v>
      </c>
      <c r="C40" s="6">
        <f>IFERROR(__xludf.DUMMYFUNCTION("""COMPUTED_VALUE"""),2291.95)</f>
        <v>2291.95</v>
      </c>
      <c r="D40" s="6">
        <f>IFERROR(__xludf.DUMMYFUNCTION("""COMPUTED_VALUE"""),2114.65)</f>
        <v>2114.65</v>
      </c>
      <c r="E40" s="6">
        <f>IFERROR(__xludf.DUMMYFUNCTION("""COMPUTED_VALUE"""),2269.45)</f>
        <v>2269.45</v>
      </c>
      <c r="F40" s="6">
        <f>IFERROR(__xludf.DUMMYFUNCTION("""COMPUTED_VALUE"""),3442211.0)</f>
        <v>3442211</v>
      </c>
    </row>
    <row r="41">
      <c r="A41" s="7">
        <f>IFERROR(__xludf.DUMMYFUNCTION("""COMPUTED_VALUE"""),45464.64583333333)</f>
        <v>45464.64583</v>
      </c>
      <c r="B41" s="6">
        <f>IFERROR(__xludf.DUMMYFUNCTION("""COMPUTED_VALUE"""),2270.1)</f>
        <v>2270.1</v>
      </c>
      <c r="C41" s="6">
        <f>IFERROR(__xludf.DUMMYFUNCTION("""COMPUTED_VALUE"""),2300.9)</f>
        <v>2300.9</v>
      </c>
      <c r="D41" s="6">
        <f>IFERROR(__xludf.DUMMYFUNCTION("""COMPUTED_VALUE"""),2199.05)</f>
        <v>2199.05</v>
      </c>
      <c r="E41" s="6">
        <f>IFERROR(__xludf.DUMMYFUNCTION("""COMPUTED_VALUE"""),2273.65)</f>
        <v>2273.65</v>
      </c>
      <c r="F41" s="6">
        <f>IFERROR(__xludf.DUMMYFUNCTION("""COMPUTED_VALUE"""),1711940.0)</f>
        <v>1711940</v>
      </c>
    </row>
    <row r="42">
      <c r="A42" s="7">
        <f>IFERROR(__xludf.DUMMYFUNCTION("""COMPUTED_VALUE"""),45471.64583333333)</f>
        <v>45471.64583</v>
      </c>
      <c r="B42" s="6">
        <f>IFERROR(__xludf.DUMMYFUNCTION("""COMPUTED_VALUE"""),2272.95)</f>
        <v>2272.95</v>
      </c>
      <c r="C42" s="6">
        <f>IFERROR(__xludf.DUMMYFUNCTION("""COMPUTED_VALUE"""),2453.0)</f>
        <v>2453</v>
      </c>
      <c r="D42" s="6">
        <f>IFERROR(__xludf.DUMMYFUNCTION("""COMPUTED_VALUE"""),2243.35)</f>
        <v>2243.35</v>
      </c>
      <c r="E42" s="6">
        <f>IFERROR(__xludf.DUMMYFUNCTION("""COMPUTED_VALUE"""),2380.8)</f>
        <v>2380.8</v>
      </c>
      <c r="F42" s="6">
        <f>IFERROR(__xludf.DUMMYFUNCTION("""COMPUTED_VALUE"""),4790723.0)</f>
        <v>4790723</v>
      </c>
    </row>
    <row r="43">
      <c r="A43" s="7">
        <f>IFERROR(__xludf.DUMMYFUNCTION("""COMPUTED_VALUE"""),45478.64583333333)</f>
        <v>45478.64583</v>
      </c>
      <c r="B43" s="6">
        <f>IFERROR(__xludf.DUMMYFUNCTION("""COMPUTED_VALUE"""),2380.0)</f>
        <v>2380</v>
      </c>
      <c r="C43" s="6">
        <f>IFERROR(__xludf.DUMMYFUNCTION("""COMPUTED_VALUE"""),2454.0)</f>
        <v>2454</v>
      </c>
      <c r="D43" s="6">
        <f>IFERROR(__xludf.DUMMYFUNCTION("""COMPUTED_VALUE"""),2353.35)</f>
        <v>2353.35</v>
      </c>
      <c r="E43" s="6">
        <f>IFERROR(__xludf.DUMMYFUNCTION("""COMPUTED_VALUE"""),2406.25)</f>
        <v>2406.25</v>
      </c>
      <c r="F43" s="6">
        <f>IFERROR(__xludf.DUMMYFUNCTION("""COMPUTED_VALUE"""),2289754.0)</f>
        <v>2289754</v>
      </c>
    </row>
    <row r="44">
      <c r="A44" s="7">
        <f>IFERROR(__xludf.DUMMYFUNCTION("""COMPUTED_VALUE"""),45485.64583333333)</f>
        <v>45485.64583</v>
      </c>
      <c r="B44" s="6">
        <f>IFERROR(__xludf.DUMMYFUNCTION("""COMPUTED_VALUE"""),2414.0)</f>
        <v>2414</v>
      </c>
      <c r="C44" s="6">
        <f>IFERROR(__xludf.DUMMYFUNCTION("""COMPUTED_VALUE"""),2414.2)</f>
        <v>2414.2</v>
      </c>
      <c r="D44" s="6">
        <f>IFERROR(__xludf.DUMMYFUNCTION("""COMPUTED_VALUE"""),2285.0)</f>
        <v>2285</v>
      </c>
      <c r="E44" s="6">
        <f>IFERROR(__xludf.DUMMYFUNCTION("""COMPUTED_VALUE"""),2302.35)</f>
        <v>2302.35</v>
      </c>
      <c r="F44" s="6">
        <f>IFERROR(__xludf.DUMMYFUNCTION("""COMPUTED_VALUE"""),1976406.0)</f>
        <v>1976406</v>
      </c>
    </row>
    <row r="45">
      <c r="A45" s="7">
        <f>IFERROR(__xludf.DUMMYFUNCTION("""COMPUTED_VALUE"""),45492.64583333333)</f>
        <v>45492.64583</v>
      </c>
      <c r="B45" s="6">
        <f>IFERROR(__xludf.DUMMYFUNCTION("""COMPUTED_VALUE"""),2300.0)</f>
        <v>2300</v>
      </c>
      <c r="C45" s="6">
        <f>IFERROR(__xludf.DUMMYFUNCTION("""COMPUTED_VALUE"""),2315.9)</f>
        <v>2315.9</v>
      </c>
      <c r="D45" s="6">
        <f>IFERROR(__xludf.DUMMYFUNCTION("""COMPUTED_VALUE"""),2219.5)</f>
        <v>2219.5</v>
      </c>
      <c r="E45" s="6">
        <f>IFERROR(__xludf.DUMMYFUNCTION("""COMPUTED_VALUE"""),2272.1)</f>
        <v>2272.1</v>
      </c>
      <c r="F45" s="6">
        <f>IFERROR(__xludf.DUMMYFUNCTION("""COMPUTED_VALUE"""),1752941.0)</f>
        <v>1752941</v>
      </c>
    </row>
    <row r="46">
      <c r="A46" s="7">
        <f>IFERROR(__xludf.DUMMYFUNCTION("""COMPUTED_VALUE"""),45499.64583333333)</f>
        <v>45499.64583</v>
      </c>
      <c r="B46" s="6">
        <f>IFERROR(__xludf.DUMMYFUNCTION("""COMPUTED_VALUE"""),2271.0)</f>
        <v>2271</v>
      </c>
      <c r="C46" s="6">
        <f>IFERROR(__xludf.DUMMYFUNCTION("""COMPUTED_VALUE"""),2314.9)</f>
        <v>2314.9</v>
      </c>
      <c r="D46" s="6">
        <f>IFERROR(__xludf.DUMMYFUNCTION("""COMPUTED_VALUE"""),2164.0)</f>
        <v>2164</v>
      </c>
      <c r="E46" s="6">
        <f>IFERROR(__xludf.DUMMYFUNCTION("""COMPUTED_VALUE"""),2215.55)</f>
        <v>2215.55</v>
      </c>
      <c r="F46" s="6">
        <f>IFERROR(__xludf.DUMMYFUNCTION("""COMPUTED_VALUE"""),2065285.0)</f>
        <v>2065285</v>
      </c>
    </row>
    <row r="47">
      <c r="A47" s="7">
        <f>IFERROR(__xludf.DUMMYFUNCTION("""COMPUTED_VALUE"""),45506.64583333333)</f>
        <v>45506.64583</v>
      </c>
      <c r="B47" s="6">
        <f>IFERROR(__xludf.DUMMYFUNCTION("""COMPUTED_VALUE"""),2232.9)</f>
        <v>2232.9</v>
      </c>
      <c r="C47" s="6">
        <f>IFERROR(__xludf.DUMMYFUNCTION("""COMPUTED_VALUE"""),2240.05)</f>
        <v>2240.05</v>
      </c>
      <c r="D47" s="6">
        <f>IFERROR(__xludf.DUMMYFUNCTION("""COMPUTED_VALUE"""),2126.05)</f>
        <v>2126.05</v>
      </c>
      <c r="E47" s="6">
        <f>IFERROR(__xludf.DUMMYFUNCTION("""COMPUTED_VALUE"""),2130.45)</f>
        <v>2130.45</v>
      </c>
      <c r="F47" s="6">
        <f>IFERROR(__xludf.DUMMYFUNCTION("""COMPUTED_VALUE"""),1960620.0)</f>
        <v>1960620</v>
      </c>
    </row>
    <row r="48">
      <c r="A48" s="7">
        <f>IFERROR(__xludf.DUMMYFUNCTION("""COMPUTED_VALUE"""),45513.64583333333)</f>
        <v>45513.64583</v>
      </c>
      <c r="B48" s="6">
        <f>IFERROR(__xludf.DUMMYFUNCTION("""COMPUTED_VALUE"""),2100.25)</f>
        <v>2100.25</v>
      </c>
      <c r="C48" s="6">
        <f>IFERROR(__xludf.DUMMYFUNCTION("""COMPUTED_VALUE"""),2148.5)</f>
        <v>2148.5</v>
      </c>
      <c r="D48" s="6">
        <f>IFERROR(__xludf.DUMMYFUNCTION("""COMPUTED_VALUE"""),2015.0)</f>
        <v>2015</v>
      </c>
      <c r="E48" s="6">
        <f>IFERROR(__xludf.DUMMYFUNCTION("""COMPUTED_VALUE"""),2031.35)</f>
        <v>2031.35</v>
      </c>
      <c r="F48" s="6">
        <f>IFERROR(__xludf.DUMMYFUNCTION("""COMPUTED_VALUE"""),1894560.0)</f>
        <v>1894560</v>
      </c>
    </row>
    <row r="49">
      <c r="A49" s="7">
        <f>IFERROR(__xludf.DUMMYFUNCTION("""COMPUTED_VALUE"""),45520.64583333333)</f>
        <v>45520.64583</v>
      </c>
      <c r="B49" s="6">
        <f>IFERROR(__xludf.DUMMYFUNCTION("""COMPUTED_VALUE"""),2030.0)</f>
        <v>2030</v>
      </c>
      <c r="C49" s="6">
        <f>IFERROR(__xludf.DUMMYFUNCTION("""COMPUTED_VALUE"""),2030.0)</f>
        <v>2030</v>
      </c>
      <c r="D49" s="6">
        <f>IFERROR(__xludf.DUMMYFUNCTION("""COMPUTED_VALUE"""),1859.0)</f>
        <v>1859</v>
      </c>
      <c r="E49" s="6">
        <f>IFERROR(__xludf.DUMMYFUNCTION("""COMPUTED_VALUE"""),1889.5)</f>
        <v>1889.5</v>
      </c>
      <c r="F49" s="6">
        <f>IFERROR(__xludf.DUMMYFUNCTION("""COMPUTED_VALUE"""),3997581.0)</f>
        <v>3997581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IFERROR(__xludf.DUMMYFUNCTION("""COMPUTED_VALUE"""),1904.2)</f>
        <v>1904.2</v>
      </c>
      <c r="C50" s="6">
        <f>IFERROR(__xludf.DUMMYFUNCTION("""COMPUTED_VALUE"""),1972.0)</f>
        <v>1972</v>
      </c>
      <c r="D50" s="6">
        <f>IFERROR(__xludf.DUMMYFUNCTION("""COMPUTED_VALUE"""),1871.0)</f>
        <v>1871</v>
      </c>
      <c r="E50" s="6">
        <f>IFERROR(__xludf.DUMMYFUNCTION("""COMPUTED_VALUE"""),1946.35)</f>
        <v>1946.35</v>
      </c>
      <c r="F50" s="6">
        <f>IFERROR(__xludf.DUMMYFUNCTION("""COMPUTED_VALUE"""),5024387.0)</f>
        <v>5024387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IFERROR(__xludf.DUMMYFUNCTION("""COMPUTED_VALUE"""),1968.0)</f>
        <v>1968</v>
      </c>
      <c r="C51" s="6">
        <f>IFERROR(__xludf.DUMMYFUNCTION("""COMPUTED_VALUE"""),1993.0)</f>
        <v>1993</v>
      </c>
      <c r="D51" s="6">
        <f>IFERROR(__xludf.DUMMYFUNCTION("""COMPUTED_VALUE"""),1912.35)</f>
        <v>1912.35</v>
      </c>
      <c r="E51" s="6">
        <f>IFERROR(__xludf.DUMMYFUNCTION("""COMPUTED_VALUE"""),1919.35)</f>
        <v>1919.35</v>
      </c>
      <c r="F51" s="6">
        <f>IFERROR(__xludf.DUMMYFUNCTION("""COMPUTED_VALUE"""),2495288.0)</f>
        <v>2495288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IFERROR(__xludf.DUMMYFUNCTION("""COMPUTED_VALUE"""),1934.65)</f>
        <v>1934.65</v>
      </c>
      <c r="C52" s="6">
        <f>IFERROR(__xludf.DUMMYFUNCTION("""COMPUTED_VALUE"""),1947.0)</f>
        <v>1947</v>
      </c>
      <c r="D52" s="6">
        <f>IFERROR(__xludf.DUMMYFUNCTION("""COMPUTED_VALUE"""),1896.0)</f>
        <v>1896</v>
      </c>
      <c r="E52" s="6">
        <f>IFERROR(__xludf.DUMMYFUNCTION("""COMPUTED_VALUE"""),1899.5)</f>
        <v>1899.5</v>
      </c>
      <c r="F52" s="6">
        <f>IFERROR(__xludf.DUMMYFUNCTION("""COMPUTED_VALUE"""),1688839.0)</f>
        <v>1688839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IFERROR(__xludf.DUMMYFUNCTION("""COMPUTED_VALUE"""),1910.0)</f>
        <v>1910</v>
      </c>
      <c r="C53" s="6">
        <f>IFERROR(__xludf.DUMMYFUNCTION("""COMPUTED_VALUE"""),1960.0)</f>
        <v>1960</v>
      </c>
      <c r="D53" s="6">
        <f>IFERROR(__xludf.DUMMYFUNCTION("""COMPUTED_VALUE"""),1877.5)</f>
        <v>1877.5</v>
      </c>
      <c r="E53" s="6">
        <f>IFERROR(__xludf.DUMMYFUNCTION("""COMPUTED_VALUE"""),1934.45)</f>
        <v>1934.45</v>
      </c>
      <c r="F53" s="6">
        <f>IFERROR(__xludf.DUMMYFUNCTION("""COMPUTED_VALUE"""),1969650.0)</f>
        <v>1969650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IFERROR(__xludf.DUMMYFUNCTION("""COMPUTED_VALUE"""),1934.45)</f>
        <v>1934.45</v>
      </c>
      <c r="C54" s="6">
        <f>IFERROR(__xludf.DUMMYFUNCTION("""COMPUTED_VALUE"""),1943.5)</f>
        <v>1943.5</v>
      </c>
      <c r="D54" s="6">
        <f>IFERROR(__xludf.DUMMYFUNCTION("""COMPUTED_VALUE"""),1875.0)</f>
        <v>1875</v>
      </c>
      <c r="E54" s="6">
        <f>IFERROR(__xludf.DUMMYFUNCTION("""COMPUTED_VALUE"""),1927.9)</f>
        <v>1927.9</v>
      </c>
      <c r="F54" s="6">
        <f>IFERROR(__xludf.DUMMYFUNCTION("""COMPUTED_VALUE"""),1803246.0)</f>
        <v>1803246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IFERROR(__xludf.DUMMYFUNCTION("""COMPUTED_VALUE"""),1947.0)</f>
        <v>1947</v>
      </c>
      <c r="C55" s="6">
        <f>IFERROR(__xludf.DUMMYFUNCTION("""COMPUTED_VALUE"""),2037.95)</f>
        <v>2037.95</v>
      </c>
      <c r="D55" s="6">
        <f>IFERROR(__xludf.DUMMYFUNCTION("""COMPUTED_VALUE"""),1939.35)</f>
        <v>1939.35</v>
      </c>
      <c r="E55" s="6">
        <f>IFERROR(__xludf.DUMMYFUNCTION("""COMPUTED_VALUE"""),2004.85)</f>
        <v>2004.85</v>
      </c>
      <c r="F55" s="6">
        <f>IFERROR(__xludf.DUMMYFUNCTION("""COMPUTED_VALUE"""),3727766.0)</f>
        <v>3727766</v>
      </c>
    </row>
    <row r="56">
      <c r="A56" s="7">
        <f>IFERROR(__xludf.DUMMYFUNCTION("""COMPUTED_VALUE"""),45569.64583333333)</f>
        <v>45569.64583</v>
      </c>
      <c r="B56" s="6">
        <f>IFERROR(__xludf.DUMMYFUNCTION("""COMPUTED_VALUE"""),2010.0)</f>
        <v>2010</v>
      </c>
      <c r="C56" s="6">
        <f>IFERROR(__xludf.DUMMYFUNCTION("""COMPUTED_VALUE"""),2013.5)</f>
        <v>2013.5</v>
      </c>
      <c r="D56" s="6">
        <f>IFERROR(__xludf.DUMMYFUNCTION("""COMPUTED_VALUE"""),1878.05)</f>
        <v>1878.05</v>
      </c>
      <c r="E56" s="6">
        <f>IFERROR(__xludf.DUMMYFUNCTION("""COMPUTED_VALUE"""),1893.15)</f>
        <v>1893.15</v>
      </c>
      <c r="F56" s="6">
        <f>IFERROR(__xludf.DUMMYFUNCTION("""COMPUTED_VALUE"""),2422588.0)</f>
        <v>2422588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IFERROR(__xludf.DUMMYFUNCTION("""COMPUTED_VALUE"""),1897.85)</f>
        <v>1897.85</v>
      </c>
      <c r="C57" s="6">
        <f>IFERROR(__xludf.DUMMYFUNCTION("""COMPUTED_VALUE"""),1922.45)</f>
        <v>1922.45</v>
      </c>
      <c r="D57" s="6">
        <f>IFERROR(__xludf.DUMMYFUNCTION("""COMPUTED_VALUE"""),1849.1)</f>
        <v>1849.1</v>
      </c>
      <c r="E57" s="6">
        <f>IFERROR(__xludf.DUMMYFUNCTION("""COMPUTED_VALUE"""),1897.45)</f>
        <v>1897.45</v>
      </c>
      <c r="F57" s="6">
        <f>IFERROR(__xludf.DUMMYFUNCTION("""COMPUTED_VALUE"""),1843860.0)</f>
        <v>1843860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IFERROR(__xludf.DUMMYFUNCTION("""COMPUTED_VALUE"""),1895.0)</f>
        <v>1895</v>
      </c>
      <c r="C58" s="6">
        <f>IFERROR(__xludf.DUMMYFUNCTION("""COMPUTED_VALUE"""),1917.55)</f>
        <v>1917.55</v>
      </c>
      <c r="D58" s="6">
        <f>IFERROR(__xludf.DUMMYFUNCTION("""COMPUTED_VALUE"""),1843.35)</f>
        <v>1843.35</v>
      </c>
      <c r="E58" s="6">
        <f>IFERROR(__xludf.DUMMYFUNCTION("""COMPUTED_VALUE"""),1871.7)</f>
        <v>1871.7</v>
      </c>
      <c r="F58" s="6">
        <f>IFERROR(__xludf.DUMMYFUNCTION("""COMPUTED_VALUE"""),1867005.0)</f>
        <v>1867005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IFERROR(__xludf.DUMMYFUNCTION("""COMPUTED_VALUE"""),1874.85)</f>
        <v>1874.85</v>
      </c>
      <c r="C59" s="6">
        <f>IFERROR(__xludf.DUMMYFUNCTION("""COMPUTED_VALUE"""),1898.0)</f>
        <v>1898</v>
      </c>
      <c r="D59" s="6">
        <f>IFERROR(__xludf.DUMMYFUNCTION("""COMPUTED_VALUE"""),1753.2)</f>
        <v>1753.2</v>
      </c>
      <c r="E59" s="6">
        <f>IFERROR(__xludf.DUMMYFUNCTION("""COMPUTED_VALUE"""),1799.3)</f>
        <v>1799.3</v>
      </c>
      <c r="F59" s="6">
        <f>IFERROR(__xludf.DUMMYFUNCTION("""COMPUTED_VALUE"""),3583569.0)</f>
        <v>3583569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IFERROR(__xludf.DUMMYFUNCTION("""COMPUTED_VALUE"""),1779.95)</f>
        <v>1779.95</v>
      </c>
      <c r="C60" s="6">
        <f>IFERROR(__xludf.DUMMYFUNCTION("""COMPUTED_VALUE"""),1817.95)</f>
        <v>1817.95</v>
      </c>
      <c r="D60" s="6">
        <f>IFERROR(__xludf.DUMMYFUNCTION("""COMPUTED_VALUE"""),1729.0)</f>
        <v>1729</v>
      </c>
      <c r="E60" s="6">
        <f>IFERROR(__xludf.DUMMYFUNCTION("""COMPUTED_VALUE"""),1788.8)</f>
        <v>1788.8</v>
      </c>
      <c r="F60" s="6">
        <f>IFERROR(__xludf.DUMMYFUNCTION("""COMPUTED_VALUE"""),3717928.0)</f>
        <v>3717928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IFERROR(__xludf.DUMMYFUNCTION("""COMPUTED_VALUE"""),1788.0)</f>
        <v>1788</v>
      </c>
      <c r="C61" s="6">
        <f>IFERROR(__xludf.DUMMYFUNCTION("""COMPUTED_VALUE"""),1788.8)</f>
        <v>1788.8</v>
      </c>
      <c r="D61" s="6">
        <f>IFERROR(__xludf.DUMMYFUNCTION("""COMPUTED_VALUE"""),1710.0)</f>
        <v>1710</v>
      </c>
      <c r="E61" s="6">
        <f>IFERROR(__xludf.DUMMYFUNCTION("""COMPUTED_VALUE"""),1731.15)</f>
        <v>1731.15</v>
      </c>
      <c r="F61" s="6">
        <f>IFERROR(__xludf.DUMMYFUNCTION("""COMPUTED_VALUE"""),2408982.0)</f>
        <v>2408982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IFERROR(__xludf.DUMMYFUNCTION("""COMPUTED_VALUE"""),1727.3)</f>
        <v>1727.3</v>
      </c>
      <c r="C62" s="6">
        <f>IFERROR(__xludf.DUMMYFUNCTION("""COMPUTED_VALUE"""),1767.2)</f>
        <v>1767.2</v>
      </c>
      <c r="D62" s="6">
        <f>IFERROR(__xludf.DUMMYFUNCTION("""COMPUTED_VALUE"""),1695.5)</f>
        <v>1695.5</v>
      </c>
      <c r="E62" s="6">
        <f>IFERROR(__xludf.DUMMYFUNCTION("""COMPUTED_VALUE"""),1761.6)</f>
        <v>1761.6</v>
      </c>
      <c r="F62" s="6">
        <f>IFERROR(__xludf.DUMMYFUNCTION("""COMPUTED_VALUE"""),1402159.0)</f>
        <v>1402159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IFERROR(__xludf.DUMMYFUNCTION("""COMPUTED_VALUE"""),1778.2)</f>
        <v>1778.2</v>
      </c>
      <c r="C63" s="6">
        <f>IFERROR(__xludf.DUMMYFUNCTION("""COMPUTED_VALUE"""),1850.0)</f>
        <v>1850</v>
      </c>
      <c r="D63" s="6">
        <f>IFERROR(__xludf.DUMMYFUNCTION("""COMPUTED_VALUE"""),1772.55)</f>
        <v>1772.55</v>
      </c>
      <c r="E63" s="6">
        <f>IFERROR(__xludf.DUMMYFUNCTION("""COMPUTED_VALUE"""),1790.5)</f>
        <v>1790.5</v>
      </c>
      <c r="F63" s="6">
        <f>IFERROR(__xludf.DUMMYFUNCTION("""COMPUTED_VALUE"""),3708269.0)</f>
        <v>3708269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IFERROR(__xludf.DUMMYFUNCTION("""COMPUTED_VALUE"""),1790.0)</f>
        <v>1790</v>
      </c>
      <c r="C64" s="6">
        <f>IFERROR(__xludf.DUMMYFUNCTION("""COMPUTED_VALUE"""),1858.85)</f>
        <v>1858.85</v>
      </c>
      <c r="D64" s="6">
        <f>IFERROR(__xludf.DUMMYFUNCTION("""COMPUTED_VALUE"""),1771.25)</f>
        <v>1771.25</v>
      </c>
      <c r="E64" s="6">
        <f>IFERROR(__xludf.DUMMYFUNCTION("""COMPUTED_VALUE"""),1844.4)</f>
        <v>1844.4</v>
      </c>
      <c r="F64" s="6">
        <f>IFERROR(__xludf.DUMMYFUNCTION("""COMPUTED_VALUE"""),2198787.0)</f>
        <v>2198787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IFERROR(__xludf.DUMMYFUNCTION("""COMPUTED_VALUE"""),1849.0)</f>
        <v>1849</v>
      </c>
      <c r="C65" s="6">
        <f>IFERROR(__xludf.DUMMYFUNCTION("""COMPUTED_VALUE"""),1867.0)</f>
        <v>1867</v>
      </c>
      <c r="D65" s="6">
        <f>IFERROR(__xludf.DUMMYFUNCTION("""COMPUTED_VALUE"""),1788.5)</f>
        <v>1788.5</v>
      </c>
      <c r="E65" s="6">
        <f>IFERROR(__xludf.DUMMYFUNCTION("""COMPUTED_VALUE"""),1834.2)</f>
        <v>1834.2</v>
      </c>
      <c r="F65" s="6">
        <f>IFERROR(__xludf.DUMMYFUNCTION("""COMPUTED_VALUE"""),1821826.0)</f>
        <v>1821826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IFERROR(__xludf.DUMMYFUNCTION("""COMPUTED_VALUE"""),1845.0)</f>
        <v>1845</v>
      </c>
      <c r="C66" s="6">
        <f>IFERROR(__xludf.DUMMYFUNCTION("""COMPUTED_VALUE"""),1864.5)</f>
        <v>1864.5</v>
      </c>
      <c r="D66" s="6">
        <f>IFERROR(__xludf.DUMMYFUNCTION("""COMPUTED_VALUE"""),1727.75)</f>
        <v>1727.75</v>
      </c>
      <c r="E66" s="6">
        <f>IFERROR(__xludf.DUMMYFUNCTION("""COMPUTED_VALUE"""),1734.6)</f>
        <v>1734.6</v>
      </c>
      <c r="F66" s="6">
        <f>IFERROR(__xludf.DUMMYFUNCTION("""COMPUTED_VALUE"""),1640314.0)</f>
        <v>1640314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IFERROR(__xludf.DUMMYFUNCTION("""COMPUTED_VALUE"""),1735.0)</f>
        <v>1735</v>
      </c>
      <c r="C67" s="6">
        <f>IFERROR(__xludf.DUMMYFUNCTION("""COMPUTED_VALUE"""),1747.95)</f>
        <v>1747.95</v>
      </c>
      <c r="D67" s="6">
        <f>IFERROR(__xludf.DUMMYFUNCTION("""COMPUTED_VALUE"""),1650.0)</f>
        <v>1650</v>
      </c>
      <c r="E67" s="6">
        <f>IFERROR(__xludf.DUMMYFUNCTION("""COMPUTED_VALUE"""),1654.1)</f>
        <v>1654.1</v>
      </c>
      <c r="F67" s="6">
        <f>IFERROR(__xludf.DUMMYFUNCTION("""COMPUTED_VALUE"""),1364834.0)</f>
        <v>1364834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IFERROR(__xludf.DUMMYFUNCTION("""COMPUTED_VALUE"""),1665.0)</f>
        <v>1665</v>
      </c>
      <c r="C68" s="6">
        <f>IFERROR(__xludf.DUMMYFUNCTION("""COMPUTED_VALUE"""),1673.7)</f>
        <v>1673.7</v>
      </c>
      <c r="D68" s="6">
        <f>IFERROR(__xludf.DUMMYFUNCTION("""COMPUTED_VALUE"""),1616.0)</f>
        <v>1616</v>
      </c>
      <c r="E68" s="6">
        <f>IFERROR(__xludf.DUMMYFUNCTION("""COMPUTED_VALUE"""),1621.6)</f>
        <v>1621.6</v>
      </c>
      <c r="F68" s="6">
        <f>IFERROR(__xludf.DUMMYFUNCTION("""COMPUTED_VALUE"""),1809550.0)</f>
        <v>1809550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IFERROR(__xludf.DUMMYFUNCTION("""COMPUTED_VALUE"""),1621.0)</f>
        <v>1621</v>
      </c>
      <c r="C69" s="6">
        <f>IFERROR(__xludf.DUMMYFUNCTION("""COMPUTED_VALUE"""),1628.0)</f>
        <v>1628</v>
      </c>
      <c r="D69" s="6">
        <f>IFERROR(__xludf.DUMMYFUNCTION("""COMPUTED_VALUE"""),1533.0)</f>
        <v>1533</v>
      </c>
      <c r="E69" s="6">
        <f>IFERROR(__xludf.DUMMYFUNCTION("""COMPUTED_VALUE"""),1564.4)</f>
        <v>1564.4</v>
      </c>
      <c r="F69" s="6">
        <f>IFERROR(__xludf.DUMMYFUNCTION("""COMPUTED_VALUE"""),3150917.0)</f>
        <v>3150917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IFERROR(__xludf.DUMMYFUNCTION("""COMPUTED_VALUE"""),1550.0)</f>
        <v>1550</v>
      </c>
      <c r="C70" s="6">
        <f>IFERROR(__xludf.DUMMYFUNCTION("""COMPUTED_VALUE"""),1550.0)</f>
        <v>1550</v>
      </c>
      <c r="D70" s="6">
        <f>IFERROR(__xludf.DUMMYFUNCTION("""COMPUTED_VALUE"""),1467.15)</f>
        <v>1467.15</v>
      </c>
      <c r="E70" s="6">
        <f>IFERROR(__xludf.DUMMYFUNCTION("""COMPUTED_VALUE"""),1501.45)</f>
        <v>1501.45</v>
      </c>
      <c r="F70" s="6">
        <f>IFERROR(__xludf.DUMMYFUNCTION("""COMPUTED_VALUE"""),2569341.0)</f>
        <v>2569341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IFERROR(__xludf.DUMMYFUNCTION("""COMPUTED_VALUE"""),1512.8)</f>
        <v>1512.8</v>
      </c>
      <c r="C71" s="6">
        <f>IFERROR(__xludf.DUMMYFUNCTION("""COMPUTED_VALUE"""),1512.8)</f>
        <v>1512.8</v>
      </c>
      <c r="D71" s="6">
        <f>IFERROR(__xludf.DUMMYFUNCTION("""COMPUTED_VALUE"""),1431.1)</f>
        <v>1431.1</v>
      </c>
      <c r="E71" s="6">
        <f>IFERROR(__xludf.DUMMYFUNCTION("""COMPUTED_VALUE"""),1468.35)</f>
        <v>1468.35</v>
      </c>
      <c r="F71" s="6">
        <f>IFERROR(__xludf.DUMMYFUNCTION("""COMPUTED_VALUE"""),2476763.0)</f>
        <v>2476763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IFERROR(__xludf.DUMMYFUNCTION("""COMPUTED_VALUE"""),1508.7)</f>
        <v>1508.7</v>
      </c>
      <c r="C72" s="6">
        <f>IFERROR(__xludf.DUMMYFUNCTION("""COMPUTED_VALUE"""),1532.95)</f>
        <v>1532.95</v>
      </c>
      <c r="D72" s="6">
        <f>IFERROR(__xludf.DUMMYFUNCTION("""COMPUTED_VALUE"""),1460.3)</f>
        <v>1460.3</v>
      </c>
      <c r="E72" s="6">
        <f>IFERROR(__xludf.DUMMYFUNCTION("""COMPUTED_VALUE"""),1472.15)</f>
        <v>1472.15</v>
      </c>
      <c r="F72" s="6">
        <f>IFERROR(__xludf.DUMMYFUNCTION("""COMPUTED_VALUE"""),3218175.0)</f>
        <v>3218175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IFERROR(__xludf.DUMMYFUNCTION("""COMPUTED_VALUE"""),1472.15)</f>
        <v>1472.15</v>
      </c>
      <c r="C73" s="6">
        <f>IFERROR(__xludf.DUMMYFUNCTION("""COMPUTED_VALUE"""),1479.4)</f>
        <v>1479.4</v>
      </c>
      <c r="D73" s="6">
        <f>IFERROR(__xludf.DUMMYFUNCTION("""COMPUTED_VALUE"""),1312.25)</f>
        <v>1312.25</v>
      </c>
      <c r="E73" s="6">
        <f>IFERROR(__xludf.DUMMYFUNCTION("""COMPUTED_VALUE"""),1332.6)</f>
        <v>1332.6</v>
      </c>
      <c r="F73" s="6">
        <f>IFERROR(__xludf.DUMMYFUNCTION("""COMPUTED_VALUE"""),1774204.0)</f>
        <v>1774204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IFERROR(__xludf.DUMMYFUNCTION("""COMPUTED_VALUE"""),1321.25)</f>
        <v>1321.25</v>
      </c>
      <c r="C74" s="6">
        <f>IFERROR(__xludf.DUMMYFUNCTION("""COMPUTED_VALUE"""),1416.0)</f>
        <v>1416</v>
      </c>
      <c r="D74" s="6">
        <f>IFERROR(__xludf.DUMMYFUNCTION("""COMPUTED_VALUE"""),1305.55)</f>
        <v>1305.55</v>
      </c>
      <c r="E74" s="6">
        <f>IFERROR(__xludf.DUMMYFUNCTION("""COMPUTED_VALUE"""),1387.2)</f>
        <v>1387.2</v>
      </c>
      <c r="F74" s="6">
        <f>IFERROR(__xludf.DUMMYFUNCTION("""COMPUTED_VALUE"""),2710284.0)</f>
        <v>2710284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IFERROR(__xludf.DUMMYFUNCTION("""COMPUTED_VALUE"""),1381.6)</f>
        <v>1381.6</v>
      </c>
      <c r="C75" s="6">
        <f>IFERROR(__xludf.DUMMYFUNCTION("""COMPUTED_VALUE"""),1421.45)</f>
        <v>1421.45</v>
      </c>
      <c r="D75" s="6">
        <f>IFERROR(__xludf.DUMMYFUNCTION("""COMPUTED_VALUE"""),1323.65)</f>
        <v>1323.65</v>
      </c>
      <c r="E75" s="6">
        <f>IFERROR(__xludf.DUMMYFUNCTION("""COMPUTED_VALUE"""),1337.25)</f>
        <v>1337.25</v>
      </c>
      <c r="F75" s="6">
        <f>IFERROR(__xludf.DUMMYFUNCTION("""COMPUTED_VALUE"""),2310095.0)</f>
        <v>2310095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IFERROR(__xludf.DUMMYFUNCTION("""COMPUTED_VALUE"""),1347.95)</f>
        <v>1347.95</v>
      </c>
      <c r="C76" s="6">
        <f>IFERROR(__xludf.DUMMYFUNCTION("""COMPUTED_VALUE"""),1361.25)</f>
        <v>1361.25</v>
      </c>
      <c r="D76" s="6">
        <f>IFERROR(__xludf.DUMMYFUNCTION("""COMPUTED_VALUE"""),1282.2)</f>
        <v>1282.2</v>
      </c>
      <c r="E76" s="6">
        <f>IFERROR(__xludf.DUMMYFUNCTION("""COMPUTED_VALUE"""),1332.65)</f>
        <v>1332.65</v>
      </c>
      <c r="F76" s="6">
        <f>IFERROR(__xludf.DUMMYFUNCTION("""COMPUTED_VALUE"""),2860985.0)</f>
        <v>2860985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IFERROR(__xludf.DUMMYFUNCTION("""COMPUTED_VALUE"""),1323.0)</f>
        <v>1323</v>
      </c>
      <c r="C77" s="6">
        <f>IFERROR(__xludf.DUMMYFUNCTION("""COMPUTED_VALUE"""),1337.8)</f>
        <v>1337.8</v>
      </c>
      <c r="D77" s="6">
        <f>IFERROR(__xludf.DUMMYFUNCTION("""COMPUTED_VALUE"""),1232.3)</f>
        <v>1232.3</v>
      </c>
      <c r="E77" s="6">
        <f>IFERROR(__xludf.DUMMYFUNCTION("""COMPUTED_VALUE"""),1238.3)</f>
        <v>1238.3</v>
      </c>
      <c r="F77" s="6">
        <f>IFERROR(__xludf.DUMMYFUNCTION("""COMPUTED_VALUE"""),1692593.0)</f>
        <v>1692593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IFERROR(__xludf.DUMMYFUNCTION("""COMPUTED_VALUE"""),1247.7)</f>
        <v>1247.7</v>
      </c>
      <c r="C78" s="6">
        <f>IFERROR(__xludf.DUMMYFUNCTION("""COMPUTED_VALUE"""),1300.0)</f>
        <v>1300</v>
      </c>
      <c r="D78" s="6">
        <f>IFERROR(__xludf.DUMMYFUNCTION("""COMPUTED_VALUE"""),1239.5)</f>
        <v>1239.5</v>
      </c>
      <c r="E78" s="6">
        <f>IFERROR(__xludf.DUMMYFUNCTION("""COMPUTED_VALUE"""),1291.55)</f>
        <v>1291.55</v>
      </c>
      <c r="F78" s="6">
        <f>IFERROR(__xludf.DUMMYFUNCTION("""COMPUTED_VALUE"""),2485066.0)</f>
        <v>2485066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IFERROR(__xludf.DUMMYFUNCTION("""COMPUTED_VALUE"""),1301.55)</f>
        <v>1301.55</v>
      </c>
      <c r="C79" s="6">
        <f>IFERROR(__xludf.DUMMYFUNCTION("""COMPUTED_VALUE"""),1345.9)</f>
        <v>1345.9</v>
      </c>
      <c r="D79" s="6">
        <f>IFERROR(__xludf.DUMMYFUNCTION("""COMPUTED_VALUE"""),1267.9)</f>
        <v>1267.9</v>
      </c>
      <c r="E79" s="6">
        <f>IFERROR(__xludf.DUMMYFUNCTION("""COMPUTED_VALUE"""),1294.25)</f>
        <v>1294.25</v>
      </c>
      <c r="F79" s="6">
        <f>IFERROR(__xludf.DUMMYFUNCTION("""COMPUTED_VALUE"""),3304796.0)</f>
        <v>3304796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IFERROR(__xludf.DUMMYFUNCTION("""COMPUTED_VALUE"""),1290.0)</f>
        <v>1290</v>
      </c>
      <c r="C80" s="6">
        <f>IFERROR(__xludf.DUMMYFUNCTION("""COMPUTED_VALUE"""),1361.2)</f>
        <v>1361.2</v>
      </c>
      <c r="D80" s="6">
        <f>IFERROR(__xludf.DUMMYFUNCTION("""COMPUTED_VALUE"""),1281.0)</f>
        <v>1281</v>
      </c>
      <c r="E80" s="6">
        <f>IFERROR(__xludf.DUMMYFUNCTION("""COMPUTED_VALUE"""),1336.85)</f>
        <v>1336.85</v>
      </c>
      <c r="F80" s="6">
        <f>IFERROR(__xludf.DUMMYFUNCTION("""COMPUTED_VALUE"""),2528610.0)</f>
        <v>2528610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IFERROR(__xludf.DUMMYFUNCTION("""COMPUTED_VALUE"""),1249.95)</f>
        <v>1249.95</v>
      </c>
      <c r="C81" s="6">
        <f>IFERROR(__xludf.DUMMYFUNCTION("""COMPUTED_VALUE"""),1319.6)</f>
        <v>1319.6</v>
      </c>
      <c r="D81" s="6">
        <f>IFERROR(__xludf.DUMMYFUNCTION("""COMPUTED_VALUE"""),1244.05)</f>
        <v>1244.05</v>
      </c>
      <c r="E81" s="6">
        <f>IFERROR(__xludf.DUMMYFUNCTION("""COMPUTED_VALUE"""),1248.9)</f>
        <v>1248.9</v>
      </c>
      <c r="F81" s="6">
        <f>IFERROR(__xludf.DUMMYFUNCTION("""COMPUTED_VALUE"""),2005192.0)</f>
        <v>2005192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IFERROR(__xludf.DUMMYFUNCTION("""COMPUTED_VALUE"""),1260.5)</f>
        <v>1260.5</v>
      </c>
      <c r="C82" s="6">
        <f>IFERROR(__xludf.DUMMYFUNCTION("""COMPUTED_VALUE"""),1326.6)</f>
        <v>1326.6</v>
      </c>
      <c r="D82" s="6">
        <f>IFERROR(__xludf.DUMMYFUNCTION("""COMPUTED_VALUE"""),1245.6)</f>
        <v>1245.6</v>
      </c>
      <c r="E82" s="6">
        <f>IFERROR(__xludf.DUMMYFUNCTION("""COMPUTED_VALUE"""),1306.8)</f>
        <v>1306.8</v>
      </c>
      <c r="F82" s="6">
        <f>IFERROR(__xludf.DUMMYFUNCTION("""COMPUTED_VALUE"""),1796198.0)</f>
        <v>1796198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IFERROR(__xludf.DUMMYFUNCTION("""COMPUTED_VALUE"""),1310.0)</f>
        <v>1310</v>
      </c>
      <c r="C83" s="6">
        <f>IFERROR(__xludf.DUMMYFUNCTION("""COMPUTED_VALUE"""),1413.6)</f>
        <v>1413.6</v>
      </c>
      <c r="D83" s="6">
        <f>IFERROR(__xludf.DUMMYFUNCTION("""COMPUTED_VALUE"""),1306.0)</f>
        <v>1306</v>
      </c>
      <c r="E83" s="6">
        <f>IFERROR(__xludf.DUMMYFUNCTION("""COMPUTED_VALUE"""),1343.6)</f>
        <v>1343.6</v>
      </c>
      <c r="F83" s="6">
        <f>IFERROR(__xludf.DUMMYFUNCTION("""COMPUTED_VALUE"""),4055494.0)</f>
        <v>4055494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IFERROR(__xludf.DUMMYFUNCTION("""COMPUTED_VALUE"""),1335.1)</f>
        <v>1335.1</v>
      </c>
      <c r="C84" s="6">
        <f>IFERROR(__xludf.DUMMYFUNCTION("""COMPUTED_VALUE"""),1390.0)</f>
        <v>1390</v>
      </c>
      <c r="D84" s="6">
        <f>IFERROR(__xludf.DUMMYFUNCTION("""COMPUTED_VALUE"""),1313.8)</f>
        <v>1313.8</v>
      </c>
      <c r="E84" s="6">
        <f>IFERROR(__xludf.DUMMYFUNCTION("""COMPUTED_VALUE"""),1316.1)</f>
        <v>1316.1</v>
      </c>
      <c r="F84" s="6">
        <f>IFERROR(__xludf.DUMMYFUNCTION("""COMPUTED_VALUE"""),1419996.0)</f>
        <v>1419996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IFERROR(__xludf.DUMMYFUNCTION("""COMPUTED_VALUE"""),1316.1)</f>
        <v>1316.1</v>
      </c>
      <c r="C85" s="6">
        <f>IFERROR(__xludf.DUMMYFUNCTION("""COMPUTED_VALUE"""),1344.0)</f>
        <v>1344</v>
      </c>
      <c r="D85" s="6">
        <f>IFERROR(__xludf.DUMMYFUNCTION("""COMPUTED_VALUE"""),1250.0)</f>
        <v>1250</v>
      </c>
      <c r="E85" s="6">
        <f>IFERROR(__xludf.DUMMYFUNCTION("""COMPUTED_VALUE"""),1273.4)</f>
        <v>1273.4</v>
      </c>
      <c r="F85" s="6">
        <f>IFERROR(__xludf.DUMMYFUNCTION("""COMPUTED_VALUE"""),1971646.0)</f>
        <v>1971646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IFERROR(__xludf.DUMMYFUNCTION("""COMPUTED_VALUE"""),1302.7)</f>
        <v>1302.7</v>
      </c>
      <c r="C86" s="6">
        <f>IFERROR(__xludf.DUMMYFUNCTION("""COMPUTED_VALUE"""),1373.9)</f>
        <v>1373.9</v>
      </c>
      <c r="D86" s="6">
        <f>IFERROR(__xludf.DUMMYFUNCTION("""COMPUTED_VALUE"""),1296.7)</f>
        <v>1296.7</v>
      </c>
      <c r="E86" s="6">
        <f>IFERROR(__xludf.DUMMYFUNCTION("""COMPUTED_VALUE"""),1359.7)</f>
        <v>1359.7</v>
      </c>
      <c r="F86" s="6">
        <f>IFERROR(__xludf.DUMMYFUNCTION("""COMPUTED_VALUE"""),3005996.0)</f>
        <v>3005996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IFERROR(__xludf.DUMMYFUNCTION("""COMPUTED_VALUE"""),1371.5)</f>
        <v>1371.5</v>
      </c>
      <c r="C87" s="6">
        <f>IFERROR(__xludf.DUMMYFUNCTION("""COMPUTED_VALUE"""),1470.0)</f>
        <v>1470</v>
      </c>
      <c r="D87" s="6">
        <f>IFERROR(__xludf.DUMMYFUNCTION("""COMPUTED_VALUE"""),1347.1)</f>
        <v>1347.1</v>
      </c>
      <c r="E87" s="6">
        <f>IFERROR(__xludf.DUMMYFUNCTION("""COMPUTED_VALUE"""),1456.7)</f>
        <v>1456.7</v>
      </c>
      <c r="F87" s="6">
        <f>IFERROR(__xludf.DUMMYFUNCTION("""COMPUTED_VALUE"""),1.0878654E7)</f>
        <v>10878654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IFERROR(__xludf.DUMMYFUNCTION("""COMPUTED_VALUE"""),1469.0)</f>
        <v>1469</v>
      </c>
      <c r="C88" s="6">
        <f>IFERROR(__xludf.DUMMYFUNCTION("""COMPUTED_VALUE"""),1537.9)</f>
        <v>1537.9</v>
      </c>
      <c r="D88" s="6">
        <f>IFERROR(__xludf.DUMMYFUNCTION("""COMPUTED_VALUE"""),1453.7)</f>
        <v>1453.7</v>
      </c>
      <c r="E88" s="6">
        <f>IFERROR(__xludf.DUMMYFUNCTION("""COMPUTED_VALUE"""),1498.1)</f>
        <v>1498.1</v>
      </c>
      <c r="F88" s="6">
        <f>IFERROR(__xludf.DUMMYFUNCTION("""COMPUTED_VALUE"""),7474742.0)</f>
        <v>7474742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IFERROR(__xludf.DUMMYFUNCTION("""COMPUTED_VALUE"""),1498.1)</f>
        <v>1498.1</v>
      </c>
      <c r="C89" s="6">
        <f>IFERROR(__xludf.DUMMYFUNCTION("""COMPUTED_VALUE"""),1537.0)</f>
        <v>1537</v>
      </c>
      <c r="D89" s="6">
        <f>IFERROR(__xludf.DUMMYFUNCTION("""COMPUTED_VALUE"""),1482.4)</f>
        <v>1482.4</v>
      </c>
      <c r="E89" s="6">
        <f>IFERROR(__xludf.DUMMYFUNCTION("""COMPUTED_VALUE"""),1526.3)</f>
        <v>1526.3</v>
      </c>
      <c r="F89" s="6">
        <f>IFERROR(__xludf.DUMMYFUNCTION("""COMPUTED_VALUE"""),3237161.0)</f>
        <v>3237161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IFERROR(__xludf.DUMMYFUNCTION("""COMPUTED_VALUE"""),1538.5)</f>
        <v>1538.5</v>
      </c>
      <c r="C90" s="6">
        <f>IFERROR(__xludf.DUMMYFUNCTION("""COMPUTED_VALUE"""),1551.9)</f>
        <v>1551.9</v>
      </c>
      <c r="D90" s="6">
        <f>IFERROR(__xludf.DUMMYFUNCTION("""COMPUTED_VALUE"""),1465.8)</f>
        <v>1465.8</v>
      </c>
      <c r="E90" s="6">
        <f>IFERROR(__xludf.DUMMYFUNCTION("""COMPUTED_VALUE"""),1528.1)</f>
        <v>1528.1</v>
      </c>
      <c r="F90" s="6">
        <f>IFERROR(__xludf.DUMMYFUNCTION("""COMPUTED_VALUE"""),2396352.0)</f>
        <v>2396352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IFERROR(__xludf.DUMMYFUNCTION("""COMPUTED_VALUE"""),1530.0)</f>
        <v>1530</v>
      </c>
      <c r="C91" s="6">
        <f>IFERROR(__xludf.DUMMYFUNCTION("""COMPUTED_VALUE"""),1590.9)</f>
        <v>1590.9</v>
      </c>
      <c r="D91" s="6">
        <f>IFERROR(__xludf.DUMMYFUNCTION("""COMPUTED_VALUE"""),1496.8)</f>
        <v>1496.8</v>
      </c>
      <c r="E91" s="6">
        <f>IFERROR(__xludf.DUMMYFUNCTION("""COMPUTED_VALUE"""),1558.5)</f>
        <v>1558.5</v>
      </c>
      <c r="F91" s="6">
        <f>IFERROR(__xludf.DUMMYFUNCTION("""COMPUTED_VALUE"""),5439133.0)</f>
        <v>5439133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IFERROR(__xludf.DUMMYFUNCTION("""COMPUTED_VALUE"""),1534.0)</f>
        <v>1534</v>
      </c>
      <c r="C92" s="6">
        <f>IFERROR(__xludf.DUMMYFUNCTION("""COMPUTED_VALUE"""),1543.0)</f>
        <v>1543</v>
      </c>
      <c r="D92" s="6">
        <f>IFERROR(__xludf.DUMMYFUNCTION("""COMPUTED_VALUE"""),1484.0)</f>
        <v>1484</v>
      </c>
      <c r="E92" s="6">
        <f>IFERROR(__xludf.DUMMYFUNCTION("""COMPUTED_VALUE"""),1500.4)</f>
        <v>1500.4</v>
      </c>
      <c r="F92" s="6">
        <f>IFERROR(__xludf.DUMMYFUNCTION("""COMPUTED_VALUE"""),4560484.0)</f>
        <v>4560484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IFERROR(__xludf.DUMMYFUNCTION("""COMPUTED_VALUE"""),1510.0)</f>
        <v>1510</v>
      </c>
      <c r="C93" s="6">
        <f>IFERROR(__xludf.DUMMYFUNCTION("""COMPUTED_VALUE"""),1521.7)</f>
        <v>1521.7</v>
      </c>
      <c r="D93" s="6">
        <f>IFERROR(__xludf.DUMMYFUNCTION("""COMPUTED_VALUE"""),1470.6)</f>
        <v>1470.6</v>
      </c>
      <c r="E93" s="6">
        <f>IFERROR(__xludf.DUMMYFUNCTION("""COMPUTED_VALUE"""),1482.2)</f>
        <v>1482.2</v>
      </c>
      <c r="F93" s="6">
        <f>IFERROR(__xludf.DUMMYFUNCTION("""COMPUTED_VALUE"""),3090774.0)</f>
        <v>3090774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IFERROR(__xludf.DUMMYFUNCTION("""COMPUTED_VALUE"""),1482.2)</f>
        <v>1482.2</v>
      </c>
      <c r="C94" s="6">
        <f>IFERROR(__xludf.DUMMYFUNCTION("""COMPUTED_VALUE"""),1507.4)</f>
        <v>1507.4</v>
      </c>
      <c r="D94" s="6">
        <f>IFERROR(__xludf.DUMMYFUNCTION("""COMPUTED_VALUE"""),1465.1)</f>
        <v>1465.1</v>
      </c>
      <c r="E94" s="6">
        <f>IFERROR(__xludf.DUMMYFUNCTION("""COMPUTED_VALUE"""),1475.1)</f>
        <v>1475.1</v>
      </c>
      <c r="F94" s="6">
        <f>IFERROR(__xludf.DUMMYFUNCTION("""COMPUTED_VALUE"""),3195777.0)</f>
        <v>3195777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IFERROR(__xludf.DUMMYFUNCTION("""COMPUTED_VALUE"""),1479.9)</f>
        <v>1479.9</v>
      </c>
      <c r="C95" s="6">
        <f>IFERROR(__xludf.DUMMYFUNCTION("""COMPUTED_VALUE"""),1521.0)</f>
        <v>1521</v>
      </c>
      <c r="D95" s="6">
        <f>IFERROR(__xludf.DUMMYFUNCTION("""COMPUTED_VALUE"""),1461.2)</f>
        <v>1461.2</v>
      </c>
      <c r="E95" s="6">
        <f>IFERROR(__xludf.DUMMYFUNCTION("""COMPUTED_VALUE"""),1506.9)</f>
        <v>1506.9</v>
      </c>
      <c r="F95" s="6">
        <f>IFERROR(__xludf.DUMMYFUNCTION("""COMPUTED_VALUE"""),2248173.0)</f>
        <v>2248173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IFERROR(__xludf.DUMMYFUNCTION("""COMPUTED_VALUE"""),1509.9)</f>
        <v>1509.9</v>
      </c>
      <c r="C96" s="6">
        <f>IFERROR(__xludf.DUMMYFUNCTION("""COMPUTED_VALUE"""),1521.9)</f>
        <v>1521.9</v>
      </c>
      <c r="D96" s="6">
        <f>IFERROR(__xludf.DUMMYFUNCTION("""COMPUTED_VALUE"""),1434.0)</f>
        <v>1434</v>
      </c>
      <c r="E96" s="6">
        <f>IFERROR(__xludf.DUMMYFUNCTION("""COMPUTED_VALUE"""),1440.2)</f>
        <v>1440.2</v>
      </c>
      <c r="F96" s="6">
        <f>IFERROR(__xludf.DUMMYFUNCTION("""COMPUTED_VALUE"""),2831891.0)</f>
        <v>2831891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IFERROR(__xludf.DUMMYFUNCTION("""COMPUTED_VALUE"""),1440.2)</f>
        <v>1440.2</v>
      </c>
      <c r="C97" s="6">
        <f>IFERROR(__xludf.DUMMYFUNCTION("""COMPUTED_VALUE"""),1448.9)</f>
        <v>1448.9</v>
      </c>
      <c r="D97" s="6">
        <f>IFERROR(__xludf.DUMMYFUNCTION("""COMPUTED_VALUE"""),1396.0)</f>
        <v>1396</v>
      </c>
      <c r="E97" s="6">
        <f>IFERROR(__xludf.DUMMYFUNCTION("""COMPUTED_VALUE"""),1403.1)</f>
        <v>1403.1</v>
      </c>
      <c r="F97" s="6">
        <f>IFERROR(__xludf.DUMMYFUNCTION("""COMPUTED_VALUE"""),3386193.0)</f>
        <v>3386193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IFERROR(__xludf.DUMMYFUNCTION("""COMPUTED_VALUE"""),1403.1)</f>
        <v>1403.1</v>
      </c>
      <c r="C98" s="6">
        <f>IFERROR(__xludf.DUMMYFUNCTION("""COMPUTED_VALUE"""),1434.4)</f>
        <v>1434.4</v>
      </c>
      <c r="D98" s="6">
        <f>IFERROR(__xludf.DUMMYFUNCTION("""COMPUTED_VALUE"""),1360.9)</f>
        <v>1360.9</v>
      </c>
      <c r="E98" s="6">
        <f>IFERROR(__xludf.DUMMYFUNCTION("""COMPUTED_VALUE"""),1375.8)</f>
        <v>1375.8</v>
      </c>
      <c r="F98" s="6">
        <f>IFERROR(__xludf.DUMMYFUNCTION("""COMPUTED_VALUE"""),2145050.0)</f>
        <v>2145050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IFERROR(__xludf.DUMMYFUNCTION("""COMPUTED_VALUE"""),1375.1)</f>
        <v>1375.1</v>
      </c>
      <c r="C99" s="6">
        <f>IFERROR(__xludf.DUMMYFUNCTION("""COMPUTED_VALUE"""),1391.0)</f>
        <v>1391</v>
      </c>
      <c r="D99" s="6">
        <f>IFERROR(__xludf.DUMMYFUNCTION("""COMPUTED_VALUE"""),1263.7)</f>
        <v>1263.7</v>
      </c>
      <c r="E99" s="6">
        <f>IFERROR(__xludf.DUMMYFUNCTION("""COMPUTED_VALUE"""),1279.2)</f>
        <v>1279.2</v>
      </c>
      <c r="F99" s="6">
        <f>IFERROR(__xludf.DUMMYFUNCTION("""COMPUTED_VALUE"""),1.0832013E7)</f>
        <v>10832013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IFERROR(__xludf.DUMMYFUNCTION("""COMPUTED_VALUE"""),1284.4)</f>
        <v>1284.4</v>
      </c>
      <c r="C100" s="6">
        <f>IFERROR(__xludf.DUMMYFUNCTION("""COMPUTED_VALUE"""),1448.0)</f>
        <v>1448</v>
      </c>
      <c r="D100" s="6">
        <f>IFERROR(__xludf.DUMMYFUNCTION("""COMPUTED_VALUE"""),1284.4)</f>
        <v>1284.4</v>
      </c>
      <c r="E100" s="6">
        <f>IFERROR(__xludf.DUMMYFUNCTION("""COMPUTED_VALUE"""),1425.1)</f>
        <v>1425.1</v>
      </c>
      <c r="F100" s="6">
        <f>IFERROR(__xludf.DUMMYFUNCTION("""COMPUTED_VALUE"""),9217884.0)</f>
        <v>9217884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IFERROR(__xludf.DUMMYFUNCTION("""COMPUTED_VALUE"""),1424.9)</f>
        <v>1424.9</v>
      </c>
      <c r="C101" s="6">
        <f>IFERROR(__xludf.DUMMYFUNCTION("""COMPUTED_VALUE"""),1426.4)</f>
        <v>1426.4</v>
      </c>
      <c r="D101" s="6">
        <f>IFERROR(__xludf.DUMMYFUNCTION("""COMPUTED_VALUE"""),1385.2)</f>
        <v>1385.2</v>
      </c>
      <c r="E101" s="6">
        <f>IFERROR(__xludf.DUMMYFUNCTION("""COMPUTED_VALUE"""),1390.1)</f>
        <v>1390.1</v>
      </c>
      <c r="F101" s="6">
        <f>IFERROR(__xludf.DUMMYFUNCTION("""COMPUTED_VALUE"""),9533176.0)</f>
        <v>9533176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IFERROR(__xludf.DUMMYFUNCTION("GOOGLEFINANCE(""NSE:ATGL"",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IFERROR(__xludf.DUMMYFUNCTION("""COMPUTED_VALUE"""),657.9)</f>
        <v>657.9</v>
      </c>
      <c r="C2" s="6">
        <f>IFERROR(__xludf.DUMMYFUNCTION("""COMPUTED_VALUE"""),664.5)</f>
        <v>664.5</v>
      </c>
      <c r="D2" s="6">
        <f>IFERROR(__xludf.DUMMYFUNCTION("""COMPUTED_VALUE"""),621.0)</f>
        <v>621</v>
      </c>
      <c r="E2" s="6">
        <f>IFERROR(__xludf.DUMMYFUNCTION("""COMPUTED_VALUE"""),633.85)</f>
        <v>633.85</v>
      </c>
      <c r="F2" s="6">
        <f>IFERROR(__xludf.DUMMYFUNCTION("""COMPUTED_VALUE"""),3422180.0)</f>
        <v>3422180</v>
      </c>
    </row>
    <row r="3">
      <c r="A3" s="7">
        <f>IFERROR(__xludf.DUMMYFUNCTION("""COMPUTED_VALUE"""),45177.64583333333)</f>
        <v>45177.64583</v>
      </c>
      <c r="B3" s="6">
        <f>IFERROR(__xludf.DUMMYFUNCTION("""COMPUTED_VALUE"""),640.0)</f>
        <v>640</v>
      </c>
      <c r="C3" s="6">
        <f>IFERROR(__xludf.DUMMYFUNCTION("""COMPUTED_VALUE"""),655.35)</f>
        <v>655.35</v>
      </c>
      <c r="D3" s="6">
        <f>IFERROR(__xludf.DUMMYFUNCTION("""COMPUTED_VALUE"""),630.15)</f>
        <v>630.15</v>
      </c>
      <c r="E3" s="6">
        <f>IFERROR(__xludf.DUMMYFUNCTION("""COMPUTED_VALUE"""),644.8)</f>
        <v>644.8</v>
      </c>
      <c r="F3" s="6">
        <f>IFERROR(__xludf.DUMMYFUNCTION("""COMPUTED_VALUE"""),3108396.0)</f>
        <v>3108396</v>
      </c>
    </row>
    <row r="4">
      <c r="A4" s="7">
        <f>IFERROR(__xludf.DUMMYFUNCTION("""COMPUTED_VALUE"""),45184.64583333333)</f>
        <v>45184.64583</v>
      </c>
      <c r="B4" s="6">
        <f>IFERROR(__xludf.DUMMYFUNCTION("""COMPUTED_VALUE"""),649.95)</f>
        <v>649.95</v>
      </c>
      <c r="C4" s="6">
        <f>IFERROR(__xludf.DUMMYFUNCTION("""COMPUTED_VALUE"""),673.05)</f>
        <v>673.05</v>
      </c>
      <c r="D4" s="6">
        <f>IFERROR(__xludf.DUMMYFUNCTION("""COMPUTED_VALUE"""),632.35)</f>
        <v>632.35</v>
      </c>
      <c r="E4" s="6">
        <f>IFERROR(__xludf.DUMMYFUNCTION("""COMPUTED_VALUE"""),636.35)</f>
        <v>636.35</v>
      </c>
      <c r="F4" s="6">
        <f>IFERROR(__xludf.DUMMYFUNCTION("""COMPUTED_VALUE"""),3636814.0)</f>
        <v>3636814</v>
      </c>
    </row>
    <row r="5">
      <c r="A5" s="7">
        <f>IFERROR(__xludf.DUMMYFUNCTION("""COMPUTED_VALUE"""),45191.64583333333)</f>
        <v>45191.64583</v>
      </c>
      <c r="B5" s="6">
        <f>IFERROR(__xludf.DUMMYFUNCTION("""COMPUTED_VALUE"""),648.45)</f>
        <v>648.45</v>
      </c>
      <c r="C5" s="6">
        <f>IFERROR(__xludf.DUMMYFUNCTION("""COMPUTED_VALUE"""),649.05)</f>
        <v>649.05</v>
      </c>
      <c r="D5" s="6">
        <f>IFERROR(__xludf.DUMMYFUNCTION("""COMPUTED_VALUE"""),635.0)</f>
        <v>635</v>
      </c>
      <c r="E5" s="6">
        <f>IFERROR(__xludf.DUMMYFUNCTION("""COMPUTED_VALUE"""),636.65)</f>
        <v>636.65</v>
      </c>
      <c r="F5" s="6">
        <f>IFERROR(__xludf.DUMMYFUNCTION("""COMPUTED_VALUE"""),1628374.0)</f>
        <v>1628374</v>
      </c>
    </row>
    <row r="6">
      <c r="A6" s="7">
        <f>IFERROR(__xludf.DUMMYFUNCTION("""COMPUTED_VALUE"""),45198.64583333333)</f>
        <v>45198.64583</v>
      </c>
      <c r="B6" s="6">
        <f>IFERROR(__xludf.DUMMYFUNCTION("""COMPUTED_VALUE"""),639.9)</f>
        <v>639.9</v>
      </c>
      <c r="C6" s="6">
        <f>IFERROR(__xludf.DUMMYFUNCTION("""COMPUTED_VALUE"""),639.9)</f>
        <v>639.9</v>
      </c>
      <c r="D6" s="6">
        <f>IFERROR(__xludf.DUMMYFUNCTION("""COMPUTED_VALUE"""),611.05)</f>
        <v>611.05</v>
      </c>
      <c r="E6" s="6">
        <f>IFERROR(__xludf.DUMMYFUNCTION("""COMPUTED_VALUE"""),613.25)</f>
        <v>613.25</v>
      </c>
      <c r="F6" s="6">
        <f>IFERROR(__xludf.DUMMYFUNCTION("""COMPUTED_VALUE"""),2161035.0)</f>
        <v>2161035</v>
      </c>
    </row>
    <row r="7">
      <c r="A7" s="7">
        <f>IFERROR(__xludf.DUMMYFUNCTION("""COMPUTED_VALUE"""),45205.64583333333)</f>
        <v>45205.64583</v>
      </c>
      <c r="B7" s="6">
        <f>IFERROR(__xludf.DUMMYFUNCTION("""COMPUTED_VALUE"""),619.85)</f>
        <v>619.85</v>
      </c>
      <c r="C7" s="6">
        <f>IFERROR(__xludf.DUMMYFUNCTION("""COMPUTED_VALUE"""),629.75)</f>
        <v>629.75</v>
      </c>
      <c r="D7" s="6">
        <f>IFERROR(__xludf.DUMMYFUNCTION("""COMPUTED_VALUE"""),600.55)</f>
        <v>600.55</v>
      </c>
      <c r="E7" s="6">
        <f>IFERROR(__xludf.DUMMYFUNCTION("""COMPUTED_VALUE"""),604.6)</f>
        <v>604.6</v>
      </c>
      <c r="F7" s="6">
        <f>IFERROR(__xludf.DUMMYFUNCTION("""COMPUTED_VALUE"""),2836394.0)</f>
        <v>2836394</v>
      </c>
    </row>
    <row r="8">
      <c r="A8" s="7">
        <f>IFERROR(__xludf.DUMMYFUNCTION("""COMPUTED_VALUE"""),45212.64583333333)</f>
        <v>45212.64583</v>
      </c>
      <c r="B8" s="6">
        <f>IFERROR(__xludf.DUMMYFUNCTION("""COMPUTED_VALUE"""),600.0)</f>
        <v>600</v>
      </c>
      <c r="C8" s="6">
        <f>IFERROR(__xludf.DUMMYFUNCTION("""COMPUTED_VALUE"""),626.0)</f>
        <v>626</v>
      </c>
      <c r="D8" s="6">
        <f>IFERROR(__xludf.DUMMYFUNCTION("""COMPUTED_VALUE"""),587.75)</f>
        <v>587.75</v>
      </c>
      <c r="E8" s="6">
        <f>IFERROR(__xludf.DUMMYFUNCTION("""COMPUTED_VALUE"""),601.65)</f>
        <v>601.65</v>
      </c>
      <c r="F8" s="6">
        <f>IFERROR(__xludf.DUMMYFUNCTION("""COMPUTED_VALUE"""),4607724.0)</f>
        <v>4607724</v>
      </c>
    </row>
    <row r="9">
      <c r="A9" s="7">
        <f>IFERROR(__xludf.DUMMYFUNCTION("""COMPUTED_VALUE"""),45219.64583333333)</f>
        <v>45219.64583</v>
      </c>
      <c r="B9" s="6">
        <f>IFERROR(__xludf.DUMMYFUNCTION("""COMPUTED_VALUE"""),602.0)</f>
        <v>602</v>
      </c>
      <c r="C9" s="6">
        <f>IFERROR(__xludf.DUMMYFUNCTION("""COMPUTED_VALUE"""),604.5)</f>
        <v>604.5</v>
      </c>
      <c r="D9" s="6">
        <f>IFERROR(__xludf.DUMMYFUNCTION("""COMPUTED_VALUE"""),586.0)</f>
        <v>586</v>
      </c>
      <c r="E9" s="6">
        <f>IFERROR(__xludf.DUMMYFUNCTION("""COMPUTED_VALUE"""),590.8)</f>
        <v>590.8</v>
      </c>
      <c r="F9" s="6">
        <f>IFERROR(__xludf.DUMMYFUNCTION("""COMPUTED_VALUE"""),4626610.0)</f>
        <v>4626610</v>
      </c>
    </row>
    <row r="10">
      <c r="A10" s="7">
        <f>IFERROR(__xludf.DUMMYFUNCTION("""COMPUTED_VALUE"""),45226.64583333333)</f>
        <v>45226.64583</v>
      </c>
      <c r="B10" s="6">
        <f>IFERROR(__xludf.DUMMYFUNCTION("""COMPUTED_VALUE"""),590.05)</f>
        <v>590.05</v>
      </c>
      <c r="C10" s="6">
        <f>IFERROR(__xludf.DUMMYFUNCTION("""COMPUTED_VALUE"""),594.0)</f>
        <v>594</v>
      </c>
      <c r="D10" s="6">
        <f>IFERROR(__xludf.DUMMYFUNCTION("""COMPUTED_VALUE"""),522.0)</f>
        <v>522</v>
      </c>
      <c r="E10" s="6">
        <f>IFERROR(__xludf.DUMMYFUNCTION("""COMPUTED_VALUE"""),560.25)</f>
        <v>560.25</v>
      </c>
      <c r="F10" s="6">
        <f>IFERROR(__xludf.DUMMYFUNCTION("""COMPUTED_VALUE"""),7249242.0)</f>
        <v>7249242</v>
      </c>
    </row>
    <row r="11">
      <c r="A11" s="7">
        <f>IFERROR(__xludf.DUMMYFUNCTION("""COMPUTED_VALUE"""),45233.64583333333)</f>
        <v>45233.64583</v>
      </c>
      <c r="B11" s="6">
        <f>IFERROR(__xludf.DUMMYFUNCTION("""COMPUTED_VALUE"""),568.0)</f>
        <v>568</v>
      </c>
      <c r="C11" s="6">
        <f>IFERROR(__xludf.DUMMYFUNCTION("""COMPUTED_VALUE"""),575.55)</f>
        <v>575.55</v>
      </c>
      <c r="D11" s="6">
        <f>IFERROR(__xludf.DUMMYFUNCTION("""COMPUTED_VALUE"""),551.0)</f>
        <v>551</v>
      </c>
      <c r="E11" s="6">
        <f>IFERROR(__xludf.DUMMYFUNCTION("""COMPUTED_VALUE"""),553.2)</f>
        <v>553.2</v>
      </c>
      <c r="F11" s="6">
        <f>IFERROR(__xludf.DUMMYFUNCTION("""COMPUTED_VALUE"""),2764945.0)</f>
        <v>2764945</v>
      </c>
    </row>
    <row r="12">
      <c r="A12" s="7">
        <f>IFERROR(__xludf.DUMMYFUNCTION("""COMPUTED_VALUE"""),45240.64583333333)</f>
        <v>45240.64583</v>
      </c>
      <c r="B12" s="6">
        <f>IFERROR(__xludf.DUMMYFUNCTION("""COMPUTED_VALUE"""),554.8)</f>
        <v>554.8</v>
      </c>
      <c r="C12" s="6">
        <f>IFERROR(__xludf.DUMMYFUNCTION("""COMPUTED_VALUE"""),559.8)</f>
        <v>559.8</v>
      </c>
      <c r="D12" s="6">
        <f>IFERROR(__xludf.DUMMYFUNCTION("""COMPUTED_VALUE"""),532.0)</f>
        <v>532</v>
      </c>
      <c r="E12" s="6">
        <f>IFERROR(__xludf.DUMMYFUNCTION("""COMPUTED_VALUE"""),539.5)</f>
        <v>539.5</v>
      </c>
      <c r="F12" s="6">
        <f>IFERROR(__xludf.DUMMYFUNCTION("""COMPUTED_VALUE"""),1942474.0)</f>
        <v>1942474</v>
      </c>
    </row>
    <row r="13">
      <c r="A13" s="7">
        <f>IFERROR(__xludf.DUMMYFUNCTION("""COMPUTED_VALUE"""),45247.64583333333)</f>
        <v>45247.64583</v>
      </c>
      <c r="B13" s="6">
        <f>IFERROR(__xludf.DUMMYFUNCTION("""COMPUTED_VALUE"""),549.5)</f>
        <v>549.5</v>
      </c>
      <c r="C13" s="6">
        <f>IFERROR(__xludf.DUMMYFUNCTION("""COMPUTED_VALUE"""),549.8)</f>
        <v>549.8</v>
      </c>
      <c r="D13" s="6">
        <f>IFERROR(__xludf.DUMMYFUNCTION("""COMPUTED_VALUE"""),532.05)</f>
        <v>532.05</v>
      </c>
      <c r="E13" s="6">
        <f>IFERROR(__xludf.DUMMYFUNCTION("""COMPUTED_VALUE"""),534.05)</f>
        <v>534.05</v>
      </c>
      <c r="F13" s="6">
        <f>IFERROR(__xludf.DUMMYFUNCTION("""COMPUTED_VALUE"""),1267233.0)</f>
        <v>1267233</v>
      </c>
    </row>
    <row r="14">
      <c r="A14" s="7">
        <f>IFERROR(__xludf.DUMMYFUNCTION("""COMPUTED_VALUE"""),45254.64583333333)</f>
        <v>45254.64583</v>
      </c>
      <c r="B14" s="6">
        <f>IFERROR(__xludf.DUMMYFUNCTION("""COMPUTED_VALUE"""),535.1)</f>
        <v>535.1</v>
      </c>
      <c r="C14" s="6">
        <f>IFERROR(__xludf.DUMMYFUNCTION("""COMPUTED_VALUE"""),549.0)</f>
        <v>549</v>
      </c>
      <c r="D14" s="6">
        <f>IFERROR(__xludf.DUMMYFUNCTION("""COMPUTED_VALUE"""),527.0)</f>
        <v>527</v>
      </c>
      <c r="E14" s="6">
        <f>IFERROR(__xludf.DUMMYFUNCTION("""COMPUTED_VALUE"""),536.95)</f>
        <v>536.95</v>
      </c>
      <c r="F14" s="6">
        <f>IFERROR(__xludf.DUMMYFUNCTION("""COMPUTED_VALUE"""),2256234.0)</f>
        <v>2256234</v>
      </c>
    </row>
    <row r="15">
      <c r="A15" s="7">
        <f>IFERROR(__xludf.DUMMYFUNCTION("""COMPUTED_VALUE"""),45261.64583333333)</f>
        <v>45261.64583</v>
      </c>
      <c r="B15" s="6">
        <f>IFERROR(__xludf.DUMMYFUNCTION("""COMPUTED_VALUE"""),550.0)</f>
        <v>550</v>
      </c>
      <c r="C15" s="6">
        <f>IFERROR(__xludf.DUMMYFUNCTION("""COMPUTED_VALUE"""),760.0)</f>
        <v>760</v>
      </c>
      <c r="D15" s="6">
        <f>IFERROR(__xludf.DUMMYFUNCTION("""COMPUTED_VALUE"""),549.0)</f>
        <v>549</v>
      </c>
      <c r="E15" s="6">
        <f>IFERROR(__xludf.DUMMYFUNCTION("""COMPUTED_VALUE"""),701.45)</f>
        <v>701.45</v>
      </c>
      <c r="F15" s="6">
        <f>IFERROR(__xludf.DUMMYFUNCTION("""COMPUTED_VALUE"""),3.733687E7)</f>
        <v>37336870</v>
      </c>
    </row>
    <row r="16">
      <c r="A16" s="7">
        <f>IFERROR(__xludf.DUMMYFUNCTION("""COMPUTED_VALUE"""),45268.64583333333)</f>
        <v>45268.64583</v>
      </c>
      <c r="B16" s="6">
        <f>IFERROR(__xludf.DUMMYFUNCTION("""COMPUTED_VALUE"""),770.0)</f>
        <v>770</v>
      </c>
      <c r="C16" s="6">
        <f>IFERROR(__xludf.DUMMYFUNCTION("""COMPUTED_VALUE"""),1259.4)</f>
        <v>1259.4</v>
      </c>
      <c r="D16" s="6">
        <f>IFERROR(__xludf.DUMMYFUNCTION("""COMPUTED_VALUE"""),712.0)</f>
        <v>712</v>
      </c>
      <c r="E16" s="6">
        <f>IFERROR(__xludf.DUMMYFUNCTION("""COMPUTED_VALUE"""),1156.8)</f>
        <v>1156.8</v>
      </c>
      <c r="F16" s="6">
        <f>IFERROR(__xludf.DUMMYFUNCTION("""COMPUTED_VALUE"""),8.684186E7)</f>
        <v>86841860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IFERROR(__xludf.DUMMYFUNCTION("""COMPUTED_VALUE"""),1179.95)</f>
        <v>1179.95</v>
      </c>
      <c r="C17" s="6">
        <f>IFERROR(__xludf.DUMMYFUNCTION("""COMPUTED_VALUE"""),1225.0)</f>
        <v>1225</v>
      </c>
      <c r="D17" s="6">
        <f>IFERROR(__xludf.DUMMYFUNCTION("""COMPUTED_VALUE"""),1002.8)</f>
        <v>1002.8</v>
      </c>
      <c r="E17" s="6">
        <f>IFERROR(__xludf.DUMMYFUNCTION("""COMPUTED_VALUE"""),1046.95)</f>
        <v>1046.95</v>
      </c>
      <c r="F17" s="6">
        <f>IFERROR(__xludf.DUMMYFUNCTION("""COMPUTED_VALUE"""),3.4164033E7)</f>
        <v>34164033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IFERROR(__xludf.DUMMYFUNCTION("""COMPUTED_VALUE"""),1047.0)</f>
        <v>1047</v>
      </c>
      <c r="C18" s="6">
        <f>IFERROR(__xludf.DUMMYFUNCTION("""COMPUTED_VALUE"""),1059.5)</f>
        <v>1059.5</v>
      </c>
      <c r="D18" s="6">
        <f>IFERROR(__xludf.DUMMYFUNCTION("""COMPUTED_VALUE"""),923.0)</f>
        <v>923</v>
      </c>
      <c r="E18" s="6">
        <f>IFERROR(__xludf.DUMMYFUNCTION("""COMPUTED_VALUE"""),996.3)</f>
        <v>996.3</v>
      </c>
      <c r="F18" s="6">
        <f>IFERROR(__xludf.DUMMYFUNCTION("""COMPUTED_VALUE"""),1.6681821E7)</f>
        <v>16681821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IFERROR(__xludf.DUMMYFUNCTION("""COMPUTED_VALUE"""),1001.45)</f>
        <v>1001.45</v>
      </c>
      <c r="C19" s="6">
        <f>IFERROR(__xludf.DUMMYFUNCTION("""COMPUTED_VALUE"""),1020.0)</f>
        <v>1020</v>
      </c>
      <c r="D19" s="6">
        <f>IFERROR(__xludf.DUMMYFUNCTION("""COMPUTED_VALUE"""),968.0)</f>
        <v>968</v>
      </c>
      <c r="E19" s="6">
        <f>IFERROR(__xludf.DUMMYFUNCTION("""COMPUTED_VALUE"""),987.95)</f>
        <v>987.95</v>
      </c>
      <c r="F19" s="6">
        <f>IFERROR(__xludf.DUMMYFUNCTION("""COMPUTED_VALUE"""),7031377.0)</f>
        <v>7031377</v>
      </c>
    </row>
    <row r="20">
      <c r="A20" s="7">
        <f>IFERROR(__xludf.DUMMYFUNCTION("""COMPUTED_VALUE"""),45296.64583333333)</f>
        <v>45296.64583</v>
      </c>
      <c r="B20" s="6">
        <f>IFERROR(__xludf.DUMMYFUNCTION("""COMPUTED_VALUE"""),992.4)</f>
        <v>992.4</v>
      </c>
      <c r="C20" s="6">
        <f>IFERROR(__xludf.DUMMYFUNCTION("""COMPUTED_VALUE"""),1159.8)</f>
        <v>1159.8</v>
      </c>
      <c r="D20" s="6">
        <f>IFERROR(__xludf.DUMMYFUNCTION("""COMPUTED_VALUE"""),983.5)</f>
        <v>983.5</v>
      </c>
      <c r="E20" s="6">
        <f>IFERROR(__xludf.DUMMYFUNCTION("""COMPUTED_VALUE"""),1090.55)</f>
        <v>1090.55</v>
      </c>
      <c r="F20" s="6">
        <f>IFERROR(__xludf.DUMMYFUNCTION("""COMPUTED_VALUE"""),3.0768916E7)</f>
        <v>30768916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IFERROR(__xludf.DUMMYFUNCTION("""COMPUTED_VALUE"""),1092.9)</f>
        <v>1092.9</v>
      </c>
      <c r="C21" s="6">
        <f>IFERROR(__xludf.DUMMYFUNCTION("""COMPUTED_VALUE"""),1100.0)</f>
        <v>1100</v>
      </c>
      <c r="D21" s="6">
        <f>IFERROR(__xludf.DUMMYFUNCTION("""COMPUTED_VALUE"""),1055.1)</f>
        <v>1055.1</v>
      </c>
      <c r="E21" s="6">
        <f>IFERROR(__xludf.DUMMYFUNCTION("""COMPUTED_VALUE"""),1058.5)</f>
        <v>1058.5</v>
      </c>
      <c r="F21" s="6">
        <f>IFERROR(__xludf.DUMMYFUNCTION("""COMPUTED_VALUE"""),7745409.0)</f>
        <v>7745409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IFERROR(__xludf.DUMMYFUNCTION("""COMPUTED_VALUE"""),1060.0)</f>
        <v>1060</v>
      </c>
      <c r="C22" s="6">
        <f>IFERROR(__xludf.DUMMYFUNCTION("""COMPUTED_VALUE"""),1068.0)</f>
        <v>1068</v>
      </c>
      <c r="D22" s="6">
        <f>IFERROR(__xludf.DUMMYFUNCTION("""COMPUTED_VALUE"""),982.0)</f>
        <v>982</v>
      </c>
      <c r="E22" s="6">
        <f>IFERROR(__xludf.DUMMYFUNCTION("""COMPUTED_VALUE"""),1002.95)</f>
        <v>1002.95</v>
      </c>
      <c r="F22" s="6">
        <f>IFERROR(__xludf.DUMMYFUNCTION("""COMPUTED_VALUE"""),3617728.0)</f>
        <v>3617728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IFERROR(__xludf.DUMMYFUNCTION("""COMPUTED_VALUE"""),1010.0)</f>
        <v>1010</v>
      </c>
      <c r="C23" s="6">
        <f>IFERROR(__xludf.DUMMYFUNCTION("""COMPUTED_VALUE"""),1053.0)</f>
        <v>1053</v>
      </c>
      <c r="D23" s="6">
        <f>IFERROR(__xludf.DUMMYFUNCTION("""COMPUTED_VALUE"""),996.0)</f>
        <v>996</v>
      </c>
      <c r="E23" s="6">
        <f>IFERROR(__xludf.DUMMYFUNCTION("""COMPUTED_VALUE"""),999.25)</f>
        <v>999.25</v>
      </c>
      <c r="F23" s="6">
        <f>IFERROR(__xludf.DUMMYFUNCTION("""COMPUTED_VALUE"""),1.2402552E7)</f>
        <v>12402552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IFERROR(__xludf.DUMMYFUNCTION("""COMPUTED_VALUE"""),1003.0)</f>
        <v>1003</v>
      </c>
      <c r="C24" s="6">
        <f>IFERROR(__xludf.DUMMYFUNCTION("""COMPUTED_VALUE"""),1072.2)</f>
        <v>1072.2</v>
      </c>
      <c r="D24" s="6">
        <f>IFERROR(__xludf.DUMMYFUNCTION("""COMPUTED_VALUE"""),985.0)</f>
        <v>985</v>
      </c>
      <c r="E24" s="6">
        <f>IFERROR(__xludf.DUMMYFUNCTION("""COMPUTED_VALUE"""),1023.75)</f>
        <v>1023.75</v>
      </c>
      <c r="F24" s="6">
        <f>IFERROR(__xludf.DUMMYFUNCTION("""COMPUTED_VALUE"""),1.7887689E7)</f>
        <v>17887689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IFERROR(__xludf.DUMMYFUNCTION("""COMPUTED_VALUE"""),1033.7)</f>
        <v>1033.7</v>
      </c>
      <c r="C25" s="6">
        <f>IFERROR(__xludf.DUMMYFUNCTION("""COMPUTED_VALUE"""),1061.9)</f>
        <v>1061.9</v>
      </c>
      <c r="D25" s="6">
        <f>IFERROR(__xludf.DUMMYFUNCTION("""COMPUTED_VALUE"""),983.0)</f>
        <v>983</v>
      </c>
      <c r="E25" s="6">
        <f>IFERROR(__xludf.DUMMYFUNCTION("""COMPUTED_VALUE"""),1006.2)</f>
        <v>1006.2</v>
      </c>
      <c r="F25" s="6">
        <f>IFERROR(__xludf.DUMMYFUNCTION("""COMPUTED_VALUE"""),1.3501772E7)</f>
        <v>13501772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IFERROR(__xludf.DUMMYFUNCTION("""COMPUTED_VALUE"""),1015.55)</f>
        <v>1015.55</v>
      </c>
      <c r="C26" s="6">
        <f>IFERROR(__xludf.DUMMYFUNCTION("""COMPUTED_VALUE"""),1046.0)</f>
        <v>1046</v>
      </c>
      <c r="D26" s="6">
        <f>IFERROR(__xludf.DUMMYFUNCTION("""COMPUTED_VALUE"""),1004.0)</f>
        <v>1004</v>
      </c>
      <c r="E26" s="6">
        <f>IFERROR(__xludf.DUMMYFUNCTION("""COMPUTED_VALUE"""),1029.4)</f>
        <v>1029.4</v>
      </c>
      <c r="F26" s="6">
        <f>IFERROR(__xludf.DUMMYFUNCTION("""COMPUTED_VALUE"""),1.5675793E7)</f>
        <v>15675793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IFERROR(__xludf.DUMMYFUNCTION("""COMPUTED_VALUE"""),1047.7)</f>
        <v>1047.7</v>
      </c>
      <c r="C27" s="6">
        <f>IFERROR(__xludf.DUMMYFUNCTION("""COMPUTED_VALUE"""),1047.7)</f>
        <v>1047.7</v>
      </c>
      <c r="D27" s="6">
        <f>IFERROR(__xludf.DUMMYFUNCTION("""COMPUTED_VALUE"""),995.35)</f>
        <v>995.35</v>
      </c>
      <c r="E27" s="6">
        <f>IFERROR(__xludf.DUMMYFUNCTION("""COMPUTED_VALUE"""),1009.2)</f>
        <v>1009.2</v>
      </c>
      <c r="F27" s="6">
        <f>IFERROR(__xludf.DUMMYFUNCTION("""COMPUTED_VALUE"""),1.2499037E7)</f>
        <v>12499037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IFERROR(__xludf.DUMMYFUNCTION("""COMPUTED_VALUE"""),1010.0)</f>
        <v>1010</v>
      </c>
      <c r="C28" s="6">
        <f>IFERROR(__xludf.DUMMYFUNCTION("""COMPUTED_VALUE"""),1022.9)</f>
        <v>1022.9</v>
      </c>
      <c r="D28" s="6">
        <f>IFERROR(__xludf.DUMMYFUNCTION("""COMPUTED_VALUE"""),846.55)</f>
        <v>846.55</v>
      </c>
      <c r="E28" s="6">
        <f>IFERROR(__xludf.DUMMYFUNCTION("""COMPUTED_VALUE"""),989.0)</f>
        <v>989</v>
      </c>
      <c r="F28" s="6">
        <f>IFERROR(__xludf.DUMMYFUNCTION("""COMPUTED_VALUE"""),2.2095696E7)</f>
        <v>22095696</v>
      </c>
    </row>
    <row r="29">
      <c r="A29" s="7">
        <f>IFERROR(__xludf.DUMMYFUNCTION("""COMPUTED_VALUE"""),45373.64583333333)</f>
        <v>45373.64583</v>
      </c>
      <c r="B29" s="6">
        <f>IFERROR(__xludf.DUMMYFUNCTION("""COMPUTED_VALUE"""),947.65)</f>
        <v>947.65</v>
      </c>
      <c r="C29" s="6">
        <f>IFERROR(__xludf.DUMMYFUNCTION("""COMPUTED_VALUE"""),974.95)</f>
        <v>974.95</v>
      </c>
      <c r="D29" s="6">
        <f>IFERROR(__xludf.DUMMYFUNCTION("""COMPUTED_VALUE"""),912.6)</f>
        <v>912.6</v>
      </c>
      <c r="E29" s="6">
        <f>IFERROR(__xludf.DUMMYFUNCTION("""COMPUTED_VALUE"""),938.85)</f>
        <v>938.85</v>
      </c>
      <c r="F29" s="6">
        <f>IFERROR(__xludf.DUMMYFUNCTION("""COMPUTED_VALUE"""),1.0810577E7)</f>
        <v>10810577</v>
      </c>
    </row>
    <row r="30">
      <c r="A30" s="7">
        <f>IFERROR(__xludf.DUMMYFUNCTION("""COMPUTED_VALUE"""),45379.64583333333)</f>
        <v>45379.64583</v>
      </c>
      <c r="B30" s="6">
        <f>IFERROR(__xludf.DUMMYFUNCTION("""COMPUTED_VALUE"""),938.85)</f>
        <v>938.85</v>
      </c>
      <c r="C30" s="6">
        <f>IFERROR(__xludf.DUMMYFUNCTION("""COMPUTED_VALUE"""),968.9)</f>
        <v>968.9</v>
      </c>
      <c r="D30" s="6">
        <f>IFERROR(__xludf.DUMMYFUNCTION("""COMPUTED_VALUE"""),910.0)</f>
        <v>910</v>
      </c>
      <c r="E30" s="6">
        <f>IFERROR(__xludf.DUMMYFUNCTION("""COMPUTED_VALUE"""),926.55)</f>
        <v>926.55</v>
      </c>
      <c r="F30" s="6">
        <f>IFERROR(__xludf.DUMMYFUNCTION("""COMPUTED_VALUE"""),1.0407176E7)</f>
        <v>10407176</v>
      </c>
    </row>
    <row r="31">
      <c r="A31" s="7">
        <f>IFERROR(__xludf.DUMMYFUNCTION("""COMPUTED_VALUE"""),45387.64583333333)</f>
        <v>45387.64583</v>
      </c>
      <c r="B31" s="6">
        <f>IFERROR(__xludf.DUMMYFUNCTION("""COMPUTED_VALUE"""),947.95)</f>
        <v>947.95</v>
      </c>
      <c r="C31" s="6">
        <f>IFERROR(__xludf.DUMMYFUNCTION("""COMPUTED_VALUE"""),1000.0)</f>
        <v>1000</v>
      </c>
      <c r="D31" s="6">
        <f>IFERROR(__xludf.DUMMYFUNCTION("""COMPUTED_VALUE"""),945.0)</f>
        <v>945</v>
      </c>
      <c r="E31" s="6">
        <f>IFERROR(__xludf.DUMMYFUNCTION("""COMPUTED_VALUE"""),979.0)</f>
        <v>979</v>
      </c>
      <c r="F31" s="6">
        <f>IFERROR(__xludf.DUMMYFUNCTION("""COMPUTED_VALUE"""),1.5356162E7)</f>
        <v>15356162</v>
      </c>
    </row>
    <row r="32">
      <c r="A32" s="7">
        <f>IFERROR(__xludf.DUMMYFUNCTION("""COMPUTED_VALUE"""),45394.64583333333)</f>
        <v>45394.64583</v>
      </c>
      <c r="B32" s="6">
        <f>IFERROR(__xludf.DUMMYFUNCTION("""COMPUTED_VALUE"""),986.95)</f>
        <v>986.95</v>
      </c>
      <c r="C32" s="6">
        <f>IFERROR(__xludf.DUMMYFUNCTION("""COMPUTED_VALUE"""),988.0)</f>
        <v>988</v>
      </c>
      <c r="D32" s="6">
        <f>IFERROR(__xludf.DUMMYFUNCTION("""COMPUTED_VALUE"""),942.85)</f>
        <v>942.85</v>
      </c>
      <c r="E32" s="6">
        <f>IFERROR(__xludf.DUMMYFUNCTION("""COMPUTED_VALUE"""),948.05)</f>
        <v>948.05</v>
      </c>
      <c r="F32" s="6">
        <f>IFERROR(__xludf.DUMMYFUNCTION("""COMPUTED_VALUE"""),3087441.0)</f>
        <v>3087441</v>
      </c>
    </row>
    <row r="33">
      <c r="A33" s="7">
        <f>IFERROR(__xludf.DUMMYFUNCTION("""COMPUTED_VALUE"""),45401.64583333333)</f>
        <v>45401.64583</v>
      </c>
      <c r="B33" s="6">
        <f>IFERROR(__xludf.DUMMYFUNCTION("""COMPUTED_VALUE"""),920.0)</f>
        <v>920</v>
      </c>
      <c r="C33" s="6">
        <f>IFERROR(__xludf.DUMMYFUNCTION("""COMPUTED_VALUE"""),955.7)</f>
        <v>955.7</v>
      </c>
      <c r="D33" s="6">
        <f>IFERROR(__xludf.DUMMYFUNCTION("""COMPUTED_VALUE"""),898.0)</f>
        <v>898</v>
      </c>
      <c r="E33" s="6">
        <f>IFERROR(__xludf.DUMMYFUNCTION("""COMPUTED_VALUE"""),912.4)</f>
        <v>912.4</v>
      </c>
      <c r="F33" s="6">
        <f>IFERROR(__xludf.DUMMYFUNCTION("""COMPUTED_VALUE"""),3905513.0)</f>
        <v>3905513</v>
      </c>
    </row>
    <row r="34">
      <c r="A34" s="7">
        <f>IFERROR(__xludf.DUMMYFUNCTION("""COMPUTED_VALUE"""),45408.64583333333)</f>
        <v>45408.64583</v>
      </c>
      <c r="B34" s="6">
        <f>IFERROR(__xludf.DUMMYFUNCTION("""COMPUTED_VALUE"""),930.0)</f>
        <v>930</v>
      </c>
      <c r="C34" s="6">
        <f>IFERROR(__xludf.DUMMYFUNCTION("""COMPUTED_VALUE"""),931.35)</f>
        <v>931.35</v>
      </c>
      <c r="D34" s="6">
        <f>IFERROR(__xludf.DUMMYFUNCTION("""COMPUTED_VALUE"""),912.05)</f>
        <v>912.05</v>
      </c>
      <c r="E34" s="6">
        <f>IFERROR(__xludf.DUMMYFUNCTION("""COMPUTED_VALUE"""),919.15)</f>
        <v>919.15</v>
      </c>
      <c r="F34" s="6">
        <f>IFERROR(__xludf.DUMMYFUNCTION("""COMPUTED_VALUE"""),2746560.0)</f>
        <v>2746560</v>
      </c>
    </row>
    <row r="35">
      <c r="A35" s="7">
        <f>IFERROR(__xludf.DUMMYFUNCTION("""COMPUTED_VALUE"""),45415.64583333333)</f>
        <v>45415.64583</v>
      </c>
      <c r="B35" s="6">
        <f>IFERROR(__xludf.DUMMYFUNCTION("""COMPUTED_VALUE"""),926.0)</f>
        <v>926</v>
      </c>
      <c r="C35" s="6">
        <f>IFERROR(__xludf.DUMMYFUNCTION("""COMPUTED_VALUE"""),969.85)</f>
        <v>969.85</v>
      </c>
      <c r="D35" s="6">
        <f>IFERROR(__xludf.DUMMYFUNCTION("""COMPUTED_VALUE"""),918.0)</f>
        <v>918</v>
      </c>
      <c r="E35" s="6">
        <f>IFERROR(__xludf.DUMMYFUNCTION("""COMPUTED_VALUE"""),930.4)</f>
        <v>930.4</v>
      </c>
      <c r="F35" s="6">
        <f>IFERROR(__xludf.DUMMYFUNCTION("""COMPUTED_VALUE"""),6573054.0)</f>
        <v>6573054</v>
      </c>
    </row>
    <row r="36">
      <c r="A36" s="7">
        <f>IFERROR(__xludf.DUMMYFUNCTION("""COMPUTED_VALUE"""),45422.64583333333)</f>
        <v>45422.64583</v>
      </c>
      <c r="B36" s="6">
        <f>IFERROR(__xludf.DUMMYFUNCTION("""COMPUTED_VALUE"""),930.4)</f>
        <v>930.4</v>
      </c>
      <c r="C36" s="6">
        <f>IFERROR(__xludf.DUMMYFUNCTION("""COMPUTED_VALUE"""),930.55)</f>
        <v>930.55</v>
      </c>
      <c r="D36" s="6">
        <f>IFERROR(__xludf.DUMMYFUNCTION("""COMPUTED_VALUE"""),858.55)</f>
        <v>858.55</v>
      </c>
      <c r="E36" s="6">
        <f>IFERROR(__xludf.DUMMYFUNCTION("""COMPUTED_VALUE"""),867.05)</f>
        <v>867.05</v>
      </c>
      <c r="F36" s="6">
        <f>IFERROR(__xludf.DUMMYFUNCTION("""COMPUTED_VALUE"""),1.0238919E7)</f>
        <v>10238919</v>
      </c>
    </row>
    <row r="37">
      <c r="A37" s="7">
        <f>IFERROR(__xludf.DUMMYFUNCTION("""COMPUTED_VALUE"""),45436.64583333333)</f>
        <v>45436.64583</v>
      </c>
      <c r="B37" s="6">
        <f>IFERROR(__xludf.DUMMYFUNCTION("""COMPUTED_VALUE"""),914.8)</f>
        <v>914.8</v>
      </c>
      <c r="C37" s="6">
        <f>IFERROR(__xludf.DUMMYFUNCTION("""COMPUTED_VALUE"""),1002.7)</f>
        <v>1002.7</v>
      </c>
      <c r="D37" s="6">
        <f>IFERROR(__xludf.DUMMYFUNCTION("""COMPUTED_VALUE"""),905.15)</f>
        <v>905.15</v>
      </c>
      <c r="E37" s="6">
        <f>IFERROR(__xludf.DUMMYFUNCTION("""COMPUTED_VALUE"""),979.75)</f>
        <v>979.75</v>
      </c>
      <c r="F37" s="6">
        <f>IFERROR(__xludf.DUMMYFUNCTION("""COMPUTED_VALUE"""),1.0749256E7)</f>
        <v>10749256</v>
      </c>
    </row>
    <row r="38">
      <c r="A38" s="7">
        <f>IFERROR(__xludf.DUMMYFUNCTION("""COMPUTED_VALUE"""),45443.64583333333)</f>
        <v>45443.64583</v>
      </c>
      <c r="B38" s="6">
        <f>IFERROR(__xludf.DUMMYFUNCTION("""COMPUTED_VALUE"""),990.0)</f>
        <v>990</v>
      </c>
      <c r="C38" s="6">
        <f>IFERROR(__xludf.DUMMYFUNCTION("""COMPUTED_VALUE"""),1060.0)</f>
        <v>1060</v>
      </c>
      <c r="D38" s="6">
        <f>IFERROR(__xludf.DUMMYFUNCTION("""COMPUTED_VALUE"""),945.0)</f>
        <v>945</v>
      </c>
      <c r="E38" s="6">
        <f>IFERROR(__xludf.DUMMYFUNCTION("""COMPUTED_VALUE"""),1039.3)</f>
        <v>1039.3</v>
      </c>
      <c r="F38" s="6">
        <f>IFERROR(__xludf.DUMMYFUNCTION("""COMPUTED_VALUE"""),1.375777E7)</f>
        <v>13757770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IFERROR(__xludf.DUMMYFUNCTION("""COMPUTED_VALUE"""),1190.0)</f>
        <v>1190</v>
      </c>
      <c r="C39" s="6">
        <f>IFERROR(__xludf.DUMMYFUNCTION("""COMPUTED_VALUE"""),1190.0)</f>
        <v>1190</v>
      </c>
      <c r="D39" s="6">
        <f>IFERROR(__xludf.DUMMYFUNCTION("""COMPUTED_VALUE"""),824.25)</f>
        <v>824.25</v>
      </c>
      <c r="E39" s="6">
        <f>IFERROR(__xludf.DUMMYFUNCTION("""COMPUTED_VALUE"""),978.1)</f>
        <v>978.1</v>
      </c>
      <c r="F39" s="6">
        <f>IFERROR(__xludf.DUMMYFUNCTION("""COMPUTED_VALUE"""),3.5099099E7)</f>
        <v>35099099</v>
      </c>
    </row>
    <row r="40">
      <c r="A40" s="7">
        <f>IFERROR(__xludf.DUMMYFUNCTION("""COMPUTED_VALUE"""),45457.64583333333)</f>
        <v>45457.64583</v>
      </c>
      <c r="B40" s="6">
        <f>IFERROR(__xludf.DUMMYFUNCTION("""COMPUTED_VALUE"""),996.0)</f>
        <v>996</v>
      </c>
      <c r="C40" s="6">
        <f>IFERROR(__xludf.DUMMYFUNCTION("""COMPUTED_VALUE"""),1013.95)</f>
        <v>1013.95</v>
      </c>
      <c r="D40" s="6">
        <f>IFERROR(__xludf.DUMMYFUNCTION("""COMPUTED_VALUE"""),942.2)</f>
        <v>942.2</v>
      </c>
      <c r="E40" s="6">
        <f>IFERROR(__xludf.DUMMYFUNCTION("""COMPUTED_VALUE"""),946.5)</f>
        <v>946.5</v>
      </c>
      <c r="F40" s="6">
        <f>IFERROR(__xludf.DUMMYFUNCTION("""COMPUTED_VALUE"""),6193032.0)</f>
        <v>6193032</v>
      </c>
    </row>
    <row r="41">
      <c r="A41" s="7">
        <f>IFERROR(__xludf.DUMMYFUNCTION("""COMPUTED_VALUE"""),45464.64583333333)</f>
        <v>45464.64583</v>
      </c>
      <c r="B41" s="6">
        <f>IFERROR(__xludf.DUMMYFUNCTION("""COMPUTED_VALUE"""),948.2)</f>
        <v>948.2</v>
      </c>
      <c r="C41" s="6">
        <f>IFERROR(__xludf.DUMMYFUNCTION("""COMPUTED_VALUE"""),957.85)</f>
        <v>957.85</v>
      </c>
      <c r="D41" s="6">
        <f>IFERROR(__xludf.DUMMYFUNCTION("""COMPUTED_VALUE"""),918.4)</f>
        <v>918.4</v>
      </c>
      <c r="E41" s="6">
        <f>IFERROR(__xludf.DUMMYFUNCTION("""COMPUTED_VALUE"""),922.95)</f>
        <v>922.95</v>
      </c>
      <c r="F41" s="6">
        <f>IFERROR(__xludf.DUMMYFUNCTION("""COMPUTED_VALUE"""),4323528.0)</f>
        <v>4323528</v>
      </c>
    </row>
    <row r="42">
      <c r="A42" s="7">
        <f>IFERROR(__xludf.DUMMYFUNCTION("""COMPUTED_VALUE"""),45471.64583333333)</f>
        <v>45471.64583</v>
      </c>
      <c r="B42" s="6">
        <f>IFERROR(__xludf.DUMMYFUNCTION("""COMPUTED_VALUE"""),920.55)</f>
        <v>920.55</v>
      </c>
      <c r="C42" s="6">
        <f>IFERROR(__xludf.DUMMYFUNCTION("""COMPUTED_VALUE"""),923.9)</f>
        <v>923.9</v>
      </c>
      <c r="D42" s="6">
        <f>IFERROR(__xludf.DUMMYFUNCTION("""COMPUTED_VALUE"""),886.25)</f>
        <v>886.25</v>
      </c>
      <c r="E42" s="6">
        <f>IFERROR(__xludf.DUMMYFUNCTION("""COMPUTED_VALUE"""),896.0)</f>
        <v>896</v>
      </c>
      <c r="F42" s="6">
        <f>IFERROR(__xludf.DUMMYFUNCTION("""COMPUTED_VALUE"""),5159568.0)</f>
        <v>5159568</v>
      </c>
    </row>
    <row r="43">
      <c r="A43" s="7">
        <f>IFERROR(__xludf.DUMMYFUNCTION("""COMPUTED_VALUE"""),45478.64583333333)</f>
        <v>45478.64583</v>
      </c>
      <c r="B43" s="6">
        <f>IFERROR(__xludf.DUMMYFUNCTION("""COMPUTED_VALUE"""),896.55)</f>
        <v>896.55</v>
      </c>
      <c r="C43" s="6">
        <f>IFERROR(__xludf.DUMMYFUNCTION("""COMPUTED_VALUE"""),938.0)</f>
        <v>938</v>
      </c>
      <c r="D43" s="6">
        <f>IFERROR(__xludf.DUMMYFUNCTION("""COMPUTED_VALUE"""),883.0)</f>
        <v>883</v>
      </c>
      <c r="E43" s="6">
        <f>IFERROR(__xludf.DUMMYFUNCTION("""COMPUTED_VALUE"""),891.05)</f>
        <v>891.05</v>
      </c>
      <c r="F43" s="6">
        <f>IFERROR(__xludf.DUMMYFUNCTION("""COMPUTED_VALUE"""),7609672.0)</f>
        <v>7609672</v>
      </c>
    </row>
    <row r="44">
      <c r="A44" s="7">
        <f>IFERROR(__xludf.DUMMYFUNCTION("""COMPUTED_VALUE"""),45485.64583333333)</f>
        <v>45485.64583</v>
      </c>
      <c r="B44" s="6">
        <f>IFERROR(__xludf.DUMMYFUNCTION("""COMPUTED_VALUE"""),894.05)</f>
        <v>894.05</v>
      </c>
      <c r="C44" s="6">
        <f>IFERROR(__xludf.DUMMYFUNCTION("""COMPUTED_VALUE"""),917.4)</f>
        <v>917.4</v>
      </c>
      <c r="D44" s="6">
        <f>IFERROR(__xludf.DUMMYFUNCTION("""COMPUTED_VALUE"""),880.75)</f>
        <v>880.75</v>
      </c>
      <c r="E44" s="6">
        <f>IFERROR(__xludf.DUMMYFUNCTION("""COMPUTED_VALUE"""),893.2)</f>
        <v>893.2</v>
      </c>
      <c r="F44" s="6">
        <f>IFERROR(__xludf.DUMMYFUNCTION("""COMPUTED_VALUE"""),6851733.0)</f>
        <v>6851733</v>
      </c>
    </row>
    <row r="45">
      <c r="A45" s="7">
        <f>IFERROR(__xludf.DUMMYFUNCTION("""COMPUTED_VALUE"""),45492.64583333333)</f>
        <v>45492.64583</v>
      </c>
      <c r="B45" s="6">
        <f>IFERROR(__xludf.DUMMYFUNCTION("""COMPUTED_VALUE"""),893.5)</f>
        <v>893.5</v>
      </c>
      <c r="C45" s="6">
        <f>IFERROR(__xludf.DUMMYFUNCTION("""COMPUTED_VALUE"""),915.8)</f>
        <v>915.8</v>
      </c>
      <c r="D45" s="6">
        <f>IFERROR(__xludf.DUMMYFUNCTION("""COMPUTED_VALUE"""),883.95)</f>
        <v>883.95</v>
      </c>
      <c r="E45" s="6">
        <f>IFERROR(__xludf.DUMMYFUNCTION("""COMPUTED_VALUE"""),888.5)</f>
        <v>888.5</v>
      </c>
      <c r="F45" s="6">
        <f>IFERROR(__xludf.DUMMYFUNCTION("""COMPUTED_VALUE"""),1.1768315E7)</f>
        <v>11768315</v>
      </c>
    </row>
    <row r="46">
      <c r="A46" s="7">
        <f>IFERROR(__xludf.DUMMYFUNCTION("""COMPUTED_VALUE"""),45499.64583333333)</f>
        <v>45499.64583</v>
      </c>
      <c r="B46" s="6">
        <f>IFERROR(__xludf.DUMMYFUNCTION("""COMPUTED_VALUE"""),881.55)</f>
        <v>881.55</v>
      </c>
      <c r="C46" s="6">
        <f>IFERROR(__xludf.DUMMYFUNCTION("""COMPUTED_VALUE"""),916.85)</f>
        <v>916.85</v>
      </c>
      <c r="D46" s="6">
        <f>IFERROR(__xludf.DUMMYFUNCTION("""COMPUTED_VALUE"""),857.0)</f>
        <v>857</v>
      </c>
      <c r="E46" s="6">
        <f>IFERROR(__xludf.DUMMYFUNCTION("""COMPUTED_VALUE"""),888.45)</f>
        <v>888.45</v>
      </c>
      <c r="F46" s="6">
        <f>IFERROR(__xludf.DUMMYFUNCTION("""COMPUTED_VALUE"""),1.4637362E7)</f>
        <v>14637362</v>
      </c>
    </row>
    <row r="47">
      <c r="A47" s="7">
        <f>IFERROR(__xludf.DUMMYFUNCTION("""COMPUTED_VALUE"""),45506.64583333333)</f>
        <v>45506.64583</v>
      </c>
      <c r="B47" s="6">
        <f>IFERROR(__xludf.DUMMYFUNCTION("""COMPUTED_VALUE"""),900.0)</f>
        <v>900</v>
      </c>
      <c r="C47" s="6">
        <f>IFERROR(__xludf.DUMMYFUNCTION("""COMPUTED_VALUE"""),941.9)</f>
        <v>941.9</v>
      </c>
      <c r="D47" s="6">
        <f>IFERROR(__xludf.DUMMYFUNCTION("""COMPUTED_VALUE"""),883.0)</f>
        <v>883</v>
      </c>
      <c r="E47" s="6">
        <f>IFERROR(__xludf.DUMMYFUNCTION("""COMPUTED_VALUE"""),908.9)</f>
        <v>908.9</v>
      </c>
      <c r="F47" s="6">
        <f>IFERROR(__xludf.DUMMYFUNCTION("""COMPUTED_VALUE"""),1.3896579E7)</f>
        <v>13896579</v>
      </c>
    </row>
    <row r="48">
      <c r="A48" s="7">
        <f>IFERROR(__xludf.DUMMYFUNCTION("""COMPUTED_VALUE"""),45513.64583333333)</f>
        <v>45513.64583</v>
      </c>
      <c r="B48" s="6">
        <f>IFERROR(__xludf.DUMMYFUNCTION("""COMPUTED_VALUE"""),890.0)</f>
        <v>890</v>
      </c>
      <c r="C48" s="6">
        <f>IFERROR(__xludf.DUMMYFUNCTION("""COMPUTED_VALUE"""),896.45)</f>
        <v>896.45</v>
      </c>
      <c r="D48" s="6">
        <f>IFERROR(__xludf.DUMMYFUNCTION("""COMPUTED_VALUE"""),851.0)</f>
        <v>851</v>
      </c>
      <c r="E48" s="6">
        <f>IFERROR(__xludf.DUMMYFUNCTION("""COMPUTED_VALUE"""),869.85)</f>
        <v>869.85</v>
      </c>
      <c r="F48" s="6">
        <f>IFERROR(__xludf.DUMMYFUNCTION("""COMPUTED_VALUE"""),1.4967918E7)</f>
        <v>14967918</v>
      </c>
    </row>
    <row r="49">
      <c r="A49" s="7">
        <f>IFERROR(__xludf.DUMMYFUNCTION("""COMPUTED_VALUE"""),45520.64583333333)</f>
        <v>45520.64583</v>
      </c>
      <c r="B49" s="6">
        <f>IFERROR(__xludf.DUMMYFUNCTION("""COMPUTED_VALUE"""),839.95)</f>
        <v>839.95</v>
      </c>
      <c r="C49" s="6">
        <f>IFERROR(__xludf.DUMMYFUNCTION("""COMPUTED_VALUE"""),867.75)</f>
        <v>867.75</v>
      </c>
      <c r="D49" s="6">
        <f>IFERROR(__xludf.DUMMYFUNCTION("""COMPUTED_VALUE"""),752.35)</f>
        <v>752.35</v>
      </c>
      <c r="E49" s="6">
        <f>IFERROR(__xludf.DUMMYFUNCTION("""COMPUTED_VALUE"""),848.15)</f>
        <v>848.15</v>
      </c>
      <c r="F49" s="6">
        <f>IFERROR(__xludf.DUMMYFUNCTION("""COMPUTED_VALUE"""),2.0521989E7)</f>
        <v>20521989</v>
      </c>
    </row>
    <row r="50">
      <c r="A50" s="7">
        <f>IFERROR(__xludf.DUMMYFUNCTION("""COMPUTED_VALUE"""),45527.64583333333)</f>
        <v>45527.64583</v>
      </c>
      <c r="B50" s="6">
        <f>IFERROR(__xludf.DUMMYFUNCTION("""COMPUTED_VALUE"""),846.5)</f>
        <v>846.5</v>
      </c>
      <c r="C50" s="6">
        <f>IFERROR(__xludf.DUMMYFUNCTION("""COMPUTED_VALUE"""),868.85)</f>
        <v>868.85</v>
      </c>
      <c r="D50" s="6">
        <f>IFERROR(__xludf.DUMMYFUNCTION("""COMPUTED_VALUE"""),846.05)</f>
        <v>846.05</v>
      </c>
      <c r="E50" s="6">
        <f>IFERROR(__xludf.DUMMYFUNCTION("""COMPUTED_VALUE"""),858.3)</f>
        <v>858.3</v>
      </c>
      <c r="F50" s="6">
        <f>IFERROR(__xludf.DUMMYFUNCTION("""COMPUTED_VALUE"""),2.3568301E7)</f>
        <v>23568301</v>
      </c>
    </row>
    <row r="51">
      <c r="A51" s="7">
        <f>IFERROR(__xludf.DUMMYFUNCTION("""COMPUTED_VALUE"""),45534.64583333333)</f>
        <v>45534.64583</v>
      </c>
      <c r="B51" s="6">
        <f>IFERROR(__xludf.DUMMYFUNCTION("""COMPUTED_VALUE"""),859.05)</f>
        <v>859.05</v>
      </c>
      <c r="C51" s="6">
        <f>IFERROR(__xludf.DUMMYFUNCTION("""COMPUTED_VALUE"""),865.0)</f>
        <v>865</v>
      </c>
      <c r="D51" s="6">
        <f>IFERROR(__xludf.DUMMYFUNCTION("""COMPUTED_VALUE"""),826.0)</f>
        <v>826</v>
      </c>
      <c r="E51" s="6">
        <f>IFERROR(__xludf.DUMMYFUNCTION("""COMPUTED_VALUE"""),830.35)</f>
        <v>830.35</v>
      </c>
      <c r="F51" s="6">
        <f>IFERROR(__xludf.DUMMYFUNCTION("""COMPUTED_VALUE"""),1.4450961E7)</f>
        <v>14450961</v>
      </c>
    </row>
    <row r="52">
      <c r="A52" s="7">
        <f>IFERROR(__xludf.DUMMYFUNCTION("""COMPUTED_VALUE"""),45541.64583333333)</f>
        <v>45541.64583</v>
      </c>
      <c r="B52" s="6">
        <f>IFERROR(__xludf.DUMMYFUNCTION("""COMPUTED_VALUE"""),832.0)</f>
        <v>832</v>
      </c>
      <c r="C52" s="6">
        <f>IFERROR(__xludf.DUMMYFUNCTION("""COMPUTED_VALUE"""),858.95)</f>
        <v>858.95</v>
      </c>
      <c r="D52" s="6">
        <f>IFERROR(__xludf.DUMMYFUNCTION("""COMPUTED_VALUE"""),823.6)</f>
        <v>823.6</v>
      </c>
      <c r="E52" s="6">
        <f>IFERROR(__xludf.DUMMYFUNCTION("""COMPUTED_VALUE"""),826.75)</f>
        <v>826.75</v>
      </c>
      <c r="F52" s="6">
        <f>IFERROR(__xludf.DUMMYFUNCTION("""COMPUTED_VALUE"""),1.2382453E7)</f>
        <v>12382453</v>
      </c>
    </row>
    <row r="53">
      <c r="A53" s="7">
        <f>IFERROR(__xludf.DUMMYFUNCTION("""COMPUTED_VALUE"""),45548.64583333333)</f>
        <v>45548.64583</v>
      </c>
      <c r="B53" s="6">
        <f>IFERROR(__xludf.DUMMYFUNCTION("""COMPUTED_VALUE"""),826.05)</f>
        <v>826.05</v>
      </c>
      <c r="C53" s="6">
        <f>IFERROR(__xludf.DUMMYFUNCTION("""COMPUTED_VALUE"""),830.4)</f>
        <v>830.4</v>
      </c>
      <c r="D53" s="6">
        <f>IFERROR(__xludf.DUMMYFUNCTION("""COMPUTED_VALUE"""),798.0)</f>
        <v>798</v>
      </c>
      <c r="E53" s="6">
        <f>IFERROR(__xludf.DUMMYFUNCTION("""COMPUTED_VALUE"""),800.75)</f>
        <v>800.75</v>
      </c>
      <c r="F53" s="6">
        <f>IFERROR(__xludf.DUMMYFUNCTION("""COMPUTED_VALUE"""),2625880.0)</f>
        <v>2625880</v>
      </c>
    </row>
    <row r="54">
      <c r="A54" s="7">
        <f>IFERROR(__xludf.DUMMYFUNCTION("""COMPUTED_VALUE"""),45555.64583333333)</f>
        <v>45555.64583</v>
      </c>
      <c r="B54" s="6">
        <f>IFERROR(__xludf.DUMMYFUNCTION("""COMPUTED_VALUE"""),802.0)</f>
        <v>802</v>
      </c>
      <c r="C54" s="6">
        <f>IFERROR(__xludf.DUMMYFUNCTION("""COMPUTED_VALUE"""),825.0)</f>
        <v>825</v>
      </c>
      <c r="D54" s="6">
        <f>IFERROR(__xludf.DUMMYFUNCTION("""COMPUTED_VALUE"""),773.05)</f>
        <v>773.05</v>
      </c>
      <c r="E54" s="6">
        <f>IFERROR(__xludf.DUMMYFUNCTION("""COMPUTED_VALUE"""),788.7)</f>
        <v>788.7</v>
      </c>
      <c r="F54" s="6">
        <f>IFERROR(__xludf.DUMMYFUNCTION("""COMPUTED_VALUE"""),3511351.0)</f>
        <v>3511351</v>
      </c>
    </row>
    <row r="55">
      <c r="A55" s="7">
        <f>IFERROR(__xludf.DUMMYFUNCTION("""COMPUTED_VALUE"""),45562.64583333333)</f>
        <v>45562.64583</v>
      </c>
      <c r="B55" s="6">
        <f>IFERROR(__xludf.DUMMYFUNCTION("""COMPUTED_VALUE"""),845.0)</f>
        <v>845</v>
      </c>
      <c r="C55" s="6">
        <f>IFERROR(__xludf.DUMMYFUNCTION("""COMPUTED_VALUE"""),855.0)</f>
        <v>855</v>
      </c>
      <c r="D55" s="6">
        <f>IFERROR(__xludf.DUMMYFUNCTION("""COMPUTED_VALUE"""),780.0)</f>
        <v>780</v>
      </c>
      <c r="E55" s="6">
        <f>IFERROR(__xludf.DUMMYFUNCTION("""COMPUTED_VALUE"""),783.75)</f>
        <v>783.75</v>
      </c>
      <c r="F55" s="6">
        <f>IFERROR(__xludf.DUMMYFUNCTION("""COMPUTED_VALUE"""),9706957.0)</f>
        <v>9706957</v>
      </c>
    </row>
    <row r="56">
      <c r="A56" s="7">
        <f>IFERROR(__xludf.DUMMYFUNCTION("""COMPUTED_VALUE"""),45569.64583333333)</f>
        <v>45569.64583</v>
      </c>
      <c r="B56" s="6">
        <f>IFERROR(__xludf.DUMMYFUNCTION("""COMPUTED_VALUE"""),784.55)</f>
        <v>784.55</v>
      </c>
      <c r="C56" s="6">
        <f>IFERROR(__xludf.DUMMYFUNCTION("""COMPUTED_VALUE"""),794.35)</f>
        <v>794.35</v>
      </c>
      <c r="D56" s="6">
        <f>IFERROR(__xludf.DUMMYFUNCTION("""COMPUTED_VALUE"""),758.15)</f>
        <v>758.15</v>
      </c>
      <c r="E56" s="6">
        <f>IFERROR(__xludf.DUMMYFUNCTION("""COMPUTED_VALUE"""),763.4)</f>
        <v>763.4</v>
      </c>
      <c r="F56" s="6">
        <f>IFERROR(__xludf.DUMMYFUNCTION("""COMPUTED_VALUE"""),2034822.0)</f>
        <v>2034822</v>
      </c>
    </row>
    <row r="57">
      <c r="A57" s="7">
        <f>IFERROR(__xludf.DUMMYFUNCTION("""COMPUTED_VALUE"""),45576.64583333333)</f>
        <v>45576.64583</v>
      </c>
      <c r="B57" s="6">
        <f>IFERROR(__xludf.DUMMYFUNCTION("""COMPUTED_VALUE"""),758.55)</f>
        <v>758.55</v>
      </c>
      <c r="C57" s="6">
        <f>IFERROR(__xludf.DUMMYFUNCTION("""COMPUTED_VALUE"""),773.0)</f>
        <v>773</v>
      </c>
      <c r="D57" s="6">
        <f>IFERROR(__xludf.DUMMYFUNCTION("""COMPUTED_VALUE"""),728.05)</f>
        <v>728.05</v>
      </c>
      <c r="E57" s="6">
        <f>IFERROR(__xludf.DUMMYFUNCTION("""COMPUTED_VALUE"""),757.35)</f>
        <v>757.35</v>
      </c>
      <c r="F57" s="6">
        <f>IFERROR(__xludf.DUMMYFUNCTION("""COMPUTED_VALUE"""),2904296.0)</f>
        <v>2904296</v>
      </c>
    </row>
    <row r="58">
      <c r="A58" s="7">
        <f>IFERROR(__xludf.DUMMYFUNCTION("""COMPUTED_VALUE"""),45583.64583333333)</f>
        <v>45583.64583</v>
      </c>
      <c r="B58" s="6">
        <f>IFERROR(__xludf.DUMMYFUNCTION("""COMPUTED_VALUE"""),755.0)</f>
        <v>755</v>
      </c>
      <c r="C58" s="6">
        <f>IFERROR(__xludf.DUMMYFUNCTION("""COMPUTED_VALUE"""),763.05)</f>
        <v>763.05</v>
      </c>
      <c r="D58" s="6">
        <f>IFERROR(__xludf.DUMMYFUNCTION("""COMPUTED_VALUE"""),716.95)</f>
        <v>716.95</v>
      </c>
      <c r="E58" s="6">
        <f>IFERROR(__xludf.DUMMYFUNCTION("""COMPUTED_VALUE"""),732.6)</f>
        <v>732.6</v>
      </c>
      <c r="F58" s="6">
        <f>IFERROR(__xludf.DUMMYFUNCTION("""COMPUTED_VALUE"""),1768320.0)</f>
        <v>1768320</v>
      </c>
    </row>
    <row r="59">
      <c r="A59" s="7">
        <f>IFERROR(__xludf.DUMMYFUNCTION("""COMPUTED_VALUE"""),45590.64583333333)</f>
        <v>45590.64583</v>
      </c>
      <c r="B59" s="6">
        <f>IFERROR(__xludf.DUMMYFUNCTION("""COMPUTED_VALUE"""),730.0)</f>
        <v>730</v>
      </c>
      <c r="C59" s="6">
        <f>IFERROR(__xludf.DUMMYFUNCTION("""COMPUTED_VALUE"""),773.8)</f>
        <v>773.8</v>
      </c>
      <c r="D59" s="6">
        <f>IFERROR(__xludf.DUMMYFUNCTION("""COMPUTED_VALUE"""),682.25)</f>
        <v>682.25</v>
      </c>
      <c r="E59" s="6">
        <f>IFERROR(__xludf.DUMMYFUNCTION("""COMPUTED_VALUE"""),724.15)</f>
        <v>724.15</v>
      </c>
      <c r="F59" s="6">
        <f>IFERROR(__xludf.DUMMYFUNCTION("""COMPUTED_VALUE"""),6266249.0)</f>
        <v>6266249</v>
      </c>
    </row>
    <row r="60">
      <c r="A60" s="7">
        <f>IFERROR(__xludf.DUMMYFUNCTION("""COMPUTED_VALUE"""),45604.64583333333)</f>
        <v>45604.64583</v>
      </c>
      <c r="B60" s="6">
        <f>IFERROR(__xludf.DUMMYFUNCTION("""COMPUTED_VALUE"""),718.0)</f>
        <v>718</v>
      </c>
      <c r="C60" s="6">
        <f>IFERROR(__xludf.DUMMYFUNCTION("""COMPUTED_VALUE"""),752.0)</f>
        <v>752</v>
      </c>
      <c r="D60" s="6">
        <f>IFERROR(__xludf.DUMMYFUNCTION("""COMPUTED_VALUE"""),706.35)</f>
        <v>706.35</v>
      </c>
      <c r="E60" s="6">
        <f>IFERROR(__xludf.DUMMYFUNCTION("""COMPUTED_VALUE"""),712.6)</f>
        <v>712.6</v>
      </c>
      <c r="F60" s="6">
        <f>IFERROR(__xludf.DUMMYFUNCTION("""COMPUTED_VALUE"""),1941766.0)</f>
        <v>1941766</v>
      </c>
    </row>
    <row r="61">
      <c r="A61" s="7">
        <f>IFERROR(__xludf.DUMMYFUNCTION("""COMPUTED_VALUE"""),45610.64583333333)</f>
        <v>45610.64583</v>
      </c>
      <c r="B61" s="6">
        <f>IFERROR(__xludf.DUMMYFUNCTION("""COMPUTED_VALUE"""),708.75)</f>
        <v>708.75</v>
      </c>
      <c r="C61" s="6">
        <f>IFERROR(__xludf.DUMMYFUNCTION("""COMPUTED_VALUE"""),713.25)</f>
        <v>713.25</v>
      </c>
      <c r="D61" s="6">
        <f>IFERROR(__xludf.DUMMYFUNCTION("""COMPUTED_VALUE"""),673.55)</f>
        <v>673.55</v>
      </c>
      <c r="E61" s="6">
        <f>IFERROR(__xludf.DUMMYFUNCTION("""COMPUTED_VALUE"""),683.9)</f>
        <v>683.9</v>
      </c>
      <c r="F61" s="6">
        <f>IFERROR(__xludf.DUMMYFUNCTION("""COMPUTED_VALUE"""),1238816.0)</f>
        <v>1238816</v>
      </c>
    </row>
    <row r="62">
      <c r="A62" s="7">
        <f>IFERROR(__xludf.DUMMYFUNCTION("""COMPUTED_VALUE"""),45618.64583333333)</f>
        <v>45618.64583</v>
      </c>
      <c r="B62" s="6">
        <f>IFERROR(__xludf.DUMMYFUNCTION("""COMPUTED_VALUE"""),665.0)</f>
        <v>665</v>
      </c>
      <c r="C62" s="6">
        <f>IFERROR(__xludf.DUMMYFUNCTION("""COMPUTED_VALUE"""),683.7)</f>
        <v>683.7</v>
      </c>
      <c r="D62" s="6">
        <f>IFERROR(__xludf.DUMMYFUNCTION("""COMPUTED_VALUE"""),545.75)</f>
        <v>545.75</v>
      </c>
      <c r="E62" s="6">
        <f>IFERROR(__xludf.DUMMYFUNCTION("""COMPUTED_VALUE"""),609.1)</f>
        <v>609.1</v>
      </c>
      <c r="F62" s="6">
        <f>IFERROR(__xludf.DUMMYFUNCTION("""COMPUTED_VALUE"""),1.4114113E7)</f>
        <v>14114113</v>
      </c>
    </row>
    <row r="63">
      <c r="A63" s="7">
        <f>IFERROR(__xludf.DUMMYFUNCTION("""COMPUTED_VALUE"""),45625.64583333333)</f>
        <v>45625.64583</v>
      </c>
      <c r="B63" s="6">
        <f>IFERROR(__xludf.DUMMYFUNCTION("""COMPUTED_VALUE"""),636.35)</f>
        <v>636.35</v>
      </c>
      <c r="C63" s="6">
        <f>IFERROR(__xludf.DUMMYFUNCTION("""COMPUTED_VALUE"""),862.0)</f>
        <v>862</v>
      </c>
      <c r="D63" s="6">
        <f>IFERROR(__xludf.DUMMYFUNCTION("""COMPUTED_VALUE"""),572.55)</f>
        <v>572.55</v>
      </c>
      <c r="E63" s="6">
        <f>IFERROR(__xludf.DUMMYFUNCTION("""COMPUTED_VALUE"""),812.35)</f>
        <v>812.35</v>
      </c>
      <c r="F63" s="6">
        <f>IFERROR(__xludf.DUMMYFUNCTION("""COMPUTED_VALUE"""),5.5855126E7)</f>
        <v>55855126</v>
      </c>
    </row>
    <row r="64">
      <c r="A64" s="7">
        <f>IFERROR(__xludf.DUMMYFUNCTION("""COMPUTED_VALUE"""),45632.64583333333)</f>
        <v>45632.64583</v>
      </c>
      <c r="B64" s="6">
        <f>IFERROR(__xludf.DUMMYFUNCTION("""COMPUTED_VALUE"""),812.0)</f>
        <v>812</v>
      </c>
      <c r="C64" s="6">
        <f>IFERROR(__xludf.DUMMYFUNCTION("""COMPUTED_VALUE"""),815.3)</f>
        <v>815.3</v>
      </c>
      <c r="D64" s="6">
        <f>IFERROR(__xludf.DUMMYFUNCTION("""COMPUTED_VALUE"""),728.0)</f>
        <v>728</v>
      </c>
      <c r="E64" s="6">
        <f>IFERROR(__xludf.DUMMYFUNCTION("""COMPUTED_VALUE"""),731.05)</f>
        <v>731.05</v>
      </c>
      <c r="F64" s="6">
        <f>IFERROR(__xludf.DUMMYFUNCTION("""COMPUTED_VALUE"""),1.1038067E7)</f>
        <v>11038067</v>
      </c>
    </row>
    <row r="65">
      <c r="A65" s="7">
        <f>IFERROR(__xludf.DUMMYFUNCTION("""COMPUTED_VALUE"""),45639.64583333333)</f>
        <v>45639.64583</v>
      </c>
      <c r="B65" s="6">
        <f>IFERROR(__xludf.DUMMYFUNCTION("""COMPUTED_VALUE"""),731.05)</f>
        <v>731.05</v>
      </c>
      <c r="C65" s="6">
        <f>IFERROR(__xludf.DUMMYFUNCTION("""COMPUTED_VALUE"""),755.65)</f>
        <v>755.65</v>
      </c>
      <c r="D65" s="6">
        <f>IFERROR(__xludf.DUMMYFUNCTION("""COMPUTED_VALUE"""),708.05)</f>
        <v>708.05</v>
      </c>
      <c r="E65" s="6">
        <f>IFERROR(__xludf.DUMMYFUNCTION("""COMPUTED_VALUE"""),717.85)</f>
        <v>717.85</v>
      </c>
      <c r="F65" s="6">
        <f>IFERROR(__xludf.DUMMYFUNCTION("""COMPUTED_VALUE"""),8615638.0)</f>
        <v>8615638</v>
      </c>
    </row>
    <row r="66">
      <c r="A66" s="7">
        <f>IFERROR(__xludf.DUMMYFUNCTION("""COMPUTED_VALUE"""),45646.64583333333)</f>
        <v>45646.64583</v>
      </c>
      <c r="B66" s="6">
        <f>IFERROR(__xludf.DUMMYFUNCTION("""COMPUTED_VALUE"""),717.75)</f>
        <v>717.75</v>
      </c>
      <c r="C66" s="6">
        <f>IFERROR(__xludf.DUMMYFUNCTION("""COMPUTED_VALUE"""),723.65)</f>
        <v>723.65</v>
      </c>
      <c r="D66" s="6">
        <f>IFERROR(__xludf.DUMMYFUNCTION("""COMPUTED_VALUE"""),666.15)</f>
        <v>666.15</v>
      </c>
      <c r="E66" s="6">
        <f>IFERROR(__xludf.DUMMYFUNCTION("""COMPUTED_VALUE"""),674.35)</f>
        <v>674.35</v>
      </c>
      <c r="F66" s="6">
        <f>IFERROR(__xludf.DUMMYFUNCTION("""COMPUTED_VALUE"""),3948961.0)</f>
        <v>3948961</v>
      </c>
    </row>
    <row r="67">
      <c r="A67" s="7">
        <f>IFERROR(__xludf.DUMMYFUNCTION("""COMPUTED_VALUE"""),45653.64583333333)</f>
        <v>45653.64583</v>
      </c>
      <c r="B67" s="6">
        <f>IFERROR(__xludf.DUMMYFUNCTION("""COMPUTED_VALUE"""),680.0)</f>
        <v>680</v>
      </c>
      <c r="C67" s="6">
        <f>IFERROR(__xludf.DUMMYFUNCTION("""COMPUTED_VALUE"""),686.35)</f>
        <v>686.35</v>
      </c>
      <c r="D67" s="6">
        <f>IFERROR(__xludf.DUMMYFUNCTION("""COMPUTED_VALUE"""),665.25)</f>
        <v>665.25</v>
      </c>
      <c r="E67" s="6">
        <f>IFERROR(__xludf.DUMMYFUNCTION("""COMPUTED_VALUE"""),679.3)</f>
        <v>679.3</v>
      </c>
      <c r="F67" s="6">
        <f>IFERROR(__xludf.DUMMYFUNCTION("""COMPUTED_VALUE"""),2798327.0)</f>
        <v>2798327</v>
      </c>
    </row>
    <row r="68">
      <c r="A68" s="7">
        <f>IFERROR(__xludf.DUMMYFUNCTION("""COMPUTED_VALUE"""),45660.64583333333)</f>
        <v>45660.64583</v>
      </c>
      <c r="B68" s="6">
        <f>IFERROR(__xludf.DUMMYFUNCTION("""COMPUTED_VALUE"""),676.0)</f>
        <v>676</v>
      </c>
      <c r="C68" s="6">
        <f>IFERROR(__xludf.DUMMYFUNCTION("""COMPUTED_VALUE"""),781.15)</f>
        <v>781.15</v>
      </c>
      <c r="D68" s="6">
        <f>IFERROR(__xludf.DUMMYFUNCTION("""COMPUTED_VALUE"""),674.6)</f>
        <v>674.6</v>
      </c>
      <c r="E68" s="6">
        <f>IFERROR(__xludf.DUMMYFUNCTION("""COMPUTED_VALUE"""),727.65)</f>
        <v>727.65</v>
      </c>
      <c r="F68" s="6">
        <f>IFERROR(__xludf.DUMMYFUNCTION("""COMPUTED_VALUE"""),1.4804853E7)</f>
        <v>14804853</v>
      </c>
    </row>
    <row r="69">
      <c r="A69" s="7">
        <f>IFERROR(__xludf.DUMMYFUNCTION("""COMPUTED_VALUE"""),45667.64583333333)</f>
        <v>45667.64583</v>
      </c>
      <c r="B69" s="6">
        <f>IFERROR(__xludf.DUMMYFUNCTION("""COMPUTED_VALUE"""),725.05)</f>
        <v>725.05</v>
      </c>
      <c r="C69" s="6">
        <f>IFERROR(__xludf.DUMMYFUNCTION("""COMPUTED_VALUE"""),726.0)</f>
        <v>726</v>
      </c>
      <c r="D69" s="6">
        <f>IFERROR(__xludf.DUMMYFUNCTION("""COMPUTED_VALUE"""),669.0)</f>
        <v>669</v>
      </c>
      <c r="E69" s="6">
        <f>IFERROR(__xludf.DUMMYFUNCTION("""COMPUTED_VALUE"""),681.25)</f>
        <v>681.25</v>
      </c>
      <c r="F69" s="6">
        <f>IFERROR(__xludf.DUMMYFUNCTION("""COMPUTED_VALUE"""),4298022.0)</f>
        <v>4298022</v>
      </c>
    </row>
    <row r="70">
      <c r="A70" s="7">
        <f>IFERROR(__xludf.DUMMYFUNCTION("""COMPUTED_VALUE"""),45674.64583333333)</f>
        <v>45674.64583</v>
      </c>
      <c r="B70" s="6">
        <f>IFERROR(__xludf.DUMMYFUNCTION("""COMPUTED_VALUE"""),675.0)</f>
        <v>675</v>
      </c>
      <c r="C70" s="6">
        <f>IFERROR(__xludf.DUMMYFUNCTION("""COMPUTED_VALUE"""),711.0)</f>
        <v>711</v>
      </c>
      <c r="D70" s="6">
        <f>IFERROR(__xludf.DUMMYFUNCTION("""COMPUTED_VALUE"""),620.6)</f>
        <v>620.6</v>
      </c>
      <c r="E70" s="6">
        <f>IFERROR(__xludf.DUMMYFUNCTION("""COMPUTED_VALUE"""),673.15)</f>
        <v>673.15</v>
      </c>
      <c r="F70" s="6">
        <f>IFERROR(__xludf.DUMMYFUNCTION("""COMPUTED_VALUE"""),1.8763723E7)</f>
        <v>18763723</v>
      </c>
    </row>
    <row r="71">
      <c r="A71" s="7">
        <f>IFERROR(__xludf.DUMMYFUNCTION("""COMPUTED_VALUE"""),45681.64583333333)</f>
        <v>45681.64583</v>
      </c>
      <c r="B71" s="6">
        <f>IFERROR(__xludf.DUMMYFUNCTION("""COMPUTED_VALUE"""),675.2)</f>
        <v>675.2</v>
      </c>
      <c r="C71" s="6">
        <f>IFERROR(__xludf.DUMMYFUNCTION("""COMPUTED_VALUE"""),680.0)</f>
        <v>680</v>
      </c>
      <c r="D71" s="6">
        <f>IFERROR(__xludf.DUMMYFUNCTION("""COMPUTED_VALUE"""),638.0)</f>
        <v>638</v>
      </c>
      <c r="E71" s="6">
        <f>IFERROR(__xludf.DUMMYFUNCTION("""COMPUTED_VALUE"""),641.5)</f>
        <v>641.5</v>
      </c>
      <c r="F71" s="6">
        <f>IFERROR(__xludf.DUMMYFUNCTION("""COMPUTED_VALUE"""),3036870.0)</f>
        <v>3036870</v>
      </c>
    </row>
    <row r="72">
      <c r="A72" s="7">
        <f>IFERROR(__xludf.DUMMYFUNCTION("""COMPUTED_VALUE"""),45695.64583333333)</f>
        <v>45695.64583</v>
      </c>
      <c r="B72" s="6">
        <f>IFERROR(__xludf.DUMMYFUNCTION("""COMPUTED_VALUE"""),629.95)</f>
        <v>629.95</v>
      </c>
      <c r="C72" s="6">
        <f>IFERROR(__xludf.DUMMYFUNCTION("""COMPUTED_VALUE"""),647.45)</f>
        <v>647.45</v>
      </c>
      <c r="D72" s="6">
        <f>IFERROR(__xludf.DUMMYFUNCTION("""COMPUTED_VALUE"""),618.45)</f>
        <v>618.45</v>
      </c>
      <c r="E72" s="6">
        <f>IFERROR(__xludf.DUMMYFUNCTION("""COMPUTED_VALUE"""),629.45)</f>
        <v>629.45</v>
      </c>
      <c r="F72" s="6">
        <f>IFERROR(__xludf.DUMMYFUNCTION("""COMPUTED_VALUE"""),2080817.0)</f>
        <v>2080817</v>
      </c>
    </row>
    <row r="73">
      <c r="A73" s="7">
        <f>IFERROR(__xludf.DUMMYFUNCTION("""COMPUTED_VALUE"""),45702.64583333333)</f>
        <v>45702.64583</v>
      </c>
      <c r="B73" s="6">
        <f>IFERROR(__xludf.DUMMYFUNCTION("""COMPUTED_VALUE"""),634.75)</f>
        <v>634.75</v>
      </c>
      <c r="C73" s="6">
        <f>IFERROR(__xludf.DUMMYFUNCTION("""COMPUTED_VALUE"""),645.0)</f>
        <v>645</v>
      </c>
      <c r="D73" s="6">
        <f>IFERROR(__xludf.DUMMYFUNCTION("""COMPUTED_VALUE"""),569.35)</f>
        <v>569.35</v>
      </c>
      <c r="E73" s="6">
        <f>IFERROR(__xludf.DUMMYFUNCTION("""COMPUTED_VALUE"""),573.75)</f>
        <v>573.75</v>
      </c>
      <c r="F73" s="6">
        <f>IFERROR(__xludf.DUMMYFUNCTION("""COMPUTED_VALUE"""),3932056.0)</f>
        <v>3932056</v>
      </c>
    </row>
    <row r="74">
      <c r="A74" s="7">
        <f>IFERROR(__xludf.DUMMYFUNCTION("""COMPUTED_VALUE"""),45709.64583333333)</f>
        <v>45709.64583</v>
      </c>
      <c r="B74" s="6">
        <f>IFERROR(__xludf.DUMMYFUNCTION("""COMPUTED_VALUE"""),573.7)</f>
        <v>573.7</v>
      </c>
      <c r="C74" s="6">
        <f>IFERROR(__xludf.DUMMYFUNCTION("""COMPUTED_VALUE"""),600.0)</f>
        <v>600</v>
      </c>
      <c r="D74" s="6">
        <f>IFERROR(__xludf.DUMMYFUNCTION("""COMPUTED_VALUE"""),560.85)</f>
        <v>560.85</v>
      </c>
      <c r="E74" s="6">
        <f>IFERROR(__xludf.DUMMYFUNCTION("""COMPUTED_VALUE"""),581.75)</f>
        <v>581.75</v>
      </c>
      <c r="F74" s="6">
        <f>IFERROR(__xludf.DUMMYFUNCTION("""COMPUTED_VALUE"""),2870623.0)</f>
        <v>2870623</v>
      </c>
    </row>
    <row r="75">
      <c r="A75" s="7">
        <f>IFERROR(__xludf.DUMMYFUNCTION("""COMPUTED_VALUE"""),45716.64583333333)</f>
        <v>45716.64583</v>
      </c>
      <c r="B75" s="6">
        <f>IFERROR(__xludf.DUMMYFUNCTION("""COMPUTED_VALUE"""),581.7)</f>
        <v>581.7</v>
      </c>
      <c r="C75" s="6">
        <f>IFERROR(__xludf.DUMMYFUNCTION("""COMPUTED_VALUE"""),596.6)</f>
        <v>596.6</v>
      </c>
      <c r="D75" s="6">
        <f>IFERROR(__xludf.DUMMYFUNCTION("""COMPUTED_VALUE"""),555.0)</f>
        <v>555</v>
      </c>
      <c r="E75" s="6">
        <f>IFERROR(__xludf.DUMMYFUNCTION("""COMPUTED_VALUE"""),557.15)</f>
        <v>557.15</v>
      </c>
      <c r="F75" s="6">
        <f>IFERROR(__xludf.DUMMYFUNCTION("""COMPUTED_VALUE"""),4073234.0)</f>
        <v>4073234</v>
      </c>
    </row>
    <row r="76">
      <c r="A76" s="7">
        <f>IFERROR(__xludf.DUMMYFUNCTION("""COMPUTED_VALUE"""),45723.64583333333)</f>
        <v>45723.64583</v>
      </c>
      <c r="B76" s="6">
        <f>IFERROR(__xludf.DUMMYFUNCTION("""COMPUTED_VALUE"""),559.4)</f>
        <v>559.4</v>
      </c>
      <c r="C76" s="6">
        <f>IFERROR(__xludf.DUMMYFUNCTION("""COMPUTED_VALUE"""),609.5)</f>
        <v>609.5</v>
      </c>
      <c r="D76" s="6">
        <f>IFERROR(__xludf.DUMMYFUNCTION("""COMPUTED_VALUE"""),532.6)</f>
        <v>532.6</v>
      </c>
      <c r="E76" s="6">
        <f>IFERROR(__xludf.DUMMYFUNCTION("""COMPUTED_VALUE"""),607.2)</f>
        <v>607.2</v>
      </c>
      <c r="F76" s="6">
        <f>IFERROR(__xludf.DUMMYFUNCTION("""COMPUTED_VALUE"""),6327481.0)</f>
        <v>6327481</v>
      </c>
    </row>
    <row r="77">
      <c r="A77" s="7">
        <f>IFERROR(__xludf.DUMMYFUNCTION("""COMPUTED_VALUE"""),45729.64583333333)</f>
        <v>45729.64583</v>
      </c>
      <c r="B77" s="6">
        <f>IFERROR(__xludf.DUMMYFUNCTION("""COMPUTED_VALUE"""),607.9)</f>
        <v>607.9</v>
      </c>
      <c r="C77" s="6">
        <f>IFERROR(__xludf.DUMMYFUNCTION("""COMPUTED_VALUE"""),625.8)</f>
        <v>625.8</v>
      </c>
      <c r="D77" s="6">
        <f>IFERROR(__xludf.DUMMYFUNCTION("""COMPUTED_VALUE"""),580.9)</f>
        <v>580.9</v>
      </c>
      <c r="E77" s="6">
        <f>IFERROR(__xludf.DUMMYFUNCTION("""COMPUTED_VALUE"""),604.35)</f>
        <v>604.35</v>
      </c>
      <c r="F77" s="6">
        <f>IFERROR(__xludf.DUMMYFUNCTION("""COMPUTED_VALUE"""),3647253.0)</f>
        <v>3647253</v>
      </c>
    </row>
    <row r="78">
      <c r="A78" s="7">
        <f>IFERROR(__xludf.DUMMYFUNCTION("""COMPUTED_VALUE"""),45737.64583333333)</f>
        <v>45737.64583</v>
      </c>
      <c r="B78" s="6">
        <f>IFERROR(__xludf.DUMMYFUNCTION("""COMPUTED_VALUE"""),602.0)</f>
        <v>602</v>
      </c>
      <c r="C78" s="6">
        <f>IFERROR(__xludf.DUMMYFUNCTION("""COMPUTED_VALUE"""),638.0)</f>
        <v>638</v>
      </c>
      <c r="D78" s="6">
        <f>IFERROR(__xludf.DUMMYFUNCTION("""COMPUTED_VALUE"""),598.2)</f>
        <v>598.2</v>
      </c>
      <c r="E78" s="6">
        <f>IFERROR(__xludf.DUMMYFUNCTION("""COMPUTED_VALUE"""),630.7)</f>
        <v>630.7</v>
      </c>
      <c r="F78" s="6">
        <f>IFERROR(__xludf.DUMMYFUNCTION("""COMPUTED_VALUE"""),4308585.0)</f>
        <v>4308585</v>
      </c>
    </row>
    <row r="79">
      <c r="A79" s="7">
        <f>IFERROR(__xludf.DUMMYFUNCTION("""COMPUTED_VALUE"""),45744.64583333333)</f>
        <v>45744.64583</v>
      </c>
      <c r="B79" s="6">
        <f>IFERROR(__xludf.DUMMYFUNCTION("""COMPUTED_VALUE"""),635.65)</f>
        <v>635.65</v>
      </c>
      <c r="C79" s="6">
        <f>IFERROR(__xludf.DUMMYFUNCTION("""COMPUTED_VALUE"""),641.9)</f>
        <v>641.9</v>
      </c>
      <c r="D79" s="6">
        <f>IFERROR(__xludf.DUMMYFUNCTION("""COMPUTED_VALUE"""),595.6)</f>
        <v>595.6</v>
      </c>
      <c r="E79" s="6">
        <f>IFERROR(__xludf.DUMMYFUNCTION("""COMPUTED_VALUE"""),602.6)</f>
        <v>602.6</v>
      </c>
      <c r="F79" s="6">
        <f>IFERROR(__xludf.DUMMYFUNCTION("""COMPUTED_VALUE"""),1.1261136E7)</f>
        <v>11261136</v>
      </c>
    </row>
    <row r="80">
      <c r="A80" s="7">
        <f>IFERROR(__xludf.DUMMYFUNCTION("""COMPUTED_VALUE"""),45751.64583333333)</f>
        <v>45751.64583</v>
      </c>
      <c r="B80" s="6">
        <f>IFERROR(__xludf.DUMMYFUNCTION("""COMPUTED_VALUE"""),599.05)</f>
        <v>599.05</v>
      </c>
      <c r="C80" s="6">
        <f>IFERROR(__xludf.DUMMYFUNCTION("""COMPUTED_VALUE"""),610.0)</f>
        <v>610</v>
      </c>
      <c r="D80" s="6">
        <f>IFERROR(__xludf.DUMMYFUNCTION("""COMPUTED_VALUE"""),578.1)</f>
        <v>578.1</v>
      </c>
      <c r="E80" s="6">
        <f>IFERROR(__xludf.DUMMYFUNCTION("""COMPUTED_VALUE"""),591.3)</f>
        <v>591.3</v>
      </c>
      <c r="F80" s="6">
        <f>IFERROR(__xludf.DUMMYFUNCTION("""COMPUTED_VALUE"""),4846278.0)</f>
        <v>4846278</v>
      </c>
    </row>
    <row r="81">
      <c r="A81" s="7">
        <f>IFERROR(__xludf.DUMMYFUNCTION("""COMPUTED_VALUE"""),45758.64583333333)</f>
        <v>45758.64583</v>
      </c>
      <c r="B81" s="6">
        <f>IFERROR(__xludf.DUMMYFUNCTION("""COMPUTED_VALUE"""),545.5)</f>
        <v>545.5</v>
      </c>
      <c r="C81" s="6">
        <f>IFERROR(__xludf.DUMMYFUNCTION("""COMPUTED_VALUE"""),601.2)</f>
        <v>601.2</v>
      </c>
      <c r="D81" s="6">
        <f>IFERROR(__xludf.DUMMYFUNCTION("""COMPUTED_VALUE"""),545.5)</f>
        <v>545.5</v>
      </c>
      <c r="E81" s="6">
        <f>IFERROR(__xludf.DUMMYFUNCTION("""COMPUTED_VALUE"""),592.05)</f>
        <v>592.05</v>
      </c>
      <c r="F81" s="6">
        <f>IFERROR(__xludf.DUMMYFUNCTION("""COMPUTED_VALUE"""),2400584.0)</f>
        <v>2400584</v>
      </c>
    </row>
    <row r="82">
      <c r="A82" s="7">
        <f>IFERROR(__xludf.DUMMYFUNCTION("""COMPUTED_VALUE"""),45764.64583333333)</f>
        <v>45764.64583</v>
      </c>
      <c r="B82" s="6">
        <f>IFERROR(__xludf.DUMMYFUNCTION("""COMPUTED_VALUE"""),600.0)</f>
        <v>600</v>
      </c>
      <c r="C82" s="6">
        <f>IFERROR(__xludf.DUMMYFUNCTION("""COMPUTED_VALUE"""),622.25)</f>
        <v>622.25</v>
      </c>
      <c r="D82" s="6">
        <f>IFERROR(__xludf.DUMMYFUNCTION("""COMPUTED_VALUE"""),596.55)</f>
        <v>596.55</v>
      </c>
      <c r="E82" s="6">
        <f>IFERROR(__xludf.DUMMYFUNCTION("""COMPUTED_VALUE"""),608.25)</f>
        <v>608.25</v>
      </c>
      <c r="F82" s="6">
        <f>IFERROR(__xludf.DUMMYFUNCTION("""COMPUTED_VALUE"""),2206322.0)</f>
        <v>2206322</v>
      </c>
    </row>
    <row r="83">
      <c r="A83" s="7">
        <f>IFERROR(__xludf.DUMMYFUNCTION("""COMPUTED_VALUE"""),45772.64583333333)</f>
        <v>45772.64583</v>
      </c>
      <c r="B83" s="6">
        <f>IFERROR(__xludf.DUMMYFUNCTION("""COMPUTED_VALUE"""),614.0)</f>
        <v>614</v>
      </c>
      <c r="C83" s="6">
        <f>IFERROR(__xludf.DUMMYFUNCTION("""COMPUTED_VALUE"""),634.0)</f>
        <v>634</v>
      </c>
      <c r="D83" s="6">
        <f>IFERROR(__xludf.DUMMYFUNCTION("""COMPUTED_VALUE"""),594.0)</f>
        <v>594</v>
      </c>
      <c r="E83" s="6">
        <f>IFERROR(__xludf.DUMMYFUNCTION("""COMPUTED_VALUE"""),600.0)</f>
        <v>600</v>
      </c>
      <c r="F83" s="6">
        <f>IFERROR(__xludf.DUMMYFUNCTION("""COMPUTED_VALUE"""),3623697.0)</f>
        <v>3623697</v>
      </c>
    </row>
    <row r="84">
      <c r="A84" s="7">
        <f>IFERROR(__xludf.DUMMYFUNCTION("""COMPUTED_VALUE"""),45779.64583333333)</f>
        <v>45779.64583</v>
      </c>
      <c r="B84" s="6">
        <f>IFERROR(__xludf.DUMMYFUNCTION("""COMPUTED_VALUE"""),600.0)</f>
        <v>600</v>
      </c>
      <c r="C84" s="6">
        <f>IFERROR(__xludf.DUMMYFUNCTION("""COMPUTED_VALUE"""),625.0)</f>
        <v>625</v>
      </c>
      <c r="D84" s="6">
        <f>IFERROR(__xludf.DUMMYFUNCTION("""COMPUTED_VALUE"""),595.15)</f>
        <v>595.15</v>
      </c>
      <c r="E84" s="6">
        <f>IFERROR(__xludf.DUMMYFUNCTION("""COMPUTED_VALUE"""),599.75)</f>
        <v>599.75</v>
      </c>
      <c r="F84" s="6">
        <f>IFERROR(__xludf.DUMMYFUNCTION("""COMPUTED_VALUE"""),2494471.0)</f>
        <v>2494471</v>
      </c>
    </row>
    <row r="85">
      <c r="A85" s="7">
        <f>IFERROR(__xludf.DUMMYFUNCTION("""COMPUTED_VALUE"""),45786.64583333333)</f>
        <v>45786.64583</v>
      </c>
      <c r="B85" s="6">
        <f>IFERROR(__xludf.DUMMYFUNCTION("""COMPUTED_VALUE"""),607.0)</f>
        <v>607</v>
      </c>
      <c r="C85" s="6">
        <f>IFERROR(__xludf.DUMMYFUNCTION("""COMPUTED_VALUE"""),684.4)</f>
        <v>684.4</v>
      </c>
      <c r="D85" s="6">
        <f>IFERROR(__xludf.DUMMYFUNCTION("""COMPUTED_VALUE"""),587.1)</f>
        <v>587.1</v>
      </c>
      <c r="E85" s="6">
        <f>IFERROR(__xludf.DUMMYFUNCTION("""COMPUTED_VALUE"""),601.1)</f>
        <v>601.1</v>
      </c>
      <c r="F85" s="6">
        <f>IFERROR(__xludf.DUMMYFUNCTION("""COMPUTED_VALUE"""),2.4508633E7)</f>
        <v>24508633</v>
      </c>
    </row>
    <row r="86">
      <c r="A86" s="7">
        <f>IFERROR(__xludf.DUMMYFUNCTION("""COMPUTED_VALUE"""),45793.64583333333)</f>
        <v>45793.64583</v>
      </c>
      <c r="B86" s="6">
        <f>IFERROR(__xludf.DUMMYFUNCTION("""COMPUTED_VALUE"""),630.0)</f>
        <v>630</v>
      </c>
      <c r="C86" s="6">
        <f>IFERROR(__xludf.DUMMYFUNCTION("""COMPUTED_VALUE"""),689.5)</f>
        <v>689.5</v>
      </c>
      <c r="D86" s="6">
        <f>IFERROR(__xludf.DUMMYFUNCTION("""COMPUTED_VALUE"""),622.15)</f>
        <v>622.15</v>
      </c>
      <c r="E86" s="6">
        <f>IFERROR(__xludf.DUMMYFUNCTION("""COMPUTED_VALUE"""),681.6)</f>
        <v>681.6</v>
      </c>
      <c r="F86" s="6">
        <f>IFERROR(__xludf.DUMMYFUNCTION("""COMPUTED_VALUE"""),7877660.0)</f>
        <v>7877660</v>
      </c>
    </row>
    <row r="87">
      <c r="A87" s="7">
        <f>IFERROR(__xludf.DUMMYFUNCTION("""COMPUTED_VALUE"""),45800.64583333333)</f>
        <v>45800.64583</v>
      </c>
      <c r="B87" s="6">
        <f>IFERROR(__xludf.DUMMYFUNCTION("""COMPUTED_VALUE"""),685.65)</f>
        <v>685.65</v>
      </c>
      <c r="C87" s="6">
        <f>IFERROR(__xludf.DUMMYFUNCTION("""COMPUTED_VALUE"""),686.95)</f>
        <v>686.95</v>
      </c>
      <c r="D87" s="6">
        <f>IFERROR(__xludf.DUMMYFUNCTION("""COMPUTED_VALUE"""),651.7)</f>
        <v>651.7</v>
      </c>
      <c r="E87" s="6">
        <f>IFERROR(__xludf.DUMMYFUNCTION("""COMPUTED_VALUE"""),658.5)</f>
        <v>658.5</v>
      </c>
      <c r="F87" s="6">
        <f>IFERROR(__xludf.DUMMYFUNCTION("""COMPUTED_VALUE"""),3285296.0)</f>
        <v>3285296</v>
      </c>
    </row>
    <row r="88">
      <c r="A88" s="7">
        <f>IFERROR(__xludf.DUMMYFUNCTION("""COMPUTED_VALUE"""),45807.64583333333)</f>
        <v>45807.64583</v>
      </c>
      <c r="B88" s="6">
        <f>IFERROR(__xludf.DUMMYFUNCTION("""COMPUTED_VALUE"""),664.6)</f>
        <v>664.6</v>
      </c>
      <c r="C88" s="6">
        <f>IFERROR(__xludf.DUMMYFUNCTION("""COMPUTED_VALUE"""),693.0)</f>
        <v>693</v>
      </c>
      <c r="D88" s="6">
        <f>IFERROR(__xludf.DUMMYFUNCTION("""COMPUTED_VALUE"""),662.05)</f>
        <v>662.05</v>
      </c>
      <c r="E88" s="6">
        <f>IFERROR(__xludf.DUMMYFUNCTION("""COMPUTED_VALUE"""),683.75)</f>
        <v>683.75</v>
      </c>
      <c r="F88" s="6">
        <f>IFERROR(__xludf.DUMMYFUNCTION("""COMPUTED_VALUE"""),4026741.0)</f>
        <v>4026741</v>
      </c>
    </row>
    <row r="89">
      <c r="A89" s="7">
        <f>IFERROR(__xludf.DUMMYFUNCTION("""COMPUTED_VALUE"""),45814.64583333333)</f>
        <v>45814.64583</v>
      </c>
      <c r="B89" s="6">
        <f>IFERROR(__xludf.DUMMYFUNCTION("""COMPUTED_VALUE"""),685.0)</f>
        <v>685</v>
      </c>
      <c r="C89" s="6">
        <f>IFERROR(__xludf.DUMMYFUNCTION("""COMPUTED_VALUE"""),695.0)</f>
        <v>695</v>
      </c>
      <c r="D89" s="6">
        <f>IFERROR(__xludf.DUMMYFUNCTION("""COMPUTED_VALUE"""),673.1)</f>
        <v>673.1</v>
      </c>
      <c r="E89" s="6">
        <f>IFERROR(__xludf.DUMMYFUNCTION("""COMPUTED_VALUE"""),679.95)</f>
        <v>679.95</v>
      </c>
      <c r="F89" s="6">
        <f>IFERROR(__xludf.DUMMYFUNCTION("""COMPUTED_VALUE"""),4098846.0)</f>
        <v>4098846</v>
      </c>
    </row>
    <row r="90">
      <c r="A90" s="7">
        <f>IFERROR(__xludf.DUMMYFUNCTION("""COMPUTED_VALUE"""),45821.64583333333)</f>
        <v>45821.64583</v>
      </c>
      <c r="B90" s="6">
        <f>IFERROR(__xludf.DUMMYFUNCTION("""COMPUTED_VALUE"""),686.0)</f>
        <v>686</v>
      </c>
      <c r="C90" s="6">
        <f>IFERROR(__xludf.DUMMYFUNCTION("""COMPUTED_VALUE"""),721.0)</f>
        <v>721</v>
      </c>
      <c r="D90" s="6">
        <f>IFERROR(__xludf.DUMMYFUNCTION("""COMPUTED_VALUE"""),654.5)</f>
        <v>654.5</v>
      </c>
      <c r="E90" s="6">
        <f>IFERROR(__xludf.DUMMYFUNCTION("""COMPUTED_VALUE"""),658.8)</f>
        <v>658.8</v>
      </c>
      <c r="F90" s="6">
        <f>IFERROR(__xludf.DUMMYFUNCTION("""COMPUTED_VALUE"""),7171324.0)</f>
        <v>7171324</v>
      </c>
    </row>
    <row r="91">
      <c r="A91" s="7">
        <f>IFERROR(__xludf.DUMMYFUNCTION("""COMPUTED_VALUE"""),45828.64583333333)</f>
        <v>45828.64583</v>
      </c>
      <c r="B91" s="6">
        <f>IFERROR(__xludf.DUMMYFUNCTION("""COMPUTED_VALUE"""),658.8)</f>
        <v>658.8</v>
      </c>
      <c r="C91" s="6">
        <f>IFERROR(__xludf.DUMMYFUNCTION("""COMPUTED_VALUE"""),664.5)</f>
        <v>664.5</v>
      </c>
      <c r="D91" s="6">
        <f>IFERROR(__xludf.DUMMYFUNCTION("""COMPUTED_VALUE"""),613.95)</f>
        <v>613.95</v>
      </c>
      <c r="E91" s="6">
        <f>IFERROR(__xludf.DUMMYFUNCTION("""COMPUTED_VALUE"""),617.1)</f>
        <v>617.1</v>
      </c>
      <c r="F91" s="6">
        <f>IFERROR(__xludf.DUMMYFUNCTION("""COMPUTED_VALUE"""),8069357.0)</f>
        <v>8069357</v>
      </c>
    </row>
    <row r="92">
      <c r="A92" s="7">
        <f>IFERROR(__xludf.DUMMYFUNCTION("""COMPUTED_VALUE"""),45835.64583333333)</f>
        <v>45835.64583</v>
      </c>
      <c r="B92" s="6">
        <f>IFERROR(__xludf.DUMMYFUNCTION("""COMPUTED_VALUE"""),614.55)</f>
        <v>614.55</v>
      </c>
      <c r="C92" s="6">
        <f>IFERROR(__xludf.DUMMYFUNCTION("""COMPUTED_VALUE"""),693.9)</f>
        <v>693.9</v>
      </c>
      <c r="D92" s="6">
        <f>IFERROR(__xludf.DUMMYFUNCTION("""COMPUTED_VALUE"""),608.15)</f>
        <v>608.15</v>
      </c>
      <c r="E92" s="6">
        <f>IFERROR(__xludf.DUMMYFUNCTION("""COMPUTED_VALUE"""),682.45)</f>
        <v>682.45</v>
      </c>
      <c r="F92" s="6">
        <f>IFERROR(__xludf.DUMMYFUNCTION("""COMPUTED_VALUE"""),1.7344112E7)</f>
        <v>17344112</v>
      </c>
    </row>
    <row r="93">
      <c r="A93" s="7">
        <f>IFERROR(__xludf.DUMMYFUNCTION("""COMPUTED_VALUE"""),45842.64583333333)</f>
        <v>45842.64583</v>
      </c>
      <c r="B93" s="6">
        <f>IFERROR(__xludf.DUMMYFUNCTION("""COMPUTED_VALUE"""),684.0)</f>
        <v>684</v>
      </c>
      <c r="C93" s="6">
        <f>IFERROR(__xludf.DUMMYFUNCTION("""COMPUTED_VALUE"""),687.2)</f>
        <v>687.2</v>
      </c>
      <c r="D93" s="6">
        <f>IFERROR(__xludf.DUMMYFUNCTION("""COMPUTED_VALUE"""),656.75)</f>
        <v>656.75</v>
      </c>
      <c r="E93" s="6">
        <f>IFERROR(__xludf.DUMMYFUNCTION("""COMPUTED_VALUE"""),660.1)</f>
        <v>660.1</v>
      </c>
      <c r="F93" s="6">
        <f>IFERROR(__xludf.DUMMYFUNCTION("""COMPUTED_VALUE"""),4214641.0)</f>
        <v>4214641</v>
      </c>
    </row>
    <row r="94">
      <c r="A94" s="7">
        <f>IFERROR(__xludf.DUMMYFUNCTION("""COMPUTED_VALUE"""),45849.64583333333)</f>
        <v>45849.64583</v>
      </c>
      <c r="B94" s="6">
        <f>IFERROR(__xludf.DUMMYFUNCTION("""COMPUTED_VALUE"""),663.05)</f>
        <v>663.05</v>
      </c>
      <c r="C94" s="6">
        <f>IFERROR(__xludf.DUMMYFUNCTION("""COMPUTED_VALUE"""),665.0)</f>
        <v>665</v>
      </c>
      <c r="D94" s="6">
        <f>IFERROR(__xludf.DUMMYFUNCTION("""COMPUTED_VALUE"""),641.1)</f>
        <v>641.1</v>
      </c>
      <c r="E94" s="6">
        <f>IFERROR(__xludf.DUMMYFUNCTION("""COMPUTED_VALUE"""),644.75)</f>
        <v>644.75</v>
      </c>
      <c r="F94" s="6">
        <f>IFERROR(__xludf.DUMMYFUNCTION("""COMPUTED_VALUE"""),2402002.0)</f>
        <v>2402002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IFERROR(__xludf.DUMMYFUNCTION("""COMPUTED_VALUE"""),649.9)</f>
        <v>649.9</v>
      </c>
      <c r="C95" s="6">
        <f>IFERROR(__xludf.DUMMYFUNCTION("""COMPUTED_VALUE"""),666.9)</f>
        <v>666.9</v>
      </c>
      <c r="D95" s="6">
        <f>IFERROR(__xludf.DUMMYFUNCTION("""COMPUTED_VALUE"""),640.0)</f>
        <v>640</v>
      </c>
      <c r="E95" s="6">
        <f>IFERROR(__xludf.DUMMYFUNCTION("""COMPUTED_VALUE"""),653.45)</f>
        <v>653.45</v>
      </c>
      <c r="F95" s="6">
        <f>IFERROR(__xludf.DUMMYFUNCTION("""COMPUTED_VALUE"""),3148385.0)</f>
        <v>3148385</v>
      </c>
    </row>
    <row r="96">
      <c r="A96" s="7">
        <f>IFERROR(__xludf.DUMMYFUNCTION("""COMPUTED_VALUE"""),45863.64583333333)</f>
        <v>45863.64583</v>
      </c>
      <c r="B96" s="6">
        <f>IFERROR(__xludf.DUMMYFUNCTION("""COMPUTED_VALUE"""),655.0)</f>
        <v>655</v>
      </c>
      <c r="C96" s="6">
        <f>IFERROR(__xludf.DUMMYFUNCTION("""COMPUTED_VALUE"""),662.3)</f>
        <v>662.3</v>
      </c>
      <c r="D96" s="6">
        <f>IFERROR(__xludf.DUMMYFUNCTION("""COMPUTED_VALUE"""),622.1)</f>
        <v>622.1</v>
      </c>
      <c r="E96" s="6">
        <f>IFERROR(__xludf.DUMMYFUNCTION("""COMPUTED_VALUE"""),624.1)</f>
        <v>624.1</v>
      </c>
      <c r="F96" s="6">
        <f>IFERROR(__xludf.DUMMYFUNCTION("""COMPUTED_VALUE"""),2134356.0)</f>
        <v>2134356</v>
      </c>
    </row>
    <row r="97">
      <c r="A97" s="7">
        <f>IFERROR(__xludf.DUMMYFUNCTION("""COMPUTED_VALUE"""),45870.64583333333)</f>
        <v>45870.64583</v>
      </c>
      <c r="B97" s="6">
        <f>IFERROR(__xludf.DUMMYFUNCTION("""COMPUTED_VALUE"""),627.95)</f>
        <v>627.95</v>
      </c>
      <c r="C97" s="6">
        <f>IFERROR(__xludf.DUMMYFUNCTION("""COMPUTED_VALUE"""),638.9)</f>
        <v>638.9</v>
      </c>
      <c r="D97" s="6">
        <f>IFERROR(__xludf.DUMMYFUNCTION("""COMPUTED_VALUE"""),592.7)</f>
        <v>592.7</v>
      </c>
      <c r="E97" s="6">
        <f>IFERROR(__xludf.DUMMYFUNCTION("""COMPUTED_VALUE"""),595.4)</f>
        <v>595.4</v>
      </c>
      <c r="F97" s="6">
        <f>IFERROR(__xludf.DUMMYFUNCTION("""COMPUTED_VALUE"""),3360088.0)</f>
        <v>3360088</v>
      </c>
    </row>
    <row r="98">
      <c r="A98" s="7">
        <f>IFERROR(__xludf.DUMMYFUNCTION("""COMPUTED_VALUE"""),45877.64583333333)</f>
        <v>45877.64583</v>
      </c>
      <c r="B98" s="6">
        <f>IFERROR(__xludf.DUMMYFUNCTION("""COMPUTED_VALUE"""),600.85)</f>
        <v>600.85</v>
      </c>
      <c r="C98" s="6">
        <f>IFERROR(__xludf.DUMMYFUNCTION("""COMPUTED_VALUE"""),608.0)</f>
        <v>608</v>
      </c>
      <c r="D98" s="6">
        <f>IFERROR(__xludf.DUMMYFUNCTION("""COMPUTED_VALUE"""),577.1)</f>
        <v>577.1</v>
      </c>
      <c r="E98" s="6">
        <f>IFERROR(__xludf.DUMMYFUNCTION("""COMPUTED_VALUE"""),584.6)</f>
        <v>584.6</v>
      </c>
      <c r="F98" s="6">
        <f>IFERROR(__xludf.DUMMYFUNCTION("""COMPUTED_VALUE"""),2416145.0)</f>
        <v>2416145</v>
      </c>
    </row>
    <row r="99">
      <c r="A99" s="7">
        <f>IFERROR(__xludf.DUMMYFUNCTION("""COMPUTED_VALUE"""),45883.64583333333)</f>
        <v>45883.64583</v>
      </c>
      <c r="B99" s="6">
        <f>IFERROR(__xludf.DUMMYFUNCTION("""COMPUTED_VALUE"""),585.6)</f>
        <v>585.6</v>
      </c>
      <c r="C99" s="6">
        <f>IFERROR(__xludf.DUMMYFUNCTION("""COMPUTED_VALUE"""),617.0)</f>
        <v>617</v>
      </c>
      <c r="D99" s="6">
        <f>IFERROR(__xludf.DUMMYFUNCTION("""COMPUTED_VALUE"""),582.15)</f>
        <v>582.15</v>
      </c>
      <c r="E99" s="6">
        <f>IFERROR(__xludf.DUMMYFUNCTION("""COMPUTED_VALUE"""),607.35)</f>
        <v>607.35</v>
      </c>
      <c r="F99" s="6">
        <f>IFERROR(__xludf.DUMMYFUNCTION("""COMPUTED_VALUE"""),2088003.0)</f>
        <v>2088003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IFERROR(__xludf.DUMMYFUNCTION("""COMPUTED_VALUE"""),612.0)</f>
        <v>612</v>
      </c>
      <c r="C100" s="6">
        <f>IFERROR(__xludf.DUMMYFUNCTION("""COMPUTED_VALUE"""),635.0)</f>
        <v>635</v>
      </c>
      <c r="D100" s="6">
        <f>IFERROR(__xludf.DUMMYFUNCTION("""COMPUTED_VALUE"""),609.05)</f>
        <v>609.05</v>
      </c>
      <c r="E100" s="6">
        <f>IFERROR(__xludf.DUMMYFUNCTION("""COMPUTED_VALUE"""),617.75)</f>
        <v>617.75</v>
      </c>
      <c r="F100" s="6">
        <f>IFERROR(__xludf.DUMMYFUNCTION("""COMPUTED_VALUE"""),2253745.0)</f>
        <v>2253745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IFERROR(__xludf.DUMMYFUNCTION("""COMPUTED_VALUE"""),620.0)</f>
        <v>620</v>
      </c>
      <c r="C101" s="6">
        <f>IFERROR(__xludf.DUMMYFUNCTION("""COMPUTED_VALUE"""),644.5)</f>
        <v>644.5</v>
      </c>
      <c r="D101" s="6">
        <f>IFERROR(__xludf.DUMMYFUNCTION("""COMPUTED_VALUE"""),618.15)</f>
        <v>618.15</v>
      </c>
      <c r="E101" s="6">
        <f>IFERROR(__xludf.DUMMYFUNCTION("""COMPUTED_VALUE"""),635.7)</f>
        <v>635.7</v>
      </c>
      <c r="F101" s="6">
        <f>IFERROR(__xludf.DUMMYFUNCTION("""COMPUTED_VALUE"""),1.3690558E7)</f>
        <v>13690558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IFERROR(__xludf.DUMMYFUNCTION("GOOGLEFINANCE(""NSE:AUBANK"",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IFERROR(__xludf.DUMMYFUNCTION("""COMPUTED_VALUE"""),738.95)</f>
        <v>738.95</v>
      </c>
      <c r="C2" s="6">
        <f>IFERROR(__xludf.DUMMYFUNCTION("""COMPUTED_VALUE"""),743.0)</f>
        <v>743</v>
      </c>
      <c r="D2" s="6">
        <f>IFERROR(__xludf.DUMMYFUNCTION("""COMPUTED_VALUE"""),707.55)</f>
        <v>707.55</v>
      </c>
      <c r="E2" s="6">
        <f>IFERROR(__xludf.DUMMYFUNCTION("""COMPUTED_VALUE"""),725.65)</f>
        <v>725.65</v>
      </c>
      <c r="F2" s="6">
        <f>IFERROR(__xludf.DUMMYFUNCTION("""COMPUTED_VALUE"""),9547693.0)</f>
        <v>9547693</v>
      </c>
    </row>
    <row r="3">
      <c r="A3" s="7">
        <f>IFERROR(__xludf.DUMMYFUNCTION("""COMPUTED_VALUE"""),45177.64583333333)</f>
        <v>45177.64583</v>
      </c>
      <c r="B3" s="6">
        <f>IFERROR(__xludf.DUMMYFUNCTION("""COMPUTED_VALUE"""),726.0)</f>
        <v>726</v>
      </c>
      <c r="C3" s="6">
        <f>IFERROR(__xludf.DUMMYFUNCTION("""COMPUTED_VALUE"""),736.95)</f>
        <v>736.95</v>
      </c>
      <c r="D3" s="6">
        <f>IFERROR(__xludf.DUMMYFUNCTION("""COMPUTED_VALUE"""),712.25)</f>
        <v>712.25</v>
      </c>
      <c r="E3" s="6">
        <f>IFERROR(__xludf.DUMMYFUNCTION("""COMPUTED_VALUE"""),734.9)</f>
        <v>734.9</v>
      </c>
      <c r="F3" s="6">
        <f>IFERROR(__xludf.DUMMYFUNCTION("""COMPUTED_VALUE"""),7019811.0)</f>
        <v>7019811</v>
      </c>
    </row>
    <row r="4">
      <c r="A4" s="7">
        <f>IFERROR(__xludf.DUMMYFUNCTION("""COMPUTED_VALUE"""),45184.64583333333)</f>
        <v>45184.64583</v>
      </c>
      <c r="B4" s="6">
        <f>IFERROR(__xludf.DUMMYFUNCTION("""COMPUTED_VALUE"""),737.0)</f>
        <v>737</v>
      </c>
      <c r="C4" s="6">
        <f>IFERROR(__xludf.DUMMYFUNCTION("""COMPUTED_VALUE"""),745.5)</f>
        <v>745.5</v>
      </c>
      <c r="D4" s="6">
        <f>IFERROR(__xludf.DUMMYFUNCTION("""COMPUTED_VALUE"""),709.05)</f>
        <v>709.05</v>
      </c>
      <c r="E4" s="6">
        <f>IFERROR(__xludf.DUMMYFUNCTION("""COMPUTED_VALUE"""),732.5)</f>
        <v>732.5</v>
      </c>
      <c r="F4" s="6">
        <f>IFERROR(__xludf.DUMMYFUNCTION("""COMPUTED_VALUE"""),7347481.0)</f>
        <v>7347481</v>
      </c>
    </row>
    <row r="5">
      <c r="A5" s="7">
        <f>IFERROR(__xludf.DUMMYFUNCTION("""COMPUTED_VALUE"""),45191.64583333333)</f>
        <v>45191.64583</v>
      </c>
      <c r="B5" s="6">
        <f>IFERROR(__xludf.DUMMYFUNCTION("""COMPUTED_VALUE"""),730.05)</f>
        <v>730.05</v>
      </c>
      <c r="C5" s="6">
        <f>IFERROR(__xludf.DUMMYFUNCTION("""COMPUTED_VALUE"""),763.95)</f>
        <v>763.95</v>
      </c>
      <c r="D5" s="6">
        <f>IFERROR(__xludf.DUMMYFUNCTION("""COMPUTED_VALUE"""),725.25)</f>
        <v>725.25</v>
      </c>
      <c r="E5" s="6">
        <f>IFERROR(__xludf.DUMMYFUNCTION("""COMPUTED_VALUE"""),744.55)</f>
        <v>744.55</v>
      </c>
      <c r="F5" s="6">
        <f>IFERROR(__xludf.DUMMYFUNCTION("""COMPUTED_VALUE"""),9194644.0)</f>
        <v>9194644</v>
      </c>
    </row>
    <row r="6">
      <c r="A6" s="7">
        <f>IFERROR(__xludf.DUMMYFUNCTION("""COMPUTED_VALUE"""),45198.64583333333)</f>
        <v>45198.64583</v>
      </c>
      <c r="B6" s="6">
        <f>IFERROR(__xludf.DUMMYFUNCTION("""COMPUTED_VALUE"""),744.55)</f>
        <v>744.55</v>
      </c>
      <c r="C6" s="6">
        <f>IFERROR(__xludf.DUMMYFUNCTION("""COMPUTED_VALUE"""),754.9)</f>
        <v>754.9</v>
      </c>
      <c r="D6" s="6">
        <f>IFERROR(__xludf.DUMMYFUNCTION("""COMPUTED_VALUE"""),708.1)</f>
        <v>708.1</v>
      </c>
      <c r="E6" s="6">
        <f>IFERROR(__xludf.DUMMYFUNCTION("""COMPUTED_VALUE"""),713.5)</f>
        <v>713.5</v>
      </c>
      <c r="F6" s="6">
        <f>IFERROR(__xludf.DUMMYFUNCTION("""COMPUTED_VALUE"""),8990542.0)</f>
        <v>8990542</v>
      </c>
    </row>
    <row r="7">
      <c r="A7" s="7">
        <f>IFERROR(__xludf.DUMMYFUNCTION("""COMPUTED_VALUE"""),45205.64583333333)</f>
        <v>45205.64583</v>
      </c>
      <c r="B7" s="6">
        <f>IFERROR(__xludf.DUMMYFUNCTION("""COMPUTED_VALUE"""),714.8)</f>
        <v>714.8</v>
      </c>
      <c r="C7" s="6">
        <f>IFERROR(__xludf.DUMMYFUNCTION("""COMPUTED_VALUE"""),720.0)</f>
        <v>720</v>
      </c>
      <c r="D7" s="6">
        <f>IFERROR(__xludf.DUMMYFUNCTION("""COMPUTED_VALUE"""),688.0)</f>
        <v>688</v>
      </c>
      <c r="E7" s="6">
        <f>IFERROR(__xludf.DUMMYFUNCTION("""COMPUTED_VALUE"""),713.55)</f>
        <v>713.55</v>
      </c>
      <c r="F7" s="6">
        <f>IFERROR(__xludf.DUMMYFUNCTION("""COMPUTED_VALUE"""),5915859.0)</f>
        <v>5915859</v>
      </c>
    </row>
    <row r="8">
      <c r="A8" s="7">
        <f>IFERROR(__xludf.DUMMYFUNCTION("""COMPUTED_VALUE"""),45212.64583333333)</f>
        <v>45212.64583</v>
      </c>
      <c r="B8" s="6">
        <f>IFERROR(__xludf.DUMMYFUNCTION("""COMPUTED_VALUE"""),708.0)</f>
        <v>708</v>
      </c>
      <c r="C8" s="6">
        <f>IFERROR(__xludf.DUMMYFUNCTION("""COMPUTED_VALUE"""),723.0)</f>
        <v>723</v>
      </c>
      <c r="D8" s="6">
        <f>IFERROR(__xludf.DUMMYFUNCTION("""COMPUTED_VALUE"""),703.05)</f>
        <v>703.05</v>
      </c>
      <c r="E8" s="6">
        <f>IFERROR(__xludf.DUMMYFUNCTION("""COMPUTED_VALUE"""),716.95)</f>
        <v>716.95</v>
      </c>
      <c r="F8" s="6">
        <f>IFERROR(__xludf.DUMMYFUNCTION("""COMPUTED_VALUE"""),3730553.0)</f>
        <v>3730553</v>
      </c>
    </row>
    <row r="9">
      <c r="A9" s="7">
        <f>IFERROR(__xludf.DUMMYFUNCTION("""COMPUTED_VALUE"""),45219.64583333333)</f>
        <v>45219.64583</v>
      </c>
      <c r="B9" s="6">
        <f>IFERROR(__xludf.DUMMYFUNCTION("""COMPUTED_VALUE"""),716.95)</f>
        <v>716.95</v>
      </c>
      <c r="C9" s="6">
        <f>IFERROR(__xludf.DUMMYFUNCTION("""COMPUTED_VALUE"""),716.95)</f>
        <v>716.95</v>
      </c>
      <c r="D9" s="6">
        <f>IFERROR(__xludf.DUMMYFUNCTION("""COMPUTED_VALUE"""),697.0)</f>
        <v>697</v>
      </c>
      <c r="E9" s="6">
        <f>IFERROR(__xludf.DUMMYFUNCTION("""COMPUTED_VALUE"""),699.8)</f>
        <v>699.8</v>
      </c>
      <c r="F9" s="6">
        <f>IFERROR(__xludf.DUMMYFUNCTION("""COMPUTED_VALUE"""),5550681.0)</f>
        <v>5550681</v>
      </c>
    </row>
    <row r="10">
      <c r="A10" s="7">
        <f>IFERROR(__xludf.DUMMYFUNCTION("""COMPUTED_VALUE"""),45226.64583333333)</f>
        <v>45226.64583</v>
      </c>
      <c r="B10" s="6">
        <f>IFERROR(__xludf.DUMMYFUNCTION("""COMPUTED_VALUE"""),699.2)</f>
        <v>699.2</v>
      </c>
      <c r="C10" s="6">
        <f>IFERROR(__xludf.DUMMYFUNCTION("""COMPUTED_VALUE"""),711.1)</f>
        <v>711.1</v>
      </c>
      <c r="D10" s="6">
        <f>IFERROR(__xludf.DUMMYFUNCTION("""COMPUTED_VALUE"""),683.55)</f>
        <v>683.55</v>
      </c>
      <c r="E10" s="6">
        <f>IFERROR(__xludf.DUMMYFUNCTION("""COMPUTED_VALUE"""),690.1)</f>
        <v>690.1</v>
      </c>
      <c r="F10" s="6">
        <f>IFERROR(__xludf.DUMMYFUNCTION("""COMPUTED_VALUE"""),7417861.0)</f>
        <v>7417861</v>
      </c>
    </row>
    <row r="11">
      <c r="A11" s="7">
        <f>IFERROR(__xludf.DUMMYFUNCTION("""COMPUTED_VALUE"""),45233.64583333333)</f>
        <v>45233.64583</v>
      </c>
      <c r="B11" s="6">
        <f>IFERROR(__xludf.DUMMYFUNCTION("""COMPUTED_VALUE"""),688.0)</f>
        <v>688</v>
      </c>
      <c r="C11" s="6">
        <f>IFERROR(__xludf.DUMMYFUNCTION("""COMPUTED_VALUE"""),688.0)</f>
        <v>688</v>
      </c>
      <c r="D11" s="6">
        <f>IFERROR(__xludf.DUMMYFUNCTION("""COMPUTED_VALUE"""),630.4)</f>
        <v>630.4</v>
      </c>
      <c r="E11" s="6">
        <f>IFERROR(__xludf.DUMMYFUNCTION("""COMPUTED_VALUE"""),669.25)</f>
        <v>669.25</v>
      </c>
      <c r="F11" s="6">
        <f>IFERROR(__xludf.DUMMYFUNCTION("""COMPUTED_VALUE"""),1.6249593E7)</f>
        <v>16249593</v>
      </c>
    </row>
    <row r="12">
      <c r="A12" s="7">
        <f>IFERROR(__xludf.DUMMYFUNCTION("""COMPUTED_VALUE"""),45240.64583333333)</f>
        <v>45240.64583</v>
      </c>
      <c r="B12" s="6">
        <f>IFERROR(__xludf.DUMMYFUNCTION("""COMPUTED_VALUE"""),673.0)</f>
        <v>673</v>
      </c>
      <c r="C12" s="6">
        <f>IFERROR(__xludf.DUMMYFUNCTION("""COMPUTED_VALUE"""),700.55)</f>
        <v>700.55</v>
      </c>
      <c r="D12" s="6">
        <f>IFERROR(__xludf.DUMMYFUNCTION("""COMPUTED_VALUE"""),666.3)</f>
        <v>666.3</v>
      </c>
      <c r="E12" s="6">
        <f>IFERROR(__xludf.DUMMYFUNCTION("""COMPUTED_VALUE"""),699.25)</f>
        <v>699.25</v>
      </c>
      <c r="F12" s="6">
        <f>IFERROR(__xludf.DUMMYFUNCTION("""COMPUTED_VALUE"""),1.253711E7)</f>
        <v>12537110</v>
      </c>
    </row>
    <row r="13">
      <c r="A13" s="7">
        <f>IFERROR(__xludf.DUMMYFUNCTION("""COMPUTED_VALUE"""),45247.64583333333)</f>
        <v>45247.64583</v>
      </c>
      <c r="B13" s="6">
        <f>IFERROR(__xludf.DUMMYFUNCTION("""COMPUTED_VALUE"""),704.95)</f>
        <v>704.95</v>
      </c>
      <c r="C13" s="6">
        <f>IFERROR(__xludf.DUMMYFUNCTION("""COMPUTED_VALUE"""),740.7)</f>
        <v>740.7</v>
      </c>
      <c r="D13" s="6">
        <f>IFERROR(__xludf.DUMMYFUNCTION("""COMPUTED_VALUE"""),703.45)</f>
        <v>703.45</v>
      </c>
      <c r="E13" s="6">
        <f>IFERROR(__xludf.DUMMYFUNCTION("""COMPUTED_VALUE"""),730.2)</f>
        <v>730.2</v>
      </c>
      <c r="F13" s="6">
        <f>IFERROR(__xludf.DUMMYFUNCTION("""COMPUTED_VALUE"""),9119671.0)</f>
        <v>9119671</v>
      </c>
    </row>
    <row r="14">
      <c r="A14" s="7">
        <f>IFERROR(__xludf.DUMMYFUNCTION("""COMPUTED_VALUE"""),45254.64583333333)</f>
        <v>45254.64583</v>
      </c>
      <c r="B14" s="6">
        <f>IFERROR(__xludf.DUMMYFUNCTION("""COMPUTED_VALUE"""),732.8)</f>
        <v>732.8</v>
      </c>
      <c r="C14" s="6">
        <f>IFERROR(__xludf.DUMMYFUNCTION("""COMPUTED_VALUE"""),744.4)</f>
        <v>744.4</v>
      </c>
      <c r="D14" s="6">
        <f>IFERROR(__xludf.DUMMYFUNCTION("""COMPUTED_VALUE"""),710.1)</f>
        <v>710.1</v>
      </c>
      <c r="E14" s="6">
        <f>IFERROR(__xludf.DUMMYFUNCTION("""COMPUTED_VALUE"""),722.2)</f>
        <v>722.2</v>
      </c>
      <c r="F14" s="6">
        <f>IFERROR(__xludf.DUMMYFUNCTION("""COMPUTED_VALUE"""),7662498.0)</f>
        <v>7662498</v>
      </c>
    </row>
    <row r="15">
      <c r="A15" s="7">
        <f>IFERROR(__xludf.DUMMYFUNCTION("""COMPUTED_VALUE"""),45261.64583333333)</f>
        <v>45261.64583</v>
      </c>
      <c r="B15" s="6">
        <f>IFERROR(__xludf.DUMMYFUNCTION("""COMPUTED_VALUE"""),724.55)</f>
        <v>724.55</v>
      </c>
      <c r="C15" s="6">
        <f>IFERROR(__xludf.DUMMYFUNCTION("""COMPUTED_VALUE"""),754.9)</f>
        <v>754.9</v>
      </c>
      <c r="D15" s="6">
        <f>IFERROR(__xludf.DUMMYFUNCTION("""COMPUTED_VALUE"""),718.2)</f>
        <v>718.2</v>
      </c>
      <c r="E15" s="6">
        <f>IFERROR(__xludf.DUMMYFUNCTION("""COMPUTED_VALUE"""),742.45)</f>
        <v>742.45</v>
      </c>
      <c r="F15" s="6">
        <f>IFERROR(__xludf.DUMMYFUNCTION("""COMPUTED_VALUE"""),7337222.0)</f>
        <v>7337222</v>
      </c>
    </row>
    <row r="16">
      <c r="A16" s="7">
        <f>IFERROR(__xludf.DUMMYFUNCTION("""COMPUTED_VALUE"""),45268.64583333333)</f>
        <v>45268.64583</v>
      </c>
      <c r="B16" s="6">
        <f>IFERROR(__xludf.DUMMYFUNCTION("""COMPUTED_VALUE"""),755.0)</f>
        <v>755</v>
      </c>
      <c r="C16" s="6">
        <f>IFERROR(__xludf.DUMMYFUNCTION("""COMPUTED_VALUE"""),767.0)</f>
        <v>767</v>
      </c>
      <c r="D16" s="6">
        <f>IFERROR(__xludf.DUMMYFUNCTION("""COMPUTED_VALUE"""),734.25)</f>
        <v>734.25</v>
      </c>
      <c r="E16" s="6">
        <f>IFERROR(__xludf.DUMMYFUNCTION("""COMPUTED_VALUE"""),740.5)</f>
        <v>740.5</v>
      </c>
      <c r="F16" s="6">
        <f>IFERROR(__xludf.DUMMYFUNCTION("""COMPUTED_VALUE"""),9482947.0)</f>
        <v>9482947</v>
      </c>
    </row>
    <row r="17">
      <c r="A17" s="7">
        <f>IFERROR(__xludf.DUMMYFUNCTION("""COMPUTED_VALUE"""),45275.64583333333)</f>
        <v>45275.64583</v>
      </c>
      <c r="B17" s="6">
        <f>IFERROR(__xludf.DUMMYFUNCTION("""COMPUTED_VALUE"""),744.45)</f>
        <v>744.45</v>
      </c>
      <c r="C17" s="6">
        <f>IFERROR(__xludf.DUMMYFUNCTION("""COMPUTED_VALUE"""),769.45)</f>
        <v>769.45</v>
      </c>
      <c r="D17" s="6">
        <f>IFERROR(__xludf.DUMMYFUNCTION("""COMPUTED_VALUE"""),729.0)</f>
        <v>729</v>
      </c>
      <c r="E17" s="6">
        <f>IFERROR(__xludf.DUMMYFUNCTION("""COMPUTED_VALUE"""),758.3)</f>
        <v>758.3</v>
      </c>
      <c r="F17" s="6">
        <f>IFERROR(__xludf.DUMMYFUNCTION("""COMPUTED_VALUE"""),9220892.0)</f>
        <v>9220892</v>
      </c>
    </row>
    <row r="18">
      <c r="A18" s="7">
        <f>IFERROR(__xludf.DUMMYFUNCTION("""COMPUTED_VALUE"""),45282.64583333333)</f>
        <v>45282.64583</v>
      </c>
      <c r="B18" s="6">
        <f>IFERROR(__xludf.DUMMYFUNCTION("""COMPUTED_VALUE"""),758.25)</f>
        <v>758.25</v>
      </c>
      <c r="C18" s="6">
        <f>IFERROR(__xludf.DUMMYFUNCTION("""COMPUTED_VALUE"""),785.8)</f>
        <v>785.8</v>
      </c>
      <c r="D18" s="6">
        <f>IFERROR(__xludf.DUMMYFUNCTION("""COMPUTED_VALUE"""),730.05)</f>
        <v>730.05</v>
      </c>
      <c r="E18" s="6">
        <f>IFERROR(__xludf.DUMMYFUNCTION("""COMPUTED_VALUE"""),765.45)</f>
        <v>765.45</v>
      </c>
      <c r="F18" s="6">
        <f>IFERROR(__xludf.DUMMYFUNCTION("""COMPUTED_VALUE"""),1.4440213E7)</f>
        <v>14440213</v>
      </c>
    </row>
    <row r="19">
      <c r="A19" s="7">
        <f>IFERROR(__xludf.DUMMYFUNCTION("""COMPUTED_VALUE"""),45289.64583333333)</f>
        <v>45289.64583</v>
      </c>
      <c r="B19" s="6">
        <f>IFERROR(__xludf.DUMMYFUNCTION("""COMPUTED_VALUE"""),768.6)</f>
        <v>768.6</v>
      </c>
      <c r="C19" s="6">
        <f>IFERROR(__xludf.DUMMYFUNCTION("""COMPUTED_VALUE"""),798.85)</f>
        <v>798.85</v>
      </c>
      <c r="D19" s="6">
        <f>IFERROR(__xludf.DUMMYFUNCTION("""COMPUTED_VALUE"""),762.2)</f>
        <v>762.2</v>
      </c>
      <c r="E19" s="6">
        <f>IFERROR(__xludf.DUMMYFUNCTION("""COMPUTED_VALUE"""),787.4)</f>
        <v>787.4</v>
      </c>
      <c r="F19" s="6">
        <f>IFERROR(__xludf.DUMMYFUNCTION("""COMPUTED_VALUE"""),6619007.0)</f>
        <v>6619007</v>
      </c>
    </row>
    <row r="20">
      <c r="A20" s="7">
        <f>IFERROR(__xludf.DUMMYFUNCTION("""COMPUTED_VALUE"""),45296.64583333333)</f>
        <v>45296.64583</v>
      </c>
      <c r="B20" s="6">
        <f>IFERROR(__xludf.DUMMYFUNCTION("""COMPUTED_VALUE"""),790.9)</f>
        <v>790.9</v>
      </c>
      <c r="C20" s="6">
        <f>IFERROR(__xludf.DUMMYFUNCTION("""COMPUTED_VALUE"""),809.7)</f>
        <v>809.7</v>
      </c>
      <c r="D20" s="6">
        <f>IFERROR(__xludf.DUMMYFUNCTION("""COMPUTED_VALUE"""),745.05)</f>
        <v>745.05</v>
      </c>
      <c r="E20" s="6">
        <f>IFERROR(__xludf.DUMMYFUNCTION("""COMPUTED_VALUE"""),801.05)</f>
        <v>801.05</v>
      </c>
      <c r="F20" s="6">
        <f>IFERROR(__xludf.DUMMYFUNCTION("""COMPUTED_VALUE"""),1.0459293E7)</f>
        <v>10459293</v>
      </c>
    </row>
    <row r="21">
      <c r="A21" s="7">
        <f>IFERROR(__xludf.DUMMYFUNCTION("""COMPUTED_VALUE"""),45303.64583333333)</f>
        <v>45303.64583</v>
      </c>
      <c r="B21" s="6">
        <f>IFERROR(__xludf.DUMMYFUNCTION("""COMPUTED_VALUE"""),794.0)</f>
        <v>794</v>
      </c>
      <c r="C21" s="6">
        <f>IFERROR(__xludf.DUMMYFUNCTION("""COMPUTED_VALUE"""),813.4)</f>
        <v>813.4</v>
      </c>
      <c r="D21" s="6">
        <f>IFERROR(__xludf.DUMMYFUNCTION("""COMPUTED_VALUE"""),764.4)</f>
        <v>764.4</v>
      </c>
      <c r="E21" s="6">
        <f>IFERROR(__xludf.DUMMYFUNCTION("""COMPUTED_VALUE"""),788.35)</f>
        <v>788.35</v>
      </c>
      <c r="F21" s="6">
        <f>IFERROR(__xludf.DUMMYFUNCTION("""COMPUTED_VALUE"""),1.029473E7)</f>
        <v>10294730</v>
      </c>
    </row>
    <row r="22">
      <c r="A22" s="7">
        <f>IFERROR(__xludf.DUMMYFUNCTION("""COMPUTED_VALUE"""),45316.64583333333)</f>
        <v>45316.64583</v>
      </c>
      <c r="B22" s="6">
        <f>IFERROR(__xludf.DUMMYFUNCTION("""COMPUTED_VALUE"""),755.0)</f>
        <v>755</v>
      </c>
      <c r="C22" s="6">
        <f>IFERROR(__xludf.DUMMYFUNCTION("""COMPUTED_VALUE"""),758.0)</f>
        <v>758</v>
      </c>
      <c r="D22" s="6">
        <f>IFERROR(__xludf.DUMMYFUNCTION("""COMPUTED_VALUE"""),703.2)</f>
        <v>703.2</v>
      </c>
      <c r="E22" s="6">
        <f>IFERROR(__xludf.DUMMYFUNCTION("""COMPUTED_VALUE"""),707.85)</f>
        <v>707.85</v>
      </c>
      <c r="F22" s="6">
        <f>IFERROR(__xludf.DUMMYFUNCTION("""COMPUTED_VALUE"""),1.1106725E7)</f>
        <v>11106725</v>
      </c>
    </row>
    <row r="23">
      <c r="A23" s="7">
        <f>IFERROR(__xludf.DUMMYFUNCTION("""COMPUTED_VALUE"""),45324.64583333333)</f>
        <v>45324.64583</v>
      </c>
      <c r="B23" s="6">
        <f>IFERROR(__xludf.DUMMYFUNCTION("""COMPUTED_VALUE"""),670.0)</f>
        <v>670</v>
      </c>
      <c r="C23" s="6">
        <f>IFERROR(__xludf.DUMMYFUNCTION("""COMPUTED_VALUE"""),670.0)</f>
        <v>670</v>
      </c>
      <c r="D23" s="6">
        <f>IFERROR(__xludf.DUMMYFUNCTION("""COMPUTED_VALUE"""),613.5)</f>
        <v>613.5</v>
      </c>
      <c r="E23" s="6">
        <f>IFERROR(__xludf.DUMMYFUNCTION("""COMPUTED_VALUE"""),629.0)</f>
        <v>629</v>
      </c>
      <c r="F23" s="6">
        <f>IFERROR(__xludf.DUMMYFUNCTION("""COMPUTED_VALUE"""),3.9383509E7)</f>
        <v>39383509</v>
      </c>
    </row>
    <row r="24">
      <c r="A24" s="7">
        <f>IFERROR(__xludf.DUMMYFUNCTION("""COMPUTED_VALUE"""),45331.64583333333)</f>
        <v>45331.64583</v>
      </c>
      <c r="B24" s="6">
        <f>IFERROR(__xludf.DUMMYFUNCTION("""COMPUTED_VALUE"""),628.95)</f>
        <v>628.95</v>
      </c>
      <c r="C24" s="6">
        <f>IFERROR(__xludf.DUMMYFUNCTION("""COMPUTED_VALUE"""),630.0)</f>
        <v>630</v>
      </c>
      <c r="D24" s="6">
        <f>IFERROR(__xludf.DUMMYFUNCTION("""COMPUTED_VALUE"""),592.25)</f>
        <v>592.25</v>
      </c>
      <c r="E24" s="6">
        <f>IFERROR(__xludf.DUMMYFUNCTION("""COMPUTED_VALUE"""),603.9)</f>
        <v>603.9</v>
      </c>
      <c r="F24" s="6">
        <f>IFERROR(__xludf.DUMMYFUNCTION("""COMPUTED_VALUE"""),1.6371751E7)</f>
        <v>16371751</v>
      </c>
    </row>
    <row r="25">
      <c r="A25" s="7">
        <f>IFERROR(__xludf.DUMMYFUNCTION("""COMPUTED_VALUE"""),45338.64583333333)</f>
        <v>45338.64583</v>
      </c>
      <c r="B25" s="6">
        <f>IFERROR(__xludf.DUMMYFUNCTION("""COMPUTED_VALUE"""),608.0)</f>
        <v>608</v>
      </c>
      <c r="C25" s="6">
        <f>IFERROR(__xludf.DUMMYFUNCTION("""COMPUTED_VALUE"""),609.45)</f>
        <v>609.45</v>
      </c>
      <c r="D25" s="6">
        <f>IFERROR(__xludf.DUMMYFUNCTION("""COMPUTED_VALUE"""),579.0)</f>
        <v>579</v>
      </c>
      <c r="E25" s="6">
        <f>IFERROR(__xludf.DUMMYFUNCTION("""COMPUTED_VALUE"""),581.75)</f>
        <v>581.75</v>
      </c>
      <c r="F25" s="6">
        <f>IFERROR(__xludf.DUMMYFUNCTION("""COMPUTED_VALUE"""),1.7185168E7)</f>
        <v>17185168</v>
      </c>
    </row>
    <row r="26">
      <c r="A26" s="7">
        <f>IFERROR(__xludf.DUMMYFUNCTION("""COMPUTED_VALUE"""),45345.64583333333)</f>
        <v>45345.64583</v>
      </c>
      <c r="B26" s="6">
        <f>IFERROR(__xludf.DUMMYFUNCTION("""COMPUTED_VALUE"""),584.5)</f>
        <v>584.5</v>
      </c>
      <c r="C26" s="6">
        <f>IFERROR(__xludf.DUMMYFUNCTION("""COMPUTED_VALUE"""),610.4)</f>
        <v>610.4</v>
      </c>
      <c r="D26" s="6">
        <f>IFERROR(__xludf.DUMMYFUNCTION("""COMPUTED_VALUE"""),581.7)</f>
        <v>581.7</v>
      </c>
      <c r="E26" s="6">
        <f>IFERROR(__xludf.DUMMYFUNCTION("""COMPUTED_VALUE"""),599.95)</f>
        <v>599.95</v>
      </c>
      <c r="F26" s="6">
        <f>IFERROR(__xludf.DUMMYFUNCTION("""COMPUTED_VALUE"""),1.6717958E7)</f>
        <v>16717958</v>
      </c>
    </row>
    <row r="27">
      <c r="A27" s="7">
        <f>IFERROR(__xludf.DUMMYFUNCTION("""COMPUTED_VALUE"""),45358.64583333333)</f>
        <v>45358.64583</v>
      </c>
      <c r="B27" s="6">
        <f>IFERROR(__xludf.DUMMYFUNCTION("""COMPUTED_VALUE"""),578.05)</f>
        <v>578.05</v>
      </c>
      <c r="C27" s="6">
        <f>IFERROR(__xludf.DUMMYFUNCTION("""COMPUTED_VALUE"""),590.0)</f>
        <v>590</v>
      </c>
      <c r="D27" s="6">
        <f>IFERROR(__xludf.DUMMYFUNCTION("""COMPUTED_VALUE"""),564.45)</f>
        <v>564.45</v>
      </c>
      <c r="E27" s="6">
        <f>IFERROR(__xludf.DUMMYFUNCTION("""COMPUTED_VALUE"""),571.25)</f>
        <v>571.25</v>
      </c>
      <c r="F27" s="6">
        <f>IFERROR(__xludf.DUMMYFUNCTION("""COMPUTED_VALUE"""),1.2606362E7)</f>
        <v>12606362</v>
      </c>
    </row>
    <row r="28">
      <c r="A28" s="7">
        <f>IFERROR(__xludf.DUMMYFUNCTION("""COMPUTED_VALUE"""),45366.64583333333)</f>
        <v>45366.64583</v>
      </c>
      <c r="B28" s="6">
        <f>IFERROR(__xludf.DUMMYFUNCTION("""COMPUTED_VALUE"""),572.0)</f>
        <v>572</v>
      </c>
      <c r="C28" s="6">
        <f>IFERROR(__xludf.DUMMYFUNCTION("""COMPUTED_VALUE"""),590.85)</f>
        <v>590.85</v>
      </c>
      <c r="D28" s="6">
        <f>IFERROR(__xludf.DUMMYFUNCTION("""COMPUTED_VALUE"""),569.0)</f>
        <v>569</v>
      </c>
      <c r="E28" s="6">
        <f>IFERROR(__xludf.DUMMYFUNCTION("""COMPUTED_VALUE"""),578.25)</f>
        <v>578.25</v>
      </c>
      <c r="F28" s="6">
        <f>IFERROR(__xludf.DUMMYFUNCTION("""COMPUTED_VALUE"""),1.6169962E7)</f>
        <v>16169962</v>
      </c>
    </row>
    <row r="29">
      <c r="A29" s="7">
        <f>IFERROR(__xludf.DUMMYFUNCTION("""COMPUTED_VALUE"""),45373.64583333333)</f>
        <v>45373.64583</v>
      </c>
      <c r="B29" s="6">
        <f>IFERROR(__xludf.DUMMYFUNCTION("""COMPUTED_VALUE"""),581.9)</f>
        <v>581.9</v>
      </c>
      <c r="C29" s="6">
        <f>IFERROR(__xludf.DUMMYFUNCTION("""COMPUTED_VALUE"""),583.75)</f>
        <v>583.75</v>
      </c>
      <c r="D29" s="6">
        <f>IFERROR(__xludf.DUMMYFUNCTION("""COMPUTED_VALUE"""),553.7)</f>
        <v>553.7</v>
      </c>
      <c r="E29" s="6">
        <f>IFERROR(__xludf.DUMMYFUNCTION("""COMPUTED_VALUE"""),564.25)</f>
        <v>564.25</v>
      </c>
      <c r="F29" s="6">
        <f>IFERROR(__xludf.DUMMYFUNCTION("""COMPUTED_VALUE"""),1.5866141E7)</f>
        <v>15866141</v>
      </c>
    </row>
    <row r="30">
      <c r="A30" s="7">
        <f>IFERROR(__xludf.DUMMYFUNCTION("""COMPUTED_VALUE"""),45379.64583333333)</f>
        <v>45379.64583</v>
      </c>
      <c r="B30" s="6">
        <f>IFERROR(__xludf.DUMMYFUNCTION("""COMPUTED_VALUE"""),564.25)</f>
        <v>564.25</v>
      </c>
      <c r="C30" s="6">
        <f>IFERROR(__xludf.DUMMYFUNCTION("""COMPUTED_VALUE"""),570.45)</f>
        <v>570.45</v>
      </c>
      <c r="D30" s="6">
        <f>IFERROR(__xludf.DUMMYFUNCTION("""COMPUTED_VALUE"""),557.2)</f>
        <v>557.2</v>
      </c>
      <c r="E30" s="6">
        <f>IFERROR(__xludf.DUMMYFUNCTION("""COMPUTED_VALUE"""),565.0)</f>
        <v>565</v>
      </c>
      <c r="F30" s="6">
        <f>IFERROR(__xludf.DUMMYFUNCTION("""COMPUTED_VALUE"""),9275874.0)</f>
        <v>9275874</v>
      </c>
    </row>
    <row r="31">
      <c r="A31" s="7">
        <f>IFERROR(__xludf.DUMMYFUNCTION("""COMPUTED_VALUE"""),45387.64583333333)</f>
        <v>45387.64583</v>
      </c>
      <c r="B31" s="6">
        <f>IFERROR(__xludf.DUMMYFUNCTION("""COMPUTED_VALUE"""),570.9)</f>
        <v>570.9</v>
      </c>
      <c r="C31" s="6">
        <f>IFERROR(__xludf.DUMMYFUNCTION("""COMPUTED_VALUE"""),639.95)</f>
        <v>639.95</v>
      </c>
      <c r="D31" s="6">
        <f>IFERROR(__xludf.DUMMYFUNCTION("""COMPUTED_VALUE"""),567.0)</f>
        <v>567</v>
      </c>
      <c r="E31" s="6">
        <f>IFERROR(__xludf.DUMMYFUNCTION("""COMPUTED_VALUE"""),634.75)</f>
        <v>634.75</v>
      </c>
      <c r="F31" s="6">
        <f>IFERROR(__xludf.DUMMYFUNCTION("""COMPUTED_VALUE"""),3.5896035E7)</f>
        <v>35896035</v>
      </c>
    </row>
    <row r="32">
      <c r="A32" s="7">
        <f>IFERROR(__xludf.DUMMYFUNCTION("""COMPUTED_VALUE"""),45394.64583333333)</f>
        <v>45394.64583</v>
      </c>
      <c r="B32" s="6">
        <f>IFERROR(__xludf.DUMMYFUNCTION("""COMPUTED_VALUE"""),637.2)</f>
        <v>637.2</v>
      </c>
      <c r="C32" s="6">
        <f>IFERROR(__xludf.DUMMYFUNCTION("""COMPUTED_VALUE"""),645.5)</f>
        <v>645.5</v>
      </c>
      <c r="D32" s="6">
        <f>IFERROR(__xludf.DUMMYFUNCTION("""COMPUTED_VALUE"""),625.8)</f>
        <v>625.8</v>
      </c>
      <c r="E32" s="6">
        <f>IFERROR(__xludf.DUMMYFUNCTION("""COMPUTED_VALUE"""),638.75)</f>
        <v>638.75</v>
      </c>
      <c r="F32" s="6">
        <f>IFERROR(__xludf.DUMMYFUNCTION("""COMPUTED_VALUE"""),1.015764E7)</f>
        <v>10157640</v>
      </c>
    </row>
    <row r="33">
      <c r="A33" s="7">
        <f>IFERROR(__xludf.DUMMYFUNCTION("""COMPUTED_VALUE"""),45401.64583333333)</f>
        <v>45401.64583</v>
      </c>
      <c r="B33" s="6">
        <f>IFERROR(__xludf.DUMMYFUNCTION("""COMPUTED_VALUE"""),620.0)</f>
        <v>620</v>
      </c>
      <c r="C33" s="6">
        <f>IFERROR(__xludf.DUMMYFUNCTION("""COMPUTED_VALUE"""),635.55)</f>
        <v>635.55</v>
      </c>
      <c r="D33" s="6">
        <f>IFERROR(__xludf.DUMMYFUNCTION("""COMPUTED_VALUE"""),607.6)</f>
        <v>607.6</v>
      </c>
      <c r="E33" s="6">
        <f>IFERROR(__xludf.DUMMYFUNCTION("""COMPUTED_VALUE"""),614.7)</f>
        <v>614.7</v>
      </c>
      <c r="F33" s="6">
        <f>IFERROR(__xludf.DUMMYFUNCTION("""COMPUTED_VALUE"""),1.287865E7)</f>
        <v>12878650</v>
      </c>
    </row>
    <row r="34">
      <c r="A34" s="7">
        <f>IFERROR(__xludf.DUMMYFUNCTION("""COMPUTED_VALUE"""),45408.64583333333)</f>
        <v>45408.64583</v>
      </c>
      <c r="B34" s="6">
        <f>IFERROR(__xludf.DUMMYFUNCTION("""COMPUTED_VALUE"""),623.8)</f>
        <v>623.8</v>
      </c>
      <c r="C34" s="6">
        <f>IFERROR(__xludf.DUMMYFUNCTION("""COMPUTED_VALUE"""),633.6)</f>
        <v>633.6</v>
      </c>
      <c r="D34" s="6">
        <f>IFERROR(__xludf.DUMMYFUNCTION("""COMPUTED_VALUE"""),598.15)</f>
        <v>598.15</v>
      </c>
      <c r="E34" s="6">
        <f>IFERROR(__xludf.DUMMYFUNCTION("""COMPUTED_VALUE"""),599.8)</f>
        <v>599.8</v>
      </c>
      <c r="F34" s="6">
        <f>IFERROR(__xludf.DUMMYFUNCTION("""COMPUTED_VALUE"""),2.1418195E7)</f>
        <v>21418195</v>
      </c>
    </row>
    <row r="35">
      <c r="A35" s="7">
        <f>IFERROR(__xludf.DUMMYFUNCTION("""COMPUTED_VALUE"""),45415.64583333333)</f>
        <v>45415.64583</v>
      </c>
      <c r="B35" s="6">
        <f>IFERROR(__xludf.DUMMYFUNCTION("""COMPUTED_VALUE"""),625.5)</f>
        <v>625.5</v>
      </c>
      <c r="C35" s="6">
        <f>IFERROR(__xludf.DUMMYFUNCTION("""COMPUTED_VALUE"""),655.55)</f>
        <v>655.55</v>
      </c>
      <c r="D35" s="6">
        <f>IFERROR(__xludf.DUMMYFUNCTION("""COMPUTED_VALUE"""),612.25)</f>
        <v>612.25</v>
      </c>
      <c r="E35" s="6">
        <f>IFERROR(__xludf.DUMMYFUNCTION("""COMPUTED_VALUE"""),645.0)</f>
        <v>645</v>
      </c>
      <c r="F35" s="6">
        <f>IFERROR(__xludf.DUMMYFUNCTION("""COMPUTED_VALUE"""),2.5765708E7)</f>
        <v>25765708</v>
      </c>
    </row>
    <row r="36">
      <c r="A36" s="7">
        <f>IFERROR(__xludf.DUMMYFUNCTION("""COMPUTED_VALUE"""),45422.64583333333)</f>
        <v>45422.64583</v>
      </c>
      <c r="B36" s="6">
        <f>IFERROR(__xludf.DUMMYFUNCTION("""COMPUTED_VALUE"""),648.0)</f>
        <v>648</v>
      </c>
      <c r="C36" s="6">
        <f>IFERROR(__xludf.DUMMYFUNCTION("""COMPUTED_VALUE"""),655.45)</f>
        <v>655.45</v>
      </c>
      <c r="D36" s="6">
        <f>IFERROR(__xludf.DUMMYFUNCTION("""COMPUTED_VALUE"""),620.1)</f>
        <v>620.1</v>
      </c>
      <c r="E36" s="6">
        <f>IFERROR(__xludf.DUMMYFUNCTION("""COMPUTED_VALUE"""),635.1)</f>
        <v>635.1</v>
      </c>
      <c r="F36" s="6">
        <f>IFERROR(__xludf.DUMMYFUNCTION("""COMPUTED_VALUE"""),1.1173487E7)</f>
        <v>11173487</v>
      </c>
    </row>
    <row r="37">
      <c r="A37" s="7">
        <f>IFERROR(__xludf.DUMMYFUNCTION("""COMPUTED_VALUE"""),45436.64583333333)</f>
        <v>45436.64583</v>
      </c>
      <c r="B37" s="6">
        <f>IFERROR(__xludf.DUMMYFUNCTION("""COMPUTED_VALUE"""),625.0)</f>
        <v>625</v>
      </c>
      <c r="C37" s="6">
        <f>IFERROR(__xludf.DUMMYFUNCTION("""COMPUTED_VALUE"""),626.0)</f>
        <v>626</v>
      </c>
      <c r="D37" s="6">
        <f>IFERROR(__xludf.DUMMYFUNCTION("""COMPUTED_VALUE"""),600.55)</f>
        <v>600.55</v>
      </c>
      <c r="E37" s="6">
        <f>IFERROR(__xludf.DUMMYFUNCTION("""COMPUTED_VALUE"""),620.65)</f>
        <v>620.65</v>
      </c>
      <c r="F37" s="6">
        <f>IFERROR(__xludf.DUMMYFUNCTION("""COMPUTED_VALUE"""),1.1642194E7)</f>
        <v>11642194</v>
      </c>
    </row>
    <row r="38">
      <c r="A38" s="7">
        <f>IFERROR(__xludf.DUMMYFUNCTION("""COMPUTED_VALUE"""),45443.64583333333)</f>
        <v>45443.64583</v>
      </c>
      <c r="B38" s="6">
        <f>IFERROR(__xludf.DUMMYFUNCTION("""COMPUTED_VALUE"""),624.8)</f>
        <v>624.8</v>
      </c>
      <c r="C38" s="6">
        <f>IFERROR(__xludf.DUMMYFUNCTION("""COMPUTED_VALUE"""),655.35)</f>
        <v>655.35</v>
      </c>
      <c r="D38" s="6">
        <f>IFERROR(__xludf.DUMMYFUNCTION("""COMPUTED_VALUE"""),621.0)</f>
        <v>621</v>
      </c>
      <c r="E38" s="6">
        <f>IFERROR(__xludf.DUMMYFUNCTION("""COMPUTED_VALUE"""),653.1)</f>
        <v>653.1</v>
      </c>
      <c r="F38" s="6">
        <f>IFERROR(__xludf.DUMMYFUNCTION("""COMPUTED_VALUE"""),4.3184558E7)</f>
        <v>43184558</v>
      </c>
    </row>
    <row r="39">
      <c r="A39" s="7">
        <f>IFERROR(__xludf.DUMMYFUNCTION("""COMPUTED_VALUE"""),45450.64583333333)</f>
        <v>45450.64583</v>
      </c>
      <c r="B39" s="6">
        <f>IFERROR(__xludf.DUMMYFUNCTION("""COMPUTED_VALUE"""),663.4)</f>
        <v>663.4</v>
      </c>
      <c r="C39" s="6">
        <f>IFERROR(__xludf.DUMMYFUNCTION("""COMPUTED_VALUE"""),688.9)</f>
        <v>688.9</v>
      </c>
      <c r="D39" s="6">
        <f>IFERROR(__xludf.DUMMYFUNCTION("""COMPUTED_VALUE"""),605.9)</f>
        <v>605.9</v>
      </c>
      <c r="E39" s="6">
        <f>IFERROR(__xludf.DUMMYFUNCTION("""COMPUTED_VALUE"""),669.0)</f>
        <v>669</v>
      </c>
      <c r="F39" s="6">
        <f>IFERROR(__xludf.DUMMYFUNCTION("""COMPUTED_VALUE"""),2.3326402E7)</f>
        <v>23326402</v>
      </c>
    </row>
    <row r="40">
      <c r="A40" s="7">
        <f>IFERROR(__xludf.DUMMYFUNCTION("""COMPUTED_VALUE"""),45457.64583333333)</f>
        <v>45457.64583</v>
      </c>
      <c r="B40" s="6">
        <f>IFERROR(__xludf.DUMMYFUNCTION("""COMPUTED_VALUE"""),669.2)</f>
        <v>669.2</v>
      </c>
      <c r="C40" s="6">
        <f>IFERROR(__xludf.DUMMYFUNCTION("""COMPUTED_VALUE"""),679.6)</f>
        <v>679.6</v>
      </c>
      <c r="D40" s="6">
        <f>IFERROR(__xludf.DUMMYFUNCTION("""COMPUTED_VALUE"""),648.0)</f>
        <v>648</v>
      </c>
      <c r="E40" s="6">
        <f>IFERROR(__xludf.DUMMYFUNCTION("""COMPUTED_VALUE"""),661.25)</f>
        <v>661.25</v>
      </c>
      <c r="F40" s="6">
        <f>IFERROR(__xludf.DUMMYFUNCTION("""COMPUTED_VALUE"""),1.4586878E7)</f>
        <v>14586878</v>
      </c>
    </row>
    <row r="41">
      <c r="A41" s="7">
        <f>IFERROR(__xludf.DUMMYFUNCTION("""COMPUTED_VALUE"""),45464.64583333333)</f>
        <v>45464.64583</v>
      </c>
      <c r="B41" s="6">
        <f>IFERROR(__xludf.DUMMYFUNCTION("""COMPUTED_VALUE"""),663.45)</f>
        <v>663.45</v>
      </c>
      <c r="C41" s="6">
        <f>IFERROR(__xludf.DUMMYFUNCTION("""COMPUTED_VALUE"""),676.0)</f>
        <v>676</v>
      </c>
      <c r="D41" s="6">
        <f>IFERROR(__xludf.DUMMYFUNCTION("""COMPUTED_VALUE"""),650.0)</f>
        <v>650</v>
      </c>
      <c r="E41" s="6">
        <f>IFERROR(__xludf.DUMMYFUNCTION("""COMPUTED_VALUE"""),667.6)</f>
        <v>667.6</v>
      </c>
      <c r="F41" s="6">
        <f>IFERROR(__xludf.DUMMYFUNCTION("""COMPUTED_VALUE"""),2.7490886E7)</f>
        <v>27490886</v>
      </c>
    </row>
    <row r="42">
      <c r="A42" s="7">
        <f>IFERROR(__xludf.DUMMYFUNCTION("""COMPUTED_VALUE"""),45471.64583333333)</f>
        <v>45471.64583</v>
      </c>
      <c r="B42" s="6">
        <f>IFERROR(__xludf.DUMMYFUNCTION("""COMPUTED_VALUE"""),660.25)</f>
        <v>660.25</v>
      </c>
      <c r="C42" s="6">
        <f>IFERROR(__xludf.DUMMYFUNCTION("""COMPUTED_VALUE"""),700.95)</f>
        <v>700.95</v>
      </c>
      <c r="D42" s="6">
        <f>IFERROR(__xludf.DUMMYFUNCTION("""COMPUTED_VALUE"""),638.5)</f>
        <v>638.5</v>
      </c>
      <c r="E42" s="6">
        <f>IFERROR(__xludf.DUMMYFUNCTION("""COMPUTED_VALUE"""),672.05)</f>
        <v>672.05</v>
      </c>
      <c r="F42" s="6">
        <f>IFERROR(__xludf.DUMMYFUNCTION("""COMPUTED_VALUE"""),2.5066526E7)</f>
        <v>25066526</v>
      </c>
    </row>
    <row r="43">
      <c r="A43" s="7">
        <f>IFERROR(__xludf.DUMMYFUNCTION("""COMPUTED_VALUE"""),45478.64583333333)</f>
        <v>45478.64583</v>
      </c>
      <c r="B43" s="6">
        <f>IFERROR(__xludf.DUMMYFUNCTION("""COMPUTED_VALUE"""),672.05)</f>
        <v>672.05</v>
      </c>
      <c r="C43" s="6">
        <f>IFERROR(__xludf.DUMMYFUNCTION("""COMPUTED_VALUE"""),682.2)</f>
        <v>682.2</v>
      </c>
      <c r="D43" s="6">
        <f>IFERROR(__xludf.DUMMYFUNCTION("""COMPUTED_VALUE"""),661.8)</f>
        <v>661.8</v>
      </c>
      <c r="E43" s="6">
        <f>IFERROR(__xludf.DUMMYFUNCTION("""COMPUTED_VALUE"""),672.6)</f>
        <v>672.6</v>
      </c>
      <c r="F43" s="6">
        <f>IFERROR(__xludf.DUMMYFUNCTION("""COMPUTED_VALUE"""),8823109.0)</f>
        <v>8823109</v>
      </c>
    </row>
    <row r="44">
      <c r="A44" s="7">
        <f>IFERROR(__xludf.DUMMYFUNCTION("""COMPUTED_VALUE"""),45485.64583333333)</f>
        <v>45485.64583</v>
      </c>
      <c r="B44" s="6">
        <f>IFERROR(__xludf.DUMMYFUNCTION("""COMPUTED_VALUE"""),667.95)</f>
        <v>667.95</v>
      </c>
      <c r="C44" s="6">
        <f>IFERROR(__xludf.DUMMYFUNCTION("""COMPUTED_VALUE"""),668.25)</f>
        <v>668.25</v>
      </c>
      <c r="D44" s="6">
        <f>IFERROR(__xludf.DUMMYFUNCTION("""COMPUTED_VALUE"""),624.55)</f>
        <v>624.55</v>
      </c>
      <c r="E44" s="6">
        <f>IFERROR(__xludf.DUMMYFUNCTION("""COMPUTED_VALUE"""),643.8)</f>
        <v>643.8</v>
      </c>
      <c r="F44" s="6">
        <f>IFERROR(__xludf.DUMMYFUNCTION("""COMPUTED_VALUE"""),1.7421424E7)</f>
        <v>17421424</v>
      </c>
    </row>
    <row r="45">
      <c r="A45" s="7">
        <f>IFERROR(__xludf.DUMMYFUNCTION("""COMPUTED_VALUE"""),45492.64583333333)</f>
        <v>45492.64583</v>
      </c>
      <c r="B45" s="6">
        <f>IFERROR(__xludf.DUMMYFUNCTION("""COMPUTED_VALUE"""),645.0)</f>
        <v>645</v>
      </c>
      <c r="C45" s="6">
        <f>IFERROR(__xludf.DUMMYFUNCTION("""COMPUTED_VALUE"""),648.15)</f>
        <v>648.15</v>
      </c>
      <c r="D45" s="6">
        <f>IFERROR(__xludf.DUMMYFUNCTION("""COMPUTED_VALUE"""),625.15)</f>
        <v>625.15</v>
      </c>
      <c r="E45" s="6">
        <f>IFERROR(__xludf.DUMMYFUNCTION("""COMPUTED_VALUE"""),633.65)</f>
        <v>633.65</v>
      </c>
      <c r="F45" s="6">
        <f>IFERROR(__xludf.DUMMYFUNCTION("""COMPUTED_VALUE"""),7496948.0)</f>
        <v>7496948</v>
      </c>
    </row>
    <row r="46">
      <c r="A46" s="7">
        <f>IFERROR(__xludf.DUMMYFUNCTION("""COMPUTED_VALUE"""),45499.64583333333)</f>
        <v>45499.64583</v>
      </c>
      <c r="B46" s="6">
        <f>IFERROR(__xludf.DUMMYFUNCTION("""COMPUTED_VALUE"""),628.0)</f>
        <v>628</v>
      </c>
      <c r="C46" s="6">
        <f>IFERROR(__xludf.DUMMYFUNCTION("""COMPUTED_VALUE"""),663.3)</f>
        <v>663.3</v>
      </c>
      <c r="D46" s="6">
        <f>IFERROR(__xludf.DUMMYFUNCTION("""COMPUTED_VALUE"""),620.55)</f>
        <v>620.55</v>
      </c>
      <c r="E46" s="6">
        <f>IFERROR(__xludf.DUMMYFUNCTION("""COMPUTED_VALUE"""),650.4)</f>
        <v>650.4</v>
      </c>
      <c r="F46" s="6">
        <f>IFERROR(__xludf.DUMMYFUNCTION("""COMPUTED_VALUE"""),2.1264E7)</f>
        <v>21264000</v>
      </c>
    </row>
    <row r="47">
      <c r="A47" s="7">
        <f>IFERROR(__xludf.DUMMYFUNCTION("""COMPUTED_VALUE"""),45506.64583333333)</f>
        <v>45506.64583</v>
      </c>
      <c r="B47" s="6">
        <f>IFERROR(__xludf.DUMMYFUNCTION("""COMPUTED_VALUE"""),655.0)</f>
        <v>655</v>
      </c>
      <c r="C47" s="6">
        <f>IFERROR(__xludf.DUMMYFUNCTION("""COMPUTED_VALUE"""),661.5)</f>
        <v>661.5</v>
      </c>
      <c r="D47" s="6">
        <f>IFERROR(__xludf.DUMMYFUNCTION("""COMPUTED_VALUE"""),635.5)</f>
        <v>635.5</v>
      </c>
      <c r="E47" s="6">
        <f>IFERROR(__xludf.DUMMYFUNCTION("""COMPUTED_VALUE"""),637.6)</f>
        <v>637.6</v>
      </c>
      <c r="F47" s="6">
        <f>IFERROR(__xludf.DUMMYFUNCTION("""COMPUTED_VALUE"""),1.5199185E7)</f>
        <v>15199185</v>
      </c>
    </row>
    <row r="48">
      <c r="A48" s="7">
        <f>IFERROR(__xludf.DUMMYFUNCTION("""COMPUTED_VALUE"""),45513.64583333333)</f>
        <v>45513.64583</v>
      </c>
      <c r="B48" s="6">
        <f>IFERROR(__xludf.DUMMYFUNCTION("""COMPUTED_VALUE"""),629.9)</f>
        <v>629.9</v>
      </c>
      <c r="C48" s="6">
        <f>IFERROR(__xludf.DUMMYFUNCTION("""COMPUTED_VALUE"""),644.9)</f>
        <v>644.9</v>
      </c>
      <c r="D48" s="6">
        <f>IFERROR(__xludf.DUMMYFUNCTION("""COMPUTED_VALUE"""),622.3)</f>
        <v>622.3</v>
      </c>
      <c r="E48" s="6">
        <f>IFERROR(__xludf.DUMMYFUNCTION("""COMPUTED_VALUE"""),625.95)</f>
        <v>625.95</v>
      </c>
      <c r="F48" s="6">
        <f>IFERROR(__xludf.DUMMYFUNCTION("""COMPUTED_VALUE"""),8921972.0)</f>
        <v>8921972</v>
      </c>
    </row>
    <row r="49">
      <c r="A49" s="7">
        <f>IFERROR(__xludf.DUMMYFUNCTION("""COMPUTED_VALUE"""),45520.64583333333)</f>
        <v>45520.64583</v>
      </c>
      <c r="B49" s="6">
        <f>IFERROR(__xludf.DUMMYFUNCTION("""COMPUTED_VALUE"""),620.1)</f>
        <v>620.1</v>
      </c>
      <c r="C49" s="6">
        <f>IFERROR(__xludf.DUMMYFUNCTION("""COMPUTED_VALUE"""),621.4)</f>
        <v>621.4</v>
      </c>
      <c r="D49" s="6">
        <f>IFERROR(__xludf.DUMMYFUNCTION("""COMPUTED_VALUE"""),600.25)</f>
        <v>600.25</v>
      </c>
      <c r="E49" s="6">
        <f>IFERROR(__xludf.DUMMYFUNCTION("""COMPUTED_VALUE"""),613.2)</f>
        <v>613.2</v>
      </c>
      <c r="F49" s="6">
        <f>IFERROR(__xludf.DUMMYFUNCTION("""COMPUTED_VALUE"""),1.1123079E7)</f>
        <v>11123079</v>
      </c>
    </row>
    <row r="50">
      <c r="A50" s="7">
        <f>IFERROR(__xludf.DUMMYFUNCTION("""COMPUTED_VALUE"""),45527.64583333333)</f>
        <v>45527.64583</v>
      </c>
      <c r="B50" s="6">
        <f>IFERROR(__xludf.DUMMYFUNCTION("""COMPUTED_VALUE"""),614.1)</f>
        <v>614.1</v>
      </c>
      <c r="C50" s="6">
        <f>IFERROR(__xludf.DUMMYFUNCTION("""COMPUTED_VALUE"""),637.35)</f>
        <v>637.35</v>
      </c>
      <c r="D50" s="6">
        <f>IFERROR(__xludf.DUMMYFUNCTION("""COMPUTED_VALUE"""),610.0)</f>
        <v>610</v>
      </c>
      <c r="E50" s="6">
        <f>IFERROR(__xludf.DUMMYFUNCTION("""COMPUTED_VALUE"""),625.8)</f>
        <v>625.8</v>
      </c>
      <c r="F50" s="6">
        <f>IFERROR(__xludf.DUMMYFUNCTION("""COMPUTED_VALUE"""),9723202.0)</f>
        <v>9723202</v>
      </c>
    </row>
    <row r="51">
      <c r="A51" s="7">
        <f>IFERROR(__xludf.DUMMYFUNCTION("""COMPUTED_VALUE"""),45534.64583333333)</f>
        <v>45534.64583</v>
      </c>
      <c r="B51" s="6">
        <f>IFERROR(__xludf.DUMMYFUNCTION("""COMPUTED_VALUE"""),631.75)</f>
        <v>631.75</v>
      </c>
      <c r="C51" s="6">
        <f>IFERROR(__xludf.DUMMYFUNCTION("""COMPUTED_VALUE"""),697.0)</f>
        <v>697</v>
      </c>
      <c r="D51" s="6">
        <f>IFERROR(__xludf.DUMMYFUNCTION("""COMPUTED_VALUE"""),625.85)</f>
        <v>625.85</v>
      </c>
      <c r="E51" s="6">
        <f>IFERROR(__xludf.DUMMYFUNCTION("""COMPUTED_VALUE"""),688.7)</f>
        <v>688.7</v>
      </c>
      <c r="F51" s="6">
        <f>IFERROR(__xludf.DUMMYFUNCTION("""COMPUTED_VALUE"""),2.5965321E7)</f>
        <v>25965321</v>
      </c>
    </row>
    <row r="52">
      <c r="A52" s="7">
        <f>IFERROR(__xludf.DUMMYFUNCTION("""COMPUTED_VALUE"""),45541.64583333333)</f>
        <v>45541.64583</v>
      </c>
      <c r="B52" s="6">
        <f>IFERROR(__xludf.DUMMYFUNCTION("""COMPUTED_VALUE"""),684.95)</f>
        <v>684.95</v>
      </c>
      <c r="C52" s="6">
        <f>IFERROR(__xludf.DUMMYFUNCTION("""COMPUTED_VALUE"""),722.85)</f>
        <v>722.85</v>
      </c>
      <c r="D52" s="6">
        <f>IFERROR(__xludf.DUMMYFUNCTION("""COMPUTED_VALUE"""),671.1)</f>
        <v>671.1</v>
      </c>
      <c r="E52" s="6">
        <f>IFERROR(__xludf.DUMMYFUNCTION("""COMPUTED_VALUE"""),703.0)</f>
        <v>703</v>
      </c>
      <c r="F52" s="6">
        <f>IFERROR(__xludf.DUMMYFUNCTION("""COMPUTED_VALUE"""),2.3896712E7)</f>
        <v>23896712</v>
      </c>
    </row>
    <row r="53">
      <c r="A53" s="7">
        <f>IFERROR(__xludf.DUMMYFUNCTION("""COMPUTED_VALUE"""),45548.64583333333)</f>
        <v>45548.64583</v>
      </c>
      <c r="B53" s="6">
        <f>IFERROR(__xludf.DUMMYFUNCTION("""COMPUTED_VALUE"""),705.0)</f>
        <v>705</v>
      </c>
      <c r="C53" s="6">
        <f>IFERROR(__xludf.DUMMYFUNCTION("""COMPUTED_VALUE"""),728.65)</f>
        <v>728.65</v>
      </c>
      <c r="D53" s="6">
        <f>IFERROR(__xludf.DUMMYFUNCTION("""COMPUTED_VALUE"""),696.85)</f>
        <v>696.85</v>
      </c>
      <c r="E53" s="6">
        <f>IFERROR(__xludf.DUMMYFUNCTION("""COMPUTED_VALUE"""),722.9)</f>
        <v>722.9</v>
      </c>
      <c r="F53" s="6">
        <f>IFERROR(__xludf.DUMMYFUNCTION("""COMPUTED_VALUE"""),1.0950435E7)</f>
        <v>10950435</v>
      </c>
    </row>
    <row r="54">
      <c r="A54" s="7">
        <f>IFERROR(__xludf.DUMMYFUNCTION("""COMPUTED_VALUE"""),45555.64583333333)</f>
        <v>45555.64583</v>
      </c>
      <c r="B54" s="6">
        <f>IFERROR(__xludf.DUMMYFUNCTION("""COMPUTED_VALUE"""),725.5)</f>
        <v>725.5</v>
      </c>
      <c r="C54" s="6">
        <f>IFERROR(__xludf.DUMMYFUNCTION("""COMPUTED_VALUE"""),755.4)</f>
        <v>755.4</v>
      </c>
      <c r="D54" s="6">
        <f>IFERROR(__xludf.DUMMYFUNCTION("""COMPUTED_VALUE"""),710.55)</f>
        <v>710.55</v>
      </c>
      <c r="E54" s="6">
        <f>IFERROR(__xludf.DUMMYFUNCTION("""COMPUTED_VALUE"""),731.3)</f>
        <v>731.3</v>
      </c>
      <c r="F54" s="6">
        <f>IFERROR(__xludf.DUMMYFUNCTION("""COMPUTED_VALUE"""),1.3274364E7)</f>
        <v>13274364</v>
      </c>
    </row>
    <row r="55">
      <c r="A55" s="7">
        <f>IFERROR(__xludf.DUMMYFUNCTION("""COMPUTED_VALUE"""),45562.64583333333)</f>
        <v>45562.64583</v>
      </c>
      <c r="B55" s="6">
        <f>IFERROR(__xludf.DUMMYFUNCTION("""COMPUTED_VALUE"""),732.0)</f>
        <v>732</v>
      </c>
      <c r="C55" s="6">
        <f>IFERROR(__xludf.DUMMYFUNCTION("""COMPUTED_VALUE"""),741.9)</f>
        <v>741.9</v>
      </c>
      <c r="D55" s="6">
        <f>IFERROR(__xludf.DUMMYFUNCTION("""COMPUTED_VALUE"""),723.85)</f>
        <v>723.85</v>
      </c>
      <c r="E55" s="6">
        <f>IFERROR(__xludf.DUMMYFUNCTION("""COMPUTED_VALUE"""),731.1)</f>
        <v>731.1</v>
      </c>
      <c r="F55" s="6">
        <f>IFERROR(__xludf.DUMMYFUNCTION("""COMPUTED_VALUE"""),1.0783356E7)</f>
        <v>10783356</v>
      </c>
    </row>
    <row r="56">
      <c r="A56" s="7">
        <f>IFERROR(__xludf.DUMMYFUNCTION("""COMPUTED_VALUE"""),45569.64583333333)</f>
        <v>45569.64583</v>
      </c>
      <c r="B56" s="6">
        <f>IFERROR(__xludf.DUMMYFUNCTION("""COMPUTED_VALUE"""),720.0)</f>
        <v>720</v>
      </c>
      <c r="C56" s="6">
        <f>IFERROR(__xludf.DUMMYFUNCTION("""COMPUTED_VALUE"""),748.15)</f>
        <v>748.15</v>
      </c>
      <c r="D56" s="6">
        <f>IFERROR(__xludf.DUMMYFUNCTION("""COMPUTED_VALUE"""),716.9)</f>
        <v>716.9</v>
      </c>
      <c r="E56" s="6">
        <f>IFERROR(__xludf.DUMMYFUNCTION("""COMPUTED_VALUE"""),718.95)</f>
        <v>718.95</v>
      </c>
      <c r="F56" s="6">
        <f>IFERROR(__xludf.DUMMYFUNCTION("""COMPUTED_VALUE"""),7785736.0)</f>
        <v>7785736</v>
      </c>
    </row>
    <row r="57">
      <c r="A57" s="7">
        <f>IFERROR(__xludf.DUMMYFUNCTION("""COMPUTED_VALUE"""),45576.64583333333)</f>
        <v>45576.64583</v>
      </c>
      <c r="B57" s="6">
        <f>IFERROR(__xludf.DUMMYFUNCTION("""COMPUTED_VALUE"""),726.1)</f>
        <v>726.1</v>
      </c>
      <c r="C57" s="6">
        <f>IFERROR(__xludf.DUMMYFUNCTION("""COMPUTED_VALUE"""),742.45)</f>
        <v>742.45</v>
      </c>
      <c r="D57" s="6">
        <f>IFERROR(__xludf.DUMMYFUNCTION("""COMPUTED_VALUE"""),688.75)</f>
        <v>688.75</v>
      </c>
      <c r="E57" s="6">
        <f>IFERROR(__xludf.DUMMYFUNCTION("""COMPUTED_VALUE"""),690.4)</f>
        <v>690.4</v>
      </c>
      <c r="F57" s="6">
        <f>IFERROR(__xludf.DUMMYFUNCTION("""COMPUTED_VALUE"""),1.0398197E7)</f>
        <v>10398197</v>
      </c>
    </row>
    <row r="58">
      <c r="A58" s="7">
        <f>IFERROR(__xludf.DUMMYFUNCTION("""COMPUTED_VALUE"""),45583.64583333333)</f>
        <v>45583.64583</v>
      </c>
      <c r="B58" s="6">
        <f>IFERROR(__xludf.DUMMYFUNCTION("""COMPUTED_VALUE"""),693.6)</f>
        <v>693.6</v>
      </c>
      <c r="C58" s="6">
        <f>IFERROR(__xludf.DUMMYFUNCTION("""COMPUTED_VALUE"""),708.1)</f>
        <v>708.1</v>
      </c>
      <c r="D58" s="6">
        <f>IFERROR(__xludf.DUMMYFUNCTION("""COMPUTED_VALUE"""),676.5)</f>
        <v>676.5</v>
      </c>
      <c r="E58" s="6">
        <f>IFERROR(__xludf.DUMMYFUNCTION("""COMPUTED_VALUE"""),683.65)</f>
        <v>683.65</v>
      </c>
      <c r="F58" s="6">
        <f>IFERROR(__xludf.DUMMYFUNCTION("""COMPUTED_VALUE"""),4972537.0)</f>
        <v>4972537</v>
      </c>
    </row>
    <row r="59">
      <c r="A59" s="7">
        <f>IFERROR(__xludf.DUMMYFUNCTION("""COMPUTED_VALUE"""),45590.64583333333)</f>
        <v>45590.64583</v>
      </c>
      <c r="B59" s="6">
        <f>IFERROR(__xludf.DUMMYFUNCTION("""COMPUTED_VALUE"""),684.35)</f>
        <v>684.35</v>
      </c>
      <c r="C59" s="6">
        <f>IFERROR(__xludf.DUMMYFUNCTION("""COMPUTED_VALUE"""),688.75)</f>
        <v>688.75</v>
      </c>
      <c r="D59" s="6">
        <f>IFERROR(__xludf.DUMMYFUNCTION("""COMPUTED_VALUE"""),599.25)</f>
        <v>599.25</v>
      </c>
      <c r="E59" s="6">
        <f>IFERROR(__xludf.DUMMYFUNCTION("""COMPUTED_VALUE"""),604.5)</f>
        <v>604.5</v>
      </c>
      <c r="F59" s="6">
        <f>IFERROR(__xludf.DUMMYFUNCTION("""COMPUTED_VALUE"""),1.8053209E7)</f>
        <v>18053209</v>
      </c>
    </row>
    <row r="60">
      <c r="A60" s="7">
        <f>IFERROR(__xludf.DUMMYFUNCTION("""COMPUTED_VALUE"""),45604.64583333333)</f>
        <v>45604.64583</v>
      </c>
      <c r="B60" s="6">
        <f>IFERROR(__xludf.DUMMYFUNCTION("""COMPUTED_VALUE"""),619.95)</f>
        <v>619.95</v>
      </c>
      <c r="C60" s="6">
        <f>IFERROR(__xludf.DUMMYFUNCTION("""COMPUTED_VALUE"""),628.4)</f>
        <v>628.4</v>
      </c>
      <c r="D60" s="6">
        <f>IFERROR(__xludf.DUMMYFUNCTION("""COMPUTED_VALUE"""),579.0)</f>
        <v>579</v>
      </c>
      <c r="E60" s="6">
        <f>IFERROR(__xludf.DUMMYFUNCTION("""COMPUTED_VALUE"""),580.65)</f>
        <v>580.65</v>
      </c>
      <c r="F60" s="6">
        <f>IFERROR(__xludf.DUMMYFUNCTION("""COMPUTED_VALUE"""),1.238214E7)</f>
        <v>12382140</v>
      </c>
    </row>
    <row r="61">
      <c r="A61" s="7">
        <f>IFERROR(__xludf.DUMMYFUNCTION("""COMPUTED_VALUE"""),45610.64583333333)</f>
        <v>45610.64583</v>
      </c>
      <c r="B61" s="6">
        <f>IFERROR(__xludf.DUMMYFUNCTION("""COMPUTED_VALUE"""),581.0)</f>
        <v>581</v>
      </c>
      <c r="C61" s="6">
        <f>IFERROR(__xludf.DUMMYFUNCTION("""COMPUTED_VALUE"""),582.0)</f>
        <v>582</v>
      </c>
      <c r="D61" s="6">
        <f>IFERROR(__xludf.DUMMYFUNCTION("""COMPUTED_VALUE"""),557.25)</f>
        <v>557.25</v>
      </c>
      <c r="E61" s="6">
        <f>IFERROR(__xludf.DUMMYFUNCTION("""COMPUTED_VALUE"""),573.9)</f>
        <v>573.9</v>
      </c>
      <c r="F61" s="6">
        <f>IFERROR(__xludf.DUMMYFUNCTION("""COMPUTED_VALUE"""),1.0403069E7)</f>
        <v>10403069</v>
      </c>
    </row>
    <row r="62">
      <c r="A62" s="7">
        <f>IFERROR(__xludf.DUMMYFUNCTION("""COMPUTED_VALUE"""),45618.64583333333)</f>
        <v>45618.64583</v>
      </c>
      <c r="B62" s="6">
        <f>IFERROR(__xludf.DUMMYFUNCTION("""COMPUTED_VALUE"""),574.0)</f>
        <v>574</v>
      </c>
      <c r="C62" s="6">
        <f>IFERROR(__xludf.DUMMYFUNCTION("""COMPUTED_VALUE"""),597.1)</f>
        <v>597.1</v>
      </c>
      <c r="D62" s="6">
        <f>IFERROR(__xludf.DUMMYFUNCTION("""COMPUTED_VALUE"""),570.25)</f>
        <v>570.25</v>
      </c>
      <c r="E62" s="6">
        <f>IFERROR(__xludf.DUMMYFUNCTION("""COMPUTED_VALUE"""),595.7)</f>
        <v>595.7</v>
      </c>
      <c r="F62" s="6">
        <f>IFERROR(__xludf.DUMMYFUNCTION("""COMPUTED_VALUE"""),8677721.0)</f>
        <v>8677721</v>
      </c>
    </row>
    <row r="63">
      <c r="A63" s="7">
        <f>IFERROR(__xludf.DUMMYFUNCTION("""COMPUTED_VALUE"""),45625.64583333333)</f>
        <v>45625.64583</v>
      </c>
      <c r="B63" s="6">
        <f>IFERROR(__xludf.DUMMYFUNCTION("""COMPUTED_VALUE"""),604.0)</f>
        <v>604</v>
      </c>
      <c r="C63" s="6">
        <f>IFERROR(__xludf.DUMMYFUNCTION("""COMPUTED_VALUE"""),604.4)</f>
        <v>604.4</v>
      </c>
      <c r="D63" s="6">
        <f>IFERROR(__xludf.DUMMYFUNCTION("""COMPUTED_VALUE"""),578.4)</f>
        <v>578.4</v>
      </c>
      <c r="E63" s="6">
        <f>IFERROR(__xludf.DUMMYFUNCTION("""COMPUTED_VALUE"""),583.35)</f>
        <v>583.35</v>
      </c>
      <c r="F63" s="6">
        <f>IFERROR(__xludf.DUMMYFUNCTION("""COMPUTED_VALUE"""),1.2397341E7)</f>
        <v>12397341</v>
      </c>
    </row>
    <row r="64">
      <c r="A64" s="7">
        <f>IFERROR(__xludf.DUMMYFUNCTION("""COMPUTED_VALUE"""),45632.64583333333)</f>
        <v>45632.64583</v>
      </c>
      <c r="B64" s="6">
        <f>IFERROR(__xludf.DUMMYFUNCTION("""COMPUTED_VALUE"""),586.0)</f>
        <v>586</v>
      </c>
      <c r="C64" s="6">
        <f>IFERROR(__xludf.DUMMYFUNCTION("""COMPUTED_VALUE"""),603.75)</f>
        <v>603.75</v>
      </c>
      <c r="D64" s="6">
        <f>IFERROR(__xludf.DUMMYFUNCTION("""COMPUTED_VALUE"""),577.15)</f>
        <v>577.15</v>
      </c>
      <c r="E64" s="6">
        <f>IFERROR(__xludf.DUMMYFUNCTION("""COMPUTED_VALUE"""),587.4)</f>
        <v>587.4</v>
      </c>
      <c r="F64" s="6">
        <f>IFERROR(__xludf.DUMMYFUNCTION("""COMPUTED_VALUE"""),1.2996195E7)</f>
        <v>12996195</v>
      </c>
    </row>
    <row r="65">
      <c r="A65" s="7">
        <f>IFERROR(__xludf.DUMMYFUNCTION("""COMPUTED_VALUE"""),45639.64583333333)</f>
        <v>45639.64583</v>
      </c>
      <c r="B65" s="6">
        <f>IFERROR(__xludf.DUMMYFUNCTION("""COMPUTED_VALUE"""),587.95)</f>
        <v>587.95</v>
      </c>
      <c r="C65" s="6">
        <f>IFERROR(__xludf.DUMMYFUNCTION("""COMPUTED_VALUE"""),595.2)</f>
        <v>595.2</v>
      </c>
      <c r="D65" s="6">
        <f>IFERROR(__xludf.DUMMYFUNCTION("""COMPUTED_VALUE"""),574.3)</f>
        <v>574.3</v>
      </c>
      <c r="E65" s="6">
        <f>IFERROR(__xludf.DUMMYFUNCTION("""COMPUTED_VALUE"""),584.55)</f>
        <v>584.55</v>
      </c>
      <c r="F65" s="6">
        <f>IFERROR(__xludf.DUMMYFUNCTION("""COMPUTED_VALUE"""),6920043.0)</f>
        <v>6920043</v>
      </c>
    </row>
    <row r="66">
      <c r="A66" s="7">
        <f>IFERROR(__xludf.DUMMYFUNCTION("""COMPUTED_VALUE"""),45646.64583333333)</f>
        <v>45646.64583</v>
      </c>
      <c r="B66" s="6">
        <f>IFERROR(__xludf.DUMMYFUNCTION("""COMPUTED_VALUE"""),585.0)</f>
        <v>585</v>
      </c>
      <c r="C66" s="6">
        <f>IFERROR(__xludf.DUMMYFUNCTION("""COMPUTED_VALUE"""),586.1)</f>
        <v>586.1</v>
      </c>
      <c r="D66" s="6">
        <f>IFERROR(__xludf.DUMMYFUNCTION("""COMPUTED_VALUE"""),534.45)</f>
        <v>534.45</v>
      </c>
      <c r="E66" s="6">
        <f>IFERROR(__xludf.DUMMYFUNCTION("""COMPUTED_VALUE"""),537.6)</f>
        <v>537.6</v>
      </c>
      <c r="F66" s="6">
        <f>IFERROR(__xludf.DUMMYFUNCTION("""COMPUTED_VALUE"""),8832694.0)</f>
        <v>8832694</v>
      </c>
    </row>
    <row r="67">
      <c r="A67" s="7">
        <f>IFERROR(__xludf.DUMMYFUNCTION("""COMPUTED_VALUE"""),45653.64583333333)</f>
        <v>45653.64583</v>
      </c>
      <c r="B67" s="6">
        <f>IFERROR(__xludf.DUMMYFUNCTION("""COMPUTED_VALUE"""),542.0)</f>
        <v>542</v>
      </c>
      <c r="C67" s="6">
        <f>IFERROR(__xludf.DUMMYFUNCTION("""COMPUTED_VALUE"""),557.85)</f>
        <v>557.85</v>
      </c>
      <c r="D67" s="6">
        <f>IFERROR(__xludf.DUMMYFUNCTION("""COMPUTED_VALUE"""),539.05)</f>
        <v>539.05</v>
      </c>
      <c r="E67" s="6">
        <f>IFERROR(__xludf.DUMMYFUNCTION("""COMPUTED_VALUE"""),552.2)</f>
        <v>552.2</v>
      </c>
      <c r="F67" s="6">
        <f>IFERROR(__xludf.DUMMYFUNCTION("""COMPUTED_VALUE"""),5622323.0)</f>
        <v>5622323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IFERROR(__xludf.DUMMYFUNCTION("""COMPUTED_VALUE"""),552.0)</f>
        <v>552</v>
      </c>
      <c r="C68" s="6">
        <f>IFERROR(__xludf.DUMMYFUNCTION("""COMPUTED_VALUE"""),591.5)</f>
        <v>591.5</v>
      </c>
      <c r="D68" s="6">
        <f>IFERROR(__xludf.DUMMYFUNCTION("""COMPUTED_VALUE"""),546.55)</f>
        <v>546.55</v>
      </c>
      <c r="E68" s="6">
        <f>IFERROR(__xludf.DUMMYFUNCTION("""COMPUTED_VALUE"""),573.55)</f>
        <v>573.55</v>
      </c>
      <c r="F68" s="6">
        <f>IFERROR(__xludf.DUMMYFUNCTION("""COMPUTED_VALUE"""),1.5795386E7)</f>
        <v>15795386</v>
      </c>
    </row>
    <row r="69">
      <c r="A69" s="7">
        <f>IFERROR(__xludf.DUMMYFUNCTION("""COMPUTED_VALUE"""),45667.64583333333)</f>
        <v>45667.64583</v>
      </c>
      <c r="B69" s="6">
        <f>IFERROR(__xludf.DUMMYFUNCTION("""COMPUTED_VALUE"""),590.9)</f>
        <v>590.9</v>
      </c>
      <c r="C69" s="6">
        <f>IFERROR(__xludf.DUMMYFUNCTION("""COMPUTED_VALUE"""),592.55)</f>
        <v>592.55</v>
      </c>
      <c r="D69" s="6">
        <f>IFERROR(__xludf.DUMMYFUNCTION("""COMPUTED_VALUE"""),553.25)</f>
        <v>553.25</v>
      </c>
      <c r="E69" s="6">
        <f>IFERROR(__xludf.DUMMYFUNCTION("""COMPUTED_VALUE"""),575.15)</f>
        <v>575.15</v>
      </c>
      <c r="F69" s="6">
        <f>IFERROR(__xludf.DUMMYFUNCTION("""COMPUTED_VALUE"""),1.467524E7)</f>
        <v>14675240</v>
      </c>
    </row>
    <row r="70">
      <c r="A70" s="7">
        <f>IFERROR(__xludf.DUMMYFUNCTION("""COMPUTED_VALUE"""),45674.64583333333)</f>
        <v>45674.64583</v>
      </c>
      <c r="B70" s="6">
        <f>IFERROR(__xludf.DUMMYFUNCTION("""COMPUTED_VALUE"""),569.95)</f>
        <v>569.95</v>
      </c>
      <c r="C70" s="6">
        <f>IFERROR(__xludf.DUMMYFUNCTION("""COMPUTED_VALUE"""),611.35)</f>
        <v>611.35</v>
      </c>
      <c r="D70" s="6">
        <f>IFERROR(__xludf.DUMMYFUNCTION("""COMPUTED_VALUE"""),554.65)</f>
        <v>554.65</v>
      </c>
      <c r="E70" s="6">
        <f>IFERROR(__xludf.DUMMYFUNCTION("""COMPUTED_VALUE"""),597.6)</f>
        <v>597.6</v>
      </c>
      <c r="F70" s="6">
        <f>IFERROR(__xludf.DUMMYFUNCTION("""COMPUTED_VALUE"""),1.6294075E7)</f>
        <v>16294075</v>
      </c>
    </row>
    <row r="71">
      <c r="A71" s="7">
        <f>IFERROR(__xludf.DUMMYFUNCTION("""COMPUTED_VALUE"""),45681.64583333333)</f>
        <v>45681.64583</v>
      </c>
      <c r="B71" s="6">
        <f>IFERROR(__xludf.DUMMYFUNCTION("""COMPUTED_VALUE"""),599.0)</f>
        <v>599</v>
      </c>
      <c r="C71" s="6">
        <f>IFERROR(__xludf.DUMMYFUNCTION("""COMPUTED_VALUE"""),611.0)</f>
        <v>611</v>
      </c>
      <c r="D71" s="6">
        <f>IFERROR(__xludf.DUMMYFUNCTION("""COMPUTED_VALUE"""),567.5)</f>
        <v>567.5</v>
      </c>
      <c r="E71" s="6">
        <f>IFERROR(__xludf.DUMMYFUNCTION("""COMPUTED_VALUE"""),594.65)</f>
        <v>594.65</v>
      </c>
      <c r="F71" s="6">
        <f>IFERROR(__xludf.DUMMYFUNCTION("""COMPUTED_VALUE"""),1.1512493E7)</f>
        <v>11512493</v>
      </c>
    </row>
    <row r="72">
      <c r="A72" s="7">
        <f>IFERROR(__xludf.DUMMYFUNCTION("""COMPUTED_VALUE"""),45695.64583333333)</f>
        <v>45695.64583</v>
      </c>
      <c r="B72" s="6">
        <f>IFERROR(__xludf.DUMMYFUNCTION("""COMPUTED_VALUE"""),595.0)</f>
        <v>595</v>
      </c>
      <c r="C72" s="6">
        <f>IFERROR(__xludf.DUMMYFUNCTION("""COMPUTED_VALUE"""),617.95)</f>
        <v>617.95</v>
      </c>
      <c r="D72" s="6">
        <f>IFERROR(__xludf.DUMMYFUNCTION("""COMPUTED_VALUE"""),582.0)</f>
        <v>582</v>
      </c>
      <c r="E72" s="6">
        <f>IFERROR(__xludf.DUMMYFUNCTION("""COMPUTED_VALUE"""),592.1)</f>
        <v>592.1</v>
      </c>
      <c r="F72" s="6">
        <f>IFERROR(__xludf.DUMMYFUNCTION("""COMPUTED_VALUE"""),1.139262E7)</f>
        <v>11392620</v>
      </c>
    </row>
    <row r="73">
      <c r="A73" s="7">
        <f>IFERROR(__xludf.DUMMYFUNCTION("""COMPUTED_VALUE"""),45702.64583333333)</f>
        <v>45702.64583</v>
      </c>
      <c r="B73" s="6">
        <f>IFERROR(__xludf.DUMMYFUNCTION("""COMPUTED_VALUE"""),591.0)</f>
        <v>591</v>
      </c>
      <c r="C73" s="6">
        <f>IFERROR(__xludf.DUMMYFUNCTION("""COMPUTED_VALUE"""),591.0)</f>
        <v>591</v>
      </c>
      <c r="D73" s="6">
        <f>IFERROR(__xludf.DUMMYFUNCTION("""COMPUTED_VALUE"""),530.75)</f>
        <v>530.75</v>
      </c>
      <c r="E73" s="6">
        <f>IFERROR(__xludf.DUMMYFUNCTION("""COMPUTED_VALUE"""),534.9)</f>
        <v>534.9</v>
      </c>
      <c r="F73" s="6">
        <f>IFERROR(__xludf.DUMMYFUNCTION("""COMPUTED_VALUE"""),1.4232218E7)</f>
        <v>14232218</v>
      </c>
    </row>
    <row r="74">
      <c r="A74" s="7">
        <f>IFERROR(__xludf.DUMMYFUNCTION("""COMPUTED_VALUE"""),45709.64583333333)</f>
        <v>45709.64583</v>
      </c>
      <c r="B74" s="6">
        <f>IFERROR(__xludf.DUMMYFUNCTION("""COMPUTED_VALUE"""),534.95)</f>
        <v>534.95</v>
      </c>
      <c r="C74" s="6">
        <f>IFERROR(__xludf.DUMMYFUNCTION("""COMPUTED_VALUE"""),540.05)</f>
        <v>540.05</v>
      </c>
      <c r="D74" s="6">
        <f>IFERROR(__xludf.DUMMYFUNCTION("""COMPUTED_VALUE"""),492.7)</f>
        <v>492.7</v>
      </c>
      <c r="E74" s="6">
        <f>IFERROR(__xludf.DUMMYFUNCTION("""COMPUTED_VALUE"""),537.6)</f>
        <v>537.6</v>
      </c>
      <c r="F74" s="6">
        <f>IFERROR(__xludf.DUMMYFUNCTION("""COMPUTED_VALUE"""),2.6067631E7)</f>
        <v>26067631</v>
      </c>
    </row>
    <row r="75">
      <c r="A75" s="7">
        <f>IFERROR(__xludf.DUMMYFUNCTION("""COMPUTED_VALUE"""),45716.64583333333)</f>
        <v>45716.64583</v>
      </c>
      <c r="B75" s="6">
        <f>IFERROR(__xludf.DUMMYFUNCTION("""COMPUTED_VALUE"""),535.9)</f>
        <v>535.9</v>
      </c>
      <c r="C75" s="6">
        <f>IFERROR(__xludf.DUMMYFUNCTION("""COMPUTED_VALUE"""),569.0)</f>
        <v>569</v>
      </c>
      <c r="D75" s="6">
        <f>IFERROR(__xludf.DUMMYFUNCTION("""COMPUTED_VALUE"""),522.4)</f>
        <v>522.4</v>
      </c>
      <c r="E75" s="6">
        <f>IFERROR(__xludf.DUMMYFUNCTION("""COMPUTED_VALUE"""),565.7)</f>
        <v>565.7</v>
      </c>
      <c r="F75" s="6">
        <f>IFERROR(__xludf.DUMMYFUNCTION("""COMPUTED_VALUE"""),1.6921576E7)</f>
        <v>16921576</v>
      </c>
    </row>
    <row r="76">
      <c r="A76" s="7">
        <f>IFERROR(__xludf.DUMMYFUNCTION("""COMPUTED_VALUE"""),45723.64583333333)</f>
        <v>45723.64583</v>
      </c>
      <c r="B76" s="6">
        <f>IFERROR(__xludf.DUMMYFUNCTION("""COMPUTED_VALUE"""),565.45)</f>
        <v>565.45</v>
      </c>
      <c r="C76" s="6">
        <f>IFERROR(__xludf.DUMMYFUNCTION("""COMPUTED_VALUE"""),568.5)</f>
        <v>568.5</v>
      </c>
      <c r="D76" s="6">
        <f>IFERROR(__xludf.DUMMYFUNCTION("""COMPUTED_VALUE"""),540.2)</f>
        <v>540.2</v>
      </c>
      <c r="E76" s="6">
        <f>IFERROR(__xludf.DUMMYFUNCTION("""COMPUTED_VALUE"""),544.3)</f>
        <v>544.3</v>
      </c>
      <c r="F76" s="6">
        <f>IFERROR(__xludf.DUMMYFUNCTION("""COMPUTED_VALUE"""),7411132.0)</f>
        <v>7411132</v>
      </c>
    </row>
    <row r="77">
      <c r="A77" s="7">
        <f>IFERROR(__xludf.DUMMYFUNCTION("""COMPUTED_VALUE"""),45729.64583333333)</f>
        <v>45729.64583</v>
      </c>
      <c r="B77" s="6">
        <f>IFERROR(__xludf.DUMMYFUNCTION("""COMPUTED_VALUE"""),543.7)</f>
        <v>543.7</v>
      </c>
      <c r="C77" s="6">
        <f>IFERROR(__xludf.DUMMYFUNCTION("""COMPUTED_VALUE"""),551.5)</f>
        <v>551.5</v>
      </c>
      <c r="D77" s="6">
        <f>IFERROR(__xludf.DUMMYFUNCTION("""COMPUTED_VALUE"""),499.5)</f>
        <v>499.5</v>
      </c>
      <c r="E77" s="6">
        <f>IFERROR(__xludf.DUMMYFUNCTION("""COMPUTED_VALUE"""),502.85)</f>
        <v>502.85</v>
      </c>
      <c r="F77" s="6">
        <f>IFERROR(__xludf.DUMMYFUNCTION("""COMPUTED_VALUE"""),9601476.0)</f>
        <v>9601476</v>
      </c>
    </row>
    <row r="78">
      <c r="A78" s="7">
        <f>IFERROR(__xludf.DUMMYFUNCTION("""COMPUTED_VALUE"""),45737.64583333333)</f>
        <v>45737.64583</v>
      </c>
      <c r="B78" s="6">
        <f>IFERROR(__xludf.DUMMYFUNCTION("""COMPUTED_VALUE"""),503.7)</f>
        <v>503.7</v>
      </c>
      <c r="C78" s="6">
        <f>IFERROR(__xludf.DUMMYFUNCTION("""COMPUTED_VALUE"""),545.6)</f>
        <v>545.6</v>
      </c>
      <c r="D78" s="6">
        <f>IFERROR(__xludf.DUMMYFUNCTION("""COMPUTED_VALUE"""),478.35)</f>
        <v>478.35</v>
      </c>
      <c r="E78" s="6">
        <f>IFERROR(__xludf.DUMMYFUNCTION("""COMPUTED_VALUE"""),542.8)</f>
        <v>542.8</v>
      </c>
      <c r="F78" s="6">
        <f>IFERROR(__xludf.DUMMYFUNCTION("""COMPUTED_VALUE"""),1.6740768E7)</f>
        <v>16740768</v>
      </c>
    </row>
    <row r="79">
      <c r="A79" s="7">
        <f>IFERROR(__xludf.DUMMYFUNCTION("""COMPUTED_VALUE"""),45744.64583333333)</f>
        <v>45744.64583</v>
      </c>
      <c r="B79" s="6">
        <f>IFERROR(__xludf.DUMMYFUNCTION("""COMPUTED_VALUE"""),543.45)</f>
        <v>543.45</v>
      </c>
      <c r="C79" s="6">
        <f>IFERROR(__xludf.DUMMYFUNCTION("""COMPUTED_VALUE"""),580.35)</f>
        <v>580.35</v>
      </c>
      <c r="D79" s="6">
        <f>IFERROR(__xludf.DUMMYFUNCTION("""COMPUTED_VALUE"""),530.75)</f>
        <v>530.75</v>
      </c>
      <c r="E79" s="6">
        <f>IFERROR(__xludf.DUMMYFUNCTION("""COMPUTED_VALUE"""),534.6)</f>
        <v>534.6</v>
      </c>
      <c r="F79" s="6">
        <f>IFERROR(__xludf.DUMMYFUNCTION("""COMPUTED_VALUE"""),2.8696694E7)</f>
        <v>28696694</v>
      </c>
    </row>
    <row r="80">
      <c r="A80" s="7">
        <f>IFERROR(__xludf.DUMMYFUNCTION("""COMPUTED_VALUE"""),45751.64583333333)</f>
        <v>45751.64583</v>
      </c>
      <c r="B80" s="6">
        <f>IFERROR(__xludf.DUMMYFUNCTION("""COMPUTED_VALUE"""),532.9)</f>
        <v>532.9</v>
      </c>
      <c r="C80" s="6">
        <f>IFERROR(__xludf.DUMMYFUNCTION("""COMPUTED_VALUE"""),565.7)</f>
        <v>565.7</v>
      </c>
      <c r="D80" s="6">
        <f>IFERROR(__xludf.DUMMYFUNCTION("""COMPUTED_VALUE"""),521.65)</f>
        <v>521.65</v>
      </c>
      <c r="E80" s="6">
        <f>IFERROR(__xludf.DUMMYFUNCTION("""COMPUTED_VALUE"""),552.1)</f>
        <v>552.1</v>
      </c>
      <c r="F80" s="6">
        <f>IFERROR(__xludf.DUMMYFUNCTION("""COMPUTED_VALUE"""),1.0841625E7)</f>
        <v>10841625</v>
      </c>
    </row>
    <row r="81">
      <c r="A81" s="7">
        <f>IFERROR(__xludf.DUMMYFUNCTION("""COMPUTED_VALUE"""),45758.64583333333)</f>
        <v>45758.64583</v>
      </c>
      <c r="B81" s="6">
        <f>IFERROR(__xludf.DUMMYFUNCTION("""COMPUTED_VALUE"""),515.0)</f>
        <v>515</v>
      </c>
      <c r="C81" s="6">
        <f>IFERROR(__xludf.DUMMYFUNCTION("""COMPUTED_VALUE"""),564.85)</f>
        <v>564.85</v>
      </c>
      <c r="D81" s="6">
        <f>IFERROR(__xludf.DUMMYFUNCTION("""COMPUTED_VALUE"""),513.5)</f>
        <v>513.5</v>
      </c>
      <c r="E81" s="6">
        <f>IFERROR(__xludf.DUMMYFUNCTION("""COMPUTED_VALUE"""),557.1)</f>
        <v>557.1</v>
      </c>
      <c r="F81" s="6">
        <f>IFERROR(__xludf.DUMMYFUNCTION("""COMPUTED_VALUE"""),7581502.0)</f>
        <v>7581502</v>
      </c>
    </row>
    <row r="82">
      <c r="A82" s="7">
        <f>IFERROR(__xludf.DUMMYFUNCTION("""COMPUTED_VALUE"""),45764.64583333333)</f>
        <v>45764.64583</v>
      </c>
      <c r="B82" s="6">
        <f>IFERROR(__xludf.DUMMYFUNCTION("""COMPUTED_VALUE"""),565.0)</f>
        <v>565</v>
      </c>
      <c r="C82" s="6">
        <f>IFERROR(__xludf.DUMMYFUNCTION("""COMPUTED_VALUE"""),591.3)</f>
        <v>591.3</v>
      </c>
      <c r="D82" s="6">
        <f>IFERROR(__xludf.DUMMYFUNCTION("""COMPUTED_VALUE"""),553.25)</f>
        <v>553.25</v>
      </c>
      <c r="E82" s="6">
        <f>IFERROR(__xludf.DUMMYFUNCTION("""COMPUTED_VALUE"""),586.55)</f>
        <v>586.55</v>
      </c>
      <c r="F82" s="6">
        <f>IFERROR(__xludf.DUMMYFUNCTION("""COMPUTED_VALUE"""),8822185.0)</f>
        <v>8822185</v>
      </c>
    </row>
    <row r="83">
      <c r="A83" s="7">
        <f>IFERROR(__xludf.DUMMYFUNCTION("""COMPUTED_VALUE"""),45772.64583333333)</f>
        <v>45772.64583</v>
      </c>
      <c r="B83" s="6">
        <f>IFERROR(__xludf.DUMMYFUNCTION("""COMPUTED_VALUE"""),592.8)</f>
        <v>592.8</v>
      </c>
      <c r="C83" s="6">
        <f>IFERROR(__xludf.DUMMYFUNCTION("""COMPUTED_VALUE"""),694.8)</f>
        <v>694.8</v>
      </c>
      <c r="D83" s="6">
        <f>IFERROR(__xludf.DUMMYFUNCTION("""COMPUTED_VALUE"""),592.0)</f>
        <v>592</v>
      </c>
      <c r="E83" s="6">
        <f>IFERROR(__xludf.DUMMYFUNCTION("""COMPUTED_VALUE"""),675.15)</f>
        <v>675.15</v>
      </c>
      <c r="F83" s="6">
        <f>IFERROR(__xludf.DUMMYFUNCTION("""COMPUTED_VALUE"""),4.9989885E7)</f>
        <v>49989885</v>
      </c>
    </row>
    <row r="84">
      <c r="A84" s="7">
        <f>IFERROR(__xludf.DUMMYFUNCTION("""COMPUTED_VALUE"""),45779.64583333333)</f>
        <v>45779.64583</v>
      </c>
      <c r="B84" s="6">
        <f>IFERROR(__xludf.DUMMYFUNCTION("""COMPUTED_VALUE"""),673.0)</f>
        <v>673</v>
      </c>
      <c r="C84" s="6">
        <f>IFERROR(__xludf.DUMMYFUNCTION("""COMPUTED_VALUE"""),713.0)</f>
        <v>713</v>
      </c>
      <c r="D84" s="6">
        <f>IFERROR(__xludf.DUMMYFUNCTION("""COMPUTED_VALUE"""),665.05)</f>
        <v>665.05</v>
      </c>
      <c r="E84" s="6">
        <f>IFERROR(__xludf.DUMMYFUNCTION("""COMPUTED_VALUE"""),676.4)</f>
        <v>676.4</v>
      </c>
      <c r="F84" s="6">
        <f>IFERROR(__xludf.DUMMYFUNCTION("""COMPUTED_VALUE"""),1.5443329E7)</f>
        <v>15443329</v>
      </c>
    </row>
    <row r="85">
      <c r="A85" s="7">
        <f>IFERROR(__xludf.DUMMYFUNCTION("""COMPUTED_VALUE"""),45786.64583333333)</f>
        <v>45786.64583</v>
      </c>
      <c r="B85" s="6">
        <f>IFERROR(__xludf.DUMMYFUNCTION("""COMPUTED_VALUE"""),666.0)</f>
        <v>666</v>
      </c>
      <c r="C85" s="6">
        <f>IFERROR(__xludf.DUMMYFUNCTION("""COMPUTED_VALUE"""),711.0)</f>
        <v>711</v>
      </c>
      <c r="D85" s="6">
        <f>IFERROR(__xludf.DUMMYFUNCTION("""COMPUTED_VALUE"""),655.5)</f>
        <v>655.5</v>
      </c>
      <c r="E85" s="6">
        <f>IFERROR(__xludf.DUMMYFUNCTION("""COMPUTED_VALUE"""),687.0)</f>
        <v>687</v>
      </c>
      <c r="F85" s="6">
        <f>IFERROR(__xludf.DUMMYFUNCTION("""COMPUTED_VALUE"""),2.2739482E7)</f>
        <v>22739482</v>
      </c>
    </row>
    <row r="86">
      <c r="A86" s="7">
        <f>IFERROR(__xludf.DUMMYFUNCTION("""COMPUTED_VALUE"""),45793.64583333333)</f>
        <v>45793.64583</v>
      </c>
      <c r="B86" s="6">
        <f>IFERROR(__xludf.DUMMYFUNCTION("""COMPUTED_VALUE"""),705.0)</f>
        <v>705</v>
      </c>
      <c r="C86" s="6">
        <f>IFERROR(__xludf.DUMMYFUNCTION("""COMPUTED_VALUE"""),707.65)</f>
        <v>707.65</v>
      </c>
      <c r="D86" s="6">
        <f>IFERROR(__xludf.DUMMYFUNCTION("""COMPUTED_VALUE"""),683.05)</f>
        <v>683.05</v>
      </c>
      <c r="E86" s="6">
        <f>IFERROR(__xludf.DUMMYFUNCTION("""COMPUTED_VALUE"""),684.85)</f>
        <v>684.85</v>
      </c>
      <c r="F86" s="6">
        <f>IFERROR(__xludf.DUMMYFUNCTION("""COMPUTED_VALUE"""),8975911.0)</f>
        <v>8975911</v>
      </c>
    </row>
    <row r="87">
      <c r="A87" s="7">
        <f>IFERROR(__xludf.DUMMYFUNCTION("""COMPUTED_VALUE"""),45800.64583333333)</f>
        <v>45800.64583</v>
      </c>
      <c r="B87" s="6">
        <f>IFERROR(__xludf.DUMMYFUNCTION("""COMPUTED_VALUE"""),688.0)</f>
        <v>688</v>
      </c>
      <c r="C87" s="6">
        <f>IFERROR(__xludf.DUMMYFUNCTION("""COMPUTED_VALUE"""),699.4)</f>
        <v>699.4</v>
      </c>
      <c r="D87" s="6">
        <f>IFERROR(__xludf.DUMMYFUNCTION("""COMPUTED_VALUE"""),680.7)</f>
        <v>680.7</v>
      </c>
      <c r="E87" s="6">
        <f>IFERROR(__xludf.DUMMYFUNCTION("""COMPUTED_VALUE"""),696.2)</f>
        <v>696.2</v>
      </c>
      <c r="F87" s="6">
        <f>IFERROR(__xludf.DUMMYFUNCTION("""COMPUTED_VALUE"""),5831277.0)</f>
        <v>5831277</v>
      </c>
    </row>
    <row r="88">
      <c r="A88" s="7">
        <f>IFERROR(__xludf.DUMMYFUNCTION("""COMPUTED_VALUE"""),45807.64583333333)</f>
        <v>45807.64583</v>
      </c>
      <c r="B88" s="6">
        <f>IFERROR(__xludf.DUMMYFUNCTION("""COMPUTED_VALUE"""),699.0)</f>
        <v>699</v>
      </c>
      <c r="C88" s="6">
        <f>IFERROR(__xludf.DUMMYFUNCTION("""COMPUTED_VALUE"""),715.0)</f>
        <v>715</v>
      </c>
      <c r="D88" s="6">
        <f>IFERROR(__xludf.DUMMYFUNCTION("""COMPUTED_VALUE"""),690.3)</f>
        <v>690.3</v>
      </c>
      <c r="E88" s="6">
        <f>IFERROR(__xludf.DUMMYFUNCTION("""COMPUTED_VALUE"""),693.05)</f>
        <v>693.05</v>
      </c>
      <c r="F88" s="6">
        <f>IFERROR(__xludf.DUMMYFUNCTION("""COMPUTED_VALUE"""),1.3981978E7)</f>
        <v>13981978</v>
      </c>
    </row>
    <row r="89">
      <c r="A89" s="7">
        <f>IFERROR(__xludf.DUMMYFUNCTION("""COMPUTED_VALUE"""),45814.64583333333)</f>
        <v>45814.64583</v>
      </c>
      <c r="B89" s="6">
        <f>IFERROR(__xludf.DUMMYFUNCTION("""COMPUTED_VALUE"""),695.0)</f>
        <v>695</v>
      </c>
      <c r="C89" s="6">
        <f>IFERROR(__xludf.DUMMYFUNCTION("""COMPUTED_VALUE"""),755.5)</f>
        <v>755.5</v>
      </c>
      <c r="D89" s="6">
        <f>IFERROR(__xludf.DUMMYFUNCTION("""COMPUTED_VALUE"""),691.9)</f>
        <v>691.9</v>
      </c>
      <c r="E89" s="6">
        <f>IFERROR(__xludf.DUMMYFUNCTION("""COMPUTED_VALUE"""),749.55)</f>
        <v>749.55</v>
      </c>
      <c r="F89" s="6">
        <f>IFERROR(__xludf.DUMMYFUNCTION("""COMPUTED_VALUE"""),1.9417515E7)</f>
        <v>19417515</v>
      </c>
    </row>
    <row r="90">
      <c r="A90" s="7">
        <f>IFERROR(__xludf.DUMMYFUNCTION("""COMPUTED_VALUE"""),45821.64583333333)</f>
        <v>45821.64583</v>
      </c>
      <c r="B90" s="6">
        <f>IFERROR(__xludf.DUMMYFUNCTION("""COMPUTED_VALUE"""),755.0)</f>
        <v>755</v>
      </c>
      <c r="C90" s="6">
        <f>IFERROR(__xludf.DUMMYFUNCTION("""COMPUTED_VALUE"""),785.0)</f>
        <v>785</v>
      </c>
      <c r="D90" s="6">
        <f>IFERROR(__xludf.DUMMYFUNCTION("""COMPUTED_VALUE"""),750.25)</f>
        <v>750.25</v>
      </c>
      <c r="E90" s="6">
        <f>IFERROR(__xludf.DUMMYFUNCTION("""COMPUTED_VALUE"""),768.6)</f>
        <v>768.6</v>
      </c>
      <c r="F90" s="6">
        <f>IFERROR(__xludf.DUMMYFUNCTION("""COMPUTED_VALUE"""),1.9730267E7)</f>
        <v>19730267</v>
      </c>
    </row>
    <row r="91">
      <c r="A91" s="7">
        <f>IFERROR(__xludf.DUMMYFUNCTION("""COMPUTED_VALUE"""),45828.64583333333)</f>
        <v>45828.64583</v>
      </c>
      <c r="B91" s="6">
        <f>IFERROR(__xludf.DUMMYFUNCTION("""COMPUTED_VALUE"""),768.5)</f>
        <v>768.5</v>
      </c>
      <c r="C91" s="6">
        <f>IFERROR(__xludf.DUMMYFUNCTION("""COMPUTED_VALUE"""),808.0)</f>
        <v>808</v>
      </c>
      <c r="D91" s="6">
        <f>IFERROR(__xludf.DUMMYFUNCTION("""COMPUTED_VALUE"""),758.8)</f>
        <v>758.8</v>
      </c>
      <c r="E91" s="6">
        <f>IFERROR(__xludf.DUMMYFUNCTION("""COMPUTED_VALUE"""),795.35)</f>
        <v>795.35</v>
      </c>
      <c r="F91" s="6">
        <f>IFERROR(__xludf.DUMMYFUNCTION("""COMPUTED_VALUE"""),1.2886893E7)</f>
        <v>12886893</v>
      </c>
    </row>
    <row r="92">
      <c r="A92" s="7">
        <f>IFERROR(__xludf.DUMMYFUNCTION("""COMPUTED_VALUE"""),45835.64583333333)</f>
        <v>45835.64583</v>
      </c>
      <c r="B92" s="6">
        <f>IFERROR(__xludf.DUMMYFUNCTION("""COMPUTED_VALUE"""),797.7)</f>
        <v>797.7</v>
      </c>
      <c r="C92" s="6">
        <f>IFERROR(__xludf.DUMMYFUNCTION("""COMPUTED_VALUE"""),824.0)</f>
        <v>824</v>
      </c>
      <c r="D92" s="6">
        <f>IFERROR(__xludf.DUMMYFUNCTION("""COMPUTED_VALUE"""),789.35)</f>
        <v>789.35</v>
      </c>
      <c r="E92" s="6">
        <f>IFERROR(__xludf.DUMMYFUNCTION("""COMPUTED_VALUE"""),809.0)</f>
        <v>809</v>
      </c>
      <c r="F92" s="6">
        <f>IFERROR(__xludf.DUMMYFUNCTION("""COMPUTED_VALUE"""),1.6461473E7)</f>
        <v>16461473</v>
      </c>
    </row>
    <row r="93">
      <c r="A93" s="7">
        <f>IFERROR(__xludf.DUMMYFUNCTION("""COMPUTED_VALUE"""),45842.64583333333)</f>
        <v>45842.64583</v>
      </c>
      <c r="B93" s="6">
        <f>IFERROR(__xludf.DUMMYFUNCTION("""COMPUTED_VALUE"""),813.8)</f>
        <v>813.8</v>
      </c>
      <c r="C93" s="6">
        <f>IFERROR(__xludf.DUMMYFUNCTION("""COMPUTED_VALUE"""),841.0)</f>
        <v>841</v>
      </c>
      <c r="D93" s="6">
        <f>IFERROR(__xludf.DUMMYFUNCTION("""COMPUTED_VALUE"""),807.0)</f>
        <v>807</v>
      </c>
      <c r="E93" s="6">
        <f>IFERROR(__xludf.DUMMYFUNCTION("""COMPUTED_VALUE"""),819.5)</f>
        <v>819.5</v>
      </c>
      <c r="F93" s="6">
        <f>IFERROR(__xludf.DUMMYFUNCTION("""COMPUTED_VALUE"""),1.2762242E7)</f>
        <v>12762242</v>
      </c>
    </row>
    <row r="94">
      <c r="A94" s="7">
        <f>IFERROR(__xludf.DUMMYFUNCTION("""COMPUTED_VALUE"""),45849.64583333333)</f>
        <v>45849.64583</v>
      </c>
      <c r="B94" s="6">
        <f>IFERROR(__xludf.DUMMYFUNCTION("""COMPUTED_VALUE"""),819.55)</f>
        <v>819.55</v>
      </c>
      <c r="C94" s="6">
        <f>IFERROR(__xludf.DUMMYFUNCTION("""COMPUTED_VALUE"""),832.75)</f>
        <v>832.75</v>
      </c>
      <c r="D94" s="6">
        <f>IFERROR(__xludf.DUMMYFUNCTION("""COMPUTED_VALUE"""),802.0)</f>
        <v>802</v>
      </c>
      <c r="E94" s="6">
        <f>IFERROR(__xludf.DUMMYFUNCTION("""COMPUTED_VALUE"""),821.0)</f>
        <v>821</v>
      </c>
      <c r="F94" s="6">
        <f>IFERROR(__xludf.DUMMYFUNCTION("""COMPUTED_VALUE"""),8025426.0)</f>
        <v>8025426</v>
      </c>
    </row>
    <row r="95">
      <c r="A95" s="7">
        <f>IFERROR(__xludf.DUMMYFUNCTION("""COMPUTED_VALUE"""),45856.64583333333)</f>
        <v>45856.64583</v>
      </c>
      <c r="B95" s="6">
        <f>IFERROR(__xludf.DUMMYFUNCTION("""COMPUTED_VALUE"""),805.3)</f>
        <v>805.3</v>
      </c>
      <c r="C95" s="6">
        <f>IFERROR(__xludf.DUMMYFUNCTION("""COMPUTED_VALUE"""),820.8)</f>
        <v>820.8</v>
      </c>
      <c r="D95" s="6">
        <f>IFERROR(__xludf.DUMMYFUNCTION("""COMPUTED_VALUE"""),786.05)</f>
        <v>786.05</v>
      </c>
      <c r="E95" s="6">
        <f>IFERROR(__xludf.DUMMYFUNCTION("""COMPUTED_VALUE"""),794.9)</f>
        <v>794.9</v>
      </c>
      <c r="F95" s="6">
        <f>IFERROR(__xludf.DUMMYFUNCTION("""COMPUTED_VALUE"""),9498702.0)</f>
        <v>9498702</v>
      </c>
    </row>
    <row r="96">
      <c r="A96" s="7">
        <f>IFERROR(__xludf.DUMMYFUNCTION("""COMPUTED_VALUE"""),45863.64583333333)</f>
        <v>45863.64583</v>
      </c>
      <c r="B96" s="6">
        <f>IFERROR(__xludf.DUMMYFUNCTION("""COMPUTED_VALUE"""),770.0)</f>
        <v>770</v>
      </c>
      <c r="C96" s="6">
        <f>IFERROR(__xludf.DUMMYFUNCTION("""COMPUTED_VALUE"""),770.0)</f>
        <v>770</v>
      </c>
      <c r="D96" s="6">
        <f>IFERROR(__xludf.DUMMYFUNCTION("""COMPUTED_VALUE"""),721.4)</f>
        <v>721.4</v>
      </c>
      <c r="E96" s="6">
        <f>IFERROR(__xludf.DUMMYFUNCTION("""COMPUTED_VALUE"""),733.4)</f>
        <v>733.4</v>
      </c>
      <c r="F96" s="6">
        <f>IFERROR(__xludf.DUMMYFUNCTION("""COMPUTED_VALUE"""),2.3247241E7)</f>
        <v>23247241</v>
      </c>
    </row>
    <row r="97">
      <c r="A97" s="7">
        <f>IFERROR(__xludf.DUMMYFUNCTION("""COMPUTED_VALUE"""),45870.64583333333)</f>
        <v>45870.64583</v>
      </c>
      <c r="B97" s="6">
        <f>IFERROR(__xludf.DUMMYFUNCTION("""COMPUTED_VALUE"""),728.5)</f>
        <v>728.5</v>
      </c>
      <c r="C97" s="6">
        <f>IFERROR(__xludf.DUMMYFUNCTION("""COMPUTED_VALUE"""),754.1)</f>
        <v>754.1</v>
      </c>
      <c r="D97" s="6">
        <f>IFERROR(__xludf.DUMMYFUNCTION("""COMPUTED_VALUE"""),725.0)</f>
        <v>725</v>
      </c>
      <c r="E97" s="6">
        <f>IFERROR(__xludf.DUMMYFUNCTION("""COMPUTED_VALUE"""),741.05)</f>
        <v>741.05</v>
      </c>
      <c r="F97" s="6">
        <f>IFERROR(__xludf.DUMMYFUNCTION("""COMPUTED_VALUE"""),1.2839116E7)</f>
        <v>12839116</v>
      </c>
    </row>
    <row r="98">
      <c r="A98" s="7">
        <f>IFERROR(__xludf.DUMMYFUNCTION("""COMPUTED_VALUE"""),45877.64583333333)</f>
        <v>45877.64583</v>
      </c>
      <c r="B98" s="6">
        <f>IFERROR(__xludf.DUMMYFUNCTION("""COMPUTED_VALUE"""),741.05)</f>
        <v>741.05</v>
      </c>
      <c r="C98" s="6">
        <f>IFERROR(__xludf.DUMMYFUNCTION("""COMPUTED_VALUE"""),800.0)</f>
        <v>800</v>
      </c>
      <c r="D98" s="6">
        <f>IFERROR(__xludf.DUMMYFUNCTION("""COMPUTED_VALUE"""),722.7)</f>
        <v>722.7</v>
      </c>
      <c r="E98" s="6">
        <f>IFERROR(__xludf.DUMMYFUNCTION("""COMPUTED_VALUE"""),739.0)</f>
        <v>739</v>
      </c>
      <c r="F98" s="6">
        <f>IFERROR(__xludf.DUMMYFUNCTION("""COMPUTED_VALUE"""),1.9656313E7)</f>
        <v>19656313</v>
      </c>
    </row>
    <row r="99">
      <c r="A99" s="7">
        <f>IFERROR(__xludf.DUMMYFUNCTION("""COMPUTED_VALUE"""),45883.64583333333)</f>
        <v>45883.64583</v>
      </c>
      <c r="B99" s="6">
        <f>IFERROR(__xludf.DUMMYFUNCTION("""COMPUTED_VALUE"""),742.05)</f>
        <v>742.05</v>
      </c>
      <c r="C99" s="6">
        <f>IFERROR(__xludf.DUMMYFUNCTION("""COMPUTED_VALUE"""),752.55)</f>
        <v>752.55</v>
      </c>
      <c r="D99" s="6">
        <f>IFERROR(__xludf.DUMMYFUNCTION("""COMPUTED_VALUE"""),721.8)</f>
        <v>721.8</v>
      </c>
      <c r="E99" s="6">
        <f>IFERROR(__xludf.DUMMYFUNCTION("""COMPUTED_VALUE"""),750.6)</f>
        <v>750.6</v>
      </c>
      <c r="F99" s="6">
        <f>IFERROR(__xludf.DUMMYFUNCTION("""COMPUTED_VALUE"""),9669255.0)</f>
        <v>9669255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IFERROR(__xludf.DUMMYFUNCTION("""COMPUTED_VALUE"""),755.0)</f>
        <v>755</v>
      </c>
      <c r="C100" s="6">
        <f>IFERROR(__xludf.DUMMYFUNCTION("""COMPUTED_VALUE"""),773.35)</f>
        <v>773.35</v>
      </c>
      <c r="D100" s="6">
        <f>IFERROR(__xludf.DUMMYFUNCTION("""COMPUTED_VALUE"""),739.55)</f>
        <v>739.55</v>
      </c>
      <c r="E100" s="6">
        <f>IFERROR(__xludf.DUMMYFUNCTION("""COMPUTED_VALUE"""),742.05)</f>
        <v>742.05</v>
      </c>
      <c r="F100" s="6">
        <f>IFERROR(__xludf.DUMMYFUNCTION("""COMPUTED_VALUE"""),5411476.0)</f>
        <v>5411476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IFERROR(__xludf.DUMMYFUNCTION("""COMPUTED_VALUE"""),738.0)</f>
        <v>738</v>
      </c>
      <c r="C101" s="6">
        <f>IFERROR(__xludf.DUMMYFUNCTION("""COMPUTED_VALUE"""),753.25)</f>
        <v>753.25</v>
      </c>
      <c r="D101" s="6">
        <f>IFERROR(__xludf.DUMMYFUNCTION("""COMPUTED_VALUE"""),738.0)</f>
        <v>738</v>
      </c>
      <c r="E101" s="6">
        <f>IFERROR(__xludf.DUMMYFUNCTION("""COMPUTED_VALUE"""),745.25)</f>
        <v>745.25</v>
      </c>
      <c r="F101" s="6">
        <f>IFERROR(__xludf.DUMMYFUNCTION("""COMPUTED_VALUE"""),3.0253776E7)</f>
        <v>30253776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IFERROR(__xludf.DUMMYFUNCTION("GOOGLEFINANCE(""NSE:AUROPHARMA"",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IFERROR(__xludf.DUMMYFUNCTION("""COMPUTED_VALUE"""),829.9)</f>
        <v>829.9</v>
      </c>
      <c r="C2" s="6">
        <f>IFERROR(__xludf.DUMMYFUNCTION("""COMPUTED_VALUE"""),842.5)</f>
        <v>842.5</v>
      </c>
      <c r="D2" s="6">
        <f>IFERROR(__xludf.DUMMYFUNCTION("""COMPUTED_VALUE"""),819.35)</f>
        <v>819.35</v>
      </c>
      <c r="E2" s="6">
        <f>IFERROR(__xludf.DUMMYFUNCTION("""COMPUTED_VALUE"""),825.55)</f>
        <v>825.55</v>
      </c>
      <c r="F2" s="6">
        <f>IFERROR(__xludf.DUMMYFUNCTION("""COMPUTED_VALUE"""),7715847.0)</f>
        <v>7715847</v>
      </c>
    </row>
    <row r="3">
      <c r="A3" s="7">
        <f>IFERROR(__xludf.DUMMYFUNCTION("""COMPUTED_VALUE"""),45177.64583333333)</f>
        <v>45177.64583</v>
      </c>
      <c r="B3" s="6">
        <f>IFERROR(__xludf.DUMMYFUNCTION("""COMPUTED_VALUE"""),829.0)</f>
        <v>829</v>
      </c>
      <c r="C3" s="6">
        <f>IFERROR(__xludf.DUMMYFUNCTION("""COMPUTED_VALUE"""),869.8)</f>
        <v>869.8</v>
      </c>
      <c r="D3" s="6">
        <f>IFERROR(__xludf.DUMMYFUNCTION("""COMPUTED_VALUE"""),815.8)</f>
        <v>815.8</v>
      </c>
      <c r="E3" s="6">
        <f>IFERROR(__xludf.DUMMYFUNCTION("""COMPUTED_VALUE"""),858.5)</f>
        <v>858.5</v>
      </c>
      <c r="F3" s="6">
        <f>IFERROR(__xludf.DUMMYFUNCTION("""COMPUTED_VALUE"""),8701405.0)</f>
        <v>8701405</v>
      </c>
    </row>
    <row r="4">
      <c r="A4" s="7">
        <f>IFERROR(__xludf.DUMMYFUNCTION("""COMPUTED_VALUE"""),45184.64583333333)</f>
        <v>45184.64583</v>
      </c>
      <c r="B4" s="6">
        <f>IFERROR(__xludf.DUMMYFUNCTION("""COMPUTED_VALUE"""),858.5)</f>
        <v>858.5</v>
      </c>
      <c r="C4" s="6">
        <f>IFERROR(__xludf.DUMMYFUNCTION("""COMPUTED_VALUE"""),907.7)</f>
        <v>907.7</v>
      </c>
      <c r="D4" s="6">
        <f>IFERROR(__xludf.DUMMYFUNCTION("""COMPUTED_VALUE"""),855.1)</f>
        <v>855.1</v>
      </c>
      <c r="E4" s="6">
        <f>IFERROR(__xludf.DUMMYFUNCTION("""COMPUTED_VALUE"""),898.85)</f>
        <v>898.85</v>
      </c>
      <c r="F4" s="6">
        <f>IFERROR(__xludf.DUMMYFUNCTION("""COMPUTED_VALUE"""),1.2882434E7)</f>
        <v>12882434</v>
      </c>
    </row>
    <row r="5">
      <c r="A5" s="7">
        <f>IFERROR(__xludf.DUMMYFUNCTION("""COMPUTED_VALUE"""),45191.64583333333)</f>
        <v>45191.64583</v>
      </c>
      <c r="B5" s="6">
        <f>IFERROR(__xludf.DUMMYFUNCTION("""COMPUTED_VALUE"""),897.95)</f>
        <v>897.95</v>
      </c>
      <c r="C5" s="6">
        <f>IFERROR(__xludf.DUMMYFUNCTION("""COMPUTED_VALUE"""),907.2)</f>
        <v>907.2</v>
      </c>
      <c r="D5" s="6">
        <f>IFERROR(__xludf.DUMMYFUNCTION("""COMPUTED_VALUE"""),845.15)</f>
        <v>845.15</v>
      </c>
      <c r="E5" s="6">
        <f>IFERROR(__xludf.DUMMYFUNCTION("""COMPUTED_VALUE"""),866.4)</f>
        <v>866.4</v>
      </c>
      <c r="F5" s="6">
        <f>IFERROR(__xludf.DUMMYFUNCTION("""COMPUTED_VALUE"""),5315713.0)</f>
        <v>5315713</v>
      </c>
    </row>
    <row r="6">
      <c r="A6" s="7">
        <f>IFERROR(__xludf.DUMMYFUNCTION("""COMPUTED_VALUE"""),45198.64583333333)</f>
        <v>45198.64583</v>
      </c>
      <c r="B6" s="6">
        <f>IFERROR(__xludf.DUMMYFUNCTION("""COMPUTED_VALUE"""),866.6)</f>
        <v>866.6</v>
      </c>
      <c r="C6" s="6">
        <f>IFERROR(__xludf.DUMMYFUNCTION("""COMPUTED_VALUE"""),930.0)</f>
        <v>930</v>
      </c>
      <c r="D6" s="6">
        <f>IFERROR(__xludf.DUMMYFUNCTION("""COMPUTED_VALUE"""),852.2)</f>
        <v>852.2</v>
      </c>
      <c r="E6" s="6">
        <f>IFERROR(__xludf.DUMMYFUNCTION("""COMPUTED_VALUE"""),914.35)</f>
        <v>914.35</v>
      </c>
      <c r="F6" s="6">
        <f>IFERROR(__xludf.DUMMYFUNCTION("""COMPUTED_VALUE"""),1.3739523E7)</f>
        <v>13739523</v>
      </c>
    </row>
    <row r="7">
      <c r="A7" s="7">
        <f>IFERROR(__xludf.DUMMYFUNCTION("""COMPUTED_VALUE"""),45205.64583333333)</f>
        <v>45205.64583</v>
      </c>
      <c r="B7" s="6">
        <f>IFERROR(__xludf.DUMMYFUNCTION("""COMPUTED_VALUE"""),917.0)</f>
        <v>917</v>
      </c>
      <c r="C7" s="6">
        <f>IFERROR(__xludf.DUMMYFUNCTION("""COMPUTED_VALUE"""),917.45)</f>
        <v>917.45</v>
      </c>
      <c r="D7" s="6">
        <f>IFERROR(__xludf.DUMMYFUNCTION("""COMPUTED_VALUE"""),871.05)</f>
        <v>871.05</v>
      </c>
      <c r="E7" s="6">
        <f>IFERROR(__xludf.DUMMYFUNCTION("""COMPUTED_VALUE"""),900.85)</f>
        <v>900.85</v>
      </c>
      <c r="F7" s="6">
        <f>IFERROR(__xludf.DUMMYFUNCTION("""COMPUTED_VALUE"""),7958787.0)</f>
        <v>7958787</v>
      </c>
    </row>
    <row r="8">
      <c r="A8" s="7">
        <f>IFERROR(__xludf.DUMMYFUNCTION("""COMPUTED_VALUE"""),45212.64583333333)</f>
        <v>45212.64583</v>
      </c>
      <c r="B8" s="6">
        <f>IFERROR(__xludf.DUMMYFUNCTION("""COMPUTED_VALUE"""),893.0)</f>
        <v>893</v>
      </c>
      <c r="C8" s="6">
        <f>IFERROR(__xludf.DUMMYFUNCTION("""COMPUTED_VALUE"""),924.45)</f>
        <v>924.45</v>
      </c>
      <c r="D8" s="6">
        <f>IFERROR(__xludf.DUMMYFUNCTION("""COMPUTED_VALUE"""),887.85)</f>
        <v>887.85</v>
      </c>
      <c r="E8" s="6">
        <f>IFERROR(__xludf.DUMMYFUNCTION("""COMPUTED_VALUE"""),920.0)</f>
        <v>920</v>
      </c>
      <c r="F8" s="6">
        <f>IFERROR(__xludf.DUMMYFUNCTION("""COMPUTED_VALUE"""),9776632.0)</f>
        <v>9776632</v>
      </c>
    </row>
    <row r="9">
      <c r="A9" s="7">
        <f>IFERROR(__xludf.DUMMYFUNCTION("""COMPUTED_VALUE"""),45219.64583333333)</f>
        <v>45219.64583</v>
      </c>
      <c r="B9" s="6">
        <f>IFERROR(__xludf.DUMMYFUNCTION("""COMPUTED_VALUE"""),917.95)</f>
        <v>917.95</v>
      </c>
      <c r="C9" s="6">
        <f>IFERROR(__xludf.DUMMYFUNCTION("""COMPUTED_VALUE"""),921.95)</f>
        <v>921.95</v>
      </c>
      <c r="D9" s="6">
        <f>IFERROR(__xludf.DUMMYFUNCTION("""COMPUTED_VALUE"""),862.5)</f>
        <v>862.5</v>
      </c>
      <c r="E9" s="6">
        <f>IFERROR(__xludf.DUMMYFUNCTION("""COMPUTED_VALUE"""),866.2)</f>
        <v>866.2</v>
      </c>
      <c r="F9" s="6">
        <f>IFERROR(__xludf.DUMMYFUNCTION("""COMPUTED_VALUE"""),6848268.0)</f>
        <v>6848268</v>
      </c>
    </row>
    <row r="10">
      <c r="A10" s="7">
        <f>IFERROR(__xludf.DUMMYFUNCTION("""COMPUTED_VALUE"""),45226.64583333333)</f>
        <v>45226.64583</v>
      </c>
      <c r="B10" s="6">
        <f>IFERROR(__xludf.DUMMYFUNCTION("""COMPUTED_VALUE"""),864.7)</f>
        <v>864.7</v>
      </c>
      <c r="C10" s="6">
        <f>IFERROR(__xludf.DUMMYFUNCTION("""COMPUTED_VALUE"""),884.95)</f>
        <v>884.95</v>
      </c>
      <c r="D10" s="6">
        <f>IFERROR(__xludf.DUMMYFUNCTION("""COMPUTED_VALUE"""),845.0)</f>
        <v>845</v>
      </c>
      <c r="E10" s="6">
        <f>IFERROR(__xludf.DUMMYFUNCTION("""COMPUTED_VALUE"""),854.45)</f>
        <v>854.45</v>
      </c>
      <c r="F10" s="6">
        <f>IFERROR(__xludf.DUMMYFUNCTION("""COMPUTED_VALUE"""),7329375.0)</f>
        <v>7329375</v>
      </c>
    </row>
    <row r="11">
      <c r="A11" s="7">
        <f>IFERROR(__xludf.DUMMYFUNCTION("""COMPUTED_VALUE"""),45233.64583333333)</f>
        <v>45233.64583</v>
      </c>
      <c r="B11" s="6">
        <f>IFERROR(__xludf.DUMMYFUNCTION("""COMPUTED_VALUE"""),862.9)</f>
        <v>862.9</v>
      </c>
      <c r="C11" s="6">
        <f>IFERROR(__xludf.DUMMYFUNCTION("""COMPUTED_VALUE"""),871.6)</f>
        <v>871.6</v>
      </c>
      <c r="D11" s="6">
        <f>IFERROR(__xludf.DUMMYFUNCTION("""COMPUTED_VALUE"""),834.65)</f>
        <v>834.65</v>
      </c>
      <c r="E11" s="6">
        <f>IFERROR(__xludf.DUMMYFUNCTION("""COMPUTED_VALUE"""),854.3)</f>
        <v>854.3</v>
      </c>
      <c r="F11" s="6">
        <f>IFERROR(__xludf.DUMMYFUNCTION("""COMPUTED_VALUE"""),7891831.0)</f>
        <v>7891831</v>
      </c>
    </row>
    <row r="12">
      <c r="A12" s="7">
        <f>IFERROR(__xludf.DUMMYFUNCTION("""COMPUTED_VALUE"""),45240.64583333333)</f>
        <v>45240.64583</v>
      </c>
      <c r="B12" s="6">
        <f>IFERROR(__xludf.DUMMYFUNCTION("""COMPUTED_VALUE"""),858.15)</f>
        <v>858.15</v>
      </c>
      <c r="C12" s="6">
        <f>IFERROR(__xludf.DUMMYFUNCTION("""COMPUTED_VALUE"""),984.0)</f>
        <v>984</v>
      </c>
      <c r="D12" s="6">
        <f>IFERROR(__xludf.DUMMYFUNCTION("""COMPUTED_VALUE"""),856.35)</f>
        <v>856.35</v>
      </c>
      <c r="E12" s="6">
        <f>IFERROR(__xludf.DUMMYFUNCTION("""COMPUTED_VALUE"""),979.7)</f>
        <v>979.7</v>
      </c>
      <c r="F12" s="6">
        <f>IFERROR(__xludf.DUMMYFUNCTION("""COMPUTED_VALUE"""),1.6358561E7)</f>
        <v>16358561</v>
      </c>
    </row>
    <row r="13">
      <c r="A13" s="7">
        <f>IFERROR(__xludf.DUMMYFUNCTION("""COMPUTED_VALUE"""),45247.64583333333)</f>
        <v>45247.64583</v>
      </c>
      <c r="B13" s="6">
        <f>IFERROR(__xludf.DUMMYFUNCTION("""COMPUTED_VALUE"""),984.95)</f>
        <v>984.95</v>
      </c>
      <c r="C13" s="6">
        <f>IFERROR(__xludf.DUMMYFUNCTION("""COMPUTED_VALUE"""),1015.0)</f>
        <v>1015</v>
      </c>
      <c r="D13" s="6">
        <f>IFERROR(__xludf.DUMMYFUNCTION("""COMPUTED_VALUE"""),959.0)</f>
        <v>959</v>
      </c>
      <c r="E13" s="6">
        <f>IFERROR(__xludf.DUMMYFUNCTION("""COMPUTED_VALUE"""),1007.35)</f>
        <v>1007.35</v>
      </c>
      <c r="F13" s="6">
        <f>IFERROR(__xludf.DUMMYFUNCTION("""COMPUTED_VALUE"""),1.0881185E7)</f>
        <v>10881185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IFERROR(__xludf.DUMMYFUNCTION("""COMPUTED_VALUE"""),1011.0)</f>
        <v>1011</v>
      </c>
      <c r="C14" s="6">
        <f>IFERROR(__xludf.DUMMYFUNCTION("""COMPUTED_VALUE"""),1058.0)</f>
        <v>1058</v>
      </c>
      <c r="D14" s="6">
        <f>IFERROR(__xludf.DUMMYFUNCTION("""COMPUTED_VALUE"""),991.6)</f>
        <v>991.6</v>
      </c>
      <c r="E14" s="6">
        <f>IFERROR(__xludf.DUMMYFUNCTION("""COMPUTED_VALUE"""),1032.8)</f>
        <v>1032.8</v>
      </c>
      <c r="F14" s="6">
        <f>IFERROR(__xludf.DUMMYFUNCTION("""COMPUTED_VALUE"""),1.1405691E7)</f>
        <v>11405691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IFERROR(__xludf.DUMMYFUNCTION("""COMPUTED_VALUE"""),1032.8)</f>
        <v>1032.8</v>
      </c>
      <c r="C15" s="6">
        <f>IFERROR(__xludf.DUMMYFUNCTION("""COMPUTED_VALUE"""),1059.65)</f>
        <v>1059.65</v>
      </c>
      <c r="D15" s="6">
        <f>IFERROR(__xludf.DUMMYFUNCTION("""COMPUTED_VALUE"""),1009.4)</f>
        <v>1009.4</v>
      </c>
      <c r="E15" s="6">
        <f>IFERROR(__xludf.DUMMYFUNCTION("""COMPUTED_VALUE"""),1033.75)</f>
        <v>1033.75</v>
      </c>
      <c r="F15" s="6">
        <f>IFERROR(__xludf.DUMMYFUNCTION("""COMPUTED_VALUE"""),9083618.0)</f>
        <v>9083618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IFERROR(__xludf.DUMMYFUNCTION("""COMPUTED_VALUE"""),1042.0)</f>
        <v>1042</v>
      </c>
      <c r="C16" s="6">
        <f>IFERROR(__xludf.DUMMYFUNCTION("""COMPUTED_VALUE"""),1047.8)</f>
        <v>1047.8</v>
      </c>
      <c r="D16" s="6">
        <f>IFERROR(__xludf.DUMMYFUNCTION("""COMPUTED_VALUE"""),1004.55)</f>
        <v>1004.55</v>
      </c>
      <c r="E16" s="6">
        <f>IFERROR(__xludf.DUMMYFUNCTION("""COMPUTED_VALUE"""),1017.4)</f>
        <v>1017.4</v>
      </c>
      <c r="F16" s="6">
        <f>IFERROR(__xludf.DUMMYFUNCTION("""COMPUTED_VALUE"""),8716830.0)</f>
        <v>8716830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IFERROR(__xludf.DUMMYFUNCTION("""COMPUTED_VALUE"""),1015.0)</f>
        <v>1015</v>
      </c>
      <c r="C17" s="6">
        <f>IFERROR(__xludf.DUMMYFUNCTION("""COMPUTED_VALUE"""),1050.35)</f>
        <v>1050.35</v>
      </c>
      <c r="D17" s="6">
        <f>IFERROR(__xludf.DUMMYFUNCTION("""COMPUTED_VALUE"""),996.3)</f>
        <v>996.3</v>
      </c>
      <c r="E17" s="6">
        <f>IFERROR(__xludf.DUMMYFUNCTION("""COMPUTED_VALUE"""),1026.4)</f>
        <v>1026.4</v>
      </c>
      <c r="F17" s="6">
        <f>IFERROR(__xludf.DUMMYFUNCTION("""COMPUTED_VALUE"""),1.0573022E7)</f>
        <v>10573022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IFERROR(__xludf.DUMMYFUNCTION("""COMPUTED_VALUE"""),1026.4)</f>
        <v>1026.4</v>
      </c>
      <c r="C18" s="6">
        <f>IFERROR(__xludf.DUMMYFUNCTION("""COMPUTED_VALUE"""),1099.9)</f>
        <v>1099.9</v>
      </c>
      <c r="D18" s="6">
        <f>IFERROR(__xludf.DUMMYFUNCTION("""COMPUTED_VALUE"""),998.55)</f>
        <v>998.55</v>
      </c>
      <c r="E18" s="6">
        <f>IFERROR(__xludf.DUMMYFUNCTION("""COMPUTED_VALUE"""),1066.4)</f>
        <v>1066.4</v>
      </c>
      <c r="F18" s="6">
        <f>IFERROR(__xludf.DUMMYFUNCTION("""COMPUTED_VALUE"""),1.3930744E7)</f>
        <v>13930744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IFERROR(__xludf.DUMMYFUNCTION("""COMPUTED_VALUE"""),1063.75)</f>
        <v>1063.75</v>
      </c>
      <c r="C19" s="6">
        <f>IFERROR(__xludf.DUMMYFUNCTION("""COMPUTED_VALUE"""),1097.0)</f>
        <v>1097</v>
      </c>
      <c r="D19" s="6">
        <f>IFERROR(__xludf.DUMMYFUNCTION("""COMPUTED_VALUE"""),1046.15)</f>
        <v>1046.15</v>
      </c>
      <c r="E19" s="6">
        <f>IFERROR(__xludf.DUMMYFUNCTION("""COMPUTED_VALUE"""),1084.0)</f>
        <v>1084</v>
      </c>
      <c r="F19" s="6">
        <f>IFERROR(__xludf.DUMMYFUNCTION("""COMPUTED_VALUE"""),5906813.0)</f>
        <v>5906813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IFERROR(__xludf.DUMMYFUNCTION("""COMPUTED_VALUE"""),1085.05)</f>
        <v>1085.05</v>
      </c>
      <c r="C20" s="6">
        <f>IFERROR(__xludf.DUMMYFUNCTION("""COMPUTED_VALUE"""),1129.35)</f>
        <v>1129.35</v>
      </c>
      <c r="D20" s="6">
        <f>IFERROR(__xludf.DUMMYFUNCTION("""COMPUTED_VALUE"""),1077.05)</f>
        <v>1077.05</v>
      </c>
      <c r="E20" s="6">
        <f>IFERROR(__xludf.DUMMYFUNCTION("""COMPUTED_VALUE"""),1123.95)</f>
        <v>1123.95</v>
      </c>
      <c r="F20" s="6">
        <f>IFERROR(__xludf.DUMMYFUNCTION("""COMPUTED_VALUE"""),9340114.0)</f>
        <v>9340114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IFERROR(__xludf.DUMMYFUNCTION("""COMPUTED_VALUE"""),1133.0)</f>
        <v>1133</v>
      </c>
      <c r="C21" s="6">
        <f>IFERROR(__xludf.DUMMYFUNCTION("""COMPUTED_VALUE"""),1135.0)</f>
        <v>1135</v>
      </c>
      <c r="D21" s="6">
        <f>IFERROR(__xludf.DUMMYFUNCTION("""COMPUTED_VALUE"""),1082.6)</f>
        <v>1082.6</v>
      </c>
      <c r="E21" s="6">
        <f>IFERROR(__xludf.DUMMYFUNCTION("""COMPUTED_VALUE"""),1094.85)</f>
        <v>1094.85</v>
      </c>
      <c r="F21" s="6">
        <f>IFERROR(__xludf.DUMMYFUNCTION("""COMPUTED_VALUE"""),8815621.0)</f>
        <v>8815621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IFERROR(__xludf.DUMMYFUNCTION("""COMPUTED_VALUE"""),1159.9)</f>
        <v>1159.9</v>
      </c>
      <c r="C22" s="6">
        <f>IFERROR(__xludf.DUMMYFUNCTION("""COMPUTED_VALUE"""),1173.9)</f>
        <v>1173.9</v>
      </c>
      <c r="D22" s="6">
        <f>IFERROR(__xludf.DUMMYFUNCTION("""COMPUTED_VALUE"""),1112.65)</f>
        <v>1112.65</v>
      </c>
      <c r="E22" s="6">
        <f>IFERROR(__xludf.DUMMYFUNCTION("""COMPUTED_VALUE"""),1150.85)</f>
        <v>1150.85</v>
      </c>
      <c r="F22" s="6">
        <f>IFERROR(__xludf.DUMMYFUNCTION("""COMPUTED_VALUE"""),7674411.0)</f>
        <v>7674411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IFERROR(__xludf.DUMMYFUNCTION("""COMPUTED_VALUE"""),1151.0)</f>
        <v>1151</v>
      </c>
      <c r="C23" s="6">
        <f>IFERROR(__xludf.DUMMYFUNCTION("""COMPUTED_VALUE"""),1177.1)</f>
        <v>1177.1</v>
      </c>
      <c r="D23" s="6">
        <f>IFERROR(__xludf.DUMMYFUNCTION("""COMPUTED_VALUE"""),1035.4)</f>
        <v>1035.4</v>
      </c>
      <c r="E23" s="6">
        <f>IFERROR(__xludf.DUMMYFUNCTION("""COMPUTED_VALUE"""),1066.75)</f>
        <v>1066.75</v>
      </c>
      <c r="F23" s="6">
        <f>IFERROR(__xludf.DUMMYFUNCTION("""COMPUTED_VALUE"""),2.4701812E7)</f>
        <v>24701812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IFERROR(__xludf.DUMMYFUNCTION("""COMPUTED_VALUE"""),1052.0)</f>
        <v>1052</v>
      </c>
      <c r="C24" s="6">
        <f>IFERROR(__xludf.DUMMYFUNCTION("""COMPUTED_VALUE"""),1074.3)</f>
        <v>1074.3</v>
      </c>
      <c r="D24" s="6">
        <f>IFERROR(__xludf.DUMMYFUNCTION("""COMPUTED_VALUE"""),977.0)</f>
        <v>977</v>
      </c>
      <c r="E24" s="6">
        <f>IFERROR(__xludf.DUMMYFUNCTION("""COMPUTED_VALUE"""),1003.15)</f>
        <v>1003.15</v>
      </c>
      <c r="F24" s="6">
        <f>IFERROR(__xludf.DUMMYFUNCTION("""COMPUTED_VALUE"""),2.5940077E7)</f>
        <v>25940077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IFERROR(__xludf.DUMMYFUNCTION("""COMPUTED_VALUE"""),1035.9)</f>
        <v>1035.9</v>
      </c>
      <c r="C25" s="6">
        <f>IFERROR(__xludf.DUMMYFUNCTION("""COMPUTED_VALUE"""),1053.7)</f>
        <v>1053.7</v>
      </c>
      <c r="D25" s="6">
        <f>IFERROR(__xludf.DUMMYFUNCTION("""COMPUTED_VALUE"""),958.5)</f>
        <v>958.5</v>
      </c>
      <c r="E25" s="6">
        <f>IFERROR(__xludf.DUMMYFUNCTION("""COMPUTED_VALUE"""),1034.2)</f>
        <v>1034.2</v>
      </c>
      <c r="F25" s="6">
        <f>IFERROR(__xludf.DUMMYFUNCTION("""COMPUTED_VALUE"""),2.5931926E7)</f>
        <v>25931926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IFERROR(__xludf.DUMMYFUNCTION("""COMPUTED_VALUE"""),1041.05)</f>
        <v>1041.05</v>
      </c>
      <c r="C26" s="6">
        <f>IFERROR(__xludf.DUMMYFUNCTION("""COMPUTED_VALUE"""),1061.0)</f>
        <v>1061</v>
      </c>
      <c r="D26" s="6">
        <f>IFERROR(__xludf.DUMMYFUNCTION("""COMPUTED_VALUE"""),1025.05)</f>
        <v>1025.05</v>
      </c>
      <c r="E26" s="6">
        <f>IFERROR(__xludf.DUMMYFUNCTION("""COMPUTED_VALUE"""),1043.8)</f>
        <v>1043.8</v>
      </c>
      <c r="F26" s="6">
        <f>IFERROR(__xludf.DUMMYFUNCTION("""COMPUTED_VALUE"""),7701376.0)</f>
        <v>7701376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IFERROR(__xludf.DUMMYFUNCTION("""COMPUTED_VALUE"""),1080.0)</f>
        <v>1080</v>
      </c>
      <c r="C27" s="6">
        <f>IFERROR(__xludf.DUMMYFUNCTION("""COMPUTED_VALUE"""),1114.0)</f>
        <v>1114</v>
      </c>
      <c r="D27" s="6">
        <f>IFERROR(__xludf.DUMMYFUNCTION("""COMPUTED_VALUE"""),1038.1)</f>
        <v>1038.1</v>
      </c>
      <c r="E27" s="6">
        <f>IFERROR(__xludf.DUMMYFUNCTION("""COMPUTED_VALUE"""),1058.85)</f>
        <v>1058.85</v>
      </c>
      <c r="F27" s="6">
        <f>IFERROR(__xludf.DUMMYFUNCTION("""COMPUTED_VALUE"""),9058164.0)</f>
        <v>9058164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IFERROR(__xludf.DUMMYFUNCTION("""COMPUTED_VALUE"""),1072.0)</f>
        <v>1072</v>
      </c>
      <c r="C28" s="6">
        <f>IFERROR(__xludf.DUMMYFUNCTION("""COMPUTED_VALUE"""),1085.0)</f>
        <v>1085</v>
      </c>
      <c r="D28" s="6">
        <f>IFERROR(__xludf.DUMMYFUNCTION("""COMPUTED_VALUE"""),984.3)</f>
        <v>984.3</v>
      </c>
      <c r="E28" s="6">
        <f>IFERROR(__xludf.DUMMYFUNCTION("""COMPUTED_VALUE"""),1001.35)</f>
        <v>1001.35</v>
      </c>
      <c r="F28" s="6">
        <f>IFERROR(__xludf.DUMMYFUNCTION("""COMPUTED_VALUE"""),9747524.0)</f>
        <v>9747524</v>
      </c>
    </row>
    <row r="29">
      <c r="A29" s="7">
        <f>IFERROR(__xludf.DUMMYFUNCTION("""COMPUTED_VALUE"""),45373.64583333333)</f>
        <v>45373.64583</v>
      </c>
      <c r="B29" s="6">
        <f>IFERROR(__xludf.DUMMYFUNCTION("""COMPUTED_VALUE"""),989.9)</f>
        <v>989.9</v>
      </c>
      <c r="C29" s="6">
        <f>IFERROR(__xludf.DUMMYFUNCTION("""COMPUTED_VALUE"""),1036.3)</f>
        <v>1036.3</v>
      </c>
      <c r="D29" s="6">
        <f>IFERROR(__xludf.DUMMYFUNCTION("""COMPUTED_VALUE"""),986.2)</f>
        <v>986.2</v>
      </c>
      <c r="E29" s="6">
        <f>IFERROR(__xludf.DUMMYFUNCTION("""COMPUTED_VALUE"""),1019.85)</f>
        <v>1019.85</v>
      </c>
      <c r="F29" s="6">
        <f>IFERROR(__xludf.DUMMYFUNCTION("""COMPUTED_VALUE"""),8623348.0)</f>
        <v>8623348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IFERROR(__xludf.DUMMYFUNCTION("""COMPUTED_VALUE"""),1002.0)</f>
        <v>1002</v>
      </c>
      <c r="C30" s="6">
        <f>IFERROR(__xludf.DUMMYFUNCTION("""COMPUTED_VALUE"""),1099.25)</f>
        <v>1099.25</v>
      </c>
      <c r="D30" s="6">
        <f>IFERROR(__xludf.DUMMYFUNCTION("""COMPUTED_VALUE"""),995.3)</f>
        <v>995.3</v>
      </c>
      <c r="E30" s="6">
        <f>IFERROR(__xludf.DUMMYFUNCTION("""COMPUTED_VALUE"""),1088.75)</f>
        <v>1088.75</v>
      </c>
      <c r="F30" s="6">
        <f>IFERROR(__xludf.DUMMYFUNCTION("""COMPUTED_VALUE"""),5417440.0)</f>
        <v>5417440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IFERROR(__xludf.DUMMYFUNCTION("""COMPUTED_VALUE"""),1113.0)</f>
        <v>1113</v>
      </c>
      <c r="C31" s="6">
        <f>IFERROR(__xludf.DUMMYFUNCTION("""COMPUTED_VALUE"""),1150.7)</f>
        <v>1150.7</v>
      </c>
      <c r="D31" s="6">
        <f>IFERROR(__xludf.DUMMYFUNCTION("""COMPUTED_VALUE"""),1094.05)</f>
        <v>1094.05</v>
      </c>
      <c r="E31" s="6">
        <f>IFERROR(__xludf.DUMMYFUNCTION("""COMPUTED_VALUE"""),1123.7)</f>
        <v>1123.7</v>
      </c>
      <c r="F31" s="6">
        <f>IFERROR(__xludf.DUMMYFUNCTION("""COMPUTED_VALUE"""),1.016551E7)</f>
        <v>10165510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IFERROR(__xludf.DUMMYFUNCTION("""COMPUTED_VALUE"""),1129.9)</f>
        <v>1129.9</v>
      </c>
      <c r="C32" s="6">
        <f>IFERROR(__xludf.DUMMYFUNCTION("""COMPUTED_VALUE"""),1137.25)</f>
        <v>1137.25</v>
      </c>
      <c r="D32" s="6">
        <f>IFERROR(__xludf.DUMMYFUNCTION("""COMPUTED_VALUE"""),1086.0)</f>
        <v>1086</v>
      </c>
      <c r="E32" s="6">
        <f>IFERROR(__xludf.DUMMYFUNCTION("""COMPUTED_VALUE"""),1088.45)</f>
        <v>1088.45</v>
      </c>
      <c r="F32" s="6">
        <f>IFERROR(__xludf.DUMMYFUNCTION("""COMPUTED_VALUE"""),5538342.0)</f>
        <v>5538342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IFERROR(__xludf.DUMMYFUNCTION("""COMPUTED_VALUE"""),1075.0)</f>
        <v>1075</v>
      </c>
      <c r="C33" s="6">
        <f>IFERROR(__xludf.DUMMYFUNCTION("""COMPUTED_VALUE"""),1129.0)</f>
        <v>1129</v>
      </c>
      <c r="D33" s="6">
        <f>IFERROR(__xludf.DUMMYFUNCTION("""COMPUTED_VALUE"""),1069.3)</f>
        <v>1069.3</v>
      </c>
      <c r="E33" s="6">
        <f>IFERROR(__xludf.DUMMYFUNCTION("""COMPUTED_VALUE"""),1087.05)</f>
        <v>1087.05</v>
      </c>
      <c r="F33" s="6">
        <f>IFERROR(__xludf.DUMMYFUNCTION("""COMPUTED_VALUE"""),7456259.0)</f>
        <v>7456259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IFERROR(__xludf.DUMMYFUNCTION("""COMPUTED_VALUE"""),1090.25)</f>
        <v>1090.25</v>
      </c>
      <c r="C34" s="6">
        <f>IFERROR(__xludf.DUMMYFUNCTION("""COMPUTED_VALUE"""),1137.5)</f>
        <v>1137.5</v>
      </c>
      <c r="D34" s="6">
        <f>IFERROR(__xludf.DUMMYFUNCTION("""COMPUTED_VALUE"""),1074.25)</f>
        <v>1074.25</v>
      </c>
      <c r="E34" s="6">
        <f>IFERROR(__xludf.DUMMYFUNCTION("""COMPUTED_VALUE"""),1131.3)</f>
        <v>1131.3</v>
      </c>
      <c r="F34" s="6">
        <f>IFERROR(__xludf.DUMMYFUNCTION("""COMPUTED_VALUE"""),6496384.0)</f>
        <v>6496384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IFERROR(__xludf.DUMMYFUNCTION("""COMPUTED_VALUE"""),1137.0)</f>
        <v>1137</v>
      </c>
      <c r="C35" s="6">
        <f>IFERROR(__xludf.DUMMYFUNCTION("""COMPUTED_VALUE"""),1175.8)</f>
        <v>1175.8</v>
      </c>
      <c r="D35" s="6">
        <f>IFERROR(__xludf.DUMMYFUNCTION("""COMPUTED_VALUE"""),1127.25)</f>
        <v>1127.25</v>
      </c>
      <c r="E35" s="6">
        <f>IFERROR(__xludf.DUMMYFUNCTION("""COMPUTED_VALUE"""),1151.65)</f>
        <v>1151.65</v>
      </c>
      <c r="F35" s="6">
        <f>IFERROR(__xludf.DUMMYFUNCTION("""COMPUTED_VALUE"""),6430570.0)</f>
        <v>6430570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IFERROR(__xludf.DUMMYFUNCTION("""COMPUTED_VALUE"""),1141.6)</f>
        <v>1141.6</v>
      </c>
      <c r="C36" s="6">
        <f>IFERROR(__xludf.DUMMYFUNCTION("""COMPUTED_VALUE"""),1172.0)</f>
        <v>1172</v>
      </c>
      <c r="D36" s="6">
        <f>IFERROR(__xludf.DUMMYFUNCTION("""COMPUTED_VALUE"""),1097.1)</f>
        <v>1097.1</v>
      </c>
      <c r="E36" s="6">
        <f>IFERROR(__xludf.DUMMYFUNCTION("""COMPUTED_VALUE"""),1127.55)</f>
        <v>1127.55</v>
      </c>
      <c r="F36" s="6">
        <f>IFERROR(__xludf.DUMMYFUNCTION("""COMPUTED_VALUE"""),6625089.0)</f>
        <v>6625089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IFERROR(__xludf.DUMMYFUNCTION("""COMPUTED_VALUE"""),1202.35)</f>
        <v>1202.35</v>
      </c>
      <c r="C37" s="6">
        <f>IFERROR(__xludf.DUMMYFUNCTION("""COMPUTED_VALUE"""),1245.7)</f>
        <v>1245.7</v>
      </c>
      <c r="D37" s="6">
        <f>IFERROR(__xludf.DUMMYFUNCTION("""COMPUTED_VALUE"""),1185.2)</f>
        <v>1185.2</v>
      </c>
      <c r="E37" s="6">
        <f>IFERROR(__xludf.DUMMYFUNCTION("""COMPUTED_VALUE"""),1235.05)</f>
        <v>1235.05</v>
      </c>
      <c r="F37" s="6">
        <f>IFERROR(__xludf.DUMMYFUNCTION("""COMPUTED_VALUE"""),6255990.0)</f>
        <v>6255990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IFERROR(__xludf.DUMMYFUNCTION("""COMPUTED_VALUE"""),1208.85)</f>
        <v>1208.85</v>
      </c>
      <c r="C38" s="6">
        <f>IFERROR(__xludf.DUMMYFUNCTION("""COMPUTED_VALUE"""),1238.7)</f>
        <v>1238.7</v>
      </c>
      <c r="D38" s="6">
        <f>IFERROR(__xludf.DUMMYFUNCTION("""COMPUTED_VALUE"""),1162.65)</f>
        <v>1162.65</v>
      </c>
      <c r="E38" s="6">
        <f>IFERROR(__xludf.DUMMYFUNCTION("""COMPUTED_VALUE"""),1185.7)</f>
        <v>1185.7</v>
      </c>
      <c r="F38" s="6">
        <f>IFERROR(__xludf.DUMMYFUNCTION("""COMPUTED_VALUE"""),1.1336553E7)</f>
        <v>11336553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IFERROR(__xludf.DUMMYFUNCTION("""COMPUTED_VALUE"""),1229.0)</f>
        <v>1229</v>
      </c>
      <c r="C39" s="6">
        <f>IFERROR(__xludf.DUMMYFUNCTION("""COMPUTED_VALUE"""),1292.1)</f>
        <v>1292.1</v>
      </c>
      <c r="D39" s="6">
        <f>IFERROR(__xludf.DUMMYFUNCTION("""COMPUTED_VALUE"""),1109.45)</f>
        <v>1109.45</v>
      </c>
      <c r="E39" s="6">
        <f>IFERROR(__xludf.DUMMYFUNCTION("""COMPUTED_VALUE"""),1265.15)</f>
        <v>1265.15</v>
      </c>
      <c r="F39" s="6">
        <f>IFERROR(__xludf.DUMMYFUNCTION("""COMPUTED_VALUE"""),7828439.0)</f>
        <v>7828439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IFERROR(__xludf.DUMMYFUNCTION("""COMPUTED_VALUE"""),1272.0)</f>
        <v>1272</v>
      </c>
      <c r="C40" s="6">
        <f>IFERROR(__xludf.DUMMYFUNCTION("""COMPUTED_VALUE"""),1277.65)</f>
        <v>1277.65</v>
      </c>
      <c r="D40" s="6">
        <f>IFERROR(__xludf.DUMMYFUNCTION("""COMPUTED_VALUE"""),1226.25)</f>
        <v>1226.25</v>
      </c>
      <c r="E40" s="6">
        <f>IFERROR(__xludf.DUMMYFUNCTION("""COMPUTED_VALUE"""),1259.0)</f>
        <v>1259</v>
      </c>
      <c r="F40" s="6">
        <f>IFERROR(__xludf.DUMMYFUNCTION("""COMPUTED_VALUE"""),5938142.0)</f>
        <v>5938142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IFERROR(__xludf.DUMMYFUNCTION("""COMPUTED_VALUE"""),1255.1)</f>
        <v>1255.1</v>
      </c>
      <c r="C41" s="6">
        <f>IFERROR(__xludf.DUMMYFUNCTION("""COMPUTED_VALUE"""),1268.05)</f>
        <v>1268.05</v>
      </c>
      <c r="D41" s="6">
        <f>IFERROR(__xludf.DUMMYFUNCTION("""COMPUTED_VALUE"""),1207.8)</f>
        <v>1207.8</v>
      </c>
      <c r="E41" s="6">
        <f>IFERROR(__xludf.DUMMYFUNCTION("""COMPUTED_VALUE"""),1241.1)</f>
        <v>1241.1</v>
      </c>
      <c r="F41" s="6">
        <f>IFERROR(__xludf.DUMMYFUNCTION("""COMPUTED_VALUE"""),6932539.0)</f>
        <v>6932539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IFERROR(__xludf.DUMMYFUNCTION("""COMPUTED_VALUE"""),1234.95)</f>
        <v>1234.95</v>
      </c>
      <c r="C42" s="6">
        <f>IFERROR(__xludf.DUMMYFUNCTION("""COMPUTED_VALUE"""),1246.1)</f>
        <v>1246.1</v>
      </c>
      <c r="D42" s="6">
        <f>IFERROR(__xludf.DUMMYFUNCTION("""COMPUTED_VALUE"""),1180.1)</f>
        <v>1180.1</v>
      </c>
      <c r="E42" s="6">
        <f>IFERROR(__xludf.DUMMYFUNCTION("""COMPUTED_VALUE"""),1207.6)</f>
        <v>1207.6</v>
      </c>
      <c r="F42" s="6">
        <f>IFERROR(__xludf.DUMMYFUNCTION("""COMPUTED_VALUE"""),1.0229462E7)</f>
        <v>10229462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IFERROR(__xludf.DUMMYFUNCTION("""COMPUTED_VALUE"""),1214.05)</f>
        <v>1214.05</v>
      </c>
      <c r="C43" s="6">
        <f>IFERROR(__xludf.DUMMYFUNCTION("""COMPUTED_VALUE"""),1311.8)</f>
        <v>1311.8</v>
      </c>
      <c r="D43" s="6">
        <f>IFERROR(__xludf.DUMMYFUNCTION("""COMPUTED_VALUE"""),1203.0)</f>
        <v>1203</v>
      </c>
      <c r="E43" s="6">
        <f>IFERROR(__xludf.DUMMYFUNCTION("""COMPUTED_VALUE"""),1303.55)</f>
        <v>1303.55</v>
      </c>
      <c r="F43" s="6">
        <f>IFERROR(__xludf.DUMMYFUNCTION("""COMPUTED_VALUE"""),6766511.0)</f>
        <v>6766511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IFERROR(__xludf.DUMMYFUNCTION("""COMPUTED_VALUE"""),1305.1)</f>
        <v>1305.1</v>
      </c>
      <c r="C44" s="6">
        <f>IFERROR(__xludf.DUMMYFUNCTION("""COMPUTED_VALUE"""),1344.2)</f>
        <v>1344.2</v>
      </c>
      <c r="D44" s="6">
        <f>IFERROR(__xludf.DUMMYFUNCTION("""COMPUTED_VALUE"""),1285.75)</f>
        <v>1285.75</v>
      </c>
      <c r="E44" s="6">
        <f>IFERROR(__xludf.DUMMYFUNCTION("""COMPUTED_VALUE"""),1326.85)</f>
        <v>1326.85</v>
      </c>
      <c r="F44" s="6">
        <f>IFERROR(__xludf.DUMMYFUNCTION("""COMPUTED_VALUE"""),5459020.0)</f>
        <v>5459020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IFERROR(__xludf.DUMMYFUNCTION("""COMPUTED_VALUE"""),1360.0)</f>
        <v>1360</v>
      </c>
      <c r="C45" s="6">
        <f>IFERROR(__xludf.DUMMYFUNCTION("""COMPUTED_VALUE"""),1409.9)</f>
        <v>1409.9</v>
      </c>
      <c r="D45" s="6">
        <f>IFERROR(__xludf.DUMMYFUNCTION("""COMPUTED_VALUE"""),1320.1)</f>
        <v>1320.1</v>
      </c>
      <c r="E45" s="6">
        <f>IFERROR(__xludf.DUMMYFUNCTION("""COMPUTED_VALUE"""),1330.8)</f>
        <v>1330.8</v>
      </c>
      <c r="F45" s="6">
        <f>IFERROR(__xludf.DUMMYFUNCTION("""COMPUTED_VALUE"""),1.0079759E7)</f>
        <v>10079759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IFERROR(__xludf.DUMMYFUNCTION("""COMPUTED_VALUE"""),1332.0)</f>
        <v>1332</v>
      </c>
      <c r="C46" s="6">
        <f>IFERROR(__xludf.DUMMYFUNCTION("""COMPUTED_VALUE"""),1389.0)</f>
        <v>1389</v>
      </c>
      <c r="D46" s="6">
        <f>IFERROR(__xludf.DUMMYFUNCTION("""COMPUTED_VALUE"""),1314.45)</f>
        <v>1314.45</v>
      </c>
      <c r="E46" s="6">
        <f>IFERROR(__xludf.DUMMYFUNCTION("""COMPUTED_VALUE"""),1386.2)</f>
        <v>1386.2</v>
      </c>
      <c r="F46" s="6">
        <f>IFERROR(__xludf.DUMMYFUNCTION("""COMPUTED_VALUE"""),3950950.0)</f>
        <v>3950950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IFERROR(__xludf.DUMMYFUNCTION("""COMPUTED_VALUE"""),1390.0)</f>
        <v>1390</v>
      </c>
      <c r="C47" s="6">
        <f>IFERROR(__xludf.DUMMYFUNCTION("""COMPUTED_VALUE"""),1450.8)</f>
        <v>1450.8</v>
      </c>
      <c r="D47" s="6">
        <f>IFERROR(__xludf.DUMMYFUNCTION("""COMPUTED_VALUE"""),1387.6)</f>
        <v>1387.6</v>
      </c>
      <c r="E47" s="6">
        <f>IFERROR(__xludf.DUMMYFUNCTION("""COMPUTED_VALUE"""),1443.3)</f>
        <v>1443.3</v>
      </c>
      <c r="F47" s="6">
        <f>IFERROR(__xludf.DUMMYFUNCTION("""COMPUTED_VALUE"""),5871152.0)</f>
        <v>5871152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IFERROR(__xludf.DUMMYFUNCTION("""COMPUTED_VALUE"""),1428.35)</f>
        <v>1428.35</v>
      </c>
      <c r="C48" s="6">
        <f>IFERROR(__xludf.DUMMYFUNCTION("""COMPUTED_VALUE"""),1488.3)</f>
        <v>1488.3</v>
      </c>
      <c r="D48" s="6">
        <f>IFERROR(__xludf.DUMMYFUNCTION("""COMPUTED_VALUE"""),1395.0)</f>
        <v>1395</v>
      </c>
      <c r="E48" s="6">
        <f>IFERROR(__xludf.DUMMYFUNCTION("""COMPUTED_VALUE"""),1449.7)</f>
        <v>1449.7</v>
      </c>
      <c r="F48" s="6">
        <f>IFERROR(__xludf.DUMMYFUNCTION("""COMPUTED_VALUE"""),9482969.0)</f>
        <v>9482969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IFERROR(__xludf.DUMMYFUNCTION("""COMPUTED_VALUE"""),1460.0)</f>
        <v>1460</v>
      </c>
      <c r="C49" s="6">
        <f>IFERROR(__xludf.DUMMYFUNCTION("""COMPUTED_VALUE"""),1533.2)</f>
        <v>1533.2</v>
      </c>
      <c r="D49" s="6">
        <f>IFERROR(__xludf.DUMMYFUNCTION("""COMPUTED_VALUE"""),1421.45)</f>
        <v>1421.45</v>
      </c>
      <c r="E49" s="6">
        <f>IFERROR(__xludf.DUMMYFUNCTION("""COMPUTED_VALUE"""),1502.75)</f>
        <v>1502.75</v>
      </c>
      <c r="F49" s="6">
        <f>IFERROR(__xludf.DUMMYFUNCTION("""COMPUTED_VALUE"""),1.2746459E7)</f>
        <v>12746459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IFERROR(__xludf.DUMMYFUNCTION("""COMPUTED_VALUE"""),1502.1)</f>
        <v>1502.1</v>
      </c>
      <c r="C50" s="6">
        <f>IFERROR(__xludf.DUMMYFUNCTION("""COMPUTED_VALUE"""),1547.0)</f>
        <v>1547</v>
      </c>
      <c r="D50" s="6">
        <f>IFERROR(__xludf.DUMMYFUNCTION("""COMPUTED_VALUE"""),1490.1)</f>
        <v>1490.1</v>
      </c>
      <c r="E50" s="6">
        <f>IFERROR(__xludf.DUMMYFUNCTION("""COMPUTED_VALUE"""),1538.2)</f>
        <v>1538.2</v>
      </c>
      <c r="F50" s="6">
        <f>IFERROR(__xludf.DUMMYFUNCTION("""COMPUTED_VALUE"""),6291441.0)</f>
        <v>6291441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IFERROR(__xludf.DUMMYFUNCTION("""COMPUTED_VALUE"""),1538.0)</f>
        <v>1538</v>
      </c>
      <c r="C51" s="6">
        <f>IFERROR(__xludf.DUMMYFUNCTION("""COMPUTED_VALUE"""),1580.6)</f>
        <v>1580.6</v>
      </c>
      <c r="D51" s="6">
        <f>IFERROR(__xludf.DUMMYFUNCTION("""COMPUTED_VALUE"""),1531.1)</f>
        <v>1531.1</v>
      </c>
      <c r="E51" s="6">
        <f>IFERROR(__xludf.DUMMYFUNCTION("""COMPUTED_VALUE"""),1569.4)</f>
        <v>1569.4</v>
      </c>
      <c r="F51" s="6">
        <f>IFERROR(__xludf.DUMMYFUNCTION("""COMPUTED_VALUE"""),4502809.0)</f>
        <v>4502809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IFERROR(__xludf.DUMMYFUNCTION("""COMPUTED_VALUE"""),1580.8)</f>
        <v>1580.8</v>
      </c>
      <c r="C52" s="6">
        <f>IFERROR(__xludf.DUMMYFUNCTION("""COMPUTED_VALUE"""),1584.45)</f>
        <v>1584.45</v>
      </c>
      <c r="D52" s="6">
        <f>IFERROR(__xludf.DUMMYFUNCTION("""COMPUTED_VALUE"""),1516.25)</f>
        <v>1516.25</v>
      </c>
      <c r="E52" s="6">
        <f>IFERROR(__xludf.DUMMYFUNCTION("""COMPUTED_VALUE"""),1537.4)</f>
        <v>1537.4</v>
      </c>
      <c r="F52" s="6">
        <f>IFERROR(__xludf.DUMMYFUNCTION("""COMPUTED_VALUE"""),4899562.0)</f>
        <v>4899562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IFERROR(__xludf.DUMMYFUNCTION("""COMPUTED_VALUE"""),1537.35)</f>
        <v>1537.35</v>
      </c>
      <c r="C53" s="6">
        <f>IFERROR(__xludf.DUMMYFUNCTION("""COMPUTED_VALUE"""),1592.0)</f>
        <v>1592</v>
      </c>
      <c r="D53" s="6">
        <f>IFERROR(__xludf.DUMMYFUNCTION("""COMPUTED_VALUE"""),1502.4)</f>
        <v>1502.4</v>
      </c>
      <c r="E53" s="6">
        <f>IFERROR(__xludf.DUMMYFUNCTION("""COMPUTED_VALUE"""),1567.25)</f>
        <v>1567.25</v>
      </c>
      <c r="F53" s="6">
        <f>IFERROR(__xludf.DUMMYFUNCTION("""COMPUTED_VALUE"""),7951867.0)</f>
        <v>7951867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IFERROR(__xludf.DUMMYFUNCTION("""COMPUTED_VALUE"""),1574.85)</f>
        <v>1574.85</v>
      </c>
      <c r="C54" s="6">
        <f>IFERROR(__xludf.DUMMYFUNCTION("""COMPUTED_VALUE"""),1583.95)</f>
        <v>1583.95</v>
      </c>
      <c r="D54" s="6">
        <f>IFERROR(__xludf.DUMMYFUNCTION("""COMPUTED_VALUE"""),1482.6)</f>
        <v>1482.6</v>
      </c>
      <c r="E54" s="6">
        <f>IFERROR(__xludf.DUMMYFUNCTION("""COMPUTED_VALUE"""),1496.35)</f>
        <v>1496.35</v>
      </c>
      <c r="F54" s="6">
        <f>IFERROR(__xludf.DUMMYFUNCTION("""COMPUTED_VALUE"""),5144655.0)</f>
        <v>5144655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IFERROR(__xludf.DUMMYFUNCTION("""COMPUTED_VALUE"""),1498.0)</f>
        <v>1498</v>
      </c>
      <c r="C55" s="6">
        <f>IFERROR(__xludf.DUMMYFUNCTION("""COMPUTED_VALUE"""),1531.45)</f>
        <v>1531.45</v>
      </c>
      <c r="D55" s="6">
        <f>IFERROR(__xludf.DUMMYFUNCTION("""COMPUTED_VALUE"""),1470.0)</f>
        <v>1470</v>
      </c>
      <c r="E55" s="6">
        <f>IFERROR(__xludf.DUMMYFUNCTION("""COMPUTED_VALUE"""),1511.35)</f>
        <v>1511.35</v>
      </c>
      <c r="F55" s="6">
        <f>IFERROR(__xludf.DUMMYFUNCTION("""COMPUTED_VALUE"""),6096222.0)</f>
        <v>6096222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IFERROR(__xludf.DUMMYFUNCTION("""COMPUTED_VALUE"""),1512.05)</f>
        <v>1512.05</v>
      </c>
      <c r="C56" s="6">
        <f>IFERROR(__xludf.DUMMYFUNCTION("""COMPUTED_VALUE"""),1518.9)</f>
        <v>1518.9</v>
      </c>
      <c r="D56" s="6">
        <f>IFERROR(__xludf.DUMMYFUNCTION("""COMPUTED_VALUE"""),1407.0)</f>
        <v>1407</v>
      </c>
      <c r="E56" s="6">
        <f>IFERROR(__xludf.DUMMYFUNCTION("""COMPUTED_VALUE"""),1466.05)</f>
        <v>1466.05</v>
      </c>
      <c r="F56" s="6">
        <f>IFERROR(__xludf.DUMMYFUNCTION("""COMPUTED_VALUE"""),6910700.0)</f>
        <v>6910700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IFERROR(__xludf.DUMMYFUNCTION("""COMPUTED_VALUE"""),1467.0)</f>
        <v>1467</v>
      </c>
      <c r="C57" s="6">
        <f>IFERROR(__xludf.DUMMYFUNCTION("""COMPUTED_VALUE"""),1520.05)</f>
        <v>1520.05</v>
      </c>
      <c r="D57" s="6">
        <f>IFERROR(__xludf.DUMMYFUNCTION("""COMPUTED_VALUE"""),1439.5)</f>
        <v>1439.5</v>
      </c>
      <c r="E57" s="6">
        <f>IFERROR(__xludf.DUMMYFUNCTION("""COMPUTED_VALUE"""),1495.85)</f>
        <v>1495.85</v>
      </c>
      <c r="F57" s="6">
        <f>IFERROR(__xludf.DUMMYFUNCTION("""COMPUTED_VALUE"""),4437619.0)</f>
        <v>4437619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IFERROR(__xludf.DUMMYFUNCTION("""COMPUTED_VALUE"""),1496.1)</f>
        <v>1496.1</v>
      </c>
      <c r="C58" s="6">
        <f>IFERROR(__xludf.DUMMYFUNCTION("""COMPUTED_VALUE"""),1502.7)</f>
        <v>1502.7</v>
      </c>
      <c r="D58" s="6">
        <f>IFERROR(__xludf.DUMMYFUNCTION("""COMPUTED_VALUE"""),1450.0)</f>
        <v>1450</v>
      </c>
      <c r="E58" s="6">
        <f>IFERROR(__xludf.DUMMYFUNCTION("""COMPUTED_VALUE"""),1472.7)</f>
        <v>1472.7</v>
      </c>
      <c r="F58" s="6">
        <f>IFERROR(__xludf.DUMMYFUNCTION("""COMPUTED_VALUE"""),3096009.0)</f>
        <v>3096009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IFERROR(__xludf.DUMMYFUNCTION("""COMPUTED_VALUE"""),1473.1)</f>
        <v>1473.1</v>
      </c>
      <c r="C59" s="6">
        <f>IFERROR(__xludf.DUMMYFUNCTION("""COMPUTED_VALUE"""),1499.5)</f>
        <v>1499.5</v>
      </c>
      <c r="D59" s="6">
        <f>IFERROR(__xludf.DUMMYFUNCTION("""COMPUTED_VALUE"""),1415.2)</f>
        <v>1415.2</v>
      </c>
      <c r="E59" s="6">
        <f>IFERROR(__xludf.DUMMYFUNCTION("""COMPUTED_VALUE"""),1428.15)</f>
        <v>1428.15</v>
      </c>
      <c r="F59" s="6">
        <f>IFERROR(__xludf.DUMMYFUNCTION("""COMPUTED_VALUE"""),3080478.0)</f>
        <v>3080478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IFERROR(__xludf.DUMMYFUNCTION("""COMPUTED_VALUE"""),1396.45)</f>
        <v>1396.45</v>
      </c>
      <c r="C60" s="6">
        <f>IFERROR(__xludf.DUMMYFUNCTION("""COMPUTED_VALUE"""),1417.3)</f>
        <v>1417.3</v>
      </c>
      <c r="D60" s="6">
        <f>IFERROR(__xludf.DUMMYFUNCTION("""COMPUTED_VALUE"""),1319.5)</f>
        <v>1319.5</v>
      </c>
      <c r="E60" s="6">
        <f>IFERROR(__xludf.DUMMYFUNCTION("""COMPUTED_VALUE"""),1327.55)</f>
        <v>1327.55</v>
      </c>
      <c r="F60" s="6">
        <f>IFERROR(__xludf.DUMMYFUNCTION("""COMPUTED_VALUE"""),6698758.0)</f>
        <v>6698758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IFERROR(__xludf.DUMMYFUNCTION("""COMPUTED_VALUE"""),1331.0)</f>
        <v>1331</v>
      </c>
      <c r="C61" s="6">
        <f>IFERROR(__xludf.DUMMYFUNCTION("""COMPUTED_VALUE"""),1360.7)</f>
        <v>1360.7</v>
      </c>
      <c r="D61" s="6">
        <f>IFERROR(__xludf.DUMMYFUNCTION("""COMPUTED_VALUE"""),1240.55)</f>
        <v>1240.55</v>
      </c>
      <c r="E61" s="6">
        <f>IFERROR(__xludf.DUMMYFUNCTION("""COMPUTED_VALUE"""),1249.0)</f>
        <v>1249</v>
      </c>
      <c r="F61" s="6">
        <f>IFERROR(__xludf.DUMMYFUNCTION("""COMPUTED_VALUE"""),5892758.0)</f>
        <v>5892758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IFERROR(__xludf.DUMMYFUNCTION("""COMPUTED_VALUE"""),1245.2)</f>
        <v>1245.2</v>
      </c>
      <c r="C62" s="6">
        <f>IFERROR(__xludf.DUMMYFUNCTION("""COMPUTED_VALUE"""),1267.35)</f>
        <v>1267.35</v>
      </c>
      <c r="D62" s="6">
        <f>IFERROR(__xludf.DUMMYFUNCTION("""COMPUTED_VALUE"""),1215.6)</f>
        <v>1215.6</v>
      </c>
      <c r="E62" s="6">
        <f>IFERROR(__xludf.DUMMYFUNCTION("""COMPUTED_VALUE"""),1223.7)</f>
        <v>1223.7</v>
      </c>
      <c r="F62" s="6">
        <f>IFERROR(__xludf.DUMMYFUNCTION("""COMPUTED_VALUE"""),3134471.0)</f>
        <v>3134471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IFERROR(__xludf.DUMMYFUNCTION("""COMPUTED_VALUE"""),1245.0)</f>
        <v>1245</v>
      </c>
      <c r="C63" s="6">
        <f>IFERROR(__xludf.DUMMYFUNCTION("""COMPUTED_VALUE"""),1269.15)</f>
        <v>1269.15</v>
      </c>
      <c r="D63" s="6">
        <f>IFERROR(__xludf.DUMMYFUNCTION("""COMPUTED_VALUE"""),1218.1)</f>
        <v>1218.1</v>
      </c>
      <c r="E63" s="6">
        <f>IFERROR(__xludf.DUMMYFUNCTION("""COMPUTED_VALUE"""),1262.6)</f>
        <v>1262.6</v>
      </c>
      <c r="F63" s="6">
        <f>IFERROR(__xludf.DUMMYFUNCTION("""COMPUTED_VALUE"""),6248703.0)</f>
        <v>6248703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IFERROR(__xludf.DUMMYFUNCTION("""COMPUTED_VALUE"""),1263.0)</f>
        <v>1263</v>
      </c>
      <c r="C64" s="6">
        <f>IFERROR(__xludf.DUMMYFUNCTION("""COMPUTED_VALUE"""),1276.5)</f>
        <v>1276.5</v>
      </c>
      <c r="D64" s="6">
        <f>IFERROR(__xludf.DUMMYFUNCTION("""COMPUTED_VALUE"""),1233.95)</f>
        <v>1233.95</v>
      </c>
      <c r="E64" s="6">
        <f>IFERROR(__xludf.DUMMYFUNCTION("""COMPUTED_VALUE"""),1246.2)</f>
        <v>1246.2</v>
      </c>
      <c r="F64" s="6">
        <f>IFERROR(__xludf.DUMMYFUNCTION("""COMPUTED_VALUE"""),6085176.0)</f>
        <v>6085176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IFERROR(__xludf.DUMMYFUNCTION("""COMPUTED_VALUE"""),1247.45)</f>
        <v>1247.45</v>
      </c>
      <c r="C65" s="6">
        <f>IFERROR(__xludf.DUMMYFUNCTION("""COMPUTED_VALUE"""),1259.0)</f>
        <v>1259</v>
      </c>
      <c r="D65" s="6">
        <f>IFERROR(__xludf.DUMMYFUNCTION("""COMPUTED_VALUE"""),1173.1)</f>
        <v>1173.1</v>
      </c>
      <c r="E65" s="6">
        <f>IFERROR(__xludf.DUMMYFUNCTION("""COMPUTED_VALUE"""),1208.4)</f>
        <v>1208.4</v>
      </c>
      <c r="F65" s="6">
        <f>IFERROR(__xludf.DUMMYFUNCTION("""COMPUTED_VALUE"""),3644515.0)</f>
        <v>3644515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IFERROR(__xludf.DUMMYFUNCTION("""COMPUTED_VALUE"""),1225.0)</f>
        <v>1225</v>
      </c>
      <c r="C66" s="6">
        <f>IFERROR(__xludf.DUMMYFUNCTION("""COMPUTED_VALUE"""),1275.3)</f>
        <v>1275.3</v>
      </c>
      <c r="D66" s="6">
        <f>IFERROR(__xludf.DUMMYFUNCTION("""COMPUTED_VALUE"""),1203.15)</f>
        <v>1203.15</v>
      </c>
      <c r="E66" s="6">
        <f>IFERROR(__xludf.DUMMYFUNCTION("""COMPUTED_VALUE"""),1241.7)</f>
        <v>1241.7</v>
      </c>
      <c r="F66" s="6">
        <f>IFERROR(__xludf.DUMMYFUNCTION("""COMPUTED_VALUE"""),6903841.0)</f>
        <v>6903841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IFERROR(__xludf.DUMMYFUNCTION("""COMPUTED_VALUE"""),1263.65)</f>
        <v>1263.65</v>
      </c>
      <c r="C67" s="6">
        <f>IFERROR(__xludf.DUMMYFUNCTION("""COMPUTED_VALUE"""),1275.0)</f>
        <v>1275</v>
      </c>
      <c r="D67" s="6">
        <f>IFERROR(__xludf.DUMMYFUNCTION("""COMPUTED_VALUE"""),1238.0)</f>
        <v>1238</v>
      </c>
      <c r="E67" s="6">
        <f>IFERROR(__xludf.DUMMYFUNCTION("""COMPUTED_VALUE"""),1269.95)</f>
        <v>1269.95</v>
      </c>
      <c r="F67" s="6">
        <f>IFERROR(__xludf.DUMMYFUNCTION("""COMPUTED_VALUE"""),2234941.0)</f>
        <v>2234941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IFERROR(__xludf.DUMMYFUNCTION("""COMPUTED_VALUE"""),1273.0)</f>
        <v>1273</v>
      </c>
      <c r="C68" s="6">
        <f>IFERROR(__xludf.DUMMYFUNCTION("""COMPUTED_VALUE"""),1356.2)</f>
        <v>1356.2</v>
      </c>
      <c r="D68" s="6">
        <f>IFERROR(__xludf.DUMMYFUNCTION("""COMPUTED_VALUE"""),1265.95)</f>
        <v>1265.95</v>
      </c>
      <c r="E68" s="6">
        <f>IFERROR(__xludf.DUMMYFUNCTION("""COMPUTED_VALUE"""),1319.45)</f>
        <v>1319.45</v>
      </c>
      <c r="F68" s="6">
        <f>IFERROR(__xludf.DUMMYFUNCTION("""COMPUTED_VALUE"""),8267688.0)</f>
        <v>8267688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IFERROR(__xludf.DUMMYFUNCTION("""COMPUTED_VALUE"""),1324.0)</f>
        <v>1324</v>
      </c>
      <c r="C69" s="6">
        <f>IFERROR(__xludf.DUMMYFUNCTION("""COMPUTED_VALUE"""),1328.0)</f>
        <v>1328</v>
      </c>
      <c r="D69" s="6">
        <f>IFERROR(__xludf.DUMMYFUNCTION("""COMPUTED_VALUE"""),1183.05)</f>
        <v>1183.05</v>
      </c>
      <c r="E69" s="6">
        <f>IFERROR(__xludf.DUMMYFUNCTION("""COMPUTED_VALUE"""),1199.55)</f>
        <v>1199.55</v>
      </c>
      <c r="F69" s="6">
        <f>IFERROR(__xludf.DUMMYFUNCTION("""COMPUTED_VALUE"""),5931451.0)</f>
        <v>5931451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IFERROR(__xludf.DUMMYFUNCTION("""COMPUTED_VALUE"""),1191.65)</f>
        <v>1191.65</v>
      </c>
      <c r="C70" s="6">
        <f>IFERROR(__xludf.DUMMYFUNCTION("""COMPUTED_VALUE"""),1191.65)</f>
        <v>1191.65</v>
      </c>
      <c r="D70" s="6">
        <f>IFERROR(__xludf.DUMMYFUNCTION("""COMPUTED_VALUE"""),1144.15)</f>
        <v>1144.15</v>
      </c>
      <c r="E70" s="6">
        <f>IFERROR(__xludf.DUMMYFUNCTION("""COMPUTED_VALUE"""),1178.35)</f>
        <v>1178.35</v>
      </c>
      <c r="F70" s="6">
        <f>IFERROR(__xludf.DUMMYFUNCTION("""COMPUTED_VALUE"""),5461441.0)</f>
        <v>5461441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IFERROR(__xludf.DUMMYFUNCTION("""COMPUTED_VALUE"""),1180.05)</f>
        <v>1180.05</v>
      </c>
      <c r="C71" s="6">
        <f>IFERROR(__xludf.DUMMYFUNCTION("""COMPUTED_VALUE"""),1257.15)</f>
        <v>1257.15</v>
      </c>
      <c r="D71" s="6">
        <f>IFERROR(__xludf.DUMMYFUNCTION("""COMPUTED_VALUE"""),1170.75)</f>
        <v>1170.75</v>
      </c>
      <c r="E71" s="6">
        <f>IFERROR(__xludf.DUMMYFUNCTION("""COMPUTED_VALUE"""),1212.2)</f>
        <v>1212.2</v>
      </c>
      <c r="F71" s="6">
        <f>IFERROR(__xludf.DUMMYFUNCTION("""COMPUTED_VALUE"""),3545416.0)</f>
        <v>3545416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IFERROR(__xludf.DUMMYFUNCTION("""COMPUTED_VALUE"""),1135.0)</f>
        <v>1135</v>
      </c>
      <c r="C72" s="6">
        <f>IFERROR(__xludf.DUMMYFUNCTION("""COMPUTED_VALUE"""),1219.9)</f>
        <v>1219.9</v>
      </c>
      <c r="D72" s="6">
        <f>IFERROR(__xludf.DUMMYFUNCTION("""COMPUTED_VALUE"""),1100.1)</f>
        <v>1100.1</v>
      </c>
      <c r="E72" s="6">
        <f>IFERROR(__xludf.DUMMYFUNCTION("""COMPUTED_VALUE"""),1191.7)</f>
        <v>1191.7</v>
      </c>
      <c r="F72" s="6">
        <f>IFERROR(__xludf.DUMMYFUNCTION("""COMPUTED_VALUE"""),4904429.0)</f>
        <v>4904429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IFERROR(__xludf.DUMMYFUNCTION("""COMPUTED_VALUE"""),1192.0)</f>
        <v>1192</v>
      </c>
      <c r="C73" s="6">
        <f>IFERROR(__xludf.DUMMYFUNCTION("""COMPUTED_VALUE"""),1208.0)</f>
        <v>1208</v>
      </c>
      <c r="D73" s="6">
        <f>IFERROR(__xludf.DUMMYFUNCTION("""COMPUTED_VALUE"""),1120.6)</f>
        <v>1120.6</v>
      </c>
      <c r="E73" s="6">
        <f>IFERROR(__xludf.DUMMYFUNCTION("""COMPUTED_VALUE"""),1131.35)</f>
        <v>1131.35</v>
      </c>
      <c r="F73" s="6">
        <f>IFERROR(__xludf.DUMMYFUNCTION("""COMPUTED_VALUE"""),4530408.0)</f>
        <v>4530408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IFERROR(__xludf.DUMMYFUNCTION("""COMPUTED_VALUE"""),1131.35)</f>
        <v>1131.35</v>
      </c>
      <c r="C74" s="6">
        <f>IFERROR(__xludf.DUMMYFUNCTION("""COMPUTED_VALUE"""),1173.0)</f>
        <v>1173</v>
      </c>
      <c r="D74" s="6">
        <f>IFERROR(__xludf.DUMMYFUNCTION("""COMPUTED_VALUE"""),1052.7)</f>
        <v>1052.7</v>
      </c>
      <c r="E74" s="6">
        <f>IFERROR(__xludf.DUMMYFUNCTION("""COMPUTED_VALUE"""),1115.15)</f>
        <v>1115.15</v>
      </c>
      <c r="F74" s="6">
        <f>IFERROR(__xludf.DUMMYFUNCTION("""COMPUTED_VALUE"""),6822187.0)</f>
        <v>6822187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IFERROR(__xludf.DUMMYFUNCTION("""COMPUTED_VALUE"""),1114.9)</f>
        <v>1114.9</v>
      </c>
      <c r="C75" s="6">
        <f>IFERROR(__xludf.DUMMYFUNCTION("""COMPUTED_VALUE"""),1127.0)</f>
        <v>1127</v>
      </c>
      <c r="D75" s="6">
        <f>IFERROR(__xludf.DUMMYFUNCTION("""COMPUTED_VALUE"""),1053.3)</f>
        <v>1053.3</v>
      </c>
      <c r="E75" s="6">
        <f>IFERROR(__xludf.DUMMYFUNCTION("""COMPUTED_VALUE"""),1058.3)</f>
        <v>1058.3</v>
      </c>
      <c r="F75" s="6">
        <f>IFERROR(__xludf.DUMMYFUNCTION("""COMPUTED_VALUE"""),3050108.0)</f>
        <v>3050108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IFERROR(__xludf.DUMMYFUNCTION("""COMPUTED_VALUE"""),1061.5)</f>
        <v>1061.5</v>
      </c>
      <c r="C76" s="6">
        <f>IFERROR(__xludf.DUMMYFUNCTION("""COMPUTED_VALUE"""),1119.3)</f>
        <v>1119.3</v>
      </c>
      <c r="D76" s="6">
        <f>IFERROR(__xludf.DUMMYFUNCTION("""COMPUTED_VALUE"""),1031.05)</f>
        <v>1031.05</v>
      </c>
      <c r="E76" s="6">
        <f>IFERROR(__xludf.DUMMYFUNCTION("""COMPUTED_VALUE"""),1097.4)</f>
        <v>1097.4</v>
      </c>
      <c r="F76" s="6">
        <f>IFERROR(__xludf.DUMMYFUNCTION("""COMPUTED_VALUE"""),4276327.0)</f>
        <v>4276327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IFERROR(__xludf.DUMMYFUNCTION("""COMPUTED_VALUE"""),1095.1)</f>
        <v>1095.1</v>
      </c>
      <c r="C77" s="6">
        <f>IFERROR(__xludf.DUMMYFUNCTION("""COMPUTED_VALUE"""),1117.1)</f>
        <v>1117.1</v>
      </c>
      <c r="D77" s="6">
        <f>IFERROR(__xludf.DUMMYFUNCTION("""COMPUTED_VALUE"""),1080.25)</f>
        <v>1080.25</v>
      </c>
      <c r="E77" s="6">
        <f>IFERROR(__xludf.DUMMYFUNCTION("""COMPUTED_VALUE"""),1094.75)</f>
        <v>1094.75</v>
      </c>
      <c r="F77" s="6">
        <f>IFERROR(__xludf.DUMMYFUNCTION("""COMPUTED_VALUE"""),2678098.0)</f>
        <v>2678098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IFERROR(__xludf.DUMMYFUNCTION("""COMPUTED_VALUE"""),1095.0)</f>
        <v>1095</v>
      </c>
      <c r="C78" s="6">
        <f>IFERROR(__xludf.DUMMYFUNCTION("""COMPUTED_VALUE"""),1204.7)</f>
        <v>1204.7</v>
      </c>
      <c r="D78" s="6">
        <f>IFERROR(__xludf.DUMMYFUNCTION("""COMPUTED_VALUE"""),1092.65)</f>
        <v>1092.65</v>
      </c>
      <c r="E78" s="6">
        <f>IFERROR(__xludf.DUMMYFUNCTION("""COMPUTED_VALUE"""),1200.35)</f>
        <v>1200.35</v>
      </c>
      <c r="F78" s="6">
        <f>IFERROR(__xludf.DUMMYFUNCTION("""COMPUTED_VALUE"""),3709419.0)</f>
        <v>3709419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IFERROR(__xludf.DUMMYFUNCTION("""COMPUTED_VALUE"""),1209.0)</f>
        <v>1209</v>
      </c>
      <c r="C79" s="6">
        <f>IFERROR(__xludf.DUMMYFUNCTION("""COMPUTED_VALUE"""),1230.7)</f>
        <v>1230.7</v>
      </c>
      <c r="D79" s="6">
        <f>IFERROR(__xludf.DUMMYFUNCTION("""COMPUTED_VALUE"""),1131.85)</f>
        <v>1131.85</v>
      </c>
      <c r="E79" s="6">
        <f>IFERROR(__xludf.DUMMYFUNCTION("""COMPUTED_VALUE"""),1160.5)</f>
        <v>1160.5</v>
      </c>
      <c r="F79" s="6">
        <f>IFERROR(__xludf.DUMMYFUNCTION("""COMPUTED_VALUE"""),4105307.0)</f>
        <v>4105307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IFERROR(__xludf.DUMMYFUNCTION("""COMPUTED_VALUE"""),1156.5)</f>
        <v>1156.5</v>
      </c>
      <c r="C80" s="6">
        <f>IFERROR(__xludf.DUMMYFUNCTION("""COMPUTED_VALUE"""),1267.3)</f>
        <v>1267.3</v>
      </c>
      <c r="D80" s="6">
        <f>IFERROR(__xludf.DUMMYFUNCTION("""COMPUTED_VALUE"""),1050.1)</f>
        <v>1050.1</v>
      </c>
      <c r="E80" s="6">
        <f>IFERROR(__xludf.DUMMYFUNCTION("""COMPUTED_VALUE"""),1105.35)</f>
        <v>1105.35</v>
      </c>
      <c r="F80" s="6">
        <f>IFERROR(__xludf.DUMMYFUNCTION("""COMPUTED_VALUE"""),1.6811115E7)</f>
        <v>16811115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IFERROR(__xludf.DUMMYFUNCTION("""COMPUTED_VALUE"""),1010.0)</f>
        <v>1010</v>
      </c>
      <c r="C81" s="6">
        <f>IFERROR(__xludf.DUMMYFUNCTION("""COMPUTED_VALUE"""),1128.9)</f>
        <v>1128.9</v>
      </c>
      <c r="D81" s="6">
        <f>IFERROR(__xludf.DUMMYFUNCTION("""COMPUTED_VALUE"""),1010.0)</f>
        <v>1010</v>
      </c>
      <c r="E81" s="6">
        <f>IFERROR(__xludf.DUMMYFUNCTION("""COMPUTED_VALUE"""),1082.45)</f>
        <v>1082.45</v>
      </c>
      <c r="F81" s="6">
        <f>IFERROR(__xludf.DUMMYFUNCTION("""COMPUTED_VALUE"""),7503822.0)</f>
        <v>7503822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IFERROR(__xludf.DUMMYFUNCTION("""COMPUTED_VALUE"""),1110.0)</f>
        <v>1110</v>
      </c>
      <c r="C82" s="6">
        <f>IFERROR(__xludf.DUMMYFUNCTION("""COMPUTED_VALUE"""),1174.0)</f>
        <v>1174</v>
      </c>
      <c r="D82" s="6">
        <f>IFERROR(__xludf.DUMMYFUNCTION("""COMPUTED_VALUE"""),1099.0)</f>
        <v>1099</v>
      </c>
      <c r="E82" s="6">
        <f>IFERROR(__xludf.DUMMYFUNCTION("""COMPUTED_VALUE"""),1171.6)</f>
        <v>1171.6</v>
      </c>
      <c r="F82" s="6">
        <f>IFERROR(__xludf.DUMMYFUNCTION("""COMPUTED_VALUE"""),3078617.0)</f>
        <v>3078617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IFERROR(__xludf.DUMMYFUNCTION("""COMPUTED_VALUE"""),1180.0)</f>
        <v>1180</v>
      </c>
      <c r="C83" s="6">
        <f>IFERROR(__xludf.DUMMYFUNCTION("""COMPUTED_VALUE"""),1278.6)</f>
        <v>1278.6</v>
      </c>
      <c r="D83" s="6">
        <f>IFERROR(__xludf.DUMMYFUNCTION("""COMPUTED_VALUE"""),1167.0)</f>
        <v>1167</v>
      </c>
      <c r="E83" s="6">
        <f>IFERROR(__xludf.DUMMYFUNCTION("""COMPUTED_VALUE"""),1220.1)</f>
        <v>1220.1</v>
      </c>
      <c r="F83" s="6">
        <f>IFERROR(__xludf.DUMMYFUNCTION("""COMPUTED_VALUE"""),4606658.0)</f>
        <v>4606658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IFERROR(__xludf.DUMMYFUNCTION("""COMPUTED_VALUE"""),1216.0)</f>
        <v>1216</v>
      </c>
      <c r="C84" s="6">
        <f>IFERROR(__xludf.DUMMYFUNCTION("""COMPUTED_VALUE"""),1260.2)</f>
        <v>1260.2</v>
      </c>
      <c r="D84" s="6">
        <f>IFERROR(__xludf.DUMMYFUNCTION("""COMPUTED_VALUE"""),1203.4)</f>
        <v>1203.4</v>
      </c>
      <c r="E84" s="6">
        <f>IFERROR(__xludf.DUMMYFUNCTION("""COMPUTED_VALUE"""),1211.9)</f>
        <v>1211.9</v>
      </c>
      <c r="F84" s="6">
        <f>IFERROR(__xludf.DUMMYFUNCTION("""COMPUTED_VALUE"""),4163485.0)</f>
        <v>4163485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IFERROR(__xludf.DUMMYFUNCTION("""COMPUTED_VALUE"""),1220.0)</f>
        <v>1220</v>
      </c>
      <c r="C85" s="6">
        <f>IFERROR(__xludf.DUMMYFUNCTION("""COMPUTED_VALUE"""),1251.0)</f>
        <v>1251</v>
      </c>
      <c r="D85" s="6">
        <f>IFERROR(__xludf.DUMMYFUNCTION("""COMPUTED_VALUE"""),1126.0)</f>
        <v>1126</v>
      </c>
      <c r="E85" s="6">
        <f>IFERROR(__xludf.DUMMYFUNCTION("""COMPUTED_VALUE"""),1164.4)</f>
        <v>1164.4</v>
      </c>
      <c r="F85" s="6">
        <f>IFERROR(__xludf.DUMMYFUNCTION("""COMPUTED_VALUE"""),4966676.0)</f>
        <v>4966676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IFERROR(__xludf.DUMMYFUNCTION("""COMPUTED_VALUE"""),1155.3)</f>
        <v>1155.3</v>
      </c>
      <c r="C86" s="6">
        <f>IFERROR(__xludf.DUMMYFUNCTION("""COMPUTED_VALUE"""),1251.4)</f>
        <v>1251.4</v>
      </c>
      <c r="D86" s="6">
        <f>IFERROR(__xludf.DUMMYFUNCTION("""COMPUTED_VALUE"""),1119.9)</f>
        <v>1119.9</v>
      </c>
      <c r="E86" s="6">
        <f>IFERROR(__xludf.DUMMYFUNCTION("""COMPUTED_VALUE"""),1201.2)</f>
        <v>1201.2</v>
      </c>
      <c r="F86" s="6">
        <f>IFERROR(__xludf.DUMMYFUNCTION("""COMPUTED_VALUE"""),6737261.0)</f>
        <v>6737261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IFERROR(__xludf.DUMMYFUNCTION("""COMPUTED_VALUE"""),1205.0)</f>
        <v>1205</v>
      </c>
      <c r="C87" s="6">
        <f>IFERROR(__xludf.DUMMYFUNCTION("""COMPUTED_VALUE"""),1225.9)</f>
        <v>1225.9</v>
      </c>
      <c r="D87" s="6">
        <f>IFERROR(__xludf.DUMMYFUNCTION("""COMPUTED_VALUE"""),1176.0)</f>
        <v>1176</v>
      </c>
      <c r="E87" s="6">
        <f>IFERROR(__xludf.DUMMYFUNCTION("""COMPUTED_VALUE"""),1197.1)</f>
        <v>1197.1</v>
      </c>
      <c r="F87" s="6">
        <f>IFERROR(__xludf.DUMMYFUNCTION("""COMPUTED_VALUE"""),4215110.0)</f>
        <v>4215110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IFERROR(__xludf.DUMMYFUNCTION("""COMPUTED_VALUE"""),1200.0)</f>
        <v>1200</v>
      </c>
      <c r="C88" s="6">
        <f>IFERROR(__xludf.DUMMYFUNCTION("""COMPUTED_VALUE"""),1208.2)</f>
        <v>1208.2</v>
      </c>
      <c r="D88" s="6">
        <f>IFERROR(__xludf.DUMMYFUNCTION("""COMPUTED_VALUE"""),1142.0)</f>
        <v>1142</v>
      </c>
      <c r="E88" s="6">
        <f>IFERROR(__xludf.DUMMYFUNCTION("""COMPUTED_VALUE"""),1147.8)</f>
        <v>1147.8</v>
      </c>
      <c r="F88" s="6">
        <f>IFERROR(__xludf.DUMMYFUNCTION("""COMPUTED_VALUE"""),8499012.0)</f>
        <v>8499012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IFERROR(__xludf.DUMMYFUNCTION("""COMPUTED_VALUE"""),1151.0)</f>
        <v>1151</v>
      </c>
      <c r="C89" s="6">
        <f>IFERROR(__xludf.DUMMYFUNCTION("""COMPUTED_VALUE"""),1174.6)</f>
        <v>1174.6</v>
      </c>
      <c r="D89" s="6">
        <f>IFERROR(__xludf.DUMMYFUNCTION("""COMPUTED_VALUE"""),1128.9)</f>
        <v>1128.9</v>
      </c>
      <c r="E89" s="6">
        <f>IFERROR(__xludf.DUMMYFUNCTION("""COMPUTED_VALUE"""),1161.1)</f>
        <v>1161.1</v>
      </c>
      <c r="F89" s="6">
        <f>IFERROR(__xludf.DUMMYFUNCTION("""COMPUTED_VALUE"""),5068036.0)</f>
        <v>5068036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IFERROR(__xludf.DUMMYFUNCTION("""COMPUTED_VALUE"""),1161.9)</f>
        <v>1161.9</v>
      </c>
      <c r="C90" s="6">
        <f>IFERROR(__xludf.DUMMYFUNCTION("""COMPUTED_VALUE"""),1194.3)</f>
        <v>1194.3</v>
      </c>
      <c r="D90" s="6">
        <f>IFERROR(__xludf.DUMMYFUNCTION("""COMPUTED_VALUE"""),1135.6)</f>
        <v>1135.6</v>
      </c>
      <c r="E90" s="6">
        <f>IFERROR(__xludf.DUMMYFUNCTION("""COMPUTED_VALUE"""),1150.2)</f>
        <v>1150.2</v>
      </c>
      <c r="F90" s="6">
        <f>IFERROR(__xludf.DUMMYFUNCTION("""COMPUTED_VALUE"""),4425146.0)</f>
        <v>4425146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IFERROR(__xludf.DUMMYFUNCTION("""COMPUTED_VALUE"""),1152.1)</f>
        <v>1152.1</v>
      </c>
      <c r="C91" s="6">
        <f>IFERROR(__xludf.DUMMYFUNCTION("""COMPUTED_VALUE"""),1157.0)</f>
        <v>1157</v>
      </c>
      <c r="D91" s="6">
        <f>IFERROR(__xludf.DUMMYFUNCTION("""COMPUTED_VALUE"""),1078.5)</f>
        <v>1078.5</v>
      </c>
      <c r="E91" s="6">
        <f>IFERROR(__xludf.DUMMYFUNCTION("""COMPUTED_VALUE"""),1097.2)</f>
        <v>1097.2</v>
      </c>
      <c r="F91" s="6">
        <f>IFERROR(__xludf.DUMMYFUNCTION("""COMPUTED_VALUE"""),7877478.0)</f>
        <v>7877478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IFERROR(__xludf.DUMMYFUNCTION("""COMPUTED_VALUE"""),1094.1)</f>
        <v>1094.1</v>
      </c>
      <c r="C92" s="6">
        <f>IFERROR(__xludf.DUMMYFUNCTION("""COMPUTED_VALUE"""),1138.8)</f>
        <v>1138.8</v>
      </c>
      <c r="D92" s="6">
        <f>IFERROR(__xludf.DUMMYFUNCTION("""COMPUTED_VALUE"""),1087.2)</f>
        <v>1087.2</v>
      </c>
      <c r="E92" s="6">
        <f>IFERROR(__xludf.DUMMYFUNCTION("""COMPUTED_VALUE"""),1121.0)</f>
        <v>1121</v>
      </c>
      <c r="F92" s="6">
        <f>IFERROR(__xludf.DUMMYFUNCTION("""COMPUTED_VALUE"""),4300096.0)</f>
        <v>4300096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IFERROR(__xludf.DUMMYFUNCTION("""COMPUTED_VALUE"""),1150.0)</f>
        <v>1150</v>
      </c>
      <c r="C93" s="6">
        <f>IFERROR(__xludf.DUMMYFUNCTION("""COMPUTED_VALUE"""),1197.0)</f>
        <v>1197</v>
      </c>
      <c r="D93" s="6">
        <f>IFERROR(__xludf.DUMMYFUNCTION("""COMPUTED_VALUE"""),1112.0)</f>
        <v>1112</v>
      </c>
      <c r="E93" s="6">
        <f>IFERROR(__xludf.DUMMYFUNCTION("""COMPUTED_VALUE"""),1191.3)</f>
        <v>1191.3</v>
      </c>
      <c r="F93" s="6">
        <f>IFERROR(__xludf.DUMMYFUNCTION("""COMPUTED_VALUE"""),7341609.0)</f>
        <v>7341609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IFERROR(__xludf.DUMMYFUNCTION("""COMPUTED_VALUE"""),1188.0)</f>
        <v>1188</v>
      </c>
      <c r="C94" s="6">
        <f>IFERROR(__xludf.DUMMYFUNCTION("""COMPUTED_VALUE"""),1193.0)</f>
        <v>1193</v>
      </c>
      <c r="D94" s="6">
        <f>IFERROR(__xludf.DUMMYFUNCTION("""COMPUTED_VALUE"""),1115.2)</f>
        <v>1115.2</v>
      </c>
      <c r="E94" s="6">
        <f>IFERROR(__xludf.DUMMYFUNCTION("""COMPUTED_VALUE"""),1124.8)</f>
        <v>1124.8</v>
      </c>
      <c r="F94" s="6">
        <f>IFERROR(__xludf.DUMMYFUNCTION("""COMPUTED_VALUE"""),6305257.0)</f>
        <v>6305257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IFERROR(__xludf.DUMMYFUNCTION("""COMPUTED_VALUE"""),1124.7)</f>
        <v>1124.7</v>
      </c>
      <c r="C95" s="6">
        <f>IFERROR(__xludf.DUMMYFUNCTION("""COMPUTED_VALUE"""),1166.8)</f>
        <v>1166.8</v>
      </c>
      <c r="D95" s="6">
        <f>IFERROR(__xludf.DUMMYFUNCTION("""COMPUTED_VALUE"""),1122.6)</f>
        <v>1122.6</v>
      </c>
      <c r="E95" s="6">
        <f>IFERROR(__xludf.DUMMYFUNCTION("""COMPUTED_VALUE"""),1139.5)</f>
        <v>1139.5</v>
      </c>
      <c r="F95" s="6">
        <f>IFERROR(__xludf.DUMMYFUNCTION("""COMPUTED_VALUE"""),3218145.0)</f>
        <v>3218145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IFERROR(__xludf.DUMMYFUNCTION("""COMPUTED_VALUE"""),1139.0)</f>
        <v>1139</v>
      </c>
      <c r="C96" s="6">
        <f>IFERROR(__xludf.DUMMYFUNCTION("""COMPUTED_VALUE"""),1148.6)</f>
        <v>1148.6</v>
      </c>
      <c r="D96" s="6">
        <f>IFERROR(__xludf.DUMMYFUNCTION("""COMPUTED_VALUE"""),1100.0)</f>
        <v>1100</v>
      </c>
      <c r="E96" s="6">
        <f>IFERROR(__xludf.DUMMYFUNCTION("""COMPUTED_VALUE"""),1122.8)</f>
        <v>1122.8</v>
      </c>
      <c r="F96" s="6">
        <f>IFERROR(__xludf.DUMMYFUNCTION("""COMPUTED_VALUE"""),3763802.0)</f>
        <v>3763802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IFERROR(__xludf.DUMMYFUNCTION("""COMPUTED_VALUE"""),1124.0)</f>
        <v>1124</v>
      </c>
      <c r="C97" s="6">
        <f>IFERROR(__xludf.DUMMYFUNCTION("""COMPUTED_VALUE"""),1172.7)</f>
        <v>1172.7</v>
      </c>
      <c r="D97" s="6">
        <f>IFERROR(__xludf.DUMMYFUNCTION("""COMPUTED_VALUE"""),1075.3)</f>
        <v>1075.3</v>
      </c>
      <c r="E97" s="6">
        <f>IFERROR(__xludf.DUMMYFUNCTION("""COMPUTED_VALUE"""),1079.8)</f>
        <v>1079.8</v>
      </c>
      <c r="F97" s="6">
        <f>IFERROR(__xludf.DUMMYFUNCTION("""COMPUTED_VALUE"""),9729793.0)</f>
        <v>9729793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IFERROR(__xludf.DUMMYFUNCTION("""COMPUTED_VALUE"""),1085.1)</f>
        <v>1085.1</v>
      </c>
      <c r="C98" s="6">
        <f>IFERROR(__xludf.DUMMYFUNCTION("""COMPUTED_VALUE"""),1109.4)</f>
        <v>1109.4</v>
      </c>
      <c r="D98" s="6">
        <f>IFERROR(__xludf.DUMMYFUNCTION("""COMPUTED_VALUE"""),1039.2)</f>
        <v>1039.2</v>
      </c>
      <c r="E98" s="6">
        <f>IFERROR(__xludf.DUMMYFUNCTION("""COMPUTED_VALUE"""),1042.1)</f>
        <v>1042.1</v>
      </c>
      <c r="F98" s="6">
        <f>IFERROR(__xludf.DUMMYFUNCTION("""COMPUTED_VALUE"""),7109891.0)</f>
        <v>7109891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IFERROR(__xludf.DUMMYFUNCTION("""COMPUTED_VALUE"""),1042.0)</f>
        <v>1042</v>
      </c>
      <c r="C99" s="6">
        <f>IFERROR(__xludf.DUMMYFUNCTION("""COMPUTED_VALUE"""),1113.0)</f>
        <v>1113</v>
      </c>
      <c r="D99" s="6">
        <f>IFERROR(__xludf.DUMMYFUNCTION("""COMPUTED_VALUE"""),1031.8)</f>
        <v>1031.8</v>
      </c>
      <c r="E99" s="6">
        <f>IFERROR(__xludf.DUMMYFUNCTION("""COMPUTED_VALUE"""),1083.6)</f>
        <v>1083.6</v>
      </c>
      <c r="F99" s="6">
        <f>IFERROR(__xludf.DUMMYFUNCTION("""COMPUTED_VALUE"""),3063533.0)</f>
        <v>3063533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IFERROR(__xludf.DUMMYFUNCTION("""COMPUTED_VALUE"""),1093.7)</f>
        <v>1093.7</v>
      </c>
      <c r="C100" s="6">
        <f>IFERROR(__xludf.DUMMYFUNCTION("""COMPUTED_VALUE"""),1098.8)</f>
        <v>1098.8</v>
      </c>
      <c r="D100" s="6">
        <f>IFERROR(__xludf.DUMMYFUNCTION("""COMPUTED_VALUE"""),1032.5)</f>
        <v>1032.5</v>
      </c>
      <c r="E100" s="6">
        <f>IFERROR(__xludf.DUMMYFUNCTION("""COMPUTED_VALUE"""),1050.4)</f>
        <v>1050.4</v>
      </c>
      <c r="F100" s="6">
        <f>IFERROR(__xludf.DUMMYFUNCTION("""COMPUTED_VALUE"""),9295206.0)</f>
        <v>9295206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IFERROR(__xludf.DUMMYFUNCTION("""COMPUTED_VALUE"""),1055.5)</f>
        <v>1055.5</v>
      </c>
      <c r="C101" s="6">
        <f>IFERROR(__xludf.DUMMYFUNCTION("""COMPUTED_VALUE"""),1075.9)</f>
        <v>1075.9</v>
      </c>
      <c r="D101" s="6">
        <f>IFERROR(__xludf.DUMMYFUNCTION("""COMPUTED_VALUE"""),1042.7)</f>
        <v>1042.7</v>
      </c>
      <c r="E101" s="6">
        <f>IFERROR(__xludf.DUMMYFUNCTION("""COMPUTED_VALUE"""),1045.6)</f>
        <v>1045.6</v>
      </c>
      <c r="F101" s="6">
        <f>IFERROR(__xludf.DUMMYFUNCTION("""COMPUTED_VALUE"""),1.9512706E7)</f>
        <v>19512706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IFERROR(__xludf.DUMMYFUNCTION("GOOGLEFINANCE(""NSE:AXISBANK"",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IFERROR(__xludf.DUMMYFUNCTION("""COMPUTED_VALUE"""),980.1)</f>
        <v>980.1</v>
      </c>
      <c r="C2" s="6">
        <f>IFERROR(__xludf.DUMMYFUNCTION("""COMPUTED_VALUE"""),998.0)</f>
        <v>998</v>
      </c>
      <c r="D2" s="6">
        <f>IFERROR(__xludf.DUMMYFUNCTION("""COMPUTED_VALUE"""),968.6)</f>
        <v>968.6</v>
      </c>
      <c r="E2" s="6">
        <f>IFERROR(__xludf.DUMMYFUNCTION("""COMPUTED_VALUE"""),991.15)</f>
        <v>991.15</v>
      </c>
      <c r="F2" s="6">
        <f>IFERROR(__xludf.DUMMYFUNCTION("""COMPUTED_VALUE"""),5.8093707E7)</f>
        <v>58093707</v>
      </c>
    </row>
    <row r="3">
      <c r="A3" s="7">
        <f>IFERROR(__xludf.DUMMYFUNCTION("""COMPUTED_VALUE"""),45177.64583333333)</f>
        <v>45177.64583</v>
      </c>
      <c r="B3" s="6">
        <f>IFERROR(__xludf.DUMMYFUNCTION("""COMPUTED_VALUE"""),993.75)</f>
        <v>993.75</v>
      </c>
      <c r="C3" s="6">
        <f>IFERROR(__xludf.DUMMYFUNCTION("""COMPUTED_VALUE"""),994.55)</f>
        <v>994.55</v>
      </c>
      <c r="D3" s="6">
        <f>IFERROR(__xludf.DUMMYFUNCTION("""COMPUTED_VALUE"""),961.8)</f>
        <v>961.8</v>
      </c>
      <c r="E3" s="6">
        <f>IFERROR(__xludf.DUMMYFUNCTION("""COMPUTED_VALUE"""),980.3)</f>
        <v>980.3</v>
      </c>
      <c r="F3" s="6">
        <f>IFERROR(__xludf.DUMMYFUNCTION("""COMPUTED_VALUE"""),4.8752801E7)</f>
        <v>48752801</v>
      </c>
    </row>
    <row r="4">
      <c r="A4" s="7">
        <f>IFERROR(__xludf.DUMMYFUNCTION("""COMPUTED_VALUE"""),45184.64583333333)</f>
        <v>45184.64583</v>
      </c>
      <c r="B4" s="6">
        <f>IFERROR(__xludf.DUMMYFUNCTION("""COMPUTED_VALUE"""),981.8)</f>
        <v>981.8</v>
      </c>
      <c r="C4" s="6">
        <f>IFERROR(__xludf.DUMMYFUNCTION("""COMPUTED_VALUE"""),1031.75)</f>
        <v>1031.75</v>
      </c>
      <c r="D4" s="6">
        <f>IFERROR(__xludf.DUMMYFUNCTION("""COMPUTED_VALUE"""),979.0)</f>
        <v>979</v>
      </c>
      <c r="E4" s="6">
        <f>IFERROR(__xludf.DUMMYFUNCTION("""COMPUTED_VALUE"""),1027.15)</f>
        <v>1027.15</v>
      </c>
      <c r="F4" s="6">
        <f>IFERROR(__xludf.DUMMYFUNCTION("""COMPUTED_VALUE"""),4.5184949E7)</f>
        <v>45184949</v>
      </c>
    </row>
    <row r="5">
      <c r="A5" s="7">
        <f>IFERROR(__xludf.DUMMYFUNCTION("""COMPUTED_VALUE"""),45191.64583333333)</f>
        <v>45191.64583</v>
      </c>
      <c r="B5" s="6">
        <f>IFERROR(__xludf.DUMMYFUNCTION("""COMPUTED_VALUE"""),1021.55)</f>
        <v>1021.55</v>
      </c>
      <c r="C5" s="6">
        <f>IFERROR(__xludf.DUMMYFUNCTION("""COMPUTED_VALUE"""),1047.5)</f>
        <v>1047.5</v>
      </c>
      <c r="D5" s="6">
        <f>IFERROR(__xludf.DUMMYFUNCTION("""COMPUTED_VALUE"""),1008.0)</f>
        <v>1008</v>
      </c>
      <c r="E5" s="6">
        <f>IFERROR(__xludf.DUMMYFUNCTION("""COMPUTED_VALUE"""),1018.25)</f>
        <v>1018.25</v>
      </c>
      <c r="F5" s="6">
        <f>IFERROR(__xludf.DUMMYFUNCTION("""COMPUTED_VALUE"""),3.5281805E7)</f>
        <v>35281805</v>
      </c>
    </row>
    <row r="6">
      <c r="A6" s="7">
        <f>IFERROR(__xludf.DUMMYFUNCTION("""COMPUTED_VALUE"""),45198.64583333333)</f>
        <v>45198.64583</v>
      </c>
      <c r="B6" s="6">
        <f>IFERROR(__xludf.DUMMYFUNCTION("""COMPUTED_VALUE"""),1015.2)</f>
        <v>1015.2</v>
      </c>
      <c r="C6" s="6">
        <f>IFERROR(__xludf.DUMMYFUNCTION("""COMPUTED_VALUE"""),1041.0)</f>
        <v>1041</v>
      </c>
      <c r="D6" s="6">
        <f>IFERROR(__xludf.DUMMYFUNCTION("""COMPUTED_VALUE"""),1004.0)</f>
        <v>1004</v>
      </c>
      <c r="E6" s="6">
        <f>IFERROR(__xludf.DUMMYFUNCTION("""COMPUTED_VALUE"""),1036.7)</f>
        <v>1036.7</v>
      </c>
      <c r="F6" s="6">
        <f>IFERROR(__xludf.DUMMYFUNCTION("""COMPUTED_VALUE"""),4.4017306E7)</f>
        <v>44017306</v>
      </c>
    </row>
    <row r="7">
      <c r="A7" s="7">
        <f>IFERROR(__xludf.DUMMYFUNCTION("""COMPUTED_VALUE"""),45205.64583333333)</f>
        <v>45205.64583</v>
      </c>
      <c r="B7" s="6">
        <f>IFERROR(__xludf.DUMMYFUNCTION("""COMPUTED_VALUE"""),1035.0)</f>
        <v>1035</v>
      </c>
      <c r="C7" s="6">
        <f>IFERROR(__xludf.DUMMYFUNCTION("""COMPUTED_VALUE"""),1044.7)</f>
        <v>1044.7</v>
      </c>
      <c r="D7" s="6">
        <f>IFERROR(__xludf.DUMMYFUNCTION("""COMPUTED_VALUE"""),988.85)</f>
        <v>988.85</v>
      </c>
      <c r="E7" s="6">
        <f>IFERROR(__xludf.DUMMYFUNCTION("""COMPUTED_VALUE"""),1000.95)</f>
        <v>1000.95</v>
      </c>
      <c r="F7" s="6">
        <f>IFERROR(__xludf.DUMMYFUNCTION("""COMPUTED_VALUE"""),4.7413699E7)</f>
        <v>47413699</v>
      </c>
    </row>
    <row r="8">
      <c r="A8" s="7">
        <f>IFERROR(__xludf.DUMMYFUNCTION("""COMPUTED_VALUE"""),45212.64583333333)</f>
        <v>45212.64583</v>
      </c>
      <c r="B8" s="6">
        <f>IFERROR(__xludf.DUMMYFUNCTION("""COMPUTED_VALUE"""),994.8)</f>
        <v>994.8</v>
      </c>
      <c r="C8" s="6">
        <f>IFERROR(__xludf.DUMMYFUNCTION("""COMPUTED_VALUE"""),1031.0)</f>
        <v>1031</v>
      </c>
      <c r="D8" s="6">
        <f>IFERROR(__xludf.DUMMYFUNCTION("""COMPUTED_VALUE"""),988.25)</f>
        <v>988.25</v>
      </c>
      <c r="E8" s="6">
        <f>IFERROR(__xludf.DUMMYFUNCTION("""COMPUTED_VALUE"""),994.05)</f>
        <v>994.05</v>
      </c>
      <c r="F8" s="6">
        <f>IFERROR(__xludf.DUMMYFUNCTION("""COMPUTED_VALUE"""),3.704188E7)</f>
        <v>37041880</v>
      </c>
    </row>
    <row r="9">
      <c r="A9" s="7">
        <f>IFERROR(__xludf.DUMMYFUNCTION("""COMPUTED_VALUE"""),45219.64583333333)</f>
        <v>45219.64583</v>
      </c>
      <c r="B9" s="6">
        <f>IFERROR(__xludf.DUMMYFUNCTION("""COMPUTED_VALUE"""),990.0)</f>
        <v>990</v>
      </c>
      <c r="C9" s="6">
        <f>IFERROR(__xludf.DUMMYFUNCTION("""COMPUTED_VALUE"""),1014.7)</f>
        <v>1014.7</v>
      </c>
      <c r="D9" s="6">
        <f>IFERROR(__xludf.DUMMYFUNCTION("""COMPUTED_VALUE"""),977.75)</f>
        <v>977.75</v>
      </c>
      <c r="E9" s="6">
        <f>IFERROR(__xludf.DUMMYFUNCTION("""COMPUTED_VALUE"""),980.35)</f>
        <v>980.35</v>
      </c>
      <c r="F9" s="6">
        <f>IFERROR(__xludf.DUMMYFUNCTION("""COMPUTED_VALUE"""),2.9071998E7)</f>
        <v>29071998</v>
      </c>
    </row>
    <row r="10">
      <c r="A10" s="7">
        <f>IFERROR(__xludf.DUMMYFUNCTION("""COMPUTED_VALUE"""),45226.64583333333)</f>
        <v>45226.64583</v>
      </c>
      <c r="B10" s="6">
        <f>IFERROR(__xludf.DUMMYFUNCTION("""COMPUTED_VALUE"""),980.0)</f>
        <v>980</v>
      </c>
      <c r="C10" s="6">
        <f>IFERROR(__xludf.DUMMYFUNCTION("""COMPUTED_VALUE"""),1004.75)</f>
        <v>1004.75</v>
      </c>
      <c r="D10" s="6">
        <f>IFERROR(__xludf.DUMMYFUNCTION("""COMPUTED_VALUE"""),951.4)</f>
        <v>951.4</v>
      </c>
      <c r="E10" s="6">
        <f>IFERROR(__xludf.DUMMYFUNCTION("""COMPUTED_VALUE"""),1002.75)</f>
        <v>1002.75</v>
      </c>
      <c r="F10" s="6">
        <f>IFERROR(__xludf.DUMMYFUNCTION("""COMPUTED_VALUE"""),4.3837254E7)</f>
        <v>43837254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IFERROR(__xludf.DUMMYFUNCTION("""COMPUTED_VALUE"""),1002.75)</f>
        <v>1002.75</v>
      </c>
      <c r="C11" s="6">
        <f>IFERROR(__xludf.DUMMYFUNCTION("""COMPUTED_VALUE"""),1002.75)</f>
        <v>1002.75</v>
      </c>
      <c r="D11" s="6">
        <f>IFERROR(__xludf.DUMMYFUNCTION("""COMPUTED_VALUE"""),968.0)</f>
        <v>968</v>
      </c>
      <c r="E11" s="6">
        <f>IFERROR(__xludf.DUMMYFUNCTION("""COMPUTED_VALUE"""),988.85)</f>
        <v>988.85</v>
      </c>
      <c r="F11" s="6">
        <f>IFERROR(__xludf.DUMMYFUNCTION("""COMPUTED_VALUE"""),2.8253386E7)</f>
        <v>28253386</v>
      </c>
    </row>
    <row r="12">
      <c r="A12" s="7">
        <f>IFERROR(__xludf.DUMMYFUNCTION("""COMPUTED_VALUE"""),45240.64583333333)</f>
        <v>45240.64583</v>
      </c>
      <c r="B12" s="6">
        <f>IFERROR(__xludf.DUMMYFUNCTION("""COMPUTED_VALUE"""),995.0)</f>
        <v>995</v>
      </c>
      <c r="C12" s="6">
        <f>IFERROR(__xludf.DUMMYFUNCTION("""COMPUTED_VALUE"""),1031.0)</f>
        <v>1031</v>
      </c>
      <c r="D12" s="6">
        <f>IFERROR(__xludf.DUMMYFUNCTION("""COMPUTED_VALUE"""),993.1)</f>
        <v>993.1</v>
      </c>
      <c r="E12" s="6">
        <f>IFERROR(__xludf.DUMMYFUNCTION("""COMPUTED_VALUE"""),1029.2)</f>
        <v>1029.2</v>
      </c>
      <c r="F12" s="6">
        <f>IFERROR(__xludf.DUMMYFUNCTION("""COMPUTED_VALUE"""),2.8457349E7)</f>
        <v>28457349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IFERROR(__xludf.DUMMYFUNCTION("""COMPUTED_VALUE"""),1033.9)</f>
        <v>1033.9</v>
      </c>
      <c r="C13" s="6">
        <f>IFERROR(__xludf.DUMMYFUNCTION("""COMPUTED_VALUE"""),1045.0)</f>
        <v>1045</v>
      </c>
      <c r="D13" s="6">
        <f>IFERROR(__xludf.DUMMYFUNCTION("""COMPUTED_VALUE"""),991.85)</f>
        <v>991.85</v>
      </c>
      <c r="E13" s="6">
        <f>IFERROR(__xludf.DUMMYFUNCTION("""COMPUTED_VALUE"""),994.35)</f>
        <v>994.35</v>
      </c>
      <c r="F13" s="6">
        <f>IFERROR(__xludf.DUMMYFUNCTION("""COMPUTED_VALUE"""),3.3864881E7)</f>
        <v>33864881</v>
      </c>
    </row>
    <row r="14">
      <c r="A14" s="7">
        <f>IFERROR(__xludf.DUMMYFUNCTION("""COMPUTED_VALUE"""),45254.64583333333)</f>
        <v>45254.64583</v>
      </c>
      <c r="B14" s="6">
        <f>IFERROR(__xludf.DUMMYFUNCTION("""COMPUTED_VALUE"""),981.0)</f>
        <v>981</v>
      </c>
      <c r="C14" s="6">
        <f>IFERROR(__xludf.DUMMYFUNCTION("""COMPUTED_VALUE"""),1010.75)</f>
        <v>1010.75</v>
      </c>
      <c r="D14" s="6">
        <f>IFERROR(__xludf.DUMMYFUNCTION("""COMPUTED_VALUE"""),980.35)</f>
        <v>980.35</v>
      </c>
      <c r="E14" s="6">
        <f>IFERROR(__xludf.DUMMYFUNCTION("""COMPUTED_VALUE"""),1008.5)</f>
        <v>1008.5</v>
      </c>
      <c r="F14" s="6">
        <f>IFERROR(__xludf.DUMMYFUNCTION("""COMPUTED_VALUE"""),3.145043E7)</f>
        <v>31450430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IFERROR(__xludf.DUMMYFUNCTION("""COMPUTED_VALUE"""),1013.05)</f>
        <v>1013.05</v>
      </c>
      <c r="C15" s="6">
        <f>IFERROR(__xludf.DUMMYFUNCTION("""COMPUTED_VALUE"""),1109.0)</f>
        <v>1109</v>
      </c>
      <c r="D15" s="6">
        <f>IFERROR(__xludf.DUMMYFUNCTION("""COMPUTED_VALUE"""),1009.25)</f>
        <v>1009.25</v>
      </c>
      <c r="E15" s="6">
        <f>IFERROR(__xludf.DUMMYFUNCTION("""COMPUTED_VALUE"""),1104.65)</f>
        <v>1104.65</v>
      </c>
      <c r="F15" s="6">
        <f>IFERROR(__xludf.DUMMYFUNCTION("""COMPUTED_VALUE"""),5.4780127E7)</f>
        <v>54780127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IFERROR(__xludf.DUMMYFUNCTION("""COMPUTED_VALUE"""),1120.5)</f>
        <v>1120.5</v>
      </c>
      <c r="C16" s="6">
        <f>IFERROR(__xludf.DUMMYFUNCTION("""COMPUTED_VALUE"""),1151.85)</f>
        <v>1151.85</v>
      </c>
      <c r="D16" s="6">
        <f>IFERROR(__xludf.DUMMYFUNCTION("""COMPUTED_VALUE"""),1099.1)</f>
        <v>1099.1</v>
      </c>
      <c r="E16" s="6">
        <f>IFERROR(__xludf.DUMMYFUNCTION("""COMPUTED_VALUE"""),1131.2)</f>
        <v>1131.2</v>
      </c>
      <c r="F16" s="6">
        <f>IFERROR(__xludf.DUMMYFUNCTION("""COMPUTED_VALUE"""),5.0931196E7)</f>
        <v>50931196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IFERROR(__xludf.DUMMYFUNCTION("""COMPUTED_VALUE"""),1129.0)</f>
        <v>1129</v>
      </c>
      <c r="C17" s="6">
        <f>IFERROR(__xludf.DUMMYFUNCTION("""COMPUTED_VALUE"""),1151.0)</f>
        <v>1151</v>
      </c>
      <c r="D17" s="6">
        <f>IFERROR(__xludf.DUMMYFUNCTION("""COMPUTED_VALUE"""),1108.6)</f>
        <v>1108.6</v>
      </c>
      <c r="E17" s="6">
        <f>IFERROR(__xludf.DUMMYFUNCTION("""COMPUTED_VALUE"""),1120.35)</f>
        <v>1120.35</v>
      </c>
      <c r="F17" s="6">
        <f>IFERROR(__xludf.DUMMYFUNCTION("""COMPUTED_VALUE"""),4.5622826E7)</f>
        <v>45622826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IFERROR(__xludf.DUMMYFUNCTION("""COMPUTED_VALUE"""),1119.7)</f>
        <v>1119.7</v>
      </c>
      <c r="C18" s="6">
        <f>IFERROR(__xludf.DUMMYFUNCTION("""COMPUTED_VALUE"""),1126.85)</f>
        <v>1126.85</v>
      </c>
      <c r="D18" s="6">
        <f>IFERROR(__xludf.DUMMYFUNCTION("""COMPUTED_VALUE"""),1077.2)</f>
        <v>1077.2</v>
      </c>
      <c r="E18" s="6">
        <f>IFERROR(__xludf.DUMMYFUNCTION("""COMPUTED_VALUE"""),1088.3)</f>
        <v>1088.3</v>
      </c>
      <c r="F18" s="6">
        <f>IFERROR(__xludf.DUMMYFUNCTION("""COMPUTED_VALUE"""),4.6109873E7)</f>
        <v>46109873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IFERROR(__xludf.DUMMYFUNCTION("""COMPUTED_VALUE"""),1091.2)</f>
        <v>1091.2</v>
      </c>
      <c r="C19" s="6">
        <f>IFERROR(__xludf.DUMMYFUNCTION("""COMPUTED_VALUE"""),1113.0)</f>
        <v>1113</v>
      </c>
      <c r="D19" s="6">
        <f>IFERROR(__xludf.DUMMYFUNCTION("""COMPUTED_VALUE"""),1086.7)</f>
        <v>1086.7</v>
      </c>
      <c r="E19" s="6">
        <f>IFERROR(__xludf.DUMMYFUNCTION("""COMPUTED_VALUE"""),1102.3)</f>
        <v>1102.3</v>
      </c>
      <c r="F19" s="6">
        <f>IFERROR(__xludf.DUMMYFUNCTION("""COMPUTED_VALUE"""),3.4704851E7)</f>
        <v>34704851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IFERROR(__xludf.DUMMYFUNCTION("""COMPUTED_VALUE"""),1095.0)</f>
        <v>1095</v>
      </c>
      <c r="C20" s="6">
        <f>IFERROR(__xludf.DUMMYFUNCTION("""COMPUTED_VALUE"""),1139.9)</f>
        <v>1139.9</v>
      </c>
      <c r="D20" s="6">
        <f>IFERROR(__xludf.DUMMYFUNCTION("""COMPUTED_VALUE"""),1081.3)</f>
        <v>1081.3</v>
      </c>
      <c r="E20" s="6">
        <f>IFERROR(__xludf.DUMMYFUNCTION("""COMPUTED_VALUE"""),1136.95)</f>
        <v>1136.95</v>
      </c>
      <c r="F20" s="6">
        <f>IFERROR(__xludf.DUMMYFUNCTION("""COMPUTED_VALUE"""),4.1641748E7)</f>
        <v>41641748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IFERROR(__xludf.DUMMYFUNCTION("""COMPUTED_VALUE"""),1145.0)</f>
        <v>1145</v>
      </c>
      <c r="C21" s="6">
        <f>IFERROR(__xludf.DUMMYFUNCTION("""COMPUTED_VALUE"""),1146.0)</f>
        <v>1146</v>
      </c>
      <c r="D21" s="6">
        <f>IFERROR(__xludf.DUMMYFUNCTION("""COMPUTED_VALUE"""),1099.05)</f>
        <v>1099.05</v>
      </c>
      <c r="E21" s="6">
        <f>IFERROR(__xludf.DUMMYFUNCTION("""COMPUTED_VALUE"""),1120.35)</f>
        <v>1120.35</v>
      </c>
      <c r="F21" s="6">
        <f>IFERROR(__xludf.DUMMYFUNCTION("""COMPUTED_VALUE"""),2.7328853E7)</f>
        <v>27328853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IFERROR(__xludf.DUMMYFUNCTION("""COMPUTED_VALUE"""),1125.9)</f>
        <v>1125.9</v>
      </c>
      <c r="C22" s="6">
        <f>IFERROR(__xludf.DUMMYFUNCTION("""COMPUTED_VALUE"""),1141.6)</f>
        <v>1141.6</v>
      </c>
      <c r="D22" s="6">
        <f>IFERROR(__xludf.DUMMYFUNCTION("""COMPUTED_VALUE"""),1020.9)</f>
        <v>1020.9</v>
      </c>
      <c r="E22" s="6">
        <f>IFERROR(__xludf.DUMMYFUNCTION("""COMPUTED_VALUE"""),1042.25)</f>
        <v>1042.25</v>
      </c>
      <c r="F22" s="6">
        <f>IFERROR(__xludf.DUMMYFUNCTION("""COMPUTED_VALUE"""),6.0643567E7)</f>
        <v>60643567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IFERROR(__xludf.DUMMYFUNCTION("""COMPUTED_VALUE"""),1036.0)</f>
        <v>1036</v>
      </c>
      <c r="C23" s="6">
        <f>IFERROR(__xludf.DUMMYFUNCTION("""COMPUTED_VALUE"""),1096.2)</f>
        <v>1096.2</v>
      </c>
      <c r="D23" s="6">
        <f>IFERROR(__xludf.DUMMYFUNCTION("""COMPUTED_VALUE"""),1036.0)</f>
        <v>1036</v>
      </c>
      <c r="E23" s="6">
        <f>IFERROR(__xludf.DUMMYFUNCTION("""COMPUTED_VALUE"""),1067.05)</f>
        <v>1067.05</v>
      </c>
      <c r="F23" s="6">
        <f>IFERROR(__xludf.DUMMYFUNCTION("""COMPUTED_VALUE"""),5.1640074E7)</f>
        <v>51640074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IFERROR(__xludf.DUMMYFUNCTION("""COMPUTED_VALUE"""),1067.05)</f>
        <v>1067.05</v>
      </c>
      <c r="C24" s="6">
        <f>IFERROR(__xludf.DUMMYFUNCTION("""COMPUTED_VALUE"""),1079.5)</f>
        <v>1079.5</v>
      </c>
      <c r="D24" s="6">
        <f>IFERROR(__xludf.DUMMYFUNCTION("""COMPUTED_VALUE"""),1031.65)</f>
        <v>1031.65</v>
      </c>
      <c r="E24" s="6">
        <f>IFERROR(__xludf.DUMMYFUNCTION("""COMPUTED_VALUE"""),1051.4)</f>
        <v>1051.4</v>
      </c>
      <c r="F24" s="6">
        <f>IFERROR(__xludf.DUMMYFUNCTION("""COMPUTED_VALUE"""),4.5965013E7)</f>
        <v>45965013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IFERROR(__xludf.DUMMYFUNCTION("""COMPUTED_VALUE"""),1051.4)</f>
        <v>1051.4</v>
      </c>
      <c r="C25" s="6">
        <f>IFERROR(__xludf.DUMMYFUNCTION("""COMPUTED_VALUE"""),1100.9)</f>
        <v>1100.9</v>
      </c>
      <c r="D25" s="6">
        <f>IFERROR(__xludf.DUMMYFUNCTION("""COMPUTED_VALUE"""),1035.35)</f>
        <v>1035.35</v>
      </c>
      <c r="E25" s="6">
        <f>IFERROR(__xludf.DUMMYFUNCTION("""COMPUTED_VALUE"""),1068.75)</f>
        <v>1068.75</v>
      </c>
      <c r="F25" s="6">
        <f>IFERROR(__xludf.DUMMYFUNCTION("""COMPUTED_VALUE"""),5.4158833E7)</f>
        <v>54158833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IFERROR(__xludf.DUMMYFUNCTION("""COMPUTED_VALUE"""),1069.0)</f>
        <v>1069</v>
      </c>
      <c r="C26" s="6">
        <f>IFERROR(__xludf.DUMMYFUNCTION("""COMPUTED_VALUE"""),1110.7)</f>
        <v>1110.7</v>
      </c>
      <c r="D26" s="6">
        <f>IFERROR(__xludf.DUMMYFUNCTION("""COMPUTED_VALUE"""),1057.7)</f>
        <v>1057.7</v>
      </c>
      <c r="E26" s="6">
        <f>IFERROR(__xludf.DUMMYFUNCTION("""COMPUTED_VALUE"""),1096.8)</f>
        <v>1096.8</v>
      </c>
      <c r="F26" s="6">
        <f>IFERROR(__xludf.DUMMYFUNCTION("""COMPUTED_VALUE"""),4.6346941E7)</f>
        <v>46346941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IFERROR(__xludf.DUMMYFUNCTION("""COMPUTED_VALUE"""),1099.25)</f>
        <v>1099.25</v>
      </c>
      <c r="C27" s="6">
        <f>IFERROR(__xludf.DUMMYFUNCTION("""COMPUTED_VALUE"""),1131.95)</f>
        <v>1131.95</v>
      </c>
      <c r="D27" s="6">
        <f>IFERROR(__xludf.DUMMYFUNCTION("""COMPUTED_VALUE"""),1093.1)</f>
        <v>1093.1</v>
      </c>
      <c r="E27" s="6">
        <f>IFERROR(__xludf.DUMMYFUNCTION("""COMPUTED_VALUE"""),1111.45)</f>
        <v>1111.45</v>
      </c>
      <c r="F27" s="6">
        <f>IFERROR(__xludf.DUMMYFUNCTION("""COMPUTED_VALUE"""),3.1478404E7)</f>
        <v>31478404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IFERROR(__xludf.DUMMYFUNCTION("""COMPUTED_VALUE"""),1112.25)</f>
        <v>1112.25</v>
      </c>
      <c r="C28" s="6">
        <f>IFERROR(__xludf.DUMMYFUNCTION("""COMPUTED_VALUE"""),1121.4)</f>
        <v>1121.4</v>
      </c>
      <c r="D28" s="6">
        <f>IFERROR(__xludf.DUMMYFUNCTION("""COMPUTED_VALUE"""),1030.25)</f>
        <v>1030.25</v>
      </c>
      <c r="E28" s="6">
        <f>IFERROR(__xludf.DUMMYFUNCTION("""COMPUTED_VALUE"""),1046.4)</f>
        <v>1046.4</v>
      </c>
      <c r="F28" s="6">
        <f>IFERROR(__xludf.DUMMYFUNCTION("""COMPUTED_VALUE"""),5.6124457E7)</f>
        <v>56124457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IFERROR(__xludf.DUMMYFUNCTION("""COMPUTED_VALUE"""),1044.0)</f>
        <v>1044</v>
      </c>
      <c r="C29" s="6">
        <f>IFERROR(__xludf.DUMMYFUNCTION("""COMPUTED_VALUE"""),1066.9)</f>
        <v>1066.9</v>
      </c>
      <c r="D29" s="6">
        <f>IFERROR(__xludf.DUMMYFUNCTION("""COMPUTED_VALUE"""),1028.15)</f>
        <v>1028.15</v>
      </c>
      <c r="E29" s="6">
        <f>IFERROR(__xludf.DUMMYFUNCTION("""COMPUTED_VALUE"""),1033.3)</f>
        <v>1033.3</v>
      </c>
      <c r="F29" s="6">
        <f>IFERROR(__xludf.DUMMYFUNCTION("""COMPUTED_VALUE"""),4.6755869E7)</f>
        <v>46755869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IFERROR(__xludf.DUMMYFUNCTION("""COMPUTED_VALUE"""),1029.0)</f>
        <v>1029</v>
      </c>
      <c r="C30" s="6">
        <f>IFERROR(__xludf.DUMMYFUNCTION("""COMPUTED_VALUE"""),1058.4)</f>
        <v>1058.4</v>
      </c>
      <c r="D30" s="6">
        <f>IFERROR(__xludf.DUMMYFUNCTION("""COMPUTED_VALUE"""),1027.5)</f>
        <v>1027.5</v>
      </c>
      <c r="E30" s="6">
        <f>IFERROR(__xludf.DUMMYFUNCTION("""COMPUTED_VALUE"""),1047.2)</f>
        <v>1047.2</v>
      </c>
      <c r="F30" s="6">
        <f>IFERROR(__xludf.DUMMYFUNCTION("""COMPUTED_VALUE"""),3.6919393E7)</f>
        <v>36919393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IFERROR(__xludf.DUMMYFUNCTION("""COMPUTED_VALUE"""),1052.35)</f>
        <v>1052.35</v>
      </c>
      <c r="C31" s="6">
        <f>IFERROR(__xludf.DUMMYFUNCTION("""COMPUTED_VALUE"""),1080.7)</f>
        <v>1080.7</v>
      </c>
      <c r="D31" s="6">
        <f>IFERROR(__xludf.DUMMYFUNCTION("""COMPUTED_VALUE"""),1040.2)</f>
        <v>1040.2</v>
      </c>
      <c r="E31" s="6">
        <f>IFERROR(__xludf.DUMMYFUNCTION("""COMPUTED_VALUE"""),1059.1)</f>
        <v>1059.1</v>
      </c>
      <c r="F31" s="6">
        <f>IFERROR(__xludf.DUMMYFUNCTION("""COMPUTED_VALUE"""),5.785107E7)</f>
        <v>57851070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IFERROR(__xludf.DUMMYFUNCTION("""COMPUTED_VALUE"""),1067.0)</f>
        <v>1067</v>
      </c>
      <c r="C32" s="6">
        <f>IFERROR(__xludf.DUMMYFUNCTION("""COMPUTED_VALUE"""),1096.4)</f>
        <v>1096.4</v>
      </c>
      <c r="D32" s="6">
        <f>IFERROR(__xludf.DUMMYFUNCTION("""COMPUTED_VALUE"""),1063.55)</f>
        <v>1063.55</v>
      </c>
      <c r="E32" s="6">
        <f>IFERROR(__xludf.DUMMYFUNCTION("""COMPUTED_VALUE"""),1073.45)</f>
        <v>1073.45</v>
      </c>
      <c r="F32" s="6">
        <f>IFERROR(__xludf.DUMMYFUNCTION("""COMPUTED_VALUE"""),4.3462469E7)</f>
        <v>43462469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IFERROR(__xludf.DUMMYFUNCTION("""COMPUTED_VALUE"""),1063.1)</f>
        <v>1063.1</v>
      </c>
      <c r="C33" s="6">
        <f>IFERROR(__xludf.DUMMYFUNCTION("""COMPUTED_VALUE"""),1071.0)</f>
        <v>1071</v>
      </c>
      <c r="D33" s="6">
        <f>IFERROR(__xludf.DUMMYFUNCTION("""COMPUTED_VALUE"""),995.7)</f>
        <v>995.7</v>
      </c>
      <c r="E33" s="6">
        <f>IFERROR(__xludf.DUMMYFUNCTION("""COMPUTED_VALUE"""),1029.1)</f>
        <v>1029.1</v>
      </c>
      <c r="F33" s="6">
        <f>IFERROR(__xludf.DUMMYFUNCTION("""COMPUTED_VALUE"""),5.5427761E7)</f>
        <v>55427761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IFERROR(__xludf.DUMMYFUNCTION("""COMPUTED_VALUE"""),1039.0)</f>
        <v>1039</v>
      </c>
      <c r="C34" s="6">
        <f>IFERROR(__xludf.DUMMYFUNCTION("""COMPUTED_VALUE"""),1141.35)</f>
        <v>1141.35</v>
      </c>
      <c r="D34" s="6">
        <f>IFERROR(__xludf.DUMMYFUNCTION("""COMPUTED_VALUE"""),1032.0)</f>
        <v>1032</v>
      </c>
      <c r="E34" s="6">
        <f>IFERROR(__xludf.DUMMYFUNCTION("""COMPUTED_VALUE"""),1130.3)</f>
        <v>1130.3</v>
      </c>
      <c r="F34" s="6">
        <f>IFERROR(__xludf.DUMMYFUNCTION("""COMPUTED_VALUE"""),7.9622068E7)</f>
        <v>79622068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IFERROR(__xludf.DUMMYFUNCTION("""COMPUTED_VALUE"""),1130.3)</f>
        <v>1130.3</v>
      </c>
      <c r="C35" s="6">
        <f>IFERROR(__xludf.DUMMYFUNCTION("""COMPUTED_VALUE"""),1182.9)</f>
        <v>1182.9</v>
      </c>
      <c r="D35" s="6">
        <f>IFERROR(__xludf.DUMMYFUNCTION("""COMPUTED_VALUE"""),1125.3)</f>
        <v>1125.3</v>
      </c>
      <c r="E35" s="6">
        <f>IFERROR(__xludf.DUMMYFUNCTION("""COMPUTED_VALUE"""),1141.5)</f>
        <v>1141.5</v>
      </c>
      <c r="F35" s="6">
        <f>IFERROR(__xludf.DUMMYFUNCTION("""COMPUTED_VALUE"""),5.6444274E7)</f>
        <v>56444274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IFERROR(__xludf.DUMMYFUNCTION("""COMPUTED_VALUE"""),1143.9)</f>
        <v>1143.9</v>
      </c>
      <c r="C36" s="6">
        <f>IFERROR(__xludf.DUMMYFUNCTION("""COMPUTED_VALUE"""),1156.0)</f>
        <v>1156</v>
      </c>
      <c r="D36" s="6">
        <f>IFERROR(__xludf.DUMMYFUNCTION("""COMPUTED_VALUE"""),1112.2)</f>
        <v>1112.2</v>
      </c>
      <c r="E36" s="6">
        <f>IFERROR(__xludf.DUMMYFUNCTION("""COMPUTED_VALUE"""),1120.1)</f>
        <v>1120.1</v>
      </c>
      <c r="F36" s="6">
        <f>IFERROR(__xludf.DUMMYFUNCTION("""COMPUTED_VALUE"""),3.5250633E7)</f>
        <v>35250633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IFERROR(__xludf.DUMMYFUNCTION("""COMPUTED_VALUE"""),1136.0)</f>
        <v>1136</v>
      </c>
      <c r="C37" s="6">
        <f>IFERROR(__xludf.DUMMYFUNCTION("""COMPUTED_VALUE"""),1177.0)</f>
        <v>1177</v>
      </c>
      <c r="D37" s="6">
        <f>IFERROR(__xludf.DUMMYFUNCTION("""COMPUTED_VALUE"""),1117.95)</f>
        <v>1117.95</v>
      </c>
      <c r="E37" s="6">
        <f>IFERROR(__xludf.DUMMYFUNCTION("""COMPUTED_VALUE"""),1174.0)</f>
        <v>1174</v>
      </c>
      <c r="F37" s="6">
        <f>IFERROR(__xludf.DUMMYFUNCTION("""COMPUTED_VALUE"""),3.8889128E7)</f>
        <v>38889128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IFERROR(__xludf.DUMMYFUNCTION("""COMPUTED_VALUE"""),1178.9)</f>
        <v>1178.9</v>
      </c>
      <c r="C38" s="6">
        <f>IFERROR(__xludf.DUMMYFUNCTION("""COMPUTED_VALUE"""),1196.0)</f>
        <v>1196</v>
      </c>
      <c r="D38" s="6">
        <f>IFERROR(__xludf.DUMMYFUNCTION("""COMPUTED_VALUE"""),1153.4)</f>
        <v>1153.4</v>
      </c>
      <c r="E38" s="6">
        <f>IFERROR(__xludf.DUMMYFUNCTION("""COMPUTED_VALUE"""),1162.15)</f>
        <v>1162.15</v>
      </c>
      <c r="F38" s="6">
        <f>IFERROR(__xludf.DUMMYFUNCTION("""COMPUTED_VALUE"""),4.1176745E7)</f>
        <v>41176745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IFERROR(__xludf.DUMMYFUNCTION("""COMPUTED_VALUE"""),1197.05)</f>
        <v>1197.05</v>
      </c>
      <c r="C39" s="6">
        <f>IFERROR(__xludf.DUMMYFUNCTION("""COMPUTED_VALUE"""),1242.2)</f>
        <v>1242.2</v>
      </c>
      <c r="D39" s="6">
        <f>IFERROR(__xludf.DUMMYFUNCTION("""COMPUTED_VALUE"""),1101.55)</f>
        <v>1101.55</v>
      </c>
      <c r="E39" s="6">
        <f>IFERROR(__xludf.DUMMYFUNCTION("""COMPUTED_VALUE"""),1186.8)</f>
        <v>1186.8</v>
      </c>
      <c r="F39" s="6">
        <f>IFERROR(__xludf.DUMMYFUNCTION("""COMPUTED_VALUE"""),8.7963704E7)</f>
        <v>87963704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IFERROR(__xludf.DUMMYFUNCTION("""COMPUTED_VALUE"""),1185.0)</f>
        <v>1185</v>
      </c>
      <c r="C40" s="6">
        <f>IFERROR(__xludf.DUMMYFUNCTION("""COMPUTED_VALUE"""),1212.4)</f>
        <v>1212.4</v>
      </c>
      <c r="D40" s="6">
        <f>IFERROR(__xludf.DUMMYFUNCTION("""COMPUTED_VALUE"""),1170.0)</f>
        <v>1170</v>
      </c>
      <c r="E40" s="6">
        <f>IFERROR(__xludf.DUMMYFUNCTION("""COMPUTED_VALUE"""),1181.05)</f>
        <v>1181.05</v>
      </c>
      <c r="F40" s="6">
        <f>IFERROR(__xludf.DUMMYFUNCTION("""COMPUTED_VALUE"""),3.6357166E7)</f>
        <v>36357166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IFERROR(__xludf.DUMMYFUNCTION("""COMPUTED_VALUE"""),1194.0)</f>
        <v>1194</v>
      </c>
      <c r="C41" s="6">
        <f>IFERROR(__xludf.DUMMYFUNCTION("""COMPUTED_VALUE"""),1246.0)</f>
        <v>1246</v>
      </c>
      <c r="D41" s="6">
        <f>IFERROR(__xludf.DUMMYFUNCTION("""COMPUTED_VALUE"""),1181.15)</f>
        <v>1181.15</v>
      </c>
      <c r="E41" s="6">
        <f>IFERROR(__xludf.DUMMYFUNCTION("""COMPUTED_VALUE"""),1237.45)</f>
        <v>1237.45</v>
      </c>
      <c r="F41" s="6">
        <f>IFERROR(__xludf.DUMMYFUNCTION("""COMPUTED_VALUE"""),6.234279E7)</f>
        <v>62342790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IFERROR(__xludf.DUMMYFUNCTION("""COMPUTED_VALUE"""),1231.0)</f>
        <v>1231</v>
      </c>
      <c r="C42" s="6">
        <f>IFERROR(__xludf.DUMMYFUNCTION("""COMPUTED_VALUE"""),1310.0)</f>
        <v>1310</v>
      </c>
      <c r="D42" s="6">
        <f>IFERROR(__xludf.DUMMYFUNCTION("""COMPUTED_VALUE"""),1225.05)</f>
        <v>1225.05</v>
      </c>
      <c r="E42" s="6">
        <f>IFERROR(__xludf.DUMMYFUNCTION("""COMPUTED_VALUE"""),1265.25)</f>
        <v>1265.25</v>
      </c>
      <c r="F42" s="6">
        <f>IFERROR(__xludf.DUMMYFUNCTION("""COMPUTED_VALUE"""),6.7719314E7)</f>
        <v>67719314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IFERROR(__xludf.DUMMYFUNCTION("""COMPUTED_VALUE"""),1273.0)</f>
        <v>1273</v>
      </c>
      <c r="C43" s="6">
        <f>IFERROR(__xludf.DUMMYFUNCTION("""COMPUTED_VALUE"""),1295.4)</f>
        <v>1295.4</v>
      </c>
      <c r="D43" s="6">
        <f>IFERROR(__xludf.DUMMYFUNCTION("""COMPUTED_VALUE"""),1238.25)</f>
        <v>1238.25</v>
      </c>
      <c r="E43" s="6">
        <f>IFERROR(__xludf.DUMMYFUNCTION("""COMPUTED_VALUE"""),1287.05)</f>
        <v>1287.05</v>
      </c>
      <c r="F43" s="6">
        <f>IFERROR(__xludf.DUMMYFUNCTION("""COMPUTED_VALUE"""),4.4324691E7)</f>
        <v>44324691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IFERROR(__xludf.DUMMYFUNCTION("""COMPUTED_VALUE"""),1285.0)</f>
        <v>1285</v>
      </c>
      <c r="C44" s="6">
        <f>IFERROR(__xludf.DUMMYFUNCTION("""COMPUTED_VALUE"""),1339.65)</f>
        <v>1339.65</v>
      </c>
      <c r="D44" s="6">
        <f>IFERROR(__xludf.DUMMYFUNCTION("""COMPUTED_VALUE"""),1275.15)</f>
        <v>1275.15</v>
      </c>
      <c r="E44" s="6">
        <f>IFERROR(__xludf.DUMMYFUNCTION("""COMPUTED_VALUE"""),1317.3)</f>
        <v>1317.3</v>
      </c>
      <c r="F44" s="6">
        <f>IFERROR(__xludf.DUMMYFUNCTION("""COMPUTED_VALUE"""),3.9295613E7)</f>
        <v>39295613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IFERROR(__xludf.DUMMYFUNCTION("""COMPUTED_VALUE"""),1316.7)</f>
        <v>1316.7</v>
      </c>
      <c r="C45" s="6">
        <f>IFERROR(__xludf.DUMMYFUNCTION("""COMPUTED_VALUE"""),1324.4)</f>
        <v>1324.4</v>
      </c>
      <c r="D45" s="6">
        <f>IFERROR(__xludf.DUMMYFUNCTION("""COMPUTED_VALUE"""),1288.2)</f>
        <v>1288.2</v>
      </c>
      <c r="E45" s="6">
        <f>IFERROR(__xludf.DUMMYFUNCTION("""COMPUTED_VALUE"""),1292.35)</f>
        <v>1292.35</v>
      </c>
      <c r="F45" s="6">
        <f>IFERROR(__xludf.DUMMYFUNCTION("""COMPUTED_VALUE"""),2.8253968E7)</f>
        <v>28253968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IFERROR(__xludf.DUMMYFUNCTION("""COMPUTED_VALUE"""),1283.35)</f>
        <v>1283.35</v>
      </c>
      <c r="C46" s="6">
        <f>IFERROR(__xludf.DUMMYFUNCTION("""COMPUTED_VALUE"""),1292.35)</f>
        <v>1292.35</v>
      </c>
      <c r="D46" s="6">
        <f>IFERROR(__xludf.DUMMYFUNCTION("""COMPUTED_VALUE"""),1155.25)</f>
        <v>1155.25</v>
      </c>
      <c r="E46" s="6">
        <f>IFERROR(__xludf.DUMMYFUNCTION("""COMPUTED_VALUE"""),1177.35)</f>
        <v>1177.35</v>
      </c>
      <c r="F46" s="6">
        <f>IFERROR(__xludf.DUMMYFUNCTION("""COMPUTED_VALUE"""),7.7364263E7)</f>
        <v>77364263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IFERROR(__xludf.DUMMYFUNCTION("""COMPUTED_VALUE"""),1182.35)</f>
        <v>1182.35</v>
      </c>
      <c r="C47" s="6">
        <f>IFERROR(__xludf.DUMMYFUNCTION("""COMPUTED_VALUE"""),1194.6)</f>
        <v>1194.6</v>
      </c>
      <c r="D47" s="6">
        <f>IFERROR(__xludf.DUMMYFUNCTION("""COMPUTED_VALUE"""),1154.0)</f>
        <v>1154</v>
      </c>
      <c r="E47" s="6">
        <f>IFERROR(__xludf.DUMMYFUNCTION("""COMPUTED_VALUE"""),1160.85)</f>
        <v>1160.85</v>
      </c>
      <c r="F47" s="6">
        <f>IFERROR(__xludf.DUMMYFUNCTION("""COMPUTED_VALUE"""),7.6807639E7)</f>
        <v>76807639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IFERROR(__xludf.DUMMYFUNCTION("""COMPUTED_VALUE"""),1142.0)</f>
        <v>1142</v>
      </c>
      <c r="C48" s="6">
        <f>IFERROR(__xludf.DUMMYFUNCTION("""COMPUTED_VALUE"""),1155.7)</f>
        <v>1155.7</v>
      </c>
      <c r="D48" s="6">
        <f>IFERROR(__xludf.DUMMYFUNCTION("""COMPUTED_VALUE"""),1123.1)</f>
        <v>1123.1</v>
      </c>
      <c r="E48" s="6">
        <f>IFERROR(__xludf.DUMMYFUNCTION("""COMPUTED_VALUE"""),1142.75)</f>
        <v>1142.75</v>
      </c>
      <c r="F48" s="6">
        <f>IFERROR(__xludf.DUMMYFUNCTION("""COMPUTED_VALUE"""),4.312031E7)</f>
        <v>43120310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IFERROR(__xludf.DUMMYFUNCTION("""COMPUTED_VALUE"""),1146.0)</f>
        <v>1146</v>
      </c>
      <c r="C49" s="6">
        <f>IFERROR(__xludf.DUMMYFUNCTION("""COMPUTED_VALUE"""),1179.6)</f>
        <v>1179.6</v>
      </c>
      <c r="D49" s="6">
        <f>IFERROR(__xludf.DUMMYFUNCTION("""COMPUTED_VALUE"""),1135.85)</f>
        <v>1135.85</v>
      </c>
      <c r="E49" s="6">
        <f>IFERROR(__xludf.DUMMYFUNCTION("""COMPUTED_VALUE"""),1166.85)</f>
        <v>1166.85</v>
      </c>
      <c r="F49" s="6">
        <f>IFERROR(__xludf.DUMMYFUNCTION("""COMPUTED_VALUE"""),2.6387822E7)</f>
        <v>26387822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IFERROR(__xludf.DUMMYFUNCTION("""COMPUTED_VALUE"""),1169.0)</f>
        <v>1169</v>
      </c>
      <c r="C50" s="6">
        <f>IFERROR(__xludf.DUMMYFUNCTION("""COMPUTED_VALUE"""),1181.0)</f>
        <v>1181</v>
      </c>
      <c r="D50" s="6">
        <f>IFERROR(__xludf.DUMMYFUNCTION("""COMPUTED_VALUE"""),1150.2)</f>
        <v>1150.2</v>
      </c>
      <c r="E50" s="6">
        <f>IFERROR(__xludf.DUMMYFUNCTION("""COMPUTED_VALUE"""),1165.95)</f>
        <v>1165.95</v>
      </c>
      <c r="F50" s="6">
        <f>IFERROR(__xludf.DUMMYFUNCTION("""COMPUTED_VALUE"""),3.385749E7)</f>
        <v>33857490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IFERROR(__xludf.DUMMYFUNCTION("""COMPUTED_VALUE"""),1171.7)</f>
        <v>1171.7</v>
      </c>
      <c r="C51" s="6">
        <f>IFERROR(__xludf.DUMMYFUNCTION("""COMPUTED_VALUE"""),1184.85)</f>
        <v>1184.85</v>
      </c>
      <c r="D51" s="6">
        <f>IFERROR(__xludf.DUMMYFUNCTION("""COMPUTED_VALUE"""),1163.4)</f>
        <v>1163.4</v>
      </c>
      <c r="E51" s="6">
        <f>IFERROR(__xludf.DUMMYFUNCTION("""COMPUTED_VALUE"""),1175.25)</f>
        <v>1175.25</v>
      </c>
      <c r="F51" s="6">
        <f>IFERROR(__xludf.DUMMYFUNCTION("""COMPUTED_VALUE"""),3.5058848E7)</f>
        <v>35058848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IFERROR(__xludf.DUMMYFUNCTION("""COMPUTED_VALUE"""),1176.0)</f>
        <v>1176</v>
      </c>
      <c r="C52" s="6">
        <f>IFERROR(__xludf.DUMMYFUNCTION("""COMPUTED_VALUE"""),1194.0)</f>
        <v>1194</v>
      </c>
      <c r="D52" s="6">
        <f>IFERROR(__xludf.DUMMYFUNCTION("""COMPUTED_VALUE"""),1150.8)</f>
        <v>1150.8</v>
      </c>
      <c r="E52" s="6">
        <f>IFERROR(__xludf.DUMMYFUNCTION("""COMPUTED_VALUE"""),1158.75)</f>
        <v>1158.75</v>
      </c>
      <c r="F52" s="6">
        <f>IFERROR(__xludf.DUMMYFUNCTION("""COMPUTED_VALUE"""),3.4989891E7)</f>
        <v>34989891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IFERROR(__xludf.DUMMYFUNCTION("""COMPUTED_VALUE"""),1158.0)</f>
        <v>1158</v>
      </c>
      <c r="C53" s="6">
        <f>IFERROR(__xludf.DUMMYFUNCTION("""COMPUTED_VALUE"""),1219.55)</f>
        <v>1219.55</v>
      </c>
      <c r="D53" s="6">
        <f>IFERROR(__xludf.DUMMYFUNCTION("""COMPUTED_VALUE"""),1145.0)</f>
        <v>1145</v>
      </c>
      <c r="E53" s="6">
        <f>IFERROR(__xludf.DUMMYFUNCTION("""COMPUTED_VALUE"""),1217.45)</f>
        <v>1217.45</v>
      </c>
      <c r="F53" s="6">
        <f>IFERROR(__xludf.DUMMYFUNCTION("""COMPUTED_VALUE"""),3.678056E7)</f>
        <v>36780560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IFERROR(__xludf.DUMMYFUNCTION("""COMPUTED_VALUE"""),1222.0)</f>
        <v>1222</v>
      </c>
      <c r="C54" s="6">
        <f>IFERROR(__xludf.DUMMYFUNCTION("""COMPUTED_VALUE"""),1261.7)</f>
        <v>1261.7</v>
      </c>
      <c r="D54" s="6">
        <f>IFERROR(__xludf.DUMMYFUNCTION("""COMPUTED_VALUE"""),1215.0)</f>
        <v>1215</v>
      </c>
      <c r="E54" s="6">
        <f>IFERROR(__xludf.DUMMYFUNCTION("""COMPUTED_VALUE"""),1245.0)</f>
        <v>1245</v>
      </c>
      <c r="F54" s="6">
        <f>IFERROR(__xludf.DUMMYFUNCTION("""COMPUTED_VALUE"""),4.3739238E7)</f>
        <v>43739238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IFERROR(__xludf.DUMMYFUNCTION("""COMPUTED_VALUE"""),1251.5)</f>
        <v>1251.5</v>
      </c>
      <c r="C55" s="6">
        <f>IFERROR(__xludf.DUMMYFUNCTION("""COMPUTED_VALUE"""),1281.65)</f>
        <v>1281.65</v>
      </c>
      <c r="D55" s="6">
        <f>IFERROR(__xludf.DUMMYFUNCTION("""COMPUTED_VALUE"""),1231.1)</f>
        <v>1231.1</v>
      </c>
      <c r="E55" s="6">
        <f>IFERROR(__xludf.DUMMYFUNCTION("""COMPUTED_VALUE"""),1273.15)</f>
        <v>1273.15</v>
      </c>
      <c r="F55" s="6">
        <f>IFERROR(__xludf.DUMMYFUNCTION("""COMPUTED_VALUE"""),4.2184189E7)</f>
        <v>42184189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IFERROR(__xludf.DUMMYFUNCTION("""COMPUTED_VALUE"""),1263.5)</f>
        <v>1263.5</v>
      </c>
      <c r="C56" s="6">
        <f>IFERROR(__xludf.DUMMYFUNCTION("""COMPUTED_VALUE"""),1275.0)</f>
        <v>1275</v>
      </c>
      <c r="D56" s="6">
        <f>IFERROR(__xludf.DUMMYFUNCTION("""COMPUTED_VALUE"""),1173.1)</f>
        <v>1173.1</v>
      </c>
      <c r="E56" s="6">
        <f>IFERROR(__xludf.DUMMYFUNCTION("""COMPUTED_VALUE"""),1178.4)</f>
        <v>1178.4</v>
      </c>
      <c r="F56" s="6">
        <f>IFERROR(__xludf.DUMMYFUNCTION("""COMPUTED_VALUE"""),4.9996606E7)</f>
        <v>49996606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IFERROR(__xludf.DUMMYFUNCTION("""COMPUTED_VALUE"""),1182.95)</f>
        <v>1182.95</v>
      </c>
      <c r="C57" s="6">
        <f>IFERROR(__xludf.DUMMYFUNCTION("""COMPUTED_VALUE"""),1191.0)</f>
        <v>1191</v>
      </c>
      <c r="D57" s="6">
        <f>IFERROR(__xludf.DUMMYFUNCTION("""COMPUTED_VALUE"""),1130.9)</f>
        <v>1130.9</v>
      </c>
      <c r="E57" s="6">
        <f>IFERROR(__xludf.DUMMYFUNCTION("""COMPUTED_VALUE"""),1172.45)</f>
        <v>1172.45</v>
      </c>
      <c r="F57" s="6">
        <f>IFERROR(__xludf.DUMMYFUNCTION("""COMPUTED_VALUE"""),4.9879718E7)</f>
        <v>49879718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IFERROR(__xludf.DUMMYFUNCTION("""COMPUTED_VALUE"""),1171.55)</f>
        <v>1171.55</v>
      </c>
      <c r="C58" s="6">
        <f>IFERROR(__xludf.DUMMYFUNCTION("""COMPUTED_VALUE"""),1203.85)</f>
        <v>1203.85</v>
      </c>
      <c r="D58" s="6">
        <f>IFERROR(__xludf.DUMMYFUNCTION("""COMPUTED_VALUE"""),1124.0)</f>
        <v>1124</v>
      </c>
      <c r="E58" s="6">
        <f>IFERROR(__xludf.DUMMYFUNCTION("""COMPUTED_VALUE"""),1196.85)</f>
        <v>1196.85</v>
      </c>
      <c r="F58" s="6">
        <f>IFERROR(__xludf.DUMMYFUNCTION("""COMPUTED_VALUE"""),5.3671563E7)</f>
        <v>53671563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IFERROR(__xludf.DUMMYFUNCTION("""COMPUTED_VALUE"""),1196.85)</f>
        <v>1196.85</v>
      </c>
      <c r="C59" s="6">
        <f>IFERROR(__xludf.DUMMYFUNCTION("""COMPUTED_VALUE"""),1214.8)</f>
        <v>1214.8</v>
      </c>
      <c r="D59" s="6">
        <f>IFERROR(__xludf.DUMMYFUNCTION("""COMPUTED_VALUE"""),1154.65)</f>
        <v>1154.65</v>
      </c>
      <c r="E59" s="6">
        <f>IFERROR(__xludf.DUMMYFUNCTION("""COMPUTED_VALUE"""),1189.35)</f>
        <v>1189.35</v>
      </c>
      <c r="F59" s="6">
        <f>IFERROR(__xludf.DUMMYFUNCTION("""COMPUTED_VALUE"""),3.9059534E7)</f>
        <v>39059534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IFERROR(__xludf.DUMMYFUNCTION("""COMPUTED_VALUE"""),1172.0)</f>
        <v>1172</v>
      </c>
      <c r="C60" s="6">
        <f>IFERROR(__xludf.DUMMYFUNCTION("""COMPUTED_VALUE"""),1183.55)</f>
        <v>1183.55</v>
      </c>
      <c r="D60" s="6">
        <f>IFERROR(__xludf.DUMMYFUNCTION("""COMPUTED_VALUE"""),1133.45)</f>
        <v>1133.45</v>
      </c>
      <c r="E60" s="6">
        <f>IFERROR(__xludf.DUMMYFUNCTION("""COMPUTED_VALUE"""),1160.95)</f>
        <v>1160.95</v>
      </c>
      <c r="F60" s="6">
        <f>IFERROR(__xludf.DUMMYFUNCTION("""COMPUTED_VALUE"""),4.1382265E7)</f>
        <v>41382265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IFERROR(__xludf.DUMMYFUNCTION("""COMPUTED_VALUE"""),1152.0)</f>
        <v>1152</v>
      </c>
      <c r="C61" s="6">
        <f>IFERROR(__xludf.DUMMYFUNCTION("""COMPUTED_VALUE"""),1187.0)</f>
        <v>1187</v>
      </c>
      <c r="D61" s="6">
        <f>IFERROR(__xludf.DUMMYFUNCTION("""COMPUTED_VALUE"""),1131.6)</f>
        <v>1131.6</v>
      </c>
      <c r="E61" s="6">
        <f>IFERROR(__xludf.DUMMYFUNCTION("""COMPUTED_VALUE"""),1140.7)</f>
        <v>1140.7</v>
      </c>
      <c r="F61" s="6">
        <f>IFERROR(__xludf.DUMMYFUNCTION("""COMPUTED_VALUE"""),3.0281752E7)</f>
        <v>30281752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IFERROR(__xludf.DUMMYFUNCTION("""COMPUTED_VALUE"""),1131.2)</f>
        <v>1131.2</v>
      </c>
      <c r="C62" s="6">
        <f>IFERROR(__xludf.DUMMYFUNCTION("""COMPUTED_VALUE"""),1152.0)</f>
        <v>1152</v>
      </c>
      <c r="D62" s="6">
        <f>IFERROR(__xludf.DUMMYFUNCTION("""COMPUTED_VALUE"""),1115.75)</f>
        <v>1115.75</v>
      </c>
      <c r="E62" s="6">
        <f>IFERROR(__xludf.DUMMYFUNCTION("""COMPUTED_VALUE"""),1142.4)</f>
        <v>1142.4</v>
      </c>
      <c r="F62" s="6">
        <f>IFERROR(__xludf.DUMMYFUNCTION("""COMPUTED_VALUE"""),5.351469E7)</f>
        <v>53514690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IFERROR(__xludf.DUMMYFUNCTION("""COMPUTED_VALUE"""),1160.0)</f>
        <v>1160</v>
      </c>
      <c r="C63" s="6">
        <f>IFERROR(__xludf.DUMMYFUNCTION("""COMPUTED_VALUE"""),1164.5)</f>
        <v>1164.5</v>
      </c>
      <c r="D63" s="6">
        <f>IFERROR(__xludf.DUMMYFUNCTION("""COMPUTED_VALUE"""),1127.7)</f>
        <v>1127.7</v>
      </c>
      <c r="E63" s="6">
        <f>IFERROR(__xludf.DUMMYFUNCTION("""COMPUTED_VALUE"""),1136.3)</f>
        <v>1136.3</v>
      </c>
      <c r="F63" s="6">
        <f>IFERROR(__xludf.DUMMYFUNCTION("""COMPUTED_VALUE"""),4.0640755E7)</f>
        <v>40640755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IFERROR(__xludf.DUMMYFUNCTION("""COMPUTED_VALUE"""),1132.7)</f>
        <v>1132.7</v>
      </c>
      <c r="C64" s="6">
        <f>IFERROR(__xludf.DUMMYFUNCTION("""COMPUTED_VALUE"""),1193.85)</f>
        <v>1193.85</v>
      </c>
      <c r="D64" s="6">
        <f>IFERROR(__xludf.DUMMYFUNCTION("""COMPUTED_VALUE"""),1126.6)</f>
        <v>1126.6</v>
      </c>
      <c r="E64" s="6">
        <f>IFERROR(__xludf.DUMMYFUNCTION("""COMPUTED_VALUE"""),1184.55)</f>
        <v>1184.55</v>
      </c>
      <c r="F64" s="6">
        <f>IFERROR(__xludf.DUMMYFUNCTION("""COMPUTED_VALUE"""),4.9730359E7)</f>
        <v>49730359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IFERROR(__xludf.DUMMYFUNCTION("""COMPUTED_VALUE"""),1184.25)</f>
        <v>1184.25</v>
      </c>
      <c r="C65" s="6">
        <f>IFERROR(__xludf.DUMMYFUNCTION("""COMPUTED_VALUE"""),1186.0)</f>
        <v>1186</v>
      </c>
      <c r="D65" s="6">
        <f>IFERROR(__xludf.DUMMYFUNCTION("""COMPUTED_VALUE"""),1113.65)</f>
        <v>1113.65</v>
      </c>
      <c r="E65" s="6">
        <f>IFERROR(__xludf.DUMMYFUNCTION("""COMPUTED_VALUE"""),1148.15)</f>
        <v>1148.15</v>
      </c>
      <c r="F65" s="6">
        <f>IFERROR(__xludf.DUMMYFUNCTION("""COMPUTED_VALUE"""),3.2367644E7)</f>
        <v>32367644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IFERROR(__xludf.DUMMYFUNCTION("""COMPUTED_VALUE"""),1146.5)</f>
        <v>1146.5</v>
      </c>
      <c r="C66" s="6">
        <f>IFERROR(__xludf.DUMMYFUNCTION("""COMPUTED_VALUE"""),1155.0)</f>
        <v>1155</v>
      </c>
      <c r="D66" s="6">
        <f>IFERROR(__xludf.DUMMYFUNCTION("""COMPUTED_VALUE"""),1065.0)</f>
        <v>1065</v>
      </c>
      <c r="E66" s="6">
        <f>IFERROR(__xludf.DUMMYFUNCTION("""COMPUTED_VALUE"""),1071.85)</f>
        <v>1071.85</v>
      </c>
      <c r="F66" s="6">
        <f>IFERROR(__xludf.DUMMYFUNCTION("""COMPUTED_VALUE"""),4.2790812E7)</f>
        <v>42790812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IFERROR(__xludf.DUMMYFUNCTION("""COMPUTED_VALUE"""),1075.1)</f>
        <v>1075.1</v>
      </c>
      <c r="C67" s="6">
        <f>IFERROR(__xludf.DUMMYFUNCTION("""COMPUTED_VALUE"""),1092.6)</f>
        <v>1092.6</v>
      </c>
      <c r="D67" s="6">
        <f>IFERROR(__xludf.DUMMYFUNCTION("""COMPUTED_VALUE"""),1072.4)</f>
        <v>1072.4</v>
      </c>
      <c r="E67" s="6">
        <f>IFERROR(__xludf.DUMMYFUNCTION("""COMPUTED_VALUE"""),1077.45)</f>
        <v>1077.45</v>
      </c>
      <c r="F67" s="6">
        <f>IFERROR(__xludf.DUMMYFUNCTION("""COMPUTED_VALUE"""),1.6807742E7)</f>
        <v>16807742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IFERROR(__xludf.DUMMYFUNCTION("""COMPUTED_VALUE"""),1074.1)</f>
        <v>1074.1</v>
      </c>
      <c r="C68" s="6">
        <f>IFERROR(__xludf.DUMMYFUNCTION("""COMPUTED_VALUE"""),1096.5)</f>
        <v>1096.5</v>
      </c>
      <c r="D68" s="6">
        <f>IFERROR(__xludf.DUMMYFUNCTION("""COMPUTED_VALUE"""),1053.95)</f>
        <v>1053.95</v>
      </c>
      <c r="E68" s="6">
        <f>IFERROR(__xludf.DUMMYFUNCTION("""COMPUTED_VALUE"""),1084.9)</f>
        <v>1084.9</v>
      </c>
      <c r="F68" s="6">
        <f>IFERROR(__xludf.DUMMYFUNCTION("""COMPUTED_VALUE"""),3.1643942E7)</f>
        <v>31643942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IFERROR(__xludf.DUMMYFUNCTION("""COMPUTED_VALUE"""),1087.75)</f>
        <v>1087.75</v>
      </c>
      <c r="C69" s="6">
        <f>IFERROR(__xludf.DUMMYFUNCTION("""COMPUTED_VALUE"""),1090.0)</f>
        <v>1090</v>
      </c>
      <c r="D69" s="6">
        <f>IFERROR(__xludf.DUMMYFUNCTION("""COMPUTED_VALUE"""),1037.0)</f>
        <v>1037</v>
      </c>
      <c r="E69" s="6">
        <f>IFERROR(__xludf.DUMMYFUNCTION("""COMPUTED_VALUE"""),1040.7)</f>
        <v>1040.7</v>
      </c>
      <c r="F69" s="6">
        <f>IFERROR(__xludf.DUMMYFUNCTION("""COMPUTED_VALUE"""),3.3350049E7)</f>
        <v>33350049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IFERROR(__xludf.DUMMYFUNCTION("""COMPUTED_VALUE"""),1026.6)</f>
        <v>1026.6</v>
      </c>
      <c r="C70" s="6">
        <f>IFERROR(__xludf.DUMMYFUNCTION("""COMPUTED_VALUE"""),1063.0)</f>
        <v>1063</v>
      </c>
      <c r="D70" s="6">
        <f>IFERROR(__xludf.DUMMYFUNCTION("""COMPUTED_VALUE"""),974.6)</f>
        <v>974.6</v>
      </c>
      <c r="E70" s="6">
        <f>IFERROR(__xludf.DUMMYFUNCTION("""COMPUTED_VALUE"""),991.05)</f>
        <v>991.05</v>
      </c>
      <c r="F70" s="6">
        <f>IFERROR(__xludf.DUMMYFUNCTION("""COMPUTED_VALUE"""),6.9585892E7)</f>
        <v>69585892</v>
      </c>
    </row>
    <row r="71">
      <c r="A71" s="7">
        <f>IFERROR(__xludf.DUMMYFUNCTION("""COMPUTED_VALUE"""),45681.64583333333)</f>
        <v>45681.64583</v>
      </c>
      <c r="B71" s="6">
        <f>IFERROR(__xludf.DUMMYFUNCTION("""COMPUTED_VALUE"""),992.05)</f>
        <v>992.05</v>
      </c>
      <c r="C71" s="6">
        <f>IFERROR(__xludf.DUMMYFUNCTION("""COMPUTED_VALUE"""),994.45)</f>
        <v>994.45</v>
      </c>
      <c r="D71" s="6">
        <f>IFERROR(__xludf.DUMMYFUNCTION("""COMPUTED_VALUE"""),946.1)</f>
        <v>946.1</v>
      </c>
      <c r="E71" s="6">
        <f>IFERROR(__xludf.DUMMYFUNCTION("""COMPUTED_VALUE"""),948.5)</f>
        <v>948.5</v>
      </c>
      <c r="F71" s="6">
        <f>IFERROR(__xludf.DUMMYFUNCTION("""COMPUTED_VALUE"""),1.01709596E8)</f>
        <v>101709596</v>
      </c>
    </row>
    <row r="72">
      <c r="A72" s="7">
        <f>IFERROR(__xludf.DUMMYFUNCTION("""COMPUTED_VALUE"""),45695.64583333333)</f>
        <v>45695.64583</v>
      </c>
      <c r="B72" s="6">
        <f>IFERROR(__xludf.DUMMYFUNCTION("""COMPUTED_VALUE"""),987.1)</f>
        <v>987.1</v>
      </c>
      <c r="C72" s="6">
        <f>IFERROR(__xludf.DUMMYFUNCTION("""COMPUTED_VALUE"""),1027.35)</f>
        <v>1027.35</v>
      </c>
      <c r="D72" s="6">
        <f>IFERROR(__xludf.DUMMYFUNCTION("""COMPUTED_VALUE"""),983.35)</f>
        <v>983.35</v>
      </c>
      <c r="E72" s="6">
        <f>IFERROR(__xludf.DUMMYFUNCTION("""COMPUTED_VALUE"""),1024.1)</f>
        <v>1024.1</v>
      </c>
      <c r="F72" s="6">
        <f>IFERROR(__xludf.DUMMYFUNCTION("""COMPUTED_VALUE"""),4.5495363E7)</f>
        <v>45495363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IFERROR(__xludf.DUMMYFUNCTION("""COMPUTED_VALUE"""),1021.0)</f>
        <v>1021</v>
      </c>
      <c r="C73" s="6">
        <f>IFERROR(__xludf.DUMMYFUNCTION("""COMPUTED_VALUE"""),1026.75)</f>
        <v>1026.75</v>
      </c>
      <c r="D73" s="6">
        <f>IFERROR(__xludf.DUMMYFUNCTION("""COMPUTED_VALUE"""),984.0)</f>
        <v>984</v>
      </c>
      <c r="E73" s="6">
        <f>IFERROR(__xludf.DUMMYFUNCTION("""COMPUTED_VALUE"""),997.5)</f>
        <v>997.5</v>
      </c>
      <c r="F73" s="6">
        <f>IFERROR(__xludf.DUMMYFUNCTION("""COMPUTED_VALUE"""),2.8162064E7)</f>
        <v>28162064</v>
      </c>
    </row>
    <row r="74">
      <c r="A74" s="7">
        <f>IFERROR(__xludf.DUMMYFUNCTION("""COMPUTED_VALUE"""),45709.64583333333)</f>
        <v>45709.64583</v>
      </c>
      <c r="B74" s="6">
        <f>IFERROR(__xludf.DUMMYFUNCTION("""COMPUTED_VALUE"""),992.45)</f>
        <v>992.45</v>
      </c>
      <c r="C74" s="6">
        <f>IFERROR(__xludf.DUMMYFUNCTION("""COMPUTED_VALUE"""),1021.9)</f>
        <v>1021.9</v>
      </c>
      <c r="D74" s="6">
        <f>IFERROR(__xludf.DUMMYFUNCTION("""COMPUTED_VALUE"""),978.05)</f>
        <v>978.05</v>
      </c>
      <c r="E74" s="6">
        <f>IFERROR(__xludf.DUMMYFUNCTION("""COMPUTED_VALUE"""),1008.95)</f>
        <v>1008.95</v>
      </c>
      <c r="F74" s="6">
        <f>IFERROR(__xludf.DUMMYFUNCTION("""COMPUTED_VALUE"""),2.6689337E7)</f>
        <v>26689337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IFERROR(__xludf.DUMMYFUNCTION("""COMPUTED_VALUE"""),1001.35)</f>
        <v>1001.35</v>
      </c>
      <c r="C75" s="6">
        <f>IFERROR(__xludf.DUMMYFUNCTION("""COMPUTED_VALUE"""),1035.5)</f>
        <v>1035.5</v>
      </c>
      <c r="D75" s="6">
        <f>IFERROR(__xludf.DUMMYFUNCTION("""COMPUTED_VALUE"""),997.1)</f>
        <v>997.1</v>
      </c>
      <c r="E75" s="6">
        <f>IFERROR(__xludf.DUMMYFUNCTION("""COMPUTED_VALUE"""),1015.55)</f>
        <v>1015.55</v>
      </c>
      <c r="F75" s="6">
        <f>IFERROR(__xludf.DUMMYFUNCTION("""COMPUTED_VALUE"""),3.4778968E7)</f>
        <v>34778968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IFERROR(__xludf.DUMMYFUNCTION("""COMPUTED_VALUE"""),1017.05)</f>
        <v>1017.05</v>
      </c>
      <c r="C76" s="6">
        <f>IFERROR(__xludf.DUMMYFUNCTION("""COMPUTED_VALUE"""),1050.35)</f>
        <v>1050.35</v>
      </c>
      <c r="D76" s="6">
        <f>IFERROR(__xludf.DUMMYFUNCTION("""COMPUTED_VALUE"""),992.0)</f>
        <v>992</v>
      </c>
      <c r="E76" s="6">
        <f>IFERROR(__xludf.DUMMYFUNCTION("""COMPUTED_VALUE"""),1037.65)</f>
        <v>1037.65</v>
      </c>
      <c r="F76" s="6">
        <f>IFERROR(__xludf.DUMMYFUNCTION("""COMPUTED_VALUE"""),3.3141918E7)</f>
        <v>33141918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IFERROR(__xludf.DUMMYFUNCTION("""COMPUTED_VALUE"""),1036.0)</f>
        <v>1036</v>
      </c>
      <c r="C77" s="6">
        <f>IFERROR(__xludf.DUMMYFUNCTION("""COMPUTED_VALUE"""),1050.5)</f>
        <v>1050.5</v>
      </c>
      <c r="D77" s="6">
        <f>IFERROR(__xludf.DUMMYFUNCTION("""COMPUTED_VALUE"""),999.2)</f>
        <v>999.2</v>
      </c>
      <c r="E77" s="6">
        <f>IFERROR(__xludf.DUMMYFUNCTION("""COMPUTED_VALUE"""),1010.2)</f>
        <v>1010.2</v>
      </c>
      <c r="F77" s="6">
        <f>IFERROR(__xludf.DUMMYFUNCTION("""COMPUTED_VALUE"""),2.2275582E7)</f>
        <v>22275582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IFERROR(__xludf.DUMMYFUNCTION("""COMPUTED_VALUE"""),1011.1)</f>
        <v>1011.1</v>
      </c>
      <c r="C78" s="6">
        <f>IFERROR(__xludf.DUMMYFUNCTION("""COMPUTED_VALUE"""),1075.55)</f>
        <v>1075.55</v>
      </c>
      <c r="D78" s="6">
        <f>IFERROR(__xludf.DUMMYFUNCTION("""COMPUTED_VALUE"""),1011.1)</f>
        <v>1011.1</v>
      </c>
      <c r="E78" s="6">
        <f>IFERROR(__xludf.DUMMYFUNCTION("""COMPUTED_VALUE"""),1070.15)</f>
        <v>1070.15</v>
      </c>
      <c r="F78" s="6">
        <f>IFERROR(__xludf.DUMMYFUNCTION("""COMPUTED_VALUE"""),2.8718182E7)</f>
        <v>28718182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IFERROR(__xludf.DUMMYFUNCTION("""COMPUTED_VALUE"""),1082.0)</f>
        <v>1082</v>
      </c>
      <c r="C79" s="6">
        <f>IFERROR(__xludf.DUMMYFUNCTION("""COMPUTED_VALUE"""),1123.5)</f>
        <v>1123.5</v>
      </c>
      <c r="D79" s="6">
        <f>IFERROR(__xludf.DUMMYFUNCTION("""COMPUTED_VALUE"""),1073.7)</f>
        <v>1073.7</v>
      </c>
      <c r="E79" s="6">
        <f>IFERROR(__xludf.DUMMYFUNCTION("""COMPUTED_VALUE"""),1102.0)</f>
        <v>1102</v>
      </c>
      <c r="F79" s="6">
        <f>IFERROR(__xludf.DUMMYFUNCTION("""COMPUTED_VALUE"""),4.0562558E7)</f>
        <v>40562558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IFERROR(__xludf.DUMMYFUNCTION("""COMPUTED_VALUE"""),1093.2)</f>
        <v>1093.2</v>
      </c>
      <c r="C80" s="6">
        <f>IFERROR(__xludf.DUMMYFUNCTION("""COMPUTED_VALUE"""),1101.9)</f>
        <v>1101.9</v>
      </c>
      <c r="D80" s="6">
        <f>IFERROR(__xludf.DUMMYFUNCTION("""COMPUTED_VALUE"""),1070.0)</f>
        <v>1070</v>
      </c>
      <c r="E80" s="6">
        <f>IFERROR(__xludf.DUMMYFUNCTION("""COMPUTED_VALUE"""),1091.3)</f>
        <v>1091.3</v>
      </c>
      <c r="F80" s="6">
        <f>IFERROR(__xludf.DUMMYFUNCTION("""COMPUTED_VALUE"""),2.2109135E7)</f>
        <v>22109135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IFERROR(__xludf.DUMMYFUNCTION("""COMPUTED_VALUE"""),1035.0)</f>
        <v>1035</v>
      </c>
      <c r="C81" s="6">
        <f>IFERROR(__xludf.DUMMYFUNCTION("""COMPUTED_VALUE"""),1084.95)</f>
        <v>1084.95</v>
      </c>
      <c r="D81" s="6">
        <f>IFERROR(__xludf.DUMMYFUNCTION("""COMPUTED_VALUE"""),1032.35)</f>
        <v>1032.35</v>
      </c>
      <c r="E81" s="6">
        <f>IFERROR(__xludf.DUMMYFUNCTION("""COMPUTED_VALUE"""),1068.95)</f>
        <v>1068.95</v>
      </c>
      <c r="F81" s="6">
        <f>IFERROR(__xludf.DUMMYFUNCTION("""COMPUTED_VALUE"""),3.3278087E7)</f>
        <v>33278087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IFERROR(__xludf.DUMMYFUNCTION("""COMPUTED_VALUE"""),1090.0)</f>
        <v>1090</v>
      </c>
      <c r="C82" s="6">
        <f>IFERROR(__xludf.DUMMYFUNCTION("""COMPUTED_VALUE"""),1199.2)</f>
        <v>1199.2</v>
      </c>
      <c r="D82" s="6">
        <f>IFERROR(__xludf.DUMMYFUNCTION("""COMPUTED_VALUE"""),1083.0)</f>
        <v>1083</v>
      </c>
      <c r="E82" s="6">
        <f>IFERROR(__xludf.DUMMYFUNCTION("""COMPUTED_VALUE"""),1190.8)</f>
        <v>1190.8</v>
      </c>
      <c r="F82" s="6">
        <f>IFERROR(__xludf.DUMMYFUNCTION("""COMPUTED_VALUE"""),3.5603063E7)</f>
        <v>35603063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IFERROR(__xludf.DUMMYFUNCTION("""COMPUTED_VALUE"""),1202.0)</f>
        <v>1202</v>
      </c>
      <c r="C83" s="6">
        <f>IFERROR(__xludf.DUMMYFUNCTION("""COMPUTED_VALUE"""),1238.7)</f>
        <v>1238.7</v>
      </c>
      <c r="D83" s="6">
        <f>IFERROR(__xludf.DUMMYFUNCTION("""COMPUTED_VALUE"""),1146.0)</f>
        <v>1146</v>
      </c>
      <c r="E83" s="6">
        <f>IFERROR(__xludf.DUMMYFUNCTION("""COMPUTED_VALUE"""),1166.3)</f>
        <v>1166.3</v>
      </c>
      <c r="F83" s="6">
        <f>IFERROR(__xludf.DUMMYFUNCTION("""COMPUTED_VALUE"""),5.9384145E7)</f>
        <v>59384145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IFERROR(__xludf.DUMMYFUNCTION("""COMPUTED_VALUE"""),1166.3)</f>
        <v>1166.3</v>
      </c>
      <c r="C84" s="6">
        <f>IFERROR(__xludf.DUMMYFUNCTION("""COMPUTED_VALUE"""),1210.5)</f>
        <v>1210.5</v>
      </c>
      <c r="D84" s="6">
        <f>IFERROR(__xludf.DUMMYFUNCTION("""COMPUTED_VALUE"""),1164.3)</f>
        <v>1164.3</v>
      </c>
      <c r="E84" s="6">
        <f>IFERROR(__xludf.DUMMYFUNCTION("""COMPUTED_VALUE"""),1182.2)</f>
        <v>1182.2</v>
      </c>
      <c r="F84" s="6">
        <f>IFERROR(__xludf.DUMMYFUNCTION("""COMPUTED_VALUE"""),2.3135651E7)</f>
        <v>23135651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IFERROR(__xludf.DUMMYFUNCTION("""COMPUTED_VALUE"""),1190.0)</f>
        <v>1190</v>
      </c>
      <c r="C85" s="6">
        <f>IFERROR(__xludf.DUMMYFUNCTION("""COMPUTED_VALUE"""),1190.0)</f>
        <v>1190</v>
      </c>
      <c r="D85" s="6">
        <f>IFERROR(__xludf.DUMMYFUNCTION("""COMPUTED_VALUE"""),1148.5)</f>
        <v>1148.5</v>
      </c>
      <c r="E85" s="6">
        <f>IFERROR(__xludf.DUMMYFUNCTION("""COMPUTED_VALUE"""),1151.1)</f>
        <v>1151.1</v>
      </c>
      <c r="F85" s="6">
        <f>IFERROR(__xludf.DUMMYFUNCTION("""COMPUTED_VALUE"""),3.2140058E7)</f>
        <v>32140058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IFERROR(__xludf.DUMMYFUNCTION("""COMPUTED_VALUE"""),1185.0)</f>
        <v>1185</v>
      </c>
      <c r="C86" s="6">
        <f>IFERROR(__xludf.DUMMYFUNCTION("""COMPUTED_VALUE"""),1217.0)</f>
        <v>1217</v>
      </c>
      <c r="D86" s="6">
        <f>IFERROR(__xludf.DUMMYFUNCTION("""COMPUTED_VALUE"""),1175.2)</f>
        <v>1175.2</v>
      </c>
      <c r="E86" s="6">
        <f>IFERROR(__xludf.DUMMYFUNCTION("""COMPUTED_VALUE"""),1208.8)</f>
        <v>1208.8</v>
      </c>
      <c r="F86" s="6">
        <f>IFERROR(__xludf.DUMMYFUNCTION("""COMPUTED_VALUE"""),2.7993072E7)</f>
        <v>27993072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IFERROR(__xludf.DUMMYFUNCTION("""COMPUTED_VALUE"""),1208.0)</f>
        <v>1208</v>
      </c>
      <c r="C87" s="6">
        <f>IFERROR(__xludf.DUMMYFUNCTION("""COMPUTED_VALUE"""),1219.0)</f>
        <v>1219</v>
      </c>
      <c r="D87" s="6">
        <f>IFERROR(__xludf.DUMMYFUNCTION("""COMPUTED_VALUE"""),1177.5)</f>
        <v>1177.5</v>
      </c>
      <c r="E87" s="6">
        <f>IFERROR(__xludf.DUMMYFUNCTION("""COMPUTED_VALUE"""),1210.1)</f>
        <v>1210.1</v>
      </c>
      <c r="F87" s="6">
        <f>IFERROR(__xludf.DUMMYFUNCTION("""COMPUTED_VALUE"""),2.1459028E7)</f>
        <v>21459028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IFERROR(__xludf.DUMMYFUNCTION("""COMPUTED_VALUE"""),1216.2)</f>
        <v>1216.2</v>
      </c>
      <c r="C88" s="6">
        <f>IFERROR(__xludf.DUMMYFUNCTION("""COMPUTED_VALUE"""),1224.2)</f>
        <v>1224.2</v>
      </c>
      <c r="D88" s="6">
        <f>IFERROR(__xludf.DUMMYFUNCTION("""COMPUTED_VALUE"""),1189.0)</f>
        <v>1189</v>
      </c>
      <c r="E88" s="6">
        <f>IFERROR(__xludf.DUMMYFUNCTION("""COMPUTED_VALUE"""),1192.2)</f>
        <v>1192.2</v>
      </c>
      <c r="F88" s="6">
        <f>IFERROR(__xludf.DUMMYFUNCTION("""COMPUTED_VALUE"""),3.2168752E7)</f>
        <v>32168752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IFERROR(__xludf.DUMMYFUNCTION("""COMPUTED_VALUE"""),1189.8)</f>
        <v>1189.8</v>
      </c>
      <c r="C89" s="6">
        <f>IFERROR(__xludf.DUMMYFUNCTION("""COMPUTED_VALUE"""),1201.2)</f>
        <v>1201.2</v>
      </c>
      <c r="D89" s="6">
        <f>IFERROR(__xludf.DUMMYFUNCTION("""COMPUTED_VALUE"""),1151.2)</f>
        <v>1151.2</v>
      </c>
      <c r="E89" s="6">
        <f>IFERROR(__xludf.DUMMYFUNCTION("""COMPUTED_VALUE"""),1194.6)</f>
        <v>1194.6</v>
      </c>
      <c r="F89" s="6">
        <f>IFERROR(__xludf.DUMMYFUNCTION("""COMPUTED_VALUE"""),4.1420894E7)</f>
        <v>41420894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IFERROR(__xludf.DUMMYFUNCTION("""COMPUTED_VALUE"""),1212.5)</f>
        <v>1212.5</v>
      </c>
      <c r="C90" s="6">
        <f>IFERROR(__xludf.DUMMYFUNCTION("""COMPUTED_VALUE"""),1241.8)</f>
        <v>1241.8</v>
      </c>
      <c r="D90" s="6">
        <f>IFERROR(__xludf.DUMMYFUNCTION("""COMPUTED_VALUE"""),1195.6)</f>
        <v>1195.6</v>
      </c>
      <c r="E90" s="6">
        <f>IFERROR(__xludf.DUMMYFUNCTION("""COMPUTED_VALUE"""),1205.8)</f>
        <v>1205.8</v>
      </c>
      <c r="F90" s="6">
        <f>IFERROR(__xludf.DUMMYFUNCTION("""COMPUTED_VALUE"""),2.8390053E7)</f>
        <v>28390053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IFERROR(__xludf.DUMMYFUNCTION("""COMPUTED_VALUE"""),1206.1)</f>
        <v>1206.1</v>
      </c>
      <c r="C91" s="6">
        <f>IFERROR(__xludf.DUMMYFUNCTION("""COMPUTED_VALUE"""),1227.8)</f>
        <v>1227.8</v>
      </c>
      <c r="D91" s="6">
        <f>IFERROR(__xludf.DUMMYFUNCTION("""COMPUTED_VALUE"""),1196.0)</f>
        <v>1196</v>
      </c>
      <c r="E91" s="6">
        <f>IFERROR(__xludf.DUMMYFUNCTION("""COMPUTED_VALUE"""),1220.7)</f>
        <v>1220.7</v>
      </c>
      <c r="F91" s="6">
        <f>IFERROR(__xludf.DUMMYFUNCTION("""COMPUTED_VALUE"""),2.2222185E7)</f>
        <v>22222185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IFERROR(__xludf.DUMMYFUNCTION("""COMPUTED_VALUE"""),1212.6)</f>
        <v>1212.6</v>
      </c>
      <c r="C92" s="6">
        <f>IFERROR(__xludf.DUMMYFUNCTION("""COMPUTED_VALUE"""),1247.0)</f>
        <v>1247</v>
      </c>
      <c r="D92" s="6">
        <f>IFERROR(__xludf.DUMMYFUNCTION("""COMPUTED_VALUE"""),1205.6)</f>
        <v>1205.6</v>
      </c>
      <c r="E92" s="6">
        <f>IFERROR(__xludf.DUMMYFUNCTION("""COMPUTED_VALUE"""),1225.1)</f>
        <v>1225.1</v>
      </c>
      <c r="F92" s="6">
        <f>IFERROR(__xludf.DUMMYFUNCTION("""COMPUTED_VALUE"""),2.8034238E7)</f>
        <v>28034238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IFERROR(__xludf.DUMMYFUNCTION("""COMPUTED_VALUE"""),1228.9)</f>
        <v>1228.9</v>
      </c>
      <c r="C93" s="6">
        <f>IFERROR(__xludf.DUMMYFUNCTION("""COMPUTED_VALUE"""),1236.0)</f>
        <v>1236</v>
      </c>
      <c r="D93" s="6">
        <f>IFERROR(__xludf.DUMMYFUNCTION("""COMPUTED_VALUE"""),1162.0)</f>
        <v>1162</v>
      </c>
      <c r="E93" s="6">
        <f>IFERROR(__xludf.DUMMYFUNCTION("""COMPUTED_VALUE"""),1177.6)</f>
        <v>1177.6</v>
      </c>
      <c r="F93" s="6">
        <f>IFERROR(__xludf.DUMMYFUNCTION("""COMPUTED_VALUE"""),3.0896541E7)</f>
        <v>30896541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IFERROR(__xludf.DUMMYFUNCTION("""COMPUTED_VALUE"""),1177.6)</f>
        <v>1177.6</v>
      </c>
      <c r="C94" s="6">
        <f>IFERROR(__xludf.DUMMYFUNCTION("""COMPUTED_VALUE"""),1180.0)</f>
        <v>1180</v>
      </c>
      <c r="D94" s="6">
        <f>IFERROR(__xludf.DUMMYFUNCTION("""COMPUTED_VALUE"""),1158.6)</f>
        <v>1158.6</v>
      </c>
      <c r="E94" s="6">
        <f>IFERROR(__xludf.DUMMYFUNCTION("""COMPUTED_VALUE"""),1173.8)</f>
        <v>1173.8</v>
      </c>
      <c r="F94" s="6">
        <f>IFERROR(__xludf.DUMMYFUNCTION("""COMPUTED_VALUE"""),3.3240225E7)</f>
        <v>33240225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IFERROR(__xludf.DUMMYFUNCTION("""COMPUTED_VALUE"""),1179.0)</f>
        <v>1179</v>
      </c>
      <c r="C95" s="6">
        <f>IFERROR(__xludf.DUMMYFUNCTION("""COMPUTED_VALUE"""),1179.9)</f>
        <v>1179.9</v>
      </c>
      <c r="D95" s="6">
        <f>IFERROR(__xludf.DUMMYFUNCTION("""COMPUTED_VALUE"""),1086.0)</f>
        <v>1086</v>
      </c>
      <c r="E95" s="6">
        <f>IFERROR(__xludf.DUMMYFUNCTION("""COMPUTED_VALUE"""),1099.3)</f>
        <v>1099.3</v>
      </c>
      <c r="F95" s="6">
        <f>IFERROR(__xludf.DUMMYFUNCTION("""COMPUTED_VALUE"""),5.768566E7)</f>
        <v>57685660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IFERROR(__xludf.DUMMYFUNCTION("""COMPUTED_VALUE"""),1086.0)</f>
        <v>1086</v>
      </c>
      <c r="C96" s="6">
        <f>IFERROR(__xludf.DUMMYFUNCTION("""COMPUTED_VALUE"""),1110.6)</f>
        <v>1110.6</v>
      </c>
      <c r="D96" s="6">
        <f>IFERROR(__xludf.DUMMYFUNCTION("""COMPUTED_VALUE"""),1071.9)</f>
        <v>1071.9</v>
      </c>
      <c r="E96" s="6">
        <f>IFERROR(__xludf.DUMMYFUNCTION("""COMPUTED_VALUE"""),1086.1)</f>
        <v>1086.1</v>
      </c>
      <c r="F96" s="6">
        <f>IFERROR(__xludf.DUMMYFUNCTION("""COMPUTED_VALUE"""),5.4220532E7)</f>
        <v>54220532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IFERROR(__xludf.DUMMYFUNCTION("""COMPUTED_VALUE"""),1080.9)</f>
        <v>1080.9</v>
      </c>
      <c r="C97" s="6">
        <f>IFERROR(__xludf.DUMMYFUNCTION("""COMPUTED_VALUE"""),1092.2)</f>
        <v>1092.2</v>
      </c>
      <c r="D97" s="6">
        <f>IFERROR(__xludf.DUMMYFUNCTION("""COMPUTED_VALUE"""),1055.4)</f>
        <v>1055.4</v>
      </c>
      <c r="E97" s="6">
        <f>IFERROR(__xludf.DUMMYFUNCTION("""COMPUTED_VALUE"""),1062.4)</f>
        <v>1062.4</v>
      </c>
      <c r="F97" s="6">
        <f>IFERROR(__xludf.DUMMYFUNCTION("""COMPUTED_VALUE"""),4.6056623E7)</f>
        <v>46056623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IFERROR(__xludf.DUMMYFUNCTION("""COMPUTED_VALUE"""),1064.4)</f>
        <v>1064.4</v>
      </c>
      <c r="C98" s="6">
        <f>IFERROR(__xludf.DUMMYFUNCTION("""COMPUTED_VALUE"""),1080.4)</f>
        <v>1080.4</v>
      </c>
      <c r="D98" s="6">
        <f>IFERROR(__xludf.DUMMYFUNCTION("""COMPUTED_VALUE"""),1054.2)</f>
        <v>1054.2</v>
      </c>
      <c r="E98" s="6">
        <f>IFERROR(__xludf.DUMMYFUNCTION("""COMPUTED_VALUE"""),1058.1)</f>
        <v>1058.1</v>
      </c>
      <c r="F98" s="6">
        <f>IFERROR(__xludf.DUMMYFUNCTION("""COMPUTED_VALUE"""),2.4406611E7)</f>
        <v>24406611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IFERROR(__xludf.DUMMYFUNCTION("""COMPUTED_VALUE"""),1058.1)</f>
        <v>1058.1</v>
      </c>
      <c r="C99" s="6">
        <f>IFERROR(__xludf.DUMMYFUNCTION("""COMPUTED_VALUE"""),1076.6)</f>
        <v>1076.6</v>
      </c>
      <c r="D99" s="6">
        <f>IFERROR(__xludf.DUMMYFUNCTION("""COMPUTED_VALUE"""),1052.6)</f>
        <v>1052.6</v>
      </c>
      <c r="E99" s="6">
        <f>IFERROR(__xludf.DUMMYFUNCTION("""COMPUTED_VALUE"""),1068.2)</f>
        <v>1068.2</v>
      </c>
      <c r="F99" s="6">
        <f>IFERROR(__xludf.DUMMYFUNCTION("""COMPUTED_VALUE"""),2.1753883E7)</f>
        <v>21753883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IFERROR(__xludf.DUMMYFUNCTION("""COMPUTED_VALUE"""),1080.0)</f>
        <v>1080</v>
      </c>
      <c r="C100" s="6">
        <f>IFERROR(__xludf.DUMMYFUNCTION("""COMPUTED_VALUE"""),1095.0)</f>
        <v>1095</v>
      </c>
      <c r="D100" s="6">
        <f>IFERROR(__xludf.DUMMYFUNCTION("""COMPUTED_VALUE"""),1069.5)</f>
        <v>1069.5</v>
      </c>
      <c r="E100" s="6">
        <f>IFERROR(__xludf.DUMMYFUNCTION("""COMPUTED_VALUE"""),1070.9)</f>
        <v>1070.9</v>
      </c>
      <c r="F100" s="6">
        <f>IFERROR(__xludf.DUMMYFUNCTION("""COMPUTED_VALUE"""),2.6974226E7)</f>
        <v>26974226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IFERROR(__xludf.DUMMYFUNCTION("""COMPUTED_VALUE"""),1073.0)</f>
        <v>1073</v>
      </c>
      <c r="C101" s="6">
        <f>IFERROR(__xludf.DUMMYFUNCTION("""COMPUTED_VALUE"""),1074.5)</f>
        <v>1074.5</v>
      </c>
      <c r="D101" s="6">
        <f>IFERROR(__xludf.DUMMYFUNCTION("""COMPUTED_VALUE"""),1048.0)</f>
        <v>1048</v>
      </c>
      <c r="E101" s="6">
        <f>IFERROR(__xludf.DUMMYFUNCTION("""COMPUTED_VALUE"""),1050.1)</f>
        <v>1050.1</v>
      </c>
      <c r="F101" s="6">
        <f>IFERROR(__xludf.DUMMYFUNCTION("""COMPUTED_VALUE"""),6.1325505E7)</f>
        <v>61325505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IFERROR(__xludf.DUMMYFUNCTION("GOOGLEFINANCE(""NSE:BAJAJ-AUTO"",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IFERROR(__xludf.DUMMYFUNCTION("""COMPUTED_VALUE"""),4586.5)</f>
        <v>4586.5</v>
      </c>
      <c r="C2" s="6">
        <f>IFERROR(__xludf.DUMMYFUNCTION("""COMPUTED_VALUE"""),4720.8)</f>
        <v>4720.8</v>
      </c>
      <c r="D2" s="6">
        <f>IFERROR(__xludf.DUMMYFUNCTION("""COMPUTED_VALUE"""),4586.0)</f>
        <v>4586</v>
      </c>
      <c r="E2" s="6">
        <f>IFERROR(__xludf.DUMMYFUNCTION("""COMPUTED_VALUE"""),4668.45)</f>
        <v>4668.45</v>
      </c>
      <c r="F2" s="6">
        <f>IFERROR(__xludf.DUMMYFUNCTION("""COMPUTED_VALUE"""),1910647.0)</f>
        <v>1910647</v>
      </c>
    </row>
    <row r="3">
      <c r="A3" s="7">
        <f>IFERROR(__xludf.DUMMYFUNCTION("""COMPUTED_VALUE"""),45177.64583333333)</f>
        <v>45177.64583</v>
      </c>
      <c r="B3" s="6">
        <f>IFERROR(__xludf.DUMMYFUNCTION("""COMPUTED_VALUE"""),4683.0)</f>
        <v>4683</v>
      </c>
      <c r="C3" s="6">
        <f>IFERROR(__xludf.DUMMYFUNCTION("""COMPUTED_VALUE"""),4784.6)</f>
        <v>4784.6</v>
      </c>
      <c r="D3" s="6">
        <f>IFERROR(__xludf.DUMMYFUNCTION("""COMPUTED_VALUE"""),4622.4)</f>
        <v>4622.4</v>
      </c>
      <c r="E3" s="6">
        <f>IFERROR(__xludf.DUMMYFUNCTION("""COMPUTED_VALUE"""),4759.55)</f>
        <v>4759.55</v>
      </c>
      <c r="F3" s="6">
        <f>IFERROR(__xludf.DUMMYFUNCTION("""COMPUTED_VALUE"""),1436288.0)</f>
        <v>1436288</v>
      </c>
    </row>
    <row r="4">
      <c r="A4" s="7">
        <f>IFERROR(__xludf.DUMMYFUNCTION("""COMPUTED_VALUE"""),45184.64583333333)</f>
        <v>45184.64583</v>
      </c>
      <c r="B4" s="6">
        <f>IFERROR(__xludf.DUMMYFUNCTION("""COMPUTED_VALUE"""),4779.0)</f>
        <v>4779</v>
      </c>
      <c r="C4" s="6">
        <f>IFERROR(__xludf.DUMMYFUNCTION("""COMPUTED_VALUE"""),5149.0)</f>
        <v>5149</v>
      </c>
      <c r="D4" s="6">
        <f>IFERROR(__xludf.DUMMYFUNCTION("""COMPUTED_VALUE"""),4762.6)</f>
        <v>4762.6</v>
      </c>
      <c r="E4" s="6">
        <f>IFERROR(__xludf.DUMMYFUNCTION("""COMPUTED_VALUE"""),5130.5)</f>
        <v>5130.5</v>
      </c>
      <c r="F4" s="6">
        <f>IFERROR(__xludf.DUMMYFUNCTION("""COMPUTED_VALUE"""),2603547.0)</f>
        <v>2603547</v>
      </c>
    </row>
    <row r="5">
      <c r="A5" s="7">
        <f>IFERROR(__xludf.DUMMYFUNCTION("""COMPUTED_VALUE"""),45191.64583333333)</f>
        <v>45191.64583</v>
      </c>
      <c r="B5" s="6">
        <f>IFERROR(__xludf.DUMMYFUNCTION("""COMPUTED_VALUE"""),5124.0)</f>
        <v>5124</v>
      </c>
      <c r="C5" s="6">
        <f>IFERROR(__xludf.DUMMYFUNCTION("""COMPUTED_VALUE"""),5274.9)</f>
        <v>5274.9</v>
      </c>
      <c r="D5" s="6">
        <f>IFERROR(__xludf.DUMMYFUNCTION("""COMPUTED_VALUE"""),4996.2)</f>
        <v>4996.2</v>
      </c>
      <c r="E5" s="6">
        <f>IFERROR(__xludf.DUMMYFUNCTION("""COMPUTED_VALUE"""),5001.05)</f>
        <v>5001.05</v>
      </c>
      <c r="F5" s="6">
        <f>IFERROR(__xludf.DUMMYFUNCTION("""COMPUTED_VALUE"""),2567101.0)</f>
        <v>2567101</v>
      </c>
    </row>
    <row r="6">
      <c r="A6" s="7">
        <f>IFERROR(__xludf.DUMMYFUNCTION("""COMPUTED_VALUE"""),45198.64583333333)</f>
        <v>45198.64583</v>
      </c>
      <c r="B6" s="6">
        <f>IFERROR(__xludf.DUMMYFUNCTION("""COMPUTED_VALUE"""),5000.0)</f>
        <v>5000</v>
      </c>
      <c r="C6" s="6">
        <f>IFERROR(__xludf.DUMMYFUNCTION("""COMPUTED_VALUE"""),5128.85)</f>
        <v>5128.85</v>
      </c>
      <c r="D6" s="6">
        <f>IFERROR(__xludf.DUMMYFUNCTION("""COMPUTED_VALUE"""),4980.15)</f>
        <v>4980.15</v>
      </c>
      <c r="E6" s="6">
        <f>IFERROR(__xludf.DUMMYFUNCTION("""COMPUTED_VALUE"""),5063.7)</f>
        <v>5063.7</v>
      </c>
      <c r="F6" s="6">
        <f>IFERROR(__xludf.DUMMYFUNCTION("""COMPUTED_VALUE"""),2076204.0)</f>
        <v>2076204</v>
      </c>
    </row>
    <row r="7">
      <c r="A7" s="7">
        <f>IFERROR(__xludf.DUMMYFUNCTION("""COMPUTED_VALUE"""),45205.64583333333)</f>
        <v>45205.64583</v>
      </c>
      <c r="B7" s="6">
        <f>IFERROR(__xludf.DUMMYFUNCTION("""COMPUTED_VALUE"""),5065.0)</f>
        <v>5065</v>
      </c>
      <c r="C7" s="6">
        <f>IFERROR(__xludf.DUMMYFUNCTION("""COMPUTED_VALUE"""),5120.0)</f>
        <v>5120</v>
      </c>
      <c r="D7" s="6">
        <f>IFERROR(__xludf.DUMMYFUNCTION("""COMPUTED_VALUE"""),4903.05)</f>
        <v>4903.05</v>
      </c>
      <c r="E7" s="6">
        <f>IFERROR(__xludf.DUMMYFUNCTION("""COMPUTED_VALUE"""),5014.6)</f>
        <v>5014.6</v>
      </c>
      <c r="F7" s="6">
        <f>IFERROR(__xludf.DUMMYFUNCTION("""COMPUTED_VALUE"""),1658303.0)</f>
        <v>1658303</v>
      </c>
    </row>
    <row r="8">
      <c r="A8" s="7">
        <f>IFERROR(__xludf.DUMMYFUNCTION("""COMPUTED_VALUE"""),45212.64583333333)</f>
        <v>45212.64583</v>
      </c>
      <c r="B8" s="6">
        <f>IFERROR(__xludf.DUMMYFUNCTION("""COMPUTED_VALUE"""),4957.05)</f>
        <v>4957.05</v>
      </c>
      <c r="C8" s="6">
        <f>IFERROR(__xludf.DUMMYFUNCTION("""COMPUTED_VALUE"""),5151.0)</f>
        <v>5151</v>
      </c>
      <c r="D8" s="6">
        <f>IFERROR(__xludf.DUMMYFUNCTION("""COMPUTED_VALUE"""),4957.05)</f>
        <v>4957.05</v>
      </c>
      <c r="E8" s="6">
        <f>IFERROR(__xludf.DUMMYFUNCTION("""COMPUTED_VALUE"""),5052.4)</f>
        <v>5052.4</v>
      </c>
      <c r="F8" s="6">
        <f>IFERROR(__xludf.DUMMYFUNCTION("""COMPUTED_VALUE"""),1986799.0)</f>
        <v>1986799</v>
      </c>
    </row>
    <row r="9">
      <c r="A9" s="7">
        <f>IFERROR(__xludf.DUMMYFUNCTION("""COMPUTED_VALUE"""),45219.64583333333)</f>
        <v>45219.64583</v>
      </c>
      <c r="B9" s="6">
        <f>IFERROR(__xludf.DUMMYFUNCTION("""COMPUTED_VALUE"""),5035.0)</f>
        <v>5035</v>
      </c>
      <c r="C9" s="6">
        <f>IFERROR(__xludf.DUMMYFUNCTION("""COMPUTED_VALUE"""),5510.0)</f>
        <v>5510</v>
      </c>
      <c r="D9" s="6">
        <f>IFERROR(__xludf.DUMMYFUNCTION("""COMPUTED_VALUE"""),5032.0)</f>
        <v>5032</v>
      </c>
      <c r="E9" s="6">
        <f>IFERROR(__xludf.DUMMYFUNCTION("""COMPUTED_VALUE"""),5489.3)</f>
        <v>5489.3</v>
      </c>
      <c r="F9" s="6">
        <f>IFERROR(__xludf.DUMMYFUNCTION("""COMPUTED_VALUE"""),4440381.0)</f>
        <v>4440381</v>
      </c>
    </row>
    <row r="10">
      <c r="A10" s="7">
        <f>IFERROR(__xludf.DUMMYFUNCTION("""COMPUTED_VALUE"""),45226.64583333333)</f>
        <v>45226.64583</v>
      </c>
      <c r="B10" s="6">
        <f>IFERROR(__xludf.DUMMYFUNCTION("""COMPUTED_VALUE"""),5453.05)</f>
        <v>5453.05</v>
      </c>
      <c r="C10" s="6">
        <f>IFERROR(__xludf.DUMMYFUNCTION("""COMPUTED_VALUE"""),5493.4)</f>
        <v>5493.4</v>
      </c>
      <c r="D10" s="6">
        <f>IFERROR(__xludf.DUMMYFUNCTION("""COMPUTED_VALUE"""),5236.0)</f>
        <v>5236</v>
      </c>
      <c r="E10" s="6">
        <f>IFERROR(__xludf.DUMMYFUNCTION("""COMPUTED_VALUE"""),5373.55)</f>
        <v>5373.55</v>
      </c>
      <c r="F10" s="6">
        <f>IFERROR(__xludf.DUMMYFUNCTION("""COMPUTED_VALUE"""),2661164.0)</f>
        <v>2661164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IFERROR(__xludf.DUMMYFUNCTION("""COMPUTED_VALUE"""),5388.0)</f>
        <v>5388</v>
      </c>
      <c r="C11" s="6">
        <f>IFERROR(__xludf.DUMMYFUNCTION("""COMPUTED_VALUE"""),5449.5)</f>
        <v>5449.5</v>
      </c>
      <c r="D11" s="6">
        <f>IFERROR(__xludf.DUMMYFUNCTION("""COMPUTED_VALUE"""),5275.0)</f>
        <v>5275</v>
      </c>
      <c r="E11" s="6">
        <f>IFERROR(__xludf.DUMMYFUNCTION("""COMPUTED_VALUE"""),5368.95)</f>
        <v>5368.95</v>
      </c>
      <c r="F11" s="6">
        <f>IFERROR(__xludf.DUMMYFUNCTION("""COMPUTED_VALUE"""),2134796.0)</f>
        <v>2134796</v>
      </c>
    </row>
    <row r="12">
      <c r="A12" s="7">
        <f>IFERROR(__xludf.DUMMYFUNCTION("""COMPUTED_VALUE"""),45240.64583333333)</f>
        <v>45240.64583</v>
      </c>
      <c r="B12" s="6">
        <f>IFERROR(__xludf.DUMMYFUNCTION("""COMPUTED_VALUE"""),5380.0)</f>
        <v>5380</v>
      </c>
      <c r="C12" s="6">
        <f>IFERROR(__xludf.DUMMYFUNCTION("""COMPUTED_VALUE"""),5455.0)</f>
        <v>5455</v>
      </c>
      <c r="D12" s="6">
        <f>IFERROR(__xludf.DUMMYFUNCTION("""COMPUTED_VALUE"""),5349.05)</f>
        <v>5349.05</v>
      </c>
      <c r="E12" s="6">
        <f>IFERROR(__xludf.DUMMYFUNCTION("""COMPUTED_VALUE"""),5392.05)</f>
        <v>5392.05</v>
      </c>
      <c r="F12" s="6">
        <f>IFERROR(__xludf.DUMMYFUNCTION("""COMPUTED_VALUE"""),1181069.0)</f>
        <v>1181069</v>
      </c>
    </row>
    <row r="13">
      <c r="A13" s="7">
        <f>IFERROR(__xludf.DUMMYFUNCTION("""COMPUTED_VALUE"""),45247.64583333333)</f>
        <v>45247.64583</v>
      </c>
      <c r="B13" s="6">
        <f>IFERROR(__xludf.DUMMYFUNCTION("""COMPUTED_VALUE"""),5425.0)</f>
        <v>5425</v>
      </c>
      <c r="C13" s="6">
        <f>IFERROR(__xludf.DUMMYFUNCTION("""COMPUTED_VALUE"""),5674.95)</f>
        <v>5674.95</v>
      </c>
      <c r="D13" s="6">
        <f>IFERROR(__xludf.DUMMYFUNCTION("""COMPUTED_VALUE"""),5358.6)</f>
        <v>5358.6</v>
      </c>
      <c r="E13" s="6">
        <f>IFERROR(__xludf.DUMMYFUNCTION("""COMPUTED_VALUE"""),5631.5)</f>
        <v>5631.5</v>
      </c>
      <c r="F13" s="6">
        <f>IFERROR(__xludf.DUMMYFUNCTION("""COMPUTED_VALUE"""),1619271.0)</f>
        <v>1619271</v>
      </c>
    </row>
    <row r="14">
      <c r="A14" s="7">
        <f>IFERROR(__xludf.DUMMYFUNCTION("""COMPUTED_VALUE"""),45254.64583333333)</f>
        <v>45254.64583</v>
      </c>
      <c r="B14" s="6">
        <f>IFERROR(__xludf.DUMMYFUNCTION("""COMPUTED_VALUE"""),5610.05)</f>
        <v>5610.05</v>
      </c>
      <c r="C14" s="6">
        <f>IFERROR(__xludf.DUMMYFUNCTION("""COMPUTED_VALUE"""),5960.0)</f>
        <v>5960</v>
      </c>
      <c r="D14" s="6">
        <f>IFERROR(__xludf.DUMMYFUNCTION("""COMPUTED_VALUE"""),5606.0)</f>
        <v>5606</v>
      </c>
      <c r="E14" s="6">
        <f>IFERROR(__xludf.DUMMYFUNCTION("""COMPUTED_VALUE"""),5930.3)</f>
        <v>5930.3</v>
      </c>
      <c r="F14" s="6">
        <f>IFERROR(__xludf.DUMMYFUNCTION("""COMPUTED_VALUE"""),3338950.0)</f>
        <v>3338950</v>
      </c>
    </row>
    <row r="15">
      <c r="A15" s="7">
        <f>IFERROR(__xludf.DUMMYFUNCTION("""COMPUTED_VALUE"""),45261.64583333333)</f>
        <v>45261.64583</v>
      </c>
      <c r="B15" s="6">
        <f>IFERROR(__xludf.DUMMYFUNCTION("""COMPUTED_VALUE"""),5969.8)</f>
        <v>5969.8</v>
      </c>
      <c r="C15" s="6">
        <f>IFERROR(__xludf.DUMMYFUNCTION("""COMPUTED_VALUE"""),6128.9)</f>
        <v>6128.9</v>
      </c>
      <c r="D15" s="6">
        <f>IFERROR(__xludf.DUMMYFUNCTION("""COMPUTED_VALUE"""),5912.0)</f>
        <v>5912</v>
      </c>
      <c r="E15" s="6">
        <f>IFERROR(__xludf.DUMMYFUNCTION("""COMPUTED_VALUE"""),6046.05)</f>
        <v>6046.05</v>
      </c>
      <c r="F15" s="6">
        <f>IFERROR(__xludf.DUMMYFUNCTION("""COMPUTED_VALUE"""),1728365.0)</f>
        <v>1728365</v>
      </c>
    </row>
    <row r="16">
      <c r="A16" s="7">
        <f>IFERROR(__xludf.DUMMYFUNCTION("""COMPUTED_VALUE"""),45268.64583333333)</f>
        <v>45268.64583</v>
      </c>
      <c r="B16" s="6">
        <f>IFERROR(__xludf.DUMMYFUNCTION("""COMPUTED_VALUE"""),6090.55)</f>
        <v>6090.55</v>
      </c>
      <c r="C16" s="6">
        <f>IFERROR(__xludf.DUMMYFUNCTION("""COMPUTED_VALUE"""),6217.7)</f>
        <v>6217.7</v>
      </c>
      <c r="D16" s="6">
        <f>IFERROR(__xludf.DUMMYFUNCTION("""COMPUTED_VALUE"""),5987.85)</f>
        <v>5987.85</v>
      </c>
      <c r="E16" s="6">
        <f>IFERROR(__xludf.DUMMYFUNCTION("""COMPUTED_VALUE"""),6075.7)</f>
        <v>6075.7</v>
      </c>
      <c r="F16" s="6">
        <f>IFERROR(__xludf.DUMMYFUNCTION("""COMPUTED_VALUE"""),2284858.0)</f>
        <v>2284858</v>
      </c>
    </row>
    <row r="17">
      <c r="A17" s="7">
        <f>IFERROR(__xludf.DUMMYFUNCTION("""COMPUTED_VALUE"""),45275.64583333333)</f>
        <v>45275.64583</v>
      </c>
      <c r="B17" s="6">
        <f>IFERROR(__xludf.DUMMYFUNCTION("""COMPUTED_VALUE"""),6085.0)</f>
        <v>6085</v>
      </c>
      <c r="C17" s="6">
        <f>IFERROR(__xludf.DUMMYFUNCTION("""COMPUTED_VALUE"""),6402.1)</f>
        <v>6402.1</v>
      </c>
      <c r="D17" s="6">
        <f>IFERROR(__xludf.DUMMYFUNCTION("""COMPUTED_VALUE"""),6018.3)</f>
        <v>6018.3</v>
      </c>
      <c r="E17" s="6">
        <f>IFERROR(__xludf.DUMMYFUNCTION("""COMPUTED_VALUE"""),6275.2)</f>
        <v>6275.2</v>
      </c>
      <c r="F17" s="6">
        <f>IFERROR(__xludf.DUMMYFUNCTION("""COMPUTED_VALUE"""),2333578.0)</f>
        <v>2333578</v>
      </c>
    </row>
    <row r="18">
      <c r="A18" s="7">
        <f>IFERROR(__xludf.DUMMYFUNCTION("""COMPUTED_VALUE"""),45282.64583333333)</f>
        <v>45282.64583</v>
      </c>
      <c r="B18" s="6">
        <f>IFERROR(__xludf.DUMMYFUNCTION("""COMPUTED_VALUE"""),6275.2)</f>
        <v>6275.2</v>
      </c>
      <c r="C18" s="6">
        <f>IFERROR(__xludf.DUMMYFUNCTION("""COMPUTED_VALUE"""),6486.75)</f>
        <v>6486.75</v>
      </c>
      <c r="D18" s="6">
        <f>IFERROR(__xludf.DUMMYFUNCTION("""COMPUTED_VALUE"""),6232.0)</f>
        <v>6232</v>
      </c>
      <c r="E18" s="6">
        <f>IFERROR(__xludf.DUMMYFUNCTION("""COMPUTED_VALUE"""),6372.1)</f>
        <v>6372.1</v>
      </c>
      <c r="F18" s="6">
        <f>IFERROR(__xludf.DUMMYFUNCTION("""COMPUTED_VALUE"""),2248963.0)</f>
        <v>2248963</v>
      </c>
    </row>
    <row r="19">
      <c r="A19" s="7">
        <f>IFERROR(__xludf.DUMMYFUNCTION("""COMPUTED_VALUE"""),45289.64583333333)</f>
        <v>45289.64583</v>
      </c>
      <c r="B19" s="6">
        <f>IFERROR(__xludf.DUMMYFUNCTION("""COMPUTED_VALUE"""),6379.85)</f>
        <v>6379.85</v>
      </c>
      <c r="C19" s="6">
        <f>IFERROR(__xludf.DUMMYFUNCTION("""COMPUTED_VALUE"""),6833.95)</f>
        <v>6833.95</v>
      </c>
      <c r="D19" s="6">
        <f>IFERROR(__xludf.DUMMYFUNCTION("""COMPUTED_VALUE"""),6370.05)</f>
        <v>6370.05</v>
      </c>
      <c r="E19" s="6">
        <f>IFERROR(__xludf.DUMMYFUNCTION("""COMPUTED_VALUE"""),6797.25)</f>
        <v>6797.25</v>
      </c>
      <c r="F19" s="6">
        <f>IFERROR(__xludf.DUMMYFUNCTION("""COMPUTED_VALUE"""),2071887.0)</f>
        <v>2071887</v>
      </c>
    </row>
    <row r="20">
      <c r="A20" s="7">
        <f>IFERROR(__xludf.DUMMYFUNCTION("""COMPUTED_VALUE"""),45296.64583333333)</f>
        <v>45296.64583</v>
      </c>
      <c r="B20" s="6">
        <f>IFERROR(__xludf.DUMMYFUNCTION("""COMPUTED_VALUE"""),6770.0)</f>
        <v>6770</v>
      </c>
      <c r="C20" s="6">
        <f>IFERROR(__xludf.DUMMYFUNCTION("""COMPUTED_VALUE"""),7084.0)</f>
        <v>7084</v>
      </c>
      <c r="D20" s="6">
        <f>IFERROR(__xludf.DUMMYFUNCTION("""COMPUTED_VALUE"""),6560.95)</f>
        <v>6560.95</v>
      </c>
      <c r="E20" s="6">
        <f>IFERROR(__xludf.DUMMYFUNCTION("""COMPUTED_VALUE"""),6978.5)</f>
        <v>6978.5</v>
      </c>
      <c r="F20" s="6">
        <f>IFERROR(__xludf.DUMMYFUNCTION("""COMPUTED_VALUE"""),3150221.0)</f>
        <v>3150221</v>
      </c>
    </row>
    <row r="21">
      <c r="A21" s="7">
        <f>IFERROR(__xludf.DUMMYFUNCTION("""COMPUTED_VALUE"""),45303.64583333333)</f>
        <v>45303.64583</v>
      </c>
      <c r="B21" s="6">
        <f>IFERROR(__xludf.DUMMYFUNCTION("""COMPUTED_VALUE"""),7018.95)</f>
        <v>7018.95</v>
      </c>
      <c r="C21" s="6">
        <f>IFERROR(__xludf.DUMMYFUNCTION("""COMPUTED_VALUE"""),7399.0)</f>
        <v>7399</v>
      </c>
      <c r="D21" s="6">
        <f>IFERROR(__xludf.DUMMYFUNCTION("""COMPUTED_VALUE"""),6961.5)</f>
        <v>6961.5</v>
      </c>
      <c r="E21" s="6">
        <f>IFERROR(__xludf.DUMMYFUNCTION("""COMPUTED_VALUE"""),7301.95)</f>
        <v>7301.95</v>
      </c>
      <c r="F21" s="6">
        <f>IFERROR(__xludf.DUMMYFUNCTION("""COMPUTED_VALUE"""),4626420.0)</f>
        <v>4626420</v>
      </c>
    </row>
    <row r="22">
      <c r="A22" s="7">
        <f>IFERROR(__xludf.DUMMYFUNCTION("""COMPUTED_VALUE"""),45316.64583333333)</f>
        <v>45316.64583</v>
      </c>
      <c r="B22" s="6">
        <f>IFERROR(__xludf.DUMMYFUNCTION("""COMPUTED_VALUE"""),7075.0)</f>
        <v>7075</v>
      </c>
      <c r="C22" s="6">
        <f>IFERROR(__xludf.DUMMYFUNCTION("""COMPUTED_VALUE"""),7625.15)</f>
        <v>7625.15</v>
      </c>
      <c r="D22" s="6">
        <f>IFERROR(__xludf.DUMMYFUNCTION("""COMPUTED_VALUE"""),6936.55)</f>
        <v>6936.55</v>
      </c>
      <c r="E22" s="6">
        <f>IFERROR(__xludf.DUMMYFUNCTION("""COMPUTED_VALUE"""),7597.5)</f>
        <v>7597.5</v>
      </c>
      <c r="F22" s="6">
        <f>IFERROR(__xludf.DUMMYFUNCTION("""COMPUTED_VALUE"""),3486843.0)</f>
        <v>3486843</v>
      </c>
    </row>
    <row r="23">
      <c r="A23" s="7">
        <f>IFERROR(__xludf.DUMMYFUNCTION("""COMPUTED_VALUE"""),45324.64583333333)</f>
        <v>45324.64583</v>
      </c>
      <c r="B23" s="6">
        <f>IFERROR(__xludf.DUMMYFUNCTION("""COMPUTED_VALUE"""),7594.0)</f>
        <v>7594</v>
      </c>
      <c r="C23" s="6">
        <f>IFERROR(__xludf.DUMMYFUNCTION("""COMPUTED_VALUE"""),7797.5)</f>
        <v>7797.5</v>
      </c>
      <c r="D23" s="6">
        <f>IFERROR(__xludf.DUMMYFUNCTION("""COMPUTED_VALUE"""),7480.0)</f>
        <v>7480</v>
      </c>
      <c r="E23" s="6">
        <f>IFERROR(__xludf.DUMMYFUNCTION("""COMPUTED_VALUE"""),7738.2)</f>
        <v>7738.2</v>
      </c>
      <c r="F23" s="6">
        <f>IFERROR(__xludf.DUMMYFUNCTION("""COMPUTED_VALUE"""),1653298.0)</f>
        <v>1653298</v>
      </c>
    </row>
    <row r="24">
      <c r="A24" s="7">
        <f>IFERROR(__xludf.DUMMYFUNCTION("""COMPUTED_VALUE"""),45331.64583333333)</f>
        <v>45331.64583</v>
      </c>
      <c r="B24" s="6">
        <f>IFERROR(__xludf.DUMMYFUNCTION("""COMPUTED_VALUE"""),7800.0)</f>
        <v>7800</v>
      </c>
      <c r="C24" s="6">
        <f>IFERROR(__xludf.DUMMYFUNCTION("""COMPUTED_VALUE"""),7838.0)</f>
        <v>7838</v>
      </c>
      <c r="D24" s="6">
        <f>IFERROR(__xludf.DUMMYFUNCTION("""COMPUTED_VALUE"""),7633.5)</f>
        <v>7633.5</v>
      </c>
      <c r="E24" s="6">
        <f>IFERROR(__xludf.DUMMYFUNCTION("""COMPUTED_VALUE"""),7784.85)</f>
        <v>7784.85</v>
      </c>
      <c r="F24" s="6">
        <f>IFERROR(__xludf.DUMMYFUNCTION("""COMPUTED_VALUE"""),1000268.0)</f>
        <v>1000268</v>
      </c>
    </row>
    <row r="25">
      <c r="A25" s="7">
        <f>IFERROR(__xludf.DUMMYFUNCTION("""COMPUTED_VALUE"""),45338.64583333333)</f>
        <v>45338.64583</v>
      </c>
      <c r="B25" s="6">
        <f>IFERROR(__xludf.DUMMYFUNCTION("""COMPUTED_VALUE"""),7775.0)</f>
        <v>7775</v>
      </c>
      <c r="C25" s="6">
        <f>IFERROR(__xludf.DUMMYFUNCTION("""COMPUTED_VALUE"""),8455.45)</f>
        <v>8455.45</v>
      </c>
      <c r="D25" s="6">
        <f>IFERROR(__xludf.DUMMYFUNCTION("""COMPUTED_VALUE"""),7766.05)</f>
        <v>7766.05</v>
      </c>
      <c r="E25" s="6">
        <f>IFERROR(__xludf.DUMMYFUNCTION("""COMPUTED_VALUE"""),8325.05)</f>
        <v>8325.05</v>
      </c>
      <c r="F25" s="6">
        <f>IFERROR(__xludf.DUMMYFUNCTION("""COMPUTED_VALUE"""),2325859.0)</f>
        <v>2325859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IFERROR(__xludf.DUMMYFUNCTION("""COMPUTED_VALUE"""),8400.0)</f>
        <v>8400</v>
      </c>
      <c r="C26" s="6">
        <f>IFERROR(__xludf.DUMMYFUNCTION("""COMPUTED_VALUE"""),8650.0)</f>
        <v>8650</v>
      </c>
      <c r="D26" s="6">
        <f>IFERROR(__xludf.DUMMYFUNCTION("""COMPUTED_VALUE"""),8205.0)</f>
        <v>8205</v>
      </c>
      <c r="E26" s="6">
        <f>IFERROR(__xludf.DUMMYFUNCTION("""COMPUTED_VALUE"""),8436.95)</f>
        <v>8436.95</v>
      </c>
      <c r="F26" s="6">
        <f>IFERROR(__xludf.DUMMYFUNCTION("""COMPUTED_VALUE"""),2921093.0)</f>
        <v>2921093</v>
      </c>
    </row>
    <row r="27">
      <c r="A27" s="7">
        <f>IFERROR(__xludf.DUMMYFUNCTION("""COMPUTED_VALUE"""),45358.64583333333)</f>
        <v>45358.64583</v>
      </c>
      <c r="B27" s="6">
        <f>IFERROR(__xludf.DUMMYFUNCTION("""COMPUTED_VALUE"""),8068.75)</f>
        <v>8068.75</v>
      </c>
      <c r="C27" s="6">
        <f>IFERROR(__xludf.DUMMYFUNCTION("""COMPUTED_VALUE"""),8972.85)</f>
        <v>8972.85</v>
      </c>
      <c r="D27" s="6">
        <f>IFERROR(__xludf.DUMMYFUNCTION("""COMPUTED_VALUE"""),8046.65)</f>
        <v>8046.65</v>
      </c>
      <c r="E27" s="6">
        <f>IFERROR(__xludf.DUMMYFUNCTION("""COMPUTED_VALUE"""),8879.05)</f>
        <v>8879.05</v>
      </c>
      <c r="F27" s="6">
        <f>IFERROR(__xludf.DUMMYFUNCTION("""COMPUTED_VALUE"""),3228260.0)</f>
        <v>3228260</v>
      </c>
    </row>
    <row r="28">
      <c r="A28" s="7">
        <f>IFERROR(__xludf.DUMMYFUNCTION("""COMPUTED_VALUE"""),45366.64583333333)</f>
        <v>45366.64583</v>
      </c>
      <c r="B28" s="6">
        <f>IFERROR(__xludf.DUMMYFUNCTION("""COMPUTED_VALUE"""),9023.45)</f>
        <v>9023.45</v>
      </c>
      <c r="C28" s="6">
        <f>IFERROR(__xludf.DUMMYFUNCTION("""COMPUTED_VALUE"""),9025.0)</f>
        <v>9025</v>
      </c>
      <c r="D28" s="6">
        <f>IFERROR(__xludf.DUMMYFUNCTION("""COMPUTED_VALUE"""),8110.0)</f>
        <v>8110</v>
      </c>
      <c r="E28" s="6">
        <f>IFERROR(__xludf.DUMMYFUNCTION("""COMPUTED_VALUE"""),8350.7)</f>
        <v>8350.7</v>
      </c>
      <c r="F28" s="6">
        <f>IFERROR(__xludf.DUMMYFUNCTION("""COMPUTED_VALUE"""),2456373.0)</f>
        <v>2456373</v>
      </c>
    </row>
    <row r="29">
      <c r="A29" s="7">
        <f>IFERROR(__xludf.DUMMYFUNCTION("""COMPUTED_VALUE"""),45373.64583333333)</f>
        <v>45373.64583</v>
      </c>
      <c r="B29" s="6">
        <f>IFERROR(__xludf.DUMMYFUNCTION("""COMPUTED_VALUE"""),8343.0)</f>
        <v>8343</v>
      </c>
      <c r="C29" s="6">
        <f>IFERROR(__xludf.DUMMYFUNCTION("""COMPUTED_VALUE"""),9050.0)</f>
        <v>9050</v>
      </c>
      <c r="D29" s="6">
        <f>IFERROR(__xludf.DUMMYFUNCTION("""COMPUTED_VALUE"""),8294.2)</f>
        <v>8294.2</v>
      </c>
      <c r="E29" s="6">
        <f>IFERROR(__xludf.DUMMYFUNCTION("""COMPUTED_VALUE"""),8945.25)</f>
        <v>8945.25</v>
      </c>
      <c r="F29" s="6">
        <f>IFERROR(__xludf.DUMMYFUNCTION("""COMPUTED_VALUE"""),3403766.0)</f>
        <v>3403766</v>
      </c>
    </row>
    <row r="30">
      <c r="A30" s="7">
        <f>IFERROR(__xludf.DUMMYFUNCTION("""COMPUTED_VALUE"""),45379.64583333333)</f>
        <v>45379.64583</v>
      </c>
      <c r="B30" s="6">
        <f>IFERROR(__xludf.DUMMYFUNCTION("""COMPUTED_VALUE"""),8945.25)</f>
        <v>8945.25</v>
      </c>
      <c r="C30" s="6">
        <f>IFERROR(__xludf.DUMMYFUNCTION("""COMPUTED_VALUE"""),9287.8)</f>
        <v>9287.8</v>
      </c>
      <c r="D30" s="6">
        <f>IFERROR(__xludf.DUMMYFUNCTION("""COMPUTED_VALUE"""),8851.05)</f>
        <v>8851.05</v>
      </c>
      <c r="E30" s="6">
        <f>IFERROR(__xludf.DUMMYFUNCTION("""COMPUTED_VALUE"""),9148.15)</f>
        <v>9148.15</v>
      </c>
      <c r="F30" s="6">
        <f>IFERROR(__xludf.DUMMYFUNCTION("""COMPUTED_VALUE"""),2415299.0)</f>
        <v>2415299</v>
      </c>
    </row>
    <row r="31">
      <c r="A31" s="7">
        <f>IFERROR(__xludf.DUMMYFUNCTION("""COMPUTED_VALUE"""),45387.64583333333)</f>
        <v>45387.64583</v>
      </c>
      <c r="B31" s="6">
        <f>IFERROR(__xludf.DUMMYFUNCTION("""COMPUTED_VALUE"""),9194.8)</f>
        <v>9194.8</v>
      </c>
      <c r="C31" s="6">
        <f>IFERROR(__xludf.DUMMYFUNCTION("""COMPUTED_VALUE"""),9357.95)</f>
        <v>9357.95</v>
      </c>
      <c r="D31" s="6">
        <f>IFERROR(__xludf.DUMMYFUNCTION("""COMPUTED_VALUE"""),8988.05)</f>
        <v>8988.05</v>
      </c>
      <c r="E31" s="6">
        <f>IFERROR(__xludf.DUMMYFUNCTION("""COMPUTED_VALUE"""),9009.5)</f>
        <v>9009.5</v>
      </c>
      <c r="F31" s="6">
        <f>IFERROR(__xludf.DUMMYFUNCTION("""COMPUTED_VALUE"""),2651109.0)</f>
        <v>2651109</v>
      </c>
    </row>
    <row r="32">
      <c r="A32" s="7">
        <f>IFERROR(__xludf.DUMMYFUNCTION("""COMPUTED_VALUE"""),45394.64583333333)</f>
        <v>45394.64583</v>
      </c>
      <c r="B32" s="6">
        <f>IFERROR(__xludf.DUMMYFUNCTION("""COMPUTED_VALUE"""),9049.0)</f>
        <v>9049</v>
      </c>
      <c r="C32" s="6">
        <f>IFERROR(__xludf.DUMMYFUNCTION("""COMPUTED_VALUE"""),9132.7)</f>
        <v>9132.7</v>
      </c>
      <c r="D32" s="6">
        <f>IFERROR(__xludf.DUMMYFUNCTION("""COMPUTED_VALUE"""),8901.35)</f>
        <v>8901.35</v>
      </c>
      <c r="E32" s="6">
        <f>IFERROR(__xludf.DUMMYFUNCTION("""COMPUTED_VALUE"""),9064.85)</f>
        <v>9064.85</v>
      </c>
      <c r="F32" s="6">
        <f>IFERROR(__xludf.DUMMYFUNCTION("""COMPUTED_VALUE"""),1414439.0)</f>
        <v>1414439</v>
      </c>
    </row>
    <row r="33">
      <c r="A33" s="7">
        <f>IFERROR(__xludf.DUMMYFUNCTION("""COMPUTED_VALUE"""),45401.64583333333)</f>
        <v>45401.64583</v>
      </c>
      <c r="B33" s="6">
        <f>IFERROR(__xludf.DUMMYFUNCTION("""COMPUTED_VALUE"""),9059.1)</f>
        <v>9059.1</v>
      </c>
      <c r="C33" s="6">
        <f>IFERROR(__xludf.DUMMYFUNCTION("""COMPUTED_VALUE"""),9177.7)</f>
        <v>9177.7</v>
      </c>
      <c r="D33" s="6">
        <f>IFERROR(__xludf.DUMMYFUNCTION("""COMPUTED_VALUE"""),8700.05)</f>
        <v>8700.05</v>
      </c>
      <c r="E33" s="6">
        <f>IFERROR(__xludf.DUMMYFUNCTION("""COMPUTED_VALUE"""),8804.5)</f>
        <v>8804.5</v>
      </c>
      <c r="F33" s="6">
        <f>IFERROR(__xludf.DUMMYFUNCTION("""COMPUTED_VALUE"""),3078483.0)</f>
        <v>3078483</v>
      </c>
    </row>
    <row r="34">
      <c r="A34" s="7">
        <f>IFERROR(__xludf.DUMMYFUNCTION("""COMPUTED_VALUE"""),45408.64583333333)</f>
        <v>45408.64583</v>
      </c>
      <c r="B34" s="6">
        <f>IFERROR(__xludf.DUMMYFUNCTION("""COMPUTED_VALUE"""),8884.0)</f>
        <v>8884</v>
      </c>
      <c r="C34" s="6">
        <f>IFERROR(__xludf.DUMMYFUNCTION("""COMPUTED_VALUE"""),8994.95)</f>
        <v>8994.95</v>
      </c>
      <c r="D34" s="6">
        <f>IFERROR(__xludf.DUMMYFUNCTION("""COMPUTED_VALUE"""),8641.4)</f>
        <v>8641.4</v>
      </c>
      <c r="E34" s="6">
        <f>IFERROR(__xludf.DUMMYFUNCTION("""COMPUTED_VALUE"""),8974.3)</f>
        <v>8974.3</v>
      </c>
      <c r="F34" s="6">
        <f>IFERROR(__xludf.DUMMYFUNCTION("""COMPUTED_VALUE"""),1984915.0)</f>
        <v>1984915</v>
      </c>
    </row>
    <row r="35">
      <c r="A35" s="7">
        <f>IFERROR(__xludf.DUMMYFUNCTION("""COMPUTED_VALUE"""),45415.64583333333)</f>
        <v>45415.64583</v>
      </c>
      <c r="B35" s="6">
        <f>IFERROR(__xludf.DUMMYFUNCTION("""COMPUTED_VALUE"""),8974.3)</f>
        <v>8974.3</v>
      </c>
      <c r="C35" s="6">
        <f>IFERROR(__xludf.DUMMYFUNCTION("""COMPUTED_VALUE"""),9258.6)</f>
        <v>9258.6</v>
      </c>
      <c r="D35" s="6">
        <f>IFERROR(__xludf.DUMMYFUNCTION("""COMPUTED_VALUE"""),8729.0)</f>
        <v>8729</v>
      </c>
      <c r="E35" s="6">
        <f>IFERROR(__xludf.DUMMYFUNCTION("""COMPUTED_VALUE"""),9105.6)</f>
        <v>9105.6</v>
      </c>
      <c r="F35" s="6">
        <f>IFERROR(__xludf.DUMMYFUNCTION("""COMPUTED_VALUE"""),1694127.0)</f>
        <v>1694127</v>
      </c>
    </row>
    <row r="36">
      <c r="A36" s="7">
        <f>IFERROR(__xludf.DUMMYFUNCTION("""COMPUTED_VALUE"""),45422.64583333333)</f>
        <v>45422.64583</v>
      </c>
      <c r="B36" s="6">
        <f>IFERROR(__xludf.DUMMYFUNCTION("""COMPUTED_VALUE"""),9120.0)</f>
        <v>9120</v>
      </c>
      <c r="C36" s="6">
        <f>IFERROR(__xludf.DUMMYFUNCTION("""COMPUTED_VALUE"""),9185.75)</f>
        <v>9185.75</v>
      </c>
      <c r="D36" s="6">
        <f>IFERROR(__xludf.DUMMYFUNCTION("""COMPUTED_VALUE"""),8592.8)</f>
        <v>8592.8</v>
      </c>
      <c r="E36" s="6">
        <f>IFERROR(__xludf.DUMMYFUNCTION("""COMPUTED_VALUE"""),8981.8)</f>
        <v>8981.8</v>
      </c>
      <c r="F36" s="6">
        <f>IFERROR(__xludf.DUMMYFUNCTION("""COMPUTED_VALUE"""),2626783.0)</f>
        <v>2626783</v>
      </c>
    </row>
    <row r="37">
      <c r="A37" s="7">
        <f>IFERROR(__xludf.DUMMYFUNCTION("""COMPUTED_VALUE"""),45436.64583333333)</f>
        <v>45436.64583</v>
      </c>
      <c r="B37" s="6">
        <f>IFERROR(__xludf.DUMMYFUNCTION("""COMPUTED_VALUE"""),8775.0)</f>
        <v>8775</v>
      </c>
      <c r="C37" s="6">
        <f>IFERROR(__xludf.DUMMYFUNCTION("""COMPUTED_VALUE"""),9024.0)</f>
        <v>9024</v>
      </c>
      <c r="D37" s="6">
        <f>IFERROR(__xludf.DUMMYFUNCTION("""COMPUTED_VALUE"""),8736.0)</f>
        <v>8736</v>
      </c>
      <c r="E37" s="6">
        <f>IFERROR(__xludf.DUMMYFUNCTION("""COMPUTED_VALUE"""),8948.2)</f>
        <v>8948.2</v>
      </c>
      <c r="F37" s="6">
        <f>IFERROR(__xludf.DUMMYFUNCTION("""COMPUTED_VALUE"""),1908070.0)</f>
        <v>1908070</v>
      </c>
    </row>
    <row r="38">
      <c r="A38" s="7">
        <f>IFERROR(__xludf.DUMMYFUNCTION("""COMPUTED_VALUE"""),45443.64583333333)</f>
        <v>45443.64583</v>
      </c>
      <c r="B38" s="6">
        <f>IFERROR(__xludf.DUMMYFUNCTION("""COMPUTED_VALUE"""),9002.0)</f>
        <v>9002</v>
      </c>
      <c r="C38" s="6">
        <f>IFERROR(__xludf.DUMMYFUNCTION("""COMPUTED_VALUE"""),9139.45)</f>
        <v>9139.45</v>
      </c>
      <c r="D38" s="6">
        <f>IFERROR(__xludf.DUMMYFUNCTION("""COMPUTED_VALUE"""),8881.7)</f>
        <v>8881.7</v>
      </c>
      <c r="E38" s="6">
        <f>IFERROR(__xludf.DUMMYFUNCTION("""COMPUTED_VALUE"""),9084.75)</f>
        <v>9084.75</v>
      </c>
      <c r="F38" s="6">
        <f>IFERROR(__xludf.DUMMYFUNCTION("""COMPUTED_VALUE"""),1765889.0)</f>
        <v>1765889</v>
      </c>
    </row>
    <row r="39">
      <c r="A39" s="7">
        <f>IFERROR(__xludf.DUMMYFUNCTION("""COMPUTED_VALUE"""),45450.64583333333)</f>
        <v>45450.64583</v>
      </c>
      <c r="B39" s="6">
        <f>IFERROR(__xludf.DUMMYFUNCTION("""COMPUTED_VALUE"""),9180.0)</f>
        <v>9180</v>
      </c>
      <c r="C39" s="6">
        <f>IFERROR(__xludf.DUMMYFUNCTION("""COMPUTED_VALUE"""),9740.1)</f>
        <v>9740.1</v>
      </c>
      <c r="D39" s="6">
        <f>IFERROR(__xludf.DUMMYFUNCTION("""COMPUTED_VALUE"""),8808.0)</f>
        <v>8808</v>
      </c>
      <c r="E39" s="6">
        <f>IFERROR(__xludf.DUMMYFUNCTION("""COMPUTED_VALUE"""),9725.55)</f>
        <v>9725.55</v>
      </c>
      <c r="F39" s="6">
        <f>IFERROR(__xludf.DUMMYFUNCTION("""COMPUTED_VALUE"""),2483444.0)</f>
        <v>2483444</v>
      </c>
    </row>
    <row r="40">
      <c r="A40" s="7">
        <f>IFERROR(__xludf.DUMMYFUNCTION("""COMPUTED_VALUE"""),45457.64583333333)</f>
        <v>45457.64583</v>
      </c>
      <c r="B40" s="6">
        <f>IFERROR(__xludf.DUMMYFUNCTION("""COMPUTED_VALUE"""),9779.0)</f>
        <v>9779</v>
      </c>
      <c r="C40" s="6">
        <f>IFERROR(__xludf.DUMMYFUNCTION("""COMPUTED_VALUE"""),9995.0)</f>
        <v>9995</v>
      </c>
      <c r="D40" s="6">
        <f>IFERROR(__xludf.DUMMYFUNCTION("""COMPUTED_VALUE"""),9681.5)</f>
        <v>9681.5</v>
      </c>
      <c r="E40" s="6">
        <f>IFERROR(__xludf.DUMMYFUNCTION("""COMPUTED_VALUE"""),9961.75)</f>
        <v>9961.75</v>
      </c>
      <c r="F40" s="6">
        <f>IFERROR(__xludf.DUMMYFUNCTION("""COMPUTED_VALUE"""),1534785.0)</f>
        <v>1534785</v>
      </c>
    </row>
    <row r="41">
      <c r="A41" s="7">
        <f>IFERROR(__xludf.DUMMYFUNCTION("""COMPUTED_VALUE"""),45464.64583333333)</f>
        <v>45464.64583</v>
      </c>
      <c r="B41" s="6">
        <f>IFERROR(__xludf.DUMMYFUNCTION("""COMPUTED_VALUE"""),9922.0)</f>
        <v>9922</v>
      </c>
      <c r="C41" s="6">
        <f>IFERROR(__xludf.DUMMYFUNCTION("""COMPUTED_VALUE"""),10038.8)</f>
        <v>10038.8</v>
      </c>
      <c r="D41" s="6">
        <f>IFERROR(__xludf.DUMMYFUNCTION("""COMPUTED_VALUE"""),9565.0)</f>
        <v>9565</v>
      </c>
      <c r="E41" s="6">
        <f>IFERROR(__xludf.DUMMYFUNCTION("""COMPUTED_VALUE"""),9602.25)</f>
        <v>9602.25</v>
      </c>
      <c r="F41" s="6">
        <f>IFERROR(__xludf.DUMMYFUNCTION("""COMPUTED_VALUE"""),1144504.0)</f>
        <v>1144504</v>
      </c>
    </row>
    <row r="42">
      <c r="A42" s="7">
        <f>IFERROR(__xludf.DUMMYFUNCTION("""COMPUTED_VALUE"""),45471.64583333333)</f>
        <v>45471.64583</v>
      </c>
      <c r="B42" s="6">
        <f>IFERROR(__xludf.DUMMYFUNCTION("""COMPUTED_VALUE"""),9580.0)</f>
        <v>9580</v>
      </c>
      <c r="C42" s="6">
        <f>IFERROR(__xludf.DUMMYFUNCTION("""COMPUTED_VALUE"""),9825.0)</f>
        <v>9825</v>
      </c>
      <c r="D42" s="6">
        <f>IFERROR(__xludf.DUMMYFUNCTION("""COMPUTED_VALUE"""),9365.65)</f>
        <v>9365.65</v>
      </c>
      <c r="E42" s="6">
        <f>IFERROR(__xludf.DUMMYFUNCTION("""COMPUTED_VALUE"""),9501.65)</f>
        <v>9501.65</v>
      </c>
      <c r="F42" s="6">
        <f>IFERROR(__xludf.DUMMYFUNCTION("""COMPUTED_VALUE"""),1872161.0)</f>
        <v>1872161</v>
      </c>
    </row>
    <row r="43">
      <c r="A43" s="7">
        <f>IFERROR(__xludf.DUMMYFUNCTION("""COMPUTED_VALUE"""),45478.64583333333)</f>
        <v>45478.64583</v>
      </c>
      <c r="B43" s="6">
        <f>IFERROR(__xludf.DUMMYFUNCTION("""COMPUTED_VALUE"""),9505.0)</f>
        <v>9505</v>
      </c>
      <c r="C43" s="6">
        <f>IFERROR(__xludf.DUMMYFUNCTION("""COMPUTED_VALUE"""),9693.95)</f>
        <v>9693.95</v>
      </c>
      <c r="D43" s="6">
        <f>IFERROR(__xludf.DUMMYFUNCTION("""COMPUTED_VALUE"""),9381.1)</f>
        <v>9381.1</v>
      </c>
      <c r="E43" s="6">
        <f>IFERROR(__xludf.DUMMYFUNCTION("""COMPUTED_VALUE"""),9635.8)</f>
        <v>9635.8</v>
      </c>
      <c r="F43" s="6">
        <f>IFERROR(__xludf.DUMMYFUNCTION("""COMPUTED_VALUE"""),1738643.0)</f>
        <v>1738643</v>
      </c>
    </row>
    <row r="44">
      <c r="A44" s="7">
        <f>IFERROR(__xludf.DUMMYFUNCTION("""COMPUTED_VALUE"""),45485.64583333333)</f>
        <v>45485.64583</v>
      </c>
      <c r="B44" s="6">
        <f>IFERROR(__xludf.DUMMYFUNCTION("""COMPUTED_VALUE"""),9640.0)</f>
        <v>9640</v>
      </c>
      <c r="C44" s="6">
        <f>IFERROR(__xludf.DUMMYFUNCTION("""COMPUTED_VALUE"""),9666.15)</f>
        <v>9666.15</v>
      </c>
      <c r="D44" s="6">
        <f>IFERROR(__xludf.DUMMYFUNCTION("""COMPUTED_VALUE"""),9383.0)</f>
        <v>9383</v>
      </c>
      <c r="E44" s="6">
        <f>IFERROR(__xludf.DUMMYFUNCTION("""COMPUTED_VALUE"""),9430.75)</f>
        <v>9430.75</v>
      </c>
      <c r="F44" s="6">
        <f>IFERROR(__xludf.DUMMYFUNCTION("""COMPUTED_VALUE"""),1285216.0)</f>
        <v>1285216</v>
      </c>
    </row>
    <row r="45">
      <c r="A45" s="7">
        <f>IFERROR(__xludf.DUMMYFUNCTION("""COMPUTED_VALUE"""),45492.64583333333)</f>
        <v>45492.64583</v>
      </c>
      <c r="B45" s="6">
        <f>IFERROR(__xludf.DUMMYFUNCTION("""COMPUTED_VALUE"""),9430.75)</f>
        <v>9430.75</v>
      </c>
      <c r="C45" s="6">
        <f>IFERROR(__xludf.DUMMYFUNCTION("""COMPUTED_VALUE"""),9909.95)</f>
        <v>9909.95</v>
      </c>
      <c r="D45" s="6">
        <f>IFERROR(__xludf.DUMMYFUNCTION("""COMPUTED_VALUE"""),9291.5)</f>
        <v>9291.5</v>
      </c>
      <c r="E45" s="6">
        <f>IFERROR(__xludf.DUMMYFUNCTION("""COMPUTED_VALUE"""),9386.05)</f>
        <v>9386.05</v>
      </c>
      <c r="F45" s="6">
        <f>IFERROR(__xludf.DUMMYFUNCTION("""COMPUTED_VALUE"""),2981375.0)</f>
        <v>2981375</v>
      </c>
    </row>
    <row r="46">
      <c r="A46" s="7">
        <f>IFERROR(__xludf.DUMMYFUNCTION("""COMPUTED_VALUE"""),45499.64583333333)</f>
        <v>45499.64583</v>
      </c>
      <c r="B46" s="6">
        <f>IFERROR(__xludf.DUMMYFUNCTION("""COMPUTED_VALUE"""),9350.0)</f>
        <v>9350</v>
      </c>
      <c r="C46" s="6">
        <f>IFERROR(__xludf.DUMMYFUNCTION("""COMPUTED_VALUE"""),9508.0)</f>
        <v>9508</v>
      </c>
      <c r="D46" s="6">
        <f>IFERROR(__xludf.DUMMYFUNCTION("""COMPUTED_VALUE"""),8744.6)</f>
        <v>8744.6</v>
      </c>
      <c r="E46" s="6">
        <f>IFERROR(__xludf.DUMMYFUNCTION("""COMPUTED_VALUE"""),9492.9)</f>
        <v>9492.9</v>
      </c>
      <c r="F46" s="6">
        <f>IFERROR(__xludf.DUMMYFUNCTION("""COMPUTED_VALUE"""),1475526.0)</f>
        <v>1475526</v>
      </c>
    </row>
    <row r="47">
      <c r="A47" s="7">
        <f>IFERROR(__xludf.DUMMYFUNCTION("""COMPUTED_VALUE"""),45506.64583333333)</f>
        <v>45506.64583</v>
      </c>
      <c r="B47" s="6">
        <f>IFERROR(__xludf.DUMMYFUNCTION("""COMPUTED_VALUE"""),9549.2)</f>
        <v>9549.2</v>
      </c>
      <c r="C47" s="6">
        <f>IFERROR(__xludf.DUMMYFUNCTION("""COMPUTED_VALUE"""),9844.0)</f>
        <v>9844</v>
      </c>
      <c r="D47" s="6">
        <f>IFERROR(__xludf.DUMMYFUNCTION("""COMPUTED_VALUE"""),9509.0)</f>
        <v>9509</v>
      </c>
      <c r="E47" s="6">
        <f>IFERROR(__xludf.DUMMYFUNCTION("""COMPUTED_VALUE"""),9616.2)</f>
        <v>9616.2</v>
      </c>
      <c r="F47" s="6">
        <f>IFERROR(__xludf.DUMMYFUNCTION("""COMPUTED_VALUE"""),1458813.0)</f>
        <v>1458813</v>
      </c>
    </row>
    <row r="48">
      <c r="A48" s="7">
        <f>IFERROR(__xludf.DUMMYFUNCTION("""COMPUTED_VALUE"""),45513.64583333333)</f>
        <v>45513.64583</v>
      </c>
      <c r="B48" s="6">
        <f>IFERROR(__xludf.DUMMYFUNCTION("""COMPUTED_VALUE"""),9396.2)</f>
        <v>9396.2</v>
      </c>
      <c r="C48" s="6">
        <f>IFERROR(__xludf.DUMMYFUNCTION("""COMPUTED_VALUE"""),9777.7)</f>
        <v>9777.7</v>
      </c>
      <c r="D48" s="6">
        <f>IFERROR(__xludf.DUMMYFUNCTION("""COMPUTED_VALUE"""),9369.3)</f>
        <v>9369.3</v>
      </c>
      <c r="E48" s="6">
        <f>IFERROR(__xludf.DUMMYFUNCTION("""COMPUTED_VALUE"""),9765.95)</f>
        <v>9765.95</v>
      </c>
      <c r="F48" s="6">
        <f>IFERROR(__xludf.DUMMYFUNCTION("""COMPUTED_VALUE"""),1354537.0)</f>
        <v>1354537</v>
      </c>
    </row>
    <row r="49">
      <c r="A49" s="7">
        <f>IFERROR(__xludf.DUMMYFUNCTION("""COMPUTED_VALUE"""),45520.64583333333)</f>
        <v>45520.64583</v>
      </c>
      <c r="B49" s="6">
        <f>IFERROR(__xludf.DUMMYFUNCTION("""COMPUTED_VALUE"""),9741.0)</f>
        <v>9741</v>
      </c>
      <c r="C49" s="6">
        <f>IFERROR(__xludf.DUMMYFUNCTION("""COMPUTED_VALUE"""),9925.0)</f>
        <v>9925</v>
      </c>
      <c r="D49" s="6">
        <f>IFERROR(__xludf.DUMMYFUNCTION("""COMPUTED_VALUE"""),9615.0)</f>
        <v>9615</v>
      </c>
      <c r="E49" s="6">
        <f>IFERROR(__xludf.DUMMYFUNCTION("""COMPUTED_VALUE"""),9888.15)</f>
        <v>9888.15</v>
      </c>
      <c r="F49" s="6">
        <f>IFERROR(__xludf.DUMMYFUNCTION("""COMPUTED_VALUE"""),992528.0)</f>
        <v>992528</v>
      </c>
    </row>
    <row r="50">
      <c r="A50" s="7">
        <f>IFERROR(__xludf.DUMMYFUNCTION("""COMPUTED_VALUE"""),45527.64583333333)</f>
        <v>45527.64583</v>
      </c>
      <c r="B50" s="6">
        <f>IFERROR(__xludf.DUMMYFUNCTION("""COMPUTED_VALUE"""),9926.95)</f>
        <v>9926.95</v>
      </c>
      <c r="C50" s="6">
        <f>IFERROR(__xludf.DUMMYFUNCTION("""COMPUTED_VALUE"""),10444.35)</f>
        <v>10444.35</v>
      </c>
      <c r="D50" s="6">
        <f>IFERROR(__xludf.DUMMYFUNCTION("""COMPUTED_VALUE"""),9735.0)</f>
        <v>9735</v>
      </c>
      <c r="E50" s="6">
        <f>IFERROR(__xludf.DUMMYFUNCTION("""COMPUTED_VALUE"""),10406.45)</f>
        <v>10406.45</v>
      </c>
      <c r="F50" s="6">
        <f>IFERROR(__xludf.DUMMYFUNCTION("""COMPUTED_VALUE"""),2034553.0)</f>
        <v>2034553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IFERROR(__xludf.DUMMYFUNCTION("""COMPUTED_VALUE"""),10375.1)</f>
        <v>10375.1</v>
      </c>
      <c r="C51" s="6">
        <f>IFERROR(__xludf.DUMMYFUNCTION("""COMPUTED_VALUE"""),10921.35)</f>
        <v>10921.35</v>
      </c>
      <c r="D51" s="6">
        <f>IFERROR(__xludf.DUMMYFUNCTION("""COMPUTED_VALUE"""),10339.65)</f>
        <v>10339.65</v>
      </c>
      <c r="E51" s="6">
        <f>IFERROR(__xludf.DUMMYFUNCTION("""COMPUTED_VALUE"""),10891.55)</f>
        <v>10891.55</v>
      </c>
      <c r="F51" s="6">
        <f>IFERROR(__xludf.DUMMYFUNCTION("""COMPUTED_VALUE"""),2102477.0)</f>
        <v>2102477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IFERROR(__xludf.DUMMYFUNCTION("""COMPUTED_VALUE"""),10926.0)</f>
        <v>10926</v>
      </c>
      <c r="C52" s="6">
        <f>IFERROR(__xludf.DUMMYFUNCTION("""COMPUTED_VALUE"""),11154.1)</f>
        <v>11154.1</v>
      </c>
      <c r="D52" s="6">
        <f>IFERROR(__xludf.DUMMYFUNCTION("""COMPUTED_VALUE"""),10796.25)</f>
        <v>10796.25</v>
      </c>
      <c r="E52" s="6">
        <f>IFERROR(__xludf.DUMMYFUNCTION("""COMPUTED_VALUE"""),10830.1)</f>
        <v>10830.1</v>
      </c>
      <c r="F52" s="6">
        <f>IFERROR(__xludf.DUMMYFUNCTION("""COMPUTED_VALUE"""),1842893.0)</f>
        <v>1842893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IFERROR(__xludf.DUMMYFUNCTION("""COMPUTED_VALUE"""),10830.1)</f>
        <v>10830.1</v>
      </c>
      <c r="C53" s="6">
        <f>IFERROR(__xludf.DUMMYFUNCTION("""COMPUTED_VALUE"""),11893.95)</f>
        <v>11893.95</v>
      </c>
      <c r="D53" s="6">
        <f>IFERROR(__xludf.DUMMYFUNCTION("""COMPUTED_VALUE"""),10780.0)</f>
        <v>10780</v>
      </c>
      <c r="E53" s="6">
        <f>IFERROR(__xludf.DUMMYFUNCTION("""COMPUTED_VALUE"""),11737.15)</f>
        <v>11737.15</v>
      </c>
      <c r="F53" s="6">
        <f>IFERROR(__xludf.DUMMYFUNCTION("""COMPUTED_VALUE"""),3770361.0)</f>
        <v>3770361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IFERROR(__xludf.DUMMYFUNCTION("""COMPUTED_VALUE"""),11734.0)</f>
        <v>11734</v>
      </c>
      <c r="C54" s="6">
        <f>IFERROR(__xludf.DUMMYFUNCTION("""COMPUTED_VALUE"""),12054.0)</f>
        <v>12054</v>
      </c>
      <c r="D54" s="6">
        <f>IFERROR(__xludf.DUMMYFUNCTION("""COMPUTED_VALUE"""),11640.05)</f>
        <v>11640.05</v>
      </c>
      <c r="E54" s="6">
        <f>IFERROR(__xludf.DUMMYFUNCTION("""COMPUTED_VALUE"""),11941.7)</f>
        <v>11941.7</v>
      </c>
      <c r="F54" s="6">
        <f>IFERROR(__xludf.DUMMYFUNCTION("""COMPUTED_VALUE"""),2337237.0)</f>
        <v>2337237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IFERROR(__xludf.DUMMYFUNCTION("""COMPUTED_VALUE"""),12000.0)</f>
        <v>12000</v>
      </c>
      <c r="C55" s="6">
        <f>IFERROR(__xludf.DUMMYFUNCTION("""COMPUTED_VALUE"""),12774.0)</f>
        <v>12774</v>
      </c>
      <c r="D55" s="6">
        <f>IFERROR(__xludf.DUMMYFUNCTION("""COMPUTED_VALUE"""),12000.0)</f>
        <v>12000</v>
      </c>
      <c r="E55" s="6">
        <f>IFERROR(__xludf.DUMMYFUNCTION("""COMPUTED_VALUE"""),12666.4)</f>
        <v>12666.4</v>
      </c>
      <c r="F55" s="6">
        <f>IFERROR(__xludf.DUMMYFUNCTION("""COMPUTED_VALUE"""),2624096.0)</f>
        <v>2624096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IFERROR(__xludf.DUMMYFUNCTION("""COMPUTED_VALUE"""),12553.6)</f>
        <v>12553.6</v>
      </c>
      <c r="C56" s="6">
        <f>IFERROR(__xludf.DUMMYFUNCTION("""COMPUTED_VALUE"""),12651.15)</f>
        <v>12651.15</v>
      </c>
      <c r="D56" s="6">
        <f>IFERROR(__xludf.DUMMYFUNCTION("""COMPUTED_VALUE"""),11639.0)</f>
        <v>11639</v>
      </c>
      <c r="E56" s="6">
        <f>IFERROR(__xludf.DUMMYFUNCTION("""COMPUTED_VALUE"""),11774.4)</f>
        <v>11774.4</v>
      </c>
      <c r="F56" s="6">
        <f>IFERROR(__xludf.DUMMYFUNCTION("""COMPUTED_VALUE"""),2470746.0)</f>
        <v>2470746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IFERROR(__xludf.DUMMYFUNCTION("""COMPUTED_VALUE"""),11774.4)</f>
        <v>11774.4</v>
      </c>
      <c r="C57" s="6">
        <f>IFERROR(__xludf.DUMMYFUNCTION("""COMPUTED_VALUE"""),12030.95)</f>
        <v>12030.95</v>
      </c>
      <c r="D57" s="6">
        <f>IFERROR(__xludf.DUMMYFUNCTION("""COMPUTED_VALUE"""),11525.0)</f>
        <v>11525</v>
      </c>
      <c r="E57" s="6">
        <f>IFERROR(__xludf.DUMMYFUNCTION("""COMPUTED_VALUE"""),11876.95)</f>
        <v>11876.95</v>
      </c>
      <c r="F57" s="6">
        <f>IFERROR(__xludf.DUMMYFUNCTION("""COMPUTED_VALUE"""),1346871.0)</f>
        <v>1346871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IFERROR(__xludf.DUMMYFUNCTION("""COMPUTED_VALUE"""),11928.8)</f>
        <v>11928.8</v>
      </c>
      <c r="C58" s="6">
        <f>IFERROR(__xludf.DUMMYFUNCTION("""COMPUTED_VALUE"""),11990.1)</f>
        <v>11990.1</v>
      </c>
      <c r="D58" s="6">
        <f>IFERROR(__xludf.DUMMYFUNCTION("""COMPUTED_VALUE"""),9841.1)</f>
        <v>9841.1</v>
      </c>
      <c r="E58" s="6">
        <f>IFERROR(__xludf.DUMMYFUNCTION("""COMPUTED_VALUE"""),10063.95)</f>
        <v>10063.95</v>
      </c>
      <c r="F58" s="6">
        <f>IFERROR(__xludf.DUMMYFUNCTION("""COMPUTED_VALUE"""),6370837.0)</f>
        <v>6370837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IFERROR(__xludf.DUMMYFUNCTION("""COMPUTED_VALUE"""),10063.0)</f>
        <v>10063</v>
      </c>
      <c r="C59" s="6">
        <f>IFERROR(__xludf.DUMMYFUNCTION("""COMPUTED_VALUE"""),10829.85)</f>
        <v>10829.85</v>
      </c>
      <c r="D59" s="6">
        <f>IFERROR(__xludf.DUMMYFUNCTION("""COMPUTED_VALUE"""),9881.4)</f>
        <v>9881.4</v>
      </c>
      <c r="E59" s="6">
        <f>IFERROR(__xludf.DUMMYFUNCTION("""COMPUTED_VALUE"""),10206.1)</f>
        <v>10206.1</v>
      </c>
      <c r="F59" s="6">
        <f>IFERROR(__xludf.DUMMYFUNCTION("""COMPUTED_VALUE"""),5923503.0)</f>
        <v>5923503</v>
      </c>
    </row>
    <row r="60">
      <c r="A60" s="7">
        <f>IFERROR(__xludf.DUMMYFUNCTION("""COMPUTED_VALUE"""),45604.64583333333)</f>
        <v>45604.64583</v>
      </c>
      <c r="B60" s="6">
        <f>IFERROR(__xludf.DUMMYFUNCTION("""COMPUTED_VALUE"""),9896.5)</f>
        <v>9896.5</v>
      </c>
      <c r="C60" s="6">
        <f>IFERROR(__xludf.DUMMYFUNCTION("""COMPUTED_VALUE"""),10079.8)</f>
        <v>10079.8</v>
      </c>
      <c r="D60" s="6">
        <f>IFERROR(__xludf.DUMMYFUNCTION("""COMPUTED_VALUE"""),9365.0)</f>
        <v>9365</v>
      </c>
      <c r="E60" s="6">
        <f>IFERROR(__xludf.DUMMYFUNCTION("""COMPUTED_VALUE"""),9910.4)</f>
        <v>9910.4</v>
      </c>
      <c r="F60" s="6">
        <f>IFERROR(__xludf.DUMMYFUNCTION("""COMPUTED_VALUE"""),3406508.0)</f>
        <v>3406508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IFERROR(__xludf.DUMMYFUNCTION("""COMPUTED_VALUE"""),9850.05)</f>
        <v>9850.05</v>
      </c>
      <c r="C61" s="6">
        <f>IFERROR(__xludf.DUMMYFUNCTION("""COMPUTED_VALUE"""),10032.9)</f>
        <v>10032.9</v>
      </c>
      <c r="D61" s="6">
        <f>IFERROR(__xludf.DUMMYFUNCTION("""COMPUTED_VALUE"""),9400.0)</f>
        <v>9400</v>
      </c>
      <c r="E61" s="6">
        <f>IFERROR(__xludf.DUMMYFUNCTION("""COMPUTED_VALUE"""),9482.95)</f>
        <v>9482.95</v>
      </c>
      <c r="F61" s="6">
        <f>IFERROR(__xludf.DUMMYFUNCTION("""COMPUTED_VALUE"""),1446288.0)</f>
        <v>1446288</v>
      </c>
    </row>
    <row r="62">
      <c r="A62" s="7">
        <f>IFERROR(__xludf.DUMMYFUNCTION("""COMPUTED_VALUE"""),45618.64583333333)</f>
        <v>45618.64583</v>
      </c>
      <c r="B62" s="6">
        <f>IFERROR(__xludf.DUMMYFUNCTION("""COMPUTED_VALUE"""),9459.05)</f>
        <v>9459.05</v>
      </c>
      <c r="C62" s="6">
        <f>IFERROR(__xludf.DUMMYFUNCTION("""COMPUTED_VALUE"""),9698.6)</f>
        <v>9698.6</v>
      </c>
      <c r="D62" s="6">
        <f>IFERROR(__xludf.DUMMYFUNCTION("""COMPUTED_VALUE"""),9414.35)</f>
        <v>9414.35</v>
      </c>
      <c r="E62" s="6">
        <f>IFERROR(__xludf.DUMMYFUNCTION("""COMPUTED_VALUE"""),9481.65)</f>
        <v>9481.65</v>
      </c>
      <c r="F62" s="6">
        <f>IFERROR(__xludf.DUMMYFUNCTION("""COMPUTED_VALUE"""),1559951.0)</f>
        <v>1559951</v>
      </c>
    </row>
    <row r="63">
      <c r="A63" s="7">
        <f>IFERROR(__xludf.DUMMYFUNCTION("""COMPUTED_VALUE"""),45625.64583333333)</f>
        <v>45625.64583</v>
      </c>
      <c r="B63" s="6">
        <f>IFERROR(__xludf.DUMMYFUNCTION("""COMPUTED_VALUE"""),9560.0)</f>
        <v>9560</v>
      </c>
      <c r="C63" s="6">
        <f>IFERROR(__xludf.DUMMYFUNCTION("""COMPUTED_VALUE"""),9636.35)</f>
        <v>9636.35</v>
      </c>
      <c r="D63" s="6">
        <f>IFERROR(__xludf.DUMMYFUNCTION("""COMPUTED_VALUE"""),8992.25)</f>
        <v>8992.25</v>
      </c>
      <c r="E63" s="6">
        <f>IFERROR(__xludf.DUMMYFUNCTION("""COMPUTED_VALUE"""),9033.65)</f>
        <v>9033.65</v>
      </c>
      <c r="F63" s="6">
        <f>IFERROR(__xludf.DUMMYFUNCTION("""COMPUTED_VALUE"""),3413151.0)</f>
        <v>3413151</v>
      </c>
    </row>
    <row r="64">
      <c r="A64" s="7">
        <f>IFERROR(__xludf.DUMMYFUNCTION("""COMPUTED_VALUE"""),45632.64583333333)</f>
        <v>45632.64583</v>
      </c>
      <c r="B64" s="6">
        <f>IFERROR(__xludf.DUMMYFUNCTION("""COMPUTED_VALUE"""),9078.8)</f>
        <v>9078.8</v>
      </c>
      <c r="C64" s="6">
        <f>IFERROR(__xludf.DUMMYFUNCTION("""COMPUTED_VALUE"""),9240.0)</f>
        <v>9240</v>
      </c>
      <c r="D64" s="6">
        <f>IFERROR(__xludf.DUMMYFUNCTION("""COMPUTED_VALUE"""),8746.5)</f>
        <v>8746.5</v>
      </c>
      <c r="E64" s="6">
        <f>IFERROR(__xludf.DUMMYFUNCTION("""COMPUTED_VALUE"""),9099.9)</f>
        <v>9099.9</v>
      </c>
      <c r="F64" s="6">
        <f>IFERROR(__xludf.DUMMYFUNCTION("""COMPUTED_VALUE"""),3703433.0)</f>
        <v>3703433</v>
      </c>
    </row>
    <row r="65">
      <c r="A65" s="7">
        <f>IFERROR(__xludf.DUMMYFUNCTION("""COMPUTED_VALUE"""),45639.64583333333)</f>
        <v>45639.64583</v>
      </c>
      <c r="B65" s="6">
        <f>IFERROR(__xludf.DUMMYFUNCTION("""COMPUTED_VALUE"""),9096.0)</f>
        <v>9096</v>
      </c>
      <c r="C65" s="6">
        <f>IFERROR(__xludf.DUMMYFUNCTION("""COMPUTED_VALUE"""),9171.0)</f>
        <v>9171</v>
      </c>
      <c r="D65" s="6">
        <f>IFERROR(__xludf.DUMMYFUNCTION("""COMPUTED_VALUE"""),8903.75)</f>
        <v>8903.75</v>
      </c>
      <c r="E65" s="6">
        <f>IFERROR(__xludf.DUMMYFUNCTION("""COMPUTED_VALUE"""),9021.4)</f>
        <v>9021.4</v>
      </c>
      <c r="F65" s="6">
        <f>IFERROR(__xludf.DUMMYFUNCTION("""COMPUTED_VALUE"""),1795444.0)</f>
        <v>1795444</v>
      </c>
    </row>
    <row r="66">
      <c r="A66" s="7">
        <f>IFERROR(__xludf.DUMMYFUNCTION("""COMPUTED_VALUE"""),45646.64583333333)</f>
        <v>45646.64583</v>
      </c>
      <c r="B66" s="6">
        <f>IFERROR(__xludf.DUMMYFUNCTION("""COMPUTED_VALUE"""),9064.0)</f>
        <v>9064</v>
      </c>
      <c r="C66" s="6">
        <f>IFERROR(__xludf.DUMMYFUNCTION("""COMPUTED_VALUE"""),9078.75)</f>
        <v>9078.75</v>
      </c>
      <c r="D66" s="6">
        <f>IFERROR(__xludf.DUMMYFUNCTION("""COMPUTED_VALUE"""),8759.4)</f>
        <v>8759.4</v>
      </c>
      <c r="E66" s="6">
        <f>IFERROR(__xludf.DUMMYFUNCTION("""COMPUTED_VALUE"""),8787.25)</f>
        <v>8787.25</v>
      </c>
      <c r="F66" s="6">
        <f>IFERROR(__xludf.DUMMYFUNCTION("""COMPUTED_VALUE"""),1821320.0)</f>
        <v>1821320</v>
      </c>
    </row>
    <row r="67">
      <c r="A67" s="7">
        <f>IFERROR(__xludf.DUMMYFUNCTION("""COMPUTED_VALUE"""),45653.64583333333)</f>
        <v>45653.64583</v>
      </c>
      <c r="B67" s="6">
        <f>IFERROR(__xludf.DUMMYFUNCTION("""COMPUTED_VALUE"""),8849.95)</f>
        <v>8849.95</v>
      </c>
      <c r="C67" s="6">
        <f>IFERROR(__xludf.DUMMYFUNCTION("""COMPUTED_VALUE"""),9179.15)</f>
        <v>9179.15</v>
      </c>
      <c r="D67" s="6">
        <f>IFERROR(__xludf.DUMMYFUNCTION("""COMPUTED_VALUE"""),8719.9)</f>
        <v>8719.9</v>
      </c>
      <c r="E67" s="6">
        <f>IFERROR(__xludf.DUMMYFUNCTION("""COMPUTED_VALUE"""),8928.3)</f>
        <v>8928.3</v>
      </c>
      <c r="F67" s="6">
        <f>IFERROR(__xludf.DUMMYFUNCTION("""COMPUTED_VALUE"""),1766761.0)</f>
        <v>1766761</v>
      </c>
    </row>
    <row r="68">
      <c r="A68" s="7">
        <f>IFERROR(__xludf.DUMMYFUNCTION("""COMPUTED_VALUE"""),45660.64583333333)</f>
        <v>45660.64583</v>
      </c>
      <c r="B68" s="6">
        <f>IFERROR(__xludf.DUMMYFUNCTION("""COMPUTED_VALUE"""),8928.0)</f>
        <v>8928</v>
      </c>
      <c r="C68" s="6">
        <f>IFERROR(__xludf.DUMMYFUNCTION("""COMPUTED_VALUE"""),9109.95)</f>
        <v>9109.95</v>
      </c>
      <c r="D68" s="6">
        <f>IFERROR(__xludf.DUMMYFUNCTION("""COMPUTED_VALUE"""),8551.0)</f>
        <v>8551</v>
      </c>
      <c r="E68" s="6">
        <f>IFERROR(__xludf.DUMMYFUNCTION("""COMPUTED_VALUE"""),8965.7)</f>
        <v>8965.7</v>
      </c>
      <c r="F68" s="6">
        <f>IFERROR(__xludf.DUMMYFUNCTION("""COMPUTED_VALUE"""),2990734.0)</f>
        <v>2990734</v>
      </c>
    </row>
    <row r="69">
      <c r="A69" s="7">
        <f>IFERROR(__xludf.DUMMYFUNCTION("""COMPUTED_VALUE"""),45667.64583333333)</f>
        <v>45667.64583</v>
      </c>
      <c r="B69" s="6">
        <f>IFERROR(__xludf.DUMMYFUNCTION("""COMPUTED_VALUE"""),9004.95)</f>
        <v>9004.95</v>
      </c>
      <c r="C69" s="6">
        <f>IFERROR(__xludf.DUMMYFUNCTION("""COMPUTED_VALUE"""),9093.9)</f>
        <v>9093.9</v>
      </c>
      <c r="D69" s="6">
        <f>IFERROR(__xludf.DUMMYFUNCTION("""COMPUTED_VALUE"""),8612.0)</f>
        <v>8612</v>
      </c>
      <c r="E69" s="6">
        <f>IFERROR(__xludf.DUMMYFUNCTION("""COMPUTED_VALUE"""),8764.0)</f>
        <v>8764</v>
      </c>
      <c r="F69" s="6">
        <f>IFERROR(__xludf.DUMMYFUNCTION("""COMPUTED_VALUE"""),1887695.0)</f>
        <v>1887695</v>
      </c>
    </row>
    <row r="70">
      <c r="A70" s="7">
        <f>IFERROR(__xludf.DUMMYFUNCTION("""COMPUTED_VALUE"""),45674.64583333333)</f>
        <v>45674.64583</v>
      </c>
      <c r="B70" s="6">
        <f>IFERROR(__xludf.DUMMYFUNCTION("""COMPUTED_VALUE"""),8704.5)</f>
        <v>8704.5</v>
      </c>
      <c r="C70" s="6">
        <f>IFERROR(__xludf.DUMMYFUNCTION("""COMPUTED_VALUE"""),8799.0)</f>
        <v>8799</v>
      </c>
      <c r="D70" s="6">
        <f>IFERROR(__xludf.DUMMYFUNCTION("""COMPUTED_VALUE"""),8525.0)</f>
        <v>8525</v>
      </c>
      <c r="E70" s="6">
        <f>IFERROR(__xludf.DUMMYFUNCTION("""COMPUTED_VALUE"""),8581.4)</f>
        <v>8581.4</v>
      </c>
      <c r="F70" s="6">
        <f>IFERROR(__xludf.DUMMYFUNCTION("""COMPUTED_VALUE"""),1518355.0)</f>
        <v>1518355</v>
      </c>
    </row>
    <row r="71">
      <c r="A71" s="7">
        <f>IFERROR(__xludf.DUMMYFUNCTION("""COMPUTED_VALUE"""),45681.64583333333)</f>
        <v>45681.64583</v>
      </c>
      <c r="B71" s="6">
        <f>IFERROR(__xludf.DUMMYFUNCTION("""COMPUTED_VALUE"""),8600.0)</f>
        <v>8600</v>
      </c>
      <c r="C71" s="6">
        <f>IFERROR(__xludf.DUMMYFUNCTION("""COMPUTED_VALUE"""),8609.6)</f>
        <v>8609.6</v>
      </c>
      <c r="D71" s="6">
        <f>IFERROR(__xludf.DUMMYFUNCTION("""COMPUTED_VALUE"""),8360.0)</f>
        <v>8360</v>
      </c>
      <c r="E71" s="6">
        <f>IFERROR(__xludf.DUMMYFUNCTION("""COMPUTED_VALUE"""),8401.5)</f>
        <v>8401.5</v>
      </c>
      <c r="F71" s="6">
        <f>IFERROR(__xludf.DUMMYFUNCTION("""COMPUTED_VALUE"""),1561801.0)</f>
        <v>1561801</v>
      </c>
    </row>
    <row r="72">
      <c r="A72" s="7">
        <f>IFERROR(__xludf.DUMMYFUNCTION("""COMPUTED_VALUE"""),45695.64583333333)</f>
        <v>45695.64583</v>
      </c>
      <c r="B72" s="6">
        <f>IFERROR(__xludf.DUMMYFUNCTION("""COMPUTED_VALUE"""),9150.0)</f>
        <v>9150</v>
      </c>
      <c r="C72" s="6">
        <f>IFERROR(__xludf.DUMMYFUNCTION("""COMPUTED_VALUE"""),9150.0)</f>
        <v>9150</v>
      </c>
      <c r="D72" s="6">
        <f>IFERROR(__xludf.DUMMYFUNCTION("""COMPUTED_VALUE"""),8811.0)</f>
        <v>8811</v>
      </c>
      <c r="E72" s="6">
        <f>IFERROR(__xludf.DUMMYFUNCTION("""COMPUTED_VALUE"""),8989.4)</f>
        <v>8989.4</v>
      </c>
      <c r="F72" s="6">
        <f>IFERROR(__xludf.DUMMYFUNCTION("""COMPUTED_VALUE"""),2261723.0)</f>
        <v>2261723</v>
      </c>
    </row>
    <row r="73">
      <c r="A73" s="7">
        <f>IFERROR(__xludf.DUMMYFUNCTION("""COMPUTED_VALUE"""),45702.64583333333)</f>
        <v>45702.64583</v>
      </c>
      <c r="B73" s="6">
        <f>IFERROR(__xludf.DUMMYFUNCTION("""COMPUTED_VALUE"""),8989.4)</f>
        <v>8989.4</v>
      </c>
      <c r="C73" s="6">
        <f>IFERROR(__xludf.DUMMYFUNCTION("""COMPUTED_VALUE"""),9069.8)</f>
        <v>9069.8</v>
      </c>
      <c r="D73" s="6">
        <f>IFERROR(__xludf.DUMMYFUNCTION("""COMPUTED_VALUE"""),8419.9)</f>
        <v>8419.9</v>
      </c>
      <c r="E73" s="6">
        <f>IFERROR(__xludf.DUMMYFUNCTION("""COMPUTED_VALUE"""),8506.5)</f>
        <v>8506.5</v>
      </c>
      <c r="F73" s="6">
        <f>IFERROR(__xludf.DUMMYFUNCTION("""COMPUTED_VALUE"""),1462894.0)</f>
        <v>1462894</v>
      </c>
    </row>
    <row r="74">
      <c r="A74" s="7">
        <f>IFERROR(__xludf.DUMMYFUNCTION("""COMPUTED_VALUE"""),45709.64583333333)</f>
        <v>45709.64583</v>
      </c>
      <c r="B74" s="6">
        <f>IFERROR(__xludf.DUMMYFUNCTION("""COMPUTED_VALUE"""),8494.0)</f>
        <v>8494</v>
      </c>
      <c r="C74" s="6">
        <f>IFERROR(__xludf.DUMMYFUNCTION("""COMPUTED_VALUE"""),8640.0)</f>
        <v>8640</v>
      </c>
      <c r="D74" s="6">
        <f>IFERROR(__xludf.DUMMYFUNCTION("""COMPUTED_VALUE"""),8382.65)</f>
        <v>8382.65</v>
      </c>
      <c r="E74" s="6">
        <f>IFERROR(__xludf.DUMMYFUNCTION("""COMPUTED_VALUE"""),8506.05)</f>
        <v>8506.05</v>
      </c>
      <c r="F74" s="6">
        <f>IFERROR(__xludf.DUMMYFUNCTION("""COMPUTED_VALUE"""),1042491.0)</f>
        <v>1042491</v>
      </c>
    </row>
    <row r="75">
      <c r="A75" s="7">
        <f>IFERROR(__xludf.DUMMYFUNCTION("""COMPUTED_VALUE"""),45716.64583333333)</f>
        <v>45716.64583</v>
      </c>
      <c r="B75" s="6">
        <f>IFERROR(__xludf.DUMMYFUNCTION("""COMPUTED_VALUE"""),8450.5)</f>
        <v>8450.5</v>
      </c>
      <c r="C75" s="6">
        <f>IFERROR(__xludf.DUMMYFUNCTION("""COMPUTED_VALUE"""),8488.45)</f>
        <v>8488.45</v>
      </c>
      <c r="D75" s="6">
        <f>IFERROR(__xludf.DUMMYFUNCTION("""COMPUTED_VALUE"""),7886.3)</f>
        <v>7886.3</v>
      </c>
      <c r="E75" s="6">
        <f>IFERROR(__xludf.DUMMYFUNCTION("""COMPUTED_VALUE"""),7902.9)</f>
        <v>7902.9</v>
      </c>
      <c r="F75" s="6">
        <f>IFERROR(__xludf.DUMMYFUNCTION("""COMPUTED_VALUE"""),1444528.0)</f>
        <v>1444528</v>
      </c>
    </row>
    <row r="76">
      <c r="A76" s="7">
        <f>IFERROR(__xludf.DUMMYFUNCTION("""COMPUTED_VALUE"""),45723.64583333333)</f>
        <v>45723.64583</v>
      </c>
      <c r="B76" s="6">
        <f>IFERROR(__xludf.DUMMYFUNCTION("""COMPUTED_VALUE"""),7934.95)</f>
        <v>7934.95</v>
      </c>
      <c r="C76" s="6">
        <f>IFERROR(__xludf.DUMMYFUNCTION("""COMPUTED_VALUE"""),7998.3)</f>
        <v>7998.3</v>
      </c>
      <c r="D76" s="6">
        <f>IFERROR(__xludf.DUMMYFUNCTION("""COMPUTED_VALUE"""),7301.0)</f>
        <v>7301</v>
      </c>
      <c r="E76" s="6">
        <f>IFERROR(__xludf.DUMMYFUNCTION("""COMPUTED_VALUE"""),7574.75)</f>
        <v>7574.75</v>
      </c>
      <c r="F76" s="6">
        <f>IFERROR(__xludf.DUMMYFUNCTION("""COMPUTED_VALUE"""),4184870.0)</f>
        <v>4184870</v>
      </c>
    </row>
    <row r="77">
      <c r="A77" s="7">
        <f>IFERROR(__xludf.DUMMYFUNCTION("""COMPUTED_VALUE"""),45729.64583333333)</f>
        <v>45729.64583</v>
      </c>
      <c r="B77" s="6">
        <f>IFERROR(__xludf.DUMMYFUNCTION("""COMPUTED_VALUE"""),7573.0)</f>
        <v>7573</v>
      </c>
      <c r="C77" s="6">
        <f>IFERROR(__xludf.DUMMYFUNCTION("""COMPUTED_VALUE"""),7573.0)</f>
        <v>7573</v>
      </c>
      <c r="D77" s="6">
        <f>IFERROR(__xludf.DUMMYFUNCTION("""COMPUTED_VALUE"""),7328.0)</f>
        <v>7328</v>
      </c>
      <c r="E77" s="6">
        <f>IFERROR(__xludf.DUMMYFUNCTION("""COMPUTED_VALUE"""),7504.7)</f>
        <v>7504.7</v>
      </c>
      <c r="F77" s="6">
        <f>IFERROR(__xludf.DUMMYFUNCTION("""COMPUTED_VALUE"""),1892006.0)</f>
        <v>1892006</v>
      </c>
    </row>
    <row r="78">
      <c r="A78" s="7">
        <f>IFERROR(__xludf.DUMMYFUNCTION("""COMPUTED_VALUE"""),45737.64583333333)</f>
        <v>45737.64583</v>
      </c>
      <c r="B78" s="6">
        <f>IFERROR(__xludf.DUMMYFUNCTION("""COMPUTED_VALUE"""),7500.0)</f>
        <v>7500</v>
      </c>
      <c r="C78" s="6">
        <f>IFERROR(__xludf.DUMMYFUNCTION("""COMPUTED_VALUE"""),8151.0)</f>
        <v>8151</v>
      </c>
      <c r="D78" s="6">
        <f>IFERROR(__xludf.DUMMYFUNCTION("""COMPUTED_VALUE"""),7433.0)</f>
        <v>7433</v>
      </c>
      <c r="E78" s="6">
        <f>IFERROR(__xludf.DUMMYFUNCTION("""COMPUTED_VALUE"""),8067.85)</f>
        <v>8067.85</v>
      </c>
      <c r="F78" s="6">
        <f>IFERROR(__xludf.DUMMYFUNCTION("""COMPUTED_VALUE"""),2360123.0)</f>
        <v>2360123</v>
      </c>
    </row>
    <row r="79">
      <c r="A79" s="7">
        <f>IFERROR(__xludf.DUMMYFUNCTION("""COMPUTED_VALUE"""),45744.64583333333)</f>
        <v>45744.64583</v>
      </c>
      <c r="B79" s="6">
        <f>IFERROR(__xludf.DUMMYFUNCTION("""COMPUTED_VALUE"""),8117.8)</f>
        <v>8117.8</v>
      </c>
      <c r="C79" s="6">
        <f>IFERROR(__xludf.DUMMYFUNCTION("""COMPUTED_VALUE"""),8213.95)</f>
        <v>8213.95</v>
      </c>
      <c r="D79" s="6">
        <f>IFERROR(__xludf.DUMMYFUNCTION("""COMPUTED_VALUE"""),7810.75)</f>
        <v>7810.75</v>
      </c>
      <c r="E79" s="6">
        <f>IFERROR(__xludf.DUMMYFUNCTION("""COMPUTED_VALUE"""),7878.85)</f>
        <v>7878.85</v>
      </c>
      <c r="F79" s="6">
        <f>IFERROR(__xludf.DUMMYFUNCTION("""COMPUTED_VALUE"""),2713321.0)</f>
        <v>2713321</v>
      </c>
    </row>
    <row r="80">
      <c r="A80" s="7">
        <f>IFERROR(__xludf.DUMMYFUNCTION("""COMPUTED_VALUE"""),45751.64583333333)</f>
        <v>45751.64583</v>
      </c>
      <c r="B80" s="6">
        <f>IFERROR(__xludf.DUMMYFUNCTION("""COMPUTED_VALUE"""),7631.0)</f>
        <v>7631</v>
      </c>
      <c r="C80" s="6">
        <f>IFERROR(__xludf.DUMMYFUNCTION("""COMPUTED_VALUE"""),8083.8)</f>
        <v>8083.8</v>
      </c>
      <c r="D80" s="6">
        <f>IFERROR(__xludf.DUMMYFUNCTION("""COMPUTED_VALUE"""),7631.0)</f>
        <v>7631</v>
      </c>
      <c r="E80" s="6">
        <f>IFERROR(__xludf.DUMMYFUNCTION("""COMPUTED_VALUE"""),7685.1)</f>
        <v>7685.1</v>
      </c>
      <c r="F80" s="6">
        <f>IFERROR(__xludf.DUMMYFUNCTION("""COMPUTED_VALUE"""),1452042.0)</f>
        <v>1452042</v>
      </c>
    </row>
    <row r="81">
      <c r="A81" s="7">
        <f>IFERROR(__xludf.DUMMYFUNCTION("""COMPUTED_VALUE"""),45758.64583333333)</f>
        <v>45758.64583</v>
      </c>
      <c r="B81" s="6">
        <f>IFERROR(__xludf.DUMMYFUNCTION("""COMPUTED_VALUE"""),7300.0)</f>
        <v>7300</v>
      </c>
      <c r="C81" s="6">
        <f>IFERROR(__xludf.DUMMYFUNCTION("""COMPUTED_VALUE"""),7779.95)</f>
        <v>7779.95</v>
      </c>
      <c r="D81" s="6">
        <f>IFERROR(__xludf.DUMMYFUNCTION("""COMPUTED_VALUE"""),7089.35)</f>
        <v>7089.35</v>
      </c>
      <c r="E81" s="6">
        <f>IFERROR(__xludf.DUMMYFUNCTION("""COMPUTED_VALUE"""),7768.85)</f>
        <v>7768.85</v>
      </c>
      <c r="F81" s="6">
        <f>IFERROR(__xludf.DUMMYFUNCTION("""COMPUTED_VALUE"""),1280821.0)</f>
        <v>1280821</v>
      </c>
    </row>
    <row r="82">
      <c r="A82" s="7">
        <f>IFERROR(__xludf.DUMMYFUNCTION("""COMPUTED_VALUE"""),45764.64583333333)</f>
        <v>45764.64583</v>
      </c>
      <c r="B82" s="6">
        <f>IFERROR(__xludf.DUMMYFUNCTION("""COMPUTED_VALUE"""),8000.0)</f>
        <v>8000</v>
      </c>
      <c r="C82" s="6">
        <f>IFERROR(__xludf.DUMMYFUNCTION("""COMPUTED_VALUE"""),8055.0)</f>
        <v>8055</v>
      </c>
      <c r="D82" s="6">
        <f>IFERROR(__xludf.DUMMYFUNCTION("""COMPUTED_VALUE"""),7828.5)</f>
        <v>7828.5</v>
      </c>
      <c r="E82" s="6">
        <f>IFERROR(__xludf.DUMMYFUNCTION("""COMPUTED_VALUE"""),8018.0)</f>
        <v>8018</v>
      </c>
      <c r="F82" s="6">
        <f>IFERROR(__xludf.DUMMYFUNCTION("""COMPUTED_VALUE"""),956491.0)</f>
        <v>956491</v>
      </c>
    </row>
    <row r="83">
      <c r="A83" s="7">
        <f>IFERROR(__xludf.DUMMYFUNCTION("""COMPUTED_VALUE"""),45772.64583333333)</f>
        <v>45772.64583</v>
      </c>
      <c r="B83" s="6">
        <f>IFERROR(__xludf.DUMMYFUNCTION("""COMPUTED_VALUE"""),8010.0)</f>
        <v>8010</v>
      </c>
      <c r="C83" s="6">
        <f>IFERROR(__xludf.DUMMYFUNCTION("""COMPUTED_VALUE"""),8328.0)</f>
        <v>8328</v>
      </c>
      <c r="D83" s="6">
        <f>IFERROR(__xludf.DUMMYFUNCTION("""COMPUTED_VALUE"""),7950.0)</f>
        <v>7950</v>
      </c>
      <c r="E83" s="6">
        <f>IFERROR(__xludf.DUMMYFUNCTION("""COMPUTED_VALUE"""),8034.0)</f>
        <v>8034</v>
      </c>
      <c r="F83" s="6">
        <f>IFERROR(__xludf.DUMMYFUNCTION("""COMPUTED_VALUE"""),2108778.0)</f>
        <v>2108778</v>
      </c>
    </row>
    <row r="84">
      <c r="A84" s="7">
        <f>IFERROR(__xludf.DUMMYFUNCTION("""COMPUTED_VALUE"""),45779.64583333333)</f>
        <v>45779.64583</v>
      </c>
      <c r="B84" s="6">
        <f>IFERROR(__xludf.DUMMYFUNCTION("""COMPUTED_VALUE"""),8034.0)</f>
        <v>8034</v>
      </c>
      <c r="C84" s="6">
        <f>IFERROR(__xludf.DUMMYFUNCTION("""COMPUTED_VALUE"""),8169.5)</f>
        <v>8169.5</v>
      </c>
      <c r="D84" s="6">
        <f>IFERROR(__xludf.DUMMYFUNCTION("""COMPUTED_VALUE"""),7803.0)</f>
        <v>7803</v>
      </c>
      <c r="E84" s="6">
        <f>IFERROR(__xludf.DUMMYFUNCTION("""COMPUTED_VALUE"""),7836.5)</f>
        <v>7836.5</v>
      </c>
      <c r="F84" s="6">
        <f>IFERROR(__xludf.DUMMYFUNCTION("""COMPUTED_VALUE"""),1337446.0)</f>
        <v>1337446</v>
      </c>
    </row>
    <row r="85">
      <c r="A85" s="7">
        <f>IFERROR(__xludf.DUMMYFUNCTION("""COMPUTED_VALUE"""),45786.64583333333)</f>
        <v>45786.64583</v>
      </c>
      <c r="B85" s="6">
        <f>IFERROR(__xludf.DUMMYFUNCTION("""COMPUTED_VALUE"""),7869.5)</f>
        <v>7869.5</v>
      </c>
      <c r="C85" s="6">
        <f>IFERROR(__xludf.DUMMYFUNCTION("""COMPUTED_VALUE"""),8044.0)</f>
        <v>8044</v>
      </c>
      <c r="D85" s="6">
        <f>IFERROR(__xludf.DUMMYFUNCTION("""COMPUTED_VALUE"""),7612.0)</f>
        <v>7612</v>
      </c>
      <c r="E85" s="6">
        <f>IFERROR(__xludf.DUMMYFUNCTION("""COMPUTED_VALUE"""),7682.5)</f>
        <v>7682.5</v>
      </c>
      <c r="F85" s="6">
        <f>IFERROR(__xludf.DUMMYFUNCTION("""COMPUTED_VALUE"""),1691090.0)</f>
        <v>1691090</v>
      </c>
    </row>
    <row r="86">
      <c r="A86" s="7">
        <f>IFERROR(__xludf.DUMMYFUNCTION("""COMPUTED_VALUE"""),45793.64583333333)</f>
        <v>45793.64583</v>
      </c>
      <c r="B86" s="6">
        <f>IFERROR(__xludf.DUMMYFUNCTION("""COMPUTED_VALUE"""),7800.0)</f>
        <v>7800</v>
      </c>
      <c r="C86" s="6">
        <f>IFERROR(__xludf.DUMMYFUNCTION("""COMPUTED_VALUE"""),8495.0)</f>
        <v>8495</v>
      </c>
      <c r="D86" s="6">
        <f>IFERROR(__xludf.DUMMYFUNCTION("""COMPUTED_VALUE"""),7778.0)</f>
        <v>7778</v>
      </c>
      <c r="E86" s="6">
        <f>IFERROR(__xludf.DUMMYFUNCTION("""COMPUTED_VALUE"""),8482.5)</f>
        <v>8482.5</v>
      </c>
      <c r="F86" s="6">
        <f>IFERROR(__xludf.DUMMYFUNCTION("""COMPUTED_VALUE"""),1910967.0)</f>
        <v>1910967</v>
      </c>
    </row>
    <row r="87">
      <c r="A87" s="7">
        <f>IFERROR(__xludf.DUMMYFUNCTION("""COMPUTED_VALUE"""),45800.64583333333)</f>
        <v>45800.64583</v>
      </c>
      <c r="B87" s="6">
        <f>IFERROR(__xludf.DUMMYFUNCTION("""COMPUTED_VALUE"""),8500.0)</f>
        <v>8500</v>
      </c>
      <c r="C87" s="6">
        <f>IFERROR(__xludf.DUMMYFUNCTION("""COMPUTED_VALUE"""),8861.5)</f>
        <v>8861.5</v>
      </c>
      <c r="D87" s="6">
        <f>IFERROR(__xludf.DUMMYFUNCTION("""COMPUTED_VALUE"""),8492.0)</f>
        <v>8492</v>
      </c>
      <c r="E87" s="6">
        <f>IFERROR(__xludf.DUMMYFUNCTION("""COMPUTED_VALUE"""),8741.0)</f>
        <v>8741</v>
      </c>
      <c r="F87" s="6">
        <f>IFERROR(__xludf.DUMMYFUNCTION("""COMPUTED_VALUE"""),3119389.0)</f>
        <v>3119389</v>
      </c>
    </row>
    <row r="88">
      <c r="A88" s="7">
        <f>IFERROR(__xludf.DUMMYFUNCTION("""COMPUTED_VALUE"""),45807.64583333333)</f>
        <v>45807.64583</v>
      </c>
      <c r="B88" s="6">
        <f>IFERROR(__xludf.DUMMYFUNCTION("""COMPUTED_VALUE"""),8784.5)</f>
        <v>8784.5</v>
      </c>
      <c r="C88" s="6">
        <f>IFERROR(__xludf.DUMMYFUNCTION("""COMPUTED_VALUE"""),9007.0)</f>
        <v>9007</v>
      </c>
      <c r="D88" s="6">
        <f>IFERROR(__xludf.DUMMYFUNCTION("""COMPUTED_VALUE"""),8585.0)</f>
        <v>8585</v>
      </c>
      <c r="E88" s="6">
        <f>IFERROR(__xludf.DUMMYFUNCTION("""COMPUTED_VALUE"""),8607.0)</f>
        <v>8607</v>
      </c>
      <c r="F88" s="6">
        <f>IFERROR(__xludf.DUMMYFUNCTION("""COMPUTED_VALUE"""),2919099.0)</f>
        <v>2919099</v>
      </c>
    </row>
    <row r="89">
      <c r="A89" s="7">
        <f>IFERROR(__xludf.DUMMYFUNCTION("""COMPUTED_VALUE"""),45814.64583333333)</f>
        <v>45814.64583</v>
      </c>
      <c r="B89" s="6">
        <f>IFERROR(__xludf.DUMMYFUNCTION("""COMPUTED_VALUE"""),8621.5)</f>
        <v>8621.5</v>
      </c>
      <c r="C89" s="6">
        <f>IFERROR(__xludf.DUMMYFUNCTION("""COMPUTED_VALUE"""),8685.0)</f>
        <v>8685</v>
      </c>
      <c r="D89" s="6">
        <f>IFERROR(__xludf.DUMMYFUNCTION("""COMPUTED_VALUE"""),8415.0)</f>
        <v>8415</v>
      </c>
      <c r="E89" s="6">
        <f>IFERROR(__xludf.DUMMYFUNCTION("""COMPUTED_VALUE"""),8637.0)</f>
        <v>8637</v>
      </c>
      <c r="F89" s="6">
        <f>IFERROR(__xludf.DUMMYFUNCTION("""COMPUTED_VALUE"""),2271000.0)</f>
        <v>2271000</v>
      </c>
    </row>
    <row r="90">
      <c r="A90" s="7">
        <f>IFERROR(__xludf.DUMMYFUNCTION("""COMPUTED_VALUE"""),45821.64583333333)</f>
        <v>45821.64583</v>
      </c>
      <c r="B90" s="6">
        <f>IFERROR(__xludf.DUMMYFUNCTION("""COMPUTED_VALUE"""),8680.0)</f>
        <v>8680</v>
      </c>
      <c r="C90" s="6">
        <f>IFERROR(__xludf.DUMMYFUNCTION("""COMPUTED_VALUE"""),8770.0)</f>
        <v>8770</v>
      </c>
      <c r="D90" s="6">
        <f>IFERROR(__xludf.DUMMYFUNCTION("""COMPUTED_VALUE"""),8350.0)</f>
        <v>8350</v>
      </c>
      <c r="E90" s="6">
        <f>IFERROR(__xludf.DUMMYFUNCTION("""COMPUTED_VALUE"""),8463.5)</f>
        <v>8463.5</v>
      </c>
      <c r="F90" s="6">
        <f>IFERROR(__xludf.DUMMYFUNCTION("""COMPUTED_VALUE"""),1875028.0)</f>
        <v>1875028</v>
      </c>
    </row>
    <row r="91">
      <c r="A91" s="7">
        <f>IFERROR(__xludf.DUMMYFUNCTION("""COMPUTED_VALUE"""),45828.64583333333)</f>
        <v>45828.64583</v>
      </c>
      <c r="B91" s="6">
        <f>IFERROR(__xludf.DUMMYFUNCTION("""COMPUTED_VALUE"""),8486.5)</f>
        <v>8486.5</v>
      </c>
      <c r="C91" s="6">
        <f>IFERROR(__xludf.DUMMYFUNCTION("""COMPUTED_VALUE"""),8657.5)</f>
        <v>8657.5</v>
      </c>
      <c r="D91" s="6">
        <f>IFERROR(__xludf.DUMMYFUNCTION("""COMPUTED_VALUE"""),8250.0)</f>
        <v>8250</v>
      </c>
      <c r="E91" s="6">
        <f>IFERROR(__xludf.DUMMYFUNCTION("""COMPUTED_VALUE"""),8371.0)</f>
        <v>8371</v>
      </c>
      <c r="F91" s="6">
        <f>IFERROR(__xludf.DUMMYFUNCTION("""COMPUTED_VALUE"""),1950878.0)</f>
        <v>1950878</v>
      </c>
    </row>
    <row r="92">
      <c r="A92" s="7">
        <f>IFERROR(__xludf.DUMMYFUNCTION("""COMPUTED_VALUE"""),45835.64583333333)</f>
        <v>45835.64583</v>
      </c>
      <c r="B92" s="6">
        <f>IFERROR(__xludf.DUMMYFUNCTION("""COMPUTED_VALUE"""),8275.0)</f>
        <v>8275</v>
      </c>
      <c r="C92" s="6">
        <f>IFERROR(__xludf.DUMMYFUNCTION("""COMPUTED_VALUE"""),8507.0)</f>
        <v>8507</v>
      </c>
      <c r="D92" s="6">
        <f>IFERROR(__xludf.DUMMYFUNCTION("""COMPUTED_VALUE"""),8255.0)</f>
        <v>8255</v>
      </c>
      <c r="E92" s="6">
        <f>IFERROR(__xludf.DUMMYFUNCTION("""COMPUTED_VALUE"""),8436.0)</f>
        <v>8436</v>
      </c>
      <c r="F92" s="6">
        <f>IFERROR(__xludf.DUMMYFUNCTION("""COMPUTED_VALUE"""),1637857.0)</f>
        <v>1637857</v>
      </c>
    </row>
    <row r="93">
      <c r="A93" s="7">
        <f>IFERROR(__xludf.DUMMYFUNCTION("""COMPUTED_VALUE"""),45842.64583333333)</f>
        <v>45842.64583</v>
      </c>
      <c r="B93" s="6">
        <f>IFERROR(__xludf.DUMMYFUNCTION("""COMPUTED_VALUE"""),8470.0)</f>
        <v>8470</v>
      </c>
      <c r="C93" s="6">
        <f>IFERROR(__xludf.DUMMYFUNCTION("""COMPUTED_VALUE"""),8496.0)</f>
        <v>8496</v>
      </c>
      <c r="D93" s="6">
        <f>IFERROR(__xludf.DUMMYFUNCTION("""COMPUTED_VALUE"""),8300.0)</f>
        <v>8300</v>
      </c>
      <c r="E93" s="6">
        <f>IFERROR(__xludf.DUMMYFUNCTION("""COMPUTED_VALUE"""),8433.0)</f>
        <v>8433</v>
      </c>
      <c r="F93" s="6">
        <f>IFERROR(__xludf.DUMMYFUNCTION("""COMPUTED_VALUE"""),1294524.0)</f>
        <v>1294524</v>
      </c>
    </row>
    <row r="94">
      <c r="A94" s="7">
        <f>IFERROR(__xludf.DUMMYFUNCTION("""COMPUTED_VALUE"""),45849.64583333333)</f>
        <v>45849.64583</v>
      </c>
      <c r="B94" s="6">
        <f>IFERROR(__xludf.DUMMYFUNCTION("""COMPUTED_VALUE"""),8433.0)</f>
        <v>8433</v>
      </c>
      <c r="C94" s="6">
        <f>IFERROR(__xludf.DUMMYFUNCTION("""COMPUTED_VALUE"""),8484.0)</f>
        <v>8484</v>
      </c>
      <c r="D94" s="6">
        <f>IFERROR(__xludf.DUMMYFUNCTION("""COMPUTED_VALUE"""),8045.5)</f>
        <v>8045.5</v>
      </c>
      <c r="E94" s="6">
        <f>IFERROR(__xludf.DUMMYFUNCTION("""COMPUTED_VALUE"""),8067.0)</f>
        <v>8067</v>
      </c>
      <c r="F94" s="6">
        <f>IFERROR(__xludf.DUMMYFUNCTION("""COMPUTED_VALUE"""),1303107.0)</f>
        <v>1303107</v>
      </c>
    </row>
    <row r="95">
      <c r="A95" s="7">
        <f>IFERROR(__xludf.DUMMYFUNCTION("""COMPUTED_VALUE"""),45856.64583333333)</f>
        <v>45856.64583</v>
      </c>
      <c r="B95" s="6">
        <f>IFERROR(__xludf.DUMMYFUNCTION("""COMPUTED_VALUE"""),8090.0)</f>
        <v>8090</v>
      </c>
      <c r="C95" s="6">
        <f>IFERROR(__xludf.DUMMYFUNCTION("""COMPUTED_VALUE"""),8365.0)</f>
        <v>8365</v>
      </c>
      <c r="D95" s="6">
        <f>IFERROR(__xludf.DUMMYFUNCTION("""COMPUTED_VALUE"""),8035.5)</f>
        <v>8035.5</v>
      </c>
      <c r="E95" s="6">
        <f>IFERROR(__xludf.DUMMYFUNCTION("""COMPUTED_VALUE"""),8347.5)</f>
        <v>8347.5</v>
      </c>
      <c r="F95" s="6">
        <f>IFERROR(__xludf.DUMMYFUNCTION("""COMPUTED_VALUE"""),1408583.0)</f>
        <v>1408583</v>
      </c>
    </row>
    <row r="96">
      <c r="A96" s="7">
        <f>IFERROR(__xludf.DUMMYFUNCTION("""COMPUTED_VALUE"""),45863.64583333333)</f>
        <v>45863.64583</v>
      </c>
      <c r="B96" s="6">
        <f>IFERROR(__xludf.DUMMYFUNCTION("""COMPUTED_VALUE"""),8306.0)</f>
        <v>8306</v>
      </c>
      <c r="C96" s="6">
        <f>IFERROR(__xludf.DUMMYFUNCTION("""COMPUTED_VALUE"""),8470.0)</f>
        <v>8470</v>
      </c>
      <c r="D96" s="6">
        <f>IFERROR(__xludf.DUMMYFUNCTION("""COMPUTED_VALUE"""),8044.5)</f>
        <v>8044.5</v>
      </c>
      <c r="E96" s="6">
        <f>IFERROR(__xludf.DUMMYFUNCTION("""COMPUTED_VALUE"""),8075.5)</f>
        <v>8075.5</v>
      </c>
      <c r="F96" s="6">
        <f>IFERROR(__xludf.DUMMYFUNCTION("""COMPUTED_VALUE"""),1603884.0)</f>
        <v>1603884</v>
      </c>
    </row>
    <row r="97">
      <c r="A97" s="7">
        <f>IFERROR(__xludf.DUMMYFUNCTION("""COMPUTED_VALUE"""),45870.64583333333)</f>
        <v>45870.64583</v>
      </c>
      <c r="B97" s="6">
        <f>IFERROR(__xludf.DUMMYFUNCTION("""COMPUTED_VALUE"""),8075.5)</f>
        <v>8075.5</v>
      </c>
      <c r="C97" s="6">
        <f>IFERROR(__xludf.DUMMYFUNCTION("""COMPUTED_VALUE"""),8158.0)</f>
        <v>8158</v>
      </c>
      <c r="D97" s="6">
        <f>IFERROR(__xludf.DUMMYFUNCTION("""COMPUTED_VALUE"""),7930.5)</f>
        <v>7930.5</v>
      </c>
      <c r="E97" s="6">
        <f>IFERROR(__xludf.DUMMYFUNCTION("""COMPUTED_VALUE"""),8044.5)</f>
        <v>8044.5</v>
      </c>
      <c r="F97" s="6">
        <f>IFERROR(__xludf.DUMMYFUNCTION("""COMPUTED_VALUE"""),1291816.0)</f>
        <v>1291816</v>
      </c>
    </row>
    <row r="98">
      <c r="A98" s="7">
        <f>IFERROR(__xludf.DUMMYFUNCTION("""COMPUTED_VALUE"""),45877.64583333333)</f>
        <v>45877.64583</v>
      </c>
      <c r="B98" s="6">
        <f>IFERROR(__xludf.DUMMYFUNCTION("""COMPUTED_VALUE"""),8044.5)</f>
        <v>8044.5</v>
      </c>
      <c r="C98" s="6">
        <f>IFERROR(__xludf.DUMMYFUNCTION("""COMPUTED_VALUE"""),8277.0)</f>
        <v>8277</v>
      </c>
      <c r="D98" s="6">
        <f>IFERROR(__xludf.DUMMYFUNCTION("""COMPUTED_VALUE"""),7858.5)</f>
        <v>7858.5</v>
      </c>
      <c r="E98" s="6">
        <f>IFERROR(__xludf.DUMMYFUNCTION("""COMPUTED_VALUE"""),8224.0)</f>
        <v>8224</v>
      </c>
      <c r="F98" s="6">
        <f>IFERROR(__xludf.DUMMYFUNCTION("""COMPUTED_VALUE"""),1670085.0)</f>
        <v>1670085</v>
      </c>
    </row>
    <row r="99">
      <c r="A99" s="7">
        <f>IFERROR(__xludf.DUMMYFUNCTION("""COMPUTED_VALUE"""),45883.64583333333)</f>
        <v>45883.64583</v>
      </c>
      <c r="B99" s="6">
        <f>IFERROR(__xludf.DUMMYFUNCTION("""COMPUTED_VALUE"""),8235.0)</f>
        <v>8235</v>
      </c>
      <c r="C99" s="6">
        <f>IFERROR(__xludf.DUMMYFUNCTION("""COMPUTED_VALUE"""),8321.5)</f>
        <v>8321.5</v>
      </c>
      <c r="D99" s="6">
        <f>IFERROR(__xludf.DUMMYFUNCTION("""COMPUTED_VALUE"""),8132.5)</f>
        <v>8132.5</v>
      </c>
      <c r="E99" s="6">
        <f>IFERROR(__xludf.DUMMYFUNCTION("""COMPUTED_VALUE"""),8213.5)</f>
        <v>8213.5</v>
      </c>
      <c r="F99" s="6">
        <f>IFERROR(__xludf.DUMMYFUNCTION("""COMPUTED_VALUE"""),1096592.0)</f>
        <v>1096592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IFERROR(__xludf.DUMMYFUNCTION("""COMPUTED_VALUE"""),8400.0)</f>
        <v>8400</v>
      </c>
      <c r="C100" s="6">
        <f>IFERROR(__xludf.DUMMYFUNCTION("""COMPUTED_VALUE"""),8872.5)</f>
        <v>8872.5</v>
      </c>
      <c r="D100" s="6">
        <f>IFERROR(__xludf.DUMMYFUNCTION("""COMPUTED_VALUE"""),8400.0)</f>
        <v>8400</v>
      </c>
      <c r="E100" s="6">
        <f>IFERROR(__xludf.DUMMYFUNCTION("""COMPUTED_VALUE"""),8679.5)</f>
        <v>8679.5</v>
      </c>
      <c r="F100" s="6">
        <f>IFERROR(__xludf.DUMMYFUNCTION("""COMPUTED_VALUE"""),3419001.0)</f>
        <v>3419001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IFERROR(__xludf.DUMMYFUNCTION("""COMPUTED_VALUE"""),8750.0)</f>
        <v>8750</v>
      </c>
      <c r="C101" s="6">
        <f>IFERROR(__xludf.DUMMYFUNCTION("""COMPUTED_VALUE"""),8825.0)</f>
        <v>8825</v>
      </c>
      <c r="D101" s="6">
        <f>IFERROR(__xludf.DUMMYFUNCTION("""COMPUTED_VALUE"""),8633.5)</f>
        <v>8633.5</v>
      </c>
      <c r="E101" s="6">
        <f>IFERROR(__xludf.DUMMYFUNCTION("""COMPUTED_VALUE"""),8691.5)</f>
        <v>8691.5</v>
      </c>
      <c r="F101" s="6">
        <f>IFERROR(__xludf.DUMMYFUNCTION("""COMPUTED_VALUE"""),7444120.0)</f>
        <v>7444120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IFERROR(__xludf.DUMMYFUNCTION("GOOGLEFINANCE(""NSE:BAJAJFINSV"",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IFERROR(__xludf.DUMMYFUNCTION("""COMPUTED_VALUE"""),1513.5)</f>
        <v>1513.5</v>
      </c>
      <c r="C2" s="6">
        <f>IFERROR(__xludf.DUMMYFUNCTION("""COMPUTED_VALUE"""),1518.85)</f>
        <v>1518.85</v>
      </c>
      <c r="D2" s="6">
        <f>IFERROR(__xludf.DUMMYFUNCTION("""COMPUTED_VALUE"""),1480.2)</f>
        <v>1480.2</v>
      </c>
      <c r="E2" s="6">
        <f>IFERROR(__xludf.DUMMYFUNCTION("""COMPUTED_VALUE"""),1514.5)</f>
        <v>1514.5</v>
      </c>
      <c r="F2" s="6">
        <f>IFERROR(__xludf.DUMMYFUNCTION("""COMPUTED_VALUE"""),5591265.0)</f>
        <v>5591265</v>
      </c>
    </row>
    <row r="3">
      <c r="A3" s="7">
        <f>IFERROR(__xludf.DUMMYFUNCTION("""COMPUTED_VALUE"""),45177.64583333333)</f>
        <v>45177.64583</v>
      </c>
      <c r="B3" s="6">
        <f>IFERROR(__xludf.DUMMYFUNCTION("""COMPUTED_VALUE"""),1521.0)</f>
        <v>1521</v>
      </c>
      <c r="C3" s="6">
        <f>IFERROR(__xludf.DUMMYFUNCTION("""COMPUTED_VALUE"""),1558.8)</f>
        <v>1558.8</v>
      </c>
      <c r="D3" s="6">
        <f>IFERROR(__xludf.DUMMYFUNCTION("""COMPUTED_VALUE"""),1504.2)</f>
        <v>1504.2</v>
      </c>
      <c r="E3" s="6">
        <f>IFERROR(__xludf.DUMMYFUNCTION("""COMPUTED_VALUE"""),1541.0)</f>
        <v>1541</v>
      </c>
      <c r="F3" s="6">
        <f>IFERROR(__xludf.DUMMYFUNCTION("""COMPUTED_VALUE"""),5512004.0)</f>
        <v>5512004</v>
      </c>
    </row>
    <row r="4">
      <c r="A4" s="7">
        <f>IFERROR(__xludf.DUMMYFUNCTION("""COMPUTED_VALUE"""),45184.64583333333)</f>
        <v>45184.64583</v>
      </c>
      <c r="B4" s="6">
        <f>IFERROR(__xludf.DUMMYFUNCTION("""COMPUTED_VALUE"""),1549.5)</f>
        <v>1549.5</v>
      </c>
      <c r="C4" s="6">
        <f>IFERROR(__xludf.DUMMYFUNCTION("""COMPUTED_VALUE"""),1567.6)</f>
        <v>1567.6</v>
      </c>
      <c r="D4" s="6">
        <f>IFERROR(__xludf.DUMMYFUNCTION("""COMPUTED_VALUE"""),1521.0)</f>
        <v>1521</v>
      </c>
      <c r="E4" s="6">
        <f>IFERROR(__xludf.DUMMYFUNCTION("""COMPUTED_VALUE"""),1538.1)</f>
        <v>1538.1</v>
      </c>
      <c r="F4" s="6">
        <f>IFERROR(__xludf.DUMMYFUNCTION("""COMPUTED_VALUE"""),7516650.0)</f>
        <v>7516650</v>
      </c>
    </row>
    <row r="5">
      <c r="A5" s="7">
        <f>IFERROR(__xludf.DUMMYFUNCTION("""COMPUTED_VALUE"""),45191.64583333333)</f>
        <v>45191.64583</v>
      </c>
      <c r="B5" s="6">
        <f>IFERROR(__xludf.DUMMYFUNCTION("""COMPUTED_VALUE"""),1538.1)</f>
        <v>1538.1</v>
      </c>
      <c r="C5" s="6">
        <f>IFERROR(__xludf.DUMMYFUNCTION("""COMPUTED_VALUE"""),1568.2)</f>
        <v>1568.2</v>
      </c>
      <c r="D5" s="6">
        <f>IFERROR(__xludf.DUMMYFUNCTION("""COMPUTED_VALUE"""),1514.0)</f>
        <v>1514</v>
      </c>
      <c r="E5" s="6">
        <f>IFERROR(__xludf.DUMMYFUNCTION("""COMPUTED_VALUE"""),1543.7)</f>
        <v>1543.7</v>
      </c>
      <c r="F5" s="6">
        <f>IFERROR(__xludf.DUMMYFUNCTION("""COMPUTED_VALUE"""),5574606.0)</f>
        <v>5574606</v>
      </c>
    </row>
    <row r="6">
      <c r="A6" s="7">
        <f>IFERROR(__xludf.DUMMYFUNCTION("""COMPUTED_VALUE"""),45198.64583333333)</f>
        <v>45198.64583</v>
      </c>
      <c r="B6" s="6">
        <f>IFERROR(__xludf.DUMMYFUNCTION("""COMPUTED_VALUE"""),1549.7)</f>
        <v>1549.7</v>
      </c>
      <c r="C6" s="6">
        <f>IFERROR(__xludf.DUMMYFUNCTION("""COMPUTED_VALUE"""),1591.0)</f>
        <v>1591</v>
      </c>
      <c r="D6" s="6">
        <f>IFERROR(__xludf.DUMMYFUNCTION("""COMPUTED_VALUE"""),1532.05)</f>
        <v>1532.05</v>
      </c>
      <c r="E6" s="6">
        <f>IFERROR(__xludf.DUMMYFUNCTION("""COMPUTED_VALUE"""),1540.25)</f>
        <v>1540.25</v>
      </c>
      <c r="F6" s="6">
        <f>IFERROR(__xludf.DUMMYFUNCTION("""COMPUTED_VALUE"""),8340317.0)</f>
        <v>8340317</v>
      </c>
    </row>
    <row r="7">
      <c r="A7" s="7">
        <f>IFERROR(__xludf.DUMMYFUNCTION("""COMPUTED_VALUE"""),45205.64583333333)</f>
        <v>45205.64583</v>
      </c>
      <c r="B7" s="6">
        <f>IFERROR(__xludf.DUMMYFUNCTION("""COMPUTED_VALUE"""),1530.25)</f>
        <v>1530.25</v>
      </c>
      <c r="C7" s="6">
        <f>IFERROR(__xludf.DUMMYFUNCTION("""COMPUTED_VALUE"""),1640.7)</f>
        <v>1640.7</v>
      </c>
      <c r="D7" s="6">
        <f>IFERROR(__xludf.DUMMYFUNCTION("""COMPUTED_VALUE"""),1521.15)</f>
        <v>1521.15</v>
      </c>
      <c r="E7" s="6">
        <f>IFERROR(__xludf.DUMMYFUNCTION("""COMPUTED_VALUE"""),1634.65)</f>
        <v>1634.65</v>
      </c>
      <c r="F7" s="6">
        <f>IFERROR(__xludf.DUMMYFUNCTION("""COMPUTED_VALUE"""),1.1234901E7)</f>
        <v>11234901</v>
      </c>
    </row>
    <row r="8">
      <c r="A8" s="7">
        <f>IFERROR(__xludf.DUMMYFUNCTION("""COMPUTED_VALUE"""),45212.64583333333)</f>
        <v>45212.64583</v>
      </c>
      <c r="B8" s="6">
        <f>IFERROR(__xludf.DUMMYFUNCTION("""COMPUTED_VALUE"""),1617.15)</f>
        <v>1617.15</v>
      </c>
      <c r="C8" s="6">
        <f>IFERROR(__xludf.DUMMYFUNCTION("""COMPUTED_VALUE"""),1650.95)</f>
        <v>1650.95</v>
      </c>
      <c r="D8" s="6">
        <f>IFERROR(__xludf.DUMMYFUNCTION("""COMPUTED_VALUE"""),1606.6)</f>
        <v>1606.6</v>
      </c>
      <c r="E8" s="6">
        <f>IFERROR(__xludf.DUMMYFUNCTION("""COMPUTED_VALUE"""),1646.55)</f>
        <v>1646.55</v>
      </c>
      <c r="F8" s="6">
        <f>IFERROR(__xludf.DUMMYFUNCTION("""COMPUTED_VALUE"""),6384077.0)</f>
        <v>6384077</v>
      </c>
    </row>
    <row r="9">
      <c r="A9" s="7">
        <f>IFERROR(__xludf.DUMMYFUNCTION("""COMPUTED_VALUE"""),45219.64583333333)</f>
        <v>45219.64583</v>
      </c>
      <c r="B9" s="6">
        <f>IFERROR(__xludf.DUMMYFUNCTION("""COMPUTED_VALUE"""),1644.0)</f>
        <v>1644</v>
      </c>
      <c r="C9" s="6">
        <f>IFERROR(__xludf.DUMMYFUNCTION("""COMPUTED_VALUE"""),1676.75)</f>
        <v>1676.75</v>
      </c>
      <c r="D9" s="6">
        <f>IFERROR(__xludf.DUMMYFUNCTION("""COMPUTED_VALUE"""),1597.4)</f>
        <v>1597.4</v>
      </c>
      <c r="E9" s="6">
        <f>IFERROR(__xludf.DUMMYFUNCTION("""COMPUTED_VALUE"""),1635.05)</f>
        <v>1635.05</v>
      </c>
      <c r="F9" s="6">
        <f>IFERROR(__xludf.DUMMYFUNCTION("""COMPUTED_VALUE"""),6400929.0)</f>
        <v>6400929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IFERROR(__xludf.DUMMYFUNCTION("""COMPUTED_VALUE"""),1627.0)</f>
        <v>1627</v>
      </c>
      <c r="C10" s="6">
        <f>IFERROR(__xludf.DUMMYFUNCTION("""COMPUTED_VALUE"""),1651.7)</f>
        <v>1651.7</v>
      </c>
      <c r="D10" s="6">
        <f>IFERROR(__xludf.DUMMYFUNCTION("""COMPUTED_VALUE"""),1551.35)</f>
        <v>1551.35</v>
      </c>
      <c r="E10" s="6">
        <f>IFERROR(__xludf.DUMMYFUNCTION("""COMPUTED_VALUE"""),1566.4)</f>
        <v>1566.4</v>
      </c>
      <c r="F10" s="6">
        <f>IFERROR(__xludf.DUMMYFUNCTION("""COMPUTED_VALUE"""),6367191.0)</f>
        <v>6367191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IFERROR(__xludf.DUMMYFUNCTION("""COMPUTED_VALUE"""),1568.9)</f>
        <v>1568.9</v>
      </c>
      <c r="C11" s="6">
        <f>IFERROR(__xludf.DUMMYFUNCTION("""COMPUTED_VALUE"""),1593.65)</f>
        <v>1593.65</v>
      </c>
      <c r="D11" s="6">
        <f>IFERROR(__xludf.DUMMYFUNCTION("""COMPUTED_VALUE"""),1527.9)</f>
        <v>1527.9</v>
      </c>
      <c r="E11" s="6">
        <f>IFERROR(__xludf.DUMMYFUNCTION("""COMPUTED_VALUE"""),1536.15)</f>
        <v>1536.15</v>
      </c>
      <c r="F11" s="6">
        <f>IFERROR(__xludf.DUMMYFUNCTION("""COMPUTED_VALUE"""),6752769.0)</f>
        <v>6752769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IFERROR(__xludf.DUMMYFUNCTION("""COMPUTED_VALUE"""),1547.0)</f>
        <v>1547</v>
      </c>
      <c r="C12" s="6">
        <f>IFERROR(__xludf.DUMMYFUNCTION("""COMPUTED_VALUE"""),1607.8)</f>
        <v>1607.8</v>
      </c>
      <c r="D12" s="6">
        <f>IFERROR(__xludf.DUMMYFUNCTION("""COMPUTED_VALUE"""),1540.0)</f>
        <v>1540</v>
      </c>
      <c r="E12" s="6">
        <f>IFERROR(__xludf.DUMMYFUNCTION("""COMPUTED_VALUE"""),1596.0)</f>
        <v>1596</v>
      </c>
      <c r="F12" s="6">
        <f>IFERROR(__xludf.DUMMYFUNCTION("""COMPUTED_VALUE"""),6062152.0)</f>
        <v>6062152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IFERROR(__xludf.DUMMYFUNCTION("""COMPUTED_VALUE"""),1606.0)</f>
        <v>1606</v>
      </c>
      <c r="C13" s="6">
        <f>IFERROR(__xludf.DUMMYFUNCTION("""COMPUTED_VALUE"""),1628.0)</f>
        <v>1628</v>
      </c>
      <c r="D13" s="6">
        <f>IFERROR(__xludf.DUMMYFUNCTION("""COMPUTED_VALUE"""),1539.05)</f>
        <v>1539.05</v>
      </c>
      <c r="E13" s="6">
        <f>IFERROR(__xludf.DUMMYFUNCTION("""COMPUTED_VALUE"""),1615.9)</f>
        <v>1615.9</v>
      </c>
      <c r="F13" s="6">
        <f>IFERROR(__xludf.DUMMYFUNCTION("""COMPUTED_VALUE"""),7683921.0)</f>
        <v>7683921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IFERROR(__xludf.DUMMYFUNCTION("""COMPUTED_VALUE"""),1611.9)</f>
        <v>1611.9</v>
      </c>
      <c r="C14" s="6">
        <f>IFERROR(__xludf.DUMMYFUNCTION("""COMPUTED_VALUE"""),1636.85)</f>
        <v>1636.85</v>
      </c>
      <c r="D14" s="6">
        <f>IFERROR(__xludf.DUMMYFUNCTION("""COMPUTED_VALUE"""),1586.15)</f>
        <v>1586.15</v>
      </c>
      <c r="E14" s="6">
        <f>IFERROR(__xludf.DUMMYFUNCTION("""COMPUTED_VALUE"""),1617.25)</f>
        <v>1617.25</v>
      </c>
      <c r="F14" s="6">
        <f>IFERROR(__xludf.DUMMYFUNCTION("""COMPUTED_VALUE"""),5099265.0)</f>
        <v>5099265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IFERROR(__xludf.DUMMYFUNCTION("""COMPUTED_VALUE"""),1617.5)</f>
        <v>1617.5</v>
      </c>
      <c r="C15" s="6">
        <f>IFERROR(__xludf.DUMMYFUNCTION("""COMPUTED_VALUE"""),1688.7)</f>
        <v>1688.7</v>
      </c>
      <c r="D15" s="6">
        <f>IFERROR(__xludf.DUMMYFUNCTION("""COMPUTED_VALUE"""),1617.5)</f>
        <v>1617.5</v>
      </c>
      <c r="E15" s="6">
        <f>IFERROR(__xludf.DUMMYFUNCTION("""COMPUTED_VALUE"""),1685.95)</f>
        <v>1685.95</v>
      </c>
      <c r="F15" s="6">
        <f>IFERROR(__xludf.DUMMYFUNCTION("""COMPUTED_VALUE"""),4989932.0)</f>
        <v>4989932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IFERROR(__xludf.DUMMYFUNCTION("""COMPUTED_VALUE"""),1700.0)</f>
        <v>1700</v>
      </c>
      <c r="C16" s="6">
        <f>IFERROR(__xludf.DUMMYFUNCTION("""COMPUTED_VALUE"""),1724.0)</f>
        <v>1724</v>
      </c>
      <c r="D16" s="6">
        <f>IFERROR(__xludf.DUMMYFUNCTION("""COMPUTED_VALUE"""),1673.25)</f>
        <v>1673.25</v>
      </c>
      <c r="E16" s="6">
        <f>IFERROR(__xludf.DUMMYFUNCTION("""COMPUTED_VALUE"""),1710.15)</f>
        <v>1710.15</v>
      </c>
      <c r="F16" s="6">
        <f>IFERROR(__xludf.DUMMYFUNCTION("""COMPUTED_VALUE"""),6252896.0)</f>
        <v>6252896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IFERROR(__xludf.DUMMYFUNCTION("""COMPUTED_VALUE"""),1700.15)</f>
        <v>1700.15</v>
      </c>
      <c r="C17" s="6">
        <f>IFERROR(__xludf.DUMMYFUNCTION("""COMPUTED_VALUE"""),1741.0)</f>
        <v>1741</v>
      </c>
      <c r="D17" s="6">
        <f>IFERROR(__xludf.DUMMYFUNCTION("""COMPUTED_VALUE"""),1668.2)</f>
        <v>1668.2</v>
      </c>
      <c r="E17" s="6">
        <f>IFERROR(__xludf.DUMMYFUNCTION("""COMPUTED_VALUE"""),1733.15)</f>
        <v>1733.15</v>
      </c>
      <c r="F17" s="6">
        <f>IFERROR(__xludf.DUMMYFUNCTION("""COMPUTED_VALUE"""),7179454.0)</f>
        <v>7179454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IFERROR(__xludf.DUMMYFUNCTION("""COMPUTED_VALUE"""),1732.65)</f>
        <v>1732.65</v>
      </c>
      <c r="C18" s="6">
        <f>IFERROR(__xludf.DUMMYFUNCTION("""COMPUTED_VALUE"""),1741.0)</f>
        <v>1741</v>
      </c>
      <c r="D18" s="6">
        <f>IFERROR(__xludf.DUMMYFUNCTION("""COMPUTED_VALUE"""),1660.25)</f>
        <v>1660.25</v>
      </c>
      <c r="E18" s="6">
        <f>IFERROR(__xludf.DUMMYFUNCTION("""COMPUTED_VALUE"""),1672.05)</f>
        <v>1672.05</v>
      </c>
      <c r="F18" s="6">
        <f>IFERROR(__xludf.DUMMYFUNCTION("""COMPUTED_VALUE"""),5718133.0)</f>
        <v>5718133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IFERROR(__xludf.DUMMYFUNCTION("""COMPUTED_VALUE"""),1675.0)</f>
        <v>1675</v>
      </c>
      <c r="C19" s="6">
        <f>IFERROR(__xludf.DUMMYFUNCTION("""COMPUTED_VALUE"""),1698.8)</f>
        <v>1698.8</v>
      </c>
      <c r="D19" s="6">
        <f>IFERROR(__xludf.DUMMYFUNCTION("""COMPUTED_VALUE"""),1637.05)</f>
        <v>1637.05</v>
      </c>
      <c r="E19" s="6">
        <f>IFERROR(__xludf.DUMMYFUNCTION("""COMPUTED_VALUE"""),1685.8)</f>
        <v>1685.8</v>
      </c>
      <c r="F19" s="6">
        <f>IFERROR(__xludf.DUMMYFUNCTION("""COMPUTED_VALUE"""),4576096.0)</f>
        <v>4576096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IFERROR(__xludf.DUMMYFUNCTION("""COMPUTED_VALUE"""),1685.8)</f>
        <v>1685.8</v>
      </c>
      <c r="C20" s="6">
        <f>IFERROR(__xludf.DUMMYFUNCTION("""COMPUTED_VALUE"""),1723.95)</f>
        <v>1723.95</v>
      </c>
      <c r="D20" s="6">
        <f>IFERROR(__xludf.DUMMYFUNCTION("""COMPUTED_VALUE"""),1663.45)</f>
        <v>1663.45</v>
      </c>
      <c r="E20" s="6">
        <f>IFERROR(__xludf.DUMMYFUNCTION("""COMPUTED_VALUE"""),1709.5)</f>
        <v>1709.5</v>
      </c>
      <c r="F20" s="6">
        <f>IFERROR(__xludf.DUMMYFUNCTION("""COMPUTED_VALUE"""),5700104.0)</f>
        <v>5700104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IFERROR(__xludf.DUMMYFUNCTION("""COMPUTED_VALUE"""),1715.95)</f>
        <v>1715.95</v>
      </c>
      <c r="C21" s="6">
        <f>IFERROR(__xludf.DUMMYFUNCTION("""COMPUTED_VALUE"""),1723.65)</f>
        <v>1723.65</v>
      </c>
      <c r="D21" s="6">
        <f>IFERROR(__xludf.DUMMYFUNCTION("""COMPUTED_VALUE"""),1642.0)</f>
        <v>1642</v>
      </c>
      <c r="E21" s="6">
        <f>IFERROR(__xludf.DUMMYFUNCTION("""COMPUTED_VALUE"""),1651.9)</f>
        <v>1651.9</v>
      </c>
      <c r="F21" s="6">
        <f>IFERROR(__xludf.DUMMYFUNCTION("""COMPUTED_VALUE"""),4703160.0)</f>
        <v>4703160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IFERROR(__xludf.DUMMYFUNCTION("""COMPUTED_VALUE"""),1597.45)</f>
        <v>1597.45</v>
      </c>
      <c r="C22" s="6">
        <f>IFERROR(__xludf.DUMMYFUNCTION("""COMPUTED_VALUE"""),1635.0)</f>
        <v>1635</v>
      </c>
      <c r="D22" s="6">
        <f>IFERROR(__xludf.DUMMYFUNCTION("""COMPUTED_VALUE"""),1575.0)</f>
        <v>1575</v>
      </c>
      <c r="E22" s="6">
        <f>IFERROR(__xludf.DUMMYFUNCTION("""COMPUTED_VALUE"""),1630.15)</f>
        <v>1630.15</v>
      </c>
      <c r="F22" s="6">
        <f>IFERROR(__xludf.DUMMYFUNCTION("""COMPUTED_VALUE"""),6167013.0)</f>
        <v>6167013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IFERROR(__xludf.DUMMYFUNCTION("""COMPUTED_VALUE"""),1630.0)</f>
        <v>1630</v>
      </c>
      <c r="C23" s="6">
        <f>IFERROR(__xludf.DUMMYFUNCTION("""COMPUTED_VALUE"""),1664.0)</f>
        <v>1664</v>
      </c>
      <c r="D23" s="6">
        <f>IFERROR(__xludf.DUMMYFUNCTION("""COMPUTED_VALUE"""),1585.0)</f>
        <v>1585</v>
      </c>
      <c r="E23" s="6">
        <f>IFERROR(__xludf.DUMMYFUNCTION("""COMPUTED_VALUE"""),1651.5)</f>
        <v>1651.5</v>
      </c>
      <c r="F23" s="6">
        <f>IFERROR(__xludf.DUMMYFUNCTION("""COMPUTED_VALUE"""),1.0145563E7)</f>
        <v>10145563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IFERROR(__xludf.DUMMYFUNCTION("""COMPUTED_VALUE"""),1650.0)</f>
        <v>1650</v>
      </c>
      <c r="C24" s="6">
        <f>IFERROR(__xludf.DUMMYFUNCTION("""COMPUTED_VALUE"""),1659.9)</f>
        <v>1659.9</v>
      </c>
      <c r="D24" s="6">
        <f>IFERROR(__xludf.DUMMYFUNCTION("""COMPUTED_VALUE"""),1562.7)</f>
        <v>1562.7</v>
      </c>
      <c r="E24" s="6">
        <f>IFERROR(__xludf.DUMMYFUNCTION("""COMPUTED_VALUE"""),1570.95)</f>
        <v>1570.95</v>
      </c>
      <c r="F24" s="6">
        <f>IFERROR(__xludf.DUMMYFUNCTION("""COMPUTED_VALUE"""),8969357.0)</f>
        <v>8969357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IFERROR(__xludf.DUMMYFUNCTION("""COMPUTED_VALUE"""),1578.75)</f>
        <v>1578.75</v>
      </c>
      <c r="C25" s="6">
        <f>IFERROR(__xludf.DUMMYFUNCTION("""COMPUTED_VALUE"""),1590.0)</f>
        <v>1590</v>
      </c>
      <c r="D25" s="6">
        <f>IFERROR(__xludf.DUMMYFUNCTION("""COMPUTED_VALUE"""),1551.5)</f>
        <v>1551.5</v>
      </c>
      <c r="E25" s="6">
        <f>IFERROR(__xludf.DUMMYFUNCTION("""COMPUTED_VALUE"""),1575.9)</f>
        <v>1575.9</v>
      </c>
      <c r="F25" s="6">
        <f>IFERROR(__xludf.DUMMYFUNCTION("""COMPUTED_VALUE"""),5054660.0)</f>
        <v>5054660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IFERROR(__xludf.DUMMYFUNCTION("""COMPUTED_VALUE"""),1576.0)</f>
        <v>1576</v>
      </c>
      <c r="C26" s="6">
        <f>IFERROR(__xludf.DUMMYFUNCTION("""COMPUTED_VALUE"""),1625.0)</f>
        <v>1625</v>
      </c>
      <c r="D26" s="6">
        <f>IFERROR(__xludf.DUMMYFUNCTION("""COMPUTED_VALUE"""),1565.85)</f>
        <v>1565.85</v>
      </c>
      <c r="E26" s="6">
        <f>IFERROR(__xludf.DUMMYFUNCTION("""COMPUTED_VALUE"""),1616.55)</f>
        <v>1616.55</v>
      </c>
      <c r="F26" s="6">
        <f>IFERROR(__xludf.DUMMYFUNCTION("""COMPUTED_VALUE"""),5418286.0)</f>
        <v>5418286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IFERROR(__xludf.DUMMYFUNCTION("""COMPUTED_VALUE"""),1616.0)</f>
        <v>1616</v>
      </c>
      <c r="C27" s="6">
        <f>IFERROR(__xludf.DUMMYFUNCTION("""COMPUTED_VALUE"""),1636.6)</f>
        <v>1636.6</v>
      </c>
      <c r="D27" s="6">
        <f>IFERROR(__xludf.DUMMYFUNCTION("""COMPUTED_VALUE"""),1530.8)</f>
        <v>1530.8</v>
      </c>
      <c r="E27" s="6">
        <f>IFERROR(__xludf.DUMMYFUNCTION("""COMPUTED_VALUE"""),1582.8)</f>
        <v>1582.8</v>
      </c>
      <c r="F27" s="6">
        <f>IFERROR(__xludf.DUMMYFUNCTION("""COMPUTED_VALUE"""),5553621.0)</f>
        <v>5553621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IFERROR(__xludf.DUMMYFUNCTION("""COMPUTED_VALUE"""),1597.5)</f>
        <v>1597.5</v>
      </c>
      <c r="C28" s="6">
        <f>IFERROR(__xludf.DUMMYFUNCTION("""COMPUTED_VALUE"""),1616.15)</f>
        <v>1616.15</v>
      </c>
      <c r="D28" s="6">
        <f>IFERROR(__xludf.DUMMYFUNCTION("""COMPUTED_VALUE"""),1547.5)</f>
        <v>1547.5</v>
      </c>
      <c r="E28" s="6">
        <f>IFERROR(__xludf.DUMMYFUNCTION("""COMPUTED_VALUE"""),1571.45)</f>
        <v>1571.45</v>
      </c>
      <c r="F28" s="6">
        <f>IFERROR(__xludf.DUMMYFUNCTION("""COMPUTED_VALUE"""),7371734.0)</f>
        <v>7371734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IFERROR(__xludf.DUMMYFUNCTION("""COMPUTED_VALUE"""),1570.95)</f>
        <v>1570.95</v>
      </c>
      <c r="C29" s="6">
        <f>IFERROR(__xludf.DUMMYFUNCTION("""COMPUTED_VALUE"""),1610.0)</f>
        <v>1610</v>
      </c>
      <c r="D29" s="6">
        <f>IFERROR(__xludf.DUMMYFUNCTION("""COMPUTED_VALUE"""),1551.1)</f>
        <v>1551.1</v>
      </c>
      <c r="E29" s="6">
        <f>IFERROR(__xludf.DUMMYFUNCTION("""COMPUTED_VALUE"""),1587.55)</f>
        <v>1587.55</v>
      </c>
      <c r="F29" s="6">
        <f>IFERROR(__xludf.DUMMYFUNCTION("""COMPUTED_VALUE"""),5491233.0)</f>
        <v>5491233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IFERROR(__xludf.DUMMYFUNCTION("""COMPUTED_VALUE"""),1589.0)</f>
        <v>1589</v>
      </c>
      <c r="C30" s="6">
        <f>IFERROR(__xludf.DUMMYFUNCTION("""COMPUTED_VALUE"""),1669.0)</f>
        <v>1669</v>
      </c>
      <c r="D30" s="6">
        <f>IFERROR(__xludf.DUMMYFUNCTION("""COMPUTED_VALUE"""),1578.2)</f>
        <v>1578.2</v>
      </c>
      <c r="E30" s="6">
        <f>IFERROR(__xludf.DUMMYFUNCTION("""COMPUTED_VALUE"""),1643.85)</f>
        <v>1643.85</v>
      </c>
      <c r="F30" s="6">
        <f>IFERROR(__xludf.DUMMYFUNCTION("""COMPUTED_VALUE"""),8032077.0)</f>
        <v>8032077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IFERROR(__xludf.DUMMYFUNCTION("""COMPUTED_VALUE"""),1659.05)</f>
        <v>1659.05</v>
      </c>
      <c r="C31" s="6">
        <f>IFERROR(__xludf.DUMMYFUNCTION("""COMPUTED_VALUE"""),1681.5)</f>
        <v>1681.5</v>
      </c>
      <c r="D31" s="6">
        <f>IFERROR(__xludf.DUMMYFUNCTION("""COMPUTED_VALUE"""),1625.7)</f>
        <v>1625.7</v>
      </c>
      <c r="E31" s="6">
        <f>IFERROR(__xludf.DUMMYFUNCTION("""COMPUTED_VALUE"""),1677.95)</f>
        <v>1677.95</v>
      </c>
      <c r="F31" s="6">
        <f>IFERROR(__xludf.DUMMYFUNCTION("""COMPUTED_VALUE"""),7121889.0)</f>
        <v>7121889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IFERROR(__xludf.DUMMYFUNCTION("""COMPUTED_VALUE"""),1690.0)</f>
        <v>1690</v>
      </c>
      <c r="C32" s="6">
        <f>IFERROR(__xludf.DUMMYFUNCTION("""COMPUTED_VALUE"""),1722.0)</f>
        <v>1722</v>
      </c>
      <c r="D32" s="6">
        <f>IFERROR(__xludf.DUMMYFUNCTION("""COMPUTED_VALUE"""),1684.85)</f>
        <v>1684.85</v>
      </c>
      <c r="E32" s="6">
        <f>IFERROR(__xludf.DUMMYFUNCTION("""COMPUTED_VALUE"""),1698.65)</f>
        <v>1698.65</v>
      </c>
      <c r="F32" s="6">
        <f>IFERROR(__xludf.DUMMYFUNCTION("""COMPUTED_VALUE"""),4973386.0)</f>
        <v>4973386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IFERROR(__xludf.DUMMYFUNCTION("""COMPUTED_VALUE"""),1672.0)</f>
        <v>1672</v>
      </c>
      <c r="C33" s="6">
        <f>IFERROR(__xludf.DUMMYFUNCTION("""COMPUTED_VALUE"""),1692.0)</f>
        <v>1692</v>
      </c>
      <c r="D33" s="6">
        <f>IFERROR(__xludf.DUMMYFUNCTION("""COMPUTED_VALUE"""),1568.7)</f>
        <v>1568.7</v>
      </c>
      <c r="E33" s="6">
        <f>IFERROR(__xludf.DUMMYFUNCTION("""COMPUTED_VALUE"""),1619.0)</f>
        <v>1619</v>
      </c>
      <c r="F33" s="6">
        <f>IFERROR(__xludf.DUMMYFUNCTION("""COMPUTED_VALUE"""),4924990.0)</f>
        <v>4924990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IFERROR(__xludf.DUMMYFUNCTION("""COMPUTED_VALUE"""),1627.0)</f>
        <v>1627</v>
      </c>
      <c r="C34" s="6">
        <f>IFERROR(__xludf.DUMMYFUNCTION("""COMPUTED_VALUE"""),1672.0)</f>
        <v>1672</v>
      </c>
      <c r="D34" s="6">
        <f>IFERROR(__xludf.DUMMYFUNCTION("""COMPUTED_VALUE"""),1578.45)</f>
        <v>1578.45</v>
      </c>
      <c r="E34" s="6">
        <f>IFERROR(__xludf.DUMMYFUNCTION("""COMPUTED_VALUE"""),1597.35)</f>
        <v>1597.35</v>
      </c>
      <c r="F34" s="6">
        <f>IFERROR(__xludf.DUMMYFUNCTION("""COMPUTED_VALUE"""),9474036.0)</f>
        <v>9474036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IFERROR(__xludf.DUMMYFUNCTION("""COMPUTED_VALUE"""),1603.0)</f>
        <v>1603</v>
      </c>
      <c r="C35" s="6">
        <f>IFERROR(__xludf.DUMMYFUNCTION("""COMPUTED_VALUE"""),1725.0)</f>
        <v>1725</v>
      </c>
      <c r="D35" s="6">
        <f>IFERROR(__xludf.DUMMYFUNCTION("""COMPUTED_VALUE"""),1587.35)</f>
        <v>1587.35</v>
      </c>
      <c r="E35" s="6">
        <f>IFERROR(__xludf.DUMMYFUNCTION("""COMPUTED_VALUE"""),1627.3)</f>
        <v>1627.3</v>
      </c>
      <c r="F35" s="6">
        <f>IFERROR(__xludf.DUMMYFUNCTION("""COMPUTED_VALUE"""),9413535.0)</f>
        <v>9413535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IFERROR(__xludf.DUMMYFUNCTION("""COMPUTED_VALUE"""),1637.9)</f>
        <v>1637.9</v>
      </c>
      <c r="C36" s="6">
        <f>IFERROR(__xludf.DUMMYFUNCTION("""COMPUTED_VALUE"""),1637.9)</f>
        <v>1637.9</v>
      </c>
      <c r="D36" s="6">
        <f>IFERROR(__xludf.DUMMYFUNCTION("""COMPUTED_VALUE"""),1556.0)</f>
        <v>1556</v>
      </c>
      <c r="E36" s="6">
        <f>IFERROR(__xludf.DUMMYFUNCTION("""COMPUTED_VALUE"""),1572.7)</f>
        <v>1572.7</v>
      </c>
      <c r="F36" s="6">
        <f>IFERROR(__xludf.DUMMYFUNCTION("""COMPUTED_VALUE"""),5008673.0)</f>
        <v>5008673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IFERROR(__xludf.DUMMYFUNCTION("""COMPUTED_VALUE"""),1587.5)</f>
        <v>1587.5</v>
      </c>
      <c r="C37" s="6">
        <f>IFERROR(__xludf.DUMMYFUNCTION("""COMPUTED_VALUE"""),1620.0)</f>
        <v>1620</v>
      </c>
      <c r="D37" s="6">
        <f>IFERROR(__xludf.DUMMYFUNCTION("""COMPUTED_VALUE"""),1572.0)</f>
        <v>1572</v>
      </c>
      <c r="E37" s="6">
        <f>IFERROR(__xludf.DUMMYFUNCTION("""COMPUTED_VALUE"""),1601.7)</f>
        <v>1601.7</v>
      </c>
      <c r="F37" s="6">
        <f>IFERROR(__xludf.DUMMYFUNCTION("""COMPUTED_VALUE"""),3595991.0)</f>
        <v>3595991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IFERROR(__xludf.DUMMYFUNCTION("""COMPUTED_VALUE"""),1605.0)</f>
        <v>1605</v>
      </c>
      <c r="C38" s="6">
        <f>IFERROR(__xludf.DUMMYFUNCTION("""COMPUTED_VALUE"""),1612.85)</f>
        <v>1612.85</v>
      </c>
      <c r="D38" s="6">
        <f>IFERROR(__xludf.DUMMYFUNCTION("""COMPUTED_VALUE"""),1517.0)</f>
        <v>1517</v>
      </c>
      <c r="E38" s="6">
        <f>IFERROR(__xludf.DUMMYFUNCTION("""COMPUTED_VALUE"""),1528.6)</f>
        <v>1528.6</v>
      </c>
      <c r="F38" s="6">
        <f>IFERROR(__xludf.DUMMYFUNCTION("""COMPUTED_VALUE"""),9416218.0)</f>
        <v>9416218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IFERROR(__xludf.DUMMYFUNCTION("""COMPUTED_VALUE"""),1580.0)</f>
        <v>1580</v>
      </c>
      <c r="C39" s="6">
        <f>IFERROR(__xludf.DUMMYFUNCTION("""COMPUTED_VALUE"""),1583.0)</f>
        <v>1583</v>
      </c>
      <c r="D39" s="6">
        <f>IFERROR(__xludf.DUMMYFUNCTION("""COMPUTED_VALUE"""),1419.05)</f>
        <v>1419.05</v>
      </c>
      <c r="E39" s="6">
        <f>IFERROR(__xludf.DUMMYFUNCTION("""COMPUTED_VALUE"""),1567.7)</f>
        <v>1567.7</v>
      </c>
      <c r="F39" s="6">
        <f>IFERROR(__xludf.DUMMYFUNCTION("""COMPUTED_VALUE"""),1.3350592E7)</f>
        <v>13350592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IFERROR(__xludf.DUMMYFUNCTION("""COMPUTED_VALUE"""),1586.05)</f>
        <v>1586.05</v>
      </c>
      <c r="C40" s="6">
        <f>IFERROR(__xludf.DUMMYFUNCTION("""COMPUTED_VALUE"""),1596.0)</f>
        <v>1596</v>
      </c>
      <c r="D40" s="6">
        <f>IFERROR(__xludf.DUMMYFUNCTION("""COMPUTED_VALUE"""),1558.0)</f>
        <v>1558</v>
      </c>
      <c r="E40" s="6">
        <f>IFERROR(__xludf.DUMMYFUNCTION("""COMPUTED_VALUE"""),1591.75)</f>
        <v>1591.75</v>
      </c>
      <c r="F40" s="6">
        <f>IFERROR(__xludf.DUMMYFUNCTION("""COMPUTED_VALUE"""),5914935.0)</f>
        <v>5914935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IFERROR(__xludf.DUMMYFUNCTION("""COMPUTED_VALUE"""),1599.0)</f>
        <v>1599</v>
      </c>
      <c r="C41" s="6">
        <f>IFERROR(__xludf.DUMMYFUNCTION("""COMPUTED_VALUE"""),1610.85)</f>
        <v>1610.85</v>
      </c>
      <c r="D41" s="6">
        <f>IFERROR(__xludf.DUMMYFUNCTION("""COMPUTED_VALUE"""),1570.5)</f>
        <v>1570.5</v>
      </c>
      <c r="E41" s="6">
        <f>IFERROR(__xludf.DUMMYFUNCTION("""COMPUTED_VALUE"""),1578.9)</f>
        <v>1578.9</v>
      </c>
      <c r="F41" s="6">
        <f>IFERROR(__xludf.DUMMYFUNCTION("""COMPUTED_VALUE"""),7546755.0)</f>
        <v>7546755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IFERROR(__xludf.DUMMYFUNCTION("""COMPUTED_VALUE"""),1570.05)</f>
        <v>1570.05</v>
      </c>
      <c r="C42" s="6">
        <f>IFERROR(__xludf.DUMMYFUNCTION("""COMPUTED_VALUE"""),1622.0)</f>
        <v>1622</v>
      </c>
      <c r="D42" s="6">
        <f>IFERROR(__xludf.DUMMYFUNCTION("""COMPUTED_VALUE"""),1561.0)</f>
        <v>1561</v>
      </c>
      <c r="E42" s="6">
        <f>IFERROR(__xludf.DUMMYFUNCTION("""COMPUTED_VALUE"""),1588.15)</f>
        <v>1588.15</v>
      </c>
      <c r="F42" s="6">
        <f>IFERROR(__xludf.DUMMYFUNCTION("""COMPUTED_VALUE"""),9905415.0)</f>
        <v>9905415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IFERROR(__xludf.DUMMYFUNCTION("""COMPUTED_VALUE"""),1588.2)</f>
        <v>1588.2</v>
      </c>
      <c r="C43" s="6">
        <f>IFERROR(__xludf.DUMMYFUNCTION("""COMPUTED_VALUE"""),1610.0)</f>
        <v>1610</v>
      </c>
      <c r="D43" s="6">
        <f>IFERROR(__xludf.DUMMYFUNCTION("""COMPUTED_VALUE"""),1561.1)</f>
        <v>1561.1</v>
      </c>
      <c r="E43" s="6">
        <f>IFERROR(__xludf.DUMMYFUNCTION("""COMPUTED_VALUE"""),1579.6)</f>
        <v>1579.6</v>
      </c>
      <c r="F43" s="6">
        <f>IFERROR(__xludf.DUMMYFUNCTION("""COMPUTED_VALUE"""),8430256.0)</f>
        <v>8430256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IFERROR(__xludf.DUMMYFUNCTION("""COMPUTED_VALUE"""),1579.6)</f>
        <v>1579.6</v>
      </c>
      <c r="C44" s="6">
        <f>IFERROR(__xludf.DUMMYFUNCTION("""COMPUTED_VALUE"""),1604.85)</f>
        <v>1604.85</v>
      </c>
      <c r="D44" s="6">
        <f>IFERROR(__xludf.DUMMYFUNCTION("""COMPUTED_VALUE"""),1562.0)</f>
        <v>1562</v>
      </c>
      <c r="E44" s="6">
        <f>IFERROR(__xludf.DUMMYFUNCTION("""COMPUTED_VALUE"""),1597.25)</f>
        <v>1597.25</v>
      </c>
      <c r="F44" s="6">
        <f>IFERROR(__xludf.DUMMYFUNCTION("""COMPUTED_VALUE"""),6442238.0)</f>
        <v>6442238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IFERROR(__xludf.DUMMYFUNCTION("""COMPUTED_VALUE"""),1597.0)</f>
        <v>1597</v>
      </c>
      <c r="C45" s="6">
        <f>IFERROR(__xludf.DUMMYFUNCTION("""COMPUTED_VALUE"""),1660.0)</f>
        <v>1660</v>
      </c>
      <c r="D45" s="6">
        <f>IFERROR(__xludf.DUMMYFUNCTION("""COMPUTED_VALUE"""),1588.0)</f>
        <v>1588</v>
      </c>
      <c r="E45" s="6">
        <f>IFERROR(__xludf.DUMMYFUNCTION("""COMPUTED_VALUE"""),1640.25)</f>
        <v>1640.25</v>
      </c>
      <c r="F45" s="6">
        <f>IFERROR(__xludf.DUMMYFUNCTION("""COMPUTED_VALUE"""),7598419.0)</f>
        <v>7598419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IFERROR(__xludf.DUMMYFUNCTION("""COMPUTED_VALUE"""),1625.0)</f>
        <v>1625</v>
      </c>
      <c r="C46" s="6">
        <f>IFERROR(__xludf.DUMMYFUNCTION("""COMPUTED_VALUE"""),1651.8)</f>
        <v>1651.8</v>
      </c>
      <c r="D46" s="6">
        <f>IFERROR(__xludf.DUMMYFUNCTION("""COMPUTED_VALUE"""),1558.0)</f>
        <v>1558</v>
      </c>
      <c r="E46" s="6">
        <f>IFERROR(__xludf.DUMMYFUNCTION("""COMPUTED_VALUE"""),1586.45)</f>
        <v>1586.45</v>
      </c>
      <c r="F46" s="6">
        <f>IFERROR(__xludf.DUMMYFUNCTION("""COMPUTED_VALUE"""),1.1642582E7)</f>
        <v>11642582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IFERROR(__xludf.DUMMYFUNCTION("""COMPUTED_VALUE"""),1588.15)</f>
        <v>1588.15</v>
      </c>
      <c r="C47" s="6">
        <f>IFERROR(__xludf.DUMMYFUNCTION("""COMPUTED_VALUE"""),1669.9)</f>
        <v>1669.9</v>
      </c>
      <c r="D47" s="6">
        <f>IFERROR(__xludf.DUMMYFUNCTION("""COMPUTED_VALUE"""),1582.5)</f>
        <v>1582.5</v>
      </c>
      <c r="E47" s="6">
        <f>IFERROR(__xludf.DUMMYFUNCTION("""COMPUTED_VALUE"""),1623.45)</f>
        <v>1623.45</v>
      </c>
      <c r="F47" s="6">
        <f>IFERROR(__xludf.DUMMYFUNCTION("""COMPUTED_VALUE"""),9098714.0)</f>
        <v>9098714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IFERROR(__xludf.DUMMYFUNCTION("""COMPUTED_VALUE"""),1590.0)</f>
        <v>1590</v>
      </c>
      <c r="C48" s="6">
        <f>IFERROR(__xludf.DUMMYFUNCTION("""COMPUTED_VALUE"""),1605.0)</f>
        <v>1605</v>
      </c>
      <c r="D48" s="6">
        <f>IFERROR(__xludf.DUMMYFUNCTION("""COMPUTED_VALUE"""),1532.55)</f>
        <v>1532.55</v>
      </c>
      <c r="E48" s="6">
        <f>IFERROR(__xludf.DUMMYFUNCTION("""COMPUTED_VALUE"""),1560.2)</f>
        <v>1560.2</v>
      </c>
      <c r="F48" s="6">
        <f>IFERROR(__xludf.DUMMYFUNCTION("""COMPUTED_VALUE"""),8097443.0)</f>
        <v>8097443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IFERROR(__xludf.DUMMYFUNCTION("""COMPUTED_VALUE"""),1557.0)</f>
        <v>1557</v>
      </c>
      <c r="C49" s="6">
        <f>IFERROR(__xludf.DUMMYFUNCTION("""COMPUTED_VALUE"""),1570.85)</f>
        <v>1570.85</v>
      </c>
      <c r="D49" s="6">
        <f>IFERROR(__xludf.DUMMYFUNCTION("""COMPUTED_VALUE"""),1523.25)</f>
        <v>1523.25</v>
      </c>
      <c r="E49" s="6">
        <f>IFERROR(__xludf.DUMMYFUNCTION("""COMPUTED_VALUE"""),1549.9)</f>
        <v>1549.9</v>
      </c>
      <c r="F49" s="6">
        <f>IFERROR(__xludf.DUMMYFUNCTION("""COMPUTED_VALUE"""),5957711.0)</f>
        <v>5957711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IFERROR(__xludf.DUMMYFUNCTION("""COMPUTED_VALUE"""),1563.9)</f>
        <v>1563.9</v>
      </c>
      <c r="C50" s="6">
        <f>IFERROR(__xludf.DUMMYFUNCTION("""COMPUTED_VALUE"""),1644.95)</f>
        <v>1644.95</v>
      </c>
      <c r="D50" s="6">
        <f>IFERROR(__xludf.DUMMYFUNCTION("""COMPUTED_VALUE"""),1545.05)</f>
        <v>1545.05</v>
      </c>
      <c r="E50" s="6">
        <f>IFERROR(__xludf.DUMMYFUNCTION("""COMPUTED_VALUE"""),1639.9)</f>
        <v>1639.9</v>
      </c>
      <c r="F50" s="6">
        <f>IFERROR(__xludf.DUMMYFUNCTION("""COMPUTED_VALUE"""),8496377.0)</f>
        <v>8496377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IFERROR(__xludf.DUMMYFUNCTION("""COMPUTED_VALUE"""),1649.0)</f>
        <v>1649</v>
      </c>
      <c r="C51" s="6">
        <f>IFERROR(__xludf.DUMMYFUNCTION("""COMPUTED_VALUE"""),1793.5)</f>
        <v>1793.5</v>
      </c>
      <c r="D51" s="6">
        <f>IFERROR(__xludf.DUMMYFUNCTION("""COMPUTED_VALUE"""),1638.75)</f>
        <v>1638.75</v>
      </c>
      <c r="E51" s="6">
        <f>IFERROR(__xludf.DUMMYFUNCTION("""COMPUTED_VALUE"""),1783.05)</f>
        <v>1783.05</v>
      </c>
      <c r="F51" s="6">
        <f>IFERROR(__xludf.DUMMYFUNCTION("""COMPUTED_VALUE"""),1.7470074E7)</f>
        <v>17470074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IFERROR(__xludf.DUMMYFUNCTION("""COMPUTED_VALUE"""),1796.4)</f>
        <v>1796.4</v>
      </c>
      <c r="C52" s="6">
        <f>IFERROR(__xludf.DUMMYFUNCTION("""COMPUTED_VALUE"""),1898.0)</f>
        <v>1898</v>
      </c>
      <c r="D52" s="6">
        <f>IFERROR(__xludf.DUMMYFUNCTION("""COMPUTED_VALUE"""),1787.8)</f>
        <v>1787.8</v>
      </c>
      <c r="E52" s="6">
        <f>IFERROR(__xludf.DUMMYFUNCTION("""COMPUTED_VALUE"""),1857.15)</f>
        <v>1857.15</v>
      </c>
      <c r="F52" s="6">
        <f>IFERROR(__xludf.DUMMYFUNCTION("""COMPUTED_VALUE"""),1.6919286E7)</f>
        <v>16919286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IFERROR(__xludf.DUMMYFUNCTION("""COMPUTED_VALUE"""),1860.0)</f>
        <v>1860</v>
      </c>
      <c r="C53" s="6">
        <f>IFERROR(__xludf.DUMMYFUNCTION("""COMPUTED_VALUE"""),1906.9)</f>
        <v>1906.9</v>
      </c>
      <c r="D53" s="6">
        <f>IFERROR(__xludf.DUMMYFUNCTION("""COMPUTED_VALUE"""),1814.25)</f>
        <v>1814.25</v>
      </c>
      <c r="E53" s="6">
        <f>IFERROR(__xludf.DUMMYFUNCTION("""COMPUTED_VALUE"""),1894.45)</f>
        <v>1894.45</v>
      </c>
      <c r="F53" s="6">
        <f>IFERROR(__xludf.DUMMYFUNCTION("""COMPUTED_VALUE"""),1.0343461E7)</f>
        <v>10343461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IFERROR(__xludf.DUMMYFUNCTION("""COMPUTED_VALUE"""),1902.0)</f>
        <v>1902</v>
      </c>
      <c r="C54" s="6">
        <f>IFERROR(__xludf.DUMMYFUNCTION("""COMPUTED_VALUE"""),1924.5)</f>
        <v>1924.5</v>
      </c>
      <c r="D54" s="6">
        <f>IFERROR(__xludf.DUMMYFUNCTION("""COMPUTED_VALUE"""),1838.05)</f>
        <v>1838.05</v>
      </c>
      <c r="E54" s="6">
        <f>IFERROR(__xludf.DUMMYFUNCTION("""COMPUTED_VALUE"""),1916.8)</f>
        <v>1916.8</v>
      </c>
      <c r="F54" s="6">
        <f>IFERROR(__xludf.DUMMYFUNCTION("""COMPUTED_VALUE"""),1.4109204E7)</f>
        <v>14109204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IFERROR(__xludf.DUMMYFUNCTION("""COMPUTED_VALUE"""),1929.85)</f>
        <v>1929.85</v>
      </c>
      <c r="C55" s="6">
        <f>IFERROR(__xludf.DUMMYFUNCTION("""COMPUTED_VALUE"""),2029.9)</f>
        <v>2029.9</v>
      </c>
      <c r="D55" s="6">
        <f>IFERROR(__xludf.DUMMYFUNCTION("""COMPUTED_VALUE"""),1896.05)</f>
        <v>1896.05</v>
      </c>
      <c r="E55" s="6">
        <f>IFERROR(__xludf.DUMMYFUNCTION("""COMPUTED_VALUE"""),2010.7)</f>
        <v>2010.7</v>
      </c>
      <c r="F55" s="6">
        <f>IFERROR(__xludf.DUMMYFUNCTION("""COMPUTED_VALUE"""),9741414.0)</f>
        <v>9741414</v>
      </c>
    </row>
    <row r="56">
      <c r="A56" s="7">
        <f>IFERROR(__xludf.DUMMYFUNCTION("""COMPUTED_VALUE"""),45569.64583333333)</f>
        <v>45569.64583</v>
      </c>
      <c r="B56" s="6">
        <f>IFERROR(__xludf.DUMMYFUNCTION("""COMPUTED_VALUE"""),2010.7)</f>
        <v>2010.7</v>
      </c>
      <c r="C56" s="6">
        <f>IFERROR(__xludf.DUMMYFUNCTION("""COMPUTED_VALUE"""),2018.95)</f>
        <v>2018.95</v>
      </c>
      <c r="D56" s="6">
        <f>IFERROR(__xludf.DUMMYFUNCTION("""COMPUTED_VALUE"""),1865.25)</f>
        <v>1865.25</v>
      </c>
      <c r="E56" s="6">
        <f>IFERROR(__xludf.DUMMYFUNCTION("""COMPUTED_VALUE"""),1884.55)</f>
        <v>1884.55</v>
      </c>
      <c r="F56" s="6">
        <f>IFERROR(__xludf.DUMMYFUNCTION("""COMPUTED_VALUE"""),7312942.0)</f>
        <v>7312942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IFERROR(__xludf.DUMMYFUNCTION("""COMPUTED_VALUE"""),1884.55)</f>
        <v>1884.55</v>
      </c>
      <c r="C57" s="6">
        <f>IFERROR(__xludf.DUMMYFUNCTION("""COMPUTED_VALUE"""),1901.6)</f>
        <v>1901.6</v>
      </c>
      <c r="D57" s="6">
        <f>IFERROR(__xludf.DUMMYFUNCTION("""COMPUTED_VALUE"""),1833.1)</f>
        <v>1833.1</v>
      </c>
      <c r="E57" s="6">
        <f>IFERROR(__xludf.DUMMYFUNCTION("""COMPUTED_VALUE"""),1876.4)</f>
        <v>1876.4</v>
      </c>
      <c r="F57" s="6">
        <f>IFERROR(__xludf.DUMMYFUNCTION("""COMPUTED_VALUE"""),5984183.0)</f>
        <v>5984183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IFERROR(__xludf.DUMMYFUNCTION("""COMPUTED_VALUE"""),1885.1)</f>
        <v>1885.1</v>
      </c>
      <c r="C58" s="6">
        <f>IFERROR(__xludf.DUMMYFUNCTION("""COMPUTED_VALUE"""),1895.75)</f>
        <v>1895.75</v>
      </c>
      <c r="D58" s="6">
        <f>IFERROR(__xludf.DUMMYFUNCTION("""COMPUTED_VALUE"""),1793.0)</f>
        <v>1793</v>
      </c>
      <c r="E58" s="6">
        <f>IFERROR(__xludf.DUMMYFUNCTION("""COMPUTED_VALUE"""),1819.9)</f>
        <v>1819.9</v>
      </c>
      <c r="F58" s="6">
        <f>IFERROR(__xludf.DUMMYFUNCTION("""COMPUTED_VALUE"""),5838715.0)</f>
        <v>5838715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IFERROR(__xludf.DUMMYFUNCTION("""COMPUTED_VALUE"""),1822.0)</f>
        <v>1822</v>
      </c>
      <c r="C59" s="6">
        <f>IFERROR(__xludf.DUMMYFUNCTION("""COMPUTED_VALUE"""),1823.9)</f>
        <v>1823.9</v>
      </c>
      <c r="D59" s="6">
        <f>IFERROR(__xludf.DUMMYFUNCTION("""COMPUTED_VALUE"""),1698.1)</f>
        <v>1698.1</v>
      </c>
      <c r="E59" s="6">
        <f>IFERROR(__xludf.DUMMYFUNCTION("""COMPUTED_VALUE"""),1707.4)</f>
        <v>1707.4</v>
      </c>
      <c r="F59" s="6">
        <f>IFERROR(__xludf.DUMMYFUNCTION("""COMPUTED_VALUE"""),9769946.0)</f>
        <v>9769946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IFERROR(__xludf.DUMMYFUNCTION("""COMPUTED_VALUE"""),1754.7)</f>
        <v>1754.7</v>
      </c>
      <c r="C60" s="6">
        <f>IFERROR(__xludf.DUMMYFUNCTION("""COMPUTED_VALUE"""),1759.7)</f>
        <v>1759.7</v>
      </c>
      <c r="D60" s="6">
        <f>IFERROR(__xludf.DUMMYFUNCTION("""COMPUTED_VALUE"""),1686.0)</f>
        <v>1686</v>
      </c>
      <c r="E60" s="6">
        <f>IFERROR(__xludf.DUMMYFUNCTION("""COMPUTED_VALUE"""),1739.75)</f>
        <v>1739.75</v>
      </c>
      <c r="F60" s="6">
        <f>IFERROR(__xludf.DUMMYFUNCTION("""COMPUTED_VALUE"""),5591391.0)</f>
        <v>5591391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IFERROR(__xludf.DUMMYFUNCTION("""COMPUTED_VALUE"""),1727.55)</f>
        <v>1727.55</v>
      </c>
      <c r="C61" s="6">
        <f>IFERROR(__xludf.DUMMYFUNCTION("""COMPUTED_VALUE"""),1751.95)</f>
        <v>1751.95</v>
      </c>
      <c r="D61" s="6">
        <f>IFERROR(__xludf.DUMMYFUNCTION("""COMPUTED_VALUE"""),1633.55)</f>
        <v>1633.55</v>
      </c>
      <c r="E61" s="6">
        <f>IFERROR(__xludf.DUMMYFUNCTION("""COMPUTED_VALUE"""),1639.8)</f>
        <v>1639.8</v>
      </c>
      <c r="F61" s="6">
        <f>IFERROR(__xludf.DUMMYFUNCTION("""COMPUTED_VALUE"""),3013064.0)</f>
        <v>3013064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IFERROR(__xludf.DUMMYFUNCTION("""COMPUTED_VALUE"""),1634.0)</f>
        <v>1634</v>
      </c>
      <c r="C62" s="6">
        <f>IFERROR(__xludf.DUMMYFUNCTION("""COMPUTED_VALUE"""),1641.95)</f>
        <v>1641.95</v>
      </c>
      <c r="D62" s="6">
        <f>IFERROR(__xludf.DUMMYFUNCTION("""COMPUTED_VALUE"""),1562.05)</f>
        <v>1562.05</v>
      </c>
      <c r="E62" s="6">
        <f>IFERROR(__xludf.DUMMYFUNCTION("""COMPUTED_VALUE"""),1600.85)</f>
        <v>1600.85</v>
      </c>
      <c r="F62" s="6">
        <f>IFERROR(__xludf.DUMMYFUNCTION("""COMPUTED_VALUE"""),7255508.0)</f>
        <v>7255508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IFERROR(__xludf.DUMMYFUNCTION("""COMPUTED_VALUE"""),1618.0)</f>
        <v>1618</v>
      </c>
      <c r="C63" s="6">
        <f>IFERROR(__xludf.DUMMYFUNCTION("""COMPUTED_VALUE"""),1638.8)</f>
        <v>1638.8</v>
      </c>
      <c r="D63" s="6">
        <f>IFERROR(__xludf.DUMMYFUNCTION("""COMPUTED_VALUE"""),1567.65)</f>
        <v>1567.65</v>
      </c>
      <c r="E63" s="6">
        <f>IFERROR(__xludf.DUMMYFUNCTION("""COMPUTED_VALUE"""),1579.95)</f>
        <v>1579.95</v>
      </c>
      <c r="F63" s="6">
        <f>IFERROR(__xludf.DUMMYFUNCTION("""COMPUTED_VALUE"""),1.1468065E7)</f>
        <v>11468065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IFERROR(__xludf.DUMMYFUNCTION("""COMPUTED_VALUE"""),1588.0)</f>
        <v>1588</v>
      </c>
      <c r="C64" s="6">
        <f>IFERROR(__xludf.DUMMYFUNCTION("""COMPUTED_VALUE"""),1654.1)</f>
        <v>1654.1</v>
      </c>
      <c r="D64" s="6">
        <f>IFERROR(__xludf.DUMMYFUNCTION("""COMPUTED_VALUE"""),1567.0)</f>
        <v>1567</v>
      </c>
      <c r="E64" s="6">
        <f>IFERROR(__xludf.DUMMYFUNCTION("""COMPUTED_VALUE"""),1635.2)</f>
        <v>1635.2</v>
      </c>
      <c r="F64" s="6">
        <f>IFERROR(__xludf.DUMMYFUNCTION("""COMPUTED_VALUE"""),7495781.0)</f>
        <v>7495781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IFERROR(__xludf.DUMMYFUNCTION("""COMPUTED_VALUE"""),1642.0)</f>
        <v>1642</v>
      </c>
      <c r="C65" s="6">
        <f>IFERROR(__xludf.DUMMYFUNCTION("""COMPUTED_VALUE"""),1690.5)</f>
        <v>1690.5</v>
      </c>
      <c r="D65" s="6">
        <f>IFERROR(__xludf.DUMMYFUNCTION("""COMPUTED_VALUE"""),1619.2)</f>
        <v>1619.2</v>
      </c>
      <c r="E65" s="6">
        <f>IFERROR(__xludf.DUMMYFUNCTION("""COMPUTED_VALUE"""),1679.7)</f>
        <v>1679.7</v>
      </c>
      <c r="F65" s="6">
        <f>IFERROR(__xludf.DUMMYFUNCTION("""COMPUTED_VALUE"""),7192539.0)</f>
        <v>7192539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IFERROR(__xludf.DUMMYFUNCTION("""COMPUTED_VALUE"""),1675.0)</f>
        <v>1675</v>
      </c>
      <c r="C66" s="6">
        <f>IFERROR(__xludf.DUMMYFUNCTION("""COMPUTED_VALUE"""),1683.95)</f>
        <v>1683.95</v>
      </c>
      <c r="D66" s="6">
        <f>IFERROR(__xludf.DUMMYFUNCTION("""COMPUTED_VALUE"""),1565.0)</f>
        <v>1565</v>
      </c>
      <c r="E66" s="6">
        <f>IFERROR(__xludf.DUMMYFUNCTION("""COMPUTED_VALUE"""),1569.65)</f>
        <v>1569.65</v>
      </c>
      <c r="F66" s="6">
        <f>IFERROR(__xludf.DUMMYFUNCTION("""COMPUTED_VALUE"""),6283365.0)</f>
        <v>6283365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IFERROR(__xludf.DUMMYFUNCTION("""COMPUTED_VALUE"""),1583.0)</f>
        <v>1583</v>
      </c>
      <c r="C67" s="6">
        <f>IFERROR(__xludf.DUMMYFUNCTION("""COMPUTED_VALUE"""),1594.75)</f>
        <v>1594.75</v>
      </c>
      <c r="D67" s="6">
        <f>IFERROR(__xludf.DUMMYFUNCTION("""COMPUTED_VALUE"""),1551.65)</f>
        <v>1551.65</v>
      </c>
      <c r="E67" s="6">
        <f>IFERROR(__xludf.DUMMYFUNCTION("""COMPUTED_VALUE"""),1579.3)</f>
        <v>1579.3</v>
      </c>
      <c r="F67" s="6">
        <f>IFERROR(__xludf.DUMMYFUNCTION("""COMPUTED_VALUE"""),3763811.0)</f>
        <v>3763811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IFERROR(__xludf.DUMMYFUNCTION("""COMPUTED_VALUE"""),1580.0)</f>
        <v>1580</v>
      </c>
      <c r="C68" s="6">
        <f>IFERROR(__xludf.DUMMYFUNCTION("""COMPUTED_VALUE"""),1720.0)</f>
        <v>1720</v>
      </c>
      <c r="D68" s="6">
        <f>IFERROR(__xludf.DUMMYFUNCTION("""COMPUTED_VALUE"""),1560.0)</f>
        <v>1560</v>
      </c>
      <c r="E68" s="6">
        <f>IFERROR(__xludf.DUMMYFUNCTION("""COMPUTED_VALUE"""),1701.1)</f>
        <v>1701.1</v>
      </c>
      <c r="F68" s="6">
        <f>IFERROR(__xludf.DUMMYFUNCTION("""COMPUTED_VALUE"""),1.2398782E7)</f>
        <v>12398782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IFERROR(__xludf.DUMMYFUNCTION("""COMPUTED_VALUE"""),1715.0)</f>
        <v>1715</v>
      </c>
      <c r="C69" s="6">
        <f>IFERROR(__xludf.DUMMYFUNCTION("""COMPUTED_VALUE"""),1732.95)</f>
        <v>1732.95</v>
      </c>
      <c r="D69" s="6">
        <f>IFERROR(__xludf.DUMMYFUNCTION("""COMPUTED_VALUE"""),1668.55)</f>
        <v>1668.55</v>
      </c>
      <c r="E69" s="6">
        <f>IFERROR(__xludf.DUMMYFUNCTION("""COMPUTED_VALUE"""),1701.25)</f>
        <v>1701.25</v>
      </c>
      <c r="F69" s="6">
        <f>IFERROR(__xludf.DUMMYFUNCTION("""COMPUTED_VALUE"""),7021277.0)</f>
        <v>7021277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IFERROR(__xludf.DUMMYFUNCTION("""COMPUTED_VALUE"""),1689.6)</f>
        <v>1689.6</v>
      </c>
      <c r="C70" s="6">
        <f>IFERROR(__xludf.DUMMYFUNCTION("""COMPUTED_VALUE"""),1730.45)</f>
        <v>1730.45</v>
      </c>
      <c r="D70" s="6">
        <f>IFERROR(__xludf.DUMMYFUNCTION("""COMPUTED_VALUE"""),1650.0)</f>
        <v>1650</v>
      </c>
      <c r="E70" s="6">
        <f>IFERROR(__xludf.DUMMYFUNCTION("""COMPUTED_VALUE"""),1680.65)</f>
        <v>1680.65</v>
      </c>
      <c r="F70" s="6">
        <f>IFERROR(__xludf.DUMMYFUNCTION("""COMPUTED_VALUE"""),7371833.0)</f>
        <v>7371833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IFERROR(__xludf.DUMMYFUNCTION("""COMPUTED_VALUE"""),1686.3)</f>
        <v>1686.3</v>
      </c>
      <c r="C71" s="6">
        <f>IFERROR(__xludf.DUMMYFUNCTION("""COMPUTED_VALUE"""),1766.0)</f>
        <v>1766</v>
      </c>
      <c r="D71" s="6">
        <f>IFERROR(__xludf.DUMMYFUNCTION("""COMPUTED_VALUE"""),1674.4)</f>
        <v>1674.4</v>
      </c>
      <c r="E71" s="6">
        <f>IFERROR(__xludf.DUMMYFUNCTION("""COMPUTED_VALUE"""),1728.7)</f>
        <v>1728.7</v>
      </c>
      <c r="F71" s="6">
        <f>IFERROR(__xludf.DUMMYFUNCTION("""COMPUTED_VALUE"""),7688530.0)</f>
        <v>7688530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IFERROR(__xludf.DUMMYFUNCTION("""COMPUTED_VALUE"""),1735.0)</f>
        <v>1735</v>
      </c>
      <c r="C72" s="6">
        <f>IFERROR(__xludf.DUMMYFUNCTION("""COMPUTED_VALUE"""),1826.55)</f>
        <v>1826.55</v>
      </c>
      <c r="D72" s="6">
        <f>IFERROR(__xludf.DUMMYFUNCTION("""COMPUTED_VALUE"""),1733.35)</f>
        <v>1733.35</v>
      </c>
      <c r="E72" s="6">
        <f>IFERROR(__xludf.DUMMYFUNCTION("""COMPUTED_VALUE"""),1798.35)</f>
        <v>1798.35</v>
      </c>
      <c r="F72" s="6">
        <f>IFERROR(__xludf.DUMMYFUNCTION("""COMPUTED_VALUE"""),9359654.0)</f>
        <v>9359654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IFERROR(__xludf.DUMMYFUNCTION("""COMPUTED_VALUE"""),1804.9)</f>
        <v>1804.9</v>
      </c>
      <c r="C73" s="6">
        <f>IFERROR(__xludf.DUMMYFUNCTION("""COMPUTED_VALUE"""),1867.6)</f>
        <v>1867.6</v>
      </c>
      <c r="D73" s="6">
        <f>IFERROR(__xludf.DUMMYFUNCTION("""COMPUTED_VALUE"""),1727.25)</f>
        <v>1727.25</v>
      </c>
      <c r="E73" s="6">
        <f>IFERROR(__xludf.DUMMYFUNCTION("""COMPUTED_VALUE"""),1841.3)</f>
        <v>1841.3</v>
      </c>
      <c r="F73" s="6">
        <f>IFERROR(__xludf.DUMMYFUNCTION("""COMPUTED_VALUE"""),1.0636117E7)</f>
        <v>10636117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IFERROR(__xludf.DUMMYFUNCTION("""COMPUTED_VALUE"""),1841.3)</f>
        <v>1841.3</v>
      </c>
      <c r="C74" s="6">
        <f>IFERROR(__xludf.DUMMYFUNCTION("""COMPUTED_VALUE"""),1913.8)</f>
        <v>1913.8</v>
      </c>
      <c r="D74" s="6">
        <f>IFERROR(__xludf.DUMMYFUNCTION("""COMPUTED_VALUE"""),1830.45)</f>
        <v>1830.45</v>
      </c>
      <c r="E74" s="6">
        <f>IFERROR(__xludf.DUMMYFUNCTION("""COMPUTED_VALUE"""),1879.35)</f>
        <v>1879.35</v>
      </c>
      <c r="F74" s="6">
        <f>IFERROR(__xludf.DUMMYFUNCTION("""COMPUTED_VALUE"""),7772285.0)</f>
        <v>7772285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IFERROR(__xludf.DUMMYFUNCTION("""COMPUTED_VALUE"""),1868.0)</f>
        <v>1868</v>
      </c>
      <c r="C75" s="6">
        <f>IFERROR(__xludf.DUMMYFUNCTION("""COMPUTED_VALUE"""),1938.8)</f>
        <v>1938.8</v>
      </c>
      <c r="D75" s="6">
        <f>IFERROR(__xludf.DUMMYFUNCTION("""COMPUTED_VALUE"""),1853.0)</f>
        <v>1853</v>
      </c>
      <c r="E75" s="6">
        <f>IFERROR(__xludf.DUMMYFUNCTION("""COMPUTED_VALUE"""),1872.3)</f>
        <v>1872.3</v>
      </c>
      <c r="F75" s="6">
        <f>IFERROR(__xludf.DUMMYFUNCTION("""COMPUTED_VALUE"""),7513400.0)</f>
        <v>7513400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IFERROR(__xludf.DUMMYFUNCTION("""COMPUTED_VALUE"""),1884.7)</f>
        <v>1884.7</v>
      </c>
      <c r="C76" s="6">
        <f>IFERROR(__xludf.DUMMYFUNCTION("""COMPUTED_VALUE"""),1884.7)</f>
        <v>1884.7</v>
      </c>
      <c r="D76" s="6">
        <f>IFERROR(__xludf.DUMMYFUNCTION("""COMPUTED_VALUE"""),1733.0)</f>
        <v>1733</v>
      </c>
      <c r="E76" s="6">
        <f>IFERROR(__xludf.DUMMYFUNCTION("""COMPUTED_VALUE"""),1845.3)</f>
        <v>1845.3</v>
      </c>
      <c r="F76" s="6">
        <f>IFERROR(__xludf.DUMMYFUNCTION("""COMPUTED_VALUE"""),8142785.0)</f>
        <v>8142785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IFERROR(__xludf.DUMMYFUNCTION("""COMPUTED_VALUE"""),1844.75)</f>
        <v>1844.75</v>
      </c>
      <c r="C77" s="6">
        <f>IFERROR(__xludf.DUMMYFUNCTION("""COMPUTED_VALUE"""),1888.75)</f>
        <v>1888.75</v>
      </c>
      <c r="D77" s="6">
        <f>IFERROR(__xludf.DUMMYFUNCTION("""COMPUTED_VALUE"""),1788.25)</f>
        <v>1788.25</v>
      </c>
      <c r="E77" s="6">
        <f>IFERROR(__xludf.DUMMYFUNCTION("""COMPUTED_VALUE"""),1807.45)</f>
        <v>1807.45</v>
      </c>
      <c r="F77" s="6">
        <f>IFERROR(__xludf.DUMMYFUNCTION("""COMPUTED_VALUE"""),6532668.0)</f>
        <v>6532668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IFERROR(__xludf.DUMMYFUNCTION("""COMPUTED_VALUE"""),1820.0)</f>
        <v>1820</v>
      </c>
      <c r="C78" s="6">
        <f>IFERROR(__xludf.DUMMYFUNCTION("""COMPUTED_VALUE"""),1907.85)</f>
        <v>1907.85</v>
      </c>
      <c r="D78" s="6">
        <f>IFERROR(__xludf.DUMMYFUNCTION("""COMPUTED_VALUE"""),1797.15)</f>
        <v>1797.15</v>
      </c>
      <c r="E78" s="6">
        <f>IFERROR(__xludf.DUMMYFUNCTION("""COMPUTED_VALUE"""),1847.25)</f>
        <v>1847.25</v>
      </c>
      <c r="F78" s="6">
        <f>IFERROR(__xludf.DUMMYFUNCTION("""COMPUTED_VALUE"""),1.9593465E7)</f>
        <v>19593465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IFERROR(__xludf.DUMMYFUNCTION("""COMPUTED_VALUE"""),1855.35)</f>
        <v>1855.35</v>
      </c>
      <c r="C79" s="6">
        <f>IFERROR(__xludf.DUMMYFUNCTION("""COMPUTED_VALUE"""),2022.0)</f>
        <v>2022</v>
      </c>
      <c r="D79" s="6">
        <f>IFERROR(__xludf.DUMMYFUNCTION("""COMPUTED_VALUE"""),1845.5)</f>
        <v>1845.5</v>
      </c>
      <c r="E79" s="6">
        <f>IFERROR(__xludf.DUMMYFUNCTION("""COMPUTED_VALUE"""),2007.35)</f>
        <v>2007.35</v>
      </c>
      <c r="F79" s="6">
        <f>IFERROR(__xludf.DUMMYFUNCTION("""COMPUTED_VALUE"""),1.457114E7)</f>
        <v>14571140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IFERROR(__xludf.DUMMYFUNCTION("""COMPUTED_VALUE"""),1998.0)</f>
        <v>1998</v>
      </c>
      <c r="C80" s="6">
        <f>IFERROR(__xludf.DUMMYFUNCTION("""COMPUTED_VALUE"""),2002.0)</f>
        <v>2002</v>
      </c>
      <c r="D80" s="6">
        <f>IFERROR(__xludf.DUMMYFUNCTION("""COMPUTED_VALUE"""),1897.0)</f>
        <v>1897</v>
      </c>
      <c r="E80" s="6">
        <f>IFERROR(__xludf.DUMMYFUNCTION("""COMPUTED_VALUE"""),1912.3)</f>
        <v>1912.3</v>
      </c>
      <c r="F80" s="6">
        <f>IFERROR(__xludf.DUMMYFUNCTION("""COMPUTED_VALUE"""),6902403.0)</f>
        <v>6902403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IFERROR(__xludf.DUMMYFUNCTION("""COMPUTED_VALUE"""),1835.0)</f>
        <v>1835</v>
      </c>
      <c r="C81" s="6">
        <f>IFERROR(__xludf.DUMMYFUNCTION("""COMPUTED_VALUE"""),1966.0)</f>
        <v>1966</v>
      </c>
      <c r="D81" s="6">
        <f>IFERROR(__xludf.DUMMYFUNCTION("""COMPUTED_VALUE"""),1823.5)</f>
        <v>1823.5</v>
      </c>
      <c r="E81" s="6">
        <f>IFERROR(__xludf.DUMMYFUNCTION("""COMPUTED_VALUE"""),1946.3)</f>
        <v>1946.3</v>
      </c>
      <c r="F81" s="6">
        <f>IFERROR(__xludf.DUMMYFUNCTION("""COMPUTED_VALUE"""),9051431.0)</f>
        <v>9051431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IFERROR(__xludf.DUMMYFUNCTION("""COMPUTED_VALUE"""),1984.0)</f>
        <v>1984</v>
      </c>
      <c r="C82" s="6">
        <f>IFERROR(__xludf.DUMMYFUNCTION("""COMPUTED_VALUE"""),2039.7)</f>
        <v>2039.7</v>
      </c>
      <c r="D82" s="6">
        <f>IFERROR(__xludf.DUMMYFUNCTION("""COMPUTED_VALUE"""),1949.6)</f>
        <v>1949.6</v>
      </c>
      <c r="E82" s="6">
        <f>IFERROR(__xludf.DUMMYFUNCTION("""COMPUTED_VALUE"""),2035.3)</f>
        <v>2035.3</v>
      </c>
      <c r="F82" s="6">
        <f>IFERROR(__xludf.DUMMYFUNCTION("""COMPUTED_VALUE"""),4389129.0)</f>
        <v>4389129</v>
      </c>
    </row>
    <row r="83">
      <c r="A83" s="7">
        <f>IFERROR(__xludf.DUMMYFUNCTION("""COMPUTED_VALUE"""),45772.64583333333)</f>
        <v>45772.64583</v>
      </c>
      <c r="B83" s="6">
        <f>IFERROR(__xludf.DUMMYFUNCTION("""COMPUTED_VALUE"""),2037.1)</f>
        <v>2037.1</v>
      </c>
      <c r="C83" s="6">
        <f>IFERROR(__xludf.DUMMYFUNCTION("""COMPUTED_VALUE"""),2135.0)</f>
        <v>2135</v>
      </c>
      <c r="D83" s="6">
        <f>IFERROR(__xludf.DUMMYFUNCTION("""COMPUTED_VALUE"""),2023.1)</f>
        <v>2023.1</v>
      </c>
      <c r="E83" s="6">
        <f>IFERROR(__xludf.DUMMYFUNCTION("""COMPUTED_VALUE"""),2045.5)</f>
        <v>2045.5</v>
      </c>
      <c r="F83" s="6">
        <f>IFERROR(__xludf.DUMMYFUNCTION("""COMPUTED_VALUE"""),8999191.0)</f>
        <v>8999191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IFERROR(__xludf.DUMMYFUNCTION("""COMPUTED_VALUE"""),2040.0)</f>
        <v>2040</v>
      </c>
      <c r="C84" s="6">
        <f>IFERROR(__xludf.DUMMYFUNCTION("""COMPUTED_VALUE"""),2094.8)</f>
        <v>2094.8</v>
      </c>
      <c r="D84" s="6">
        <f>IFERROR(__xludf.DUMMYFUNCTION("""COMPUTED_VALUE"""),1917.2)</f>
        <v>1917.2</v>
      </c>
      <c r="E84" s="6">
        <f>IFERROR(__xludf.DUMMYFUNCTION("""COMPUTED_VALUE"""),1958.0)</f>
        <v>1958</v>
      </c>
      <c r="F84" s="6">
        <f>IFERROR(__xludf.DUMMYFUNCTION("""COMPUTED_VALUE"""),1.5064587E7)</f>
        <v>15064587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IFERROR(__xludf.DUMMYFUNCTION("""COMPUTED_VALUE"""),1964.9)</f>
        <v>1964.9</v>
      </c>
      <c r="C85" s="6">
        <f>IFERROR(__xludf.DUMMYFUNCTION("""COMPUTED_VALUE"""),2050.0)</f>
        <v>2050</v>
      </c>
      <c r="D85" s="6">
        <f>IFERROR(__xludf.DUMMYFUNCTION("""COMPUTED_VALUE"""),1959.1)</f>
        <v>1959.1</v>
      </c>
      <c r="E85" s="6">
        <f>IFERROR(__xludf.DUMMYFUNCTION("""COMPUTED_VALUE"""),1970.0)</f>
        <v>1970</v>
      </c>
      <c r="F85" s="6">
        <f>IFERROR(__xludf.DUMMYFUNCTION("""COMPUTED_VALUE"""),7754299.0)</f>
        <v>7754299</v>
      </c>
    </row>
    <row r="86">
      <c r="A86" s="7">
        <f>IFERROR(__xludf.DUMMYFUNCTION("""COMPUTED_VALUE"""),45793.64583333333)</f>
        <v>45793.64583</v>
      </c>
      <c r="B86" s="6">
        <f>IFERROR(__xludf.DUMMYFUNCTION("""COMPUTED_VALUE"""),2024.9)</f>
        <v>2024.9</v>
      </c>
      <c r="C86" s="6">
        <f>IFERROR(__xludf.DUMMYFUNCTION("""COMPUTED_VALUE"""),2071.0)</f>
        <v>2071</v>
      </c>
      <c r="D86" s="6">
        <f>IFERROR(__xludf.DUMMYFUNCTION("""COMPUTED_VALUE"""),1996.7)</f>
        <v>1996.7</v>
      </c>
      <c r="E86" s="6">
        <f>IFERROR(__xludf.DUMMYFUNCTION("""COMPUTED_VALUE"""),2033.6)</f>
        <v>2033.6</v>
      </c>
      <c r="F86" s="6">
        <f>IFERROR(__xludf.DUMMYFUNCTION("""COMPUTED_VALUE"""),9155178.0)</f>
        <v>9155178</v>
      </c>
    </row>
    <row r="87">
      <c r="A87" s="7">
        <f>IFERROR(__xludf.DUMMYFUNCTION("""COMPUTED_VALUE"""),45800.64583333333)</f>
        <v>45800.64583</v>
      </c>
      <c r="B87" s="6">
        <f>IFERROR(__xludf.DUMMYFUNCTION("""COMPUTED_VALUE"""),2038.9)</f>
        <v>2038.9</v>
      </c>
      <c r="C87" s="6">
        <f>IFERROR(__xludf.DUMMYFUNCTION("""COMPUTED_VALUE"""),2053.0)</f>
        <v>2053</v>
      </c>
      <c r="D87" s="6">
        <f>IFERROR(__xludf.DUMMYFUNCTION("""COMPUTED_VALUE"""),1992.0)</f>
        <v>1992</v>
      </c>
      <c r="E87" s="6">
        <f>IFERROR(__xludf.DUMMYFUNCTION("""COMPUTED_VALUE"""),2036.5)</f>
        <v>2036.5</v>
      </c>
      <c r="F87" s="6">
        <f>IFERROR(__xludf.DUMMYFUNCTION("""COMPUTED_VALUE"""),7104718.0)</f>
        <v>7104718</v>
      </c>
    </row>
    <row r="88">
      <c r="A88" s="7">
        <f>IFERROR(__xludf.DUMMYFUNCTION("""COMPUTED_VALUE"""),45807.64583333333)</f>
        <v>45807.64583</v>
      </c>
      <c r="B88" s="6">
        <f>IFERROR(__xludf.DUMMYFUNCTION("""COMPUTED_VALUE"""),2044.0)</f>
        <v>2044</v>
      </c>
      <c r="C88" s="6">
        <f>IFERROR(__xludf.DUMMYFUNCTION("""COMPUTED_VALUE"""),2070.0)</f>
        <v>2070</v>
      </c>
      <c r="D88" s="6">
        <f>IFERROR(__xludf.DUMMYFUNCTION("""COMPUTED_VALUE"""),2000.1)</f>
        <v>2000.1</v>
      </c>
      <c r="E88" s="6">
        <f>IFERROR(__xludf.DUMMYFUNCTION("""COMPUTED_VALUE"""),2017.4)</f>
        <v>2017.4</v>
      </c>
      <c r="F88" s="6">
        <f>IFERROR(__xludf.DUMMYFUNCTION("""COMPUTED_VALUE"""),5324757.0)</f>
        <v>5324757</v>
      </c>
    </row>
    <row r="89">
      <c r="A89" s="7">
        <f>IFERROR(__xludf.DUMMYFUNCTION("""COMPUTED_VALUE"""),45814.64583333333)</f>
        <v>45814.64583</v>
      </c>
      <c r="B89" s="6">
        <f>IFERROR(__xludf.DUMMYFUNCTION("""COMPUTED_VALUE"""),2017.4)</f>
        <v>2017.4</v>
      </c>
      <c r="C89" s="6">
        <f>IFERROR(__xludf.DUMMYFUNCTION("""COMPUTED_VALUE"""),2044.8)</f>
        <v>2044.8</v>
      </c>
      <c r="D89" s="6">
        <f>IFERROR(__xludf.DUMMYFUNCTION("""COMPUTED_VALUE"""),1921.0)</f>
        <v>1921</v>
      </c>
      <c r="E89" s="6">
        <f>IFERROR(__xludf.DUMMYFUNCTION("""COMPUTED_VALUE"""),1990.0)</f>
        <v>1990</v>
      </c>
      <c r="F89" s="6">
        <f>IFERROR(__xludf.DUMMYFUNCTION("""COMPUTED_VALUE"""),1.2810587E7)</f>
        <v>12810587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IFERROR(__xludf.DUMMYFUNCTION("""COMPUTED_VALUE"""),2001.0)</f>
        <v>2001</v>
      </c>
      <c r="C90" s="6">
        <f>IFERROR(__xludf.DUMMYFUNCTION("""COMPUTED_VALUE"""),2059.7)</f>
        <v>2059.7</v>
      </c>
      <c r="D90" s="6">
        <f>IFERROR(__xludf.DUMMYFUNCTION("""COMPUTED_VALUE"""),1980.0)</f>
        <v>1980</v>
      </c>
      <c r="E90" s="6">
        <f>IFERROR(__xludf.DUMMYFUNCTION("""COMPUTED_VALUE"""),2011.0)</f>
        <v>2011</v>
      </c>
      <c r="F90" s="6">
        <f>IFERROR(__xludf.DUMMYFUNCTION("""COMPUTED_VALUE"""),1.4976193E7)</f>
        <v>14976193</v>
      </c>
    </row>
    <row r="91">
      <c r="A91" s="7">
        <f>IFERROR(__xludf.DUMMYFUNCTION("""COMPUTED_VALUE"""),45828.64583333333)</f>
        <v>45828.64583</v>
      </c>
      <c r="B91" s="6">
        <f>IFERROR(__xludf.DUMMYFUNCTION("""COMPUTED_VALUE"""),2005.0)</f>
        <v>2005</v>
      </c>
      <c r="C91" s="6">
        <f>IFERROR(__xludf.DUMMYFUNCTION("""COMPUTED_VALUE"""),2040.0)</f>
        <v>2040</v>
      </c>
      <c r="D91" s="6">
        <f>IFERROR(__xludf.DUMMYFUNCTION("""COMPUTED_VALUE"""),1957.4)</f>
        <v>1957.4</v>
      </c>
      <c r="E91" s="6">
        <f>IFERROR(__xludf.DUMMYFUNCTION("""COMPUTED_VALUE"""),1986.2)</f>
        <v>1986.2</v>
      </c>
      <c r="F91" s="6">
        <f>IFERROR(__xludf.DUMMYFUNCTION("""COMPUTED_VALUE"""),6944570.0)</f>
        <v>6944570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IFERROR(__xludf.DUMMYFUNCTION("""COMPUTED_VALUE"""),1976.3)</f>
        <v>1976.3</v>
      </c>
      <c r="C92" s="6">
        <f>IFERROR(__xludf.DUMMYFUNCTION("""COMPUTED_VALUE"""),2065.0)</f>
        <v>2065</v>
      </c>
      <c r="D92" s="6">
        <f>IFERROR(__xludf.DUMMYFUNCTION("""COMPUTED_VALUE"""),1950.7)</f>
        <v>1950.7</v>
      </c>
      <c r="E92" s="6">
        <f>IFERROR(__xludf.DUMMYFUNCTION("""COMPUTED_VALUE"""),2044.0)</f>
        <v>2044</v>
      </c>
      <c r="F92" s="6">
        <f>IFERROR(__xludf.DUMMYFUNCTION("""COMPUTED_VALUE"""),1.1985156E7)</f>
        <v>11985156</v>
      </c>
    </row>
    <row r="93">
      <c r="A93" s="7">
        <f>IFERROR(__xludf.DUMMYFUNCTION("""COMPUTED_VALUE"""),45842.64583333333)</f>
        <v>45842.64583</v>
      </c>
      <c r="B93" s="6">
        <f>IFERROR(__xludf.DUMMYFUNCTION("""COMPUTED_VALUE"""),2040.0)</f>
        <v>2040</v>
      </c>
      <c r="C93" s="6">
        <f>IFERROR(__xludf.DUMMYFUNCTION("""COMPUTED_VALUE"""),2068.5)</f>
        <v>2068.5</v>
      </c>
      <c r="D93" s="6">
        <f>IFERROR(__xludf.DUMMYFUNCTION("""COMPUTED_VALUE"""),1977.6)</f>
        <v>1977.6</v>
      </c>
      <c r="E93" s="6">
        <f>IFERROR(__xludf.DUMMYFUNCTION("""COMPUTED_VALUE"""),1994.4)</f>
        <v>1994.4</v>
      </c>
      <c r="F93" s="6">
        <f>IFERROR(__xludf.DUMMYFUNCTION("""COMPUTED_VALUE"""),6213496.0)</f>
        <v>6213496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IFERROR(__xludf.DUMMYFUNCTION("""COMPUTED_VALUE"""),1996.8)</f>
        <v>1996.8</v>
      </c>
      <c r="C94" s="6">
        <f>IFERROR(__xludf.DUMMYFUNCTION("""COMPUTED_VALUE"""),2049.0)</f>
        <v>2049</v>
      </c>
      <c r="D94" s="6">
        <f>IFERROR(__xludf.DUMMYFUNCTION("""COMPUTED_VALUE"""),1993.0)</f>
        <v>1993</v>
      </c>
      <c r="E94" s="6">
        <f>IFERROR(__xludf.DUMMYFUNCTION("""COMPUTED_VALUE"""),2017.2)</f>
        <v>2017.2</v>
      </c>
      <c r="F94" s="6">
        <f>IFERROR(__xludf.DUMMYFUNCTION("""COMPUTED_VALUE"""),5386364.0)</f>
        <v>5386364</v>
      </c>
    </row>
    <row r="95">
      <c r="A95" s="7">
        <f>IFERROR(__xludf.DUMMYFUNCTION("""COMPUTED_VALUE"""),45856.64583333333)</f>
        <v>45856.64583</v>
      </c>
      <c r="B95" s="6">
        <f>IFERROR(__xludf.DUMMYFUNCTION("""COMPUTED_VALUE"""),2010.0)</f>
        <v>2010</v>
      </c>
      <c r="C95" s="6">
        <f>IFERROR(__xludf.DUMMYFUNCTION("""COMPUTED_VALUE"""),2047.5)</f>
        <v>2047.5</v>
      </c>
      <c r="D95" s="6">
        <f>IFERROR(__xludf.DUMMYFUNCTION("""COMPUTED_VALUE"""),1989.0)</f>
        <v>1989</v>
      </c>
      <c r="E95" s="6">
        <f>IFERROR(__xludf.DUMMYFUNCTION("""COMPUTED_VALUE"""),2029.6)</f>
        <v>2029.6</v>
      </c>
      <c r="F95" s="6">
        <f>IFERROR(__xludf.DUMMYFUNCTION("""COMPUTED_VALUE"""),3581205.0)</f>
        <v>3581205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IFERROR(__xludf.DUMMYFUNCTION("""COMPUTED_VALUE"""),2026.9)</f>
        <v>2026.9</v>
      </c>
      <c r="C96" s="6">
        <f>IFERROR(__xludf.DUMMYFUNCTION("""COMPUTED_VALUE"""),2063.2)</f>
        <v>2063.2</v>
      </c>
      <c r="D96" s="6">
        <f>IFERROR(__xludf.DUMMYFUNCTION("""COMPUTED_VALUE"""),1932.9)</f>
        <v>1932.9</v>
      </c>
      <c r="E96" s="6">
        <f>IFERROR(__xludf.DUMMYFUNCTION("""COMPUTED_VALUE"""),1985.8)</f>
        <v>1985.8</v>
      </c>
      <c r="F96" s="6">
        <f>IFERROR(__xludf.DUMMYFUNCTION("""COMPUTED_VALUE"""),7853306.0)</f>
        <v>7853306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IFERROR(__xludf.DUMMYFUNCTION("""COMPUTED_VALUE"""),1990.0)</f>
        <v>1990</v>
      </c>
      <c r="C97" s="6">
        <f>IFERROR(__xludf.DUMMYFUNCTION("""COMPUTED_VALUE"""),2023.0)</f>
        <v>2023</v>
      </c>
      <c r="D97" s="6">
        <f>IFERROR(__xludf.DUMMYFUNCTION("""COMPUTED_VALUE"""),1911.2)</f>
        <v>1911.2</v>
      </c>
      <c r="E97" s="6">
        <f>IFERROR(__xludf.DUMMYFUNCTION("""COMPUTED_VALUE"""),1916.3)</f>
        <v>1916.3</v>
      </c>
      <c r="F97" s="6">
        <f>IFERROR(__xludf.DUMMYFUNCTION("""COMPUTED_VALUE"""),5073207.0)</f>
        <v>5073207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IFERROR(__xludf.DUMMYFUNCTION("""COMPUTED_VALUE"""),1923.0)</f>
        <v>1923</v>
      </c>
      <c r="C98" s="6">
        <f>IFERROR(__xludf.DUMMYFUNCTION("""COMPUTED_VALUE"""),1946.7)</f>
        <v>1946.7</v>
      </c>
      <c r="D98" s="6">
        <f>IFERROR(__xludf.DUMMYFUNCTION("""COMPUTED_VALUE"""),1890.6)</f>
        <v>1890.6</v>
      </c>
      <c r="E98" s="6">
        <f>IFERROR(__xludf.DUMMYFUNCTION("""COMPUTED_VALUE"""),1919.2)</f>
        <v>1919.2</v>
      </c>
      <c r="F98" s="6">
        <f>IFERROR(__xludf.DUMMYFUNCTION("""COMPUTED_VALUE"""),4373046.0)</f>
        <v>4373046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IFERROR(__xludf.DUMMYFUNCTION("""COMPUTED_VALUE"""),1918.0)</f>
        <v>1918</v>
      </c>
      <c r="C99" s="6">
        <f>IFERROR(__xludf.DUMMYFUNCTION("""COMPUTED_VALUE"""),1939.8)</f>
        <v>1939.8</v>
      </c>
      <c r="D99" s="6">
        <f>IFERROR(__xludf.DUMMYFUNCTION("""COMPUTED_VALUE"""),1892.9)</f>
        <v>1892.9</v>
      </c>
      <c r="E99" s="6">
        <f>IFERROR(__xludf.DUMMYFUNCTION("""COMPUTED_VALUE"""),1925.1)</f>
        <v>1925.1</v>
      </c>
      <c r="F99" s="6">
        <f>IFERROR(__xludf.DUMMYFUNCTION("""COMPUTED_VALUE"""),3864563.0)</f>
        <v>3864563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IFERROR(__xludf.DUMMYFUNCTION("""COMPUTED_VALUE"""),1950.0)</f>
        <v>1950</v>
      </c>
      <c r="C100" s="6">
        <f>IFERROR(__xludf.DUMMYFUNCTION("""COMPUTED_VALUE"""),2017.0)</f>
        <v>2017</v>
      </c>
      <c r="D100" s="6">
        <f>IFERROR(__xludf.DUMMYFUNCTION("""COMPUTED_VALUE"""),1949.2)</f>
        <v>1949.2</v>
      </c>
      <c r="E100" s="6">
        <f>IFERROR(__xludf.DUMMYFUNCTION("""COMPUTED_VALUE"""),1965.9)</f>
        <v>1965.9</v>
      </c>
      <c r="F100" s="6">
        <f>IFERROR(__xludf.DUMMYFUNCTION("""COMPUTED_VALUE"""),7381045.0)</f>
        <v>7381045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IFERROR(__xludf.DUMMYFUNCTION("""COMPUTED_VALUE"""),1959.1)</f>
        <v>1959.1</v>
      </c>
      <c r="C101" s="6">
        <f>IFERROR(__xludf.DUMMYFUNCTION("""COMPUTED_VALUE"""),1967.8)</f>
        <v>1967.8</v>
      </c>
      <c r="D101" s="6">
        <f>IFERROR(__xludf.DUMMYFUNCTION("""COMPUTED_VALUE"""),1917.6)</f>
        <v>1917.6</v>
      </c>
      <c r="E101" s="6">
        <f>IFERROR(__xludf.DUMMYFUNCTION("""COMPUTED_VALUE"""),1924.2)</f>
        <v>1924.2</v>
      </c>
      <c r="F101" s="6">
        <f>IFERROR(__xludf.DUMMYFUNCTION("""COMPUTED_VALUE"""),1.5153368E7)</f>
        <v>15153368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IFERROR(__xludf.DUMMYFUNCTION("GOOGLEFINANCE(""NSE:BAJAJHFL"",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IFERROR(__xludf.DUMMYFUNCTION("""COMPUTED_VALUE"""),45555.64583333333)</f>
        <v>45555.64583</v>
      </c>
      <c r="B2" s="6">
        <f>IFERROR(__xludf.DUMMYFUNCTION("""COMPUTED_VALUE"""),150.0)</f>
        <v>150</v>
      </c>
      <c r="C2" s="6">
        <f>IFERROR(__xludf.DUMMYFUNCTION("""COMPUTED_VALUE"""),188.5)</f>
        <v>188.5</v>
      </c>
      <c r="D2" s="6">
        <f>IFERROR(__xludf.DUMMYFUNCTION("""COMPUTED_VALUE"""),146.0)</f>
        <v>146</v>
      </c>
      <c r="E2" s="6">
        <f>IFERROR(__xludf.DUMMYFUNCTION("""COMPUTED_VALUE"""),163.73)</f>
        <v>163.73</v>
      </c>
      <c r="F2" s="6">
        <f>IFERROR(__xludf.DUMMYFUNCTION("""COMPUTED_VALUE"""),1.383778099E9)</f>
        <v>1383778099</v>
      </c>
    </row>
    <row r="3">
      <c r="A3" s="7">
        <f>IFERROR(__xludf.DUMMYFUNCTION("""COMPUTED_VALUE"""),45562.64583333333)</f>
        <v>45562.64583</v>
      </c>
      <c r="B3" s="6">
        <f>IFERROR(__xludf.DUMMYFUNCTION("""COMPUTED_VALUE"""),165.75)</f>
        <v>165.75</v>
      </c>
      <c r="C3" s="6">
        <f>IFERROR(__xludf.DUMMYFUNCTION("""COMPUTED_VALUE"""),166.75)</f>
        <v>166.75</v>
      </c>
      <c r="D3" s="6">
        <f>IFERROR(__xludf.DUMMYFUNCTION("""COMPUTED_VALUE"""),150.4)</f>
        <v>150.4</v>
      </c>
      <c r="E3" s="6">
        <f>IFERROR(__xludf.DUMMYFUNCTION("""COMPUTED_VALUE"""),157.15)</f>
        <v>157.15</v>
      </c>
      <c r="F3" s="6">
        <f>IFERROR(__xludf.DUMMYFUNCTION("""COMPUTED_VALUE"""),1.97460264E8)</f>
        <v>197460264</v>
      </c>
    </row>
    <row r="4">
      <c r="A4" s="7">
        <f>IFERROR(__xludf.DUMMYFUNCTION("""COMPUTED_VALUE"""),45569.64583333333)</f>
        <v>45569.64583</v>
      </c>
      <c r="B4" s="6">
        <f>IFERROR(__xludf.DUMMYFUNCTION("""COMPUTED_VALUE"""),156.75)</f>
        <v>156.75</v>
      </c>
      <c r="C4" s="6">
        <f>IFERROR(__xludf.DUMMYFUNCTION("""COMPUTED_VALUE"""),156.84)</f>
        <v>156.84</v>
      </c>
      <c r="D4" s="6">
        <f>IFERROR(__xludf.DUMMYFUNCTION("""COMPUTED_VALUE"""),148.3)</f>
        <v>148.3</v>
      </c>
      <c r="E4" s="6">
        <f>IFERROR(__xludf.DUMMYFUNCTION("""COMPUTED_VALUE"""),150.6)</f>
        <v>150.6</v>
      </c>
      <c r="F4" s="6">
        <f>IFERROR(__xludf.DUMMYFUNCTION("""COMPUTED_VALUE"""),8.0203578E7)</f>
        <v>80203578</v>
      </c>
    </row>
    <row r="5">
      <c r="A5" s="7">
        <f>IFERROR(__xludf.DUMMYFUNCTION("""COMPUTED_VALUE"""),45576.64583333333)</f>
        <v>45576.64583</v>
      </c>
      <c r="B5" s="6">
        <f>IFERROR(__xludf.DUMMYFUNCTION("""COMPUTED_VALUE"""),150.6)</f>
        <v>150.6</v>
      </c>
      <c r="C5" s="6">
        <f>IFERROR(__xludf.DUMMYFUNCTION("""COMPUTED_VALUE"""),159.62)</f>
        <v>159.62</v>
      </c>
      <c r="D5" s="6">
        <f>IFERROR(__xludf.DUMMYFUNCTION("""COMPUTED_VALUE"""),130.35)</f>
        <v>130.35</v>
      </c>
      <c r="E5" s="6">
        <f>IFERROR(__xludf.DUMMYFUNCTION("""COMPUTED_VALUE"""),150.88)</f>
        <v>150.88</v>
      </c>
      <c r="F5" s="6">
        <f>IFERROR(__xludf.DUMMYFUNCTION("""COMPUTED_VALUE"""),2.33306193E8)</f>
        <v>233306193</v>
      </c>
    </row>
    <row r="6">
      <c r="A6" s="7">
        <f>IFERROR(__xludf.DUMMYFUNCTION("""COMPUTED_VALUE"""),45583.64583333333)</f>
        <v>45583.64583</v>
      </c>
      <c r="B6" s="6">
        <f>IFERROR(__xludf.DUMMYFUNCTION("""COMPUTED_VALUE"""),150.88)</f>
        <v>150.88</v>
      </c>
      <c r="C6" s="6">
        <f>IFERROR(__xludf.DUMMYFUNCTION("""COMPUTED_VALUE"""),151.05)</f>
        <v>151.05</v>
      </c>
      <c r="D6" s="6">
        <f>IFERROR(__xludf.DUMMYFUNCTION("""COMPUTED_VALUE"""),135.85)</f>
        <v>135.85</v>
      </c>
      <c r="E6" s="6">
        <f>IFERROR(__xludf.DUMMYFUNCTION("""COMPUTED_VALUE"""),139.33)</f>
        <v>139.33</v>
      </c>
      <c r="F6" s="6">
        <f>IFERROR(__xludf.DUMMYFUNCTION("""COMPUTED_VALUE"""),1.39563194E8)</f>
        <v>139563194</v>
      </c>
    </row>
    <row r="7">
      <c r="A7" s="7">
        <f>IFERROR(__xludf.DUMMYFUNCTION("""COMPUTED_VALUE"""),45590.64583333333)</f>
        <v>45590.64583</v>
      </c>
      <c r="B7" s="6">
        <f>IFERROR(__xludf.DUMMYFUNCTION("""COMPUTED_VALUE"""),140.74)</f>
        <v>140.74</v>
      </c>
      <c r="C7" s="6">
        <f>IFERROR(__xludf.DUMMYFUNCTION("""COMPUTED_VALUE"""),142.33)</f>
        <v>142.33</v>
      </c>
      <c r="D7" s="6">
        <f>IFERROR(__xludf.DUMMYFUNCTION("""COMPUTED_VALUE"""),128.26)</f>
        <v>128.26</v>
      </c>
      <c r="E7" s="6">
        <f>IFERROR(__xludf.DUMMYFUNCTION("""COMPUTED_VALUE"""),131.34)</f>
        <v>131.34</v>
      </c>
      <c r="F7" s="6">
        <f>IFERROR(__xludf.DUMMYFUNCTION("""COMPUTED_VALUE"""),1.14416987E8)</f>
        <v>114416987</v>
      </c>
    </row>
    <row r="8">
      <c r="A8" s="7">
        <f>IFERROR(__xludf.DUMMYFUNCTION("""COMPUTED_VALUE"""),45604.64583333333)</f>
        <v>45604.64583</v>
      </c>
      <c r="B8" s="6">
        <f>IFERROR(__xludf.DUMMYFUNCTION("""COMPUTED_VALUE"""),138.0)</f>
        <v>138</v>
      </c>
      <c r="C8" s="6">
        <f>IFERROR(__xludf.DUMMYFUNCTION("""COMPUTED_VALUE"""),141.5)</f>
        <v>141.5</v>
      </c>
      <c r="D8" s="6">
        <f>IFERROR(__xludf.DUMMYFUNCTION("""COMPUTED_VALUE"""),133.15)</f>
        <v>133.15</v>
      </c>
      <c r="E8" s="6">
        <f>IFERROR(__xludf.DUMMYFUNCTION("""COMPUTED_VALUE"""),135.46)</f>
        <v>135.46</v>
      </c>
      <c r="F8" s="6">
        <f>IFERROR(__xludf.DUMMYFUNCTION("""COMPUTED_VALUE"""),5.0656366E7)</f>
        <v>50656366</v>
      </c>
    </row>
    <row r="9">
      <c r="A9" s="7">
        <f>IFERROR(__xludf.DUMMYFUNCTION("""COMPUTED_VALUE"""),45610.64583333333)</f>
        <v>45610.64583</v>
      </c>
      <c r="B9" s="6">
        <f>IFERROR(__xludf.DUMMYFUNCTION("""COMPUTED_VALUE"""),134.0)</f>
        <v>134</v>
      </c>
      <c r="C9" s="6">
        <f>IFERROR(__xludf.DUMMYFUNCTION("""COMPUTED_VALUE"""),134.73)</f>
        <v>134.73</v>
      </c>
      <c r="D9" s="6">
        <f>IFERROR(__xludf.DUMMYFUNCTION("""COMPUTED_VALUE"""),128.17)</f>
        <v>128.17</v>
      </c>
      <c r="E9" s="6">
        <f>IFERROR(__xludf.DUMMYFUNCTION("""COMPUTED_VALUE"""),129.65)</f>
        <v>129.65</v>
      </c>
      <c r="F9" s="6">
        <f>IFERROR(__xludf.DUMMYFUNCTION("""COMPUTED_VALUE"""),2.9092498E7)</f>
        <v>29092498</v>
      </c>
    </row>
    <row r="10">
      <c r="A10" s="7">
        <f>IFERROR(__xludf.DUMMYFUNCTION("""COMPUTED_VALUE"""),45618.64583333333)</f>
        <v>45618.64583</v>
      </c>
      <c r="B10" s="6">
        <f>IFERROR(__xludf.DUMMYFUNCTION("""COMPUTED_VALUE"""),130.03)</f>
        <v>130.03</v>
      </c>
      <c r="C10" s="6">
        <f>IFERROR(__xludf.DUMMYFUNCTION("""COMPUTED_VALUE"""),130.7)</f>
        <v>130.7</v>
      </c>
      <c r="D10" s="6">
        <f>IFERROR(__xludf.DUMMYFUNCTION("""COMPUTED_VALUE"""),125.34)</f>
        <v>125.34</v>
      </c>
      <c r="E10" s="6">
        <f>IFERROR(__xludf.DUMMYFUNCTION("""COMPUTED_VALUE"""),126.95)</f>
        <v>126.95</v>
      </c>
      <c r="F10" s="6">
        <f>IFERROR(__xludf.DUMMYFUNCTION("""COMPUTED_VALUE"""),3.2717768E7)</f>
        <v>32717768</v>
      </c>
    </row>
    <row r="11">
      <c r="A11" s="7">
        <f>IFERROR(__xludf.DUMMYFUNCTION("""COMPUTED_VALUE"""),45625.64583333333)</f>
        <v>45625.64583</v>
      </c>
      <c r="B11" s="6">
        <f>IFERROR(__xludf.DUMMYFUNCTION("""COMPUTED_VALUE"""),130.0)</f>
        <v>130</v>
      </c>
      <c r="C11" s="6">
        <f>IFERROR(__xludf.DUMMYFUNCTION("""COMPUTED_VALUE"""),140.7)</f>
        <v>140.7</v>
      </c>
      <c r="D11" s="6">
        <f>IFERROR(__xludf.DUMMYFUNCTION("""COMPUTED_VALUE"""),128.2)</f>
        <v>128.2</v>
      </c>
      <c r="E11" s="6">
        <f>IFERROR(__xludf.DUMMYFUNCTION("""COMPUTED_VALUE"""),135.87)</f>
        <v>135.87</v>
      </c>
      <c r="F11" s="6">
        <f>IFERROR(__xludf.DUMMYFUNCTION("""COMPUTED_VALUE"""),6.5946086E7)</f>
        <v>65946086</v>
      </c>
    </row>
    <row r="12">
      <c r="A12" s="7">
        <f>IFERROR(__xludf.DUMMYFUNCTION("""COMPUTED_VALUE"""),45632.64583333333)</f>
        <v>45632.64583</v>
      </c>
      <c r="B12" s="6">
        <f>IFERROR(__xludf.DUMMYFUNCTION("""COMPUTED_VALUE"""),135.0)</f>
        <v>135</v>
      </c>
      <c r="C12" s="6">
        <f>IFERROR(__xludf.DUMMYFUNCTION("""COMPUTED_VALUE"""),147.7)</f>
        <v>147.7</v>
      </c>
      <c r="D12" s="6">
        <f>IFERROR(__xludf.DUMMYFUNCTION("""COMPUTED_VALUE"""),133.71)</f>
        <v>133.71</v>
      </c>
      <c r="E12" s="6">
        <f>IFERROR(__xludf.DUMMYFUNCTION("""COMPUTED_VALUE"""),144.06)</f>
        <v>144.06</v>
      </c>
      <c r="F12" s="6">
        <f>IFERROR(__xludf.DUMMYFUNCTION("""COMPUTED_VALUE"""),1.09104854E8)</f>
        <v>109104854</v>
      </c>
    </row>
    <row r="13">
      <c r="A13" s="7">
        <f>IFERROR(__xludf.DUMMYFUNCTION("""COMPUTED_VALUE"""),45639.64583333333)</f>
        <v>45639.64583</v>
      </c>
      <c r="B13" s="6">
        <f>IFERROR(__xludf.DUMMYFUNCTION("""COMPUTED_VALUE"""),143.99)</f>
        <v>143.99</v>
      </c>
      <c r="C13" s="6">
        <f>IFERROR(__xludf.DUMMYFUNCTION("""COMPUTED_VALUE"""),145.66)</f>
        <v>145.66</v>
      </c>
      <c r="D13" s="6">
        <f>IFERROR(__xludf.DUMMYFUNCTION("""COMPUTED_VALUE"""),130.9)</f>
        <v>130.9</v>
      </c>
      <c r="E13" s="6">
        <f>IFERROR(__xludf.DUMMYFUNCTION("""COMPUTED_VALUE"""),132.46)</f>
        <v>132.46</v>
      </c>
      <c r="F13" s="6">
        <f>IFERROR(__xludf.DUMMYFUNCTION("""COMPUTED_VALUE"""),1.173311E8)</f>
        <v>117331100</v>
      </c>
    </row>
    <row r="14">
      <c r="A14" s="7">
        <f>IFERROR(__xludf.DUMMYFUNCTION("""COMPUTED_VALUE"""),45646.64583333333)</f>
        <v>45646.64583</v>
      </c>
      <c r="B14" s="6">
        <f>IFERROR(__xludf.DUMMYFUNCTION("""COMPUTED_VALUE"""),133.0)</f>
        <v>133</v>
      </c>
      <c r="C14" s="6">
        <f>IFERROR(__xludf.DUMMYFUNCTION("""COMPUTED_VALUE"""),133.1)</f>
        <v>133.1</v>
      </c>
      <c r="D14" s="6">
        <f>IFERROR(__xludf.DUMMYFUNCTION("""COMPUTED_VALUE"""),125.13)</f>
        <v>125.13</v>
      </c>
      <c r="E14" s="6">
        <f>IFERROR(__xludf.DUMMYFUNCTION("""COMPUTED_VALUE"""),126.29)</f>
        <v>126.29</v>
      </c>
      <c r="F14" s="6">
        <f>IFERROR(__xludf.DUMMYFUNCTION("""COMPUTED_VALUE"""),7.3075977E7)</f>
        <v>73075977</v>
      </c>
    </row>
    <row r="15">
      <c r="A15" s="7">
        <f>IFERROR(__xludf.DUMMYFUNCTION("""COMPUTED_VALUE"""),45653.64583333333)</f>
        <v>45653.64583</v>
      </c>
      <c r="B15" s="6">
        <f>IFERROR(__xludf.DUMMYFUNCTION("""COMPUTED_VALUE"""),127.9)</f>
        <v>127.9</v>
      </c>
      <c r="C15" s="6">
        <f>IFERROR(__xludf.DUMMYFUNCTION("""COMPUTED_VALUE"""),128.63)</f>
        <v>128.63</v>
      </c>
      <c r="D15" s="6">
        <f>IFERROR(__xludf.DUMMYFUNCTION("""COMPUTED_VALUE"""),124.89)</f>
        <v>124.89</v>
      </c>
      <c r="E15" s="6">
        <f>IFERROR(__xludf.DUMMYFUNCTION("""COMPUTED_VALUE"""),126.88)</f>
        <v>126.88</v>
      </c>
      <c r="F15" s="6">
        <f>IFERROR(__xludf.DUMMYFUNCTION("""COMPUTED_VALUE"""),2.8762562E7)</f>
        <v>28762562</v>
      </c>
    </row>
    <row r="16">
      <c r="A16" s="7">
        <f>IFERROR(__xludf.DUMMYFUNCTION("""COMPUTED_VALUE"""),45660.64583333333)</f>
        <v>45660.64583</v>
      </c>
      <c r="B16" s="6">
        <f>IFERROR(__xludf.DUMMYFUNCTION("""COMPUTED_VALUE"""),126.88)</f>
        <v>126.88</v>
      </c>
      <c r="C16" s="6">
        <f>IFERROR(__xludf.DUMMYFUNCTION("""COMPUTED_VALUE"""),129.81)</f>
        <v>129.81</v>
      </c>
      <c r="D16" s="6">
        <f>IFERROR(__xludf.DUMMYFUNCTION("""COMPUTED_VALUE"""),125.94)</f>
        <v>125.94</v>
      </c>
      <c r="E16" s="6">
        <f>IFERROR(__xludf.DUMMYFUNCTION("""COMPUTED_VALUE"""),126.08)</f>
        <v>126.08</v>
      </c>
      <c r="F16" s="6">
        <f>IFERROR(__xludf.DUMMYFUNCTION("""COMPUTED_VALUE"""),4.0769597E7)</f>
        <v>40769597</v>
      </c>
    </row>
    <row r="17">
      <c r="A17" s="7">
        <f>IFERROR(__xludf.DUMMYFUNCTION("""COMPUTED_VALUE"""),45667.64583333333)</f>
        <v>45667.64583</v>
      </c>
      <c r="B17" s="6">
        <f>IFERROR(__xludf.DUMMYFUNCTION("""COMPUTED_VALUE"""),127.67)</f>
        <v>127.67</v>
      </c>
      <c r="C17" s="6">
        <f>IFERROR(__xludf.DUMMYFUNCTION("""COMPUTED_VALUE"""),128.25)</f>
        <v>128.25</v>
      </c>
      <c r="D17" s="6">
        <f>IFERROR(__xludf.DUMMYFUNCTION("""COMPUTED_VALUE"""),117.32)</f>
        <v>117.32</v>
      </c>
      <c r="E17" s="6">
        <f>IFERROR(__xludf.DUMMYFUNCTION("""COMPUTED_VALUE"""),118.51)</f>
        <v>118.51</v>
      </c>
      <c r="F17" s="6">
        <f>IFERROR(__xludf.DUMMYFUNCTION("""COMPUTED_VALUE"""),5.8848007E7)</f>
        <v>58848007</v>
      </c>
    </row>
    <row r="18">
      <c r="A18" s="7">
        <f>IFERROR(__xludf.DUMMYFUNCTION("""COMPUTED_VALUE"""),45674.64583333333)</f>
        <v>45674.64583</v>
      </c>
      <c r="B18" s="6">
        <f>IFERROR(__xludf.DUMMYFUNCTION("""COMPUTED_VALUE"""),116.05)</f>
        <v>116.05</v>
      </c>
      <c r="C18" s="6">
        <f>IFERROR(__xludf.DUMMYFUNCTION("""COMPUTED_VALUE"""),118.49)</f>
        <v>118.49</v>
      </c>
      <c r="D18" s="6">
        <f>IFERROR(__xludf.DUMMYFUNCTION("""COMPUTED_VALUE"""),111.52)</f>
        <v>111.52</v>
      </c>
      <c r="E18" s="6">
        <f>IFERROR(__xludf.DUMMYFUNCTION("""COMPUTED_VALUE"""),113.42)</f>
        <v>113.42</v>
      </c>
      <c r="F18" s="6">
        <f>IFERROR(__xludf.DUMMYFUNCTION("""COMPUTED_VALUE"""),6.7358323E7)</f>
        <v>67358323</v>
      </c>
    </row>
    <row r="19">
      <c r="A19" s="7">
        <f>IFERROR(__xludf.DUMMYFUNCTION("""COMPUTED_VALUE"""),45681.64583333333)</f>
        <v>45681.64583</v>
      </c>
      <c r="B19" s="6">
        <f>IFERROR(__xludf.DUMMYFUNCTION("""COMPUTED_VALUE"""),114.0)</f>
        <v>114</v>
      </c>
      <c r="C19" s="6">
        <f>IFERROR(__xludf.DUMMYFUNCTION("""COMPUTED_VALUE"""),116.97)</f>
        <v>116.97</v>
      </c>
      <c r="D19" s="6">
        <f>IFERROR(__xludf.DUMMYFUNCTION("""COMPUTED_VALUE"""),108.55)</f>
        <v>108.55</v>
      </c>
      <c r="E19" s="6">
        <f>IFERROR(__xludf.DUMMYFUNCTION("""COMPUTED_VALUE"""),109.14)</f>
        <v>109.14</v>
      </c>
      <c r="F19" s="6">
        <f>IFERROR(__xludf.DUMMYFUNCTION("""COMPUTED_VALUE"""),5.0251405E7)</f>
        <v>50251405</v>
      </c>
    </row>
    <row r="20">
      <c r="A20" s="7">
        <f>IFERROR(__xludf.DUMMYFUNCTION("""COMPUTED_VALUE"""),45695.64583333333)</f>
        <v>45695.64583</v>
      </c>
      <c r="B20" s="6">
        <f>IFERROR(__xludf.DUMMYFUNCTION("""COMPUTED_VALUE"""),114.51)</f>
        <v>114.51</v>
      </c>
      <c r="C20" s="6">
        <f>IFERROR(__xludf.DUMMYFUNCTION("""COMPUTED_VALUE"""),122.55)</f>
        <v>122.55</v>
      </c>
      <c r="D20" s="6">
        <f>IFERROR(__xludf.DUMMYFUNCTION("""COMPUTED_VALUE"""),113.5)</f>
        <v>113.5</v>
      </c>
      <c r="E20" s="6">
        <f>IFERROR(__xludf.DUMMYFUNCTION("""COMPUTED_VALUE"""),119.92)</f>
        <v>119.92</v>
      </c>
      <c r="F20" s="6">
        <f>IFERROR(__xludf.DUMMYFUNCTION("""COMPUTED_VALUE"""),4.6167185E7)</f>
        <v>46167185</v>
      </c>
    </row>
    <row r="21">
      <c r="A21" s="7">
        <f>IFERROR(__xludf.DUMMYFUNCTION("""COMPUTED_VALUE"""),45702.64583333333)</f>
        <v>45702.64583</v>
      </c>
      <c r="B21" s="6">
        <f>IFERROR(__xludf.DUMMYFUNCTION("""COMPUTED_VALUE"""),119.92)</f>
        <v>119.92</v>
      </c>
      <c r="C21" s="6">
        <f>IFERROR(__xludf.DUMMYFUNCTION("""COMPUTED_VALUE"""),119.92)</f>
        <v>119.92</v>
      </c>
      <c r="D21" s="6">
        <f>IFERROR(__xludf.DUMMYFUNCTION("""COMPUTED_VALUE"""),108.21)</f>
        <v>108.21</v>
      </c>
      <c r="E21" s="6">
        <f>IFERROR(__xludf.DUMMYFUNCTION("""COMPUTED_VALUE"""),109.72)</f>
        <v>109.72</v>
      </c>
      <c r="F21" s="6">
        <f>IFERROR(__xludf.DUMMYFUNCTION("""COMPUTED_VALUE"""),3.963487E7)</f>
        <v>39634870</v>
      </c>
    </row>
    <row r="22">
      <c r="A22" s="7">
        <f>IFERROR(__xludf.DUMMYFUNCTION("""COMPUTED_VALUE"""),45709.64583333333)</f>
        <v>45709.64583</v>
      </c>
      <c r="B22" s="6">
        <f>IFERROR(__xludf.DUMMYFUNCTION("""COMPUTED_VALUE"""),109.0)</f>
        <v>109</v>
      </c>
      <c r="C22" s="6">
        <f>IFERROR(__xludf.DUMMYFUNCTION("""COMPUTED_VALUE"""),115.95)</f>
        <v>115.95</v>
      </c>
      <c r="D22" s="6">
        <f>IFERROR(__xludf.DUMMYFUNCTION("""COMPUTED_VALUE"""),106.76)</f>
        <v>106.76</v>
      </c>
      <c r="E22" s="6">
        <f>IFERROR(__xludf.DUMMYFUNCTION("""COMPUTED_VALUE"""),113.54)</f>
        <v>113.54</v>
      </c>
      <c r="F22" s="6">
        <f>IFERROR(__xludf.DUMMYFUNCTION("""COMPUTED_VALUE"""),4.1721949E7)</f>
        <v>41721949</v>
      </c>
    </row>
    <row r="23">
      <c r="A23" s="7">
        <f>IFERROR(__xludf.DUMMYFUNCTION("""COMPUTED_VALUE"""),45716.64583333333)</f>
        <v>45716.64583</v>
      </c>
      <c r="B23" s="6">
        <f>IFERROR(__xludf.DUMMYFUNCTION("""COMPUTED_VALUE"""),112.8)</f>
        <v>112.8</v>
      </c>
      <c r="C23" s="6">
        <f>IFERROR(__xludf.DUMMYFUNCTION("""COMPUTED_VALUE"""),115.4)</f>
        <v>115.4</v>
      </c>
      <c r="D23" s="6">
        <f>IFERROR(__xludf.DUMMYFUNCTION("""COMPUTED_VALUE"""),107.65)</f>
        <v>107.65</v>
      </c>
      <c r="E23" s="6">
        <f>IFERROR(__xludf.DUMMYFUNCTION("""COMPUTED_VALUE"""),108.73)</f>
        <v>108.73</v>
      </c>
      <c r="F23" s="6">
        <f>IFERROR(__xludf.DUMMYFUNCTION("""COMPUTED_VALUE"""),2.8549452E7)</f>
        <v>28549452</v>
      </c>
    </row>
    <row r="24">
      <c r="A24" s="7">
        <f>IFERROR(__xludf.DUMMYFUNCTION("""COMPUTED_VALUE"""),45723.64583333333)</f>
        <v>45723.64583</v>
      </c>
      <c r="B24" s="6">
        <f>IFERROR(__xludf.DUMMYFUNCTION("""COMPUTED_VALUE"""),108.73)</f>
        <v>108.73</v>
      </c>
      <c r="C24" s="6">
        <f>IFERROR(__xludf.DUMMYFUNCTION("""COMPUTED_VALUE"""),117.35)</f>
        <v>117.35</v>
      </c>
      <c r="D24" s="6">
        <f>IFERROR(__xludf.DUMMYFUNCTION("""COMPUTED_VALUE"""),105.05)</f>
        <v>105.05</v>
      </c>
      <c r="E24" s="6">
        <f>IFERROR(__xludf.DUMMYFUNCTION("""COMPUTED_VALUE"""),116.38)</f>
        <v>116.38</v>
      </c>
      <c r="F24" s="6">
        <f>IFERROR(__xludf.DUMMYFUNCTION("""COMPUTED_VALUE"""),4.4347362E7)</f>
        <v>44347362</v>
      </c>
    </row>
    <row r="25">
      <c r="A25" s="7">
        <f>IFERROR(__xludf.DUMMYFUNCTION("""COMPUTED_VALUE"""),45729.64583333333)</f>
        <v>45729.64583</v>
      </c>
      <c r="B25" s="6">
        <f>IFERROR(__xludf.DUMMYFUNCTION("""COMPUTED_VALUE"""),116.38)</f>
        <v>116.38</v>
      </c>
      <c r="C25" s="6">
        <f>IFERROR(__xludf.DUMMYFUNCTION("""COMPUTED_VALUE"""),117.76)</f>
        <v>117.76</v>
      </c>
      <c r="D25" s="6">
        <f>IFERROR(__xludf.DUMMYFUNCTION("""COMPUTED_VALUE"""),113.0)</f>
        <v>113</v>
      </c>
      <c r="E25" s="6">
        <f>IFERROR(__xludf.DUMMYFUNCTION("""COMPUTED_VALUE"""),115.25)</f>
        <v>115.25</v>
      </c>
      <c r="F25" s="6">
        <f>IFERROR(__xludf.DUMMYFUNCTION("""COMPUTED_VALUE"""),2.4342174E7)</f>
        <v>24342174</v>
      </c>
    </row>
    <row r="26">
      <c r="A26" s="7">
        <f>IFERROR(__xludf.DUMMYFUNCTION("""COMPUTED_VALUE"""),45737.64583333333)</f>
        <v>45737.64583</v>
      </c>
      <c r="B26" s="6">
        <f>IFERROR(__xludf.DUMMYFUNCTION("""COMPUTED_VALUE"""),115.25)</f>
        <v>115.25</v>
      </c>
      <c r="C26" s="6">
        <f>IFERROR(__xludf.DUMMYFUNCTION("""COMPUTED_VALUE"""),126.99)</f>
        <v>126.99</v>
      </c>
      <c r="D26" s="6">
        <f>IFERROR(__xludf.DUMMYFUNCTION("""COMPUTED_VALUE"""),114.5)</f>
        <v>114.5</v>
      </c>
      <c r="E26" s="6">
        <f>IFERROR(__xludf.DUMMYFUNCTION("""COMPUTED_VALUE"""),123.61)</f>
        <v>123.61</v>
      </c>
      <c r="F26" s="6">
        <f>IFERROR(__xludf.DUMMYFUNCTION("""COMPUTED_VALUE"""),1.38101961E8)</f>
        <v>138101961</v>
      </c>
    </row>
    <row r="27">
      <c r="A27" s="7">
        <f>IFERROR(__xludf.DUMMYFUNCTION("""COMPUTED_VALUE"""),45744.64583333333)</f>
        <v>45744.64583</v>
      </c>
      <c r="B27" s="6">
        <f>IFERROR(__xludf.DUMMYFUNCTION("""COMPUTED_VALUE"""),126.0)</f>
        <v>126</v>
      </c>
      <c r="C27" s="6">
        <f>IFERROR(__xludf.DUMMYFUNCTION("""COMPUTED_VALUE"""),127.58)</f>
        <v>127.58</v>
      </c>
      <c r="D27" s="6">
        <f>IFERROR(__xludf.DUMMYFUNCTION("""COMPUTED_VALUE"""),115.16)</f>
        <v>115.16</v>
      </c>
      <c r="E27" s="6">
        <f>IFERROR(__xludf.DUMMYFUNCTION("""COMPUTED_VALUE"""),123.29)</f>
        <v>123.29</v>
      </c>
      <c r="F27" s="6">
        <f>IFERROR(__xludf.DUMMYFUNCTION("""COMPUTED_VALUE"""),8.9545645E7)</f>
        <v>89545645</v>
      </c>
    </row>
    <row r="28">
      <c r="A28" s="7">
        <f>IFERROR(__xludf.DUMMYFUNCTION("""COMPUTED_VALUE"""),45751.64583333333)</f>
        <v>45751.64583</v>
      </c>
      <c r="B28" s="6">
        <f>IFERROR(__xludf.DUMMYFUNCTION("""COMPUTED_VALUE"""),121.15)</f>
        <v>121.15</v>
      </c>
      <c r="C28" s="6">
        <f>IFERROR(__xludf.DUMMYFUNCTION("""COMPUTED_VALUE"""),125.5)</f>
        <v>125.5</v>
      </c>
      <c r="D28" s="6">
        <f>IFERROR(__xludf.DUMMYFUNCTION("""COMPUTED_VALUE"""),120.25)</f>
        <v>120.25</v>
      </c>
      <c r="E28" s="6">
        <f>IFERROR(__xludf.DUMMYFUNCTION("""COMPUTED_VALUE"""),121.56)</f>
        <v>121.56</v>
      </c>
      <c r="F28" s="6">
        <f>IFERROR(__xludf.DUMMYFUNCTION("""COMPUTED_VALUE"""),3.6322721E7)</f>
        <v>36322721</v>
      </c>
    </row>
    <row r="29">
      <c r="A29" s="7">
        <f>IFERROR(__xludf.DUMMYFUNCTION("""COMPUTED_VALUE"""),45758.64583333333)</f>
        <v>45758.64583</v>
      </c>
      <c r="B29" s="6">
        <f>IFERROR(__xludf.DUMMYFUNCTION("""COMPUTED_VALUE"""),112.55)</f>
        <v>112.55</v>
      </c>
      <c r="C29" s="6">
        <f>IFERROR(__xludf.DUMMYFUNCTION("""COMPUTED_VALUE"""),122.0)</f>
        <v>122</v>
      </c>
      <c r="D29" s="6">
        <f>IFERROR(__xludf.DUMMYFUNCTION("""COMPUTED_VALUE"""),111.0)</f>
        <v>111</v>
      </c>
      <c r="E29" s="6">
        <f>IFERROR(__xludf.DUMMYFUNCTION("""COMPUTED_VALUE"""),119.38)</f>
        <v>119.38</v>
      </c>
      <c r="F29" s="6">
        <f>IFERROR(__xludf.DUMMYFUNCTION("""COMPUTED_VALUE"""),4.2788382E7)</f>
        <v>42788382</v>
      </c>
    </row>
    <row r="30">
      <c r="A30" s="7">
        <f>IFERROR(__xludf.DUMMYFUNCTION("""COMPUTED_VALUE"""),45764.64583333333)</f>
        <v>45764.64583</v>
      </c>
      <c r="B30" s="6">
        <f>IFERROR(__xludf.DUMMYFUNCTION("""COMPUTED_VALUE"""),121.0)</f>
        <v>121</v>
      </c>
      <c r="C30" s="6">
        <f>IFERROR(__xludf.DUMMYFUNCTION("""COMPUTED_VALUE"""),131.4)</f>
        <v>131.4</v>
      </c>
      <c r="D30" s="6">
        <f>IFERROR(__xludf.DUMMYFUNCTION("""COMPUTED_VALUE"""),120.7)</f>
        <v>120.7</v>
      </c>
      <c r="E30" s="6">
        <f>IFERROR(__xludf.DUMMYFUNCTION("""COMPUTED_VALUE"""),128.69)</f>
        <v>128.69</v>
      </c>
      <c r="F30" s="6">
        <f>IFERROR(__xludf.DUMMYFUNCTION("""COMPUTED_VALUE"""),5.8675714E7)</f>
        <v>58675714</v>
      </c>
    </row>
    <row r="31">
      <c r="A31" s="7">
        <f>IFERROR(__xludf.DUMMYFUNCTION("""COMPUTED_VALUE"""),45772.64583333333)</f>
        <v>45772.64583</v>
      </c>
      <c r="B31" s="6">
        <f>IFERROR(__xludf.DUMMYFUNCTION("""COMPUTED_VALUE"""),129.45)</f>
        <v>129.45</v>
      </c>
      <c r="C31" s="6">
        <f>IFERROR(__xludf.DUMMYFUNCTION("""COMPUTED_VALUE"""),136.96)</f>
        <v>136.96</v>
      </c>
      <c r="D31" s="6">
        <f>IFERROR(__xludf.DUMMYFUNCTION("""COMPUTED_VALUE"""),123.2)</f>
        <v>123.2</v>
      </c>
      <c r="E31" s="6">
        <f>IFERROR(__xludf.DUMMYFUNCTION("""COMPUTED_VALUE"""),125.04)</f>
        <v>125.04</v>
      </c>
      <c r="F31" s="6">
        <f>IFERROR(__xludf.DUMMYFUNCTION("""COMPUTED_VALUE"""),1.20771563E8)</f>
        <v>120771563</v>
      </c>
    </row>
    <row r="32">
      <c r="A32" s="7">
        <f>IFERROR(__xludf.DUMMYFUNCTION("""COMPUTED_VALUE"""),45779.64583333333)</f>
        <v>45779.64583</v>
      </c>
      <c r="B32" s="6">
        <f>IFERROR(__xludf.DUMMYFUNCTION("""COMPUTED_VALUE"""),124.01)</f>
        <v>124.01</v>
      </c>
      <c r="C32" s="6">
        <f>IFERROR(__xludf.DUMMYFUNCTION("""COMPUTED_VALUE"""),127.5)</f>
        <v>127.5</v>
      </c>
      <c r="D32" s="6">
        <f>IFERROR(__xludf.DUMMYFUNCTION("""COMPUTED_VALUE"""),121.51)</f>
        <v>121.51</v>
      </c>
      <c r="E32" s="6">
        <f>IFERROR(__xludf.DUMMYFUNCTION("""COMPUTED_VALUE"""),122.02)</f>
        <v>122.02</v>
      </c>
      <c r="F32" s="6">
        <f>IFERROR(__xludf.DUMMYFUNCTION("""COMPUTED_VALUE"""),3.3739549E7)</f>
        <v>33739549</v>
      </c>
    </row>
    <row r="33">
      <c r="A33" s="7">
        <f>IFERROR(__xludf.DUMMYFUNCTION("""COMPUTED_VALUE"""),45786.64583333333)</f>
        <v>45786.64583</v>
      </c>
      <c r="B33" s="6">
        <f>IFERROR(__xludf.DUMMYFUNCTION("""COMPUTED_VALUE"""),122.09)</f>
        <v>122.09</v>
      </c>
      <c r="C33" s="6">
        <f>IFERROR(__xludf.DUMMYFUNCTION("""COMPUTED_VALUE"""),123.47)</f>
        <v>123.47</v>
      </c>
      <c r="D33" s="6">
        <f>IFERROR(__xludf.DUMMYFUNCTION("""COMPUTED_VALUE"""),114.91)</f>
        <v>114.91</v>
      </c>
      <c r="E33" s="6">
        <f>IFERROR(__xludf.DUMMYFUNCTION("""COMPUTED_VALUE"""),117.19)</f>
        <v>117.19</v>
      </c>
      <c r="F33" s="6">
        <f>IFERROR(__xludf.DUMMYFUNCTION("""COMPUTED_VALUE"""),4.5884092E7)</f>
        <v>45884092</v>
      </c>
    </row>
    <row r="34">
      <c r="A34" s="7">
        <f>IFERROR(__xludf.DUMMYFUNCTION("""COMPUTED_VALUE"""),45793.64583333333)</f>
        <v>45793.64583</v>
      </c>
      <c r="B34" s="6">
        <f>IFERROR(__xludf.DUMMYFUNCTION("""COMPUTED_VALUE"""),122.0)</f>
        <v>122</v>
      </c>
      <c r="C34" s="6">
        <f>IFERROR(__xludf.DUMMYFUNCTION("""COMPUTED_VALUE"""),124.77)</f>
        <v>124.77</v>
      </c>
      <c r="D34" s="6">
        <f>IFERROR(__xludf.DUMMYFUNCTION("""COMPUTED_VALUE"""),120.55)</f>
        <v>120.55</v>
      </c>
      <c r="E34" s="6">
        <f>IFERROR(__xludf.DUMMYFUNCTION("""COMPUTED_VALUE"""),123.9)</f>
        <v>123.9</v>
      </c>
      <c r="F34" s="6">
        <f>IFERROR(__xludf.DUMMYFUNCTION("""COMPUTED_VALUE"""),4.7069059E7)</f>
        <v>47069059</v>
      </c>
    </row>
    <row r="35">
      <c r="A35" s="7">
        <f>IFERROR(__xludf.DUMMYFUNCTION("""COMPUTED_VALUE"""),45800.64583333333)</f>
        <v>45800.64583</v>
      </c>
      <c r="B35" s="6">
        <f>IFERROR(__xludf.DUMMYFUNCTION("""COMPUTED_VALUE"""),124.0)</f>
        <v>124</v>
      </c>
      <c r="C35" s="6">
        <f>IFERROR(__xludf.DUMMYFUNCTION("""COMPUTED_VALUE"""),128.7)</f>
        <v>128.7</v>
      </c>
      <c r="D35" s="6">
        <f>IFERROR(__xludf.DUMMYFUNCTION("""COMPUTED_VALUE"""),122.14)</f>
        <v>122.14</v>
      </c>
      <c r="E35" s="6">
        <f>IFERROR(__xludf.DUMMYFUNCTION("""COMPUTED_VALUE"""),124.54)</f>
        <v>124.54</v>
      </c>
      <c r="F35" s="6">
        <f>IFERROR(__xludf.DUMMYFUNCTION("""COMPUTED_VALUE"""),4.1146202E7)</f>
        <v>41146202</v>
      </c>
    </row>
    <row r="36">
      <c r="A36" s="7">
        <f>IFERROR(__xludf.DUMMYFUNCTION("""COMPUTED_VALUE"""),45807.64583333333)</f>
        <v>45807.64583</v>
      </c>
      <c r="B36" s="6">
        <f>IFERROR(__xludf.DUMMYFUNCTION("""COMPUTED_VALUE"""),124.61)</f>
        <v>124.61</v>
      </c>
      <c r="C36" s="6">
        <f>IFERROR(__xludf.DUMMYFUNCTION("""COMPUTED_VALUE"""),125.49)</f>
        <v>125.49</v>
      </c>
      <c r="D36" s="6">
        <f>IFERROR(__xludf.DUMMYFUNCTION("""COMPUTED_VALUE"""),121.9)</f>
        <v>121.9</v>
      </c>
      <c r="E36" s="6">
        <f>IFERROR(__xludf.DUMMYFUNCTION("""COMPUTED_VALUE"""),122.0)</f>
        <v>122</v>
      </c>
      <c r="F36" s="6">
        <f>IFERROR(__xludf.DUMMYFUNCTION("""COMPUTED_VALUE"""),1.9475005E7)</f>
        <v>19475005</v>
      </c>
    </row>
    <row r="37">
      <c r="A37" s="7">
        <f>IFERROR(__xludf.DUMMYFUNCTION("""COMPUTED_VALUE"""),45814.64583333333)</f>
        <v>45814.64583</v>
      </c>
      <c r="B37" s="6">
        <f>IFERROR(__xludf.DUMMYFUNCTION("""COMPUTED_VALUE"""),122.0)</f>
        <v>122</v>
      </c>
      <c r="C37" s="6">
        <f>IFERROR(__xludf.DUMMYFUNCTION("""COMPUTED_VALUE"""),126.56)</f>
        <v>126.56</v>
      </c>
      <c r="D37" s="6">
        <f>IFERROR(__xludf.DUMMYFUNCTION("""COMPUTED_VALUE"""),121.0)</f>
        <v>121</v>
      </c>
      <c r="E37" s="6">
        <f>IFERROR(__xludf.DUMMYFUNCTION("""COMPUTED_VALUE"""),125.66)</f>
        <v>125.66</v>
      </c>
      <c r="F37" s="6">
        <f>IFERROR(__xludf.DUMMYFUNCTION("""COMPUTED_VALUE"""),4.6030934E7)</f>
        <v>46030934</v>
      </c>
    </row>
    <row r="38">
      <c r="A38" s="7">
        <f>IFERROR(__xludf.DUMMYFUNCTION("""COMPUTED_VALUE"""),45821.64583333333)</f>
        <v>45821.64583</v>
      </c>
      <c r="B38" s="6">
        <f>IFERROR(__xludf.DUMMYFUNCTION("""COMPUTED_VALUE"""),126.79)</f>
        <v>126.79</v>
      </c>
      <c r="C38" s="6">
        <f>IFERROR(__xludf.DUMMYFUNCTION("""COMPUTED_VALUE"""),128.45)</f>
        <v>128.45</v>
      </c>
      <c r="D38" s="6">
        <f>IFERROR(__xludf.DUMMYFUNCTION("""COMPUTED_VALUE"""),120.03)</f>
        <v>120.03</v>
      </c>
      <c r="E38" s="6">
        <f>IFERROR(__xludf.DUMMYFUNCTION("""COMPUTED_VALUE"""),121.63)</f>
        <v>121.63</v>
      </c>
      <c r="F38" s="6">
        <f>IFERROR(__xludf.DUMMYFUNCTION("""COMPUTED_VALUE"""),3.7242395E7)</f>
        <v>37242395</v>
      </c>
    </row>
    <row r="39">
      <c r="A39" s="7">
        <f>IFERROR(__xludf.DUMMYFUNCTION("""COMPUTED_VALUE"""),45828.64583333333)</f>
        <v>45828.64583</v>
      </c>
      <c r="B39" s="6">
        <f>IFERROR(__xludf.DUMMYFUNCTION("""COMPUTED_VALUE"""),122.0)</f>
        <v>122</v>
      </c>
      <c r="C39" s="6">
        <f>IFERROR(__xludf.DUMMYFUNCTION("""COMPUTED_VALUE"""),122.72)</f>
        <v>122.72</v>
      </c>
      <c r="D39" s="6">
        <f>IFERROR(__xludf.DUMMYFUNCTION("""COMPUTED_VALUE"""),117.3)</f>
        <v>117.3</v>
      </c>
      <c r="E39" s="6">
        <f>IFERROR(__xludf.DUMMYFUNCTION("""COMPUTED_VALUE"""),119.64)</f>
        <v>119.64</v>
      </c>
      <c r="F39" s="6">
        <f>IFERROR(__xludf.DUMMYFUNCTION("""COMPUTED_VALUE"""),2.4714664E7)</f>
        <v>24714664</v>
      </c>
    </row>
    <row r="40">
      <c r="A40" s="7">
        <f>IFERROR(__xludf.DUMMYFUNCTION("""COMPUTED_VALUE"""),45835.64583333333)</f>
        <v>45835.64583</v>
      </c>
      <c r="B40" s="6">
        <f>IFERROR(__xludf.DUMMYFUNCTION("""COMPUTED_VALUE"""),118.1)</f>
        <v>118.1</v>
      </c>
      <c r="C40" s="6">
        <f>IFERROR(__xludf.DUMMYFUNCTION("""COMPUTED_VALUE"""),123.19)</f>
        <v>123.19</v>
      </c>
      <c r="D40" s="6">
        <f>IFERROR(__xludf.DUMMYFUNCTION("""COMPUTED_VALUE"""),118.04)</f>
        <v>118.04</v>
      </c>
      <c r="E40" s="6">
        <f>IFERROR(__xludf.DUMMYFUNCTION("""COMPUTED_VALUE"""),122.07)</f>
        <v>122.07</v>
      </c>
      <c r="F40" s="6">
        <f>IFERROR(__xludf.DUMMYFUNCTION("""COMPUTED_VALUE"""),2.3248978E7)</f>
        <v>23248978</v>
      </c>
    </row>
    <row r="41">
      <c r="A41" s="7">
        <f>IFERROR(__xludf.DUMMYFUNCTION("""COMPUTED_VALUE"""),45842.64583333333)</f>
        <v>45842.64583</v>
      </c>
      <c r="B41" s="6">
        <f>IFERROR(__xludf.DUMMYFUNCTION("""COMPUTED_VALUE"""),122.5)</f>
        <v>122.5</v>
      </c>
      <c r="C41" s="6">
        <f>IFERROR(__xludf.DUMMYFUNCTION("""COMPUTED_VALUE"""),124.0)</f>
        <v>124</v>
      </c>
      <c r="D41" s="6">
        <f>IFERROR(__xludf.DUMMYFUNCTION("""COMPUTED_VALUE"""),120.67)</f>
        <v>120.67</v>
      </c>
      <c r="E41" s="6">
        <f>IFERROR(__xludf.DUMMYFUNCTION("""COMPUTED_VALUE"""),122.39)</f>
        <v>122.39</v>
      </c>
      <c r="F41" s="6">
        <f>IFERROR(__xludf.DUMMYFUNCTION("""COMPUTED_VALUE"""),2.6352946E7)</f>
        <v>26352946</v>
      </c>
    </row>
    <row r="42">
      <c r="A42" s="7">
        <f>IFERROR(__xludf.DUMMYFUNCTION("""COMPUTED_VALUE"""),45849.64583333333)</f>
        <v>45849.64583</v>
      </c>
      <c r="B42" s="6">
        <f>IFERROR(__xludf.DUMMYFUNCTION("""COMPUTED_VALUE"""),122.25)</f>
        <v>122.25</v>
      </c>
      <c r="C42" s="6">
        <f>IFERROR(__xludf.DUMMYFUNCTION("""COMPUTED_VALUE"""),122.39)</f>
        <v>122.39</v>
      </c>
      <c r="D42" s="6">
        <f>IFERROR(__xludf.DUMMYFUNCTION("""COMPUTED_VALUE"""),120.23)</f>
        <v>120.23</v>
      </c>
      <c r="E42" s="6">
        <f>IFERROR(__xludf.DUMMYFUNCTION("""COMPUTED_VALUE"""),120.79)</f>
        <v>120.79</v>
      </c>
      <c r="F42" s="6">
        <f>IFERROR(__xludf.DUMMYFUNCTION("""COMPUTED_VALUE"""),1.890882E7)</f>
        <v>18908820</v>
      </c>
    </row>
    <row r="43">
      <c r="A43" s="7">
        <f>IFERROR(__xludf.DUMMYFUNCTION("""COMPUTED_VALUE"""),45856.64583333333)</f>
        <v>45856.64583</v>
      </c>
      <c r="B43" s="6">
        <f>IFERROR(__xludf.DUMMYFUNCTION("""COMPUTED_VALUE"""),120.5)</f>
        <v>120.5</v>
      </c>
      <c r="C43" s="6">
        <f>IFERROR(__xludf.DUMMYFUNCTION("""COMPUTED_VALUE"""),124.0)</f>
        <v>124</v>
      </c>
      <c r="D43" s="6">
        <f>IFERROR(__xludf.DUMMYFUNCTION("""COMPUTED_VALUE"""),119.43)</f>
        <v>119.43</v>
      </c>
      <c r="E43" s="6">
        <f>IFERROR(__xludf.DUMMYFUNCTION("""COMPUTED_VALUE"""),121.89)</f>
        <v>121.89</v>
      </c>
      <c r="F43" s="6">
        <f>IFERROR(__xludf.DUMMYFUNCTION("""COMPUTED_VALUE"""),2.8684672E7)</f>
        <v>28684672</v>
      </c>
    </row>
    <row r="44">
      <c r="A44" s="7">
        <f>IFERROR(__xludf.DUMMYFUNCTION("""COMPUTED_VALUE"""),45863.64583333333)</f>
        <v>45863.64583</v>
      </c>
      <c r="B44" s="6">
        <f>IFERROR(__xludf.DUMMYFUNCTION("""COMPUTED_VALUE"""),121.75)</f>
        <v>121.75</v>
      </c>
      <c r="C44" s="6">
        <f>IFERROR(__xludf.DUMMYFUNCTION("""COMPUTED_VALUE"""),123.12)</f>
        <v>123.12</v>
      </c>
      <c r="D44" s="6">
        <f>IFERROR(__xludf.DUMMYFUNCTION("""COMPUTED_VALUE"""),116.89)</f>
        <v>116.89</v>
      </c>
      <c r="E44" s="6">
        <f>IFERROR(__xludf.DUMMYFUNCTION("""COMPUTED_VALUE"""),117.02)</f>
        <v>117.02</v>
      </c>
      <c r="F44" s="6">
        <f>IFERROR(__xludf.DUMMYFUNCTION("""COMPUTED_VALUE"""),2.9683719E7)</f>
        <v>29683719</v>
      </c>
    </row>
    <row r="45">
      <c r="A45" s="7">
        <f>IFERROR(__xludf.DUMMYFUNCTION("""COMPUTED_VALUE"""),45870.64583333333)</f>
        <v>45870.64583</v>
      </c>
      <c r="B45" s="6">
        <f>IFERROR(__xludf.DUMMYFUNCTION("""COMPUTED_VALUE"""),117.0)</f>
        <v>117</v>
      </c>
      <c r="C45" s="6">
        <f>IFERROR(__xludf.DUMMYFUNCTION("""COMPUTED_VALUE"""),117.15)</f>
        <v>117.15</v>
      </c>
      <c r="D45" s="6">
        <f>IFERROR(__xludf.DUMMYFUNCTION("""COMPUTED_VALUE"""),112.6)</f>
        <v>112.6</v>
      </c>
      <c r="E45" s="6">
        <f>IFERROR(__xludf.DUMMYFUNCTION("""COMPUTED_VALUE"""),112.91)</f>
        <v>112.91</v>
      </c>
      <c r="F45" s="6">
        <f>IFERROR(__xludf.DUMMYFUNCTION("""COMPUTED_VALUE"""),2.0435455E7)</f>
        <v>20435455</v>
      </c>
    </row>
    <row r="46">
      <c r="A46" s="7">
        <f>IFERROR(__xludf.DUMMYFUNCTION("""COMPUTED_VALUE"""),45877.64583333333)</f>
        <v>45877.64583</v>
      </c>
      <c r="B46" s="6">
        <f>IFERROR(__xludf.DUMMYFUNCTION("""COMPUTED_VALUE"""),112.91)</f>
        <v>112.91</v>
      </c>
      <c r="C46" s="6">
        <f>IFERROR(__xludf.DUMMYFUNCTION("""COMPUTED_VALUE"""),114.89)</f>
        <v>114.89</v>
      </c>
      <c r="D46" s="6">
        <f>IFERROR(__xludf.DUMMYFUNCTION("""COMPUTED_VALUE"""),111.02)</f>
        <v>111.02</v>
      </c>
      <c r="E46" s="6">
        <f>IFERROR(__xludf.DUMMYFUNCTION("""COMPUTED_VALUE"""),112.37)</f>
        <v>112.37</v>
      </c>
      <c r="F46" s="6">
        <f>IFERROR(__xludf.DUMMYFUNCTION("""COMPUTED_VALUE"""),1.467109E7)</f>
        <v>14671090</v>
      </c>
    </row>
    <row r="47">
      <c r="A47" s="7">
        <f>IFERROR(__xludf.DUMMYFUNCTION("""COMPUTED_VALUE"""),45883.64583333333)</f>
        <v>45883.64583</v>
      </c>
      <c r="B47" s="6">
        <f>IFERROR(__xludf.DUMMYFUNCTION("""COMPUTED_VALUE"""),112.0)</f>
        <v>112</v>
      </c>
      <c r="C47" s="6">
        <f>IFERROR(__xludf.DUMMYFUNCTION("""COMPUTED_VALUE"""),114.92)</f>
        <v>114.92</v>
      </c>
      <c r="D47" s="6">
        <f>IFERROR(__xludf.DUMMYFUNCTION("""COMPUTED_VALUE"""),108.25)</f>
        <v>108.25</v>
      </c>
      <c r="E47" s="6">
        <f>IFERROR(__xludf.DUMMYFUNCTION("""COMPUTED_VALUE"""),112.72)</f>
        <v>112.72</v>
      </c>
      <c r="F47" s="6">
        <f>IFERROR(__xludf.DUMMYFUNCTION("""COMPUTED_VALUE"""),4.1368928E7)</f>
        <v>41368928</v>
      </c>
    </row>
    <row r="48">
      <c r="A48" s="7">
        <f>IFERROR(__xludf.DUMMYFUNCTION("""COMPUTED_VALUE"""),45891.64583333333)</f>
        <v>45891.64583</v>
      </c>
      <c r="B48" s="6">
        <f>IFERROR(__xludf.DUMMYFUNCTION("""COMPUTED_VALUE"""),114.0)</f>
        <v>114</v>
      </c>
      <c r="C48" s="6">
        <f>IFERROR(__xludf.DUMMYFUNCTION("""COMPUTED_VALUE"""),117.98)</f>
        <v>117.98</v>
      </c>
      <c r="D48" s="6">
        <f>IFERROR(__xludf.DUMMYFUNCTION("""COMPUTED_VALUE"""),112.6)</f>
        <v>112.6</v>
      </c>
      <c r="E48" s="6">
        <f>IFERROR(__xludf.DUMMYFUNCTION("""COMPUTED_VALUE"""),112.93)</f>
        <v>112.93</v>
      </c>
      <c r="F48" s="6">
        <f>IFERROR(__xludf.DUMMYFUNCTION("""COMPUTED_VALUE"""),2.5633337E7)</f>
        <v>25633337</v>
      </c>
    </row>
    <row r="49">
      <c r="A49" s="7">
        <f>IFERROR(__xludf.DUMMYFUNCTION("""COMPUTED_VALUE"""),45895.64583333333)</f>
        <v>45895.64583</v>
      </c>
      <c r="B49" s="6">
        <f>IFERROR(__xludf.DUMMYFUNCTION("""COMPUTED_VALUE"""),112.93)</f>
        <v>112.93</v>
      </c>
      <c r="C49" s="6">
        <f>IFERROR(__xludf.DUMMYFUNCTION("""COMPUTED_VALUE"""),113.85)</f>
        <v>113.85</v>
      </c>
      <c r="D49" s="6">
        <f>IFERROR(__xludf.DUMMYFUNCTION("""COMPUTED_VALUE"""),112.01)</f>
        <v>112.01</v>
      </c>
      <c r="E49" s="6">
        <f>IFERROR(__xludf.DUMMYFUNCTION("""COMPUTED_VALUE"""),112.33)</f>
        <v>112.33</v>
      </c>
      <c r="F49" s="6">
        <f>IFERROR(__xludf.DUMMYFUNCTION("""COMPUTED_VALUE"""),3.9113394E7)</f>
        <v>39113394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IFERROR(__xludf.DUMMYFUNCTION("GOOGLEFINANCE(""NSE:BAJAJHLDNG"",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IFERROR(__xludf.DUMMYFUNCTION("""COMPUTED_VALUE"""),7240.0)</f>
        <v>7240</v>
      </c>
      <c r="C2" s="6">
        <f>IFERROR(__xludf.DUMMYFUNCTION("""COMPUTED_VALUE"""),7494.0)</f>
        <v>7494</v>
      </c>
      <c r="D2" s="6">
        <f>IFERROR(__xludf.DUMMYFUNCTION("""COMPUTED_VALUE"""),7233.1)</f>
        <v>7233.1</v>
      </c>
      <c r="E2" s="6">
        <f>IFERROR(__xludf.DUMMYFUNCTION("""COMPUTED_VALUE"""),7340.8)</f>
        <v>7340.8</v>
      </c>
      <c r="F2" s="6">
        <f>IFERROR(__xludf.DUMMYFUNCTION("""COMPUTED_VALUE"""),109158.0)</f>
        <v>109158</v>
      </c>
    </row>
    <row r="3">
      <c r="A3" s="7">
        <f>IFERROR(__xludf.DUMMYFUNCTION("""COMPUTED_VALUE"""),45177.64583333333)</f>
        <v>45177.64583</v>
      </c>
      <c r="B3" s="6">
        <f>IFERROR(__xludf.DUMMYFUNCTION("""COMPUTED_VALUE"""),7340.05)</f>
        <v>7340.05</v>
      </c>
      <c r="C3" s="6">
        <f>IFERROR(__xludf.DUMMYFUNCTION("""COMPUTED_VALUE"""),7377.0)</f>
        <v>7377</v>
      </c>
      <c r="D3" s="6">
        <f>IFERROR(__xludf.DUMMYFUNCTION("""COMPUTED_VALUE"""),7128.0)</f>
        <v>7128</v>
      </c>
      <c r="E3" s="6">
        <f>IFERROR(__xludf.DUMMYFUNCTION("""COMPUTED_VALUE"""),7141.8)</f>
        <v>7141.8</v>
      </c>
      <c r="F3" s="6">
        <f>IFERROR(__xludf.DUMMYFUNCTION("""COMPUTED_VALUE"""),304519.0)</f>
        <v>304519</v>
      </c>
    </row>
    <row r="4">
      <c r="A4" s="7">
        <f>IFERROR(__xludf.DUMMYFUNCTION("""COMPUTED_VALUE"""),45184.64583333333)</f>
        <v>45184.64583</v>
      </c>
      <c r="B4" s="6">
        <f>IFERROR(__xludf.DUMMYFUNCTION("""COMPUTED_VALUE"""),7141.8)</f>
        <v>7141.8</v>
      </c>
      <c r="C4" s="6">
        <f>IFERROR(__xludf.DUMMYFUNCTION("""COMPUTED_VALUE"""),7212.0)</f>
        <v>7212</v>
      </c>
      <c r="D4" s="6">
        <f>IFERROR(__xludf.DUMMYFUNCTION("""COMPUTED_VALUE"""),6982.05)</f>
        <v>6982.05</v>
      </c>
      <c r="E4" s="6">
        <f>IFERROR(__xludf.DUMMYFUNCTION("""COMPUTED_VALUE"""),7103.1)</f>
        <v>7103.1</v>
      </c>
      <c r="F4" s="6">
        <f>IFERROR(__xludf.DUMMYFUNCTION("""COMPUTED_VALUE"""),362187.0)</f>
        <v>362187</v>
      </c>
    </row>
    <row r="5">
      <c r="A5" s="7">
        <f>IFERROR(__xludf.DUMMYFUNCTION("""COMPUTED_VALUE"""),45191.64583333333)</f>
        <v>45191.64583</v>
      </c>
      <c r="B5" s="6">
        <f>IFERROR(__xludf.DUMMYFUNCTION("""COMPUTED_VALUE"""),7194.95)</f>
        <v>7194.95</v>
      </c>
      <c r="C5" s="6">
        <f>IFERROR(__xludf.DUMMYFUNCTION("""COMPUTED_VALUE"""),7419.0)</f>
        <v>7419</v>
      </c>
      <c r="D5" s="6">
        <f>IFERROR(__xludf.DUMMYFUNCTION("""COMPUTED_VALUE"""),7152.4)</f>
        <v>7152.4</v>
      </c>
      <c r="E5" s="6">
        <f>IFERROR(__xludf.DUMMYFUNCTION("""COMPUTED_VALUE"""),7332.05)</f>
        <v>7332.05</v>
      </c>
      <c r="F5" s="6">
        <f>IFERROR(__xludf.DUMMYFUNCTION("""COMPUTED_VALUE"""),184339.0)</f>
        <v>184339</v>
      </c>
    </row>
    <row r="6">
      <c r="A6" s="7">
        <f>IFERROR(__xludf.DUMMYFUNCTION("""COMPUTED_VALUE"""),45198.64583333333)</f>
        <v>45198.64583</v>
      </c>
      <c r="B6" s="6">
        <f>IFERROR(__xludf.DUMMYFUNCTION("""COMPUTED_VALUE"""),7341.4)</f>
        <v>7341.4</v>
      </c>
      <c r="C6" s="6">
        <f>IFERROR(__xludf.DUMMYFUNCTION("""COMPUTED_VALUE"""),7450.0)</f>
        <v>7450</v>
      </c>
      <c r="D6" s="6">
        <f>IFERROR(__xludf.DUMMYFUNCTION("""COMPUTED_VALUE"""),7001.05)</f>
        <v>7001.05</v>
      </c>
      <c r="E6" s="6">
        <f>IFERROR(__xludf.DUMMYFUNCTION("""COMPUTED_VALUE"""),7108.5)</f>
        <v>7108.5</v>
      </c>
      <c r="F6" s="6">
        <f>IFERROR(__xludf.DUMMYFUNCTION("""COMPUTED_VALUE"""),354375.0)</f>
        <v>354375</v>
      </c>
    </row>
    <row r="7">
      <c r="A7" s="7">
        <f>IFERROR(__xludf.DUMMYFUNCTION("""COMPUTED_VALUE"""),45205.64583333333)</f>
        <v>45205.64583</v>
      </c>
      <c r="B7" s="6">
        <f>IFERROR(__xludf.DUMMYFUNCTION("""COMPUTED_VALUE"""),7100.0)</f>
        <v>7100</v>
      </c>
      <c r="C7" s="6">
        <f>IFERROR(__xludf.DUMMYFUNCTION("""COMPUTED_VALUE"""),7100.0)</f>
        <v>7100</v>
      </c>
      <c r="D7" s="6">
        <f>IFERROR(__xludf.DUMMYFUNCTION("""COMPUTED_VALUE"""),6651.0)</f>
        <v>6651</v>
      </c>
      <c r="E7" s="6">
        <f>IFERROR(__xludf.DUMMYFUNCTION("""COMPUTED_VALUE"""),6843.7)</f>
        <v>6843.7</v>
      </c>
      <c r="F7" s="6">
        <f>IFERROR(__xludf.DUMMYFUNCTION("""COMPUTED_VALUE"""),148544.0)</f>
        <v>148544</v>
      </c>
    </row>
    <row r="8">
      <c r="A8" s="7">
        <f>IFERROR(__xludf.DUMMYFUNCTION("""COMPUTED_VALUE"""),45212.64583333333)</f>
        <v>45212.64583</v>
      </c>
      <c r="B8" s="6">
        <f>IFERROR(__xludf.DUMMYFUNCTION("""COMPUTED_VALUE"""),6840.0)</f>
        <v>6840</v>
      </c>
      <c r="C8" s="6">
        <f>IFERROR(__xludf.DUMMYFUNCTION("""COMPUTED_VALUE"""),7097.95)</f>
        <v>7097.95</v>
      </c>
      <c r="D8" s="6">
        <f>IFERROR(__xludf.DUMMYFUNCTION("""COMPUTED_VALUE"""),6761.0)</f>
        <v>6761</v>
      </c>
      <c r="E8" s="6">
        <f>IFERROR(__xludf.DUMMYFUNCTION("""COMPUTED_VALUE"""),6838.85)</f>
        <v>6838.85</v>
      </c>
      <c r="F8" s="6">
        <f>IFERROR(__xludf.DUMMYFUNCTION("""COMPUTED_VALUE"""),148193.0)</f>
        <v>148193</v>
      </c>
    </row>
    <row r="9">
      <c r="A9" s="7">
        <f>IFERROR(__xludf.DUMMYFUNCTION("""COMPUTED_VALUE"""),45219.64583333333)</f>
        <v>45219.64583</v>
      </c>
      <c r="B9" s="6">
        <f>IFERROR(__xludf.DUMMYFUNCTION("""COMPUTED_VALUE"""),6838.85)</f>
        <v>6838.85</v>
      </c>
      <c r="C9" s="6">
        <f>IFERROR(__xludf.DUMMYFUNCTION("""COMPUTED_VALUE"""),7120.0)</f>
        <v>7120</v>
      </c>
      <c r="D9" s="6">
        <f>IFERROR(__xludf.DUMMYFUNCTION("""COMPUTED_VALUE"""),6756.0)</f>
        <v>6756</v>
      </c>
      <c r="E9" s="6">
        <f>IFERROR(__xludf.DUMMYFUNCTION("""COMPUTED_VALUE"""),7055.4)</f>
        <v>7055.4</v>
      </c>
      <c r="F9" s="6">
        <f>IFERROR(__xludf.DUMMYFUNCTION("""COMPUTED_VALUE"""),199072.0)</f>
        <v>199072</v>
      </c>
    </row>
    <row r="10">
      <c r="A10" s="7">
        <f>IFERROR(__xludf.DUMMYFUNCTION("""COMPUTED_VALUE"""),45226.64583333333)</f>
        <v>45226.64583</v>
      </c>
      <c r="B10" s="6">
        <f>IFERROR(__xludf.DUMMYFUNCTION("""COMPUTED_VALUE"""),7080.0)</f>
        <v>7080</v>
      </c>
      <c r="C10" s="6">
        <f>IFERROR(__xludf.DUMMYFUNCTION("""COMPUTED_VALUE"""),7165.0)</f>
        <v>7165</v>
      </c>
      <c r="D10" s="6">
        <f>IFERROR(__xludf.DUMMYFUNCTION("""COMPUTED_VALUE"""),6650.0)</f>
        <v>6650</v>
      </c>
      <c r="E10" s="6">
        <f>IFERROR(__xludf.DUMMYFUNCTION("""COMPUTED_VALUE"""),6729.0)</f>
        <v>6729</v>
      </c>
      <c r="F10" s="6">
        <f>IFERROR(__xludf.DUMMYFUNCTION("""COMPUTED_VALUE"""),117196.0)</f>
        <v>117196</v>
      </c>
    </row>
    <row r="11">
      <c r="A11" s="7">
        <f>IFERROR(__xludf.DUMMYFUNCTION("""COMPUTED_VALUE"""),45233.64583333333)</f>
        <v>45233.64583</v>
      </c>
      <c r="B11" s="6">
        <f>IFERROR(__xludf.DUMMYFUNCTION("""COMPUTED_VALUE"""),6790.0)</f>
        <v>6790</v>
      </c>
      <c r="C11" s="6">
        <f>IFERROR(__xludf.DUMMYFUNCTION("""COMPUTED_VALUE"""),6984.9)</f>
        <v>6984.9</v>
      </c>
      <c r="D11" s="6">
        <f>IFERROR(__xludf.DUMMYFUNCTION("""COMPUTED_VALUE"""),6627.9)</f>
        <v>6627.9</v>
      </c>
      <c r="E11" s="6">
        <f>IFERROR(__xludf.DUMMYFUNCTION("""COMPUTED_VALUE"""),6922.3)</f>
        <v>6922.3</v>
      </c>
      <c r="F11" s="6">
        <f>IFERROR(__xludf.DUMMYFUNCTION("""COMPUTED_VALUE"""),141563.0)</f>
        <v>141563</v>
      </c>
    </row>
    <row r="12">
      <c r="A12" s="7">
        <f>IFERROR(__xludf.DUMMYFUNCTION("""COMPUTED_VALUE"""),45240.64583333333)</f>
        <v>45240.64583</v>
      </c>
      <c r="B12" s="6">
        <f>IFERROR(__xludf.DUMMYFUNCTION("""COMPUTED_VALUE"""),7026.35)</f>
        <v>7026.35</v>
      </c>
      <c r="C12" s="6">
        <f>IFERROR(__xludf.DUMMYFUNCTION("""COMPUTED_VALUE"""),7170.0)</f>
        <v>7170</v>
      </c>
      <c r="D12" s="6">
        <f>IFERROR(__xludf.DUMMYFUNCTION("""COMPUTED_VALUE"""),6913.3)</f>
        <v>6913.3</v>
      </c>
      <c r="E12" s="6">
        <f>IFERROR(__xludf.DUMMYFUNCTION("""COMPUTED_VALUE"""),7138.6)</f>
        <v>7138.6</v>
      </c>
      <c r="F12" s="6">
        <f>IFERROR(__xludf.DUMMYFUNCTION("""COMPUTED_VALUE"""),107041.0)</f>
        <v>107041</v>
      </c>
    </row>
    <row r="13">
      <c r="A13" s="7">
        <f>IFERROR(__xludf.DUMMYFUNCTION("""COMPUTED_VALUE"""),45247.64583333333)</f>
        <v>45247.64583</v>
      </c>
      <c r="B13" s="6">
        <f>IFERROR(__xludf.DUMMYFUNCTION("""COMPUTED_VALUE"""),7154.8)</f>
        <v>7154.8</v>
      </c>
      <c r="C13" s="6">
        <f>IFERROR(__xludf.DUMMYFUNCTION("""COMPUTED_VALUE"""),7375.0)</f>
        <v>7375</v>
      </c>
      <c r="D13" s="6">
        <f>IFERROR(__xludf.DUMMYFUNCTION("""COMPUTED_VALUE"""),7036.0)</f>
        <v>7036</v>
      </c>
      <c r="E13" s="6">
        <f>IFERROR(__xludf.DUMMYFUNCTION("""COMPUTED_VALUE"""),7347.8)</f>
        <v>7347.8</v>
      </c>
      <c r="F13" s="6">
        <f>IFERROR(__xludf.DUMMYFUNCTION("""COMPUTED_VALUE"""),130107.0)</f>
        <v>130107</v>
      </c>
    </row>
    <row r="14">
      <c r="A14" s="7">
        <f>IFERROR(__xludf.DUMMYFUNCTION("""COMPUTED_VALUE"""),45254.64583333333)</f>
        <v>45254.64583</v>
      </c>
      <c r="B14" s="6">
        <f>IFERROR(__xludf.DUMMYFUNCTION("""COMPUTED_VALUE"""),7347.8)</f>
        <v>7347.8</v>
      </c>
      <c r="C14" s="6">
        <f>IFERROR(__xludf.DUMMYFUNCTION("""COMPUTED_VALUE"""),7488.8)</f>
        <v>7488.8</v>
      </c>
      <c r="D14" s="6">
        <f>IFERROR(__xludf.DUMMYFUNCTION("""COMPUTED_VALUE"""),7234.05)</f>
        <v>7234.05</v>
      </c>
      <c r="E14" s="6">
        <f>IFERROR(__xludf.DUMMYFUNCTION("""COMPUTED_VALUE"""),7438.85)</f>
        <v>7438.85</v>
      </c>
      <c r="F14" s="6">
        <f>IFERROR(__xludf.DUMMYFUNCTION("""COMPUTED_VALUE"""),80134.0)</f>
        <v>80134</v>
      </c>
    </row>
    <row r="15">
      <c r="A15" s="7">
        <f>IFERROR(__xludf.DUMMYFUNCTION("""COMPUTED_VALUE"""),45261.64583333333)</f>
        <v>45261.64583</v>
      </c>
      <c r="B15" s="6">
        <f>IFERROR(__xludf.DUMMYFUNCTION("""COMPUTED_VALUE"""),7420.1)</f>
        <v>7420.1</v>
      </c>
      <c r="C15" s="6">
        <f>IFERROR(__xludf.DUMMYFUNCTION("""COMPUTED_VALUE"""),7480.0)</f>
        <v>7480</v>
      </c>
      <c r="D15" s="6">
        <f>IFERROR(__xludf.DUMMYFUNCTION("""COMPUTED_VALUE"""),7210.0)</f>
        <v>7210</v>
      </c>
      <c r="E15" s="6">
        <f>IFERROR(__xludf.DUMMYFUNCTION("""COMPUTED_VALUE"""),7332.9)</f>
        <v>7332.9</v>
      </c>
      <c r="F15" s="6">
        <f>IFERROR(__xludf.DUMMYFUNCTION("""COMPUTED_VALUE"""),124078.0)</f>
        <v>124078</v>
      </c>
    </row>
    <row r="16">
      <c r="A16" s="7">
        <f>IFERROR(__xludf.DUMMYFUNCTION("""COMPUTED_VALUE"""),45268.64583333333)</f>
        <v>45268.64583</v>
      </c>
      <c r="B16" s="6">
        <f>IFERROR(__xludf.DUMMYFUNCTION("""COMPUTED_VALUE"""),7396.65)</f>
        <v>7396.65</v>
      </c>
      <c r="C16" s="6">
        <f>IFERROR(__xludf.DUMMYFUNCTION("""COMPUTED_VALUE"""),8373.85)</f>
        <v>8373.85</v>
      </c>
      <c r="D16" s="6">
        <f>IFERROR(__xludf.DUMMYFUNCTION("""COMPUTED_VALUE"""),7357.05)</f>
        <v>7357.05</v>
      </c>
      <c r="E16" s="6">
        <f>IFERROR(__xludf.DUMMYFUNCTION("""COMPUTED_VALUE"""),7984.25)</f>
        <v>7984.25</v>
      </c>
      <c r="F16" s="6">
        <f>IFERROR(__xludf.DUMMYFUNCTION("""COMPUTED_VALUE"""),446913.0)</f>
        <v>446913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IFERROR(__xludf.DUMMYFUNCTION("""COMPUTED_VALUE"""),7984.25)</f>
        <v>7984.25</v>
      </c>
      <c r="C17" s="6">
        <f>IFERROR(__xludf.DUMMYFUNCTION("""COMPUTED_VALUE"""),8370.0)</f>
        <v>8370</v>
      </c>
      <c r="D17" s="6">
        <f>IFERROR(__xludf.DUMMYFUNCTION("""COMPUTED_VALUE"""),7755.6)</f>
        <v>7755.6</v>
      </c>
      <c r="E17" s="6">
        <f>IFERROR(__xludf.DUMMYFUNCTION("""COMPUTED_VALUE"""),7969.8)</f>
        <v>7969.8</v>
      </c>
      <c r="F17" s="6">
        <f>IFERROR(__xludf.DUMMYFUNCTION("""COMPUTED_VALUE"""),261025.0)</f>
        <v>261025</v>
      </c>
    </row>
    <row r="18">
      <c r="A18" s="7">
        <f>IFERROR(__xludf.DUMMYFUNCTION("""COMPUTED_VALUE"""),45282.64583333333)</f>
        <v>45282.64583</v>
      </c>
      <c r="B18" s="6">
        <f>IFERROR(__xludf.DUMMYFUNCTION("""COMPUTED_VALUE"""),8039.85)</f>
        <v>8039.85</v>
      </c>
      <c r="C18" s="6">
        <f>IFERROR(__xludf.DUMMYFUNCTION("""COMPUTED_VALUE"""),8039.85)</f>
        <v>8039.85</v>
      </c>
      <c r="D18" s="6">
        <f>IFERROR(__xludf.DUMMYFUNCTION("""COMPUTED_VALUE"""),7660.0)</f>
        <v>7660</v>
      </c>
      <c r="E18" s="6">
        <f>IFERROR(__xludf.DUMMYFUNCTION("""COMPUTED_VALUE"""),7837.6)</f>
        <v>7837.6</v>
      </c>
      <c r="F18" s="6">
        <f>IFERROR(__xludf.DUMMYFUNCTION("""COMPUTED_VALUE"""),169117.0)</f>
        <v>169117</v>
      </c>
    </row>
    <row r="19">
      <c r="A19" s="7">
        <f>IFERROR(__xludf.DUMMYFUNCTION("""COMPUTED_VALUE"""),45289.64583333333)</f>
        <v>45289.64583</v>
      </c>
      <c r="B19" s="6">
        <f>IFERROR(__xludf.DUMMYFUNCTION("""COMPUTED_VALUE"""),7877.0)</f>
        <v>7877</v>
      </c>
      <c r="C19" s="6">
        <f>IFERROR(__xludf.DUMMYFUNCTION("""COMPUTED_VALUE"""),8188.45)</f>
        <v>8188.45</v>
      </c>
      <c r="D19" s="6">
        <f>IFERROR(__xludf.DUMMYFUNCTION("""COMPUTED_VALUE"""),7620.0)</f>
        <v>7620</v>
      </c>
      <c r="E19" s="6">
        <f>IFERROR(__xludf.DUMMYFUNCTION("""COMPUTED_VALUE"""),7674.6)</f>
        <v>7674.6</v>
      </c>
      <c r="F19" s="6">
        <f>IFERROR(__xludf.DUMMYFUNCTION("""COMPUTED_VALUE"""),170118.0)</f>
        <v>170118</v>
      </c>
    </row>
    <row r="20">
      <c r="A20" s="7">
        <f>IFERROR(__xludf.DUMMYFUNCTION("""COMPUTED_VALUE"""),45296.64583333333)</f>
        <v>45296.64583</v>
      </c>
      <c r="B20" s="6">
        <f>IFERROR(__xludf.DUMMYFUNCTION("""COMPUTED_VALUE"""),7710.0)</f>
        <v>7710</v>
      </c>
      <c r="C20" s="6">
        <f>IFERROR(__xludf.DUMMYFUNCTION("""COMPUTED_VALUE"""),8275.0)</f>
        <v>8275</v>
      </c>
      <c r="D20" s="6">
        <f>IFERROR(__xludf.DUMMYFUNCTION("""COMPUTED_VALUE"""),7700.0)</f>
        <v>7700</v>
      </c>
      <c r="E20" s="6">
        <f>IFERROR(__xludf.DUMMYFUNCTION("""COMPUTED_VALUE"""),8066.1)</f>
        <v>8066.1</v>
      </c>
      <c r="F20" s="6">
        <f>IFERROR(__xludf.DUMMYFUNCTION("""COMPUTED_VALUE"""),206762.0)</f>
        <v>206762</v>
      </c>
    </row>
    <row r="21">
      <c r="A21" s="7">
        <f>IFERROR(__xludf.DUMMYFUNCTION("""COMPUTED_VALUE"""),45303.64583333333)</f>
        <v>45303.64583</v>
      </c>
      <c r="B21" s="6">
        <f>IFERROR(__xludf.DUMMYFUNCTION("""COMPUTED_VALUE"""),8070.0)</f>
        <v>8070</v>
      </c>
      <c r="C21" s="6">
        <f>IFERROR(__xludf.DUMMYFUNCTION("""COMPUTED_VALUE"""),8312.95)</f>
        <v>8312.95</v>
      </c>
      <c r="D21" s="6">
        <f>IFERROR(__xludf.DUMMYFUNCTION("""COMPUTED_VALUE"""),7965.0)</f>
        <v>7965</v>
      </c>
      <c r="E21" s="6">
        <f>IFERROR(__xludf.DUMMYFUNCTION("""COMPUTED_VALUE"""),8051.55)</f>
        <v>8051.55</v>
      </c>
      <c r="F21" s="6">
        <f>IFERROR(__xludf.DUMMYFUNCTION("""COMPUTED_VALUE"""),100099.0)</f>
        <v>100099</v>
      </c>
    </row>
    <row r="22">
      <c r="A22" s="7">
        <f>IFERROR(__xludf.DUMMYFUNCTION("""COMPUTED_VALUE"""),45316.64583333333)</f>
        <v>45316.64583</v>
      </c>
      <c r="B22" s="6">
        <f>IFERROR(__xludf.DUMMYFUNCTION("""COMPUTED_VALUE"""),8400.0)</f>
        <v>8400</v>
      </c>
      <c r="C22" s="6">
        <f>IFERROR(__xludf.DUMMYFUNCTION("""COMPUTED_VALUE"""),8400.0)</f>
        <v>8400</v>
      </c>
      <c r="D22" s="6">
        <f>IFERROR(__xludf.DUMMYFUNCTION("""COMPUTED_VALUE"""),8001.0)</f>
        <v>8001</v>
      </c>
      <c r="E22" s="6">
        <f>IFERROR(__xludf.DUMMYFUNCTION("""COMPUTED_VALUE"""),8194.7)</f>
        <v>8194.7</v>
      </c>
      <c r="F22" s="6">
        <f>IFERROR(__xludf.DUMMYFUNCTION("""COMPUTED_VALUE"""),75438.0)</f>
        <v>75438</v>
      </c>
    </row>
    <row r="23">
      <c r="A23" s="7">
        <f>IFERROR(__xludf.DUMMYFUNCTION("""COMPUTED_VALUE"""),45324.64583333333)</f>
        <v>45324.64583</v>
      </c>
      <c r="B23" s="6">
        <f>IFERROR(__xludf.DUMMYFUNCTION("""COMPUTED_VALUE"""),8192.05)</f>
        <v>8192.05</v>
      </c>
      <c r="C23" s="6">
        <f>IFERROR(__xludf.DUMMYFUNCTION("""COMPUTED_VALUE"""),8485.0)</f>
        <v>8485</v>
      </c>
      <c r="D23" s="6">
        <f>IFERROR(__xludf.DUMMYFUNCTION("""COMPUTED_VALUE"""),8177.55)</f>
        <v>8177.55</v>
      </c>
      <c r="E23" s="6">
        <f>IFERROR(__xludf.DUMMYFUNCTION("""COMPUTED_VALUE"""),8461.45)</f>
        <v>8461.45</v>
      </c>
      <c r="F23" s="6">
        <f>IFERROR(__xludf.DUMMYFUNCTION("""COMPUTED_VALUE"""),140210.0)</f>
        <v>140210</v>
      </c>
    </row>
    <row r="24">
      <c r="A24" s="7">
        <f>IFERROR(__xludf.DUMMYFUNCTION("""COMPUTED_VALUE"""),45331.64583333333)</f>
        <v>45331.64583</v>
      </c>
      <c r="B24" s="6">
        <f>IFERROR(__xludf.DUMMYFUNCTION("""COMPUTED_VALUE"""),8468.8)</f>
        <v>8468.8</v>
      </c>
      <c r="C24" s="6">
        <f>IFERROR(__xludf.DUMMYFUNCTION("""COMPUTED_VALUE"""),8784.1)</f>
        <v>8784.1</v>
      </c>
      <c r="D24" s="6">
        <f>IFERROR(__xludf.DUMMYFUNCTION("""COMPUTED_VALUE"""),8283.55)</f>
        <v>8283.55</v>
      </c>
      <c r="E24" s="6">
        <f>IFERROR(__xludf.DUMMYFUNCTION("""COMPUTED_VALUE"""),8634.05)</f>
        <v>8634.05</v>
      </c>
      <c r="F24" s="6">
        <f>IFERROR(__xludf.DUMMYFUNCTION("""COMPUTED_VALUE"""),152947.0)</f>
        <v>152947</v>
      </c>
    </row>
    <row r="25">
      <c r="A25" s="7">
        <f>IFERROR(__xludf.DUMMYFUNCTION("""COMPUTED_VALUE"""),45338.64583333333)</f>
        <v>45338.64583</v>
      </c>
      <c r="B25" s="6">
        <f>IFERROR(__xludf.DUMMYFUNCTION("""COMPUTED_VALUE"""),8634.0)</f>
        <v>8634</v>
      </c>
      <c r="C25" s="6">
        <f>IFERROR(__xludf.DUMMYFUNCTION("""COMPUTED_VALUE"""),8925.0)</f>
        <v>8925</v>
      </c>
      <c r="D25" s="6">
        <f>IFERROR(__xludf.DUMMYFUNCTION("""COMPUTED_VALUE"""),8519.65)</f>
        <v>8519.65</v>
      </c>
      <c r="E25" s="6">
        <f>IFERROR(__xludf.DUMMYFUNCTION("""COMPUTED_VALUE"""),8784.75)</f>
        <v>8784.75</v>
      </c>
      <c r="F25" s="6">
        <f>IFERROR(__xludf.DUMMYFUNCTION("""COMPUTED_VALUE"""),100879.0)</f>
        <v>100879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IFERROR(__xludf.DUMMYFUNCTION("""COMPUTED_VALUE"""),8880.0)</f>
        <v>8880</v>
      </c>
      <c r="C26" s="6">
        <f>IFERROR(__xludf.DUMMYFUNCTION("""COMPUTED_VALUE"""),8974.9)</f>
        <v>8974.9</v>
      </c>
      <c r="D26" s="6">
        <f>IFERROR(__xludf.DUMMYFUNCTION("""COMPUTED_VALUE"""),8559.05)</f>
        <v>8559.05</v>
      </c>
      <c r="E26" s="6">
        <f>IFERROR(__xludf.DUMMYFUNCTION("""COMPUTED_VALUE"""),8755.8)</f>
        <v>8755.8</v>
      </c>
      <c r="F26" s="6">
        <f>IFERROR(__xludf.DUMMYFUNCTION("""COMPUTED_VALUE"""),94637.0)</f>
        <v>94637</v>
      </c>
    </row>
    <row r="27">
      <c r="A27" s="7">
        <f>IFERROR(__xludf.DUMMYFUNCTION("""COMPUTED_VALUE"""),45358.64583333333)</f>
        <v>45358.64583</v>
      </c>
      <c r="B27" s="6">
        <f>IFERROR(__xludf.DUMMYFUNCTION("""COMPUTED_VALUE"""),9175.0)</f>
        <v>9175</v>
      </c>
      <c r="C27" s="6">
        <f>IFERROR(__xludf.DUMMYFUNCTION("""COMPUTED_VALUE"""),9175.0)</f>
        <v>9175</v>
      </c>
      <c r="D27" s="6">
        <f>IFERROR(__xludf.DUMMYFUNCTION("""COMPUTED_VALUE"""),8610.0)</f>
        <v>8610</v>
      </c>
      <c r="E27" s="6">
        <f>IFERROR(__xludf.DUMMYFUNCTION("""COMPUTED_VALUE"""),8665.15)</f>
        <v>8665.15</v>
      </c>
      <c r="F27" s="6">
        <f>IFERROR(__xludf.DUMMYFUNCTION("""COMPUTED_VALUE"""),166791.0)</f>
        <v>166791</v>
      </c>
    </row>
    <row r="28">
      <c r="A28" s="7">
        <f>IFERROR(__xludf.DUMMYFUNCTION("""COMPUTED_VALUE"""),45366.64583333333)</f>
        <v>45366.64583</v>
      </c>
      <c r="B28" s="6">
        <f>IFERROR(__xludf.DUMMYFUNCTION("""COMPUTED_VALUE"""),8666.25)</f>
        <v>8666.25</v>
      </c>
      <c r="C28" s="6">
        <f>IFERROR(__xludf.DUMMYFUNCTION("""COMPUTED_VALUE"""),8747.7)</f>
        <v>8747.7</v>
      </c>
      <c r="D28" s="6">
        <f>IFERROR(__xludf.DUMMYFUNCTION("""COMPUTED_VALUE"""),8080.6)</f>
        <v>8080.6</v>
      </c>
      <c r="E28" s="6">
        <f>IFERROR(__xludf.DUMMYFUNCTION("""COMPUTED_VALUE"""),8243.75)</f>
        <v>8243.75</v>
      </c>
      <c r="F28" s="6">
        <f>IFERROR(__xludf.DUMMYFUNCTION("""COMPUTED_VALUE"""),243643.0)</f>
        <v>243643</v>
      </c>
    </row>
    <row r="29">
      <c r="A29" s="7">
        <f>IFERROR(__xludf.DUMMYFUNCTION("""COMPUTED_VALUE"""),45373.64583333333)</f>
        <v>45373.64583</v>
      </c>
      <c r="B29" s="6">
        <f>IFERROR(__xludf.DUMMYFUNCTION("""COMPUTED_VALUE"""),8243.75)</f>
        <v>8243.75</v>
      </c>
      <c r="C29" s="6">
        <f>IFERROR(__xludf.DUMMYFUNCTION("""COMPUTED_VALUE"""),8447.65)</f>
        <v>8447.65</v>
      </c>
      <c r="D29" s="6">
        <f>IFERROR(__xludf.DUMMYFUNCTION("""COMPUTED_VALUE"""),8088.0)</f>
        <v>8088</v>
      </c>
      <c r="E29" s="6">
        <f>IFERROR(__xludf.DUMMYFUNCTION("""COMPUTED_VALUE"""),8395.05)</f>
        <v>8395.05</v>
      </c>
      <c r="F29" s="6">
        <f>IFERROR(__xludf.DUMMYFUNCTION("""COMPUTED_VALUE"""),122758.0)</f>
        <v>122758</v>
      </c>
    </row>
    <row r="30">
      <c r="A30" s="7">
        <f>IFERROR(__xludf.DUMMYFUNCTION("""COMPUTED_VALUE"""),45379.64583333333)</f>
        <v>45379.64583</v>
      </c>
      <c r="B30" s="6">
        <f>IFERROR(__xludf.DUMMYFUNCTION("""COMPUTED_VALUE"""),8212.0)</f>
        <v>8212</v>
      </c>
      <c r="C30" s="6">
        <f>IFERROR(__xludf.DUMMYFUNCTION("""COMPUTED_VALUE"""),8509.8)</f>
        <v>8509.8</v>
      </c>
      <c r="D30" s="6">
        <f>IFERROR(__xludf.DUMMYFUNCTION("""COMPUTED_VALUE"""),7965.25)</f>
        <v>7965.25</v>
      </c>
      <c r="E30" s="6">
        <f>IFERROR(__xludf.DUMMYFUNCTION("""COMPUTED_VALUE"""),8272.75)</f>
        <v>8272.75</v>
      </c>
      <c r="F30" s="6">
        <f>IFERROR(__xludf.DUMMYFUNCTION("""COMPUTED_VALUE"""),211917.0)</f>
        <v>211917</v>
      </c>
    </row>
    <row r="31">
      <c r="A31" s="7">
        <f>IFERROR(__xludf.DUMMYFUNCTION("""COMPUTED_VALUE"""),45387.64583333333)</f>
        <v>45387.64583</v>
      </c>
      <c r="B31" s="6">
        <f>IFERROR(__xludf.DUMMYFUNCTION("""COMPUTED_VALUE"""),8272.7)</f>
        <v>8272.7</v>
      </c>
      <c r="C31" s="6">
        <f>IFERROR(__xludf.DUMMYFUNCTION("""COMPUTED_VALUE"""),8479.35)</f>
        <v>8479.35</v>
      </c>
      <c r="D31" s="6">
        <f>IFERROR(__xludf.DUMMYFUNCTION("""COMPUTED_VALUE"""),8115.0)</f>
        <v>8115</v>
      </c>
      <c r="E31" s="6">
        <f>IFERROR(__xludf.DUMMYFUNCTION("""COMPUTED_VALUE"""),8195.55)</f>
        <v>8195.55</v>
      </c>
      <c r="F31" s="6">
        <f>IFERROR(__xludf.DUMMYFUNCTION("""COMPUTED_VALUE"""),140790.0)</f>
        <v>140790</v>
      </c>
    </row>
    <row r="32">
      <c r="A32" s="7">
        <f>IFERROR(__xludf.DUMMYFUNCTION("""COMPUTED_VALUE"""),45394.64583333333)</f>
        <v>45394.64583</v>
      </c>
      <c r="B32" s="6">
        <f>IFERROR(__xludf.DUMMYFUNCTION("""COMPUTED_VALUE"""),8239.95)</f>
        <v>8239.95</v>
      </c>
      <c r="C32" s="6">
        <f>IFERROR(__xludf.DUMMYFUNCTION("""COMPUTED_VALUE"""),8271.2)</f>
        <v>8271.2</v>
      </c>
      <c r="D32" s="6">
        <f>IFERROR(__xludf.DUMMYFUNCTION("""COMPUTED_VALUE"""),8104.2)</f>
        <v>8104.2</v>
      </c>
      <c r="E32" s="6">
        <f>IFERROR(__xludf.DUMMYFUNCTION("""COMPUTED_VALUE"""),8175.55)</f>
        <v>8175.55</v>
      </c>
      <c r="F32" s="6">
        <f>IFERROR(__xludf.DUMMYFUNCTION("""COMPUTED_VALUE"""),99069.0)</f>
        <v>99069</v>
      </c>
    </row>
    <row r="33">
      <c r="A33" s="7">
        <f>IFERROR(__xludf.DUMMYFUNCTION("""COMPUTED_VALUE"""),45401.64583333333)</f>
        <v>45401.64583</v>
      </c>
      <c r="B33" s="6">
        <f>IFERROR(__xludf.DUMMYFUNCTION("""COMPUTED_VALUE"""),8165.0)</f>
        <v>8165</v>
      </c>
      <c r="C33" s="6">
        <f>IFERROR(__xludf.DUMMYFUNCTION("""COMPUTED_VALUE"""),8165.0)</f>
        <v>8165</v>
      </c>
      <c r="D33" s="6">
        <f>IFERROR(__xludf.DUMMYFUNCTION("""COMPUTED_VALUE"""),7739.5)</f>
        <v>7739.5</v>
      </c>
      <c r="E33" s="6">
        <f>IFERROR(__xludf.DUMMYFUNCTION("""COMPUTED_VALUE"""),7835.7)</f>
        <v>7835.7</v>
      </c>
      <c r="F33" s="6">
        <f>IFERROR(__xludf.DUMMYFUNCTION("""COMPUTED_VALUE"""),142977.0)</f>
        <v>142977</v>
      </c>
    </row>
    <row r="34">
      <c r="A34" s="7">
        <f>IFERROR(__xludf.DUMMYFUNCTION("""COMPUTED_VALUE"""),45408.64583333333)</f>
        <v>45408.64583</v>
      </c>
      <c r="B34" s="6">
        <f>IFERROR(__xludf.DUMMYFUNCTION("""COMPUTED_VALUE"""),7845.0)</f>
        <v>7845</v>
      </c>
      <c r="C34" s="6">
        <f>IFERROR(__xludf.DUMMYFUNCTION("""COMPUTED_VALUE"""),8325.0)</f>
        <v>8325</v>
      </c>
      <c r="D34" s="6">
        <f>IFERROR(__xludf.DUMMYFUNCTION("""COMPUTED_VALUE"""),7845.0)</f>
        <v>7845</v>
      </c>
      <c r="E34" s="6">
        <f>IFERROR(__xludf.DUMMYFUNCTION("""COMPUTED_VALUE"""),8146.65)</f>
        <v>8146.65</v>
      </c>
      <c r="F34" s="6">
        <f>IFERROR(__xludf.DUMMYFUNCTION("""COMPUTED_VALUE"""),244006.0)</f>
        <v>244006</v>
      </c>
    </row>
    <row r="35">
      <c r="A35" s="7">
        <f>IFERROR(__xludf.DUMMYFUNCTION("""COMPUTED_VALUE"""),45415.64583333333)</f>
        <v>45415.64583</v>
      </c>
      <c r="B35" s="6">
        <f>IFERROR(__xludf.DUMMYFUNCTION("""COMPUTED_VALUE"""),8309.6)</f>
        <v>8309.6</v>
      </c>
      <c r="C35" s="6">
        <f>IFERROR(__xludf.DUMMYFUNCTION("""COMPUTED_VALUE"""),8343.0)</f>
        <v>8343</v>
      </c>
      <c r="D35" s="6">
        <f>IFERROR(__xludf.DUMMYFUNCTION("""COMPUTED_VALUE"""),8014.3)</f>
        <v>8014.3</v>
      </c>
      <c r="E35" s="6">
        <f>IFERROR(__xludf.DUMMYFUNCTION("""COMPUTED_VALUE"""),8238.45)</f>
        <v>8238.45</v>
      </c>
      <c r="F35" s="6">
        <f>IFERROR(__xludf.DUMMYFUNCTION("""COMPUTED_VALUE"""),216593.0)</f>
        <v>216593</v>
      </c>
    </row>
    <row r="36">
      <c r="A36" s="7">
        <f>IFERROR(__xludf.DUMMYFUNCTION("""COMPUTED_VALUE"""),45422.64583333333)</f>
        <v>45422.64583</v>
      </c>
      <c r="B36" s="6">
        <f>IFERROR(__xludf.DUMMYFUNCTION("""COMPUTED_VALUE"""),8320.0)</f>
        <v>8320</v>
      </c>
      <c r="C36" s="6">
        <f>IFERROR(__xludf.DUMMYFUNCTION("""COMPUTED_VALUE"""),8469.5)</f>
        <v>8469.5</v>
      </c>
      <c r="D36" s="6">
        <f>IFERROR(__xludf.DUMMYFUNCTION("""COMPUTED_VALUE"""),8143.75)</f>
        <v>8143.75</v>
      </c>
      <c r="E36" s="6">
        <f>IFERROR(__xludf.DUMMYFUNCTION("""COMPUTED_VALUE"""),8431.55)</f>
        <v>8431.55</v>
      </c>
      <c r="F36" s="6">
        <f>IFERROR(__xludf.DUMMYFUNCTION("""COMPUTED_VALUE"""),175667.0)</f>
        <v>175667</v>
      </c>
    </row>
    <row r="37">
      <c r="A37" s="7">
        <f>IFERROR(__xludf.DUMMYFUNCTION("""COMPUTED_VALUE"""),45436.64583333333)</f>
        <v>45436.64583</v>
      </c>
      <c r="B37" s="6">
        <f>IFERROR(__xludf.DUMMYFUNCTION("""COMPUTED_VALUE"""),8278.9)</f>
        <v>8278.9</v>
      </c>
      <c r="C37" s="6">
        <f>IFERROR(__xludf.DUMMYFUNCTION("""COMPUTED_VALUE"""),8299.95)</f>
        <v>8299.95</v>
      </c>
      <c r="D37" s="6">
        <f>IFERROR(__xludf.DUMMYFUNCTION("""COMPUTED_VALUE"""),8015.0)</f>
        <v>8015</v>
      </c>
      <c r="E37" s="6">
        <f>IFERROR(__xludf.DUMMYFUNCTION("""COMPUTED_VALUE"""),8031.95)</f>
        <v>8031.95</v>
      </c>
      <c r="F37" s="6">
        <f>IFERROR(__xludf.DUMMYFUNCTION("""COMPUTED_VALUE"""),148027.0)</f>
        <v>148027</v>
      </c>
    </row>
    <row r="38">
      <c r="A38" s="7">
        <f>IFERROR(__xludf.DUMMYFUNCTION("""COMPUTED_VALUE"""),45443.64583333333)</f>
        <v>45443.64583</v>
      </c>
      <c r="B38" s="6">
        <f>IFERROR(__xludf.DUMMYFUNCTION("""COMPUTED_VALUE"""),8001.0)</f>
        <v>8001</v>
      </c>
      <c r="C38" s="6">
        <f>IFERROR(__xludf.DUMMYFUNCTION("""COMPUTED_VALUE"""),8060.45)</f>
        <v>8060.45</v>
      </c>
      <c r="D38" s="6">
        <f>IFERROR(__xludf.DUMMYFUNCTION("""COMPUTED_VALUE"""),7755.0)</f>
        <v>7755</v>
      </c>
      <c r="E38" s="6">
        <f>IFERROR(__xludf.DUMMYFUNCTION("""COMPUTED_VALUE"""),7953.4)</f>
        <v>7953.4</v>
      </c>
      <c r="F38" s="6">
        <f>IFERROR(__xludf.DUMMYFUNCTION("""COMPUTED_VALUE"""),308638.0)</f>
        <v>308638</v>
      </c>
    </row>
    <row r="39">
      <c r="A39" s="7">
        <f>IFERROR(__xludf.DUMMYFUNCTION("""COMPUTED_VALUE"""),45450.64583333333)</f>
        <v>45450.64583</v>
      </c>
      <c r="B39" s="6">
        <f>IFERROR(__xludf.DUMMYFUNCTION("""COMPUTED_VALUE"""),8129.0)</f>
        <v>8129</v>
      </c>
      <c r="C39" s="6">
        <f>IFERROR(__xludf.DUMMYFUNCTION("""COMPUTED_VALUE"""),8415.0)</f>
        <v>8415</v>
      </c>
      <c r="D39" s="6">
        <f>IFERROR(__xludf.DUMMYFUNCTION("""COMPUTED_VALUE"""),7659.95)</f>
        <v>7659.95</v>
      </c>
      <c r="E39" s="6">
        <f>IFERROR(__xludf.DUMMYFUNCTION("""COMPUTED_VALUE"""),8377.6)</f>
        <v>8377.6</v>
      </c>
      <c r="F39" s="6">
        <f>IFERROR(__xludf.DUMMYFUNCTION("""COMPUTED_VALUE"""),158429.0)</f>
        <v>158429</v>
      </c>
    </row>
    <row r="40">
      <c r="A40" s="7">
        <f>IFERROR(__xludf.DUMMYFUNCTION("""COMPUTED_VALUE"""),45457.64583333333)</f>
        <v>45457.64583</v>
      </c>
      <c r="B40" s="6">
        <f>IFERROR(__xludf.DUMMYFUNCTION("""COMPUTED_VALUE"""),8450.0)</f>
        <v>8450</v>
      </c>
      <c r="C40" s="6">
        <f>IFERROR(__xludf.DUMMYFUNCTION("""COMPUTED_VALUE"""),8622.8)</f>
        <v>8622.8</v>
      </c>
      <c r="D40" s="6">
        <f>IFERROR(__xludf.DUMMYFUNCTION("""COMPUTED_VALUE"""),8226.5)</f>
        <v>8226.5</v>
      </c>
      <c r="E40" s="6">
        <f>IFERROR(__xludf.DUMMYFUNCTION("""COMPUTED_VALUE"""),8302.85)</f>
        <v>8302.85</v>
      </c>
      <c r="F40" s="6">
        <f>IFERROR(__xludf.DUMMYFUNCTION("""COMPUTED_VALUE"""),133691.0)</f>
        <v>133691</v>
      </c>
    </row>
    <row r="41">
      <c r="A41" s="7">
        <f>IFERROR(__xludf.DUMMYFUNCTION("""COMPUTED_VALUE"""),45464.64583333333)</f>
        <v>45464.64583</v>
      </c>
      <c r="B41" s="6">
        <f>IFERROR(__xludf.DUMMYFUNCTION("""COMPUTED_VALUE"""),8340.0)</f>
        <v>8340</v>
      </c>
      <c r="C41" s="6">
        <f>IFERROR(__xludf.DUMMYFUNCTION("""COMPUTED_VALUE"""),8376.0)</f>
        <v>8376</v>
      </c>
      <c r="D41" s="6">
        <f>IFERROR(__xludf.DUMMYFUNCTION("""COMPUTED_VALUE"""),8164.9)</f>
        <v>8164.9</v>
      </c>
      <c r="E41" s="6">
        <f>IFERROR(__xludf.DUMMYFUNCTION("""COMPUTED_VALUE"""),8226.65)</f>
        <v>8226.65</v>
      </c>
      <c r="F41" s="6">
        <f>IFERROR(__xludf.DUMMYFUNCTION("""COMPUTED_VALUE"""),122448.0)</f>
        <v>122448</v>
      </c>
    </row>
    <row r="42">
      <c r="A42" s="7">
        <f>IFERROR(__xludf.DUMMYFUNCTION("""COMPUTED_VALUE"""),45471.64583333333)</f>
        <v>45471.64583</v>
      </c>
      <c r="B42" s="6">
        <f>IFERROR(__xludf.DUMMYFUNCTION("""COMPUTED_VALUE"""),8309.95)</f>
        <v>8309.95</v>
      </c>
      <c r="C42" s="6">
        <f>IFERROR(__xludf.DUMMYFUNCTION("""COMPUTED_VALUE"""),8992.85)</f>
        <v>8992.85</v>
      </c>
      <c r="D42" s="6">
        <f>IFERROR(__xludf.DUMMYFUNCTION("""COMPUTED_VALUE"""),8274.5)</f>
        <v>8274.5</v>
      </c>
      <c r="E42" s="6">
        <f>IFERROR(__xludf.DUMMYFUNCTION("""COMPUTED_VALUE"""),8536.25)</f>
        <v>8536.25</v>
      </c>
      <c r="F42" s="6">
        <f>IFERROR(__xludf.DUMMYFUNCTION("""COMPUTED_VALUE"""),798177.0)</f>
        <v>798177</v>
      </c>
    </row>
    <row r="43">
      <c r="A43" s="7">
        <f>IFERROR(__xludf.DUMMYFUNCTION("""COMPUTED_VALUE"""),45478.64583333333)</f>
        <v>45478.64583</v>
      </c>
      <c r="B43" s="6">
        <f>IFERROR(__xludf.DUMMYFUNCTION("""COMPUTED_VALUE"""),8498.1)</f>
        <v>8498.1</v>
      </c>
      <c r="C43" s="6">
        <f>IFERROR(__xludf.DUMMYFUNCTION("""COMPUTED_VALUE"""),9980.0)</f>
        <v>9980</v>
      </c>
      <c r="D43" s="6">
        <f>IFERROR(__xludf.DUMMYFUNCTION("""COMPUTED_VALUE"""),8498.05)</f>
        <v>8498.05</v>
      </c>
      <c r="E43" s="6">
        <f>IFERROR(__xludf.DUMMYFUNCTION("""COMPUTED_VALUE"""),9667.6)</f>
        <v>9667.6</v>
      </c>
      <c r="F43" s="6">
        <f>IFERROR(__xludf.DUMMYFUNCTION("""COMPUTED_VALUE"""),949996.0)</f>
        <v>949996</v>
      </c>
    </row>
    <row r="44">
      <c r="A44" s="7">
        <f>IFERROR(__xludf.DUMMYFUNCTION("""COMPUTED_VALUE"""),45485.64583333333)</f>
        <v>45485.64583</v>
      </c>
      <c r="B44" s="6">
        <f>IFERROR(__xludf.DUMMYFUNCTION("""COMPUTED_VALUE"""),9765.0)</f>
        <v>9765</v>
      </c>
      <c r="C44" s="6">
        <f>IFERROR(__xludf.DUMMYFUNCTION("""COMPUTED_VALUE"""),9974.0)</f>
        <v>9974</v>
      </c>
      <c r="D44" s="6">
        <f>IFERROR(__xludf.DUMMYFUNCTION("""COMPUTED_VALUE"""),9634.25)</f>
        <v>9634.25</v>
      </c>
      <c r="E44" s="6">
        <f>IFERROR(__xludf.DUMMYFUNCTION("""COMPUTED_VALUE"""),9903.35)</f>
        <v>9903.35</v>
      </c>
      <c r="F44" s="6">
        <f>IFERROR(__xludf.DUMMYFUNCTION("""COMPUTED_VALUE"""),277316.0)</f>
        <v>277316</v>
      </c>
    </row>
    <row r="45">
      <c r="A45" s="7">
        <f>IFERROR(__xludf.DUMMYFUNCTION("""COMPUTED_VALUE"""),45492.64583333333)</f>
        <v>45492.64583</v>
      </c>
      <c r="B45" s="6">
        <f>IFERROR(__xludf.DUMMYFUNCTION("""COMPUTED_VALUE"""),9920.0)</f>
        <v>9920</v>
      </c>
      <c r="C45" s="6">
        <f>IFERROR(__xludf.DUMMYFUNCTION("""COMPUTED_VALUE"""),9924.5)</f>
        <v>9924.5</v>
      </c>
      <c r="D45" s="6">
        <f>IFERROR(__xludf.DUMMYFUNCTION("""COMPUTED_VALUE"""),9461.2)</f>
        <v>9461.2</v>
      </c>
      <c r="E45" s="6">
        <f>IFERROR(__xludf.DUMMYFUNCTION("""COMPUTED_VALUE"""),9714.35)</f>
        <v>9714.35</v>
      </c>
      <c r="F45" s="6">
        <f>IFERROR(__xludf.DUMMYFUNCTION("""COMPUTED_VALUE"""),141400.0)</f>
        <v>141400</v>
      </c>
    </row>
    <row r="46">
      <c r="A46" s="7">
        <f>IFERROR(__xludf.DUMMYFUNCTION("""COMPUTED_VALUE"""),45499.64583333333)</f>
        <v>45499.64583</v>
      </c>
      <c r="B46" s="6">
        <f>IFERROR(__xludf.DUMMYFUNCTION("""COMPUTED_VALUE"""),9749.6)</f>
        <v>9749.6</v>
      </c>
      <c r="C46" s="6">
        <f>IFERROR(__xludf.DUMMYFUNCTION("""COMPUTED_VALUE"""),10075.0)</f>
        <v>10075</v>
      </c>
      <c r="D46" s="6">
        <f>IFERROR(__xludf.DUMMYFUNCTION("""COMPUTED_VALUE"""),9329.0)</f>
        <v>9329</v>
      </c>
      <c r="E46" s="6">
        <f>IFERROR(__xludf.DUMMYFUNCTION("""COMPUTED_VALUE"""),9480.65)</f>
        <v>9480.65</v>
      </c>
      <c r="F46" s="6">
        <f>IFERROR(__xludf.DUMMYFUNCTION("""COMPUTED_VALUE"""),180829.0)</f>
        <v>180829</v>
      </c>
    </row>
    <row r="47">
      <c r="A47" s="7">
        <f>IFERROR(__xludf.DUMMYFUNCTION("""COMPUTED_VALUE"""),45506.64583333333)</f>
        <v>45506.64583</v>
      </c>
      <c r="B47" s="6">
        <f>IFERROR(__xludf.DUMMYFUNCTION("""COMPUTED_VALUE"""),9481.0)</f>
        <v>9481</v>
      </c>
      <c r="C47" s="6">
        <f>IFERROR(__xludf.DUMMYFUNCTION("""COMPUTED_VALUE"""),9850.0)</f>
        <v>9850</v>
      </c>
      <c r="D47" s="6">
        <f>IFERROR(__xludf.DUMMYFUNCTION("""COMPUTED_VALUE"""),9348.0)</f>
        <v>9348</v>
      </c>
      <c r="E47" s="6">
        <f>IFERROR(__xludf.DUMMYFUNCTION("""COMPUTED_VALUE"""),9434.6)</f>
        <v>9434.6</v>
      </c>
      <c r="F47" s="6">
        <f>IFERROR(__xludf.DUMMYFUNCTION("""COMPUTED_VALUE"""),172775.0)</f>
        <v>172775</v>
      </c>
    </row>
    <row r="48">
      <c r="A48" s="7">
        <f>IFERROR(__xludf.DUMMYFUNCTION("""COMPUTED_VALUE"""),45513.64583333333)</f>
        <v>45513.64583</v>
      </c>
      <c r="B48" s="6">
        <f>IFERROR(__xludf.DUMMYFUNCTION("""COMPUTED_VALUE"""),9378.0)</f>
        <v>9378</v>
      </c>
      <c r="C48" s="6">
        <f>IFERROR(__xludf.DUMMYFUNCTION("""COMPUTED_VALUE"""),9528.0)</f>
        <v>9528</v>
      </c>
      <c r="D48" s="6">
        <f>IFERROR(__xludf.DUMMYFUNCTION("""COMPUTED_VALUE"""),9078.85)</f>
        <v>9078.85</v>
      </c>
      <c r="E48" s="6">
        <f>IFERROR(__xludf.DUMMYFUNCTION("""COMPUTED_VALUE"""),9454.1)</f>
        <v>9454.1</v>
      </c>
      <c r="F48" s="6">
        <f>IFERROR(__xludf.DUMMYFUNCTION("""COMPUTED_VALUE"""),102500.0)</f>
        <v>102500</v>
      </c>
    </row>
    <row r="49">
      <c r="A49" s="7">
        <f>IFERROR(__xludf.DUMMYFUNCTION("""COMPUTED_VALUE"""),45520.64583333333)</f>
        <v>45520.64583</v>
      </c>
      <c r="B49" s="6">
        <f>IFERROR(__xludf.DUMMYFUNCTION("""COMPUTED_VALUE"""),9453.0)</f>
        <v>9453</v>
      </c>
      <c r="C49" s="6">
        <f>IFERROR(__xludf.DUMMYFUNCTION("""COMPUTED_VALUE"""),9600.0)</f>
        <v>9600</v>
      </c>
      <c r="D49" s="6">
        <f>IFERROR(__xludf.DUMMYFUNCTION("""COMPUTED_VALUE"""),9121.0)</f>
        <v>9121</v>
      </c>
      <c r="E49" s="6">
        <f>IFERROR(__xludf.DUMMYFUNCTION("""COMPUTED_VALUE"""),9585.5)</f>
        <v>9585.5</v>
      </c>
      <c r="F49" s="6">
        <f>IFERROR(__xludf.DUMMYFUNCTION("""COMPUTED_VALUE"""),129204.0)</f>
        <v>129204</v>
      </c>
    </row>
    <row r="50">
      <c r="A50" s="7">
        <f>IFERROR(__xludf.DUMMYFUNCTION("""COMPUTED_VALUE"""),45527.64583333333)</f>
        <v>45527.64583</v>
      </c>
      <c r="B50" s="6">
        <f>IFERROR(__xludf.DUMMYFUNCTION("""COMPUTED_VALUE"""),9580.0)</f>
        <v>9580</v>
      </c>
      <c r="C50" s="6">
        <f>IFERROR(__xludf.DUMMYFUNCTION("""COMPUTED_VALUE"""),9921.35)</f>
        <v>9921.35</v>
      </c>
      <c r="D50" s="6">
        <f>IFERROR(__xludf.DUMMYFUNCTION("""COMPUTED_VALUE"""),9530.1)</f>
        <v>9530.1</v>
      </c>
      <c r="E50" s="6">
        <f>IFERROR(__xludf.DUMMYFUNCTION("""COMPUTED_VALUE"""),9874.15)</f>
        <v>9874.15</v>
      </c>
      <c r="F50" s="6">
        <f>IFERROR(__xludf.DUMMYFUNCTION("""COMPUTED_VALUE"""),110692.0)</f>
        <v>110692</v>
      </c>
    </row>
    <row r="51">
      <c r="A51" s="7">
        <f>IFERROR(__xludf.DUMMYFUNCTION("""COMPUTED_VALUE"""),45534.64583333333)</f>
        <v>45534.64583</v>
      </c>
      <c r="B51" s="6">
        <f>IFERROR(__xludf.DUMMYFUNCTION("""COMPUTED_VALUE"""),9855.0)</f>
        <v>9855</v>
      </c>
      <c r="C51" s="6">
        <f>IFERROR(__xludf.DUMMYFUNCTION("""COMPUTED_VALUE"""),10409.0)</f>
        <v>10409</v>
      </c>
      <c r="D51" s="6">
        <f>IFERROR(__xludf.DUMMYFUNCTION("""COMPUTED_VALUE"""),9760.1)</f>
        <v>9760.1</v>
      </c>
      <c r="E51" s="6">
        <f>IFERROR(__xludf.DUMMYFUNCTION("""COMPUTED_VALUE"""),10057.7)</f>
        <v>10057.7</v>
      </c>
      <c r="F51" s="6">
        <f>IFERROR(__xludf.DUMMYFUNCTION("""COMPUTED_VALUE"""),469182.0)</f>
        <v>469182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IFERROR(__xludf.DUMMYFUNCTION("""COMPUTED_VALUE"""),10199.95)</f>
        <v>10199.95</v>
      </c>
      <c r="C52" s="6">
        <f>IFERROR(__xludf.DUMMYFUNCTION("""COMPUTED_VALUE"""),11185.0)</f>
        <v>11185</v>
      </c>
      <c r="D52" s="6">
        <f>IFERROR(__xludf.DUMMYFUNCTION("""COMPUTED_VALUE"""),10100.05)</f>
        <v>10100.05</v>
      </c>
      <c r="E52" s="6">
        <f>IFERROR(__xludf.DUMMYFUNCTION("""COMPUTED_VALUE"""),10693.4)</f>
        <v>10693.4</v>
      </c>
      <c r="F52" s="6">
        <f>IFERROR(__xludf.DUMMYFUNCTION("""COMPUTED_VALUE"""),761833.0)</f>
        <v>761833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IFERROR(__xludf.DUMMYFUNCTION("""COMPUTED_VALUE"""),10650.0)</f>
        <v>10650</v>
      </c>
      <c r="C53" s="6">
        <f>IFERROR(__xludf.DUMMYFUNCTION("""COMPUTED_VALUE"""),10761.35)</f>
        <v>10761.35</v>
      </c>
      <c r="D53" s="6">
        <f>IFERROR(__xludf.DUMMYFUNCTION("""COMPUTED_VALUE"""),10260.1)</f>
        <v>10260.1</v>
      </c>
      <c r="E53" s="6">
        <f>IFERROR(__xludf.DUMMYFUNCTION("""COMPUTED_VALUE"""),10371.3)</f>
        <v>10371.3</v>
      </c>
      <c r="F53" s="6">
        <f>IFERROR(__xludf.DUMMYFUNCTION("""COMPUTED_VALUE"""),463501.0)</f>
        <v>463501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IFERROR(__xludf.DUMMYFUNCTION("""COMPUTED_VALUE"""),10514.25)</f>
        <v>10514.25</v>
      </c>
      <c r="C54" s="6">
        <f>IFERROR(__xludf.DUMMYFUNCTION("""COMPUTED_VALUE"""),11350.0)</f>
        <v>11350</v>
      </c>
      <c r="D54" s="6">
        <f>IFERROR(__xludf.DUMMYFUNCTION("""COMPUTED_VALUE"""),10300.2)</f>
        <v>10300.2</v>
      </c>
      <c r="E54" s="6">
        <f>IFERROR(__xludf.DUMMYFUNCTION("""COMPUTED_VALUE"""),11163.4)</f>
        <v>11163.4</v>
      </c>
      <c r="F54" s="6">
        <f>IFERROR(__xludf.DUMMYFUNCTION("""COMPUTED_VALUE"""),442004.0)</f>
        <v>442004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IFERROR(__xludf.DUMMYFUNCTION("""COMPUTED_VALUE"""),11164.2)</f>
        <v>11164.2</v>
      </c>
      <c r="C55" s="6">
        <f>IFERROR(__xludf.DUMMYFUNCTION("""COMPUTED_VALUE"""),11280.0)</f>
        <v>11280</v>
      </c>
      <c r="D55" s="6">
        <f>IFERROR(__xludf.DUMMYFUNCTION("""COMPUTED_VALUE"""),10356.0)</f>
        <v>10356</v>
      </c>
      <c r="E55" s="6">
        <f>IFERROR(__xludf.DUMMYFUNCTION("""COMPUTED_VALUE"""),10543.45)</f>
        <v>10543.45</v>
      </c>
      <c r="F55" s="6">
        <f>IFERROR(__xludf.DUMMYFUNCTION("""COMPUTED_VALUE"""),297570.0)</f>
        <v>297570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IFERROR(__xludf.DUMMYFUNCTION("""COMPUTED_VALUE"""),10540.0)</f>
        <v>10540</v>
      </c>
      <c r="C56" s="6">
        <f>IFERROR(__xludf.DUMMYFUNCTION("""COMPUTED_VALUE"""),10750.0)</f>
        <v>10750</v>
      </c>
      <c r="D56" s="6">
        <f>IFERROR(__xludf.DUMMYFUNCTION("""COMPUTED_VALUE"""),10195.05)</f>
        <v>10195.05</v>
      </c>
      <c r="E56" s="6">
        <f>IFERROR(__xludf.DUMMYFUNCTION("""COMPUTED_VALUE"""),10368.35)</f>
        <v>10368.35</v>
      </c>
      <c r="F56" s="6">
        <f>IFERROR(__xludf.DUMMYFUNCTION("""COMPUTED_VALUE"""),166276.0)</f>
        <v>166276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IFERROR(__xludf.DUMMYFUNCTION("""COMPUTED_VALUE"""),10499.0)</f>
        <v>10499</v>
      </c>
      <c r="C57" s="6">
        <f>IFERROR(__xludf.DUMMYFUNCTION("""COMPUTED_VALUE"""),10897.0)</f>
        <v>10897</v>
      </c>
      <c r="D57" s="6">
        <f>IFERROR(__xludf.DUMMYFUNCTION("""COMPUTED_VALUE"""),10160.0)</f>
        <v>10160</v>
      </c>
      <c r="E57" s="6">
        <f>IFERROR(__xludf.DUMMYFUNCTION("""COMPUTED_VALUE"""),10851.1)</f>
        <v>10851.1</v>
      </c>
      <c r="F57" s="6">
        <f>IFERROR(__xludf.DUMMYFUNCTION("""COMPUTED_VALUE"""),117714.0)</f>
        <v>117714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IFERROR(__xludf.DUMMYFUNCTION("""COMPUTED_VALUE"""),10880.0)</f>
        <v>10880</v>
      </c>
      <c r="C58" s="6">
        <f>IFERROR(__xludf.DUMMYFUNCTION("""COMPUTED_VALUE"""),10880.0)</f>
        <v>10880</v>
      </c>
      <c r="D58" s="6">
        <f>IFERROR(__xludf.DUMMYFUNCTION("""COMPUTED_VALUE"""),10004.85)</f>
        <v>10004.85</v>
      </c>
      <c r="E58" s="6">
        <f>IFERROR(__xludf.DUMMYFUNCTION("""COMPUTED_VALUE"""),10240.4)</f>
        <v>10240.4</v>
      </c>
      <c r="F58" s="6">
        <f>IFERROR(__xludf.DUMMYFUNCTION("""COMPUTED_VALUE"""),165262.0)</f>
        <v>165262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IFERROR(__xludf.DUMMYFUNCTION("""COMPUTED_VALUE"""),10241.35)</f>
        <v>10241.35</v>
      </c>
      <c r="C59" s="6">
        <f>IFERROR(__xludf.DUMMYFUNCTION("""COMPUTED_VALUE"""),10574.95)</f>
        <v>10574.95</v>
      </c>
      <c r="D59" s="6">
        <f>IFERROR(__xludf.DUMMYFUNCTION("""COMPUTED_VALUE"""),10010.0)</f>
        <v>10010</v>
      </c>
      <c r="E59" s="6">
        <f>IFERROR(__xludf.DUMMYFUNCTION("""COMPUTED_VALUE"""),10156.45)</f>
        <v>10156.45</v>
      </c>
      <c r="F59" s="6">
        <f>IFERROR(__xludf.DUMMYFUNCTION("""COMPUTED_VALUE"""),162853.0)</f>
        <v>162853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IFERROR(__xludf.DUMMYFUNCTION("""COMPUTED_VALUE"""),10332.55)</f>
        <v>10332.55</v>
      </c>
      <c r="C60" s="6">
        <f>IFERROR(__xludf.DUMMYFUNCTION("""COMPUTED_VALUE"""),10736.4)</f>
        <v>10736.4</v>
      </c>
      <c r="D60" s="6">
        <f>IFERROR(__xludf.DUMMYFUNCTION("""COMPUTED_VALUE"""),10110.05)</f>
        <v>10110.05</v>
      </c>
      <c r="E60" s="6">
        <f>IFERROR(__xludf.DUMMYFUNCTION("""COMPUTED_VALUE"""),10488.3)</f>
        <v>10488.3</v>
      </c>
      <c r="F60" s="6">
        <f>IFERROR(__xludf.DUMMYFUNCTION("""COMPUTED_VALUE"""),242563.0)</f>
        <v>242563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IFERROR(__xludf.DUMMYFUNCTION("""COMPUTED_VALUE"""),10550.0)</f>
        <v>10550</v>
      </c>
      <c r="C61" s="6">
        <f>IFERROR(__xludf.DUMMYFUNCTION("""COMPUTED_VALUE"""),11154.5)</f>
        <v>11154.5</v>
      </c>
      <c r="D61" s="6">
        <f>IFERROR(__xludf.DUMMYFUNCTION("""COMPUTED_VALUE"""),10249.0)</f>
        <v>10249</v>
      </c>
      <c r="E61" s="6">
        <f>IFERROR(__xludf.DUMMYFUNCTION("""COMPUTED_VALUE"""),10850.1)</f>
        <v>10850.1</v>
      </c>
      <c r="F61" s="6">
        <f>IFERROR(__xludf.DUMMYFUNCTION("""COMPUTED_VALUE"""),224813.0)</f>
        <v>224813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IFERROR(__xludf.DUMMYFUNCTION("""COMPUTED_VALUE"""),10860.0)</f>
        <v>10860</v>
      </c>
      <c r="C62" s="6">
        <f>IFERROR(__xludf.DUMMYFUNCTION("""COMPUTED_VALUE"""),11005.1)</f>
        <v>11005.1</v>
      </c>
      <c r="D62" s="6">
        <f>IFERROR(__xludf.DUMMYFUNCTION("""COMPUTED_VALUE"""),10352.75)</f>
        <v>10352.75</v>
      </c>
      <c r="E62" s="6">
        <f>IFERROR(__xludf.DUMMYFUNCTION("""COMPUTED_VALUE"""),10458.3)</f>
        <v>10458.3</v>
      </c>
      <c r="F62" s="6">
        <f>IFERROR(__xludf.DUMMYFUNCTION("""COMPUTED_VALUE"""),113881.0)</f>
        <v>113881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IFERROR(__xludf.DUMMYFUNCTION("""COMPUTED_VALUE"""),10498.95)</f>
        <v>10498.95</v>
      </c>
      <c r="C63" s="6">
        <f>IFERROR(__xludf.DUMMYFUNCTION("""COMPUTED_VALUE"""),10680.0)</f>
        <v>10680</v>
      </c>
      <c r="D63" s="6">
        <f>IFERROR(__xludf.DUMMYFUNCTION("""COMPUTED_VALUE"""),10120.05)</f>
        <v>10120.05</v>
      </c>
      <c r="E63" s="6">
        <f>IFERROR(__xludf.DUMMYFUNCTION("""COMPUTED_VALUE"""),10468.25)</f>
        <v>10468.25</v>
      </c>
      <c r="F63" s="6">
        <f>IFERROR(__xludf.DUMMYFUNCTION("""COMPUTED_VALUE"""),257910.0)</f>
        <v>257910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IFERROR(__xludf.DUMMYFUNCTION("""COMPUTED_VALUE"""),10301.0)</f>
        <v>10301</v>
      </c>
      <c r="C64" s="6">
        <f>IFERROR(__xludf.DUMMYFUNCTION("""COMPUTED_VALUE"""),10790.0)</f>
        <v>10790</v>
      </c>
      <c r="D64" s="6">
        <f>IFERROR(__xludf.DUMMYFUNCTION("""COMPUTED_VALUE"""),10200.0)</f>
        <v>10200</v>
      </c>
      <c r="E64" s="6">
        <f>IFERROR(__xludf.DUMMYFUNCTION("""COMPUTED_VALUE"""),10675.85)</f>
        <v>10675.85</v>
      </c>
      <c r="F64" s="6">
        <f>IFERROR(__xludf.DUMMYFUNCTION("""COMPUTED_VALUE"""),198546.0)</f>
        <v>198546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IFERROR(__xludf.DUMMYFUNCTION("""COMPUTED_VALUE"""),10700.0)</f>
        <v>10700</v>
      </c>
      <c r="C65" s="6">
        <f>IFERROR(__xludf.DUMMYFUNCTION("""COMPUTED_VALUE"""),11545.9)</f>
        <v>11545.9</v>
      </c>
      <c r="D65" s="6">
        <f>IFERROR(__xludf.DUMMYFUNCTION("""COMPUTED_VALUE"""),10675.85)</f>
        <v>10675.85</v>
      </c>
      <c r="E65" s="6">
        <f>IFERROR(__xludf.DUMMYFUNCTION("""COMPUTED_VALUE"""),11131.75)</f>
        <v>11131.75</v>
      </c>
      <c r="F65" s="6">
        <f>IFERROR(__xludf.DUMMYFUNCTION("""COMPUTED_VALUE"""),376603.0)</f>
        <v>376603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IFERROR(__xludf.DUMMYFUNCTION("""COMPUTED_VALUE"""),11197.95)</f>
        <v>11197.95</v>
      </c>
      <c r="C66" s="6">
        <f>IFERROR(__xludf.DUMMYFUNCTION("""COMPUTED_VALUE"""),11524.0)</f>
        <v>11524</v>
      </c>
      <c r="D66" s="6">
        <f>IFERROR(__xludf.DUMMYFUNCTION("""COMPUTED_VALUE"""),10651.4)</f>
        <v>10651.4</v>
      </c>
      <c r="E66" s="6">
        <f>IFERROR(__xludf.DUMMYFUNCTION("""COMPUTED_VALUE"""),10746.75)</f>
        <v>10746.75</v>
      </c>
      <c r="F66" s="6">
        <f>IFERROR(__xludf.DUMMYFUNCTION("""COMPUTED_VALUE"""),338568.0)</f>
        <v>338568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IFERROR(__xludf.DUMMYFUNCTION("""COMPUTED_VALUE"""),10746.75)</f>
        <v>10746.75</v>
      </c>
      <c r="C67" s="6">
        <f>IFERROR(__xludf.DUMMYFUNCTION("""COMPUTED_VALUE"""),11398.0)</f>
        <v>11398</v>
      </c>
      <c r="D67" s="6">
        <f>IFERROR(__xludf.DUMMYFUNCTION("""COMPUTED_VALUE"""),10746.75)</f>
        <v>10746.75</v>
      </c>
      <c r="E67" s="6">
        <f>IFERROR(__xludf.DUMMYFUNCTION("""COMPUTED_VALUE"""),11300.9)</f>
        <v>11300.9</v>
      </c>
      <c r="F67" s="6">
        <f>IFERROR(__xludf.DUMMYFUNCTION("""COMPUTED_VALUE"""),216107.0)</f>
        <v>216107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IFERROR(__xludf.DUMMYFUNCTION("""COMPUTED_VALUE"""),11300.0)</f>
        <v>11300</v>
      </c>
      <c r="C68" s="6">
        <f>IFERROR(__xludf.DUMMYFUNCTION("""COMPUTED_VALUE"""),13238.0)</f>
        <v>13238</v>
      </c>
      <c r="D68" s="6">
        <f>IFERROR(__xludf.DUMMYFUNCTION("""COMPUTED_VALUE"""),11211.95)</f>
        <v>11211.95</v>
      </c>
      <c r="E68" s="6">
        <f>IFERROR(__xludf.DUMMYFUNCTION("""COMPUTED_VALUE"""),11607.95)</f>
        <v>11607.95</v>
      </c>
      <c r="F68" s="6">
        <f>IFERROR(__xludf.DUMMYFUNCTION("""COMPUTED_VALUE"""),1031217.0)</f>
        <v>1031217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IFERROR(__xludf.DUMMYFUNCTION("""COMPUTED_VALUE"""),11705.0)</f>
        <v>11705</v>
      </c>
      <c r="C69" s="6">
        <f>IFERROR(__xludf.DUMMYFUNCTION("""COMPUTED_VALUE"""),11764.95)</f>
        <v>11764.95</v>
      </c>
      <c r="D69" s="6">
        <f>IFERROR(__xludf.DUMMYFUNCTION("""COMPUTED_VALUE"""),10680.0)</f>
        <v>10680</v>
      </c>
      <c r="E69" s="6">
        <f>IFERROR(__xludf.DUMMYFUNCTION("""COMPUTED_VALUE"""),10827.85)</f>
        <v>10827.85</v>
      </c>
      <c r="F69" s="6">
        <f>IFERROR(__xludf.DUMMYFUNCTION("""COMPUTED_VALUE"""),401202.0)</f>
        <v>401202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IFERROR(__xludf.DUMMYFUNCTION("""COMPUTED_VALUE"""),10827.85)</f>
        <v>10827.85</v>
      </c>
      <c r="C70" s="6">
        <f>IFERROR(__xludf.DUMMYFUNCTION("""COMPUTED_VALUE"""),11099.95)</f>
        <v>11099.95</v>
      </c>
      <c r="D70" s="6">
        <f>IFERROR(__xludf.DUMMYFUNCTION("""COMPUTED_VALUE"""),10245.1)</f>
        <v>10245.1</v>
      </c>
      <c r="E70" s="6">
        <f>IFERROR(__xludf.DUMMYFUNCTION("""COMPUTED_VALUE"""),10802.1)</f>
        <v>10802.1</v>
      </c>
      <c r="F70" s="6">
        <f>IFERROR(__xludf.DUMMYFUNCTION("""COMPUTED_VALUE"""),147116.0)</f>
        <v>147116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IFERROR(__xludf.DUMMYFUNCTION("""COMPUTED_VALUE"""),10843.95)</f>
        <v>10843.95</v>
      </c>
      <c r="C71" s="6">
        <f>IFERROR(__xludf.DUMMYFUNCTION("""COMPUTED_VALUE"""),11423.45)</f>
        <v>11423.45</v>
      </c>
      <c r="D71" s="6">
        <f>IFERROR(__xludf.DUMMYFUNCTION("""COMPUTED_VALUE"""),10665.55)</f>
        <v>10665.55</v>
      </c>
      <c r="E71" s="6">
        <f>IFERROR(__xludf.DUMMYFUNCTION("""COMPUTED_VALUE"""),11290.1)</f>
        <v>11290.1</v>
      </c>
      <c r="F71" s="6">
        <f>IFERROR(__xludf.DUMMYFUNCTION("""COMPUTED_VALUE"""),489292.0)</f>
        <v>489292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IFERROR(__xludf.DUMMYFUNCTION("""COMPUTED_VALUE"""),11700.0)</f>
        <v>11700</v>
      </c>
      <c r="C72" s="6">
        <f>IFERROR(__xludf.DUMMYFUNCTION("""COMPUTED_VALUE"""),12419.45)</f>
        <v>12419.45</v>
      </c>
      <c r="D72" s="6">
        <f>IFERROR(__xludf.DUMMYFUNCTION("""COMPUTED_VALUE"""),11200.0)</f>
        <v>11200</v>
      </c>
      <c r="E72" s="6">
        <f>IFERROR(__xludf.DUMMYFUNCTION("""COMPUTED_VALUE"""),11271.15)</f>
        <v>11271.15</v>
      </c>
      <c r="F72" s="6">
        <f>IFERROR(__xludf.DUMMYFUNCTION("""COMPUTED_VALUE"""),497760.0)</f>
        <v>497760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IFERROR(__xludf.DUMMYFUNCTION("""COMPUTED_VALUE"""),11262.6)</f>
        <v>11262.6</v>
      </c>
      <c r="C73" s="6">
        <f>IFERROR(__xludf.DUMMYFUNCTION("""COMPUTED_VALUE"""),12376.35)</f>
        <v>12376.35</v>
      </c>
      <c r="D73" s="6">
        <f>IFERROR(__xludf.DUMMYFUNCTION("""COMPUTED_VALUE"""),11238.55)</f>
        <v>11238.55</v>
      </c>
      <c r="E73" s="6">
        <f>IFERROR(__xludf.DUMMYFUNCTION("""COMPUTED_VALUE"""),12075.2)</f>
        <v>12075.2</v>
      </c>
      <c r="F73" s="6">
        <f>IFERROR(__xludf.DUMMYFUNCTION("""COMPUTED_VALUE"""),484063.0)</f>
        <v>484063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IFERROR(__xludf.DUMMYFUNCTION("""COMPUTED_VALUE"""),12032.6)</f>
        <v>12032.6</v>
      </c>
      <c r="C74" s="6">
        <f>IFERROR(__xludf.DUMMYFUNCTION("""COMPUTED_VALUE"""),12586.6)</f>
        <v>12586.6</v>
      </c>
      <c r="D74" s="6">
        <f>IFERROR(__xludf.DUMMYFUNCTION("""COMPUTED_VALUE"""),11602.05)</f>
        <v>11602.05</v>
      </c>
      <c r="E74" s="6">
        <f>IFERROR(__xludf.DUMMYFUNCTION("""COMPUTED_VALUE"""),12207.85)</f>
        <v>12207.85</v>
      </c>
      <c r="F74" s="6">
        <f>IFERROR(__xludf.DUMMYFUNCTION("""COMPUTED_VALUE"""),370510.0)</f>
        <v>370510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IFERROR(__xludf.DUMMYFUNCTION("""COMPUTED_VALUE"""),12407.85)</f>
        <v>12407.85</v>
      </c>
      <c r="C75" s="6">
        <f>IFERROR(__xludf.DUMMYFUNCTION("""COMPUTED_VALUE"""),12603.9)</f>
        <v>12603.9</v>
      </c>
      <c r="D75" s="6">
        <f>IFERROR(__xludf.DUMMYFUNCTION("""COMPUTED_VALUE"""),11202.0)</f>
        <v>11202</v>
      </c>
      <c r="E75" s="6">
        <f>IFERROR(__xludf.DUMMYFUNCTION("""COMPUTED_VALUE"""),11574.35)</f>
        <v>11574.35</v>
      </c>
      <c r="F75" s="6">
        <f>IFERROR(__xludf.DUMMYFUNCTION("""COMPUTED_VALUE"""),653647.0)</f>
        <v>653647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IFERROR(__xludf.DUMMYFUNCTION("""COMPUTED_VALUE"""),11594.75)</f>
        <v>11594.75</v>
      </c>
      <c r="C76" s="6">
        <f>IFERROR(__xludf.DUMMYFUNCTION("""COMPUTED_VALUE"""),12095.0)</f>
        <v>12095</v>
      </c>
      <c r="D76" s="6">
        <f>IFERROR(__xludf.DUMMYFUNCTION("""COMPUTED_VALUE"""),11082.65)</f>
        <v>11082.65</v>
      </c>
      <c r="E76" s="6">
        <f>IFERROR(__xludf.DUMMYFUNCTION("""COMPUTED_VALUE"""),11774.95)</f>
        <v>11774.95</v>
      </c>
      <c r="F76" s="6">
        <f>IFERROR(__xludf.DUMMYFUNCTION("""COMPUTED_VALUE"""),448556.0)</f>
        <v>448556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IFERROR(__xludf.DUMMYFUNCTION("""COMPUTED_VALUE"""),11838.1)</f>
        <v>11838.1</v>
      </c>
      <c r="C77" s="6">
        <f>IFERROR(__xludf.DUMMYFUNCTION("""COMPUTED_VALUE"""),12015.0)</f>
        <v>12015</v>
      </c>
      <c r="D77" s="6">
        <f>IFERROR(__xludf.DUMMYFUNCTION("""COMPUTED_VALUE"""),11283.8)</f>
        <v>11283.8</v>
      </c>
      <c r="E77" s="6">
        <f>IFERROR(__xludf.DUMMYFUNCTION("""COMPUTED_VALUE"""),11320.2)</f>
        <v>11320.2</v>
      </c>
      <c r="F77" s="6">
        <f>IFERROR(__xludf.DUMMYFUNCTION("""COMPUTED_VALUE"""),265470.0)</f>
        <v>265470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IFERROR(__xludf.DUMMYFUNCTION("""COMPUTED_VALUE"""),11442.85)</f>
        <v>11442.85</v>
      </c>
      <c r="C78" s="6">
        <f>IFERROR(__xludf.DUMMYFUNCTION("""COMPUTED_VALUE"""),12390.0)</f>
        <v>12390</v>
      </c>
      <c r="D78" s="6">
        <f>IFERROR(__xludf.DUMMYFUNCTION("""COMPUTED_VALUE"""),11311.3)</f>
        <v>11311.3</v>
      </c>
      <c r="E78" s="6">
        <f>IFERROR(__xludf.DUMMYFUNCTION("""COMPUTED_VALUE"""),12273.55)</f>
        <v>12273.55</v>
      </c>
      <c r="F78" s="6">
        <f>IFERROR(__xludf.DUMMYFUNCTION("""COMPUTED_VALUE"""),471341.0)</f>
        <v>471341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IFERROR(__xludf.DUMMYFUNCTION("""COMPUTED_VALUE"""),12400.0)</f>
        <v>12400</v>
      </c>
      <c r="C79" s="6">
        <f>IFERROR(__xludf.DUMMYFUNCTION("""COMPUTED_VALUE"""),12899.95)</f>
        <v>12899.95</v>
      </c>
      <c r="D79" s="6">
        <f>IFERROR(__xludf.DUMMYFUNCTION("""COMPUTED_VALUE"""),12203.35)</f>
        <v>12203.35</v>
      </c>
      <c r="E79" s="6">
        <f>IFERROR(__xludf.DUMMYFUNCTION("""COMPUTED_VALUE"""),12473.05)</f>
        <v>12473.05</v>
      </c>
      <c r="F79" s="6">
        <f>IFERROR(__xludf.DUMMYFUNCTION("""COMPUTED_VALUE"""),320511.0)</f>
        <v>320511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IFERROR(__xludf.DUMMYFUNCTION("""COMPUTED_VALUE"""),12499.0)</f>
        <v>12499</v>
      </c>
      <c r="C80" s="6">
        <f>IFERROR(__xludf.DUMMYFUNCTION("""COMPUTED_VALUE"""),12532.0)</f>
        <v>12532</v>
      </c>
      <c r="D80" s="6">
        <f>IFERROR(__xludf.DUMMYFUNCTION("""COMPUTED_VALUE"""),11201.15)</f>
        <v>11201.15</v>
      </c>
      <c r="E80" s="6">
        <f>IFERROR(__xludf.DUMMYFUNCTION("""COMPUTED_VALUE"""),11506.9)</f>
        <v>11506.9</v>
      </c>
      <c r="F80" s="6">
        <f>IFERROR(__xludf.DUMMYFUNCTION("""COMPUTED_VALUE"""),393360.0)</f>
        <v>393360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IFERROR(__xludf.DUMMYFUNCTION("""COMPUTED_VALUE"""),10400.0)</f>
        <v>10400</v>
      </c>
      <c r="C81" s="6">
        <f>IFERROR(__xludf.DUMMYFUNCTION("""COMPUTED_VALUE"""),11384.0)</f>
        <v>11384</v>
      </c>
      <c r="D81" s="6">
        <f>IFERROR(__xludf.DUMMYFUNCTION("""COMPUTED_VALUE"""),10400.0)</f>
        <v>10400</v>
      </c>
      <c r="E81" s="6">
        <f>IFERROR(__xludf.DUMMYFUNCTION("""COMPUTED_VALUE"""),11282.15)</f>
        <v>11282.15</v>
      </c>
      <c r="F81" s="6">
        <f>IFERROR(__xludf.DUMMYFUNCTION("""COMPUTED_VALUE"""),459688.0)</f>
        <v>459688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IFERROR(__xludf.DUMMYFUNCTION("""COMPUTED_VALUE"""),11339.0)</f>
        <v>11339</v>
      </c>
      <c r="C82" s="6">
        <f>IFERROR(__xludf.DUMMYFUNCTION("""COMPUTED_VALUE"""),12017.0)</f>
        <v>12017</v>
      </c>
      <c r="D82" s="6">
        <f>IFERROR(__xludf.DUMMYFUNCTION("""COMPUTED_VALUE"""),11339.0)</f>
        <v>11339</v>
      </c>
      <c r="E82" s="6">
        <f>IFERROR(__xludf.DUMMYFUNCTION("""COMPUTED_VALUE"""),11955.0)</f>
        <v>11955</v>
      </c>
      <c r="F82" s="6">
        <f>IFERROR(__xludf.DUMMYFUNCTION("""COMPUTED_VALUE"""),213604.0)</f>
        <v>213604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IFERROR(__xludf.DUMMYFUNCTION("""COMPUTED_VALUE"""),12030.0)</f>
        <v>12030</v>
      </c>
      <c r="C83" s="6">
        <f>IFERROR(__xludf.DUMMYFUNCTION("""COMPUTED_VALUE"""),12681.0)</f>
        <v>12681</v>
      </c>
      <c r="D83" s="6">
        <f>IFERROR(__xludf.DUMMYFUNCTION("""COMPUTED_VALUE"""),11868.0)</f>
        <v>11868</v>
      </c>
      <c r="E83" s="6">
        <f>IFERROR(__xludf.DUMMYFUNCTION("""COMPUTED_VALUE"""),12198.0)</f>
        <v>12198</v>
      </c>
      <c r="F83" s="6">
        <f>IFERROR(__xludf.DUMMYFUNCTION("""COMPUTED_VALUE"""),235082.0)</f>
        <v>235082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IFERROR(__xludf.DUMMYFUNCTION("""COMPUTED_VALUE"""),12109.0)</f>
        <v>12109</v>
      </c>
      <c r="C84" s="6">
        <f>IFERROR(__xludf.DUMMYFUNCTION("""COMPUTED_VALUE"""),12535.0)</f>
        <v>12535</v>
      </c>
      <c r="D84" s="6">
        <f>IFERROR(__xludf.DUMMYFUNCTION("""COMPUTED_VALUE"""),11772.0)</f>
        <v>11772</v>
      </c>
      <c r="E84" s="6">
        <f>IFERROR(__xludf.DUMMYFUNCTION("""COMPUTED_VALUE"""),12014.0)</f>
        <v>12014</v>
      </c>
      <c r="F84" s="6">
        <f>IFERROR(__xludf.DUMMYFUNCTION("""COMPUTED_VALUE"""),176380.0)</f>
        <v>176380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IFERROR(__xludf.DUMMYFUNCTION("""COMPUTED_VALUE"""),12014.0)</f>
        <v>12014</v>
      </c>
      <c r="C85" s="6">
        <f>IFERROR(__xludf.DUMMYFUNCTION("""COMPUTED_VALUE"""),12171.0)</f>
        <v>12171</v>
      </c>
      <c r="D85" s="6">
        <f>IFERROR(__xludf.DUMMYFUNCTION("""COMPUTED_VALUE"""),11151.0)</f>
        <v>11151</v>
      </c>
      <c r="E85" s="6">
        <f>IFERROR(__xludf.DUMMYFUNCTION("""COMPUTED_VALUE"""),11238.0)</f>
        <v>11238</v>
      </c>
      <c r="F85" s="6">
        <f>IFERROR(__xludf.DUMMYFUNCTION("""COMPUTED_VALUE"""),213670.0)</f>
        <v>213670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IFERROR(__xludf.DUMMYFUNCTION("""COMPUTED_VALUE"""),11699.0)</f>
        <v>11699</v>
      </c>
      <c r="C86" s="6">
        <f>IFERROR(__xludf.DUMMYFUNCTION("""COMPUTED_VALUE"""),13480.0)</f>
        <v>13480</v>
      </c>
      <c r="D86" s="6">
        <f>IFERROR(__xludf.DUMMYFUNCTION("""COMPUTED_VALUE"""),11507.0)</f>
        <v>11507</v>
      </c>
      <c r="E86" s="6">
        <f>IFERROR(__xludf.DUMMYFUNCTION("""COMPUTED_VALUE"""),13111.0)</f>
        <v>13111</v>
      </c>
      <c r="F86" s="6">
        <f>IFERROR(__xludf.DUMMYFUNCTION("""COMPUTED_VALUE"""),430317.0)</f>
        <v>430317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IFERROR(__xludf.DUMMYFUNCTION("""COMPUTED_VALUE"""),13150.0)</f>
        <v>13150</v>
      </c>
      <c r="C87" s="6">
        <f>IFERROR(__xludf.DUMMYFUNCTION("""COMPUTED_VALUE"""),14400.0)</f>
        <v>14400</v>
      </c>
      <c r="D87" s="6">
        <f>IFERROR(__xludf.DUMMYFUNCTION("""COMPUTED_VALUE"""),12710.0)</f>
        <v>12710</v>
      </c>
      <c r="E87" s="6">
        <f>IFERROR(__xludf.DUMMYFUNCTION("""COMPUTED_VALUE"""),13748.0)</f>
        <v>13748</v>
      </c>
      <c r="F87" s="6">
        <f>IFERROR(__xludf.DUMMYFUNCTION("""COMPUTED_VALUE"""),780604.0)</f>
        <v>780604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IFERROR(__xludf.DUMMYFUNCTION("""COMPUTED_VALUE"""),13851.0)</f>
        <v>13851</v>
      </c>
      <c r="C88" s="6">
        <f>IFERROR(__xludf.DUMMYFUNCTION("""COMPUTED_VALUE"""),14146.0)</f>
        <v>14146</v>
      </c>
      <c r="D88" s="6">
        <f>IFERROR(__xludf.DUMMYFUNCTION("""COMPUTED_VALUE"""),13263.0)</f>
        <v>13263</v>
      </c>
      <c r="E88" s="6">
        <f>IFERROR(__xludf.DUMMYFUNCTION("""COMPUTED_VALUE"""),13414.0)</f>
        <v>13414</v>
      </c>
      <c r="F88" s="6">
        <f>IFERROR(__xludf.DUMMYFUNCTION("""COMPUTED_VALUE"""),531443.0)</f>
        <v>531443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IFERROR(__xludf.DUMMYFUNCTION("""COMPUTED_VALUE"""),13477.0)</f>
        <v>13477</v>
      </c>
      <c r="C89" s="6">
        <f>IFERROR(__xludf.DUMMYFUNCTION("""COMPUTED_VALUE"""),14740.0)</f>
        <v>14740</v>
      </c>
      <c r="D89" s="6">
        <f>IFERROR(__xludf.DUMMYFUNCTION("""COMPUTED_VALUE"""),13101.0)</f>
        <v>13101</v>
      </c>
      <c r="E89" s="6">
        <f>IFERROR(__xludf.DUMMYFUNCTION("""COMPUTED_VALUE"""),14251.0)</f>
        <v>14251</v>
      </c>
      <c r="F89" s="6">
        <f>IFERROR(__xludf.DUMMYFUNCTION("""COMPUTED_VALUE"""),713397.0)</f>
        <v>713397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IFERROR(__xludf.DUMMYFUNCTION("""COMPUTED_VALUE"""),14322.0)</f>
        <v>14322</v>
      </c>
      <c r="C90" s="6">
        <f>IFERROR(__xludf.DUMMYFUNCTION("""COMPUTED_VALUE"""),14632.0)</f>
        <v>14632</v>
      </c>
      <c r="D90" s="6">
        <f>IFERROR(__xludf.DUMMYFUNCTION("""COMPUTED_VALUE"""),13878.0)</f>
        <v>13878</v>
      </c>
      <c r="E90" s="6">
        <f>IFERROR(__xludf.DUMMYFUNCTION("""COMPUTED_VALUE"""),14084.0)</f>
        <v>14084</v>
      </c>
      <c r="F90" s="6">
        <f>IFERROR(__xludf.DUMMYFUNCTION("""COMPUTED_VALUE"""),410159.0)</f>
        <v>410159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IFERROR(__xludf.DUMMYFUNCTION("""COMPUTED_VALUE"""),14059.0)</f>
        <v>14059</v>
      </c>
      <c r="C91" s="6">
        <f>IFERROR(__xludf.DUMMYFUNCTION("""COMPUTED_VALUE"""),14200.0)</f>
        <v>14200</v>
      </c>
      <c r="D91" s="6">
        <f>IFERROR(__xludf.DUMMYFUNCTION("""COMPUTED_VALUE"""),13406.0)</f>
        <v>13406</v>
      </c>
      <c r="E91" s="6">
        <f>IFERROR(__xludf.DUMMYFUNCTION("""COMPUTED_VALUE"""),13614.0)</f>
        <v>13614</v>
      </c>
      <c r="F91" s="6">
        <f>IFERROR(__xludf.DUMMYFUNCTION("""COMPUTED_VALUE"""),260537.0)</f>
        <v>260537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IFERROR(__xludf.DUMMYFUNCTION("""COMPUTED_VALUE"""),13551.0)</f>
        <v>13551</v>
      </c>
      <c r="C92" s="6">
        <f>IFERROR(__xludf.DUMMYFUNCTION("""COMPUTED_VALUE"""),14400.0)</f>
        <v>14400</v>
      </c>
      <c r="D92" s="6">
        <f>IFERROR(__xludf.DUMMYFUNCTION("""COMPUTED_VALUE"""),13364.0)</f>
        <v>13364</v>
      </c>
      <c r="E92" s="6">
        <f>IFERROR(__xludf.DUMMYFUNCTION("""COMPUTED_VALUE"""),14134.0)</f>
        <v>14134</v>
      </c>
      <c r="F92" s="6">
        <f>IFERROR(__xludf.DUMMYFUNCTION("""COMPUTED_VALUE"""),282599.0)</f>
        <v>282599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IFERROR(__xludf.DUMMYFUNCTION("""COMPUTED_VALUE"""),14000.0)</f>
        <v>14000</v>
      </c>
      <c r="C93" s="6">
        <f>IFERROR(__xludf.DUMMYFUNCTION("""COMPUTED_VALUE"""),14630.0)</f>
        <v>14630</v>
      </c>
      <c r="D93" s="6">
        <f>IFERROR(__xludf.DUMMYFUNCTION("""COMPUTED_VALUE"""),13951.0)</f>
        <v>13951</v>
      </c>
      <c r="E93" s="6">
        <f>IFERROR(__xludf.DUMMYFUNCTION("""COMPUTED_VALUE"""),14227.0)</f>
        <v>14227</v>
      </c>
      <c r="F93" s="6">
        <f>IFERROR(__xludf.DUMMYFUNCTION("""COMPUTED_VALUE"""),282315.0)</f>
        <v>282315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IFERROR(__xludf.DUMMYFUNCTION("""COMPUTED_VALUE"""),14291.0)</f>
        <v>14291</v>
      </c>
      <c r="C94" s="6">
        <f>IFERROR(__xludf.DUMMYFUNCTION("""COMPUTED_VALUE"""),14349.0)</f>
        <v>14349</v>
      </c>
      <c r="D94" s="6">
        <f>IFERROR(__xludf.DUMMYFUNCTION("""COMPUTED_VALUE"""),13701.0)</f>
        <v>13701</v>
      </c>
      <c r="E94" s="6">
        <f>IFERROR(__xludf.DUMMYFUNCTION("""COMPUTED_VALUE"""),13752.0)</f>
        <v>13752</v>
      </c>
      <c r="F94" s="6">
        <f>IFERROR(__xludf.DUMMYFUNCTION("""COMPUTED_VALUE"""),134049.0)</f>
        <v>134049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IFERROR(__xludf.DUMMYFUNCTION("""COMPUTED_VALUE"""),13805.0)</f>
        <v>13805</v>
      </c>
      <c r="C95" s="6">
        <f>IFERROR(__xludf.DUMMYFUNCTION("""COMPUTED_VALUE"""),14350.0)</f>
        <v>14350</v>
      </c>
      <c r="D95" s="6">
        <f>IFERROR(__xludf.DUMMYFUNCTION("""COMPUTED_VALUE"""),13659.0)</f>
        <v>13659</v>
      </c>
      <c r="E95" s="6">
        <f>IFERROR(__xludf.DUMMYFUNCTION("""COMPUTED_VALUE"""),13848.0)</f>
        <v>13848</v>
      </c>
      <c r="F95" s="6">
        <f>IFERROR(__xludf.DUMMYFUNCTION("""COMPUTED_VALUE"""),167526.0)</f>
        <v>167526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IFERROR(__xludf.DUMMYFUNCTION("""COMPUTED_VALUE"""),13940.0)</f>
        <v>13940</v>
      </c>
      <c r="C96" s="6">
        <f>IFERROR(__xludf.DUMMYFUNCTION("""COMPUTED_VALUE"""),14204.0)</f>
        <v>14204</v>
      </c>
      <c r="D96" s="6">
        <f>IFERROR(__xludf.DUMMYFUNCTION("""COMPUTED_VALUE"""),13675.0)</f>
        <v>13675</v>
      </c>
      <c r="E96" s="6">
        <f>IFERROR(__xludf.DUMMYFUNCTION("""COMPUTED_VALUE"""),13852.0)</f>
        <v>13852</v>
      </c>
      <c r="F96" s="6">
        <f>IFERROR(__xludf.DUMMYFUNCTION("""COMPUTED_VALUE"""),298367.0)</f>
        <v>298367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IFERROR(__xludf.DUMMYFUNCTION("""COMPUTED_VALUE"""),13900.0)</f>
        <v>13900</v>
      </c>
      <c r="C97" s="6">
        <f>IFERROR(__xludf.DUMMYFUNCTION("""COMPUTED_VALUE"""),14149.0)</f>
        <v>14149</v>
      </c>
      <c r="D97" s="6">
        <f>IFERROR(__xludf.DUMMYFUNCTION("""COMPUTED_VALUE"""),13511.0)</f>
        <v>13511</v>
      </c>
      <c r="E97" s="6">
        <f>IFERROR(__xludf.DUMMYFUNCTION("""COMPUTED_VALUE"""),13848.0)</f>
        <v>13848</v>
      </c>
      <c r="F97" s="6">
        <f>IFERROR(__xludf.DUMMYFUNCTION("""COMPUTED_VALUE"""),164673.0)</f>
        <v>164673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IFERROR(__xludf.DUMMYFUNCTION("""COMPUTED_VALUE"""),13715.0)</f>
        <v>13715</v>
      </c>
      <c r="C98" s="6">
        <f>IFERROR(__xludf.DUMMYFUNCTION("""COMPUTED_VALUE"""),14445.0)</f>
        <v>14445</v>
      </c>
      <c r="D98" s="6">
        <f>IFERROR(__xludf.DUMMYFUNCTION("""COMPUTED_VALUE"""),13531.0)</f>
        <v>13531</v>
      </c>
      <c r="E98" s="6">
        <f>IFERROR(__xludf.DUMMYFUNCTION("""COMPUTED_VALUE"""),13718.0)</f>
        <v>13718</v>
      </c>
      <c r="F98" s="6">
        <f>IFERROR(__xludf.DUMMYFUNCTION("""COMPUTED_VALUE"""),509517.0)</f>
        <v>509517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IFERROR(__xludf.DUMMYFUNCTION("""COMPUTED_VALUE"""),13828.0)</f>
        <v>13828</v>
      </c>
      <c r="C99" s="6">
        <f>IFERROR(__xludf.DUMMYFUNCTION("""COMPUTED_VALUE"""),14200.0)</f>
        <v>14200</v>
      </c>
      <c r="D99" s="6">
        <f>IFERROR(__xludf.DUMMYFUNCTION("""COMPUTED_VALUE"""),13515.0)</f>
        <v>13515</v>
      </c>
      <c r="E99" s="6">
        <f>IFERROR(__xludf.DUMMYFUNCTION("""COMPUTED_VALUE"""),14136.0)</f>
        <v>14136</v>
      </c>
      <c r="F99" s="6">
        <f>IFERROR(__xludf.DUMMYFUNCTION("""COMPUTED_VALUE"""),120169.0)</f>
        <v>120169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IFERROR(__xludf.DUMMYFUNCTION("""COMPUTED_VALUE"""),14136.0)</f>
        <v>14136</v>
      </c>
      <c r="C100" s="6">
        <f>IFERROR(__xludf.DUMMYFUNCTION("""COMPUTED_VALUE"""),14763.0)</f>
        <v>14763</v>
      </c>
      <c r="D100" s="6">
        <f>IFERROR(__xludf.DUMMYFUNCTION("""COMPUTED_VALUE"""),13405.0)</f>
        <v>13405</v>
      </c>
      <c r="E100" s="6">
        <f>IFERROR(__xludf.DUMMYFUNCTION("""COMPUTED_VALUE"""),13545.0)</f>
        <v>13545</v>
      </c>
      <c r="F100" s="6">
        <f>IFERROR(__xludf.DUMMYFUNCTION("""COMPUTED_VALUE"""),407758.0)</f>
        <v>407758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IFERROR(__xludf.DUMMYFUNCTION("""COMPUTED_VALUE"""),13630.0)</f>
        <v>13630</v>
      </c>
      <c r="C101" s="6">
        <f>IFERROR(__xludf.DUMMYFUNCTION("""COMPUTED_VALUE"""),13630.0)</f>
        <v>13630</v>
      </c>
      <c r="D101" s="6">
        <f>IFERROR(__xludf.DUMMYFUNCTION("""COMPUTED_VALUE"""),12840.0)</f>
        <v>12840</v>
      </c>
      <c r="E101" s="6">
        <f>IFERROR(__xludf.DUMMYFUNCTION("""COMPUTED_VALUE"""),12997.0)</f>
        <v>12997</v>
      </c>
      <c r="F101" s="6">
        <f>IFERROR(__xludf.DUMMYFUNCTION("""COMPUTED_VALUE"""),1104585.0)</f>
        <v>1104585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IFERROR(__xludf.DUMMYFUNCTION("GOOGLEFINANCE(""NSE:BAJFINANCE"",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IFERROR(__xludf.DUMMYFUNCTION("""COMPUTED_VALUE"""),722.5)</f>
        <v>722.5</v>
      </c>
      <c r="C2" s="6">
        <f>IFERROR(__xludf.DUMMYFUNCTION("""COMPUTED_VALUE"""),733.09)</f>
        <v>733.09</v>
      </c>
      <c r="D2" s="6">
        <f>IFERROR(__xludf.DUMMYFUNCTION("""COMPUTED_VALUE"""),713.5)</f>
        <v>713.5</v>
      </c>
      <c r="E2" s="6">
        <f>IFERROR(__xludf.DUMMYFUNCTION("""COMPUTED_VALUE"""),732.06)</f>
        <v>732.06</v>
      </c>
      <c r="F2" s="6">
        <f>IFERROR(__xludf.DUMMYFUNCTION("""COMPUTED_VALUE"""),4671255.0)</f>
        <v>4671255</v>
      </c>
    </row>
    <row r="3">
      <c r="A3" s="7">
        <f>IFERROR(__xludf.DUMMYFUNCTION("""COMPUTED_VALUE"""),45177.64583333333)</f>
        <v>45177.64583</v>
      </c>
      <c r="B3" s="6">
        <f>IFERROR(__xludf.DUMMYFUNCTION("""COMPUTED_VALUE"""),737.0)</f>
        <v>737</v>
      </c>
      <c r="C3" s="6">
        <f>IFERROR(__xludf.DUMMYFUNCTION("""COMPUTED_VALUE"""),745.0)</f>
        <v>745</v>
      </c>
      <c r="D3" s="6">
        <f>IFERROR(__xludf.DUMMYFUNCTION("""COMPUTED_VALUE"""),725.84)</f>
        <v>725.84</v>
      </c>
      <c r="E3" s="6">
        <f>IFERROR(__xludf.DUMMYFUNCTION("""COMPUTED_VALUE"""),741.07)</f>
        <v>741.07</v>
      </c>
      <c r="F3" s="6">
        <f>IFERROR(__xludf.DUMMYFUNCTION("""COMPUTED_VALUE"""),3582137.0)</f>
        <v>3582137</v>
      </c>
    </row>
    <row r="4">
      <c r="A4" s="7">
        <f>IFERROR(__xludf.DUMMYFUNCTION("""COMPUTED_VALUE"""),45184.64583333333)</f>
        <v>45184.64583</v>
      </c>
      <c r="B4" s="6">
        <f>IFERROR(__xludf.DUMMYFUNCTION("""COMPUTED_VALUE"""),742.5)</f>
        <v>742.5</v>
      </c>
      <c r="C4" s="6">
        <f>IFERROR(__xludf.DUMMYFUNCTION("""COMPUTED_VALUE"""),756.52)</f>
        <v>756.52</v>
      </c>
      <c r="D4" s="6">
        <f>IFERROR(__xludf.DUMMYFUNCTION("""COMPUTED_VALUE"""),730.55)</f>
        <v>730.55</v>
      </c>
      <c r="E4" s="6">
        <f>IFERROR(__xludf.DUMMYFUNCTION("""COMPUTED_VALUE"""),749.22)</f>
        <v>749.22</v>
      </c>
      <c r="F4" s="6">
        <f>IFERROR(__xludf.DUMMYFUNCTION("""COMPUTED_VALUE"""),3388078.0)</f>
        <v>3388078</v>
      </c>
    </row>
    <row r="5">
      <c r="A5" s="7">
        <f>IFERROR(__xludf.DUMMYFUNCTION("""COMPUTED_VALUE"""),45191.64583333333)</f>
        <v>45191.64583</v>
      </c>
      <c r="B5" s="6">
        <f>IFERROR(__xludf.DUMMYFUNCTION("""COMPUTED_VALUE"""),748.89)</f>
        <v>748.89</v>
      </c>
      <c r="C5" s="6">
        <f>IFERROR(__xludf.DUMMYFUNCTION("""COMPUTED_VALUE"""),764.7)</f>
        <v>764.7</v>
      </c>
      <c r="D5" s="6">
        <f>IFERROR(__xludf.DUMMYFUNCTION("""COMPUTED_VALUE"""),742.5)</f>
        <v>742.5</v>
      </c>
      <c r="E5" s="6">
        <f>IFERROR(__xludf.DUMMYFUNCTION("""COMPUTED_VALUE"""),747.14)</f>
        <v>747.14</v>
      </c>
      <c r="F5" s="6">
        <f>IFERROR(__xludf.DUMMYFUNCTION("""COMPUTED_VALUE"""),2752837.0)</f>
        <v>2752837</v>
      </c>
    </row>
    <row r="6">
      <c r="A6" s="7">
        <f>IFERROR(__xludf.DUMMYFUNCTION("""COMPUTED_VALUE"""),45198.64583333333)</f>
        <v>45198.64583</v>
      </c>
      <c r="B6" s="6">
        <f>IFERROR(__xludf.DUMMYFUNCTION("""COMPUTED_VALUE"""),757.5)</f>
        <v>757.5</v>
      </c>
      <c r="C6" s="6">
        <f>IFERROR(__xludf.DUMMYFUNCTION("""COMPUTED_VALUE"""),790.0)</f>
        <v>790</v>
      </c>
      <c r="D6" s="6">
        <f>IFERROR(__xludf.DUMMYFUNCTION("""COMPUTED_VALUE"""),751.0)</f>
        <v>751</v>
      </c>
      <c r="E6" s="6">
        <f>IFERROR(__xludf.DUMMYFUNCTION("""COMPUTED_VALUE"""),781.08)</f>
        <v>781.08</v>
      </c>
      <c r="F6" s="6">
        <f>IFERROR(__xludf.DUMMYFUNCTION("""COMPUTED_VALUE"""),5688973.0)</f>
        <v>5688973</v>
      </c>
    </row>
    <row r="7">
      <c r="A7" s="7">
        <f>IFERROR(__xludf.DUMMYFUNCTION("""COMPUTED_VALUE"""),45205.64583333333)</f>
        <v>45205.64583</v>
      </c>
      <c r="B7" s="6">
        <f>IFERROR(__xludf.DUMMYFUNCTION("""COMPUTED_VALUE"""),778.08)</f>
        <v>778.08</v>
      </c>
      <c r="C7" s="6">
        <f>IFERROR(__xludf.DUMMYFUNCTION("""COMPUTED_VALUE"""),819.2)</f>
        <v>819.2</v>
      </c>
      <c r="D7" s="6">
        <f>IFERROR(__xludf.DUMMYFUNCTION("""COMPUTED_VALUE"""),775.5)</f>
        <v>775.5</v>
      </c>
      <c r="E7" s="6">
        <f>IFERROR(__xludf.DUMMYFUNCTION("""COMPUTED_VALUE"""),816.86)</f>
        <v>816.86</v>
      </c>
      <c r="F7" s="6">
        <f>IFERROR(__xludf.DUMMYFUNCTION("""COMPUTED_VALUE"""),5061034.0)</f>
        <v>5061034</v>
      </c>
    </row>
    <row r="8">
      <c r="A8" s="7">
        <f>IFERROR(__xludf.DUMMYFUNCTION("""COMPUTED_VALUE"""),45212.64583333333)</f>
        <v>45212.64583</v>
      </c>
      <c r="B8" s="6">
        <f>IFERROR(__xludf.DUMMYFUNCTION("""COMPUTED_VALUE"""),810.21)</f>
        <v>810.21</v>
      </c>
      <c r="C8" s="6">
        <f>IFERROR(__xludf.DUMMYFUNCTION("""COMPUTED_VALUE"""),817.3)</f>
        <v>817.3</v>
      </c>
      <c r="D8" s="6">
        <f>IFERROR(__xludf.DUMMYFUNCTION("""COMPUTED_VALUE"""),795.61)</f>
        <v>795.61</v>
      </c>
      <c r="E8" s="6">
        <f>IFERROR(__xludf.DUMMYFUNCTION("""COMPUTED_VALUE"""),805.17)</f>
        <v>805.17</v>
      </c>
      <c r="F8" s="6">
        <f>IFERROR(__xludf.DUMMYFUNCTION("""COMPUTED_VALUE"""),3851570.0)</f>
        <v>3851570</v>
      </c>
    </row>
    <row r="9">
      <c r="A9" s="7">
        <f>IFERROR(__xludf.DUMMYFUNCTION("""COMPUTED_VALUE"""),45219.64583333333)</f>
        <v>45219.64583</v>
      </c>
      <c r="B9" s="6">
        <f>IFERROR(__xludf.DUMMYFUNCTION("""COMPUTED_VALUE"""),804.43)</f>
        <v>804.43</v>
      </c>
      <c r="C9" s="6">
        <f>IFERROR(__xludf.DUMMYFUNCTION("""COMPUTED_VALUE"""),815.9)</f>
        <v>815.9</v>
      </c>
      <c r="D9" s="6">
        <f>IFERROR(__xludf.DUMMYFUNCTION("""COMPUTED_VALUE"""),772.25)</f>
        <v>772.25</v>
      </c>
      <c r="E9" s="6">
        <f>IFERROR(__xludf.DUMMYFUNCTION("""COMPUTED_VALUE"""),776.92)</f>
        <v>776.92</v>
      </c>
      <c r="F9" s="6">
        <f>IFERROR(__xludf.DUMMYFUNCTION("""COMPUTED_VALUE"""),4653777.0)</f>
        <v>4653777</v>
      </c>
    </row>
    <row r="10">
      <c r="A10" s="7">
        <f>IFERROR(__xludf.DUMMYFUNCTION("""COMPUTED_VALUE"""),45226.64583333333)</f>
        <v>45226.64583</v>
      </c>
      <c r="B10" s="6">
        <f>IFERROR(__xludf.DUMMYFUNCTION("""COMPUTED_VALUE"""),780.0)</f>
        <v>780</v>
      </c>
      <c r="C10" s="6">
        <f>IFERROR(__xludf.DUMMYFUNCTION("""COMPUTED_VALUE"""),788.49)</f>
        <v>788.49</v>
      </c>
      <c r="D10" s="6">
        <f>IFERROR(__xludf.DUMMYFUNCTION("""COMPUTED_VALUE"""),740.12)</f>
        <v>740.12</v>
      </c>
      <c r="E10" s="6">
        <f>IFERROR(__xludf.DUMMYFUNCTION("""COMPUTED_VALUE"""),750.72)</f>
        <v>750.72</v>
      </c>
      <c r="F10" s="6">
        <f>IFERROR(__xludf.DUMMYFUNCTION("""COMPUTED_VALUE"""),3827578.0)</f>
        <v>3827578</v>
      </c>
    </row>
    <row r="11">
      <c r="A11" s="7">
        <f>IFERROR(__xludf.DUMMYFUNCTION("""COMPUTED_VALUE"""),45233.64583333333)</f>
        <v>45233.64583</v>
      </c>
      <c r="B11" s="6">
        <f>IFERROR(__xludf.DUMMYFUNCTION("""COMPUTED_VALUE"""),750.58)</f>
        <v>750.58</v>
      </c>
      <c r="C11" s="6">
        <f>IFERROR(__xludf.DUMMYFUNCTION("""COMPUTED_VALUE"""),761.5)</f>
        <v>761.5</v>
      </c>
      <c r="D11" s="6">
        <f>IFERROR(__xludf.DUMMYFUNCTION("""COMPUTED_VALUE"""),735.25)</f>
        <v>735.25</v>
      </c>
      <c r="E11" s="6">
        <f>IFERROR(__xludf.DUMMYFUNCTION("""COMPUTED_VALUE"""),741.15)</f>
        <v>741.15</v>
      </c>
      <c r="F11" s="6">
        <f>IFERROR(__xludf.DUMMYFUNCTION("""COMPUTED_VALUE"""),4005249.0)</f>
        <v>4005249</v>
      </c>
    </row>
    <row r="12">
      <c r="A12" s="7">
        <f>IFERROR(__xludf.DUMMYFUNCTION("""COMPUTED_VALUE"""),45240.64583333333)</f>
        <v>45240.64583</v>
      </c>
      <c r="B12" s="6">
        <f>IFERROR(__xludf.DUMMYFUNCTION("""COMPUTED_VALUE"""),745.6)</f>
        <v>745.6</v>
      </c>
      <c r="C12" s="6">
        <f>IFERROR(__xludf.DUMMYFUNCTION("""COMPUTED_VALUE"""),764.0)</f>
        <v>764</v>
      </c>
      <c r="D12" s="6">
        <f>IFERROR(__xludf.DUMMYFUNCTION("""COMPUTED_VALUE"""),734.65)</f>
        <v>734.65</v>
      </c>
      <c r="E12" s="6">
        <f>IFERROR(__xludf.DUMMYFUNCTION("""COMPUTED_VALUE"""),744.48)</f>
        <v>744.48</v>
      </c>
      <c r="F12" s="6">
        <f>IFERROR(__xludf.DUMMYFUNCTION("""COMPUTED_VALUE"""),4381819.0)</f>
        <v>4381819</v>
      </c>
    </row>
    <row r="13">
      <c r="A13" s="7">
        <f>IFERROR(__xludf.DUMMYFUNCTION("""COMPUTED_VALUE"""),45247.64583333333)</f>
        <v>45247.64583</v>
      </c>
      <c r="B13" s="6">
        <f>IFERROR(__xludf.DUMMYFUNCTION("""COMPUTED_VALUE"""),747.01)</f>
        <v>747.01</v>
      </c>
      <c r="C13" s="6">
        <f>IFERROR(__xludf.DUMMYFUNCTION("""COMPUTED_VALUE"""),749.8)</f>
        <v>749.8</v>
      </c>
      <c r="D13" s="6">
        <f>IFERROR(__xludf.DUMMYFUNCTION("""COMPUTED_VALUE"""),693.13)</f>
        <v>693.13</v>
      </c>
      <c r="E13" s="6">
        <f>IFERROR(__xludf.DUMMYFUNCTION("""COMPUTED_VALUE"""),722.1)</f>
        <v>722.1</v>
      </c>
      <c r="F13" s="6">
        <f>IFERROR(__xludf.DUMMYFUNCTION("""COMPUTED_VALUE"""),9372502.0)</f>
        <v>9372502</v>
      </c>
    </row>
    <row r="14">
      <c r="A14" s="7">
        <f>IFERROR(__xludf.DUMMYFUNCTION("""COMPUTED_VALUE"""),45254.64583333333)</f>
        <v>45254.64583</v>
      </c>
      <c r="B14" s="6">
        <f>IFERROR(__xludf.DUMMYFUNCTION("""COMPUTED_VALUE"""),715.1)</f>
        <v>715.1</v>
      </c>
      <c r="C14" s="6">
        <f>IFERROR(__xludf.DUMMYFUNCTION("""COMPUTED_VALUE"""),723.9)</f>
        <v>723.9</v>
      </c>
      <c r="D14" s="6">
        <f>IFERROR(__xludf.DUMMYFUNCTION("""COMPUTED_VALUE"""),701.1)</f>
        <v>701.1</v>
      </c>
      <c r="E14" s="6">
        <f>IFERROR(__xludf.DUMMYFUNCTION("""COMPUTED_VALUE"""),702.08)</f>
        <v>702.08</v>
      </c>
      <c r="F14" s="6">
        <f>IFERROR(__xludf.DUMMYFUNCTION("""COMPUTED_VALUE"""),5943226.0)</f>
        <v>5943226</v>
      </c>
    </row>
    <row r="15">
      <c r="A15" s="7">
        <f>IFERROR(__xludf.DUMMYFUNCTION("""COMPUTED_VALUE"""),45261.64583333333)</f>
        <v>45261.64583</v>
      </c>
      <c r="B15" s="6">
        <f>IFERROR(__xludf.DUMMYFUNCTION("""COMPUTED_VALUE"""),703.5)</f>
        <v>703.5</v>
      </c>
      <c r="C15" s="6">
        <f>IFERROR(__xludf.DUMMYFUNCTION("""COMPUTED_VALUE"""),727.99)</f>
        <v>727.99</v>
      </c>
      <c r="D15" s="6">
        <f>IFERROR(__xludf.DUMMYFUNCTION("""COMPUTED_VALUE"""),702.99)</f>
        <v>702.99</v>
      </c>
      <c r="E15" s="6">
        <f>IFERROR(__xludf.DUMMYFUNCTION("""COMPUTED_VALUE"""),725.94)</f>
        <v>725.94</v>
      </c>
      <c r="F15" s="6">
        <f>IFERROR(__xludf.DUMMYFUNCTION("""COMPUTED_VALUE"""),3582999.0)</f>
        <v>3582999</v>
      </c>
    </row>
    <row r="16">
      <c r="A16" s="7">
        <f>IFERROR(__xludf.DUMMYFUNCTION("""COMPUTED_VALUE"""),45268.64583333333)</f>
        <v>45268.64583</v>
      </c>
      <c r="B16" s="6">
        <f>IFERROR(__xludf.DUMMYFUNCTION("""COMPUTED_VALUE"""),734.0)</f>
        <v>734</v>
      </c>
      <c r="C16" s="6">
        <f>IFERROR(__xludf.DUMMYFUNCTION("""COMPUTED_VALUE"""),745.9)</f>
        <v>745.9</v>
      </c>
      <c r="D16" s="6">
        <f>IFERROR(__xludf.DUMMYFUNCTION("""COMPUTED_VALUE"""),727.4)</f>
        <v>727.4</v>
      </c>
      <c r="E16" s="6">
        <f>IFERROR(__xludf.DUMMYFUNCTION("""COMPUTED_VALUE"""),730.76)</f>
        <v>730.76</v>
      </c>
      <c r="F16" s="6">
        <f>IFERROR(__xludf.DUMMYFUNCTION("""COMPUTED_VALUE"""),5138718.0)</f>
        <v>5138718</v>
      </c>
    </row>
    <row r="17">
      <c r="A17" s="7">
        <f>IFERROR(__xludf.DUMMYFUNCTION("""COMPUTED_VALUE"""),45275.64583333333)</f>
        <v>45275.64583</v>
      </c>
      <c r="B17" s="6">
        <f>IFERROR(__xludf.DUMMYFUNCTION("""COMPUTED_VALUE"""),732.5)</f>
        <v>732.5</v>
      </c>
      <c r="C17" s="6">
        <f>IFERROR(__xludf.DUMMYFUNCTION("""COMPUTED_VALUE"""),752.89)</f>
        <v>752.89</v>
      </c>
      <c r="D17" s="6">
        <f>IFERROR(__xludf.DUMMYFUNCTION("""COMPUTED_VALUE"""),720.7)</f>
        <v>720.7</v>
      </c>
      <c r="E17" s="6">
        <f>IFERROR(__xludf.DUMMYFUNCTION("""COMPUTED_VALUE"""),751.51)</f>
        <v>751.51</v>
      </c>
      <c r="F17" s="6">
        <f>IFERROR(__xludf.DUMMYFUNCTION("""COMPUTED_VALUE"""),4809827.0)</f>
        <v>4809827</v>
      </c>
    </row>
    <row r="18">
      <c r="A18" s="7">
        <f>IFERROR(__xludf.DUMMYFUNCTION("""COMPUTED_VALUE"""),45282.64583333333)</f>
        <v>45282.64583</v>
      </c>
      <c r="B18" s="6">
        <f>IFERROR(__xludf.DUMMYFUNCTION("""COMPUTED_VALUE"""),754.8)</f>
        <v>754.8</v>
      </c>
      <c r="C18" s="6">
        <f>IFERROR(__xludf.DUMMYFUNCTION("""COMPUTED_VALUE"""),769.5)</f>
        <v>769.5</v>
      </c>
      <c r="D18" s="6">
        <f>IFERROR(__xludf.DUMMYFUNCTION("""COMPUTED_VALUE"""),724.3)</f>
        <v>724.3</v>
      </c>
      <c r="E18" s="6">
        <f>IFERROR(__xludf.DUMMYFUNCTION("""COMPUTED_VALUE"""),729.53)</f>
        <v>729.53</v>
      </c>
      <c r="F18" s="6">
        <f>IFERROR(__xludf.DUMMYFUNCTION("""COMPUTED_VALUE"""),4791319.0)</f>
        <v>4791319</v>
      </c>
    </row>
    <row r="19">
      <c r="A19" s="7">
        <f>IFERROR(__xludf.DUMMYFUNCTION("""COMPUTED_VALUE"""),45289.64583333333)</f>
        <v>45289.64583</v>
      </c>
      <c r="B19" s="6">
        <f>IFERROR(__xludf.DUMMYFUNCTION("""COMPUTED_VALUE"""),732.5)</f>
        <v>732.5</v>
      </c>
      <c r="C19" s="6">
        <f>IFERROR(__xludf.DUMMYFUNCTION("""COMPUTED_VALUE"""),734.4)</f>
        <v>734.4</v>
      </c>
      <c r="D19" s="6">
        <f>IFERROR(__xludf.DUMMYFUNCTION("""COMPUTED_VALUE"""),714.53)</f>
        <v>714.53</v>
      </c>
      <c r="E19" s="6">
        <f>IFERROR(__xludf.DUMMYFUNCTION("""COMPUTED_VALUE"""),732.78)</f>
        <v>732.78</v>
      </c>
      <c r="F19" s="6">
        <f>IFERROR(__xludf.DUMMYFUNCTION("""COMPUTED_VALUE"""),5599989.0)</f>
        <v>5599989</v>
      </c>
    </row>
    <row r="20">
      <c r="A20" s="7">
        <f>IFERROR(__xludf.DUMMYFUNCTION("""COMPUTED_VALUE"""),45296.64583333333)</f>
        <v>45296.64583</v>
      </c>
      <c r="B20" s="6">
        <f>IFERROR(__xludf.DUMMYFUNCTION("""COMPUTED_VALUE"""),733.7)</f>
        <v>733.7</v>
      </c>
      <c r="C20" s="6">
        <f>IFERROR(__xludf.DUMMYFUNCTION("""COMPUTED_VALUE"""),778.9)</f>
        <v>778.9</v>
      </c>
      <c r="D20" s="6">
        <f>IFERROR(__xludf.DUMMYFUNCTION("""COMPUTED_VALUE"""),727.3)</f>
        <v>727.3</v>
      </c>
      <c r="E20" s="6">
        <f>IFERROR(__xludf.DUMMYFUNCTION("""COMPUTED_VALUE"""),771.12)</f>
        <v>771.12</v>
      </c>
      <c r="F20" s="6">
        <f>IFERROR(__xludf.DUMMYFUNCTION("""COMPUTED_VALUE"""),5962364.0)</f>
        <v>5962364</v>
      </c>
    </row>
    <row r="21">
      <c r="A21" s="7">
        <f>IFERROR(__xludf.DUMMYFUNCTION("""COMPUTED_VALUE"""),45303.64583333333)</f>
        <v>45303.64583</v>
      </c>
      <c r="B21" s="6">
        <f>IFERROR(__xludf.DUMMYFUNCTION("""COMPUTED_VALUE"""),767.7)</f>
        <v>767.7</v>
      </c>
      <c r="C21" s="6">
        <f>IFERROR(__xludf.DUMMYFUNCTION("""COMPUTED_VALUE"""),783.0)</f>
        <v>783</v>
      </c>
      <c r="D21" s="6">
        <f>IFERROR(__xludf.DUMMYFUNCTION("""COMPUTED_VALUE"""),761.7)</f>
        <v>761.7</v>
      </c>
      <c r="E21" s="6">
        <f>IFERROR(__xludf.DUMMYFUNCTION("""COMPUTED_VALUE"""),766.11)</f>
        <v>766.11</v>
      </c>
      <c r="F21" s="6">
        <f>IFERROR(__xludf.DUMMYFUNCTION("""COMPUTED_VALUE"""),4387743.0)</f>
        <v>4387743</v>
      </c>
    </row>
    <row r="22">
      <c r="A22" s="7">
        <f>IFERROR(__xludf.DUMMYFUNCTION("""COMPUTED_VALUE"""),45316.64583333333)</f>
        <v>45316.64583</v>
      </c>
      <c r="B22" s="6">
        <f>IFERROR(__xludf.DUMMYFUNCTION("""COMPUTED_VALUE"""),735.29)</f>
        <v>735.29</v>
      </c>
      <c r="C22" s="6">
        <f>IFERROR(__xludf.DUMMYFUNCTION("""COMPUTED_VALUE"""),735.5)</f>
        <v>735.5</v>
      </c>
      <c r="D22" s="6">
        <f>IFERROR(__xludf.DUMMYFUNCTION("""COMPUTED_VALUE"""),699.68)</f>
        <v>699.68</v>
      </c>
      <c r="E22" s="6">
        <f>IFERROR(__xludf.DUMMYFUNCTION("""COMPUTED_VALUE"""),708.55)</f>
        <v>708.55</v>
      </c>
      <c r="F22" s="6">
        <f>IFERROR(__xludf.DUMMYFUNCTION("""COMPUTED_VALUE"""),5765321.0)</f>
        <v>5765321</v>
      </c>
    </row>
    <row r="23">
      <c r="A23" s="7">
        <f>IFERROR(__xludf.DUMMYFUNCTION("""COMPUTED_VALUE"""),45324.64583333333)</f>
        <v>45324.64583</v>
      </c>
      <c r="B23" s="6">
        <f>IFERROR(__xludf.DUMMYFUNCTION("""COMPUTED_VALUE"""),708.55)</f>
        <v>708.55</v>
      </c>
      <c r="C23" s="6">
        <f>IFERROR(__xludf.DUMMYFUNCTION("""COMPUTED_VALUE"""),722.5)</f>
        <v>722.5</v>
      </c>
      <c r="D23" s="6">
        <f>IFERROR(__xludf.DUMMYFUNCTION("""COMPUTED_VALUE"""),673.3)</f>
        <v>673.3</v>
      </c>
      <c r="E23" s="6">
        <f>IFERROR(__xludf.DUMMYFUNCTION("""COMPUTED_VALUE"""),684.83)</f>
        <v>684.83</v>
      </c>
      <c r="F23" s="6">
        <f>IFERROR(__xludf.DUMMYFUNCTION("""COMPUTED_VALUE"""),1.1102665E7)</f>
        <v>11102665</v>
      </c>
    </row>
    <row r="24">
      <c r="A24" s="7">
        <f>IFERROR(__xludf.DUMMYFUNCTION("""COMPUTED_VALUE"""),45331.64583333333)</f>
        <v>45331.64583</v>
      </c>
      <c r="B24" s="6">
        <f>IFERROR(__xludf.DUMMYFUNCTION("""COMPUTED_VALUE"""),689.4)</f>
        <v>689.4</v>
      </c>
      <c r="C24" s="6">
        <f>IFERROR(__xludf.DUMMYFUNCTION("""COMPUTED_VALUE"""),689.5)</f>
        <v>689.5</v>
      </c>
      <c r="D24" s="6">
        <f>IFERROR(__xludf.DUMMYFUNCTION("""COMPUTED_VALUE"""),653.5)</f>
        <v>653.5</v>
      </c>
      <c r="E24" s="6">
        <f>IFERROR(__xludf.DUMMYFUNCTION("""COMPUTED_VALUE"""),665.45)</f>
        <v>665.45</v>
      </c>
      <c r="F24" s="6">
        <f>IFERROR(__xludf.DUMMYFUNCTION("""COMPUTED_VALUE"""),9152075.0)</f>
        <v>9152075</v>
      </c>
    </row>
    <row r="25">
      <c r="A25" s="7">
        <f>IFERROR(__xludf.DUMMYFUNCTION("""COMPUTED_VALUE"""),45338.64583333333)</f>
        <v>45338.64583</v>
      </c>
      <c r="B25" s="6">
        <f>IFERROR(__xludf.DUMMYFUNCTION("""COMPUTED_VALUE"""),666.95)</f>
        <v>666.95</v>
      </c>
      <c r="C25" s="6">
        <f>IFERROR(__xludf.DUMMYFUNCTION("""COMPUTED_VALUE"""),667.74)</f>
        <v>667.74</v>
      </c>
      <c r="D25" s="6">
        <f>IFERROR(__xludf.DUMMYFUNCTION("""COMPUTED_VALUE"""),655.0)</f>
        <v>655</v>
      </c>
      <c r="E25" s="6">
        <f>IFERROR(__xludf.DUMMYFUNCTION("""COMPUTED_VALUE"""),661.92)</f>
        <v>661.92</v>
      </c>
      <c r="F25" s="6">
        <f>IFERROR(__xludf.DUMMYFUNCTION("""COMPUTED_VALUE"""),4039214.0)</f>
        <v>4039214</v>
      </c>
    </row>
    <row r="26">
      <c r="A26" s="7">
        <f>IFERROR(__xludf.DUMMYFUNCTION("""COMPUTED_VALUE"""),45345.64583333333)</f>
        <v>45345.64583</v>
      </c>
      <c r="B26" s="6">
        <f>IFERROR(__xludf.DUMMYFUNCTION("""COMPUTED_VALUE"""),664.89)</f>
        <v>664.89</v>
      </c>
      <c r="C26" s="6">
        <f>IFERROR(__xludf.DUMMYFUNCTION("""COMPUTED_VALUE"""),680.69)</f>
        <v>680.69</v>
      </c>
      <c r="D26" s="6">
        <f>IFERROR(__xludf.DUMMYFUNCTION("""COMPUTED_VALUE"""),656.1)</f>
        <v>656.1</v>
      </c>
      <c r="E26" s="6">
        <f>IFERROR(__xludf.DUMMYFUNCTION("""COMPUTED_VALUE"""),669.79)</f>
        <v>669.79</v>
      </c>
      <c r="F26" s="6">
        <f>IFERROR(__xludf.DUMMYFUNCTION("""COMPUTED_VALUE"""),5580219.0)</f>
        <v>5580219</v>
      </c>
    </row>
    <row r="27">
      <c r="A27" s="7">
        <f>IFERROR(__xludf.DUMMYFUNCTION("""COMPUTED_VALUE"""),45358.64583333333)</f>
        <v>45358.64583</v>
      </c>
      <c r="B27" s="6">
        <f>IFERROR(__xludf.DUMMYFUNCTION("""COMPUTED_VALUE"""),658.8)</f>
        <v>658.8</v>
      </c>
      <c r="C27" s="6">
        <f>IFERROR(__xludf.DUMMYFUNCTION("""COMPUTED_VALUE"""),664.0)</f>
        <v>664</v>
      </c>
      <c r="D27" s="6">
        <f>IFERROR(__xludf.DUMMYFUNCTION("""COMPUTED_VALUE"""),618.78)</f>
        <v>618.78</v>
      </c>
      <c r="E27" s="6">
        <f>IFERROR(__xludf.DUMMYFUNCTION("""COMPUTED_VALUE"""),642.11)</f>
        <v>642.11</v>
      </c>
      <c r="F27" s="6">
        <f>IFERROR(__xludf.DUMMYFUNCTION("""COMPUTED_VALUE"""),5688889.0)</f>
        <v>5688889</v>
      </c>
    </row>
    <row r="28">
      <c r="A28" s="7">
        <f>IFERROR(__xludf.DUMMYFUNCTION("""COMPUTED_VALUE"""),45366.64583333333)</f>
        <v>45366.64583</v>
      </c>
      <c r="B28" s="6">
        <f>IFERROR(__xludf.DUMMYFUNCTION("""COMPUTED_VALUE"""),655.0)</f>
        <v>655</v>
      </c>
      <c r="C28" s="6">
        <f>IFERROR(__xludf.DUMMYFUNCTION("""COMPUTED_VALUE"""),657.8)</f>
        <v>657.8</v>
      </c>
      <c r="D28" s="6">
        <f>IFERROR(__xludf.DUMMYFUNCTION("""COMPUTED_VALUE"""),629.78)</f>
        <v>629.78</v>
      </c>
      <c r="E28" s="6">
        <f>IFERROR(__xludf.DUMMYFUNCTION("""COMPUTED_VALUE"""),651.43)</f>
        <v>651.43</v>
      </c>
      <c r="F28" s="6">
        <f>IFERROR(__xludf.DUMMYFUNCTION("""COMPUTED_VALUE"""),6621196.0)</f>
        <v>6621196</v>
      </c>
    </row>
    <row r="29">
      <c r="A29" s="7">
        <f>IFERROR(__xludf.DUMMYFUNCTION("""COMPUTED_VALUE"""),45373.64583333333)</f>
        <v>45373.64583</v>
      </c>
      <c r="B29" s="6">
        <f>IFERROR(__xludf.DUMMYFUNCTION("""COMPUTED_VALUE"""),651.43)</f>
        <v>651.43</v>
      </c>
      <c r="C29" s="6">
        <f>IFERROR(__xludf.DUMMYFUNCTION("""COMPUTED_VALUE"""),680.3)</f>
        <v>680.3</v>
      </c>
      <c r="D29" s="6">
        <f>IFERROR(__xludf.DUMMYFUNCTION("""COMPUTED_VALUE"""),645.61)</f>
        <v>645.61</v>
      </c>
      <c r="E29" s="6">
        <f>IFERROR(__xludf.DUMMYFUNCTION("""COMPUTED_VALUE"""),676.09)</f>
        <v>676.09</v>
      </c>
      <c r="F29" s="6">
        <f>IFERROR(__xludf.DUMMYFUNCTION("""COMPUTED_VALUE"""),6506673.0)</f>
        <v>6506673</v>
      </c>
    </row>
    <row r="30">
      <c r="A30" s="7">
        <f>IFERROR(__xludf.DUMMYFUNCTION("""COMPUTED_VALUE"""),45379.64583333333)</f>
        <v>45379.64583</v>
      </c>
      <c r="B30" s="6">
        <f>IFERROR(__xludf.DUMMYFUNCTION("""COMPUTED_VALUE"""),675.45)</f>
        <v>675.45</v>
      </c>
      <c r="C30" s="6">
        <f>IFERROR(__xludf.DUMMYFUNCTION("""COMPUTED_VALUE"""),734.93)</f>
        <v>734.93</v>
      </c>
      <c r="D30" s="6">
        <f>IFERROR(__xludf.DUMMYFUNCTION("""COMPUTED_VALUE"""),674.5)</f>
        <v>674.5</v>
      </c>
      <c r="E30" s="6">
        <f>IFERROR(__xludf.DUMMYFUNCTION("""COMPUTED_VALUE"""),724.53)</f>
        <v>724.53</v>
      </c>
      <c r="F30" s="6">
        <f>IFERROR(__xludf.DUMMYFUNCTION("""COMPUTED_VALUE"""),6976114.0)</f>
        <v>6976114</v>
      </c>
    </row>
    <row r="31">
      <c r="A31" s="7">
        <f>IFERROR(__xludf.DUMMYFUNCTION("""COMPUTED_VALUE"""),45387.64583333333)</f>
        <v>45387.64583</v>
      </c>
      <c r="B31" s="6">
        <f>IFERROR(__xludf.DUMMYFUNCTION("""COMPUTED_VALUE"""),726.13)</f>
        <v>726.13</v>
      </c>
      <c r="C31" s="6">
        <f>IFERROR(__xludf.DUMMYFUNCTION("""COMPUTED_VALUE"""),735.0)</f>
        <v>735</v>
      </c>
      <c r="D31" s="6">
        <f>IFERROR(__xludf.DUMMYFUNCTION("""COMPUTED_VALUE"""),713.5)</f>
        <v>713.5</v>
      </c>
      <c r="E31" s="6">
        <f>IFERROR(__xludf.DUMMYFUNCTION("""COMPUTED_VALUE"""),717.57)</f>
        <v>717.57</v>
      </c>
      <c r="F31" s="6">
        <f>IFERROR(__xludf.DUMMYFUNCTION("""COMPUTED_VALUE"""),5292879.0)</f>
        <v>5292879</v>
      </c>
    </row>
    <row r="32">
      <c r="A32" s="7">
        <f>IFERROR(__xludf.DUMMYFUNCTION("""COMPUTED_VALUE"""),45394.64583333333)</f>
        <v>45394.64583</v>
      </c>
      <c r="B32" s="6">
        <f>IFERROR(__xludf.DUMMYFUNCTION("""COMPUTED_VALUE"""),721.5)</f>
        <v>721.5</v>
      </c>
      <c r="C32" s="6">
        <f>IFERROR(__xludf.DUMMYFUNCTION("""COMPUTED_VALUE"""),726.4)</f>
        <v>726.4</v>
      </c>
      <c r="D32" s="6">
        <f>IFERROR(__xludf.DUMMYFUNCTION("""COMPUTED_VALUE"""),712.45)</f>
        <v>712.45</v>
      </c>
      <c r="E32" s="6">
        <f>IFERROR(__xludf.DUMMYFUNCTION("""COMPUTED_VALUE"""),722.96)</f>
        <v>722.96</v>
      </c>
      <c r="F32" s="6">
        <f>IFERROR(__xludf.DUMMYFUNCTION("""COMPUTED_VALUE"""),2889065.0)</f>
        <v>2889065</v>
      </c>
    </row>
    <row r="33">
      <c r="A33" s="7">
        <f>IFERROR(__xludf.DUMMYFUNCTION("""COMPUTED_VALUE"""),45401.64583333333)</f>
        <v>45401.64583</v>
      </c>
      <c r="B33" s="6">
        <f>IFERROR(__xludf.DUMMYFUNCTION("""COMPUTED_VALUE"""),714.51)</f>
        <v>714.51</v>
      </c>
      <c r="C33" s="6">
        <f>IFERROR(__xludf.DUMMYFUNCTION("""COMPUTED_VALUE"""),719.88)</f>
        <v>719.88</v>
      </c>
      <c r="D33" s="6">
        <f>IFERROR(__xludf.DUMMYFUNCTION("""COMPUTED_VALUE"""),681.01)</f>
        <v>681.01</v>
      </c>
      <c r="E33" s="6">
        <f>IFERROR(__xludf.DUMMYFUNCTION("""COMPUTED_VALUE"""),711.95)</f>
        <v>711.95</v>
      </c>
      <c r="F33" s="6">
        <f>IFERROR(__xludf.DUMMYFUNCTION("""COMPUTED_VALUE"""),4325249.0)</f>
        <v>4325249</v>
      </c>
    </row>
    <row r="34">
      <c r="A34" s="7">
        <f>IFERROR(__xludf.DUMMYFUNCTION("""COMPUTED_VALUE"""),45408.64583333333)</f>
        <v>45408.64583</v>
      </c>
      <c r="B34" s="6">
        <f>IFERROR(__xludf.DUMMYFUNCTION("""COMPUTED_VALUE"""),716.73)</f>
        <v>716.73</v>
      </c>
      <c r="C34" s="6">
        <f>IFERROR(__xludf.DUMMYFUNCTION("""COMPUTED_VALUE"""),741.95)</f>
        <v>741.95</v>
      </c>
      <c r="D34" s="6">
        <f>IFERROR(__xludf.DUMMYFUNCTION("""COMPUTED_VALUE"""),669.15)</f>
        <v>669.15</v>
      </c>
      <c r="E34" s="6">
        <f>IFERROR(__xludf.DUMMYFUNCTION("""COMPUTED_VALUE"""),673.12)</f>
        <v>673.12</v>
      </c>
      <c r="F34" s="6">
        <f>IFERROR(__xludf.DUMMYFUNCTION("""COMPUTED_VALUE"""),1.0121845E7)</f>
        <v>10121845</v>
      </c>
    </row>
    <row r="35">
      <c r="A35" s="7">
        <f>IFERROR(__xludf.DUMMYFUNCTION("""COMPUTED_VALUE"""),45415.64583333333)</f>
        <v>45415.64583</v>
      </c>
      <c r="B35" s="6">
        <f>IFERROR(__xludf.DUMMYFUNCTION("""COMPUTED_VALUE"""),679.0)</f>
        <v>679</v>
      </c>
      <c r="C35" s="6">
        <f>IFERROR(__xludf.DUMMYFUNCTION("""COMPUTED_VALUE"""),740.0)</f>
        <v>740</v>
      </c>
      <c r="D35" s="6">
        <f>IFERROR(__xludf.DUMMYFUNCTION("""COMPUTED_VALUE"""),671.31)</f>
        <v>671.31</v>
      </c>
      <c r="E35" s="6">
        <f>IFERROR(__xludf.DUMMYFUNCTION("""COMPUTED_VALUE"""),693.15)</f>
        <v>693.15</v>
      </c>
      <c r="F35" s="6">
        <f>IFERROR(__xludf.DUMMYFUNCTION("""COMPUTED_VALUE"""),1.1437878E7)</f>
        <v>11437878</v>
      </c>
    </row>
    <row r="36">
      <c r="A36" s="7">
        <f>IFERROR(__xludf.DUMMYFUNCTION("""COMPUTED_VALUE"""),45422.64583333333)</f>
        <v>45422.64583</v>
      </c>
      <c r="B36" s="6">
        <f>IFERROR(__xludf.DUMMYFUNCTION("""COMPUTED_VALUE"""),700.8)</f>
        <v>700.8</v>
      </c>
      <c r="C36" s="6">
        <f>IFERROR(__xludf.DUMMYFUNCTION("""COMPUTED_VALUE"""),702.0)</f>
        <v>702</v>
      </c>
      <c r="D36" s="6">
        <f>IFERROR(__xludf.DUMMYFUNCTION("""COMPUTED_VALUE"""),658.5)</f>
        <v>658.5</v>
      </c>
      <c r="E36" s="6">
        <f>IFERROR(__xludf.DUMMYFUNCTION("""COMPUTED_VALUE"""),668.42)</f>
        <v>668.42</v>
      </c>
      <c r="F36" s="6">
        <f>IFERROR(__xludf.DUMMYFUNCTION("""COMPUTED_VALUE"""),5460062.0)</f>
        <v>5460062</v>
      </c>
    </row>
    <row r="37">
      <c r="A37" s="7">
        <f>IFERROR(__xludf.DUMMYFUNCTION("""COMPUTED_VALUE"""),45436.64583333333)</f>
        <v>45436.64583</v>
      </c>
      <c r="B37" s="6">
        <f>IFERROR(__xludf.DUMMYFUNCTION("""COMPUTED_VALUE"""),670.5)</f>
        <v>670.5</v>
      </c>
      <c r="C37" s="6">
        <f>IFERROR(__xludf.DUMMYFUNCTION("""COMPUTED_VALUE"""),691.0)</f>
        <v>691</v>
      </c>
      <c r="D37" s="6">
        <f>IFERROR(__xludf.DUMMYFUNCTION("""COMPUTED_VALUE"""),670.5)</f>
        <v>670.5</v>
      </c>
      <c r="E37" s="6">
        <f>IFERROR(__xludf.DUMMYFUNCTION("""COMPUTED_VALUE"""),683.69)</f>
        <v>683.69</v>
      </c>
      <c r="F37" s="6">
        <f>IFERROR(__xludf.DUMMYFUNCTION("""COMPUTED_VALUE"""),2629030.0)</f>
        <v>2629030</v>
      </c>
    </row>
    <row r="38">
      <c r="A38" s="7">
        <f>IFERROR(__xludf.DUMMYFUNCTION("""COMPUTED_VALUE"""),45443.64583333333)</f>
        <v>45443.64583</v>
      </c>
      <c r="B38" s="6">
        <f>IFERROR(__xludf.DUMMYFUNCTION("""COMPUTED_VALUE"""),685.9)</f>
        <v>685.9</v>
      </c>
      <c r="C38" s="6">
        <f>IFERROR(__xludf.DUMMYFUNCTION("""COMPUTED_VALUE"""),695.96)</f>
        <v>695.96</v>
      </c>
      <c r="D38" s="6">
        <f>IFERROR(__xludf.DUMMYFUNCTION("""COMPUTED_VALUE"""),659.41)</f>
        <v>659.41</v>
      </c>
      <c r="E38" s="6">
        <f>IFERROR(__xludf.DUMMYFUNCTION("""COMPUTED_VALUE"""),669.77)</f>
        <v>669.77</v>
      </c>
      <c r="F38" s="6">
        <f>IFERROR(__xludf.DUMMYFUNCTION("""COMPUTED_VALUE"""),6126977.0)</f>
        <v>6126977</v>
      </c>
    </row>
    <row r="39">
      <c r="A39" s="7">
        <f>IFERROR(__xludf.DUMMYFUNCTION("""COMPUTED_VALUE"""),45450.64583333333)</f>
        <v>45450.64583</v>
      </c>
      <c r="B39" s="6">
        <f>IFERROR(__xludf.DUMMYFUNCTION("""COMPUTED_VALUE"""),694.89)</f>
        <v>694.89</v>
      </c>
      <c r="C39" s="6">
        <f>IFERROR(__xludf.DUMMYFUNCTION("""COMPUTED_VALUE"""),729.9)</f>
        <v>729.9</v>
      </c>
      <c r="D39" s="6">
        <f>IFERROR(__xludf.DUMMYFUNCTION("""COMPUTED_VALUE"""),637.57)</f>
        <v>637.57</v>
      </c>
      <c r="E39" s="6">
        <f>IFERROR(__xludf.DUMMYFUNCTION("""COMPUTED_VALUE"""),719.14)</f>
        <v>719.14</v>
      </c>
      <c r="F39" s="6">
        <f>IFERROR(__xludf.DUMMYFUNCTION("""COMPUTED_VALUE"""),1.0115884E7)</f>
        <v>10115884</v>
      </c>
    </row>
    <row r="40">
      <c r="A40" s="7">
        <f>IFERROR(__xludf.DUMMYFUNCTION("""COMPUTED_VALUE"""),45457.64583333333)</f>
        <v>45457.64583</v>
      </c>
      <c r="B40" s="6">
        <f>IFERROR(__xludf.DUMMYFUNCTION("""COMPUTED_VALUE"""),725.0)</f>
        <v>725</v>
      </c>
      <c r="C40" s="6">
        <f>IFERROR(__xludf.DUMMYFUNCTION("""COMPUTED_VALUE"""),737.0)</f>
        <v>737</v>
      </c>
      <c r="D40" s="6">
        <f>IFERROR(__xludf.DUMMYFUNCTION("""COMPUTED_VALUE"""),705.1)</f>
        <v>705.1</v>
      </c>
      <c r="E40" s="6">
        <f>IFERROR(__xludf.DUMMYFUNCTION("""COMPUTED_VALUE"""),734.16)</f>
        <v>734.16</v>
      </c>
      <c r="F40" s="6">
        <f>IFERROR(__xludf.DUMMYFUNCTION("""COMPUTED_VALUE"""),5879022.0)</f>
        <v>5879022</v>
      </c>
    </row>
    <row r="41">
      <c r="A41" s="7">
        <f>IFERROR(__xludf.DUMMYFUNCTION("""COMPUTED_VALUE"""),45464.64583333333)</f>
        <v>45464.64583</v>
      </c>
      <c r="B41" s="6">
        <f>IFERROR(__xludf.DUMMYFUNCTION("""COMPUTED_VALUE"""),736.5)</f>
        <v>736.5</v>
      </c>
      <c r="C41" s="6">
        <f>IFERROR(__xludf.DUMMYFUNCTION("""COMPUTED_VALUE"""),742.95)</f>
        <v>742.95</v>
      </c>
      <c r="D41" s="6">
        <f>IFERROR(__xludf.DUMMYFUNCTION("""COMPUTED_VALUE"""),707.5)</f>
        <v>707.5</v>
      </c>
      <c r="E41" s="6">
        <f>IFERROR(__xludf.DUMMYFUNCTION("""COMPUTED_VALUE"""),713.43)</f>
        <v>713.43</v>
      </c>
      <c r="F41" s="6">
        <f>IFERROR(__xludf.DUMMYFUNCTION("""COMPUTED_VALUE"""),3867280.0)</f>
        <v>3867280</v>
      </c>
    </row>
    <row r="42">
      <c r="A42" s="7">
        <f>IFERROR(__xludf.DUMMYFUNCTION("""COMPUTED_VALUE"""),45471.64583333333)</f>
        <v>45471.64583</v>
      </c>
      <c r="B42" s="6">
        <f>IFERROR(__xludf.DUMMYFUNCTION("""COMPUTED_VALUE"""),707.6)</f>
        <v>707.6</v>
      </c>
      <c r="C42" s="6">
        <f>IFERROR(__xludf.DUMMYFUNCTION("""COMPUTED_VALUE"""),723.9)</f>
        <v>723.9</v>
      </c>
      <c r="D42" s="6">
        <f>IFERROR(__xludf.DUMMYFUNCTION("""COMPUTED_VALUE"""),699.8)</f>
        <v>699.8</v>
      </c>
      <c r="E42" s="6">
        <f>IFERROR(__xludf.DUMMYFUNCTION("""COMPUTED_VALUE"""),711.56)</f>
        <v>711.56</v>
      </c>
      <c r="F42" s="6">
        <f>IFERROR(__xludf.DUMMYFUNCTION("""COMPUTED_VALUE"""),5076207.0)</f>
        <v>5076207</v>
      </c>
    </row>
    <row r="43">
      <c r="A43" s="7">
        <f>IFERROR(__xludf.DUMMYFUNCTION("""COMPUTED_VALUE"""),45478.64583333333)</f>
        <v>45478.64583</v>
      </c>
      <c r="B43" s="6">
        <f>IFERROR(__xludf.DUMMYFUNCTION("""COMPUTED_VALUE"""),707.5)</f>
        <v>707.5</v>
      </c>
      <c r="C43" s="6">
        <f>IFERROR(__xludf.DUMMYFUNCTION("""COMPUTED_VALUE"""),732.5)</f>
        <v>732.5</v>
      </c>
      <c r="D43" s="6">
        <f>IFERROR(__xludf.DUMMYFUNCTION("""COMPUTED_VALUE"""),707.5)</f>
        <v>707.5</v>
      </c>
      <c r="E43" s="6">
        <f>IFERROR(__xludf.DUMMYFUNCTION("""COMPUTED_VALUE"""),713.8)</f>
        <v>713.8</v>
      </c>
      <c r="F43" s="6">
        <f>IFERROR(__xludf.DUMMYFUNCTION("""COMPUTED_VALUE"""),5719221.0)</f>
        <v>5719221</v>
      </c>
    </row>
    <row r="44">
      <c r="A44" s="7">
        <f>IFERROR(__xludf.DUMMYFUNCTION("""COMPUTED_VALUE"""),45485.64583333333)</f>
        <v>45485.64583</v>
      </c>
      <c r="B44" s="6">
        <f>IFERROR(__xludf.DUMMYFUNCTION("""COMPUTED_VALUE"""),714.5)</f>
        <v>714.5</v>
      </c>
      <c r="C44" s="6">
        <f>IFERROR(__xludf.DUMMYFUNCTION("""COMPUTED_VALUE"""),714.77)</f>
        <v>714.77</v>
      </c>
      <c r="D44" s="6">
        <f>IFERROR(__xludf.DUMMYFUNCTION("""COMPUTED_VALUE"""),691.51)</f>
        <v>691.51</v>
      </c>
      <c r="E44" s="6">
        <f>IFERROR(__xludf.DUMMYFUNCTION("""COMPUTED_VALUE"""),700.43)</f>
        <v>700.43</v>
      </c>
      <c r="F44" s="6">
        <f>IFERROR(__xludf.DUMMYFUNCTION("""COMPUTED_VALUE"""),4501556.0)</f>
        <v>4501556</v>
      </c>
    </row>
    <row r="45">
      <c r="A45" s="7">
        <f>IFERROR(__xludf.DUMMYFUNCTION("""COMPUTED_VALUE"""),45492.64583333333)</f>
        <v>45492.64583</v>
      </c>
      <c r="B45" s="6">
        <f>IFERROR(__xludf.DUMMYFUNCTION("""COMPUTED_VALUE"""),702.01)</f>
        <v>702.01</v>
      </c>
      <c r="C45" s="6">
        <f>IFERROR(__xludf.DUMMYFUNCTION("""COMPUTED_VALUE"""),711.79)</f>
        <v>711.79</v>
      </c>
      <c r="D45" s="6">
        <f>IFERROR(__xludf.DUMMYFUNCTION("""COMPUTED_VALUE"""),691.0)</f>
        <v>691</v>
      </c>
      <c r="E45" s="6">
        <f>IFERROR(__xludf.DUMMYFUNCTION("""COMPUTED_VALUE"""),693.23)</f>
        <v>693.23</v>
      </c>
      <c r="F45" s="6">
        <f>IFERROR(__xludf.DUMMYFUNCTION("""COMPUTED_VALUE"""),2894776.0)</f>
        <v>2894776</v>
      </c>
    </row>
    <row r="46">
      <c r="A46" s="7">
        <f>IFERROR(__xludf.DUMMYFUNCTION("""COMPUTED_VALUE"""),45499.64583333333)</f>
        <v>45499.64583</v>
      </c>
      <c r="B46" s="6">
        <f>IFERROR(__xludf.DUMMYFUNCTION("""COMPUTED_VALUE"""),693.2)</f>
        <v>693.2</v>
      </c>
      <c r="C46" s="6">
        <f>IFERROR(__xludf.DUMMYFUNCTION("""COMPUTED_VALUE"""),695.86)</f>
        <v>695.86</v>
      </c>
      <c r="D46" s="6">
        <f>IFERROR(__xludf.DUMMYFUNCTION("""COMPUTED_VALUE"""),654.11)</f>
        <v>654.11</v>
      </c>
      <c r="E46" s="6">
        <f>IFERROR(__xludf.DUMMYFUNCTION("""COMPUTED_VALUE"""),678.98)</f>
        <v>678.98</v>
      </c>
      <c r="F46" s="6">
        <f>IFERROR(__xludf.DUMMYFUNCTION("""COMPUTED_VALUE"""),7669180.0)</f>
        <v>7669180</v>
      </c>
    </row>
    <row r="47">
      <c r="A47" s="7">
        <f>IFERROR(__xludf.DUMMYFUNCTION("""COMPUTED_VALUE"""),45506.64583333333)</f>
        <v>45506.64583</v>
      </c>
      <c r="B47" s="6">
        <f>IFERROR(__xludf.DUMMYFUNCTION("""COMPUTED_VALUE"""),682.39)</f>
        <v>682.39</v>
      </c>
      <c r="C47" s="6">
        <f>IFERROR(__xludf.DUMMYFUNCTION("""COMPUTED_VALUE"""),689.9)</f>
        <v>689.9</v>
      </c>
      <c r="D47" s="6">
        <f>IFERROR(__xludf.DUMMYFUNCTION("""COMPUTED_VALUE"""),667.31)</f>
        <v>667.31</v>
      </c>
      <c r="E47" s="6">
        <f>IFERROR(__xludf.DUMMYFUNCTION("""COMPUTED_VALUE"""),672.5)</f>
        <v>672.5</v>
      </c>
      <c r="F47" s="6">
        <f>IFERROR(__xludf.DUMMYFUNCTION("""COMPUTED_VALUE"""),4279378.0)</f>
        <v>4279378</v>
      </c>
    </row>
    <row r="48">
      <c r="A48" s="7">
        <f>IFERROR(__xludf.DUMMYFUNCTION("""COMPUTED_VALUE"""),45513.64583333333)</f>
        <v>45513.64583</v>
      </c>
      <c r="B48" s="6">
        <f>IFERROR(__xludf.DUMMYFUNCTION("""COMPUTED_VALUE"""),665.0)</f>
        <v>665</v>
      </c>
      <c r="C48" s="6">
        <f>IFERROR(__xludf.DUMMYFUNCTION("""COMPUTED_VALUE"""),670.0)</f>
        <v>670</v>
      </c>
      <c r="D48" s="6">
        <f>IFERROR(__xludf.DUMMYFUNCTION("""COMPUTED_VALUE"""),651.15)</f>
        <v>651.15</v>
      </c>
      <c r="E48" s="6">
        <f>IFERROR(__xludf.DUMMYFUNCTION("""COMPUTED_VALUE"""),661.82)</f>
        <v>661.82</v>
      </c>
      <c r="F48" s="6">
        <f>IFERROR(__xludf.DUMMYFUNCTION("""COMPUTED_VALUE"""),3690032.0)</f>
        <v>3690032</v>
      </c>
    </row>
    <row r="49">
      <c r="A49" s="7">
        <f>IFERROR(__xludf.DUMMYFUNCTION("""COMPUTED_VALUE"""),45520.64583333333)</f>
        <v>45520.64583</v>
      </c>
      <c r="B49" s="6">
        <f>IFERROR(__xludf.DUMMYFUNCTION("""COMPUTED_VALUE"""),661.91)</f>
        <v>661.91</v>
      </c>
      <c r="C49" s="6">
        <f>IFERROR(__xludf.DUMMYFUNCTION("""COMPUTED_VALUE"""),664.5)</f>
        <v>664.5</v>
      </c>
      <c r="D49" s="6">
        <f>IFERROR(__xludf.DUMMYFUNCTION("""COMPUTED_VALUE"""),642.5)</f>
        <v>642.5</v>
      </c>
      <c r="E49" s="6">
        <f>IFERROR(__xludf.DUMMYFUNCTION("""COMPUTED_VALUE"""),659.09)</f>
        <v>659.09</v>
      </c>
      <c r="F49" s="6">
        <f>IFERROR(__xludf.DUMMYFUNCTION("""COMPUTED_VALUE"""),3274909.0)</f>
        <v>3274909</v>
      </c>
    </row>
    <row r="50">
      <c r="A50" s="7">
        <f>IFERROR(__xludf.DUMMYFUNCTION("""COMPUTED_VALUE"""),45527.64583333333)</f>
        <v>45527.64583</v>
      </c>
      <c r="B50" s="6">
        <f>IFERROR(__xludf.DUMMYFUNCTION("""COMPUTED_VALUE"""),663.8)</f>
        <v>663.8</v>
      </c>
      <c r="C50" s="6">
        <f>IFERROR(__xludf.DUMMYFUNCTION("""COMPUTED_VALUE"""),677.39)</f>
        <v>677.39</v>
      </c>
      <c r="D50" s="6">
        <f>IFERROR(__xludf.DUMMYFUNCTION("""COMPUTED_VALUE"""),659.36)</f>
        <v>659.36</v>
      </c>
      <c r="E50" s="6">
        <f>IFERROR(__xludf.DUMMYFUNCTION("""COMPUTED_VALUE"""),673.59)</f>
        <v>673.59</v>
      </c>
      <c r="F50" s="6">
        <f>IFERROR(__xludf.DUMMYFUNCTION("""COMPUTED_VALUE"""),3465305.0)</f>
        <v>3465305</v>
      </c>
    </row>
    <row r="51">
      <c r="A51" s="7">
        <f>IFERROR(__xludf.DUMMYFUNCTION("""COMPUTED_VALUE"""),45534.64583333333)</f>
        <v>45534.64583</v>
      </c>
      <c r="B51" s="6">
        <f>IFERROR(__xludf.DUMMYFUNCTION("""COMPUTED_VALUE"""),677.6)</f>
        <v>677.6</v>
      </c>
      <c r="C51" s="6">
        <f>IFERROR(__xludf.DUMMYFUNCTION("""COMPUTED_VALUE"""),721.51)</f>
        <v>721.51</v>
      </c>
      <c r="D51" s="6">
        <f>IFERROR(__xludf.DUMMYFUNCTION("""COMPUTED_VALUE"""),673.0)</f>
        <v>673</v>
      </c>
      <c r="E51" s="6">
        <f>IFERROR(__xludf.DUMMYFUNCTION("""COMPUTED_VALUE"""),720.02)</f>
        <v>720.02</v>
      </c>
      <c r="F51" s="6">
        <f>IFERROR(__xludf.DUMMYFUNCTION("""COMPUTED_VALUE"""),8466757.0)</f>
        <v>8466757</v>
      </c>
    </row>
    <row r="52">
      <c r="A52" s="7">
        <f>IFERROR(__xludf.DUMMYFUNCTION("""COMPUTED_VALUE"""),45541.64583333333)</f>
        <v>45541.64583</v>
      </c>
      <c r="B52" s="6">
        <f>IFERROR(__xludf.DUMMYFUNCTION("""COMPUTED_VALUE"""),727.4)</f>
        <v>727.4</v>
      </c>
      <c r="C52" s="6">
        <f>IFERROR(__xludf.DUMMYFUNCTION("""COMPUTED_VALUE"""),746.0)</f>
        <v>746</v>
      </c>
      <c r="D52" s="6">
        <f>IFERROR(__xludf.DUMMYFUNCTION("""COMPUTED_VALUE"""),719.3)</f>
        <v>719.3</v>
      </c>
      <c r="E52" s="6">
        <f>IFERROR(__xludf.DUMMYFUNCTION("""COMPUTED_VALUE"""),731.72)</f>
        <v>731.72</v>
      </c>
      <c r="F52" s="6">
        <f>IFERROR(__xludf.DUMMYFUNCTION("""COMPUTED_VALUE"""),7598054.0)</f>
        <v>7598054</v>
      </c>
    </row>
    <row r="53">
      <c r="A53" s="7">
        <f>IFERROR(__xludf.DUMMYFUNCTION("""COMPUTED_VALUE"""),45548.64583333333)</f>
        <v>45548.64583</v>
      </c>
      <c r="B53" s="6">
        <f>IFERROR(__xludf.DUMMYFUNCTION("""COMPUTED_VALUE"""),732.4)</f>
        <v>732.4</v>
      </c>
      <c r="C53" s="6">
        <f>IFERROR(__xludf.DUMMYFUNCTION("""COMPUTED_VALUE"""),766.0)</f>
        <v>766</v>
      </c>
      <c r="D53" s="6">
        <f>IFERROR(__xludf.DUMMYFUNCTION("""COMPUTED_VALUE"""),719.3)</f>
        <v>719.3</v>
      </c>
      <c r="E53" s="6">
        <f>IFERROR(__xludf.DUMMYFUNCTION("""COMPUTED_VALUE"""),759.85)</f>
        <v>759.85</v>
      </c>
      <c r="F53" s="6">
        <f>IFERROR(__xludf.DUMMYFUNCTION("""COMPUTED_VALUE"""),6947962.0)</f>
        <v>6947962</v>
      </c>
    </row>
    <row r="54">
      <c r="A54" s="7">
        <f>IFERROR(__xludf.DUMMYFUNCTION("""COMPUTED_VALUE"""),45555.64583333333)</f>
        <v>45555.64583</v>
      </c>
      <c r="B54" s="6">
        <f>IFERROR(__xludf.DUMMYFUNCTION("""COMPUTED_VALUE"""),768.0)</f>
        <v>768</v>
      </c>
      <c r="C54" s="6">
        <f>IFERROR(__xludf.DUMMYFUNCTION("""COMPUTED_VALUE"""),774.8)</f>
        <v>774.8</v>
      </c>
      <c r="D54" s="6">
        <f>IFERROR(__xludf.DUMMYFUNCTION("""COMPUTED_VALUE"""),728.62)</f>
        <v>728.62</v>
      </c>
      <c r="E54" s="6">
        <f>IFERROR(__xludf.DUMMYFUNCTION("""COMPUTED_VALUE"""),758.25)</f>
        <v>758.25</v>
      </c>
      <c r="F54" s="6">
        <f>IFERROR(__xludf.DUMMYFUNCTION("""COMPUTED_VALUE"""),1.0587982E7)</f>
        <v>10587982</v>
      </c>
    </row>
    <row r="55">
      <c r="A55" s="7">
        <f>IFERROR(__xludf.DUMMYFUNCTION("""COMPUTED_VALUE"""),45562.64583333333)</f>
        <v>45562.64583</v>
      </c>
      <c r="B55" s="6">
        <f>IFERROR(__xludf.DUMMYFUNCTION("""COMPUTED_VALUE"""),762.58)</f>
        <v>762.58</v>
      </c>
      <c r="C55" s="6">
        <f>IFERROR(__xludf.DUMMYFUNCTION("""COMPUTED_VALUE"""),781.0)</f>
        <v>781</v>
      </c>
      <c r="D55" s="6">
        <f>IFERROR(__xludf.DUMMYFUNCTION("""COMPUTED_VALUE"""),748.39)</f>
        <v>748.39</v>
      </c>
      <c r="E55" s="6">
        <f>IFERROR(__xludf.DUMMYFUNCTION("""COMPUTED_VALUE"""),775.6)</f>
        <v>775.6</v>
      </c>
      <c r="F55" s="6">
        <f>IFERROR(__xludf.DUMMYFUNCTION("""COMPUTED_VALUE"""),5761371.0)</f>
        <v>5761371</v>
      </c>
    </row>
    <row r="56">
      <c r="A56" s="7">
        <f>IFERROR(__xludf.DUMMYFUNCTION("""COMPUTED_VALUE"""),45569.64583333333)</f>
        <v>45569.64583</v>
      </c>
      <c r="B56" s="6">
        <f>IFERROR(__xludf.DUMMYFUNCTION("""COMPUTED_VALUE"""),774.6)</f>
        <v>774.6</v>
      </c>
      <c r="C56" s="6">
        <f>IFERROR(__xludf.DUMMYFUNCTION("""COMPUTED_VALUE"""),782.4)</f>
        <v>782.4</v>
      </c>
      <c r="D56" s="6">
        <f>IFERROR(__xludf.DUMMYFUNCTION("""COMPUTED_VALUE"""),715.5)</f>
        <v>715.5</v>
      </c>
      <c r="E56" s="6">
        <f>IFERROR(__xludf.DUMMYFUNCTION("""COMPUTED_VALUE"""),721.14)</f>
        <v>721.14</v>
      </c>
      <c r="F56" s="6">
        <f>IFERROR(__xludf.DUMMYFUNCTION("""COMPUTED_VALUE"""),4559013.0)</f>
        <v>4559013</v>
      </c>
    </row>
    <row r="57">
      <c r="A57" s="7">
        <f>IFERROR(__xludf.DUMMYFUNCTION("""COMPUTED_VALUE"""),45576.64583333333)</f>
        <v>45576.64583</v>
      </c>
      <c r="B57" s="6">
        <f>IFERROR(__xludf.DUMMYFUNCTION("""COMPUTED_VALUE"""),721.14)</f>
        <v>721.14</v>
      </c>
      <c r="C57" s="6">
        <f>IFERROR(__xludf.DUMMYFUNCTION("""COMPUTED_VALUE"""),742.68)</f>
        <v>742.68</v>
      </c>
      <c r="D57" s="6">
        <f>IFERROR(__xludf.DUMMYFUNCTION("""COMPUTED_VALUE"""),716.01)</f>
        <v>716.01</v>
      </c>
      <c r="E57" s="6">
        <f>IFERROR(__xludf.DUMMYFUNCTION("""COMPUTED_VALUE"""),730.2)</f>
        <v>730.2</v>
      </c>
      <c r="F57" s="6">
        <f>IFERROR(__xludf.DUMMYFUNCTION("""COMPUTED_VALUE"""),3815421.0)</f>
        <v>3815421</v>
      </c>
    </row>
    <row r="58">
      <c r="A58" s="7">
        <f>IFERROR(__xludf.DUMMYFUNCTION("""COMPUTED_VALUE"""),45583.64583333333)</f>
        <v>45583.64583</v>
      </c>
      <c r="B58" s="6">
        <f>IFERROR(__xludf.DUMMYFUNCTION("""COMPUTED_VALUE"""),729.27)</f>
        <v>729.27</v>
      </c>
      <c r="C58" s="6">
        <f>IFERROR(__xludf.DUMMYFUNCTION("""COMPUTED_VALUE"""),731.39)</f>
        <v>731.39</v>
      </c>
      <c r="D58" s="6">
        <f>IFERROR(__xludf.DUMMYFUNCTION("""COMPUTED_VALUE"""),682.07)</f>
        <v>682.07</v>
      </c>
      <c r="E58" s="6">
        <f>IFERROR(__xludf.DUMMYFUNCTION("""COMPUTED_VALUE"""),689.96)</f>
        <v>689.96</v>
      </c>
      <c r="F58" s="6">
        <f>IFERROR(__xludf.DUMMYFUNCTION("""COMPUTED_VALUE"""),4491130.0)</f>
        <v>4491130</v>
      </c>
    </row>
    <row r="59">
      <c r="A59" s="7">
        <f>IFERROR(__xludf.DUMMYFUNCTION("""COMPUTED_VALUE"""),45590.64583333333)</f>
        <v>45590.64583</v>
      </c>
      <c r="B59" s="6">
        <f>IFERROR(__xludf.DUMMYFUNCTION("""COMPUTED_VALUE"""),690.91)</f>
        <v>690.91</v>
      </c>
      <c r="C59" s="6">
        <f>IFERROR(__xludf.DUMMYFUNCTION("""COMPUTED_VALUE"""),712.29)</f>
        <v>712.29</v>
      </c>
      <c r="D59" s="6">
        <f>IFERROR(__xludf.DUMMYFUNCTION("""COMPUTED_VALUE"""),660.1)</f>
        <v>660.1</v>
      </c>
      <c r="E59" s="6">
        <f>IFERROR(__xludf.DUMMYFUNCTION("""COMPUTED_VALUE"""),691.02)</f>
        <v>691.02</v>
      </c>
      <c r="F59" s="6">
        <f>IFERROR(__xludf.DUMMYFUNCTION("""COMPUTED_VALUE"""),8465425.0)</f>
        <v>8465425</v>
      </c>
    </row>
    <row r="60">
      <c r="A60" s="7">
        <f>IFERROR(__xludf.DUMMYFUNCTION("""COMPUTED_VALUE"""),45604.64583333333)</f>
        <v>45604.64583</v>
      </c>
      <c r="B60" s="6">
        <f>IFERROR(__xludf.DUMMYFUNCTION("""COMPUTED_VALUE"""),697.5)</f>
        <v>697.5</v>
      </c>
      <c r="C60" s="6">
        <f>IFERROR(__xludf.DUMMYFUNCTION("""COMPUTED_VALUE"""),703.9)</f>
        <v>703.9</v>
      </c>
      <c r="D60" s="6">
        <f>IFERROR(__xludf.DUMMYFUNCTION("""COMPUTED_VALUE"""),671.2)</f>
        <v>671.2</v>
      </c>
      <c r="E60" s="6">
        <f>IFERROR(__xludf.DUMMYFUNCTION("""COMPUTED_VALUE"""),689.6)</f>
        <v>689.6</v>
      </c>
      <c r="F60" s="6">
        <f>IFERROR(__xludf.DUMMYFUNCTION("""COMPUTED_VALUE"""),3519818.0)</f>
        <v>3519818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IFERROR(__xludf.DUMMYFUNCTION("""COMPUTED_VALUE"""),686.0)</f>
        <v>686</v>
      </c>
      <c r="C61" s="6">
        <f>IFERROR(__xludf.DUMMYFUNCTION("""COMPUTED_VALUE"""),690.42)</f>
        <v>690.42</v>
      </c>
      <c r="D61" s="6">
        <f>IFERROR(__xludf.DUMMYFUNCTION("""COMPUTED_VALUE"""),652.66)</f>
        <v>652.66</v>
      </c>
      <c r="E61" s="6">
        <f>IFERROR(__xludf.DUMMYFUNCTION("""COMPUTED_VALUE"""),654.92)</f>
        <v>654.92</v>
      </c>
      <c r="F61" s="6">
        <f>IFERROR(__xludf.DUMMYFUNCTION("""COMPUTED_VALUE"""),3214599.0)</f>
        <v>3214599</v>
      </c>
    </row>
    <row r="62">
      <c r="A62" s="7">
        <f>IFERROR(__xludf.DUMMYFUNCTION("""COMPUTED_VALUE"""),45618.64583333333)</f>
        <v>45618.64583</v>
      </c>
      <c r="B62" s="6">
        <f>IFERROR(__xludf.DUMMYFUNCTION("""COMPUTED_VALUE"""),663.3)</f>
        <v>663.3</v>
      </c>
      <c r="C62" s="6">
        <f>IFERROR(__xludf.DUMMYFUNCTION("""COMPUTED_VALUE"""),672.24)</f>
        <v>672.24</v>
      </c>
      <c r="D62" s="6">
        <f>IFERROR(__xludf.DUMMYFUNCTION("""COMPUTED_VALUE"""),645.1)</f>
        <v>645.1</v>
      </c>
      <c r="E62" s="6">
        <f>IFERROR(__xludf.DUMMYFUNCTION("""COMPUTED_VALUE"""),668.4)</f>
        <v>668.4</v>
      </c>
      <c r="F62" s="6">
        <f>IFERROR(__xludf.DUMMYFUNCTION("""COMPUTED_VALUE"""),3471516.0)</f>
        <v>3471516</v>
      </c>
    </row>
    <row r="63">
      <c r="A63" s="7">
        <f>IFERROR(__xludf.DUMMYFUNCTION("""COMPUTED_VALUE"""),45625.64583333333)</f>
        <v>45625.64583</v>
      </c>
      <c r="B63" s="6">
        <f>IFERROR(__xludf.DUMMYFUNCTION("""COMPUTED_VALUE"""),678.99)</f>
        <v>678.99</v>
      </c>
      <c r="C63" s="6">
        <f>IFERROR(__xludf.DUMMYFUNCTION("""COMPUTED_VALUE"""),686.3)</f>
        <v>686.3</v>
      </c>
      <c r="D63" s="6">
        <f>IFERROR(__xludf.DUMMYFUNCTION("""COMPUTED_VALUE"""),649.5)</f>
        <v>649.5</v>
      </c>
      <c r="E63" s="6">
        <f>IFERROR(__xludf.DUMMYFUNCTION("""COMPUTED_VALUE"""),657.59)</f>
        <v>657.59</v>
      </c>
      <c r="F63" s="6">
        <f>IFERROR(__xludf.DUMMYFUNCTION("""COMPUTED_VALUE"""),4724564.0)</f>
        <v>4724564</v>
      </c>
    </row>
    <row r="64">
      <c r="A64" s="7">
        <f>IFERROR(__xludf.DUMMYFUNCTION("""COMPUTED_VALUE"""),45632.64583333333)</f>
        <v>45632.64583</v>
      </c>
      <c r="B64" s="6">
        <f>IFERROR(__xludf.DUMMYFUNCTION("""COMPUTED_VALUE"""),659.5)</f>
        <v>659.5</v>
      </c>
      <c r="C64" s="6">
        <f>IFERROR(__xludf.DUMMYFUNCTION("""COMPUTED_VALUE"""),693.5)</f>
        <v>693.5</v>
      </c>
      <c r="D64" s="6">
        <f>IFERROR(__xludf.DUMMYFUNCTION("""COMPUTED_VALUE"""),649.1)</f>
        <v>649.1</v>
      </c>
      <c r="E64" s="6">
        <f>IFERROR(__xludf.DUMMYFUNCTION("""COMPUTED_VALUE"""),685.03)</f>
        <v>685.03</v>
      </c>
      <c r="F64" s="6">
        <f>IFERROR(__xludf.DUMMYFUNCTION("""COMPUTED_VALUE"""),5545806.0)</f>
        <v>5545806</v>
      </c>
    </row>
    <row r="65">
      <c r="A65" s="7">
        <f>IFERROR(__xludf.DUMMYFUNCTION("""COMPUTED_VALUE"""),45639.64583333333)</f>
        <v>45639.64583</v>
      </c>
      <c r="B65" s="6">
        <f>IFERROR(__xludf.DUMMYFUNCTION("""COMPUTED_VALUE"""),685.01)</f>
        <v>685.01</v>
      </c>
      <c r="C65" s="6">
        <f>IFERROR(__xludf.DUMMYFUNCTION("""COMPUTED_VALUE"""),721.73)</f>
        <v>721.73</v>
      </c>
      <c r="D65" s="6">
        <f>IFERROR(__xludf.DUMMYFUNCTION("""COMPUTED_VALUE"""),682.79)</f>
        <v>682.79</v>
      </c>
      <c r="E65" s="6">
        <f>IFERROR(__xludf.DUMMYFUNCTION("""COMPUTED_VALUE"""),718.28)</f>
        <v>718.28</v>
      </c>
      <c r="F65" s="6">
        <f>IFERROR(__xludf.DUMMYFUNCTION("""COMPUTED_VALUE"""),6255809.0)</f>
        <v>6255809</v>
      </c>
    </row>
    <row r="66">
      <c r="A66" s="7">
        <f>IFERROR(__xludf.DUMMYFUNCTION("""COMPUTED_VALUE"""),45646.64583333333)</f>
        <v>45646.64583</v>
      </c>
      <c r="B66" s="6">
        <f>IFERROR(__xludf.DUMMYFUNCTION("""COMPUTED_VALUE"""),718.28)</f>
        <v>718.28</v>
      </c>
      <c r="C66" s="6">
        <f>IFERROR(__xludf.DUMMYFUNCTION("""COMPUTED_VALUE"""),725.74)</f>
        <v>725.74</v>
      </c>
      <c r="D66" s="6">
        <f>IFERROR(__xludf.DUMMYFUNCTION("""COMPUTED_VALUE"""),680.47)</f>
        <v>680.47</v>
      </c>
      <c r="E66" s="6">
        <f>IFERROR(__xludf.DUMMYFUNCTION("""COMPUTED_VALUE"""),684.83)</f>
        <v>684.83</v>
      </c>
      <c r="F66" s="6">
        <f>IFERROR(__xludf.DUMMYFUNCTION("""COMPUTED_VALUE"""),6163138.0)</f>
        <v>6163138</v>
      </c>
    </row>
    <row r="67">
      <c r="A67" s="7">
        <f>IFERROR(__xludf.DUMMYFUNCTION("""COMPUTED_VALUE"""),45653.64583333333)</f>
        <v>45653.64583</v>
      </c>
      <c r="B67" s="6">
        <f>IFERROR(__xludf.DUMMYFUNCTION("""COMPUTED_VALUE"""),689.7)</f>
        <v>689.7</v>
      </c>
      <c r="C67" s="6">
        <f>IFERROR(__xludf.DUMMYFUNCTION("""COMPUTED_VALUE"""),697.69)</f>
        <v>697.69</v>
      </c>
      <c r="D67" s="6">
        <f>IFERROR(__xludf.DUMMYFUNCTION("""COMPUTED_VALUE"""),679.4)</f>
        <v>679.4</v>
      </c>
      <c r="E67" s="6">
        <f>IFERROR(__xludf.DUMMYFUNCTION("""COMPUTED_VALUE"""),690.78)</f>
        <v>690.78</v>
      </c>
      <c r="F67" s="6">
        <f>IFERROR(__xludf.DUMMYFUNCTION("""COMPUTED_VALUE"""),2068869.0)</f>
        <v>2068869</v>
      </c>
    </row>
    <row r="68">
      <c r="A68" s="7">
        <f>IFERROR(__xludf.DUMMYFUNCTION("""COMPUTED_VALUE"""),45660.64583333333)</f>
        <v>45660.64583</v>
      </c>
      <c r="B68" s="6">
        <f>IFERROR(__xludf.DUMMYFUNCTION("""COMPUTED_VALUE"""),690.0)</f>
        <v>690</v>
      </c>
      <c r="C68" s="6">
        <f>IFERROR(__xludf.DUMMYFUNCTION("""COMPUTED_VALUE"""),750.0)</f>
        <v>750</v>
      </c>
      <c r="D68" s="6">
        <f>IFERROR(__xludf.DUMMYFUNCTION("""COMPUTED_VALUE"""),679.2)</f>
        <v>679.2</v>
      </c>
      <c r="E68" s="6">
        <f>IFERROR(__xludf.DUMMYFUNCTION("""COMPUTED_VALUE"""),740.73)</f>
        <v>740.73</v>
      </c>
      <c r="F68" s="6">
        <f>IFERROR(__xludf.DUMMYFUNCTION("""COMPUTED_VALUE"""),6202574.0)</f>
        <v>6202574</v>
      </c>
    </row>
    <row r="69">
      <c r="A69" s="7">
        <f>IFERROR(__xludf.DUMMYFUNCTION("""COMPUTED_VALUE"""),45667.64583333333)</f>
        <v>45667.64583</v>
      </c>
      <c r="B69" s="6">
        <f>IFERROR(__xludf.DUMMYFUNCTION("""COMPUTED_VALUE"""),750.0)</f>
        <v>750</v>
      </c>
      <c r="C69" s="6">
        <f>IFERROR(__xludf.DUMMYFUNCTION("""COMPUTED_VALUE"""),759.99)</f>
        <v>759.99</v>
      </c>
      <c r="D69" s="6">
        <f>IFERROR(__xludf.DUMMYFUNCTION("""COMPUTED_VALUE"""),723.6)</f>
        <v>723.6</v>
      </c>
      <c r="E69" s="6">
        <f>IFERROR(__xludf.DUMMYFUNCTION("""COMPUTED_VALUE"""),728.81)</f>
        <v>728.81</v>
      </c>
      <c r="F69" s="6">
        <f>IFERROR(__xludf.DUMMYFUNCTION("""COMPUTED_VALUE"""),5270084.0)</f>
        <v>5270084</v>
      </c>
    </row>
    <row r="70">
      <c r="A70" s="7">
        <f>IFERROR(__xludf.DUMMYFUNCTION("""COMPUTED_VALUE"""),45674.64583333333)</f>
        <v>45674.64583</v>
      </c>
      <c r="B70" s="6">
        <f>IFERROR(__xludf.DUMMYFUNCTION("""COMPUTED_VALUE"""),724.0)</f>
        <v>724</v>
      </c>
      <c r="C70" s="6">
        <f>IFERROR(__xludf.DUMMYFUNCTION("""COMPUTED_VALUE"""),738.8)</f>
        <v>738.8</v>
      </c>
      <c r="D70" s="6">
        <f>IFERROR(__xludf.DUMMYFUNCTION("""COMPUTED_VALUE"""),710.52)</f>
        <v>710.52</v>
      </c>
      <c r="E70" s="6">
        <f>IFERROR(__xludf.DUMMYFUNCTION("""COMPUTED_VALUE"""),718.21)</f>
        <v>718.21</v>
      </c>
      <c r="F70" s="6">
        <f>IFERROR(__xludf.DUMMYFUNCTION("""COMPUTED_VALUE"""),3870158.0)</f>
        <v>3870158</v>
      </c>
    </row>
    <row r="71">
      <c r="A71" s="7">
        <f>IFERROR(__xludf.DUMMYFUNCTION("""COMPUTED_VALUE"""),45681.64583333333)</f>
        <v>45681.64583</v>
      </c>
      <c r="B71" s="6">
        <f>IFERROR(__xludf.DUMMYFUNCTION("""COMPUTED_VALUE"""),718.21)</f>
        <v>718.21</v>
      </c>
      <c r="C71" s="6">
        <f>IFERROR(__xludf.DUMMYFUNCTION("""COMPUTED_VALUE"""),752.4)</f>
        <v>752.4</v>
      </c>
      <c r="D71" s="6">
        <f>IFERROR(__xludf.DUMMYFUNCTION("""COMPUTED_VALUE"""),718.21)</f>
        <v>718.21</v>
      </c>
      <c r="E71" s="6">
        <f>IFERROR(__xludf.DUMMYFUNCTION("""COMPUTED_VALUE"""),743.86)</f>
        <v>743.86</v>
      </c>
      <c r="F71" s="6">
        <f>IFERROR(__xludf.DUMMYFUNCTION("""COMPUTED_VALUE"""),4508527.0)</f>
        <v>4508527</v>
      </c>
    </row>
    <row r="72">
      <c r="A72" s="7">
        <f>IFERROR(__xludf.DUMMYFUNCTION("""COMPUTED_VALUE"""),45695.64583333333)</f>
        <v>45695.64583</v>
      </c>
      <c r="B72" s="6">
        <f>IFERROR(__xludf.DUMMYFUNCTION("""COMPUTED_VALUE"""),792.22)</f>
        <v>792.22</v>
      </c>
      <c r="C72" s="6">
        <f>IFERROR(__xludf.DUMMYFUNCTION("""COMPUTED_VALUE"""),866.28)</f>
        <v>866.28</v>
      </c>
      <c r="D72" s="6">
        <f>IFERROR(__xludf.DUMMYFUNCTION("""COMPUTED_VALUE"""),792.11)</f>
        <v>792.11</v>
      </c>
      <c r="E72" s="6">
        <f>IFERROR(__xludf.DUMMYFUNCTION("""COMPUTED_VALUE"""),847.43)</f>
        <v>847.43</v>
      </c>
      <c r="F72" s="6">
        <f>IFERROR(__xludf.DUMMYFUNCTION("""COMPUTED_VALUE"""),1.0846732E7)</f>
        <v>10846732</v>
      </c>
    </row>
    <row r="73">
      <c r="A73" s="7">
        <f>IFERROR(__xludf.DUMMYFUNCTION("""COMPUTED_VALUE"""),45702.64583333333)</f>
        <v>45702.64583</v>
      </c>
      <c r="B73" s="6">
        <f>IFERROR(__xludf.DUMMYFUNCTION("""COMPUTED_VALUE"""),847.88)</f>
        <v>847.88</v>
      </c>
      <c r="C73" s="6">
        <f>IFERROR(__xludf.DUMMYFUNCTION("""COMPUTED_VALUE"""),849.8)</f>
        <v>849.8</v>
      </c>
      <c r="D73" s="6">
        <f>IFERROR(__xludf.DUMMYFUNCTION("""COMPUTED_VALUE"""),802.5)</f>
        <v>802.5</v>
      </c>
      <c r="E73" s="6">
        <f>IFERROR(__xludf.DUMMYFUNCTION("""COMPUTED_VALUE"""),839.23)</f>
        <v>839.23</v>
      </c>
      <c r="F73" s="6">
        <f>IFERROR(__xludf.DUMMYFUNCTION("""COMPUTED_VALUE"""),6354256.0)</f>
        <v>6354256</v>
      </c>
    </row>
    <row r="74">
      <c r="A74" s="7">
        <f>IFERROR(__xludf.DUMMYFUNCTION("""COMPUTED_VALUE"""),45709.64583333333)</f>
        <v>45709.64583</v>
      </c>
      <c r="B74" s="6">
        <f>IFERROR(__xludf.DUMMYFUNCTION("""COMPUTED_VALUE"""),822.03)</f>
        <v>822.03</v>
      </c>
      <c r="C74" s="6">
        <f>IFERROR(__xludf.DUMMYFUNCTION("""COMPUTED_VALUE"""),852.9)</f>
        <v>852.9</v>
      </c>
      <c r="D74" s="6">
        <f>IFERROR(__xludf.DUMMYFUNCTION("""COMPUTED_VALUE"""),822.03)</f>
        <v>822.03</v>
      </c>
      <c r="E74" s="6">
        <f>IFERROR(__xludf.DUMMYFUNCTION("""COMPUTED_VALUE"""),839.67)</f>
        <v>839.67</v>
      </c>
      <c r="F74" s="6">
        <f>IFERROR(__xludf.DUMMYFUNCTION("""COMPUTED_VALUE"""),4026691.0)</f>
        <v>4026691</v>
      </c>
    </row>
    <row r="75">
      <c r="A75" s="7">
        <f>IFERROR(__xludf.DUMMYFUNCTION("""COMPUTED_VALUE"""),45716.64583333333)</f>
        <v>45716.64583</v>
      </c>
      <c r="B75" s="6">
        <f>IFERROR(__xludf.DUMMYFUNCTION("""COMPUTED_VALUE"""),832.8)</f>
        <v>832.8</v>
      </c>
      <c r="C75" s="6">
        <f>IFERROR(__xludf.DUMMYFUNCTION("""COMPUTED_VALUE"""),873.9)</f>
        <v>873.9</v>
      </c>
      <c r="D75" s="6">
        <f>IFERROR(__xludf.DUMMYFUNCTION("""COMPUTED_VALUE"""),831.11)</f>
        <v>831.11</v>
      </c>
      <c r="E75" s="6">
        <f>IFERROR(__xludf.DUMMYFUNCTION("""COMPUTED_VALUE"""),853.03)</f>
        <v>853.03</v>
      </c>
      <c r="F75" s="6">
        <f>IFERROR(__xludf.DUMMYFUNCTION("""COMPUTED_VALUE"""),5046664.0)</f>
        <v>5046664</v>
      </c>
    </row>
    <row r="76">
      <c r="A76" s="7">
        <f>IFERROR(__xludf.DUMMYFUNCTION("""COMPUTED_VALUE"""),45723.64583333333)</f>
        <v>45723.64583</v>
      </c>
      <c r="B76" s="6">
        <f>IFERROR(__xludf.DUMMYFUNCTION("""COMPUTED_VALUE"""),853.6)</f>
        <v>853.6</v>
      </c>
      <c r="C76" s="6">
        <f>IFERROR(__xludf.DUMMYFUNCTION("""COMPUTED_VALUE"""),865.08)</f>
        <v>865.08</v>
      </c>
      <c r="D76" s="6">
        <f>IFERROR(__xludf.DUMMYFUNCTION("""COMPUTED_VALUE"""),822.1)</f>
        <v>822.1</v>
      </c>
      <c r="E76" s="6">
        <f>IFERROR(__xludf.DUMMYFUNCTION("""COMPUTED_VALUE"""),840.45)</f>
        <v>840.45</v>
      </c>
      <c r="F76" s="6">
        <f>IFERROR(__xludf.DUMMYFUNCTION("""COMPUTED_VALUE"""),4624962.0)</f>
        <v>4624962</v>
      </c>
    </row>
    <row r="77">
      <c r="A77" s="7">
        <f>IFERROR(__xludf.DUMMYFUNCTION("""COMPUTED_VALUE"""),45729.64583333333)</f>
        <v>45729.64583</v>
      </c>
      <c r="B77" s="6">
        <f>IFERROR(__xludf.DUMMYFUNCTION("""COMPUTED_VALUE"""),843.78)</f>
        <v>843.78</v>
      </c>
      <c r="C77" s="6">
        <f>IFERROR(__xludf.DUMMYFUNCTION("""COMPUTED_VALUE"""),863.79)</f>
        <v>863.79</v>
      </c>
      <c r="D77" s="6">
        <f>IFERROR(__xludf.DUMMYFUNCTION("""COMPUTED_VALUE"""),821.13)</f>
        <v>821.13</v>
      </c>
      <c r="E77" s="6">
        <f>IFERROR(__xludf.DUMMYFUNCTION("""COMPUTED_VALUE"""),842.05)</f>
        <v>842.05</v>
      </c>
      <c r="F77" s="6">
        <f>IFERROR(__xludf.DUMMYFUNCTION("""COMPUTED_VALUE"""),5135594.0)</f>
        <v>5135594</v>
      </c>
    </row>
    <row r="78">
      <c r="A78" s="7">
        <f>IFERROR(__xludf.DUMMYFUNCTION("""COMPUTED_VALUE"""),45737.64583333333)</f>
        <v>45737.64583</v>
      </c>
      <c r="B78" s="6">
        <f>IFERROR(__xludf.DUMMYFUNCTION("""COMPUTED_VALUE"""),8399.2)</f>
        <v>8399.2</v>
      </c>
      <c r="C78" s="6">
        <f>IFERROR(__xludf.DUMMYFUNCTION("""COMPUTED_VALUE"""),8629.95)</f>
        <v>8629.95</v>
      </c>
      <c r="D78" s="6">
        <f>IFERROR(__xludf.DUMMYFUNCTION("""COMPUTED_VALUE"""),849.48)</f>
        <v>849.48</v>
      </c>
      <c r="E78" s="6">
        <f>IFERROR(__xludf.DUMMYFUNCTION("""COMPUTED_VALUE"""),891.61)</f>
        <v>891.61</v>
      </c>
      <c r="F78" s="6">
        <f>IFERROR(__xludf.DUMMYFUNCTION("""COMPUTED_VALUE"""),7032249.0)</f>
        <v>7032249</v>
      </c>
    </row>
    <row r="79">
      <c r="A79" s="7">
        <f>IFERROR(__xludf.DUMMYFUNCTION("""COMPUTED_VALUE"""),45744.64583333333)</f>
        <v>45744.64583</v>
      </c>
      <c r="B79" s="6">
        <f>IFERROR(__xludf.DUMMYFUNCTION("""COMPUTED_VALUE"""),909.6)</f>
        <v>909.6</v>
      </c>
      <c r="C79" s="6">
        <f>IFERROR(__xludf.DUMMYFUNCTION("""COMPUTED_VALUE"""),926.01)</f>
        <v>926.01</v>
      </c>
      <c r="D79" s="6">
        <f>IFERROR(__xludf.DUMMYFUNCTION("""COMPUTED_VALUE"""),882.23)</f>
        <v>882.23</v>
      </c>
      <c r="E79" s="6">
        <f>IFERROR(__xludf.DUMMYFUNCTION("""COMPUTED_VALUE"""),894.56)</f>
        <v>894.56</v>
      </c>
      <c r="F79" s="6">
        <f>IFERROR(__xludf.DUMMYFUNCTION("""COMPUTED_VALUE"""),7136831.0)</f>
        <v>7136831</v>
      </c>
    </row>
    <row r="80">
      <c r="A80" s="7">
        <f>IFERROR(__xludf.DUMMYFUNCTION("""COMPUTED_VALUE"""),45751.64583333333)</f>
        <v>45751.64583</v>
      </c>
      <c r="B80" s="6">
        <f>IFERROR(__xludf.DUMMYFUNCTION("""COMPUTED_VALUE"""),878.33)</f>
        <v>878.33</v>
      </c>
      <c r="C80" s="6">
        <f>IFERROR(__xludf.DUMMYFUNCTION("""COMPUTED_VALUE"""),892.5)</f>
        <v>892.5</v>
      </c>
      <c r="D80" s="6">
        <f>IFERROR(__xludf.DUMMYFUNCTION("""COMPUTED_VALUE"""),846.02)</f>
        <v>846.02</v>
      </c>
      <c r="E80" s="6">
        <f>IFERROR(__xludf.DUMMYFUNCTION("""COMPUTED_VALUE"""),871.89)</f>
        <v>871.89</v>
      </c>
      <c r="F80" s="6">
        <f>IFERROR(__xludf.DUMMYFUNCTION("""COMPUTED_VALUE"""),5076210.0)</f>
        <v>5076210</v>
      </c>
    </row>
    <row r="81">
      <c r="A81" s="7">
        <f>IFERROR(__xludf.DUMMYFUNCTION("""COMPUTED_VALUE"""),45758.64583333333)</f>
        <v>45758.64583</v>
      </c>
      <c r="B81" s="6">
        <f>IFERROR(__xludf.DUMMYFUNCTION("""COMPUTED_VALUE"""),834.0)</f>
        <v>834</v>
      </c>
      <c r="C81" s="6">
        <f>IFERROR(__xludf.DUMMYFUNCTION("""COMPUTED_VALUE"""),897.35)</f>
        <v>897.35</v>
      </c>
      <c r="D81" s="6">
        <f>IFERROR(__xludf.DUMMYFUNCTION("""COMPUTED_VALUE"""),830.72)</f>
        <v>830.72</v>
      </c>
      <c r="E81" s="6">
        <f>IFERROR(__xludf.DUMMYFUNCTION("""COMPUTED_VALUE"""),892.11)</f>
        <v>892.11</v>
      </c>
      <c r="F81" s="6">
        <f>IFERROR(__xludf.DUMMYFUNCTION("""COMPUTED_VALUE"""),4934183.0)</f>
        <v>4934183</v>
      </c>
    </row>
    <row r="82">
      <c r="A82" s="7">
        <f>IFERROR(__xludf.DUMMYFUNCTION("""COMPUTED_VALUE"""),45764.64583333333)</f>
        <v>45764.64583</v>
      </c>
      <c r="B82" s="6">
        <f>IFERROR(__xludf.DUMMYFUNCTION("""COMPUTED_VALUE"""),925.55)</f>
        <v>925.55</v>
      </c>
      <c r="C82" s="6">
        <f>IFERROR(__xludf.DUMMYFUNCTION("""COMPUTED_VALUE"""),929.0)</f>
        <v>929</v>
      </c>
      <c r="D82" s="6">
        <f>IFERROR(__xludf.DUMMYFUNCTION("""COMPUTED_VALUE"""),895.2)</f>
        <v>895.2</v>
      </c>
      <c r="E82" s="6">
        <f>IFERROR(__xludf.DUMMYFUNCTION("""COMPUTED_VALUE"""),916.25)</f>
        <v>916.25</v>
      </c>
      <c r="F82" s="6">
        <f>IFERROR(__xludf.DUMMYFUNCTION("""COMPUTED_VALUE"""),3124696.0)</f>
        <v>3124696</v>
      </c>
    </row>
    <row r="83">
      <c r="A83" s="7">
        <f>IFERROR(__xludf.DUMMYFUNCTION("""COMPUTED_VALUE"""),45772.64583333333)</f>
        <v>45772.64583</v>
      </c>
      <c r="B83" s="6">
        <f>IFERROR(__xludf.DUMMYFUNCTION("""COMPUTED_VALUE"""),917.0)</f>
        <v>917</v>
      </c>
      <c r="C83" s="6">
        <f>IFERROR(__xludf.DUMMYFUNCTION("""COMPUTED_VALUE"""),966.0)</f>
        <v>966</v>
      </c>
      <c r="D83" s="6">
        <f>IFERROR(__xludf.DUMMYFUNCTION("""COMPUTED_VALUE"""),899.0)</f>
        <v>899</v>
      </c>
      <c r="E83" s="6">
        <f>IFERROR(__xludf.DUMMYFUNCTION("""COMPUTED_VALUE"""),911.2)</f>
        <v>911.2</v>
      </c>
      <c r="F83" s="6">
        <f>IFERROR(__xludf.DUMMYFUNCTION("""COMPUTED_VALUE"""),5932669.0)</f>
        <v>5932669</v>
      </c>
    </row>
    <row r="84">
      <c r="A84" s="7">
        <f>IFERROR(__xludf.DUMMYFUNCTION("""COMPUTED_VALUE"""),45779.64583333333)</f>
        <v>45779.64583</v>
      </c>
      <c r="B84" s="6">
        <f>IFERROR(__xludf.DUMMYFUNCTION("""COMPUTED_VALUE"""),908.0)</f>
        <v>908</v>
      </c>
      <c r="C84" s="6">
        <f>IFERROR(__xludf.DUMMYFUNCTION("""COMPUTED_VALUE"""),914.6)</f>
        <v>914.6</v>
      </c>
      <c r="D84" s="6">
        <f>IFERROR(__xludf.DUMMYFUNCTION("""COMPUTED_VALUE"""),855.6)</f>
        <v>855.6</v>
      </c>
      <c r="E84" s="6">
        <f>IFERROR(__xludf.DUMMYFUNCTION("""COMPUTED_VALUE"""),886.25)</f>
        <v>886.25</v>
      </c>
      <c r="F84" s="6">
        <f>IFERROR(__xludf.DUMMYFUNCTION("""COMPUTED_VALUE"""),8033834.0)</f>
        <v>8033834</v>
      </c>
    </row>
    <row r="85">
      <c r="A85" s="7">
        <f>IFERROR(__xludf.DUMMYFUNCTION("""COMPUTED_VALUE"""),45786.64583333333)</f>
        <v>45786.64583</v>
      </c>
      <c r="B85" s="6">
        <f>IFERROR(__xludf.DUMMYFUNCTION("""COMPUTED_VALUE"""),887.75)</f>
        <v>887.75</v>
      </c>
      <c r="C85" s="6">
        <f>IFERROR(__xludf.DUMMYFUNCTION("""COMPUTED_VALUE"""),907.45)</f>
        <v>907.45</v>
      </c>
      <c r="D85" s="6">
        <f>IFERROR(__xludf.DUMMYFUNCTION("""COMPUTED_VALUE"""),860.5)</f>
        <v>860.5</v>
      </c>
      <c r="E85" s="6">
        <f>IFERROR(__xludf.DUMMYFUNCTION("""COMPUTED_VALUE"""),864.1)</f>
        <v>864.1</v>
      </c>
      <c r="F85" s="6">
        <f>IFERROR(__xludf.DUMMYFUNCTION("""COMPUTED_VALUE"""),5677648.0)</f>
        <v>5677648</v>
      </c>
    </row>
    <row r="86">
      <c r="A86" s="7">
        <f>IFERROR(__xludf.DUMMYFUNCTION("""COMPUTED_VALUE"""),45793.64583333333)</f>
        <v>45793.64583</v>
      </c>
      <c r="B86" s="6">
        <f>IFERROR(__xludf.DUMMYFUNCTION("""COMPUTED_VALUE"""),884.9)</f>
        <v>884.9</v>
      </c>
      <c r="C86" s="6">
        <f>IFERROR(__xludf.DUMMYFUNCTION("""COMPUTED_VALUE"""),928.6)</f>
        <v>928.6</v>
      </c>
      <c r="D86" s="6">
        <f>IFERROR(__xludf.DUMMYFUNCTION("""COMPUTED_VALUE"""),882.55)</f>
        <v>882.55</v>
      </c>
      <c r="E86" s="6">
        <f>IFERROR(__xludf.DUMMYFUNCTION("""COMPUTED_VALUE"""),916.7)</f>
        <v>916.7</v>
      </c>
      <c r="F86" s="6">
        <f>IFERROR(__xludf.DUMMYFUNCTION("""COMPUTED_VALUE"""),4823214.0)</f>
        <v>4823214</v>
      </c>
    </row>
    <row r="87">
      <c r="A87" s="7">
        <f>IFERROR(__xludf.DUMMYFUNCTION("""COMPUTED_VALUE"""),45800.64583333333)</f>
        <v>45800.64583</v>
      </c>
      <c r="B87" s="6">
        <f>IFERROR(__xludf.DUMMYFUNCTION("""COMPUTED_VALUE"""),916.7)</f>
        <v>916.7</v>
      </c>
      <c r="C87" s="6">
        <f>IFERROR(__xludf.DUMMYFUNCTION("""COMPUTED_VALUE"""),931.0)</f>
        <v>931</v>
      </c>
      <c r="D87" s="6">
        <f>IFERROR(__xludf.DUMMYFUNCTION("""COMPUTED_VALUE"""),902.85)</f>
        <v>902.85</v>
      </c>
      <c r="E87" s="6">
        <f>IFERROR(__xludf.DUMMYFUNCTION("""COMPUTED_VALUE"""),924.35)</f>
        <v>924.35</v>
      </c>
      <c r="F87" s="6">
        <f>IFERROR(__xludf.DUMMYFUNCTION("""COMPUTED_VALUE"""),3300183.0)</f>
        <v>3300183</v>
      </c>
    </row>
    <row r="88">
      <c r="A88" s="7">
        <f>IFERROR(__xludf.DUMMYFUNCTION("""COMPUTED_VALUE"""),45807.64583333333)</f>
        <v>45807.64583</v>
      </c>
      <c r="B88" s="6">
        <f>IFERROR(__xludf.DUMMYFUNCTION("""COMPUTED_VALUE"""),925.5)</f>
        <v>925.5</v>
      </c>
      <c r="C88" s="6">
        <f>IFERROR(__xludf.DUMMYFUNCTION("""COMPUTED_VALUE"""),933.65)</f>
        <v>933.65</v>
      </c>
      <c r="D88" s="6">
        <f>IFERROR(__xludf.DUMMYFUNCTION("""COMPUTED_VALUE"""),912.1)</f>
        <v>912.1</v>
      </c>
      <c r="E88" s="6">
        <f>IFERROR(__xludf.DUMMYFUNCTION("""COMPUTED_VALUE"""),918.05)</f>
        <v>918.05</v>
      </c>
      <c r="F88" s="6">
        <f>IFERROR(__xludf.DUMMYFUNCTION("""COMPUTED_VALUE"""),4125768.0)</f>
        <v>4125768</v>
      </c>
    </row>
    <row r="89">
      <c r="A89" s="7">
        <f>IFERROR(__xludf.DUMMYFUNCTION("""COMPUTED_VALUE"""),45814.64583333333)</f>
        <v>45814.64583</v>
      </c>
      <c r="B89" s="6">
        <f>IFERROR(__xludf.DUMMYFUNCTION("""COMPUTED_VALUE"""),913.0)</f>
        <v>913</v>
      </c>
      <c r="C89" s="6">
        <f>IFERROR(__xludf.DUMMYFUNCTION("""COMPUTED_VALUE"""),943.4)</f>
        <v>943.4</v>
      </c>
      <c r="D89" s="6">
        <f>IFERROR(__xludf.DUMMYFUNCTION("""COMPUTED_VALUE"""),886.95)</f>
        <v>886.95</v>
      </c>
      <c r="E89" s="6">
        <f>IFERROR(__xludf.DUMMYFUNCTION("""COMPUTED_VALUE"""),937.15)</f>
        <v>937.15</v>
      </c>
      <c r="F89" s="6">
        <f>IFERROR(__xludf.DUMMYFUNCTION("""COMPUTED_VALUE"""),4888201.0)</f>
        <v>4888201</v>
      </c>
    </row>
    <row r="90">
      <c r="A90" s="7">
        <f>IFERROR(__xludf.DUMMYFUNCTION("""COMPUTED_VALUE"""),45821.64583333333)</f>
        <v>45821.64583</v>
      </c>
      <c r="B90" s="6">
        <f>IFERROR(__xludf.DUMMYFUNCTION("""COMPUTED_VALUE"""),955.0)</f>
        <v>955</v>
      </c>
      <c r="C90" s="6">
        <f>IFERROR(__xludf.DUMMYFUNCTION("""COMPUTED_VALUE"""),978.8)</f>
        <v>978.8</v>
      </c>
      <c r="D90" s="6">
        <f>IFERROR(__xludf.DUMMYFUNCTION("""COMPUTED_VALUE"""),914.7)</f>
        <v>914.7</v>
      </c>
      <c r="E90" s="6">
        <f>IFERROR(__xludf.DUMMYFUNCTION("""COMPUTED_VALUE"""),933.1)</f>
        <v>933.1</v>
      </c>
      <c r="F90" s="6">
        <f>IFERROR(__xludf.DUMMYFUNCTION("""COMPUTED_VALUE"""),6697121.0)</f>
        <v>6697121</v>
      </c>
    </row>
    <row r="91">
      <c r="A91" s="7">
        <f>IFERROR(__xludf.DUMMYFUNCTION("""COMPUTED_VALUE"""),45828.64583333333)</f>
        <v>45828.64583</v>
      </c>
      <c r="B91" s="6">
        <f>IFERROR(__xludf.DUMMYFUNCTION("""COMPUTED_VALUE"""),956.0)</f>
        <v>956</v>
      </c>
      <c r="C91" s="6">
        <f>IFERROR(__xludf.DUMMYFUNCTION("""COMPUTED_VALUE"""),956.0)</f>
        <v>956</v>
      </c>
      <c r="D91" s="6">
        <f>IFERROR(__xludf.DUMMYFUNCTION("""COMPUTED_VALUE"""),886.0)</f>
        <v>886</v>
      </c>
      <c r="E91" s="6">
        <f>IFERROR(__xludf.DUMMYFUNCTION("""COMPUTED_VALUE"""),905.0)</f>
        <v>905</v>
      </c>
      <c r="F91" s="6">
        <f>IFERROR(__xludf.DUMMYFUNCTION("""COMPUTED_VALUE"""),3.9035569E7)</f>
        <v>39035569</v>
      </c>
    </row>
    <row r="92">
      <c r="A92" s="7">
        <f>IFERROR(__xludf.DUMMYFUNCTION("""COMPUTED_VALUE"""),45835.64583333333)</f>
        <v>45835.64583</v>
      </c>
      <c r="B92" s="6">
        <f>IFERROR(__xludf.DUMMYFUNCTION("""COMPUTED_VALUE"""),899.0)</f>
        <v>899</v>
      </c>
      <c r="C92" s="6">
        <f>IFERROR(__xludf.DUMMYFUNCTION("""COMPUTED_VALUE"""),959.5)</f>
        <v>959.5</v>
      </c>
      <c r="D92" s="6">
        <f>IFERROR(__xludf.DUMMYFUNCTION("""COMPUTED_VALUE"""),890.5)</f>
        <v>890.5</v>
      </c>
      <c r="E92" s="6">
        <f>IFERROR(__xludf.DUMMYFUNCTION("""COMPUTED_VALUE"""),947.0)</f>
        <v>947</v>
      </c>
      <c r="F92" s="6">
        <f>IFERROR(__xludf.DUMMYFUNCTION("""COMPUTED_VALUE"""),5.7365014E7)</f>
        <v>57365014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IFERROR(__xludf.DUMMYFUNCTION("""COMPUTED_VALUE"""),956.0)</f>
        <v>956</v>
      </c>
      <c r="C93" s="6">
        <f>IFERROR(__xludf.DUMMYFUNCTION("""COMPUTED_VALUE"""),956.0)</f>
        <v>956</v>
      </c>
      <c r="D93" s="6">
        <f>IFERROR(__xludf.DUMMYFUNCTION("""COMPUTED_VALUE"""),905.2)</f>
        <v>905.2</v>
      </c>
      <c r="E93" s="6">
        <f>IFERROR(__xludf.DUMMYFUNCTION("""COMPUTED_VALUE"""),925.3)</f>
        <v>925.3</v>
      </c>
      <c r="F93" s="6">
        <f>IFERROR(__xludf.DUMMYFUNCTION("""COMPUTED_VALUE"""),3.9081505E7)</f>
        <v>39081505</v>
      </c>
    </row>
    <row r="94">
      <c r="A94" s="7">
        <f>IFERROR(__xludf.DUMMYFUNCTION("""COMPUTED_VALUE"""),45849.64583333333)</f>
        <v>45849.64583</v>
      </c>
      <c r="B94" s="6">
        <f>IFERROR(__xludf.DUMMYFUNCTION("""COMPUTED_VALUE"""),925.0)</f>
        <v>925</v>
      </c>
      <c r="C94" s="6">
        <f>IFERROR(__xludf.DUMMYFUNCTION("""COMPUTED_VALUE"""),951.7)</f>
        <v>951.7</v>
      </c>
      <c r="D94" s="6">
        <f>IFERROR(__xludf.DUMMYFUNCTION("""COMPUTED_VALUE"""),918.1)</f>
        <v>918.1</v>
      </c>
      <c r="E94" s="6">
        <f>IFERROR(__xludf.DUMMYFUNCTION("""COMPUTED_VALUE"""),933.5)</f>
        <v>933.5</v>
      </c>
      <c r="F94" s="6">
        <f>IFERROR(__xludf.DUMMYFUNCTION("""COMPUTED_VALUE"""),2.2264878E7)</f>
        <v>22264878</v>
      </c>
    </row>
    <row r="95">
      <c r="A95" s="7">
        <f>IFERROR(__xludf.DUMMYFUNCTION("""COMPUTED_VALUE"""),45856.64583333333)</f>
        <v>45856.64583</v>
      </c>
      <c r="B95" s="6">
        <f>IFERROR(__xludf.DUMMYFUNCTION("""COMPUTED_VALUE"""),932.0)</f>
        <v>932</v>
      </c>
      <c r="C95" s="6">
        <f>IFERROR(__xludf.DUMMYFUNCTION("""COMPUTED_VALUE"""),944.9)</f>
        <v>944.9</v>
      </c>
      <c r="D95" s="6">
        <f>IFERROR(__xludf.DUMMYFUNCTION("""COMPUTED_VALUE"""),911.3)</f>
        <v>911.3</v>
      </c>
      <c r="E95" s="6">
        <f>IFERROR(__xludf.DUMMYFUNCTION("""COMPUTED_VALUE"""),942.0)</f>
        <v>942</v>
      </c>
      <c r="F95" s="6">
        <f>IFERROR(__xludf.DUMMYFUNCTION("""COMPUTED_VALUE"""),2.6980246E7)</f>
        <v>26980246</v>
      </c>
    </row>
    <row r="96">
      <c r="A96" s="7">
        <f>IFERROR(__xludf.DUMMYFUNCTION("""COMPUTED_VALUE"""),45863.64583333333)</f>
        <v>45863.64583</v>
      </c>
      <c r="B96" s="6">
        <f>IFERROR(__xludf.DUMMYFUNCTION("""COMPUTED_VALUE"""),938.9)</f>
        <v>938.9</v>
      </c>
      <c r="C96" s="6">
        <f>IFERROR(__xludf.DUMMYFUNCTION("""COMPUTED_VALUE"""),970.95)</f>
        <v>970.95</v>
      </c>
      <c r="D96" s="6">
        <f>IFERROR(__xludf.DUMMYFUNCTION("""COMPUTED_VALUE"""),898.0)</f>
        <v>898</v>
      </c>
      <c r="E96" s="6">
        <f>IFERROR(__xludf.DUMMYFUNCTION("""COMPUTED_VALUE"""),913.75)</f>
        <v>913.75</v>
      </c>
      <c r="F96" s="6">
        <f>IFERROR(__xludf.DUMMYFUNCTION("""COMPUTED_VALUE"""),5.0197198E7)</f>
        <v>50197198</v>
      </c>
    </row>
    <row r="97">
      <c r="A97" s="7">
        <f>IFERROR(__xludf.DUMMYFUNCTION("""COMPUTED_VALUE"""),45870.64583333333)</f>
        <v>45870.64583</v>
      </c>
      <c r="B97" s="6">
        <f>IFERROR(__xludf.DUMMYFUNCTION("""COMPUTED_VALUE"""),909.25)</f>
        <v>909.25</v>
      </c>
      <c r="C97" s="6">
        <f>IFERROR(__xludf.DUMMYFUNCTION("""COMPUTED_VALUE"""),913.75)</f>
        <v>913.75</v>
      </c>
      <c r="D97" s="6">
        <f>IFERROR(__xludf.DUMMYFUNCTION("""COMPUTED_VALUE"""),868.0)</f>
        <v>868</v>
      </c>
      <c r="E97" s="6">
        <f>IFERROR(__xludf.DUMMYFUNCTION("""COMPUTED_VALUE"""),875.6)</f>
        <v>875.6</v>
      </c>
      <c r="F97" s="6">
        <f>IFERROR(__xludf.DUMMYFUNCTION("""COMPUTED_VALUE"""),4.2689112E7)</f>
        <v>42689112</v>
      </c>
    </row>
    <row r="98">
      <c r="A98" s="7">
        <f>IFERROR(__xludf.DUMMYFUNCTION("""COMPUTED_VALUE"""),45877.64583333333)</f>
        <v>45877.64583</v>
      </c>
      <c r="B98" s="6">
        <f>IFERROR(__xludf.DUMMYFUNCTION("""COMPUTED_VALUE"""),874.0)</f>
        <v>874</v>
      </c>
      <c r="C98" s="6">
        <f>IFERROR(__xludf.DUMMYFUNCTION("""COMPUTED_VALUE"""),895.5)</f>
        <v>895.5</v>
      </c>
      <c r="D98" s="6">
        <f>IFERROR(__xludf.DUMMYFUNCTION("""COMPUTED_VALUE"""),867.25)</f>
        <v>867.25</v>
      </c>
      <c r="E98" s="6">
        <f>IFERROR(__xludf.DUMMYFUNCTION("""COMPUTED_VALUE"""),877.15)</f>
        <v>877.15</v>
      </c>
      <c r="F98" s="6">
        <f>IFERROR(__xludf.DUMMYFUNCTION("""COMPUTED_VALUE"""),2.2364342E7)</f>
        <v>22364342</v>
      </c>
    </row>
    <row r="99">
      <c r="A99" s="7">
        <f>IFERROR(__xludf.DUMMYFUNCTION("""COMPUTED_VALUE"""),45883.64583333333)</f>
        <v>45883.64583</v>
      </c>
      <c r="B99" s="6">
        <f>IFERROR(__xludf.DUMMYFUNCTION("""COMPUTED_VALUE"""),877.15)</f>
        <v>877.15</v>
      </c>
      <c r="C99" s="6">
        <f>IFERROR(__xludf.DUMMYFUNCTION("""COMPUTED_VALUE"""),888.3)</f>
        <v>888.3</v>
      </c>
      <c r="D99" s="6">
        <f>IFERROR(__xludf.DUMMYFUNCTION("""COMPUTED_VALUE"""),849.0)</f>
        <v>849</v>
      </c>
      <c r="E99" s="6">
        <f>IFERROR(__xludf.DUMMYFUNCTION("""COMPUTED_VALUE"""),861.45)</f>
        <v>861.45</v>
      </c>
      <c r="F99" s="6">
        <f>IFERROR(__xludf.DUMMYFUNCTION("""COMPUTED_VALUE"""),2.9121713E7)</f>
        <v>29121713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IFERROR(__xludf.DUMMYFUNCTION("""COMPUTED_VALUE"""),875.0)</f>
        <v>875</v>
      </c>
      <c r="C100" s="6">
        <f>IFERROR(__xludf.DUMMYFUNCTION("""COMPUTED_VALUE"""),919.65)</f>
        <v>919.65</v>
      </c>
      <c r="D100" s="6">
        <f>IFERROR(__xludf.DUMMYFUNCTION("""COMPUTED_VALUE"""),875.0)</f>
        <v>875</v>
      </c>
      <c r="E100" s="6">
        <f>IFERROR(__xludf.DUMMYFUNCTION("""COMPUTED_VALUE"""),894.5)</f>
        <v>894.5</v>
      </c>
      <c r="F100" s="6">
        <f>IFERROR(__xludf.DUMMYFUNCTION("""COMPUTED_VALUE"""),4.0726235E7)</f>
        <v>40726235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IFERROR(__xludf.DUMMYFUNCTION("""COMPUTED_VALUE"""),902.1)</f>
        <v>902.1</v>
      </c>
      <c r="C101" s="6">
        <f>IFERROR(__xludf.DUMMYFUNCTION("""COMPUTED_VALUE"""),908.0)</f>
        <v>908</v>
      </c>
      <c r="D101" s="6">
        <f>IFERROR(__xludf.DUMMYFUNCTION("""COMPUTED_VALUE"""),873.5)</f>
        <v>873.5</v>
      </c>
      <c r="E101" s="6">
        <f>IFERROR(__xludf.DUMMYFUNCTION("""COMPUTED_VALUE"""),876.25)</f>
        <v>876.25</v>
      </c>
      <c r="F101" s="6">
        <f>IFERROR(__xludf.DUMMYFUNCTION("""COMPUTED_VALUE"""),9.6906021E7)</f>
        <v>96906021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IFERROR(__xludf.DUMMYFUNCTION("GOOGLEFINANCE(""NSE:BANDHANBNK"",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IFERROR(__xludf.DUMMYFUNCTION("""COMPUTED_VALUE"""),236.25)</f>
        <v>236.25</v>
      </c>
      <c r="C2" s="6">
        <f>IFERROR(__xludf.DUMMYFUNCTION("""COMPUTED_VALUE"""),239.35)</f>
        <v>239.35</v>
      </c>
      <c r="D2" s="6">
        <f>IFERROR(__xludf.DUMMYFUNCTION("""COMPUTED_VALUE"""),228.6)</f>
        <v>228.6</v>
      </c>
      <c r="E2" s="6">
        <f>IFERROR(__xludf.DUMMYFUNCTION("""COMPUTED_VALUE"""),235.1)</f>
        <v>235.1</v>
      </c>
      <c r="F2" s="6">
        <f>IFERROR(__xludf.DUMMYFUNCTION("""COMPUTED_VALUE"""),3.7710645E7)</f>
        <v>37710645</v>
      </c>
    </row>
    <row r="3">
      <c r="A3" s="7">
        <f>IFERROR(__xludf.DUMMYFUNCTION("""COMPUTED_VALUE"""),45177.64583333333)</f>
        <v>45177.64583</v>
      </c>
      <c r="B3" s="6">
        <f>IFERROR(__xludf.DUMMYFUNCTION("""COMPUTED_VALUE"""),236.75)</f>
        <v>236.75</v>
      </c>
      <c r="C3" s="6">
        <f>IFERROR(__xludf.DUMMYFUNCTION("""COMPUTED_VALUE"""),245.75)</f>
        <v>245.75</v>
      </c>
      <c r="D3" s="6">
        <f>IFERROR(__xludf.DUMMYFUNCTION("""COMPUTED_VALUE"""),232.3)</f>
        <v>232.3</v>
      </c>
      <c r="E3" s="6">
        <f>IFERROR(__xludf.DUMMYFUNCTION("""COMPUTED_VALUE"""),243.4)</f>
        <v>243.4</v>
      </c>
      <c r="F3" s="6">
        <f>IFERROR(__xludf.DUMMYFUNCTION("""COMPUTED_VALUE"""),4.269326E7)</f>
        <v>42693260</v>
      </c>
    </row>
    <row r="4">
      <c r="A4" s="7">
        <f>IFERROR(__xludf.DUMMYFUNCTION("""COMPUTED_VALUE"""),45184.64583333333)</f>
        <v>45184.64583</v>
      </c>
      <c r="B4" s="6">
        <f>IFERROR(__xludf.DUMMYFUNCTION("""COMPUTED_VALUE"""),245.2)</f>
        <v>245.2</v>
      </c>
      <c r="C4" s="6">
        <f>IFERROR(__xludf.DUMMYFUNCTION("""COMPUTED_VALUE"""),250.2)</f>
        <v>250.2</v>
      </c>
      <c r="D4" s="6">
        <f>IFERROR(__xludf.DUMMYFUNCTION("""COMPUTED_VALUE"""),228.95)</f>
        <v>228.95</v>
      </c>
      <c r="E4" s="6">
        <f>IFERROR(__xludf.DUMMYFUNCTION("""COMPUTED_VALUE"""),249.35)</f>
        <v>249.35</v>
      </c>
      <c r="F4" s="6">
        <f>IFERROR(__xludf.DUMMYFUNCTION("""COMPUTED_VALUE"""),7.0650634E7)</f>
        <v>70650634</v>
      </c>
    </row>
    <row r="5">
      <c r="A5" s="7">
        <f>IFERROR(__xludf.DUMMYFUNCTION("""COMPUTED_VALUE"""),45191.64583333333)</f>
        <v>45191.64583</v>
      </c>
      <c r="B5" s="6">
        <f>IFERROR(__xludf.DUMMYFUNCTION("""COMPUTED_VALUE"""),249.3)</f>
        <v>249.3</v>
      </c>
      <c r="C5" s="6">
        <f>IFERROR(__xludf.DUMMYFUNCTION("""COMPUTED_VALUE"""),253.0)</f>
        <v>253</v>
      </c>
      <c r="D5" s="6">
        <f>IFERROR(__xludf.DUMMYFUNCTION("""COMPUTED_VALUE"""),243.7)</f>
        <v>243.7</v>
      </c>
      <c r="E5" s="6">
        <f>IFERROR(__xludf.DUMMYFUNCTION("""COMPUTED_VALUE"""),249.35)</f>
        <v>249.35</v>
      </c>
      <c r="F5" s="6">
        <f>IFERROR(__xludf.DUMMYFUNCTION("""COMPUTED_VALUE"""),5.5389168E7)</f>
        <v>55389168</v>
      </c>
    </row>
    <row r="6">
      <c r="A6" s="7">
        <f>IFERROR(__xludf.DUMMYFUNCTION("""COMPUTED_VALUE"""),45198.64583333333)</f>
        <v>45198.64583</v>
      </c>
      <c r="B6" s="6">
        <f>IFERROR(__xludf.DUMMYFUNCTION("""COMPUTED_VALUE"""),249.85)</f>
        <v>249.85</v>
      </c>
      <c r="C6" s="6">
        <f>IFERROR(__xludf.DUMMYFUNCTION("""COMPUTED_VALUE"""),259.25)</f>
        <v>259.25</v>
      </c>
      <c r="D6" s="6">
        <f>IFERROR(__xludf.DUMMYFUNCTION("""COMPUTED_VALUE"""),246.9)</f>
        <v>246.9</v>
      </c>
      <c r="E6" s="6">
        <f>IFERROR(__xludf.DUMMYFUNCTION("""COMPUTED_VALUE"""),251.6)</f>
        <v>251.6</v>
      </c>
      <c r="F6" s="6">
        <f>IFERROR(__xludf.DUMMYFUNCTION("""COMPUTED_VALUE"""),5.4212608E7)</f>
        <v>54212608</v>
      </c>
    </row>
    <row r="7">
      <c r="A7" s="7">
        <f>IFERROR(__xludf.DUMMYFUNCTION("""COMPUTED_VALUE"""),45205.64583333333)</f>
        <v>45205.64583</v>
      </c>
      <c r="B7" s="6">
        <f>IFERROR(__xludf.DUMMYFUNCTION("""COMPUTED_VALUE"""),252.0)</f>
        <v>252</v>
      </c>
      <c r="C7" s="6">
        <f>IFERROR(__xludf.DUMMYFUNCTION("""COMPUTED_VALUE"""),255.95)</f>
        <v>255.95</v>
      </c>
      <c r="D7" s="6">
        <f>IFERROR(__xludf.DUMMYFUNCTION("""COMPUTED_VALUE"""),245.8)</f>
        <v>245.8</v>
      </c>
      <c r="E7" s="6">
        <f>IFERROR(__xludf.DUMMYFUNCTION("""COMPUTED_VALUE"""),252.9)</f>
        <v>252.9</v>
      </c>
      <c r="F7" s="6">
        <f>IFERROR(__xludf.DUMMYFUNCTION("""COMPUTED_VALUE"""),3.1948015E7)</f>
        <v>31948015</v>
      </c>
    </row>
    <row r="8">
      <c r="A8" s="7">
        <f>IFERROR(__xludf.DUMMYFUNCTION("""COMPUTED_VALUE"""),45212.64583333333)</f>
        <v>45212.64583</v>
      </c>
      <c r="B8" s="6">
        <f>IFERROR(__xludf.DUMMYFUNCTION("""COMPUTED_VALUE"""),248.7)</f>
        <v>248.7</v>
      </c>
      <c r="C8" s="6">
        <f>IFERROR(__xludf.DUMMYFUNCTION("""COMPUTED_VALUE"""),253.8)</f>
        <v>253.8</v>
      </c>
      <c r="D8" s="6">
        <f>IFERROR(__xludf.DUMMYFUNCTION("""COMPUTED_VALUE"""),238.0)</f>
        <v>238</v>
      </c>
      <c r="E8" s="6">
        <f>IFERROR(__xludf.DUMMYFUNCTION("""COMPUTED_VALUE"""),240.7)</f>
        <v>240.7</v>
      </c>
      <c r="F8" s="6">
        <f>IFERROR(__xludf.DUMMYFUNCTION("""COMPUTED_VALUE"""),3.4752626E7)</f>
        <v>34752626</v>
      </c>
    </row>
    <row r="9">
      <c r="A9" s="7">
        <f>IFERROR(__xludf.DUMMYFUNCTION("""COMPUTED_VALUE"""),45219.64583333333)</f>
        <v>45219.64583</v>
      </c>
      <c r="B9" s="6">
        <f>IFERROR(__xludf.DUMMYFUNCTION("""COMPUTED_VALUE"""),241.0)</f>
        <v>241</v>
      </c>
      <c r="C9" s="6">
        <f>IFERROR(__xludf.DUMMYFUNCTION("""COMPUTED_VALUE"""),246.0)</f>
        <v>246</v>
      </c>
      <c r="D9" s="6">
        <f>IFERROR(__xludf.DUMMYFUNCTION("""COMPUTED_VALUE"""),225.0)</f>
        <v>225</v>
      </c>
      <c r="E9" s="6">
        <f>IFERROR(__xludf.DUMMYFUNCTION("""COMPUTED_VALUE"""),225.5)</f>
        <v>225.5</v>
      </c>
      <c r="F9" s="6">
        <f>IFERROR(__xludf.DUMMYFUNCTION("""COMPUTED_VALUE"""),5.0515642E7)</f>
        <v>50515642</v>
      </c>
    </row>
    <row r="10">
      <c r="A10" s="7">
        <f>IFERROR(__xludf.DUMMYFUNCTION("""COMPUTED_VALUE"""),45226.64583333333)</f>
        <v>45226.64583</v>
      </c>
      <c r="B10" s="6">
        <f>IFERROR(__xludf.DUMMYFUNCTION("""COMPUTED_VALUE"""),226.0)</f>
        <v>226</v>
      </c>
      <c r="C10" s="6">
        <f>IFERROR(__xludf.DUMMYFUNCTION("""COMPUTED_VALUE"""),228.45)</f>
        <v>228.45</v>
      </c>
      <c r="D10" s="6">
        <f>IFERROR(__xludf.DUMMYFUNCTION("""COMPUTED_VALUE"""),211.3)</f>
        <v>211.3</v>
      </c>
      <c r="E10" s="6">
        <f>IFERROR(__xludf.DUMMYFUNCTION("""COMPUTED_VALUE"""),214.4)</f>
        <v>214.4</v>
      </c>
      <c r="F10" s="6">
        <f>IFERROR(__xludf.DUMMYFUNCTION("""COMPUTED_VALUE"""),3.5595883E7)</f>
        <v>35595883</v>
      </c>
    </row>
    <row r="11">
      <c r="A11" s="7">
        <f>IFERROR(__xludf.DUMMYFUNCTION("""COMPUTED_VALUE"""),45233.64583333333)</f>
        <v>45233.64583</v>
      </c>
      <c r="B11" s="6">
        <f>IFERROR(__xludf.DUMMYFUNCTION("""COMPUTED_VALUE"""),215.8)</f>
        <v>215.8</v>
      </c>
      <c r="C11" s="6">
        <f>IFERROR(__xludf.DUMMYFUNCTION("""COMPUTED_VALUE"""),218.95)</f>
        <v>218.95</v>
      </c>
      <c r="D11" s="6">
        <f>IFERROR(__xludf.DUMMYFUNCTION("""COMPUTED_VALUE"""),211.2)</f>
        <v>211.2</v>
      </c>
      <c r="E11" s="6">
        <f>IFERROR(__xludf.DUMMYFUNCTION("""COMPUTED_VALUE"""),217.4)</f>
        <v>217.4</v>
      </c>
      <c r="F11" s="6">
        <f>IFERROR(__xludf.DUMMYFUNCTION("""COMPUTED_VALUE"""),2.2999238E7)</f>
        <v>22999238</v>
      </c>
    </row>
    <row r="12">
      <c r="A12" s="7">
        <f>IFERROR(__xludf.DUMMYFUNCTION("""COMPUTED_VALUE"""),45240.64583333333)</f>
        <v>45240.64583</v>
      </c>
      <c r="B12" s="6">
        <f>IFERROR(__xludf.DUMMYFUNCTION("""COMPUTED_VALUE"""),219.85)</f>
        <v>219.85</v>
      </c>
      <c r="C12" s="6">
        <f>IFERROR(__xludf.DUMMYFUNCTION("""COMPUTED_VALUE"""),219.85)</f>
        <v>219.85</v>
      </c>
      <c r="D12" s="6">
        <f>IFERROR(__xludf.DUMMYFUNCTION("""COMPUTED_VALUE"""),214.6)</f>
        <v>214.6</v>
      </c>
      <c r="E12" s="6">
        <f>IFERROR(__xludf.DUMMYFUNCTION("""COMPUTED_VALUE"""),217.75)</f>
        <v>217.75</v>
      </c>
      <c r="F12" s="6">
        <f>IFERROR(__xludf.DUMMYFUNCTION("""COMPUTED_VALUE"""),2.0055336E7)</f>
        <v>20055336</v>
      </c>
    </row>
    <row r="13">
      <c r="A13" s="7">
        <f>IFERROR(__xludf.DUMMYFUNCTION("""COMPUTED_VALUE"""),45247.64583333333)</f>
        <v>45247.64583</v>
      </c>
      <c r="B13" s="6">
        <f>IFERROR(__xludf.DUMMYFUNCTION("""COMPUTED_VALUE"""),220.0)</f>
        <v>220</v>
      </c>
      <c r="C13" s="6">
        <f>IFERROR(__xludf.DUMMYFUNCTION("""COMPUTED_VALUE"""),224.5)</f>
        <v>224.5</v>
      </c>
      <c r="D13" s="6">
        <f>IFERROR(__xludf.DUMMYFUNCTION("""COMPUTED_VALUE"""),215.75)</f>
        <v>215.75</v>
      </c>
      <c r="E13" s="6">
        <f>IFERROR(__xludf.DUMMYFUNCTION("""COMPUTED_VALUE"""),217.0)</f>
        <v>217</v>
      </c>
      <c r="F13" s="6">
        <f>IFERROR(__xludf.DUMMYFUNCTION("""COMPUTED_VALUE"""),2.3839618E7)</f>
        <v>23839618</v>
      </c>
    </row>
    <row r="14">
      <c r="A14" s="7">
        <f>IFERROR(__xludf.DUMMYFUNCTION("""COMPUTED_VALUE"""),45254.64583333333)</f>
        <v>45254.64583</v>
      </c>
      <c r="B14" s="6">
        <f>IFERROR(__xludf.DUMMYFUNCTION("""COMPUTED_VALUE"""),217.45)</f>
        <v>217.45</v>
      </c>
      <c r="C14" s="6">
        <f>IFERROR(__xludf.DUMMYFUNCTION("""COMPUTED_VALUE"""),217.45)</f>
        <v>217.45</v>
      </c>
      <c r="D14" s="6">
        <f>IFERROR(__xludf.DUMMYFUNCTION("""COMPUTED_VALUE"""),211.4)</f>
        <v>211.4</v>
      </c>
      <c r="E14" s="6">
        <f>IFERROR(__xludf.DUMMYFUNCTION("""COMPUTED_VALUE"""),212.35)</f>
        <v>212.35</v>
      </c>
      <c r="F14" s="6">
        <f>IFERROR(__xludf.DUMMYFUNCTION("""COMPUTED_VALUE"""),3.9532937E7)</f>
        <v>39532937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IFERROR(__xludf.DUMMYFUNCTION("""COMPUTED_VALUE"""),214.4)</f>
        <v>214.4</v>
      </c>
      <c r="C15" s="6">
        <f>IFERROR(__xludf.DUMMYFUNCTION("""COMPUTED_VALUE"""),230.4)</f>
        <v>230.4</v>
      </c>
      <c r="D15" s="6">
        <f>IFERROR(__xludf.DUMMYFUNCTION("""COMPUTED_VALUE"""),212.8)</f>
        <v>212.8</v>
      </c>
      <c r="E15" s="6">
        <f>IFERROR(__xludf.DUMMYFUNCTION("""COMPUTED_VALUE"""),226.25)</f>
        <v>226.25</v>
      </c>
      <c r="F15" s="6">
        <f>IFERROR(__xludf.DUMMYFUNCTION("""COMPUTED_VALUE"""),5.5596507E7)</f>
        <v>55596507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IFERROR(__xludf.DUMMYFUNCTION("""COMPUTED_VALUE"""),230.5)</f>
        <v>230.5</v>
      </c>
      <c r="C16" s="6">
        <f>IFERROR(__xludf.DUMMYFUNCTION("""COMPUTED_VALUE"""),240.9)</f>
        <v>240.9</v>
      </c>
      <c r="D16" s="6">
        <f>IFERROR(__xludf.DUMMYFUNCTION("""COMPUTED_VALUE"""),229.25)</f>
        <v>229.25</v>
      </c>
      <c r="E16" s="6">
        <f>IFERROR(__xludf.DUMMYFUNCTION("""COMPUTED_VALUE"""),237.05)</f>
        <v>237.05</v>
      </c>
      <c r="F16" s="6">
        <f>IFERROR(__xludf.DUMMYFUNCTION("""COMPUTED_VALUE"""),5.0623094E7)</f>
        <v>50623094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IFERROR(__xludf.DUMMYFUNCTION("""COMPUTED_VALUE"""),237.75)</f>
        <v>237.75</v>
      </c>
      <c r="C17" s="6">
        <f>IFERROR(__xludf.DUMMYFUNCTION("""COMPUTED_VALUE"""),255.7)</f>
        <v>255.7</v>
      </c>
      <c r="D17" s="6">
        <f>IFERROR(__xludf.DUMMYFUNCTION("""COMPUTED_VALUE"""),235.5)</f>
        <v>235.5</v>
      </c>
      <c r="E17" s="6">
        <f>IFERROR(__xludf.DUMMYFUNCTION("""COMPUTED_VALUE"""),253.8)</f>
        <v>253.8</v>
      </c>
      <c r="F17" s="6">
        <f>IFERROR(__xludf.DUMMYFUNCTION("""COMPUTED_VALUE"""),8.4711416E7)</f>
        <v>84711416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IFERROR(__xludf.DUMMYFUNCTION("""COMPUTED_VALUE"""),252.55)</f>
        <v>252.55</v>
      </c>
      <c r="C18" s="6">
        <f>IFERROR(__xludf.DUMMYFUNCTION("""COMPUTED_VALUE"""),256.1)</f>
        <v>256.1</v>
      </c>
      <c r="D18" s="6">
        <f>IFERROR(__xludf.DUMMYFUNCTION("""COMPUTED_VALUE"""),232.95)</f>
        <v>232.95</v>
      </c>
      <c r="E18" s="6">
        <f>IFERROR(__xludf.DUMMYFUNCTION("""COMPUTED_VALUE"""),234.8)</f>
        <v>234.8</v>
      </c>
      <c r="F18" s="6">
        <f>IFERROR(__xludf.DUMMYFUNCTION("""COMPUTED_VALUE"""),5.3019952E7)</f>
        <v>53019952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IFERROR(__xludf.DUMMYFUNCTION("""COMPUTED_VALUE"""),236.0)</f>
        <v>236</v>
      </c>
      <c r="C19" s="6">
        <f>IFERROR(__xludf.DUMMYFUNCTION("""COMPUTED_VALUE"""),243.0)</f>
        <v>243</v>
      </c>
      <c r="D19" s="6">
        <f>IFERROR(__xludf.DUMMYFUNCTION("""COMPUTED_VALUE"""),233.1)</f>
        <v>233.1</v>
      </c>
      <c r="E19" s="6">
        <f>IFERROR(__xludf.DUMMYFUNCTION("""COMPUTED_VALUE"""),241.4)</f>
        <v>241.4</v>
      </c>
      <c r="F19" s="6">
        <f>IFERROR(__xludf.DUMMYFUNCTION("""COMPUTED_VALUE"""),3.1544016E7)</f>
        <v>31544016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IFERROR(__xludf.DUMMYFUNCTION("""COMPUTED_VALUE"""),244.0)</f>
        <v>244</v>
      </c>
      <c r="C20" s="6">
        <f>IFERROR(__xludf.DUMMYFUNCTION("""COMPUTED_VALUE"""),263.1)</f>
        <v>263.1</v>
      </c>
      <c r="D20" s="6">
        <f>IFERROR(__xludf.DUMMYFUNCTION("""COMPUTED_VALUE"""),239.55)</f>
        <v>239.55</v>
      </c>
      <c r="E20" s="6">
        <f>IFERROR(__xludf.DUMMYFUNCTION("""COMPUTED_VALUE"""),251.7)</f>
        <v>251.7</v>
      </c>
      <c r="F20" s="6">
        <f>IFERROR(__xludf.DUMMYFUNCTION("""COMPUTED_VALUE"""),9.4893745E7)</f>
        <v>94893745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IFERROR(__xludf.DUMMYFUNCTION("""COMPUTED_VALUE"""),252.0)</f>
        <v>252</v>
      </c>
      <c r="C21" s="6">
        <f>IFERROR(__xludf.DUMMYFUNCTION("""COMPUTED_VALUE"""),252.0)</f>
        <v>252</v>
      </c>
      <c r="D21" s="6">
        <f>IFERROR(__xludf.DUMMYFUNCTION("""COMPUTED_VALUE"""),226.6)</f>
        <v>226.6</v>
      </c>
      <c r="E21" s="6">
        <f>IFERROR(__xludf.DUMMYFUNCTION("""COMPUTED_VALUE"""),230.15)</f>
        <v>230.15</v>
      </c>
      <c r="F21" s="6">
        <f>IFERROR(__xludf.DUMMYFUNCTION("""COMPUTED_VALUE"""),1.14223197E8)</f>
        <v>114223197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IFERROR(__xludf.DUMMYFUNCTION("""COMPUTED_VALUE"""),231.5)</f>
        <v>231.5</v>
      </c>
      <c r="C22" s="6">
        <f>IFERROR(__xludf.DUMMYFUNCTION("""COMPUTED_VALUE"""),232.2)</f>
        <v>232.2</v>
      </c>
      <c r="D22" s="6">
        <f>IFERROR(__xludf.DUMMYFUNCTION("""COMPUTED_VALUE"""),219.15)</f>
        <v>219.15</v>
      </c>
      <c r="E22" s="6">
        <f>IFERROR(__xludf.DUMMYFUNCTION("""COMPUTED_VALUE"""),220.95)</f>
        <v>220.95</v>
      </c>
      <c r="F22" s="6">
        <f>IFERROR(__xludf.DUMMYFUNCTION("""COMPUTED_VALUE"""),3.7877896E7)</f>
        <v>37877896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IFERROR(__xludf.DUMMYFUNCTION("""COMPUTED_VALUE"""),224.0)</f>
        <v>224</v>
      </c>
      <c r="C23" s="6">
        <f>IFERROR(__xludf.DUMMYFUNCTION("""COMPUTED_VALUE"""),232.65)</f>
        <v>232.65</v>
      </c>
      <c r="D23" s="6">
        <f>IFERROR(__xludf.DUMMYFUNCTION("""COMPUTED_VALUE"""),222.15)</f>
        <v>222.15</v>
      </c>
      <c r="E23" s="6">
        <f>IFERROR(__xludf.DUMMYFUNCTION("""COMPUTED_VALUE"""),228.9)</f>
        <v>228.9</v>
      </c>
      <c r="F23" s="6">
        <f>IFERROR(__xludf.DUMMYFUNCTION("""COMPUTED_VALUE"""),4.6117251E7)</f>
        <v>46117251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IFERROR(__xludf.DUMMYFUNCTION("""COMPUTED_VALUE"""),228.9)</f>
        <v>228.9</v>
      </c>
      <c r="C24" s="6">
        <f>IFERROR(__xludf.DUMMYFUNCTION("""COMPUTED_VALUE"""),228.9)</f>
        <v>228.9</v>
      </c>
      <c r="D24" s="6">
        <f>IFERROR(__xludf.DUMMYFUNCTION("""COMPUTED_VALUE"""),211.3)</f>
        <v>211.3</v>
      </c>
      <c r="E24" s="6">
        <f>IFERROR(__xludf.DUMMYFUNCTION("""COMPUTED_VALUE"""),216.2)</f>
        <v>216.2</v>
      </c>
      <c r="F24" s="6">
        <f>IFERROR(__xludf.DUMMYFUNCTION("""COMPUTED_VALUE"""),5.5255865E7)</f>
        <v>55255865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IFERROR(__xludf.DUMMYFUNCTION("""COMPUTED_VALUE"""),223.0)</f>
        <v>223</v>
      </c>
      <c r="C25" s="6">
        <f>IFERROR(__xludf.DUMMYFUNCTION("""COMPUTED_VALUE"""),223.45)</f>
        <v>223.45</v>
      </c>
      <c r="D25" s="6">
        <f>IFERROR(__xludf.DUMMYFUNCTION("""COMPUTED_VALUE"""),192.8)</f>
        <v>192.8</v>
      </c>
      <c r="E25" s="6">
        <f>IFERROR(__xludf.DUMMYFUNCTION("""COMPUTED_VALUE"""),200.8)</f>
        <v>200.8</v>
      </c>
      <c r="F25" s="6">
        <f>IFERROR(__xludf.DUMMYFUNCTION("""COMPUTED_VALUE"""),1.03721486E8)</f>
        <v>103721486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IFERROR(__xludf.DUMMYFUNCTION("""COMPUTED_VALUE"""),204.5)</f>
        <v>204.5</v>
      </c>
      <c r="C26" s="6">
        <f>IFERROR(__xludf.DUMMYFUNCTION("""COMPUTED_VALUE"""),209.35)</f>
        <v>209.35</v>
      </c>
      <c r="D26" s="6">
        <f>IFERROR(__xludf.DUMMYFUNCTION("""COMPUTED_VALUE"""),198.3)</f>
        <v>198.3</v>
      </c>
      <c r="E26" s="6">
        <f>IFERROR(__xludf.DUMMYFUNCTION("""COMPUTED_VALUE"""),208.25)</f>
        <v>208.25</v>
      </c>
      <c r="F26" s="6">
        <f>IFERROR(__xludf.DUMMYFUNCTION("""COMPUTED_VALUE"""),4.0697406E7)</f>
        <v>40697406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IFERROR(__xludf.DUMMYFUNCTION("""COMPUTED_VALUE"""),201.1)</f>
        <v>201.1</v>
      </c>
      <c r="C27" s="6">
        <f>IFERROR(__xludf.DUMMYFUNCTION("""COMPUTED_VALUE"""),201.7)</f>
        <v>201.7</v>
      </c>
      <c r="D27" s="6">
        <f>IFERROR(__xludf.DUMMYFUNCTION("""COMPUTED_VALUE"""),193.85)</f>
        <v>193.85</v>
      </c>
      <c r="E27" s="6">
        <f>IFERROR(__xludf.DUMMYFUNCTION("""COMPUTED_VALUE"""),195.05)</f>
        <v>195.05</v>
      </c>
      <c r="F27" s="6">
        <f>IFERROR(__xludf.DUMMYFUNCTION("""COMPUTED_VALUE"""),3.5470232E7)</f>
        <v>35470232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IFERROR(__xludf.DUMMYFUNCTION("""COMPUTED_VALUE"""),196.0)</f>
        <v>196</v>
      </c>
      <c r="C28" s="6">
        <f>IFERROR(__xludf.DUMMYFUNCTION("""COMPUTED_VALUE"""),196.15)</f>
        <v>196.15</v>
      </c>
      <c r="D28" s="6">
        <f>IFERROR(__xludf.DUMMYFUNCTION("""COMPUTED_VALUE"""),173.15)</f>
        <v>173.15</v>
      </c>
      <c r="E28" s="6">
        <f>IFERROR(__xludf.DUMMYFUNCTION("""COMPUTED_VALUE"""),183.15)</f>
        <v>183.15</v>
      </c>
      <c r="F28" s="6">
        <f>IFERROR(__xludf.DUMMYFUNCTION("""COMPUTED_VALUE"""),7.3892097E7)</f>
        <v>73892097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IFERROR(__xludf.DUMMYFUNCTION("""COMPUTED_VALUE"""),185.0)</f>
        <v>185</v>
      </c>
      <c r="C29" s="6">
        <f>IFERROR(__xludf.DUMMYFUNCTION("""COMPUTED_VALUE"""),186.15)</f>
        <v>186.15</v>
      </c>
      <c r="D29" s="6">
        <f>IFERROR(__xludf.DUMMYFUNCTION("""COMPUTED_VALUE"""),177.05)</f>
        <v>177.05</v>
      </c>
      <c r="E29" s="6">
        <f>IFERROR(__xludf.DUMMYFUNCTION("""COMPUTED_VALUE"""),181.75)</f>
        <v>181.75</v>
      </c>
      <c r="F29" s="6">
        <f>IFERROR(__xludf.DUMMYFUNCTION("""COMPUTED_VALUE"""),5.1663489E7)</f>
        <v>51663489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IFERROR(__xludf.DUMMYFUNCTION("""COMPUTED_VALUE"""),181.35)</f>
        <v>181.35</v>
      </c>
      <c r="C30" s="6">
        <f>IFERROR(__xludf.DUMMYFUNCTION("""COMPUTED_VALUE"""),183.75)</f>
        <v>183.75</v>
      </c>
      <c r="D30" s="6">
        <f>IFERROR(__xludf.DUMMYFUNCTION("""COMPUTED_VALUE"""),179.45)</f>
        <v>179.45</v>
      </c>
      <c r="E30" s="6">
        <f>IFERROR(__xludf.DUMMYFUNCTION("""COMPUTED_VALUE"""),180.0)</f>
        <v>180</v>
      </c>
      <c r="F30" s="6">
        <f>IFERROR(__xludf.DUMMYFUNCTION("""COMPUTED_VALUE"""),4.4760379E7)</f>
        <v>44760379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IFERROR(__xludf.DUMMYFUNCTION("""COMPUTED_VALUE"""),182.75)</f>
        <v>182.75</v>
      </c>
      <c r="C31" s="6">
        <f>IFERROR(__xludf.DUMMYFUNCTION("""COMPUTED_VALUE"""),203.0)</f>
        <v>203</v>
      </c>
      <c r="D31" s="6">
        <f>IFERROR(__xludf.DUMMYFUNCTION("""COMPUTED_VALUE"""),181.75)</f>
        <v>181.75</v>
      </c>
      <c r="E31" s="6">
        <f>IFERROR(__xludf.DUMMYFUNCTION("""COMPUTED_VALUE"""),197.35)</f>
        <v>197.35</v>
      </c>
      <c r="F31" s="6">
        <f>IFERROR(__xludf.DUMMYFUNCTION("""COMPUTED_VALUE"""),9.8294936E7)</f>
        <v>98294936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IFERROR(__xludf.DUMMYFUNCTION("""COMPUTED_VALUE"""),185.1)</f>
        <v>185.1</v>
      </c>
      <c r="C32" s="6">
        <f>IFERROR(__xludf.DUMMYFUNCTION("""COMPUTED_VALUE"""),189.25)</f>
        <v>189.25</v>
      </c>
      <c r="D32" s="6">
        <f>IFERROR(__xludf.DUMMYFUNCTION("""COMPUTED_VALUE"""),179.25)</f>
        <v>179.25</v>
      </c>
      <c r="E32" s="6">
        <f>IFERROR(__xludf.DUMMYFUNCTION("""COMPUTED_VALUE"""),182.95)</f>
        <v>182.95</v>
      </c>
      <c r="F32" s="6">
        <f>IFERROR(__xludf.DUMMYFUNCTION("""COMPUTED_VALUE"""),1.3109208E8)</f>
        <v>131092080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IFERROR(__xludf.DUMMYFUNCTION("""COMPUTED_VALUE"""),181.95)</f>
        <v>181.95</v>
      </c>
      <c r="C33" s="6">
        <f>IFERROR(__xludf.DUMMYFUNCTION("""COMPUTED_VALUE"""),181.95)</f>
        <v>181.95</v>
      </c>
      <c r="D33" s="6">
        <f>IFERROR(__xludf.DUMMYFUNCTION("""COMPUTED_VALUE"""),170.3)</f>
        <v>170.3</v>
      </c>
      <c r="E33" s="6">
        <f>IFERROR(__xludf.DUMMYFUNCTION("""COMPUTED_VALUE"""),173.55)</f>
        <v>173.55</v>
      </c>
      <c r="F33" s="6">
        <f>IFERROR(__xludf.DUMMYFUNCTION("""COMPUTED_VALUE"""),5.7439677E7)</f>
        <v>57439677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IFERROR(__xludf.DUMMYFUNCTION("""COMPUTED_VALUE"""),175.75)</f>
        <v>175.75</v>
      </c>
      <c r="C34" s="6">
        <f>IFERROR(__xludf.DUMMYFUNCTION("""COMPUTED_VALUE"""),185.85)</f>
        <v>185.85</v>
      </c>
      <c r="D34" s="6">
        <f>IFERROR(__xludf.DUMMYFUNCTION("""COMPUTED_VALUE"""),175.25)</f>
        <v>175.25</v>
      </c>
      <c r="E34" s="6">
        <f>IFERROR(__xludf.DUMMYFUNCTION("""COMPUTED_VALUE"""),184.2)</f>
        <v>184.2</v>
      </c>
      <c r="F34" s="6">
        <f>IFERROR(__xludf.DUMMYFUNCTION("""COMPUTED_VALUE"""),5.3458815E7)</f>
        <v>53458815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IFERROR(__xludf.DUMMYFUNCTION("""COMPUTED_VALUE"""),185.0)</f>
        <v>185</v>
      </c>
      <c r="C35" s="6">
        <f>IFERROR(__xludf.DUMMYFUNCTION("""COMPUTED_VALUE"""),192.55)</f>
        <v>192.55</v>
      </c>
      <c r="D35" s="6">
        <f>IFERROR(__xludf.DUMMYFUNCTION("""COMPUTED_VALUE"""),182.0)</f>
        <v>182</v>
      </c>
      <c r="E35" s="6">
        <f>IFERROR(__xludf.DUMMYFUNCTION("""COMPUTED_VALUE"""),187.6)</f>
        <v>187.6</v>
      </c>
      <c r="F35" s="6">
        <f>IFERROR(__xludf.DUMMYFUNCTION("""COMPUTED_VALUE"""),5.198414E7)</f>
        <v>51984140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IFERROR(__xludf.DUMMYFUNCTION("""COMPUTED_VALUE"""),189.1)</f>
        <v>189.1</v>
      </c>
      <c r="C36" s="6">
        <f>IFERROR(__xludf.DUMMYFUNCTION("""COMPUTED_VALUE"""),189.5)</f>
        <v>189.5</v>
      </c>
      <c r="D36" s="6">
        <f>IFERROR(__xludf.DUMMYFUNCTION("""COMPUTED_VALUE"""),179.0)</f>
        <v>179</v>
      </c>
      <c r="E36" s="6">
        <f>IFERROR(__xludf.DUMMYFUNCTION("""COMPUTED_VALUE"""),187.05)</f>
        <v>187.05</v>
      </c>
      <c r="F36" s="6">
        <f>IFERROR(__xludf.DUMMYFUNCTION("""COMPUTED_VALUE"""),5.8793296E7)</f>
        <v>58793296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IFERROR(__xludf.DUMMYFUNCTION("""COMPUTED_VALUE"""),183.0)</f>
        <v>183</v>
      </c>
      <c r="C37" s="6">
        <f>IFERROR(__xludf.DUMMYFUNCTION("""COMPUTED_VALUE"""),189.8)</f>
        <v>189.8</v>
      </c>
      <c r="D37" s="6">
        <f>IFERROR(__xludf.DUMMYFUNCTION("""COMPUTED_VALUE"""),180.5)</f>
        <v>180.5</v>
      </c>
      <c r="E37" s="6">
        <f>IFERROR(__xludf.DUMMYFUNCTION("""COMPUTED_VALUE"""),186.3)</f>
        <v>186.3</v>
      </c>
      <c r="F37" s="6">
        <f>IFERROR(__xludf.DUMMYFUNCTION("""COMPUTED_VALUE"""),4.5753179E7)</f>
        <v>45753179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IFERROR(__xludf.DUMMYFUNCTION("""COMPUTED_VALUE"""),187.1)</f>
        <v>187.1</v>
      </c>
      <c r="C38" s="6">
        <f>IFERROR(__xludf.DUMMYFUNCTION("""COMPUTED_VALUE"""),194.1)</f>
        <v>194.1</v>
      </c>
      <c r="D38" s="6">
        <f>IFERROR(__xludf.DUMMYFUNCTION("""COMPUTED_VALUE"""),185.05)</f>
        <v>185.05</v>
      </c>
      <c r="E38" s="6">
        <f>IFERROR(__xludf.DUMMYFUNCTION("""COMPUTED_VALUE"""),188.3)</f>
        <v>188.3</v>
      </c>
      <c r="F38" s="6">
        <f>IFERROR(__xludf.DUMMYFUNCTION("""COMPUTED_VALUE"""),5.5941684E7)</f>
        <v>55941684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IFERROR(__xludf.DUMMYFUNCTION("""COMPUTED_VALUE"""),192.8)</f>
        <v>192.8</v>
      </c>
      <c r="C39" s="6">
        <f>IFERROR(__xludf.DUMMYFUNCTION("""COMPUTED_VALUE"""),197.8)</f>
        <v>197.8</v>
      </c>
      <c r="D39" s="6">
        <f>IFERROR(__xludf.DUMMYFUNCTION("""COMPUTED_VALUE"""),169.15)</f>
        <v>169.15</v>
      </c>
      <c r="E39" s="6">
        <f>IFERROR(__xludf.DUMMYFUNCTION("""COMPUTED_VALUE"""),196.55)</f>
        <v>196.55</v>
      </c>
      <c r="F39" s="6">
        <f>IFERROR(__xludf.DUMMYFUNCTION("""COMPUTED_VALUE"""),8.522489E7)</f>
        <v>85224890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IFERROR(__xludf.DUMMYFUNCTION("""COMPUTED_VALUE"""),196.55)</f>
        <v>196.55</v>
      </c>
      <c r="C40" s="6">
        <f>IFERROR(__xludf.DUMMYFUNCTION("""COMPUTED_VALUE"""),202.79)</f>
        <v>202.79</v>
      </c>
      <c r="D40" s="6">
        <f>IFERROR(__xludf.DUMMYFUNCTION("""COMPUTED_VALUE"""),193.53)</f>
        <v>193.53</v>
      </c>
      <c r="E40" s="6">
        <f>IFERROR(__xludf.DUMMYFUNCTION("""COMPUTED_VALUE"""),194.34)</f>
        <v>194.34</v>
      </c>
      <c r="F40" s="6">
        <f>IFERROR(__xludf.DUMMYFUNCTION("""COMPUTED_VALUE"""),4.719817E7)</f>
        <v>47198170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IFERROR(__xludf.DUMMYFUNCTION("""COMPUTED_VALUE"""),195.0)</f>
        <v>195</v>
      </c>
      <c r="C41" s="6">
        <f>IFERROR(__xludf.DUMMYFUNCTION("""COMPUTED_VALUE"""),210.85)</f>
        <v>210.85</v>
      </c>
      <c r="D41" s="6">
        <f>IFERROR(__xludf.DUMMYFUNCTION("""COMPUTED_VALUE"""),193.51)</f>
        <v>193.51</v>
      </c>
      <c r="E41" s="6">
        <f>IFERROR(__xludf.DUMMYFUNCTION("""COMPUTED_VALUE"""),209.23)</f>
        <v>209.23</v>
      </c>
      <c r="F41" s="6">
        <f>IFERROR(__xludf.DUMMYFUNCTION("""COMPUTED_VALUE"""),9.6498696E7)</f>
        <v>96498696</v>
      </c>
    </row>
    <row r="42">
      <c r="A42" s="7">
        <f>IFERROR(__xludf.DUMMYFUNCTION("""COMPUTED_VALUE"""),45471.64583333333)</f>
        <v>45471.64583</v>
      </c>
      <c r="B42" s="6">
        <f>IFERROR(__xludf.DUMMYFUNCTION("""COMPUTED_VALUE"""),207.8)</f>
        <v>207.8</v>
      </c>
      <c r="C42" s="6">
        <f>IFERROR(__xludf.DUMMYFUNCTION("""COMPUTED_VALUE"""),209.29)</f>
        <v>209.29</v>
      </c>
      <c r="D42" s="6">
        <f>IFERROR(__xludf.DUMMYFUNCTION("""COMPUTED_VALUE"""),198.8)</f>
        <v>198.8</v>
      </c>
      <c r="E42" s="6">
        <f>IFERROR(__xludf.DUMMYFUNCTION("""COMPUTED_VALUE"""),203.78)</f>
        <v>203.78</v>
      </c>
      <c r="F42" s="6">
        <f>IFERROR(__xludf.DUMMYFUNCTION("""COMPUTED_VALUE"""),8.0115452E7)</f>
        <v>80115452</v>
      </c>
    </row>
    <row r="43">
      <c r="A43" s="7">
        <f>IFERROR(__xludf.DUMMYFUNCTION("""COMPUTED_VALUE"""),45478.64583333333)</f>
        <v>45478.64583</v>
      </c>
      <c r="B43" s="6">
        <f>IFERROR(__xludf.DUMMYFUNCTION("""COMPUTED_VALUE"""),204.0)</f>
        <v>204</v>
      </c>
      <c r="C43" s="6">
        <f>IFERROR(__xludf.DUMMYFUNCTION("""COMPUTED_VALUE"""),214.6)</f>
        <v>214.6</v>
      </c>
      <c r="D43" s="6">
        <f>IFERROR(__xludf.DUMMYFUNCTION("""COMPUTED_VALUE"""),200.9)</f>
        <v>200.9</v>
      </c>
      <c r="E43" s="6">
        <f>IFERROR(__xludf.DUMMYFUNCTION("""COMPUTED_VALUE"""),204.33)</f>
        <v>204.33</v>
      </c>
      <c r="F43" s="6">
        <f>IFERROR(__xludf.DUMMYFUNCTION("""COMPUTED_VALUE"""),7.8655273E7)</f>
        <v>78655273</v>
      </c>
    </row>
    <row r="44">
      <c r="A44" s="7">
        <f>IFERROR(__xludf.DUMMYFUNCTION("""COMPUTED_VALUE"""),45485.64583333333)</f>
        <v>45485.64583</v>
      </c>
      <c r="B44" s="6">
        <f>IFERROR(__xludf.DUMMYFUNCTION("""COMPUTED_VALUE"""),202.46)</f>
        <v>202.46</v>
      </c>
      <c r="C44" s="6">
        <f>IFERROR(__xludf.DUMMYFUNCTION("""COMPUTED_VALUE"""),205.6)</f>
        <v>205.6</v>
      </c>
      <c r="D44" s="6">
        <f>IFERROR(__xludf.DUMMYFUNCTION("""COMPUTED_VALUE"""),190.05)</f>
        <v>190.05</v>
      </c>
      <c r="E44" s="6">
        <f>IFERROR(__xludf.DUMMYFUNCTION("""COMPUTED_VALUE"""),192.6)</f>
        <v>192.6</v>
      </c>
      <c r="F44" s="6">
        <f>IFERROR(__xludf.DUMMYFUNCTION("""COMPUTED_VALUE"""),6.1127651E7)</f>
        <v>61127651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IFERROR(__xludf.DUMMYFUNCTION("""COMPUTED_VALUE"""),193.39)</f>
        <v>193.39</v>
      </c>
      <c r="C45" s="6">
        <f>IFERROR(__xludf.DUMMYFUNCTION("""COMPUTED_VALUE"""),202.95)</f>
        <v>202.95</v>
      </c>
      <c r="D45" s="6">
        <f>IFERROR(__xludf.DUMMYFUNCTION("""COMPUTED_VALUE"""),191.0)</f>
        <v>191</v>
      </c>
      <c r="E45" s="6">
        <f>IFERROR(__xludf.DUMMYFUNCTION("""COMPUTED_VALUE"""),192.45)</f>
        <v>192.45</v>
      </c>
      <c r="F45" s="6">
        <f>IFERROR(__xludf.DUMMYFUNCTION("""COMPUTED_VALUE"""),5.2910353E7)</f>
        <v>52910353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IFERROR(__xludf.DUMMYFUNCTION("""COMPUTED_VALUE"""),191.03)</f>
        <v>191.03</v>
      </c>
      <c r="C46" s="6">
        <f>IFERROR(__xludf.DUMMYFUNCTION("""COMPUTED_VALUE"""),199.49)</f>
        <v>199.49</v>
      </c>
      <c r="D46" s="6">
        <f>IFERROR(__xludf.DUMMYFUNCTION("""COMPUTED_VALUE"""),184.75)</f>
        <v>184.75</v>
      </c>
      <c r="E46" s="6">
        <f>IFERROR(__xludf.DUMMYFUNCTION("""COMPUTED_VALUE"""),192.5)</f>
        <v>192.5</v>
      </c>
      <c r="F46" s="6">
        <f>IFERROR(__xludf.DUMMYFUNCTION("""COMPUTED_VALUE"""),8.0388783E7)</f>
        <v>80388783</v>
      </c>
    </row>
    <row r="47">
      <c r="A47" s="7">
        <f>IFERROR(__xludf.DUMMYFUNCTION("""COMPUTED_VALUE"""),45506.64583333333)</f>
        <v>45506.64583</v>
      </c>
      <c r="B47" s="6">
        <f>IFERROR(__xludf.DUMMYFUNCTION("""COMPUTED_VALUE"""),203.0)</f>
        <v>203</v>
      </c>
      <c r="C47" s="6">
        <f>IFERROR(__xludf.DUMMYFUNCTION("""COMPUTED_VALUE"""),222.31)</f>
        <v>222.31</v>
      </c>
      <c r="D47" s="6">
        <f>IFERROR(__xludf.DUMMYFUNCTION("""COMPUTED_VALUE"""),200.11)</f>
        <v>200.11</v>
      </c>
      <c r="E47" s="6">
        <f>IFERROR(__xludf.DUMMYFUNCTION("""COMPUTED_VALUE"""),212.53)</f>
        <v>212.53</v>
      </c>
      <c r="F47" s="6">
        <f>IFERROR(__xludf.DUMMYFUNCTION("""COMPUTED_VALUE"""),2.10893028E8)</f>
        <v>210893028</v>
      </c>
    </row>
    <row r="48">
      <c r="A48" s="7">
        <f>IFERROR(__xludf.DUMMYFUNCTION("""COMPUTED_VALUE"""),45513.64583333333)</f>
        <v>45513.64583</v>
      </c>
      <c r="B48" s="6">
        <f>IFERROR(__xludf.DUMMYFUNCTION("""COMPUTED_VALUE"""),206.2)</f>
        <v>206.2</v>
      </c>
      <c r="C48" s="6">
        <f>IFERROR(__xludf.DUMMYFUNCTION("""COMPUTED_VALUE"""),209.2)</f>
        <v>209.2</v>
      </c>
      <c r="D48" s="6">
        <f>IFERROR(__xludf.DUMMYFUNCTION("""COMPUTED_VALUE"""),198.2)</f>
        <v>198.2</v>
      </c>
      <c r="E48" s="6">
        <f>IFERROR(__xludf.DUMMYFUNCTION("""COMPUTED_VALUE"""),199.5)</f>
        <v>199.5</v>
      </c>
      <c r="F48" s="6">
        <f>IFERROR(__xludf.DUMMYFUNCTION("""COMPUTED_VALUE"""),5.0005064E7)</f>
        <v>50005064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IFERROR(__xludf.DUMMYFUNCTION("""COMPUTED_VALUE"""),199.1)</f>
        <v>199.1</v>
      </c>
      <c r="C49" s="6">
        <f>IFERROR(__xludf.DUMMYFUNCTION("""COMPUTED_VALUE"""),200.0)</f>
        <v>200</v>
      </c>
      <c r="D49" s="6">
        <f>IFERROR(__xludf.DUMMYFUNCTION("""COMPUTED_VALUE"""),189.5)</f>
        <v>189.5</v>
      </c>
      <c r="E49" s="6">
        <f>IFERROR(__xludf.DUMMYFUNCTION("""COMPUTED_VALUE"""),191.59)</f>
        <v>191.59</v>
      </c>
      <c r="F49" s="6">
        <f>IFERROR(__xludf.DUMMYFUNCTION("""COMPUTED_VALUE"""),4.1758804E7)</f>
        <v>41758804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IFERROR(__xludf.DUMMYFUNCTION("""COMPUTED_VALUE"""),193.45)</f>
        <v>193.45</v>
      </c>
      <c r="C50" s="6">
        <f>IFERROR(__xludf.DUMMYFUNCTION("""COMPUTED_VALUE"""),211.07)</f>
        <v>211.07</v>
      </c>
      <c r="D50" s="6">
        <f>IFERROR(__xludf.DUMMYFUNCTION("""COMPUTED_VALUE"""),191.5)</f>
        <v>191.5</v>
      </c>
      <c r="E50" s="6">
        <f>IFERROR(__xludf.DUMMYFUNCTION("""COMPUTED_VALUE"""),201.72)</f>
        <v>201.72</v>
      </c>
      <c r="F50" s="6">
        <f>IFERROR(__xludf.DUMMYFUNCTION("""COMPUTED_VALUE"""),5.7723757E7)</f>
        <v>57723757</v>
      </c>
    </row>
    <row r="51">
      <c r="A51" s="7">
        <f>IFERROR(__xludf.DUMMYFUNCTION("""COMPUTED_VALUE"""),45534.64583333333)</f>
        <v>45534.64583</v>
      </c>
      <c r="B51" s="6">
        <f>IFERROR(__xludf.DUMMYFUNCTION("""COMPUTED_VALUE"""),202.0)</f>
        <v>202</v>
      </c>
      <c r="C51" s="6">
        <f>IFERROR(__xludf.DUMMYFUNCTION("""COMPUTED_VALUE"""),203.0)</f>
        <v>203</v>
      </c>
      <c r="D51" s="6">
        <f>IFERROR(__xludf.DUMMYFUNCTION("""COMPUTED_VALUE"""),191.64)</f>
        <v>191.64</v>
      </c>
      <c r="E51" s="6">
        <f>IFERROR(__xludf.DUMMYFUNCTION("""COMPUTED_VALUE"""),200.3)</f>
        <v>200.3</v>
      </c>
      <c r="F51" s="6">
        <f>IFERROR(__xludf.DUMMYFUNCTION("""COMPUTED_VALUE"""),1.59070472E8)</f>
        <v>159070472</v>
      </c>
    </row>
    <row r="52">
      <c r="A52" s="7">
        <f>IFERROR(__xludf.DUMMYFUNCTION("""COMPUTED_VALUE"""),45541.64583333333)</f>
        <v>45541.64583</v>
      </c>
      <c r="B52" s="6">
        <f>IFERROR(__xludf.DUMMYFUNCTION("""COMPUTED_VALUE"""),202.25)</f>
        <v>202.25</v>
      </c>
      <c r="C52" s="6">
        <f>IFERROR(__xludf.DUMMYFUNCTION("""COMPUTED_VALUE"""),208.25)</f>
        <v>208.25</v>
      </c>
      <c r="D52" s="6">
        <f>IFERROR(__xludf.DUMMYFUNCTION("""COMPUTED_VALUE"""),195.8)</f>
        <v>195.8</v>
      </c>
      <c r="E52" s="6">
        <f>IFERROR(__xludf.DUMMYFUNCTION("""COMPUTED_VALUE"""),196.33)</f>
        <v>196.33</v>
      </c>
      <c r="F52" s="6">
        <f>IFERROR(__xludf.DUMMYFUNCTION("""COMPUTED_VALUE"""),9.3386835E7)</f>
        <v>93386835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IFERROR(__xludf.DUMMYFUNCTION("""COMPUTED_VALUE"""),195.0)</f>
        <v>195</v>
      </c>
      <c r="C53" s="6">
        <f>IFERROR(__xludf.DUMMYFUNCTION("""COMPUTED_VALUE"""),207.75)</f>
        <v>207.75</v>
      </c>
      <c r="D53" s="6">
        <f>IFERROR(__xludf.DUMMYFUNCTION("""COMPUTED_VALUE"""),193.66)</f>
        <v>193.66</v>
      </c>
      <c r="E53" s="6">
        <f>IFERROR(__xludf.DUMMYFUNCTION("""COMPUTED_VALUE"""),207.1)</f>
        <v>207.1</v>
      </c>
      <c r="F53" s="6">
        <f>IFERROR(__xludf.DUMMYFUNCTION("""COMPUTED_VALUE"""),6.6132257E7)</f>
        <v>66132257</v>
      </c>
    </row>
    <row r="54">
      <c r="A54" s="7">
        <f>IFERROR(__xludf.DUMMYFUNCTION("""COMPUTED_VALUE"""),45555.64583333333)</f>
        <v>45555.64583</v>
      </c>
      <c r="B54" s="6">
        <f>IFERROR(__xludf.DUMMYFUNCTION("""COMPUTED_VALUE"""),207.6)</f>
        <v>207.6</v>
      </c>
      <c r="C54" s="6">
        <f>IFERROR(__xludf.DUMMYFUNCTION("""COMPUTED_VALUE"""),215.4)</f>
        <v>215.4</v>
      </c>
      <c r="D54" s="6">
        <f>IFERROR(__xludf.DUMMYFUNCTION("""COMPUTED_VALUE"""),204.7)</f>
        <v>204.7</v>
      </c>
      <c r="E54" s="6">
        <f>IFERROR(__xludf.DUMMYFUNCTION("""COMPUTED_VALUE"""),210.04)</f>
        <v>210.04</v>
      </c>
      <c r="F54" s="6">
        <f>IFERROR(__xludf.DUMMYFUNCTION("""COMPUTED_VALUE"""),9.3426885E7)</f>
        <v>93426885</v>
      </c>
    </row>
    <row r="55">
      <c r="A55" s="7">
        <f>IFERROR(__xludf.DUMMYFUNCTION("""COMPUTED_VALUE"""),45562.64583333333)</f>
        <v>45562.64583</v>
      </c>
      <c r="B55" s="6">
        <f>IFERROR(__xludf.DUMMYFUNCTION("""COMPUTED_VALUE"""),210.5)</f>
        <v>210.5</v>
      </c>
      <c r="C55" s="6">
        <f>IFERROR(__xludf.DUMMYFUNCTION("""COMPUTED_VALUE"""),215.44)</f>
        <v>215.44</v>
      </c>
      <c r="D55" s="6">
        <f>IFERROR(__xludf.DUMMYFUNCTION("""COMPUTED_VALUE"""),202.3)</f>
        <v>202.3</v>
      </c>
      <c r="E55" s="6">
        <f>IFERROR(__xludf.DUMMYFUNCTION("""COMPUTED_VALUE"""),203.22)</f>
        <v>203.22</v>
      </c>
      <c r="F55" s="6">
        <f>IFERROR(__xludf.DUMMYFUNCTION("""COMPUTED_VALUE"""),7.1388819E7)</f>
        <v>71388819</v>
      </c>
    </row>
    <row r="56">
      <c r="A56" s="7">
        <f>IFERROR(__xludf.DUMMYFUNCTION("""COMPUTED_VALUE"""),45569.64583333333)</f>
        <v>45569.64583</v>
      </c>
      <c r="B56" s="6">
        <f>IFERROR(__xludf.DUMMYFUNCTION("""COMPUTED_VALUE"""),202.5)</f>
        <v>202.5</v>
      </c>
      <c r="C56" s="6">
        <f>IFERROR(__xludf.DUMMYFUNCTION("""COMPUTED_VALUE"""),204.38)</f>
        <v>204.38</v>
      </c>
      <c r="D56" s="6">
        <f>IFERROR(__xludf.DUMMYFUNCTION("""COMPUTED_VALUE"""),186.52)</f>
        <v>186.52</v>
      </c>
      <c r="E56" s="6">
        <f>IFERROR(__xludf.DUMMYFUNCTION("""COMPUTED_VALUE"""),186.86)</f>
        <v>186.86</v>
      </c>
      <c r="F56" s="6">
        <f>IFERROR(__xludf.DUMMYFUNCTION("""COMPUTED_VALUE"""),4.9229483E7)</f>
        <v>49229483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IFERROR(__xludf.DUMMYFUNCTION("""COMPUTED_VALUE"""),190.0)</f>
        <v>190</v>
      </c>
      <c r="C57" s="6">
        <f>IFERROR(__xludf.DUMMYFUNCTION("""COMPUTED_VALUE"""),211.8)</f>
        <v>211.8</v>
      </c>
      <c r="D57" s="6">
        <f>IFERROR(__xludf.DUMMYFUNCTION("""COMPUTED_VALUE"""),182.55)</f>
        <v>182.55</v>
      </c>
      <c r="E57" s="6">
        <f>IFERROR(__xludf.DUMMYFUNCTION("""COMPUTED_VALUE"""),210.26)</f>
        <v>210.26</v>
      </c>
      <c r="F57" s="6">
        <f>IFERROR(__xludf.DUMMYFUNCTION("""COMPUTED_VALUE"""),1.66865941E8)</f>
        <v>166865941</v>
      </c>
    </row>
    <row r="58">
      <c r="A58" s="7">
        <f>IFERROR(__xludf.DUMMYFUNCTION("""COMPUTED_VALUE"""),45583.64583333333)</f>
        <v>45583.64583</v>
      </c>
      <c r="B58" s="6">
        <f>IFERROR(__xludf.DUMMYFUNCTION("""COMPUTED_VALUE"""),210.64)</f>
        <v>210.64</v>
      </c>
      <c r="C58" s="6">
        <f>IFERROR(__xludf.DUMMYFUNCTION("""COMPUTED_VALUE"""),210.65)</f>
        <v>210.65</v>
      </c>
      <c r="D58" s="6">
        <f>IFERROR(__xludf.DUMMYFUNCTION("""COMPUTED_VALUE"""),188.19)</f>
        <v>188.19</v>
      </c>
      <c r="E58" s="6">
        <f>IFERROR(__xludf.DUMMYFUNCTION("""COMPUTED_VALUE"""),191.96)</f>
        <v>191.96</v>
      </c>
      <c r="F58" s="6">
        <f>IFERROR(__xludf.DUMMYFUNCTION("""COMPUTED_VALUE"""),9.48194E7)</f>
        <v>94819400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IFERROR(__xludf.DUMMYFUNCTION("""COMPUTED_VALUE"""),191.95)</f>
        <v>191.95</v>
      </c>
      <c r="C59" s="6">
        <f>IFERROR(__xludf.DUMMYFUNCTION("""COMPUTED_VALUE"""),191.95)</f>
        <v>191.95</v>
      </c>
      <c r="D59" s="6">
        <f>IFERROR(__xludf.DUMMYFUNCTION("""COMPUTED_VALUE"""),167.3)</f>
        <v>167.3</v>
      </c>
      <c r="E59" s="6">
        <f>IFERROR(__xludf.DUMMYFUNCTION("""COMPUTED_VALUE"""),168.21)</f>
        <v>168.21</v>
      </c>
      <c r="F59" s="6">
        <f>IFERROR(__xludf.DUMMYFUNCTION("""COMPUTED_VALUE"""),7.8734121E7)</f>
        <v>78734121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IFERROR(__xludf.DUMMYFUNCTION("""COMPUTED_VALUE"""),183.5)</f>
        <v>183.5</v>
      </c>
      <c r="C60" s="6">
        <f>IFERROR(__xludf.DUMMYFUNCTION("""COMPUTED_VALUE"""),185.29)</f>
        <v>185.29</v>
      </c>
      <c r="D60" s="6">
        <f>IFERROR(__xludf.DUMMYFUNCTION("""COMPUTED_VALUE"""),176.5)</f>
        <v>176.5</v>
      </c>
      <c r="E60" s="6">
        <f>IFERROR(__xludf.DUMMYFUNCTION("""COMPUTED_VALUE"""),177.68)</f>
        <v>177.68</v>
      </c>
      <c r="F60" s="6">
        <f>IFERROR(__xludf.DUMMYFUNCTION("""COMPUTED_VALUE"""),3.444152E7)</f>
        <v>34441520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IFERROR(__xludf.DUMMYFUNCTION("""COMPUTED_VALUE"""),177.25)</f>
        <v>177.25</v>
      </c>
      <c r="C61" s="6">
        <f>IFERROR(__xludf.DUMMYFUNCTION("""COMPUTED_VALUE"""),177.45)</f>
        <v>177.45</v>
      </c>
      <c r="D61" s="6">
        <f>IFERROR(__xludf.DUMMYFUNCTION("""COMPUTED_VALUE"""),164.2)</f>
        <v>164.2</v>
      </c>
      <c r="E61" s="6">
        <f>IFERROR(__xludf.DUMMYFUNCTION("""COMPUTED_VALUE"""),167.26)</f>
        <v>167.26</v>
      </c>
      <c r="F61" s="6">
        <f>IFERROR(__xludf.DUMMYFUNCTION("""COMPUTED_VALUE"""),3.9092545E7)</f>
        <v>39092545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IFERROR(__xludf.DUMMYFUNCTION("""COMPUTED_VALUE"""),167.3)</f>
        <v>167.3</v>
      </c>
      <c r="C62" s="6">
        <f>IFERROR(__xludf.DUMMYFUNCTION("""COMPUTED_VALUE"""),172.43)</f>
        <v>172.43</v>
      </c>
      <c r="D62" s="6">
        <f>IFERROR(__xludf.DUMMYFUNCTION("""COMPUTED_VALUE"""),162.8)</f>
        <v>162.8</v>
      </c>
      <c r="E62" s="6">
        <f>IFERROR(__xludf.DUMMYFUNCTION("""COMPUTED_VALUE"""),169.93)</f>
        <v>169.93</v>
      </c>
      <c r="F62" s="6">
        <f>IFERROR(__xludf.DUMMYFUNCTION("""COMPUTED_VALUE"""),3.4028842E7)</f>
        <v>34028842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IFERROR(__xludf.DUMMYFUNCTION("""COMPUTED_VALUE"""),174.5)</f>
        <v>174.5</v>
      </c>
      <c r="C63" s="6">
        <f>IFERROR(__xludf.DUMMYFUNCTION("""COMPUTED_VALUE"""),174.77)</f>
        <v>174.77</v>
      </c>
      <c r="D63" s="6">
        <f>IFERROR(__xludf.DUMMYFUNCTION("""COMPUTED_VALUE"""),167.12)</f>
        <v>167.12</v>
      </c>
      <c r="E63" s="6">
        <f>IFERROR(__xludf.DUMMYFUNCTION("""COMPUTED_VALUE"""),169.08)</f>
        <v>169.08</v>
      </c>
      <c r="F63" s="6">
        <f>IFERROR(__xludf.DUMMYFUNCTION("""COMPUTED_VALUE"""),3.1775866E7)</f>
        <v>31775866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IFERROR(__xludf.DUMMYFUNCTION("""COMPUTED_VALUE"""),168.98)</f>
        <v>168.98</v>
      </c>
      <c r="C64" s="6">
        <f>IFERROR(__xludf.DUMMYFUNCTION("""COMPUTED_VALUE"""),179.28)</f>
        <v>179.28</v>
      </c>
      <c r="D64" s="6">
        <f>IFERROR(__xludf.DUMMYFUNCTION("""COMPUTED_VALUE"""),166.96)</f>
        <v>166.96</v>
      </c>
      <c r="E64" s="6">
        <f>IFERROR(__xludf.DUMMYFUNCTION("""COMPUTED_VALUE"""),176.27)</f>
        <v>176.27</v>
      </c>
      <c r="F64" s="6">
        <f>IFERROR(__xludf.DUMMYFUNCTION("""COMPUTED_VALUE"""),3.5945051E7)</f>
        <v>35945051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IFERROR(__xludf.DUMMYFUNCTION("""COMPUTED_VALUE"""),176.5)</f>
        <v>176.5</v>
      </c>
      <c r="C65" s="6">
        <f>IFERROR(__xludf.DUMMYFUNCTION("""COMPUTED_VALUE"""),177.25)</f>
        <v>177.25</v>
      </c>
      <c r="D65" s="6">
        <f>IFERROR(__xludf.DUMMYFUNCTION("""COMPUTED_VALUE"""),165.61)</f>
        <v>165.61</v>
      </c>
      <c r="E65" s="6">
        <f>IFERROR(__xludf.DUMMYFUNCTION("""COMPUTED_VALUE"""),169.73)</f>
        <v>169.73</v>
      </c>
      <c r="F65" s="6">
        <f>IFERROR(__xludf.DUMMYFUNCTION("""COMPUTED_VALUE"""),2.8629582E7)</f>
        <v>28629582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IFERROR(__xludf.DUMMYFUNCTION("""COMPUTED_VALUE"""),169.4)</f>
        <v>169.4</v>
      </c>
      <c r="C66" s="6">
        <f>IFERROR(__xludf.DUMMYFUNCTION("""COMPUTED_VALUE"""),170.62)</f>
        <v>170.62</v>
      </c>
      <c r="D66" s="6">
        <f>IFERROR(__xludf.DUMMYFUNCTION("""COMPUTED_VALUE"""),157.01)</f>
        <v>157.01</v>
      </c>
      <c r="E66" s="6">
        <f>IFERROR(__xludf.DUMMYFUNCTION("""COMPUTED_VALUE"""),159.05)</f>
        <v>159.05</v>
      </c>
      <c r="F66" s="6">
        <f>IFERROR(__xludf.DUMMYFUNCTION("""COMPUTED_VALUE"""),4.6184186E7)</f>
        <v>46184186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IFERROR(__xludf.DUMMYFUNCTION("""COMPUTED_VALUE"""),160.1)</f>
        <v>160.1</v>
      </c>
      <c r="C67" s="6">
        <f>IFERROR(__xludf.DUMMYFUNCTION("""COMPUTED_VALUE"""),167.38)</f>
        <v>167.38</v>
      </c>
      <c r="D67" s="6">
        <f>IFERROR(__xludf.DUMMYFUNCTION("""COMPUTED_VALUE"""),158.2)</f>
        <v>158.2</v>
      </c>
      <c r="E67" s="6">
        <f>IFERROR(__xludf.DUMMYFUNCTION("""COMPUTED_VALUE"""),160.79)</f>
        <v>160.79</v>
      </c>
      <c r="F67" s="6">
        <f>IFERROR(__xludf.DUMMYFUNCTION("""COMPUTED_VALUE"""),4.4690888E7)</f>
        <v>44690888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IFERROR(__xludf.DUMMYFUNCTION("""COMPUTED_VALUE"""),160.79)</f>
        <v>160.79</v>
      </c>
      <c r="C68" s="6">
        <f>IFERROR(__xludf.DUMMYFUNCTION("""COMPUTED_VALUE"""),161.55)</f>
        <v>161.55</v>
      </c>
      <c r="D68" s="6">
        <f>IFERROR(__xludf.DUMMYFUNCTION("""COMPUTED_VALUE"""),157.31)</f>
        <v>157.31</v>
      </c>
      <c r="E68" s="6">
        <f>IFERROR(__xludf.DUMMYFUNCTION("""COMPUTED_VALUE"""),157.68)</f>
        <v>157.68</v>
      </c>
      <c r="F68" s="6">
        <f>IFERROR(__xludf.DUMMYFUNCTION("""COMPUTED_VALUE"""),3.1808316E7)</f>
        <v>31808316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IFERROR(__xludf.DUMMYFUNCTION("""COMPUTED_VALUE"""),158.46)</f>
        <v>158.46</v>
      </c>
      <c r="C69" s="6">
        <f>IFERROR(__xludf.DUMMYFUNCTION("""COMPUTED_VALUE"""),159.8)</f>
        <v>159.8</v>
      </c>
      <c r="D69" s="6">
        <f>IFERROR(__xludf.DUMMYFUNCTION("""COMPUTED_VALUE"""),143.25)</f>
        <v>143.25</v>
      </c>
      <c r="E69" s="6">
        <f>IFERROR(__xludf.DUMMYFUNCTION("""COMPUTED_VALUE"""),143.96)</f>
        <v>143.96</v>
      </c>
      <c r="F69" s="6">
        <f>IFERROR(__xludf.DUMMYFUNCTION("""COMPUTED_VALUE"""),5.2551025E7)</f>
        <v>52551025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IFERROR(__xludf.DUMMYFUNCTION("""COMPUTED_VALUE"""),143.35)</f>
        <v>143.35</v>
      </c>
      <c r="C70" s="6">
        <f>IFERROR(__xludf.DUMMYFUNCTION("""COMPUTED_VALUE"""),151.94)</f>
        <v>151.94</v>
      </c>
      <c r="D70" s="6">
        <f>IFERROR(__xludf.DUMMYFUNCTION("""COMPUTED_VALUE"""),137.0)</f>
        <v>137</v>
      </c>
      <c r="E70" s="6">
        <f>IFERROR(__xludf.DUMMYFUNCTION("""COMPUTED_VALUE"""),151.24)</f>
        <v>151.24</v>
      </c>
      <c r="F70" s="6">
        <f>IFERROR(__xludf.DUMMYFUNCTION("""COMPUTED_VALUE"""),3.7841325E7)</f>
        <v>37841325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IFERROR(__xludf.DUMMYFUNCTION("""COMPUTED_VALUE"""),150.25)</f>
        <v>150.25</v>
      </c>
      <c r="C71" s="6">
        <f>IFERROR(__xludf.DUMMYFUNCTION("""COMPUTED_VALUE"""),153.51)</f>
        <v>153.51</v>
      </c>
      <c r="D71" s="6">
        <f>IFERROR(__xludf.DUMMYFUNCTION("""COMPUTED_VALUE"""),148.33)</f>
        <v>148.33</v>
      </c>
      <c r="E71" s="6">
        <f>IFERROR(__xludf.DUMMYFUNCTION("""COMPUTED_VALUE"""),148.83)</f>
        <v>148.83</v>
      </c>
      <c r="F71" s="6">
        <f>IFERROR(__xludf.DUMMYFUNCTION("""COMPUTED_VALUE"""),1.9497443E7)</f>
        <v>19497443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IFERROR(__xludf.DUMMYFUNCTION("""COMPUTED_VALUE"""),148.0)</f>
        <v>148</v>
      </c>
      <c r="C72" s="6">
        <f>IFERROR(__xludf.DUMMYFUNCTION("""COMPUTED_VALUE"""),156.3)</f>
        <v>156.3</v>
      </c>
      <c r="D72" s="6">
        <f>IFERROR(__xludf.DUMMYFUNCTION("""COMPUTED_VALUE"""),144.8)</f>
        <v>144.8</v>
      </c>
      <c r="E72" s="6">
        <f>IFERROR(__xludf.DUMMYFUNCTION("""COMPUTED_VALUE"""),152.37)</f>
        <v>152.37</v>
      </c>
      <c r="F72" s="6">
        <f>IFERROR(__xludf.DUMMYFUNCTION("""COMPUTED_VALUE"""),4.3239029E7)</f>
        <v>43239029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IFERROR(__xludf.DUMMYFUNCTION("""COMPUTED_VALUE"""),152.0)</f>
        <v>152</v>
      </c>
      <c r="C73" s="6">
        <f>IFERROR(__xludf.DUMMYFUNCTION("""COMPUTED_VALUE"""),152.65)</f>
        <v>152.65</v>
      </c>
      <c r="D73" s="6">
        <f>IFERROR(__xludf.DUMMYFUNCTION("""COMPUTED_VALUE"""),134.26)</f>
        <v>134.26</v>
      </c>
      <c r="E73" s="6">
        <f>IFERROR(__xludf.DUMMYFUNCTION("""COMPUTED_VALUE"""),135.38)</f>
        <v>135.38</v>
      </c>
      <c r="F73" s="6">
        <f>IFERROR(__xludf.DUMMYFUNCTION("""COMPUTED_VALUE"""),2.8803304E7)</f>
        <v>28803304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IFERROR(__xludf.DUMMYFUNCTION("""COMPUTED_VALUE"""),134.1)</f>
        <v>134.1</v>
      </c>
      <c r="C74" s="6">
        <f>IFERROR(__xludf.DUMMYFUNCTION("""COMPUTED_VALUE"""),143.0)</f>
        <v>143</v>
      </c>
      <c r="D74" s="6">
        <f>IFERROR(__xludf.DUMMYFUNCTION("""COMPUTED_VALUE"""),128.16)</f>
        <v>128.16</v>
      </c>
      <c r="E74" s="6">
        <f>IFERROR(__xludf.DUMMYFUNCTION("""COMPUTED_VALUE"""),139.38)</f>
        <v>139.38</v>
      </c>
      <c r="F74" s="6">
        <f>IFERROR(__xludf.DUMMYFUNCTION("""COMPUTED_VALUE"""),5.2301946E7)</f>
        <v>52301946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IFERROR(__xludf.DUMMYFUNCTION("""COMPUTED_VALUE"""),138.9)</f>
        <v>138.9</v>
      </c>
      <c r="C75" s="6">
        <f>IFERROR(__xludf.DUMMYFUNCTION("""COMPUTED_VALUE"""),146.38)</f>
        <v>146.38</v>
      </c>
      <c r="D75" s="6">
        <f>IFERROR(__xludf.DUMMYFUNCTION("""COMPUTED_VALUE"""),134.06)</f>
        <v>134.06</v>
      </c>
      <c r="E75" s="6">
        <f>IFERROR(__xludf.DUMMYFUNCTION("""COMPUTED_VALUE"""),141.19)</f>
        <v>141.19</v>
      </c>
      <c r="F75" s="6">
        <f>IFERROR(__xludf.DUMMYFUNCTION("""COMPUTED_VALUE"""),7.9689187E7)</f>
        <v>79689187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IFERROR(__xludf.DUMMYFUNCTION("""COMPUTED_VALUE"""),142.1)</f>
        <v>142.1</v>
      </c>
      <c r="C76" s="6">
        <f>IFERROR(__xludf.DUMMYFUNCTION("""COMPUTED_VALUE"""),151.14)</f>
        <v>151.14</v>
      </c>
      <c r="D76" s="6">
        <f>IFERROR(__xludf.DUMMYFUNCTION("""COMPUTED_VALUE"""),138.01)</f>
        <v>138.01</v>
      </c>
      <c r="E76" s="6">
        <f>IFERROR(__xludf.DUMMYFUNCTION("""COMPUTED_VALUE"""),149.93)</f>
        <v>149.93</v>
      </c>
      <c r="F76" s="6">
        <f>IFERROR(__xludf.DUMMYFUNCTION("""COMPUTED_VALUE"""),5.8078541E7)</f>
        <v>58078541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IFERROR(__xludf.DUMMYFUNCTION("""COMPUTED_VALUE"""),149.29)</f>
        <v>149.29</v>
      </c>
      <c r="C77" s="6">
        <f>IFERROR(__xludf.DUMMYFUNCTION("""COMPUTED_VALUE"""),152.24)</f>
        <v>152.24</v>
      </c>
      <c r="D77" s="6">
        <f>IFERROR(__xludf.DUMMYFUNCTION("""COMPUTED_VALUE"""),138.27)</f>
        <v>138.27</v>
      </c>
      <c r="E77" s="6">
        <f>IFERROR(__xludf.DUMMYFUNCTION("""COMPUTED_VALUE"""),139.84)</f>
        <v>139.84</v>
      </c>
      <c r="F77" s="6">
        <f>IFERROR(__xludf.DUMMYFUNCTION("""COMPUTED_VALUE"""),3.988178E7)</f>
        <v>39881780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IFERROR(__xludf.DUMMYFUNCTION("""COMPUTED_VALUE"""),140.56)</f>
        <v>140.56</v>
      </c>
      <c r="C78" s="6">
        <f>IFERROR(__xludf.DUMMYFUNCTION("""COMPUTED_VALUE"""),145.28)</f>
        <v>145.28</v>
      </c>
      <c r="D78" s="6">
        <f>IFERROR(__xludf.DUMMYFUNCTION("""COMPUTED_VALUE"""),137.61)</f>
        <v>137.61</v>
      </c>
      <c r="E78" s="6">
        <f>IFERROR(__xludf.DUMMYFUNCTION("""COMPUTED_VALUE"""),144.96)</f>
        <v>144.96</v>
      </c>
      <c r="F78" s="6">
        <f>IFERROR(__xludf.DUMMYFUNCTION("""COMPUTED_VALUE"""),3.6187937E7)</f>
        <v>36187937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IFERROR(__xludf.DUMMYFUNCTION("""COMPUTED_VALUE"""),145.21)</f>
        <v>145.21</v>
      </c>
      <c r="C79" s="6">
        <f>IFERROR(__xludf.DUMMYFUNCTION("""COMPUTED_VALUE"""),152.5)</f>
        <v>152.5</v>
      </c>
      <c r="D79" s="6">
        <f>IFERROR(__xludf.DUMMYFUNCTION("""COMPUTED_VALUE"""),145.21)</f>
        <v>145.21</v>
      </c>
      <c r="E79" s="6">
        <f>IFERROR(__xludf.DUMMYFUNCTION("""COMPUTED_VALUE"""),146.28)</f>
        <v>146.28</v>
      </c>
      <c r="F79" s="6">
        <f>IFERROR(__xludf.DUMMYFUNCTION("""COMPUTED_VALUE"""),4.574503E7)</f>
        <v>45745030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IFERROR(__xludf.DUMMYFUNCTION("""COMPUTED_VALUE"""),146.1)</f>
        <v>146.1</v>
      </c>
      <c r="C80" s="6">
        <f>IFERROR(__xludf.DUMMYFUNCTION("""COMPUTED_VALUE"""),157.89)</f>
        <v>157.89</v>
      </c>
      <c r="D80" s="6">
        <f>IFERROR(__xludf.DUMMYFUNCTION("""COMPUTED_VALUE"""),144.6)</f>
        <v>144.6</v>
      </c>
      <c r="E80" s="6">
        <f>IFERROR(__xludf.DUMMYFUNCTION("""COMPUTED_VALUE"""),153.05)</f>
        <v>153.05</v>
      </c>
      <c r="F80" s="6">
        <f>IFERROR(__xludf.DUMMYFUNCTION("""COMPUTED_VALUE"""),3.055755E7)</f>
        <v>30557550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IFERROR(__xludf.DUMMYFUNCTION("""COMPUTED_VALUE"""),145.01)</f>
        <v>145.01</v>
      </c>
      <c r="C81" s="6">
        <f>IFERROR(__xludf.DUMMYFUNCTION("""COMPUTED_VALUE"""),153.5)</f>
        <v>153.5</v>
      </c>
      <c r="D81" s="6">
        <f>IFERROR(__xludf.DUMMYFUNCTION("""COMPUTED_VALUE"""),141.5)</f>
        <v>141.5</v>
      </c>
      <c r="E81" s="6">
        <f>IFERROR(__xludf.DUMMYFUNCTION("""COMPUTED_VALUE"""),149.68)</f>
        <v>149.68</v>
      </c>
      <c r="F81" s="6">
        <f>IFERROR(__xludf.DUMMYFUNCTION("""COMPUTED_VALUE"""),2.6016127E7)</f>
        <v>26016127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IFERROR(__xludf.DUMMYFUNCTION("""COMPUTED_VALUE"""),152.0)</f>
        <v>152</v>
      </c>
      <c r="C82" s="6">
        <f>IFERROR(__xludf.DUMMYFUNCTION("""COMPUTED_VALUE"""),159.95)</f>
        <v>159.95</v>
      </c>
      <c r="D82" s="6">
        <f>IFERROR(__xludf.DUMMYFUNCTION("""COMPUTED_VALUE"""),150.55)</f>
        <v>150.55</v>
      </c>
      <c r="E82" s="6">
        <f>IFERROR(__xludf.DUMMYFUNCTION("""COMPUTED_VALUE"""),158.79)</f>
        <v>158.79</v>
      </c>
      <c r="F82" s="6">
        <f>IFERROR(__xludf.DUMMYFUNCTION("""COMPUTED_VALUE"""),2.4562313E7)</f>
        <v>24562313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IFERROR(__xludf.DUMMYFUNCTION("""COMPUTED_VALUE"""),159.35)</f>
        <v>159.35</v>
      </c>
      <c r="C83" s="6">
        <f>IFERROR(__xludf.DUMMYFUNCTION("""COMPUTED_VALUE"""),172.1)</f>
        <v>172.1</v>
      </c>
      <c r="D83" s="6">
        <f>IFERROR(__xludf.DUMMYFUNCTION("""COMPUTED_VALUE"""),159.09)</f>
        <v>159.09</v>
      </c>
      <c r="E83" s="6">
        <f>IFERROR(__xludf.DUMMYFUNCTION("""COMPUTED_VALUE"""),165.45)</f>
        <v>165.45</v>
      </c>
      <c r="F83" s="6">
        <f>IFERROR(__xludf.DUMMYFUNCTION("""COMPUTED_VALUE"""),5.7363037E7)</f>
        <v>57363037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IFERROR(__xludf.DUMMYFUNCTION("""COMPUTED_VALUE"""),164.86)</f>
        <v>164.86</v>
      </c>
      <c r="C84" s="6">
        <f>IFERROR(__xludf.DUMMYFUNCTION("""COMPUTED_VALUE"""),173.43)</f>
        <v>173.43</v>
      </c>
      <c r="D84" s="6">
        <f>IFERROR(__xludf.DUMMYFUNCTION("""COMPUTED_VALUE"""),161.15)</f>
        <v>161.15</v>
      </c>
      <c r="E84" s="6">
        <f>IFERROR(__xludf.DUMMYFUNCTION("""COMPUTED_VALUE"""),161.74)</f>
        <v>161.74</v>
      </c>
      <c r="F84" s="6">
        <f>IFERROR(__xludf.DUMMYFUNCTION("""COMPUTED_VALUE"""),5.716669E7)</f>
        <v>57166690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IFERROR(__xludf.DUMMYFUNCTION("""COMPUTED_VALUE"""),162.01)</f>
        <v>162.01</v>
      </c>
      <c r="C85" s="6">
        <f>IFERROR(__xludf.DUMMYFUNCTION("""COMPUTED_VALUE"""),166.0)</f>
        <v>166</v>
      </c>
      <c r="D85" s="6">
        <f>IFERROR(__xludf.DUMMYFUNCTION("""COMPUTED_VALUE"""),153.43)</f>
        <v>153.43</v>
      </c>
      <c r="E85" s="6">
        <f>IFERROR(__xludf.DUMMYFUNCTION("""COMPUTED_VALUE"""),156.26)</f>
        <v>156.26</v>
      </c>
      <c r="F85" s="6">
        <f>IFERROR(__xludf.DUMMYFUNCTION("""COMPUTED_VALUE"""),3.812578E7)</f>
        <v>38125780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IFERROR(__xludf.DUMMYFUNCTION("""COMPUTED_VALUE"""),162.2)</f>
        <v>162.2</v>
      </c>
      <c r="C86" s="6">
        <f>IFERROR(__xludf.DUMMYFUNCTION("""COMPUTED_VALUE"""),170.89)</f>
        <v>170.89</v>
      </c>
      <c r="D86" s="6">
        <f>IFERROR(__xludf.DUMMYFUNCTION("""COMPUTED_VALUE"""),161.7)</f>
        <v>161.7</v>
      </c>
      <c r="E86" s="6">
        <f>IFERROR(__xludf.DUMMYFUNCTION("""COMPUTED_VALUE"""),170.09)</f>
        <v>170.09</v>
      </c>
      <c r="F86" s="6">
        <f>IFERROR(__xludf.DUMMYFUNCTION("""COMPUTED_VALUE"""),3.4262894E7)</f>
        <v>34262894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IFERROR(__xludf.DUMMYFUNCTION("""COMPUTED_VALUE"""),170.09)</f>
        <v>170.09</v>
      </c>
      <c r="C87" s="6">
        <f>IFERROR(__xludf.DUMMYFUNCTION("""COMPUTED_VALUE"""),173.2)</f>
        <v>173.2</v>
      </c>
      <c r="D87" s="6">
        <f>IFERROR(__xludf.DUMMYFUNCTION("""COMPUTED_VALUE"""),163.3)</f>
        <v>163.3</v>
      </c>
      <c r="E87" s="6">
        <f>IFERROR(__xludf.DUMMYFUNCTION("""COMPUTED_VALUE"""),165.46)</f>
        <v>165.46</v>
      </c>
      <c r="F87" s="6">
        <f>IFERROR(__xludf.DUMMYFUNCTION("""COMPUTED_VALUE"""),3.0370202E7)</f>
        <v>30370202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IFERROR(__xludf.DUMMYFUNCTION("""COMPUTED_VALUE"""),165.65)</f>
        <v>165.65</v>
      </c>
      <c r="C88" s="6">
        <f>IFERROR(__xludf.DUMMYFUNCTION("""COMPUTED_VALUE"""),171.92)</f>
        <v>171.92</v>
      </c>
      <c r="D88" s="6">
        <f>IFERROR(__xludf.DUMMYFUNCTION("""COMPUTED_VALUE"""),164.4)</f>
        <v>164.4</v>
      </c>
      <c r="E88" s="6">
        <f>IFERROR(__xludf.DUMMYFUNCTION("""COMPUTED_VALUE"""),170.19)</f>
        <v>170.19</v>
      </c>
      <c r="F88" s="6">
        <f>IFERROR(__xludf.DUMMYFUNCTION("""COMPUTED_VALUE"""),2.9571585E7)</f>
        <v>29571585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IFERROR(__xludf.DUMMYFUNCTION("""COMPUTED_VALUE"""),170.54)</f>
        <v>170.54</v>
      </c>
      <c r="C89" s="6">
        <f>IFERROR(__xludf.DUMMYFUNCTION("""COMPUTED_VALUE"""),175.21)</f>
        <v>175.21</v>
      </c>
      <c r="D89" s="6">
        <f>IFERROR(__xludf.DUMMYFUNCTION("""COMPUTED_VALUE"""),166.31)</f>
        <v>166.31</v>
      </c>
      <c r="E89" s="6">
        <f>IFERROR(__xludf.DUMMYFUNCTION("""COMPUTED_VALUE"""),173.55)</f>
        <v>173.55</v>
      </c>
      <c r="F89" s="6">
        <f>IFERROR(__xludf.DUMMYFUNCTION("""COMPUTED_VALUE"""),3.9451079E7)</f>
        <v>39451079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IFERROR(__xludf.DUMMYFUNCTION("""COMPUTED_VALUE"""),175.3)</f>
        <v>175.3</v>
      </c>
      <c r="C90" s="6">
        <f>IFERROR(__xludf.DUMMYFUNCTION("""COMPUTED_VALUE"""),187.46)</f>
        <v>187.46</v>
      </c>
      <c r="D90" s="6">
        <f>IFERROR(__xludf.DUMMYFUNCTION("""COMPUTED_VALUE"""),172.5)</f>
        <v>172.5</v>
      </c>
      <c r="E90" s="6">
        <f>IFERROR(__xludf.DUMMYFUNCTION("""COMPUTED_VALUE"""),175.19)</f>
        <v>175.19</v>
      </c>
      <c r="F90" s="6">
        <f>IFERROR(__xludf.DUMMYFUNCTION("""COMPUTED_VALUE"""),8.1582106E7)</f>
        <v>81582106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IFERROR(__xludf.DUMMYFUNCTION("""COMPUTED_VALUE"""),175.15)</f>
        <v>175.15</v>
      </c>
      <c r="C91" s="6">
        <f>IFERROR(__xludf.DUMMYFUNCTION("""COMPUTED_VALUE"""),181.67)</f>
        <v>181.67</v>
      </c>
      <c r="D91" s="6">
        <f>IFERROR(__xludf.DUMMYFUNCTION("""COMPUTED_VALUE"""),172.0)</f>
        <v>172</v>
      </c>
      <c r="E91" s="6">
        <f>IFERROR(__xludf.DUMMYFUNCTION("""COMPUTED_VALUE"""),180.05)</f>
        <v>180.05</v>
      </c>
      <c r="F91" s="6">
        <f>IFERROR(__xludf.DUMMYFUNCTION("""COMPUTED_VALUE"""),4.2025197E7)</f>
        <v>42025197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IFERROR(__xludf.DUMMYFUNCTION("""COMPUTED_VALUE"""),178.0)</f>
        <v>178</v>
      </c>
      <c r="C92" s="6">
        <f>IFERROR(__xludf.DUMMYFUNCTION("""COMPUTED_VALUE"""),187.29)</f>
        <v>187.29</v>
      </c>
      <c r="D92" s="6">
        <f>IFERROR(__xludf.DUMMYFUNCTION("""COMPUTED_VALUE"""),177.44)</f>
        <v>177.44</v>
      </c>
      <c r="E92" s="6">
        <f>IFERROR(__xludf.DUMMYFUNCTION("""COMPUTED_VALUE"""),185.61)</f>
        <v>185.61</v>
      </c>
      <c r="F92" s="6">
        <f>IFERROR(__xludf.DUMMYFUNCTION("""COMPUTED_VALUE"""),3.8365772E7)</f>
        <v>38365772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IFERROR(__xludf.DUMMYFUNCTION("""COMPUTED_VALUE"""),186.01)</f>
        <v>186.01</v>
      </c>
      <c r="C93" s="6">
        <f>IFERROR(__xludf.DUMMYFUNCTION("""COMPUTED_VALUE"""),192.48)</f>
        <v>192.48</v>
      </c>
      <c r="D93" s="6">
        <f>IFERROR(__xludf.DUMMYFUNCTION("""COMPUTED_VALUE"""),176.63)</f>
        <v>176.63</v>
      </c>
      <c r="E93" s="6">
        <f>IFERROR(__xludf.DUMMYFUNCTION("""COMPUTED_VALUE"""),179.98)</f>
        <v>179.98</v>
      </c>
      <c r="F93" s="6">
        <f>IFERROR(__xludf.DUMMYFUNCTION("""COMPUTED_VALUE"""),5.2339786E7)</f>
        <v>52339786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IFERROR(__xludf.DUMMYFUNCTION("""COMPUTED_VALUE"""),179.5)</f>
        <v>179.5</v>
      </c>
      <c r="C94" s="6">
        <f>IFERROR(__xludf.DUMMYFUNCTION("""COMPUTED_VALUE"""),180.45)</f>
        <v>180.45</v>
      </c>
      <c r="D94" s="6">
        <f>IFERROR(__xludf.DUMMYFUNCTION("""COMPUTED_VALUE"""),173.8)</f>
        <v>173.8</v>
      </c>
      <c r="E94" s="6">
        <f>IFERROR(__xludf.DUMMYFUNCTION("""COMPUTED_VALUE"""),175.59)</f>
        <v>175.59</v>
      </c>
      <c r="F94" s="6">
        <f>IFERROR(__xludf.DUMMYFUNCTION("""COMPUTED_VALUE"""),2.535064E7)</f>
        <v>25350640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IFERROR(__xludf.DUMMYFUNCTION("""COMPUTED_VALUE"""),175.0)</f>
        <v>175</v>
      </c>
      <c r="C95" s="6">
        <f>IFERROR(__xludf.DUMMYFUNCTION("""COMPUTED_VALUE"""),188.15)</f>
        <v>188.15</v>
      </c>
      <c r="D95" s="6">
        <f>IFERROR(__xludf.DUMMYFUNCTION("""COMPUTED_VALUE"""),174.38)</f>
        <v>174.38</v>
      </c>
      <c r="E95" s="6">
        <f>IFERROR(__xludf.DUMMYFUNCTION("""COMPUTED_VALUE"""),187.02)</f>
        <v>187.02</v>
      </c>
      <c r="F95" s="6">
        <f>IFERROR(__xludf.DUMMYFUNCTION("""COMPUTED_VALUE"""),5.1374173E7)</f>
        <v>51374173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IFERROR(__xludf.DUMMYFUNCTION("""COMPUTED_VALUE"""),180.9)</f>
        <v>180.9</v>
      </c>
      <c r="C96" s="6">
        <f>IFERROR(__xludf.DUMMYFUNCTION("""COMPUTED_VALUE"""),184.63)</f>
        <v>184.63</v>
      </c>
      <c r="D96" s="6">
        <f>IFERROR(__xludf.DUMMYFUNCTION("""COMPUTED_VALUE"""),176.7)</f>
        <v>176.7</v>
      </c>
      <c r="E96" s="6">
        <f>IFERROR(__xludf.DUMMYFUNCTION("""COMPUTED_VALUE"""),178.19)</f>
        <v>178.19</v>
      </c>
      <c r="F96" s="6">
        <f>IFERROR(__xludf.DUMMYFUNCTION("""COMPUTED_VALUE"""),4.7790924E7)</f>
        <v>47790924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IFERROR(__xludf.DUMMYFUNCTION("""COMPUTED_VALUE"""),178.18)</f>
        <v>178.18</v>
      </c>
      <c r="C97" s="6">
        <f>IFERROR(__xludf.DUMMYFUNCTION("""COMPUTED_VALUE"""),178.97)</f>
        <v>178.97</v>
      </c>
      <c r="D97" s="6">
        <f>IFERROR(__xludf.DUMMYFUNCTION("""COMPUTED_VALUE"""),163.0)</f>
        <v>163</v>
      </c>
      <c r="E97" s="6">
        <f>IFERROR(__xludf.DUMMYFUNCTION("""COMPUTED_VALUE"""),163.42)</f>
        <v>163.42</v>
      </c>
      <c r="F97" s="6">
        <f>IFERROR(__xludf.DUMMYFUNCTION("""COMPUTED_VALUE"""),3.0009653E7)</f>
        <v>30009653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IFERROR(__xludf.DUMMYFUNCTION("""COMPUTED_VALUE"""),164.06)</f>
        <v>164.06</v>
      </c>
      <c r="C98" s="6">
        <f>IFERROR(__xludf.DUMMYFUNCTION("""COMPUTED_VALUE"""),168.98)</f>
        <v>168.98</v>
      </c>
      <c r="D98" s="6">
        <f>IFERROR(__xludf.DUMMYFUNCTION("""COMPUTED_VALUE"""),162.25)</f>
        <v>162.25</v>
      </c>
      <c r="E98" s="6">
        <f>IFERROR(__xludf.DUMMYFUNCTION("""COMPUTED_VALUE"""),165.19)</f>
        <v>165.19</v>
      </c>
      <c r="F98" s="6">
        <f>IFERROR(__xludf.DUMMYFUNCTION("""COMPUTED_VALUE"""),2.0571978E7)</f>
        <v>20571978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IFERROR(__xludf.DUMMYFUNCTION("""COMPUTED_VALUE"""),165.24)</f>
        <v>165.24</v>
      </c>
      <c r="C99" s="6">
        <f>IFERROR(__xludf.DUMMYFUNCTION("""COMPUTED_VALUE"""),168.39)</f>
        <v>168.39</v>
      </c>
      <c r="D99" s="6">
        <f>IFERROR(__xludf.DUMMYFUNCTION("""COMPUTED_VALUE"""),163.01)</f>
        <v>163.01</v>
      </c>
      <c r="E99" s="6">
        <f>IFERROR(__xludf.DUMMYFUNCTION("""COMPUTED_VALUE"""),163.38)</f>
        <v>163.38</v>
      </c>
      <c r="F99" s="6">
        <f>IFERROR(__xludf.DUMMYFUNCTION("""COMPUTED_VALUE"""),8847175.0)</f>
        <v>8847175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IFERROR(__xludf.DUMMYFUNCTION("""COMPUTED_VALUE"""),165.0)</f>
        <v>165</v>
      </c>
      <c r="C100" s="6">
        <f>IFERROR(__xludf.DUMMYFUNCTION("""COMPUTED_VALUE"""),177.39)</f>
        <v>177.39</v>
      </c>
      <c r="D100" s="6">
        <f>IFERROR(__xludf.DUMMYFUNCTION("""COMPUTED_VALUE"""),164.91)</f>
        <v>164.91</v>
      </c>
      <c r="E100" s="6">
        <f>IFERROR(__xludf.DUMMYFUNCTION("""COMPUTED_VALUE"""),173.23)</f>
        <v>173.23</v>
      </c>
      <c r="F100" s="6">
        <f>IFERROR(__xludf.DUMMYFUNCTION("""COMPUTED_VALUE"""),2.5035633E7)</f>
        <v>25035633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IFERROR(__xludf.DUMMYFUNCTION("""COMPUTED_VALUE"""),173.23)</f>
        <v>173.23</v>
      </c>
      <c r="C101" s="6">
        <f>IFERROR(__xludf.DUMMYFUNCTION("""COMPUTED_VALUE"""),174.29)</f>
        <v>174.29</v>
      </c>
      <c r="D101" s="6">
        <f>IFERROR(__xludf.DUMMYFUNCTION("""COMPUTED_VALUE"""),165.0)</f>
        <v>165</v>
      </c>
      <c r="E101" s="6">
        <f>IFERROR(__xludf.DUMMYFUNCTION("""COMPUTED_VALUE"""),165.86)</f>
        <v>165.86</v>
      </c>
      <c r="F101" s="6">
        <f>IFERROR(__xludf.DUMMYFUNCTION("""COMPUTED_VALUE"""),6.4823728E7)</f>
        <v>64823728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IFERROR(__xludf.DUMMYFUNCTION("GOOGLEFINANCE(""NSE:BANKBARODA"",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IFERROR(__xludf.DUMMYFUNCTION("""COMPUTED_VALUE"""),190.25)</f>
        <v>190.25</v>
      </c>
      <c r="C2" s="6">
        <f>IFERROR(__xludf.DUMMYFUNCTION("""COMPUTED_VALUE"""),192.9)</f>
        <v>192.9</v>
      </c>
      <c r="D2" s="6">
        <f>IFERROR(__xludf.DUMMYFUNCTION("""COMPUTED_VALUE"""),186.3)</f>
        <v>186.3</v>
      </c>
      <c r="E2" s="6">
        <f>IFERROR(__xludf.DUMMYFUNCTION("""COMPUTED_VALUE"""),190.6)</f>
        <v>190.6</v>
      </c>
      <c r="F2" s="6">
        <f>IFERROR(__xludf.DUMMYFUNCTION("""COMPUTED_VALUE"""),6.4809474E7)</f>
        <v>64809474</v>
      </c>
    </row>
    <row r="3">
      <c r="A3" s="7">
        <f>IFERROR(__xludf.DUMMYFUNCTION("""COMPUTED_VALUE"""),45177.64583333333)</f>
        <v>45177.64583</v>
      </c>
      <c r="B3" s="6">
        <f>IFERROR(__xludf.DUMMYFUNCTION("""COMPUTED_VALUE"""),191.15)</f>
        <v>191.15</v>
      </c>
      <c r="C3" s="6">
        <f>IFERROR(__xludf.DUMMYFUNCTION("""COMPUTED_VALUE"""),200.0)</f>
        <v>200</v>
      </c>
      <c r="D3" s="6">
        <f>IFERROR(__xludf.DUMMYFUNCTION("""COMPUTED_VALUE"""),190.2)</f>
        <v>190.2</v>
      </c>
      <c r="E3" s="6">
        <f>IFERROR(__xludf.DUMMYFUNCTION("""COMPUTED_VALUE"""),197.8)</f>
        <v>197.8</v>
      </c>
      <c r="F3" s="6">
        <f>IFERROR(__xludf.DUMMYFUNCTION("""COMPUTED_VALUE"""),7.2844867E7)</f>
        <v>72844867</v>
      </c>
    </row>
    <row r="4">
      <c r="A4" s="7">
        <f>IFERROR(__xludf.DUMMYFUNCTION("""COMPUTED_VALUE"""),45184.64583333333)</f>
        <v>45184.64583</v>
      </c>
      <c r="B4" s="6">
        <f>IFERROR(__xludf.DUMMYFUNCTION("""COMPUTED_VALUE"""),198.7)</f>
        <v>198.7</v>
      </c>
      <c r="C4" s="6">
        <f>IFERROR(__xludf.DUMMYFUNCTION("""COMPUTED_VALUE"""),213.2)</f>
        <v>213.2</v>
      </c>
      <c r="D4" s="6">
        <f>IFERROR(__xludf.DUMMYFUNCTION("""COMPUTED_VALUE"""),197.85)</f>
        <v>197.85</v>
      </c>
      <c r="E4" s="6">
        <f>IFERROR(__xludf.DUMMYFUNCTION("""COMPUTED_VALUE"""),210.8)</f>
        <v>210.8</v>
      </c>
      <c r="F4" s="6">
        <f>IFERROR(__xludf.DUMMYFUNCTION("""COMPUTED_VALUE"""),1.28857213E8)</f>
        <v>128857213</v>
      </c>
    </row>
    <row r="5">
      <c r="A5" s="7">
        <f>IFERROR(__xludf.DUMMYFUNCTION("""COMPUTED_VALUE"""),45191.64583333333)</f>
        <v>45191.64583</v>
      </c>
      <c r="B5" s="6">
        <f>IFERROR(__xludf.DUMMYFUNCTION("""COMPUTED_VALUE"""),209.9)</f>
        <v>209.9</v>
      </c>
      <c r="C5" s="6">
        <f>IFERROR(__xludf.DUMMYFUNCTION("""COMPUTED_VALUE"""),219.65)</f>
        <v>219.65</v>
      </c>
      <c r="D5" s="6">
        <f>IFERROR(__xludf.DUMMYFUNCTION("""COMPUTED_VALUE"""),206.45)</f>
        <v>206.45</v>
      </c>
      <c r="E5" s="6">
        <f>IFERROR(__xludf.DUMMYFUNCTION("""COMPUTED_VALUE"""),215.35)</f>
        <v>215.35</v>
      </c>
      <c r="F5" s="6">
        <f>IFERROR(__xludf.DUMMYFUNCTION("""COMPUTED_VALUE"""),1.25422088E8)</f>
        <v>125422088</v>
      </c>
    </row>
    <row r="6">
      <c r="A6" s="7">
        <f>IFERROR(__xludf.DUMMYFUNCTION("""COMPUTED_VALUE"""),45198.64583333333)</f>
        <v>45198.64583</v>
      </c>
      <c r="B6" s="6">
        <f>IFERROR(__xludf.DUMMYFUNCTION("""COMPUTED_VALUE"""),216.3)</f>
        <v>216.3</v>
      </c>
      <c r="C6" s="6">
        <f>IFERROR(__xludf.DUMMYFUNCTION("""COMPUTED_VALUE"""),219.45)</f>
        <v>219.45</v>
      </c>
      <c r="D6" s="6">
        <f>IFERROR(__xludf.DUMMYFUNCTION("""COMPUTED_VALUE"""),209.75)</f>
        <v>209.75</v>
      </c>
      <c r="E6" s="6">
        <f>IFERROR(__xludf.DUMMYFUNCTION("""COMPUTED_VALUE"""),213.95)</f>
        <v>213.95</v>
      </c>
      <c r="F6" s="6">
        <f>IFERROR(__xludf.DUMMYFUNCTION("""COMPUTED_VALUE"""),8.5494476E7)</f>
        <v>85494476</v>
      </c>
    </row>
    <row r="7">
      <c r="A7" s="7">
        <f>IFERROR(__xludf.DUMMYFUNCTION("""COMPUTED_VALUE"""),45205.64583333333)</f>
        <v>45205.64583</v>
      </c>
      <c r="B7" s="6">
        <f>IFERROR(__xludf.DUMMYFUNCTION("""COMPUTED_VALUE"""),213.5)</f>
        <v>213.5</v>
      </c>
      <c r="C7" s="6">
        <f>IFERROR(__xludf.DUMMYFUNCTION("""COMPUTED_VALUE"""),218.2)</f>
        <v>218.2</v>
      </c>
      <c r="D7" s="6">
        <f>IFERROR(__xludf.DUMMYFUNCTION("""COMPUTED_VALUE"""),210.0)</f>
        <v>210</v>
      </c>
      <c r="E7" s="6">
        <f>IFERROR(__xludf.DUMMYFUNCTION("""COMPUTED_VALUE"""),215.3)</f>
        <v>215.3</v>
      </c>
      <c r="F7" s="6">
        <f>IFERROR(__xludf.DUMMYFUNCTION("""COMPUTED_VALUE"""),6.0803164E7)</f>
        <v>60803164</v>
      </c>
    </row>
    <row r="8">
      <c r="A8" s="7">
        <f>IFERROR(__xludf.DUMMYFUNCTION("""COMPUTED_VALUE"""),45212.64583333333)</f>
        <v>45212.64583</v>
      </c>
      <c r="B8" s="6">
        <f>IFERROR(__xludf.DUMMYFUNCTION("""COMPUTED_VALUE"""),212.4)</f>
        <v>212.4</v>
      </c>
      <c r="C8" s="6">
        <f>IFERROR(__xludf.DUMMYFUNCTION("""COMPUTED_VALUE"""),215.3)</f>
        <v>215.3</v>
      </c>
      <c r="D8" s="6">
        <f>IFERROR(__xludf.DUMMYFUNCTION("""COMPUTED_VALUE"""),201.2)</f>
        <v>201.2</v>
      </c>
      <c r="E8" s="6">
        <f>IFERROR(__xludf.DUMMYFUNCTION("""COMPUTED_VALUE"""),203.5)</f>
        <v>203.5</v>
      </c>
      <c r="F8" s="6">
        <f>IFERROR(__xludf.DUMMYFUNCTION("""COMPUTED_VALUE"""),1.09510195E8)</f>
        <v>109510195</v>
      </c>
    </row>
    <row r="9">
      <c r="A9" s="7">
        <f>IFERROR(__xludf.DUMMYFUNCTION("""COMPUTED_VALUE"""),45219.64583333333)</f>
        <v>45219.64583</v>
      </c>
      <c r="B9" s="6">
        <f>IFERROR(__xludf.DUMMYFUNCTION("""COMPUTED_VALUE"""),201.45)</f>
        <v>201.45</v>
      </c>
      <c r="C9" s="6">
        <f>IFERROR(__xludf.DUMMYFUNCTION("""COMPUTED_VALUE"""),208.65)</f>
        <v>208.65</v>
      </c>
      <c r="D9" s="6">
        <f>IFERROR(__xludf.DUMMYFUNCTION("""COMPUTED_VALUE"""),201.2)</f>
        <v>201.2</v>
      </c>
      <c r="E9" s="6">
        <f>IFERROR(__xludf.DUMMYFUNCTION("""COMPUTED_VALUE"""),202.3)</f>
        <v>202.3</v>
      </c>
      <c r="F9" s="6">
        <f>IFERROR(__xludf.DUMMYFUNCTION("""COMPUTED_VALUE"""),7.8466931E7)</f>
        <v>78466931</v>
      </c>
    </row>
    <row r="10">
      <c r="A10" s="7">
        <f>IFERROR(__xludf.DUMMYFUNCTION("""COMPUTED_VALUE"""),45226.64583333333)</f>
        <v>45226.64583</v>
      </c>
      <c r="B10" s="6">
        <f>IFERROR(__xludf.DUMMYFUNCTION("""COMPUTED_VALUE"""),202.3)</f>
        <v>202.3</v>
      </c>
      <c r="C10" s="6">
        <f>IFERROR(__xludf.DUMMYFUNCTION("""COMPUTED_VALUE"""),203.75)</f>
        <v>203.75</v>
      </c>
      <c r="D10" s="6">
        <f>IFERROR(__xludf.DUMMYFUNCTION("""COMPUTED_VALUE"""),187.85)</f>
        <v>187.85</v>
      </c>
      <c r="E10" s="6">
        <f>IFERROR(__xludf.DUMMYFUNCTION("""COMPUTED_VALUE"""),196.85)</f>
        <v>196.85</v>
      </c>
      <c r="F10" s="6">
        <f>IFERROR(__xludf.DUMMYFUNCTION("""COMPUTED_VALUE"""),7.5288295E7)</f>
        <v>75288295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IFERROR(__xludf.DUMMYFUNCTION("""COMPUTED_VALUE"""),197.15)</f>
        <v>197.15</v>
      </c>
      <c r="C11" s="6">
        <f>IFERROR(__xludf.DUMMYFUNCTION("""COMPUTED_VALUE"""),204.25)</f>
        <v>204.25</v>
      </c>
      <c r="D11" s="6">
        <f>IFERROR(__xludf.DUMMYFUNCTION("""COMPUTED_VALUE"""),194.6)</f>
        <v>194.6</v>
      </c>
      <c r="E11" s="6">
        <f>IFERROR(__xludf.DUMMYFUNCTION("""COMPUTED_VALUE"""),203.8)</f>
        <v>203.8</v>
      </c>
      <c r="F11" s="6">
        <f>IFERROR(__xludf.DUMMYFUNCTION("""COMPUTED_VALUE"""),6.2356909E7)</f>
        <v>62356909</v>
      </c>
    </row>
    <row r="12">
      <c r="A12" s="7">
        <f>IFERROR(__xludf.DUMMYFUNCTION("""COMPUTED_VALUE"""),45240.64583333333)</f>
        <v>45240.64583</v>
      </c>
      <c r="B12" s="6">
        <f>IFERROR(__xludf.DUMMYFUNCTION("""COMPUTED_VALUE"""),200.0)</f>
        <v>200</v>
      </c>
      <c r="C12" s="6">
        <f>IFERROR(__xludf.DUMMYFUNCTION("""COMPUTED_VALUE"""),201.7)</f>
        <v>201.7</v>
      </c>
      <c r="D12" s="6">
        <f>IFERROR(__xludf.DUMMYFUNCTION("""COMPUTED_VALUE"""),190.65)</f>
        <v>190.65</v>
      </c>
      <c r="E12" s="6">
        <f>IFERROR(__xludf.DUMMYFUNCTION("""COMPUTED_VALUE"""),194.85)</f>
        <v>194.85</v>
      </c>
      <c r="F12" s="6">
        <f>IFERROR(__xludf.DUMMYFUNCTION("""COMPUTED_VALUE"""),1.34242529E8)</f>
        <v>134242529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IFERROR(__xludf.DUMMYFUNCTION("""COMPUTED_VALUE"""),196.0)</f>
        <v>196</v>
      </c>
      <c r="C13" s="6">
        <f>IFERROR(__xludf.DUMMYFUNCTION("""COMPUTED_VALUE"""),200.0)</f>
        <v>200</v>
      </c>
      <c r="D13" s="6">
        <f>IFERROR(__xludf.DUMMYFUNCTION("""COMPUTED_VALUE"""),193.4)</f>
        <v>193.4</v>
      </c>
      <c r="E13" s="6">
        <f>IFERROR(__xludf.DUMMYFUNCTION("""COMPUTED_VALUE"""),196.8)</f>
        <v>196.8</v>
      </c>
      <c r="F13" s="6">
        <f>IFERROR(__xludf.DUMMYFUNCTION("""COMPUTED_VALUE"""),6.4175651E7)</f>
        <v>64175651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IFERROR(__xludf.DUMMYFUNCTION("""COMPUTED_VALUE"""),197.5)</f>
        <v>197.5</v>
      </c>
      <c r="C14" s="6">
        <f>IFERROR(__xludf.DUMMYFUNCTION("""COMPUTED_VALUE"""),198.7)</f>
        <v>198.7</v>
      </c>
      <c r="D14" s="6">
        <f>IFERROR(__xludf.DUMMYFUNCTION("""COMPUTED_VALUE"""),192.75)</f>
        <v>192.75</v>
      </c>
      <c r="E14" s="6">
        <f>IFERROR(__xludf.DUMMYFUNCTION("""COMPUTED_VALUE"""),193.1)</f>
        <v>193.1</v>
      </c>
      <c r="F14" s="6">
        <f>IFERROR(__xludf.DUMMYFUNCTION("""COMPUTED_VALUE"""),4.5825551E7)</f>
        <v>45825551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IFERROR(__xludf.DUMMYFUNCTION("""COMPUTED_VALUE"""),193.05)</f>
        <v>193.05</v>
      </c>
      <c r="C15" s="6">
        <f>IFERROR(__xludf.DUMMYFUNCTION("""COMPUTED_VALUE"""),203.85)</f>
        <v>203.85</v>
      </c>
      <c r="D15" s="6">
        <f>IFERROR(__xludf.DUMMYFUNCTION("""COMPUTED_VALUE"""),192.75)</f>
        <v>192.75</v>
      </c>
      <c r="E15" s="6">
        <f>IFERROR(__xludf.DUMMYFUNCTION("""COMPUTED_VALUE"""),201.85)</f>
        <v>201.85</v>
      </c>
      <c r="F15" s="6">
        <f>IFERROR(__xludf.DUMMYFUNCTION("""COMPUTED_VALUE"""),6.3481207E7)</f>
        <v>63481207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IFERROR(__xludf.DUMMYFUNCTION("""COMPUTED_VALUE"""),205.15)</f>
        <v>205.15</v>
      </c>
      <c r="C16" s="6">
        <f>IFERROR(__xludf.DUMMYFUNCTION("""COMPUTED_VALUE"""),215.7)</f>
        <v>215.7</v>
      </c>
      <c r="D16" s="6">
        <f>IFERROR(__xludf.DUMMYFUNCTION("""COMPUTED_VALUE"""),205.15)</f>
        <v>205.15</v>
      </c>
      <c r="E16" s="6">
        <f>IFERROR(__xludf.DUMMYFUNCTION("""COMPUTED_VALUE"""),212.0)</f>
        <v>212</v>
      </c>
      <c r="F16" s="6">
        <f>IFERROR(__xludf.DUMMYFUNCTION("""COMPUTED_VALUE"""),1.2673121E8)</f>
        <v>126731210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IFERROR(__xludf.DUMMYFUNCTION("""COMPUTED_VALUE"""),213.0)</f>
        <v>213</v>
      </c>
      <c r="C17" s="6">
        <f>IFERROR(__xludf.DUMMYFUNCTION("""COMPUTED_VALUE"""),226.4)</f>
        <v>226.4</v>
      </c>
      <c r="D17" s="6">
        <f>IFERROR(__xludf.DUMMYFUNCTION("""COMPUTED_VALUE"""),212.9)</f>
        <v>212.9</v>
      </c>
      <c r="E17" s="6">
        <f>IFERROR(__xludf.DUMMYFUNCTION("""COMPUTED_VALUE"""),224.7)</f>
        <v>224.7</v>
      </c>
      <c r="F17" s="6">
        <f>IFERROR(__xludf.DUMMYFUNCTION("""COMPUTED_VALUE"""),1.10787731E8)</f>
        <v>110787731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IFERROR(__xludf.DUMMYFUNCTION("""COMPUTED_VALUE"""),224.45)</f>
        <v>224.45</v>
      </c>
      <c r="C18" s="6">
        <f>IFERROR(__xludf.DUMMYFUNCTION("""COMPUTED_VALUE"""),229.5)</f>
        <v>229.5</v>
      </c>
      <c r="D18" s="6">
        <f>IFERROR(__xludf.DUMMYFUNCTION("""COMPUTED_VALUE"""),215.1)</f>
        <v>215.1</v>
      </c>
      <c r="E18" s="6">
        <f>IFERROR(__xludf.DUMMYFUNCTION("""COMPUTED_VALUE"""),223.6)</f>
        <v>223.6</v>
      </c>
      <c r="F18" s="6">
        <f>IFERROR(__xludf.DUMMYFUNCTION("""COMPUTED_VALUE"""),8.322682E7)</f>
        <v>83226820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IFERROR(__xludf.DUMMYFUNCTION("""COMPUTED_VALUE"""),222.9)</f>
        <v>222.9</v>
      </c>
      <c r="C19" s="6">
        <f>IFERROR(__xludf.DUMMYFUNCTION("""COMPUTED_VALUE"""),235.95)</f>
        <v>235.95</v>
      </c>
      <c r="D19" s="6">
        <f>IFERROR(__xludf.DUMMYFUNCTION("""COMPUTED_VALUE"""),222.9)</f>
        <v>222.9</v>
      </c>
      <c r="E19" s="6">
        <f>IFERROR(__xludf.DUMMYFUNCTION("""COMPUTED_VALUE"""),231.1)</f>
        <v>231.1</v>
      </c>
      <c r="F19" s="6">
        <f>IFERROR(__xludf.DUMMYFUNCTION("""COMPUTED_VALUE"""),8.3215236E7)</f>
        <v>83215236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IFERROR(__xludf.DUMMYFUNCTION("""COMPUTED_VALUE"""),232.45)</f>
        <v>232.45</v>
      </c>
      <c r="C20" s="6">
        <f>IFERROR(__xludf.DUMMYFUNCTION("""COMPUTED_VALUE"""),240.1)</f>
        <v>240.1</v>
      </c>
      <c r="D20" s="6">
        <f>IFERROR(__xludf.DUMMYFUNCTION("""COMPUTED_VALUE"""),227.25)</f>
        <v>227.25</v>
      </c>
      <c r="E20" s="6">
        <f>IFERROR(__xludf.DUMMYFUNCTION("""COMPUTED_VALUE"""),234.65)</f>
        <v>234.65</v>
      </c>
      <c r="F20" s="6">
        <f>IFERROR(__xludf.DUMMYFUNCTION("""COMPUTED_VALUE"""),7.6658647E7)</f>
        <v>76658647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IFERROR(__xludf.DUMMYFUNCTION("""COMPUTED_VALUE"""),231.5)</f>
        <v>231.5</v>
      </c>
      <c r="C21" s="6">
        <f>IFERROR(__xludf.DUMMYFUNCTION("""COMPUTED_VALUE"""),232.25)</f>
        <v>232.25</v>
      </c>
      <c r="D21" s="6">
        <f>IFERROR(__xludf.DUMMYFUNCTION("""COMPUTED_VALUE"""),219.45)</f>
        <v>219.45</v>
      </c>
      <c r="E21" s="6">
        <f>IFERROR(__xludf.DUMMYFUNCTION("""COMPUTED_VALUE"""),229.9)</f>
        <v>229.9</v>
      </c>
      <c r="F21" s="6">
        <f>IFERROR(__xludf.DUMMYFUNCTION("""COMPUTED_VALUE"""),8.3445294E7)</f>
        <v>83445294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IFERROR(__xludf.DUMMYFUNCTION("""COMPUTED_VALUE"""),234.0)</f>
        <v>234</v>
      </c>
      <c r="C22" s="6">
        <f>IFERROR(__xludf.DUMMYFUNCTION("""COMPUTED_VALUE"""),235.75)</f>
        <v>235.75</v>
      </c>
      <c r="D22" s="6">
        <f>IFERROR(__xludf.DUMMYFUNCTION("""COMPUTED_VALUE"""),219.65)</f>
        <v>219.65</v>
      </c>
      <c r="E22" s="6">
        <f>IFERROR(__xludf.DUMMYFUNCTION("""COMPUTED_VALUE"""),227.05)</f>
        <v>227.05</v>
      </c>
      <c r="F22" s="6">
        <f>IFERROR(__xludf.DUMMYFUNCTION("""COMPUTED_VALUE"""),9.3636306E7)</f>
        <v>93636306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IFERROR(__xludf.DUMMYFUNCTION("""COMPUTED_VALUE"""),227.65)</f>
        <v>227.65</v>
      </c>
      <c r="C23" s="6">
        <f>IFERROR(__xludf.DUMMYFUNCTION("""COMPUTED_VALUE"""),261.0)</f>
        <v>261</v>
      </c>
      <c r="D23" s="6">
        <f>IFERROR(__xludf.DUMMYFUNCTION("""COMPUTED_VALUE"""),227.65)</f>
        <v>227.65</v>
      </c>
      <c r="E23" s="6">
        <f>IFERROR(__xludf.DUMMYFUNCTION("""COMPUTED_VALUE"""),255.25)</f>
        <v>255.25</v>
      </c>
      <c r="F23" s="6">
        <f>IFERROR(__xludf.DUMMYFUNCTION("""COMPUTED_VALUE"""),1.80700397E8)</f>
        <v>180700397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IFERROR(__xludf.DUMMYFUNCTION("""COMPUTED_VALUE"""),257.65)</f>
        <v>257.65</v>
      </c>
      <c r="C24" s="6">
        <f>IFERROR(__xludf.DUMMYFUNCTION("""COMPUTED_VALUE"""),266.5)</f>
        <v>266.5</v>
      </c>
      <c r="D24" s="6">
        <f>IFERROR(__xludf.DUMMYFUNCTION("""COMPUTED_VALUE"""),242.65)</f>
        <v>242.65</v>
      </c>
      <c r="E24" s="6">
        <f>IFERROR(__xludf.DUMMYFUNCTION("""COMPUTED_VALUE"""),263.5)</f>
        <v>263.5</v>
      </c>
      <c r="F24" s="6">
        <f>IFERROR(__xludf.DUMMYFUNCTION("""COMPUTED_VALUE"""),1.74292677E8)</f>
        <v>174292677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IFERROR(__xludf.DUMMYFUNCTION("""COMPUTED_VALUE"""),266.1)</f>
        <v>266.1</v>
      </c>
      <c r="C25" s="6">
        <f>IFERROR(__xludf.DUMMYFUNCTION("""COMPUTED_VALUE"""),280.75)</f>
        <v>280.75</v>
      </c>
      <c r="D25" s="6">
        <f>IFERROR(__xludf.DUMMYFUNCTION("""COMPUTED_VALUE"""),249.2)</f>
        <v>249.2</v>
      </c>
      <c r="E25" s="6">
        <f>IFERROR(__xludf.DUMMYFUNCTION("""COMPUTED_VALUE"""),275.65)</f>
        <v>275.65</v>
      </c>
      <c r="F25" s="6">
        <f>IFERROR(__xludf.DUMMYFUNCTION("""COMPUTED_VALUE"""),1.28527883E8)</f>
        <v>128527883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IFERROR(__xludf.DUMMYFUNCTION("""COMPUTED_VALUE"""),275.65)</f>
        <v>275.65</v>
      </c>
      <c r="C26" s="6">
        <f>IFERROR(__xludf.DUMMYFUNCTION("""COMPUTED_VALUE"""),280.15)</f>
        <v>280.15</v>
      </c>
      <c r="D26" s="6">
        <f>IFERROR(__xludf.DUMMYFUNCTION("""COMPUTED_VALUE"""),265.3)</f>
        <v>265.3</v>
      </c>
      <c r="E26" s="6">
        <f>IFERROR(__xludf.DUMMYFUNCTION("""COMPUTED_VALUE"""),268.85)</f>
        <v>268.85</v>
      </c>
      <c r="F26" s="6">
        <f>IFERROR(__xludf.DUMMYFUNCTION("""COMPUTED_VALUE"""),8.2773526E7)</f>
        <v>82773526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IFERROR(__xludf.DUMMYFUNCTION("""COMPUTED_VALUE"""),273.55)</f>
        <v>273.55</v>
      </c>
      <c r="C27" s="6">
        <f>IFERROR(__xludf.DUMMYFUNCTION("""COMPUTED_VALUE"""),284.5)</f>
        <v>284.5</v>
      </c>
      <c r="D27" s="6">
        <f>IFERROR(__xludf.DUMMYFUNCTION("""COMPUTED_VALUE"""),271.3)</f>
        <v>271.3</v>
      </c>
      <c r="E27" s="6">
        <f>IFERROR(__xludf.DUMMYFUNCTION("""COMPUTED_VALUE"""),281.75)</f>
        <v>281.75</v>
      </c>
      <c r="F27" s="6">
        <f>IFERROR(__xludf.DUMMYFUNCTION("""COMPUTED_VALUE"""),6.9888047E7)</f>
        <v>69888047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IFERROR(__xludf.DUMMYFUNCTION("""COMPUTED_VALUE"""),283.85)</f>
        <v>283.85</v>
      </c>
      <c r="C28" s="6">
        <f>IFERROR(__xludf.DUMMYFUNCTION("""COMPUTED_VALUE"""),285.6)</f>
        <v>285.6</v>
      </c>
      <c r="D28" s="6">
        <f>IFERROR(__xludf.DUMMYFUNCTION("""COMPUTED_VALUE"""),250.15)</f>
        <v>250.15</v>
      </c>
      <c r="E28" s="6">
        <f>IFERROR(__xludf.DUMMYFUNCTION("""COMPUTED_VALUE"""),254.0)</f>
        <v>254</v>
      </c>
      <c r="F28" s="6">
        <f>IFERROR(__xludf.DUMMYFUNCTION("""COMPUTED_VALUE"""),8.1682765E7)</f>
        <v>81682765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IFERROR(__xludf.DUMMYFUNCTION("""COMPUTED_VALUE"""),253.45)</f>
        <v>253.45</v>
      </c>
      <c r="C29" s="6">
        <f>IFERROR(__xludf.DUMMYFUNCTION("""COMPUTED_VALUE"""),260.9)</f>
        <v>260.9</v>
      </c>
      <c r="D29" s="6">
        <f>IFERROR(__xludf.DUMMYFUNCTION("""COMPUTED_VALUE"""),243.8)</f>
        <v>243.8</v>
      </c>
      <c r="E29" s="6">
        <f>IFERROR(__xludf.DUMMYFUNCTION("""COMPUTED_VALUE"""),259.8)</f>
        <v>259.8</v>
      </c>
      <c r="F29" s="6">
        <f>IFERROR(__xludf.DUMMYFUNCTION("""COMPUTED_VALUE"""),6.069047E7)</f>
        <v>60690470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IFERROR(__xludf.DUMMYFUNCTION("""COMPUTED_VALUE"""),259.0)</f>
        <v>259</v>
      </c>
      <c r="C30" s="6">
        <f>IFERROR(__xludf.DUMMYFUNCTION("""COMPUTED_VALUE"""),266.4)</f>
        <v>266.4</v>
      </c>
      <c r="D30" s="6">
        <f>IFERROR(__xludf.DUMMYFUNCTION("""COMPUTED_VALUE"""),257.7)</f>
        <v>257.7</v>
      </c>
      <c r="E30" s="6">
        <f>IFERROR(__xludf.DUMMYFUNCTION("""COMPUTED_VALUE"""),264.05)</f>
        <v>264.05</v>
      </c>
      <c r="F30" s="6">
        <f>IFERROR(__xludf.DUMMYFUNCTION("""COMPUTED_VALUE"""),3.9423091E7)</f>
        <v>39423091</v>
      </c>
    </row>
    <row r="31">
      <c r="A31" s="7">
        <f>IFERROR(__xludf.DUMMYFUNCTION("""COMPUTED_VALUE"""),45387.64583333333)</f>
        <v>45387.64583</v>
      </c>
      <c r="B31" s="6">
        <f>IFERROR(__xludf.DUMMYFUNCTION("""COMPUTED_VALUE"""),266.0)</f>
        <v>266</v>
      </c>
      <c r="C31" s="6">
        <f>IFERROR(__xludf.DUMMYFUNCTION("""COMPUTED_VALUE"""),276.7)</f>
        <v>276.7</v>
      </c>
      <c r="D31" s="6">
        <f>IFERROR(__xludf.DUMMYFUNCTION("""COMPUTED_VALUE"""),265.1)</f>
        <v>265.1</v>
      </c>
      <c r="E31" s="6">
        <f>IFERROR(__xludf.DUMMYFUNCTION("""COMPUTED_VALUE"""),268.9)</f>
        <v>268.9</v>
      </c>
      <c r="F31" s="6">
        <f>IFERROR(__xludf.DUMMYFUNCTION("""COMPUTED_VALUE"""),6.2193859E7)</f>
        <v>62193859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IFERROR(__xludf.DUMMYFUNCTION("""COMPUTED_VALUE"""),272.0)</f>
        <v>272</v>
      </c>
      <c r="C32" s="6">
        <f>IFERROR(__xludf.DUMMYFUNCTION("""COMPUTED_VALUE"""),272.45)</f>
        <v>272.45</v>
      </c>
      <c r="D32" s="6">
        <f>IFERROR(__xludf.DUMMYFUNCTION("""COMPUTED_VALUE"""),263.5)</f>
        <v>263.5</v>
      </c>
      <c r="E32" s="6">
        <f>IFERROR(__xludf.DUMMYFUNCTION("""COMPUTED_VALUE"""),267.95)</f>
        <v>267.95</v>
      </c>
      <c r="F32" s="6">
        <f>IFERROR(__xludf.DUMMYFUNCTION("""COMPUTED_VALUE"""),5.3173904E7)</f>
        <v>53173904</v>
      </c>
    </row>
    <row r="33">
      <c r="A33" s="7">
        <f>IFERROR(__xludf.DUMMYFUNCTION("""COMPUTED_VALUE"""),45401.64583333333)</f>
        <v>45401.64583</v>
      </c>
      <c r="B33" s="6">
        <f>IFERROR(__xludf.DUMMYFUNCTION("""COMPUTED_VALUE"""),265.15)</f>
        <v>265.15</v>
      </c>
      <c r="C33" s="6">
        <f>IFERROR(__xludf.DUMMYFUNCTION("""COMPUTED_VALUE"""),266.5)</f>
        <v>266.5</v>
      </c>
      <c r="D33" s="6">
        <f>IFERROR(__xludf.DUMMYFUNCTION("""COMPUTED_VALUE"""),251.1)</f>
        <v>251.1</v>
      </c>
      <c r="E33" s="6">
        <f>IFERROR(__xludf.DUMMYFUNCTION("""COMPUTED_VALUE"""),256.95)</f>
        <v>256.95</v>
      </c>
      <c r="F33" s="6">
        <f>IFERROR(__xludf.DUMMYFUNCTION("""COMPUTED_VALUE"""),4.5284362E7)</f>
        <v>45284362</v>
      </c>
    </row>
    <row r="34">
      <c r="A34" s="7">
        <f>IFERROR(__xludf.DUMMYFUNCTION("""COMPUTED_VALUE"""),45408.64583333333)</f>
        <v>45408.64583</v>
      </c>
      <c r="B34" s="6">
        <f>IFERROR(__xludf.DUMMYFUNCTION("""COMPUTED_VALUE"""),258.9)</f>
        <v>258.9</v>
      </c>
      <c r="C34" s="6">
        <f>IFERROR(__xludf.DUMMYFUNCTION("""COMPUTED_VALUE"""),272.7)</f>
        <v>272.7</v>
      </c>
      <c r="D34" s="6">
        <f>IFERROR(__xludf.DUMMYFUNCTION("""COMPUTED_VALUE"""),257.8)</f>
        <v>257.8</v>
      </c>
      <c r="E34" s="6">
        <f>IFERROR(__xludf.DUMMYFUNCTION("""COMPUTED_VALUE"""),268.05)</f>
        <v>268.05</v>
      </c>
      <c r="F34" s="6">
        <f>IFERROR(__xludf.DUMMYFUNCTION("""COMPUTED_VALUE"""),7.0849983E7)</f>
        <v>70849983</v>
      </c>
    </row>
    <row r="35">
      <c r="A35" s="7">
        <f>IFERROR(__xludf.DUMMYFUNCTION("""COMPUTED_VALUE"""),45415.64583333333)</f>
        <v>45415.64583</v>
      </c>
      <c r="B35" s="6">
        <f>IFERROR(__xludf.DUMMYFUNCTION("""COMPUTED_VALUE"""),269.1)</f>
        <v>269.1</v>
      </c>
      <c r="C35" s="6">
        <f>IFERROR(__xludf.DUMMYFUNCTION("""COMPUTED_VALUE"""),284.8)</f>
        <v>284.8</v>
      </c>
      <c r="D35" s="6">
        <f>IFERROR(__xludf.DUMMYFUNCTION("""COMPUTED_VALUE"""),265.0)</f>
        <v>265</v>
      </c>
      <c r="E35" s="6">
        <f>IFERROR(__xludf.DUMMYFUNCTION("""COMPUTED_VALUE"""),275.75)</f>
        <v>275.75</v>
      </c>
      <c r="F35" s="6">
        <f>IFERROR(__xludf.DUMMYFUNCTION("""COMPUTED_VALUE"""),9.364578E7)</f>
        <v>93645780</v>
      </c>
    </row>
    <row r="36">
      <c r="A36" s="7">
        <f>IFERROR(__xludf.DUMMYFUNCTION("""COMPUTED_VALUE"""),45422.64583333333)</f>
        <v>45422.64583</v>
      </c>
      <c r="B36" s="6">
        <f>IFERROR(__xludf.DUMMYFUNCTION("""COMPUTED_VALUE"""),276.0)</f>
        <v>276</v>
      </c>
      <c r="C36" s="6">
        <f>IFERROR(__xludf.DUMMYFUNCTION("""COMPUTED_VALUE"""),276.0)</f>
        <v>276</v>
      </c>
      <c r="D36" s="6">
        <f>IFERROR(__xludf.DUMMYFUNCTION("""COMPUTED_VALUE"""),248.35)</f>
        <v>248.35</v>
      </c>
      <c r="E36" s="6">
        <f>IFERROR(__xludf.DUMMYFUNCTION("""COMPUTED_VALUE"""),254.85)</f>
        <v>254.85</v>
      </c>
      <c r="F36" s="6">
        <f>IFERROR(__xludf.DUMMYFUNCTION("""COMPUTED_VALUE"""),1.56073244E8)</f>
        <v>156073244</v>
      </c>
    </row>
    <row r="37">
      <c r="A37" s="7">
        <f>IFERROR(__xludf.DUMMYFUNCTION("""COMPUTED_VALUE"""),45436.64583333333)</f>
        <v>45436.64583</v>
      </c>
      <c r="B37" s="6">
        <f>IFERROR(__xludf.DUMMYFUNCTION("""COMPUTED_VALUE"""),261.5)</f>
        <v>261.5</v>
      </c>
      <c r="C37" s="6">
        <f>IFERROR(__xludf.DUMMYFUNCTION("""COMPUTED_VALUE"""),272.2)</f>
        <v>272.2</v>
      </c>
      <c r="D37" s="6">
        <f>IFERROR(__xludf.DUMMYFUNCTION("""COMPUTED_VALUE"""),260.25)</f>
        <v>260.25</v>
      </c>
      <c r="E37" s="6">
        <f>IFERROR(__xludf.DUMMYFUNCTION("""COMPUTED_VALUE"""),268.95)</f>
        <v>268.95</v>
      </c>
      <c r="F37" s="6">
        <f>IFERROR(__xludf.DUMMYFUNCTION("""COMPUTED_VALUE"""),7.5345921E7)</f>
        <v>75345921</v>
      </c>
    </row>
    <row r="38">
      <c r="A38" s="7">
        <f>IFERROR(__xludf.DUMMYFUNCTION("""COMPUTED_VALUE"""),45443.64583333333)</f>
        <v>45443.64583</v>
      </c>
      <c r="B38" s="6">
        <f>IFERROR(__xludf.DUMMYFUNCTION("""COMPUTED_VALUE"""),269.5)</f>
        <v>269.5</v>
      </c>
      <c r="C38" s="6">
        <f>IFERROR(__xludf.DUMMYFUNCTION("""COMPUTED_VALUE"""),273.4)</f>
        <v>273.4</v>
      </c>
      <c r="D38" s="6">
        <f>IFERROR(__xludf.DUMMYFUNCTION("""COMPUTED_VALUE"""),261.15)</f>
        <v>261.15</v>
      </c>
      <c r="E38" s="6">
        <f>IFERROR(__xludf.DUMMYFUNCTION("""COMPUTED_VALUE"""),264.9)</f>
        <v>264.9</v>
      </c>
      <c r="F38" s="6">
        <f>IFERROR(__xludf.DUMMYFUNCTION("""COMPUTED_VALUE"""),6.8798943E7)</f>
        <v>68798943</v>
      </c>
    </row>
    <row r="39">
      <c r="A39" s="7">
        <f>IFERROR(__xludf.DUMMYFUNCTION("""COMPUTED_VALUE"""),45450.64583333333)</f>
        <v>45450.64583</v>
      </c>
      <c r="B39" s="6">
        <f>IFERROR(__xludf.DUMMYFUNCTION("""COMPUTED_VALUE"""),277.0)</f>
        <v>277</v>
      </c>
      <c r="C39" s="6">
        <f>IFERROR(__xludf.DUMMYFUNCTION("""COMPUTED_VALUE"""),299.7)</f>
        <v>299.7</v>
      </c>
      <c r="D39" s="6">
        <f>IFERROR(__xludf.DUMMYFUNCTION("""COMPUTED_VALUE"""),236.45)</f>
        <v>236.45</v>
      </c>
      <c r="E39" s="6">
        <f>IFERROR(__xludf.DUMMYFUNCTION("""COMPUTED_VALUE"""),270.8)</f>
        <v>270.8</v>
      </c>
      <c r="F39" s="6">
        <f>IFERROR(__xludf.DUMMYFUNCTION("""COMPUTED_VALUE"""),2.81523216E8)</f>
        <v>281523216</v>
      </c>
    </row>
    <row r="40">
      <c r="A40" s="7">
        <f>IFERROR(__xludf.DUMMYFUNCTION("""COMPUTED_VALUE"""),45457.64583333333)</f>
        <v>45457.64583</v>
      </c>
      <c r="B40" s="6">
        <f>IFERROR(__xludf.DUMMYFUNCTION("""COMPUTED_VALUE"""),273.4)</f>
        <v>273.4</v>
      </c>
      <c r="C40" s="6">
        <f>IFERROR(__xludf.DUMMYFUNCTION("""COMPUTED_VALUE"""),287.5)</f>
        <v>287.5</v>
      </c>
      <c r="D40" s="6">
        <f>IFERROR(__xludf.DUMMYFUNCTION("""COMPUTED_VALUE"""),272.35)</f>
        <v>272.35</v>
      </c>
      <c r="E40" s="6">
        <f>IFERROR(__xludf.DUMMYFUNCTION("""COMPUTED_VALUE"""),286.25)</f>
        <v>286.25</v>
      </c>
      <c r="F40" s="6">
        <f>IFERROR(__xludf.DUMMYFUNCTION("""COMPUTED_VALUE"""),9.2566982E7)</f>
        <v>92566982</v>
      </c>
    </row>
    <row r="41">
      <c r="A41" s="7">
        <f>IFERROR(__xludf.DUMMYFUNCTION("""COMPUTED_VALUE"""),45464.64583333333)</f>
        <v>45464.64583</v>
      </c>
      <c r="B41" s="6">
        <f>IFERROR(__xludf.DUMMYFUNCTION("""COMPUTED_VALUE"""),286.25)</f>
        <v>286.25</v>
      </c>
      <c r="C41" s="6">
        <f>IFERROR(__xludf.DUMMYFUNCTION("""COMPUTED_VALUE"""),290.5)</f>
        <v>290.5</v>
      </c>
      <c r="D41" s="6">
        <f>IFERROR(__xludf.DUMMYFUNCTION("""COMPUTED_VALUE"""),278.6)</f>
        <v>278.6</v>
      </c>
      <c r="E41" s="6">
        <f>IFERROR(__xludf.DUMMYFUNCTION("""COMPUTED_VALUE"""),279.35)</f>
        <v>279.35</v>
      </c>
      <c r="F41" s="6">
        <f>IFERROR(__xludf.DUMMYFUNCTION("""COMPUTED_VALUE"""),7.2209842E7)</f>
        <v>72209842</v>
      </c>
    </row>
    <row r="42">
      <c r="A42" s="7">
        <f>IFERROR(__xludf.DUMMYFUNCTION("""COMPUTED_VALUE"""),45471.64583333333)</f>
        <v>45471.64583</v>
      </c>
      <c r="B42" s="6">
        <f>IFERROR(__xludf.DUMMYFUNCTION("""COMPUTED_VALUE"""),279.5)</f>
        <v>279.5</v>
      </c>
      <c r="C42" s="6">
        <f>IFERROR(__xludf.DUMMYFUNCTION("""COMPUTED_VALUE"""),283.6)</f>
        <v>283.6</v>
      </c>
      <c r="D42" s="6">
        <f>IFERROR(__xludf.DUMMYFUNCTION("""COMPUTED_VALUE"""),272.9)</f>
        <v>272.9</v>
      </c>
      <c r="E42" s="6">
        <f>IFERROR(__xludf.DUMMYFUNCTION("""COMPUTED_VALUE"""),275.4)</f>
        <v>275.4</v>
      </c>
      <c r="F42" s="6">
        <f>IFERROR(__xludf.DUMMYFUNCTION("""COMPUTED_VALUE"""),7.7254602E7)</f>
        <v>77254602</v>
      </c>
    </row>
    <row r="43">
      <c r="A43" s="7">
        <f>IFERROR(__xludf.DUMMYFUNCTION("""COMPUTED_VALUE"""),45478.64583333333)</f>
        <v>45478.64583</v>
      </c>
      <c r="B43" s="6">
        <f>IFERROR(__xludf.DUMMYFUNCTION("""COMPUTED_VALUE"""),275.25)</f>
        <v>275.25</v>
      </c>
      <c r="C43" s="6">
        <f>IFERROR(__xludf.DUMMYFUNCTION("""COMPUTED_VALUE"""),276.3)</f>
        <v>276.3</v>
      </c>
      <c r="D43" s="6">
        <f>IFERROR(__xludf.DUMMYFUNCTION("""COMPUTED_VALUE"""),263.05)</f>
        <v>263.05</v>
      </c>
      <c r="E43" s="6">
        <f>IFERROR(__xludf.DUMMYFUNCTION("""COMPUTED_VALUE"""),273.8)</f>
        <v>273.8</v>
      </c>
      <c r="F43" s="6">
        <f>IFERROR(__xludf.DUMMYFUNCTION("""COMPUTED_VALUE"""),7.2926602E7)</f>
        <v>72926602</v>
      </c>
    </row>
    <row r="44">
      <c r="A44" s="7">
        <f>IFERROR(__xludf.DUMMYFUNCTION("""COMPUTED_VALUE"""),45485.64583333333)</f>
        <v>45485.64583</v>
      </c>
      <c r="B44" s="6">
        <f>IFERROR(__xludf.DUMMYFUNCTION("""COMPUTED_VALUE"""),268.0)</f>
        <v>268</v>
      </c>
      <c r="C44" s="6">
        <f>IFERROR(__xludf.DUMMYFUNCTION("""COMPUTED_VALUE"""),268.0)</f>
        <v>268</v>
      </c>
      <c r="D44" s="6">
        <f>IFERROR(__xludf.DUMMYFUNCTION("""COMPUTED_VALUE"""),250.05)</f>
        <v>250.05</v>
      </c>
      <c r="E44" s="6">
        <f>IFERROR(__xludf.DUMMYFUNCTION("""COMPUTED_VALUE"""),250.6)</f>
        <v>250.6</v>
      </c>
      <c r="F44" s="6">
        <f>IFERROR(__xludf.DUMMYFUNCTION("""COMPUTED_VALUE"""),8.3510882E7)</f>
        <v>83510882</v>
      </c>
    </row>
    <row r="45">
      <c r="A45" s="7">
        <f>IFERROR(__xludf.DUMMYFUNCTION("""COMPUTED_VALUE"""),45492.64583333333)</f>
        <v>45492.64583</v>
      </c>
      <c r="B45" s="6">
        <f>IFERROR(__xludf.DUMMYFUNCTION("""COMPUTED_VALUE"""),252.6)</f>
        <v>252.6</v>
      </c>
      <c r="C45" s="6">
        <f>IFERROR(__xludf.DUMMYFUNCTION("""COMPUTED_VALUE"""),260.9)</f>
        <v>260.9</v>
      </c>
      <c r="D45" s="6">
        <f>IFERROR(__xludf.DUMMYFUNCTION("""COMPUTED_VALUE"""),248.75)</f>
        <v>248.75</v>
      </c>
      <c r="E45" s="6">
        <f>IFERROR(__xludf.DUMMYFUNCTION("""COMPUTED_VALUE"""),250.6)</f>
        <v>250.6</v>
      </c>
      <c r="F45" s="6">
        <f>IFERROR(__xludf.DUMMYFUNCTION("""COMPUTED_VALUE"""),8.007624E7)</f>
        <v>80076240</v>
      </c>
    </row>
    <row r="46">
      <c r="A46" s="7">
        <f>IFERROR(__xludf.DUMMYFUNCTION("""COMPUTED_VALUE"""),45499.64583333333)</f>
        <v>45499.64583</v>
      </c>
      <c r="B46" s="6">
        <f>IFERROR(__xludf.DUMMYFUNCTION("""COMPUTED_VALUE"""),249.7)</f>
        <v>249.7</v>
      </c>
      <c r="C46" s="6">
        <f>IFERROR(__xludf.DUMMYFUNCTION("""COMPUTED_VALUE"""),256.2)</f>
        <v>256.2</v>
      </c>
      <c r="D46" s="6">
        <f>IFERROR(__xludf.DUMMYFUNCTION("""COMPUTED_VALUE"""),243.85)</f>
        <v>243.85</v>
      </c>
      <c r="E46" s="6">
        <f>IFERROR(__xludf.DUMMYFUNCTION("""COMPUTED_VALUE"""),249.7)</f>
        <v>249.7</v>
      </c>
      <c r="F46" s="6">
        <f>IFERROR(__xludf.DUMMYFUNCTION("""COMPUTED_VALUE"""),7.8404064E7)</f>
        <v>78404064</v>
      </c>
    </row>
    <row r="47">
      <c r="A47" s="7">
        <f>IFERROR(__xludf.DUMMYFUNCTION("""COMPUTED_VALUE"""),45506.64583333333)</f>
        <v>45506.64583</v>
      </c>
      <c r="B47" s="6">
        <f>IFERROR(__xludf.DUMMYFUNCTION("""COMPUTED_VALUE"""),254.0)</f>
        <v>254</v>
      </c>
      <c r="C47" s="6">
        <f>IFERROR(__xludf.DUMMYFUNCTION("""COMPUTED_VALUE"""),260.75)</f>
        <v>260.75</v>
      </c>
      <c r="D47" s="6">
        <f>IFERROR(__xludf.DUMMYFUNCTION("""COMPUTED_VALUE"""),242.55)</f>
        <v>242.55</v>
      </c>
      <c r="E47" s="6">
        <f>IFERROR(__xludf.DUMMYFUNCTION("""COMPUTED_VALUE"""),243.7)</f>
        <v>243.7</v>
      </c>
      <c r="F47" s="6">
        <f>IFERROR(__xludf.DUMMYFUNCTION("""COMPUTED_VALUE"""),1.22051999E8)</f>
        <v>122051999</v>
      </c>
    </row>
    <row r="48">
      <c r="A48" s="7">
        <f>IFERROR(__xludf.DUMMYFUNCTION("""COMPUTED_VALUE"""),45513.64583333333)</f>
        <v>45513.64583</v>
      </c>
      <c r="B48" s="6">
        <f>IFERROR(__xludf.DUMMYFUNCTION("""COMPUTED_VALUE"""),238.35)</f>
        <v>238.35</v>
      </c>
      <c r="C48" s="6">
        <f>IFERROR(__xludf.DUMMYFUNCTION("""COMPUTED_VALUE"""),250.2)</f>
        <v>250.2</v>
      </c>
      <c r="D48" s="6">
        <f>IFERROR(__xludf.DUMMYFUNCTION("""COMPUTED_VALUE"""),231.25)</f>
        <v>231.25</v>
      </c>
      <c r="E48" s="6">
        <f>IFERROR(__xludf.DUMMYFUNCTION("""COMPUTED_VALUE"""),245.85)</f>
        <v>245.85</v>
      </c>
      <c r="F48" s="6">
        <f>IFERROR(__xludf.DUMMYFUNCTION("""COMPUTED_VALUE"""),1.00606136E8)</f>
        <v>100606136</v>
      </c>
    </row>
    <row r="49">
      <c r="A49" s="7">
        <f>IFERROR(__xludf.DUMMYFUNCTION("""COMPUTED_VALUE"""),45520.64583333333)</f>
        <v>45520.64583</v>
      </c>
      <c r="B49" s="6">
        <f>IFERROR(__xludf.DUMMYFUNCTION("""COMPUTED_VALUE"""),244.0)</f>
        <v>244</v>
      </c>
      <c r="C49" s="6">
        <f>IFERROR(__xludf.DUMMYFUNCTION("""COMPUTED_VALUE"""),246.95)</f>
        <v>246.95</v>
      </c>
      <c r="D49" s="6">
        <f>IFERROR(__xludf.DUMMYFUNCTION("""COMPUTED_VALUE"""),238.75)</f>
        <v>238.75</v>
      </c>
      <c r="E49" s="6">
        <f>IFERROR(__xludf.DUMMYFUNCTION("""COMPUTED_VALUE"""),243.45)</f>
        <v>243.45</v>
      </c>
      <c r="F49" s="6">
        <f>IFERROR(__xludf.DUMMYFUNCTION("""COMPUTED_VALUE"""),4.3391382E7)</f>
        <v>43391382</v>
      </c>
    </row>
    <row r="50">
      <c r="A50" s="7">
        <f>IFERROR(__xludf.DUMMYFUNCTION("""COMPUTED_VALUE"""),45527.64583333333)</f>
        <v>45527.64583</v>
      </c>
      <c r="B50" s="6">
        <f>IFERROR(__xludf.DUMMYFUNCTION("""COMPUTED_VALUE"""),243.9)</f>
        <v>243.9</v>
      </c>
      <c r="C50" s="6">
        <f>IFERROR(__xludf.DUMMYFUNCTION("""COMPUTED_VALUE"""),256.8)</f>
        <v>256.8</v>
      </c>
      <c r="D50" s="6">
        <f>IFERROR(__xludf.DUMMYFUNCTION("""COMPUTED_VALUE"""),243.9)</f>
        <v>243.9</v>
      </c>
      <c r="E50" s="6">
        <f>IFERROR(__xludf.DUMMYFUNCTION("""COMPUTED_VALUE"""),252.5)</f>
        <v>252.5</v>
      </c>
      <c r="F50" s="6">
        <f>IFERROR(__xludf.DUMMYFUNCTION("""COMPUTED_VALUE"""),6.8165212E7)</f>
        <v>68165212</v>
      </c>
    </row>
    <row r="51">
      <c r="A51" s="7">
        <f>IFERROR(__xludf.DUMMYFUNCTION("""COMPUTED_VALUE"""),45534.64583333333)</f>
        <v>45534.64583</v>
      </c>
      <c r="B51" s="6">
        <f>IFERROR(__xludf.DUMMYFUNCTION("""COMPUTED_VALUE"""),253.25)</f>
        <v>253.25</v>
      </c>
      <c r="C51" s="6">
        <f>IFERROR(__xludf.DUMMYFUNCTION("""COMPUTED_VALUE"""),253.85)</f>
        <v>253.85</v>
      </c>
      <c r="D51" s="6">
        <f>IFERROR(__xludf.DUMMYFUNCTION("""COMPUTED_VALUE"""),247.65)</f>
        <v>247.65</v>
      </c>
      <c r="E51" s="6">
        <f>IFERROR(__xludf.DUMMYFUNCTION("""COMPUTED_VALUE"""),250.1)</f>
        <v>250.1</v>
      </c>
      <c r="F51" s="6">
        <f>IFERROR(__xludf.DUMMYFUNCTION("""COMPUTED_VALUE"""),5.9186509E7)</f>
        <v>59186509</v>
      </c>
    </row>
    <row r="52">
      <c r="A52" s="7">
        <f>IFERROR(__xludf.DUMMYFUNCTION("""COMPUTED_VALUE"""),45541.64583333333)</f>
        <v>45541.64583</v>
      </c>
      <c r="B52" s="6">
        <f>IFERROR(__xludf.DUMMYFUNCTION("""COMPUTED_VALUE"""),251.0)</f>
        <v>251</v>
      </c>
      <c r="C52" s="6">
        <f>IFERROR(__xludf.DUMMYFUNCTION("""COMPUTED_VALUE"""),255.95)</f>
        <v>255.95</v>
      </c>
      <c r="D52" s="6">
        <f>IFERROR(__xludf.DUMMYFUNCTION("""COMPUTED_VALUE"""),235.05)</f>
        <v>235.05</v>
      </c>
      <c r="E52" s="6">
        <f>IFERROR(__xludf.DUMMYFUNCTION("""COMPUTED_VALUE"""),235.85)</f>
        <v>235.85</v>
      </c>
      <c r="F52" s="6">
        <f>IFERROR(__xludf.DUMMYFUNCTION("""COMPUTED_VALUE"""),8.0262372E7)</f>
        <v>80262372</v>
      </c>
    </row>
    <row r="53">
      <c r="A53" s="7">
        <f>IFERROR(__xludf.DUMMYFUNCTION("""COMPUTED_VALUE"""),45548.64583333333)</f>
        <v>45548.64583</v>
      </c>
      <c r="B53" s="6">
        <f>IFERROR(__xludf.DUMMYFUNCTION("""COMPUTED_VALUE"""),235.85)</f>
        <v>235.85</v>
      </c>
      <c r="C53" s="6">
        <f>IFERROR(__xludf.DUMMYFUNCTION("""COMPUTED_VALUE"""),241.15)</f>
        <v>241.15</v>
      </c>
      <c r="D53" s="6">
        <f>IFERROR(__xludf.DUMMYFUNCTION("""COMPUTED_VALUE"""),231.5)</f>
        <v>231.5</v>
      </c>
      <c r="E53" s="6">
        <f>IFERROR(__xludf.DUMMYFUNCTION("""COMPUTED_VALUE"""),239.45)</f>
        <v>239.45</v>
      </c>
      <c r="F53" s="6">
        <f>IFERROR(__xludf.DUMMYFUNCTION("""COMPUTED_VALUE"""),6.1423586E7)</f>
        <v>61423586</v>
      </c>
    </row>
    <row r="54">
      <c r="A54" s="7">
        <f>IFERROR(__xludf.DUMMYFUNCTION("""COMPUTED_VALUE"""),45555.64583333333)</f>
        <v>45555.64583</v>
      </c>
      <c r="B54" s="6">
        <f>IFERROR(__xludf.DUMMYFUNCTION("""COMPUTED_VALUE"""),240.45)</f>
        <v>240.45</v>
      </c>
      <c r="C54" s="6">
        <f>IFERROR(__xludf.DUMMYFUNCTION("""COMPUTED_VALUE"""),241.95)</f>
        <v>241.95</v>
      </c>
      <c r="D54" s="6">
        <f>IFERROR(__xludf.DUMMYFUNCTION("""COMPUTED_VALUE"""),231.0)</f>
        <v>231</v>
      </c>
      <c r="E54" s="6">
        <f>IFERROR(__xludf.DUMMYFUNCTION("""COMPUTED_VALUE"""),235.5)</f>
        <v>235.5</v>
      </c>
      <c r="F54" s="6">
        <f>IFERROR(__xludf.DUMMYFUNCTION("""COMPUTED_VALUE"""),5.7031538E7)</f>
        <v>57031538</v>
      </c>
    </row>
    <row r="55">
      <c r="A55" s="7">
        <f>IFERROR(__xludf.DUMMYFUNCTION("""COMPUTED_VALUE"""),45562.64583333333)</f>
        <v>45562.64583</v>
      </c>
      <c r="B55" s="6">
        <f>IFERROR(__xludf.DUMMYFUNCTION("""COMPUTED_VALUE"""),237.3)</f>
        <v>237.3</v>
      </c>
      <c r="C55" s="6">
        <f>IFERROR(__xludf.DUMMYFUNCTION("""COMPUTED_VALUE"""),250.0)</f>
        <v>250</v>
      </c>
      <c r="D55" s="6">
        <f>IFERROR(__xludf.DUMMYFUNCTION("""COMPUTED_VALUE"""),236.0)</f>
        <v>236</v>
      </c>
      <c r="E55" s="6">
        <f>IFERROR(__xludf.DUMMYFUNCTION("""COMPUTED_VALUE"""),249.6)</f>
        <v>249.6</v>
      </c>
      <c r="F55" s="6">
        <f>IFERROR(__xludf.DUMMYFUNCTION("""COMPUTED_VALUE"""),6.5294508E7)</f>
        <v>65294508</v>
      </c>
    </row>
    <row r="56">
      <c r="A56" s="7">
        <f>IFERROR(__xludf.DUMMYFUNCTION("""COMPUTED_VALUE"""),45569.64583333333)</f>
        <v>45569.64583</v>
      </c>
      <c r="B56" s="6">
        <f>IFERROR(__xludf.DUMMYFUNCTION("""COMPUTED_VALUE"""),247.5)</f>
        <v>247.5</v>
      </c>
      <c r="C56" s="6">
        <f>IFERROR(__xludf.DUMMYFUNCTION("""COMPUTED_VALUE"""),255.7)</f>
        <v>255.7</v>
      </c>
      <c r="D56" s="6">
        <f>IFERROR(__xludf.DUMMYFUNCTION("""COMPUTED_VALUE"""),243.5)</f>
        <v>243.5</v>
      </c>
      <c r="E56" s="6">
        <f>IFERROR(__xludf.DUMMYFUNCTION("""COMPUTED_VALUE"""),250.59)</f>
        <v>250.59</v>
      </c>
      <c r="F56" s="6">
        <f>IFERROR(__xludf.DUMMYFUNCTION("""COMPUTED_VALUE"""),7.5864585E7)</f>
        <v>75864585</v>
      </c>
    </row>
    <row r="57">
      <c r="A57" s="7">
        <f>IFERROR(__xludf.DUMMYFUNCTION("""COMPUTED_VALUE"""),45576.64583333333)</f>
        <v>45576.64583</v>
      </c>
      <c r="B57" s="6">
        <f>IFERROR(__xludf.DUMMYFUNCTION("""COMPUTED_VALUE"""),252.0)</f>
        <v>252</v>
      </c>
      <c r="C57" s="6">
        <f>IFERROR(__xludf.DUMMYFUNCTION("""COMPUTED_VALUE"""),253.28)</f>
        <v>253.28</v>
      </c>
      <c r="D57" s="6">
        <f>IFERROR(__xludf.DUMMYFUNCTION("""COMPUTED_VALUE"""),239.04)</f>
        <v>239.04</v>
      </c>
      <c r="E57" s="6">
        <f>IFERROR(__xludf.DUMMYFUNCTION("""COMPUTED_VALUE"""),242.42)</f>
        <v>242.42</v>
      </c>
      <c r="F57" s="6">
        <f>IFERROR(__xludf.DUMMYFUNCTION("""COMPUTED_VALUE"""),7.9672853E7)</f>
        <v>79672853</v>
      </c>
    </row>
    <row r="58">
      <c r="A58" s="7">
        <f>IFERROR(__xludf.DUMMYFUNCTION("""COMPUTED_VALUE"""),45583.64583333333)</f>
        <v>45583.64583</v>
      </c>
      <c r="B58" s="6">
        <f>IFERROR(__xludf.DUMMYFUNCTION("""COMPUTED_VALUE"""),243.8)</f>
        <v>243.8</v>
      </c>
      <c r="C58" s="6">
        <f>IFERROR(__xludf.DUMMYFUNCTION("""COMPUTED_VALUE"""),248.75)</f>
        <v>248.75</v>
      </c>
      <c r="D58" s="6">
        <f>IFERROR(__xludf.DUMMYFUNCTION("""COMPUTED_VALUE"""),237.85)</f>
        <v>237.85</v>
      </c>
      <c r="E58" s="6">
        <f>IFERROR(__xludf.DUMMYFUNCTION("""COMPUTED_VALUE"""),247.97)</f>
        <v>247.97</v>
      </c>
      <c r="F58" s="6">
        <f>IFERROR(__xludf.DUMMYFUNCTION("""COMPUTED_VALUE"""),4.3972942E7)</f>
        <v>43972942</v>
      </c>
    </row>
    <row r="59">
      <c r="A59" s="7">
        <f>IFERROR(__xludf.DUMMYFUNCTION("""COMPUTED_VALUE"""),45590.64583333333)</f>
        <v>45590.64583</v>
      </c>
      <c r="B59" s="6">
        <f>IFERROR(__xludf.DUMMYFUNCTION("""COMPUTED_VALUE"""),248.0)</f>
        <v>248</v>
      </c>
      <c r="C59" s="6">
        <f>IFERROR(__xludf.DUMMYFUNCTION("""COMPUTED_VALUE"""),251.2)</f>
        <v>251.2</v>
      </c>
      <c r="D59" s="6">
        <f>IFERROR(__xludf.DUMMYFUNCTION("""COMPUTED_VALUE"""),229.26)</f>
        <v>229.26</v>
      </c>
      <c r="E59" s="6">
        <f>IFERROR(__xludf.DUMMYFUNCTION("""COMPUTED_VALUE"""),239.52)</f>
        <v>239.52</v>
      </c>
      <c r="F59" s="6">
        <f>IFERROR(__xludf.DUMMYFUNCTION("""COMPUTED_VALUE"""),5.9347668E7)</f>
        <v>59347668</v>
      </c>
    </row>
    <row r="60">
      <c r="A60" s="7">
        <f>IFERROR(__xludf.DUMMYFUNCTION("""COMPUTED_VALUE"""),45604.64583333333)</f>
        <v>45604.64583</v>
      </c>
      <c r="B60" s="6">
        <f>IFERROR(__xludf.DUMMYFUNCTION("""COMPUTED_VALUE"""),253.5)</f>
        <v>253.5</v>
      </c>
      <c r="C60" s="6">
        <f>IFERROR(__xludf.DUMMYFUNCTION("""COMPUTED_VALUE"""),266.4)</f>
        <v>266.4</v>
      </c>
      <c r="D60" s="6">
        <f>IFERROR(__xludf.DUMMYFUNCTION("""COMPUTED_VALUE"""),247.55)</f>
        <v>247.55</v>
      </c>
      <c r="E60" s="6">
        <f>IFERROR(__xludf.DUMMYFUNCTION("""COMPUTED_VALUE"""),256.6)</f>
        <v>256.6</v>
      </c>
      <c r="F60" s="6">
        <f>IFERROR(__xludf.DUMMYFUNCTION("""COMPUTED_VALUE"""),8.002967E7)</f>
        <v>80029670</v>
      </c>
    </row>
    <row r="61">
      <c r="A61" s="7">
        <f>IFERROR(__xludf.DUMMYFUNCTION("""COMPUTED_VALUE"""),45610.64583333333)</f>
        <v>45610.64583</v>
      </c>
      <c r="B61" s="6">
        <f>IFERROR(__xludf.DUMMYFUNCTION("""COMPUTED_VALUE"""),256.0)</f>
        <v>256</v>
      </c>
      <c r="C61" s="6">
        <f>IFERROR(__xludf.DUMMYFUNCTION("""COMPUTED_VALUE"""),260.5)</f>
        <v>260.5</v>
      </c>
      <c r="D61" s="6">
        <f>IFERROR(__xludf.DUMMYFUNCTION("""COMPUTED_VALUE"""),240.85)</f>
        <v>240.85</v>
      </c>
      <c r="E61" s="6">
        <f>IFERROR(__xludf.DUMMYFUNCTION("""COMPUTED_VALUE"""),241.5)</f>
        <v>241.5</v>
      </c>
      <c r="F61" s="6">
        <f>IFERROR(__xludf.DUMMYFUNCTION("""COMPUTED_VALUE"""),3.7960824E7)</f>
        <v>37960824</v>
      </c>
    </row>
    <row r="62">
      <c r="A62" s="7">
        <f>IFERROR(__xludf.DUMMYFUNCTION("""COMPUTED_VALUE"""),45618.64583333333)</f>
        <v>45618.64583</v>
      </c>
      <c r="B62" s="6">
        <f>IFERROR(__xludf.DUMMYFUNCTION("""COMPUTED_VALUE"""),241.5)</f>
        <v>241.5</v>
      </c>
      <c r="C62" s="6">
        <f>IFERROR(__xludf.DUMMYFUNCTION("""COMPUTED_VALUE"""),246.0)</f>
        <v>246</v>
      </c>
      <c r="D62" s="6">
        <f>IFERROR(__xludf.DUMMYFUNCTION("""COMPUTED_VALUE"""),219.85)</f>
        <v>219.85</v>
      </c>
      <c r="E62" s="6">
        <f>IFERROR(__xludf.DUMMYFUNCTION("""COMPUTED_VALUE"""),236.0)</f>
        <v>236</v>
      </c>
      <c r="F62" s="6">
        <f>IFERROR(__xludf.DUMMYFUNCTION("""COMPUTED_VALUE"""),7.7186062E7)</f>
        <v>77186062</v>
      </c>
    </row>
    <row r="63">
      <c r="A63" s="7">
        <f>IFERROR(__xludf.DUMMYFUNCTION("""COMPUTED_VALUE"""),45625.64583333333)</f>
        <v>45625.64583</v>
      </c>
      <c r="B63" s="6">
        <f>IFERROR(__xludf.DUMMYFUNCTION("""COMPUTED_VALUE"""),242.0)</f>
        <v>242</v>
      </c>
      <c r="C63" s="6">
        <f>IFERROR(__xludf.DUMMYFUNCTION("""COMPUTED_VALUE"""),252.0)</f>
        <v>252</v>
      </c>
      <c r="D63" s="6">
        <f>IFERROR(__xludf.DUMMYFUNCTION("""COMPUTED_VALUE"""),240.8)</f>
        <v>240.8</v>
      </c>
      <c r="E63" s="6">
        <f>IFERROR(__xludf.DUMMYFUNCTION("""COMPUTED_VALUE"""),246.4)</f>
        <v>246.4</v>
      </c>
      <c r="F63" s="6">
        <f>IFERROR(__xludf.DUMMYFUNCTION("""COMPUTED_VALUE"""),5.5750496E7)</f>
        <v>55750496</v>
      </c>
    </row>
    <row r="64">
      <c r="A64" s="7">
        <f>IFERROR(__xludf.DUMMYFUNCTION("""COMPUTED_VALUE"""),45632.64583333333)</f>
        <v>45632.64583</v>
      </c>
      <c r="B64" s="6">
        <f>IFERROR(__xludf.DUMMYFUNCTION("""COMPUTED_VALUE"""),246.0)</f>
        <v>246</v>
      </c>
      <c r="C64" s="6">
        <f>IFERROR(__xludf.DUMMYFUNCTION("""COMPUTED_VALUE"""),266.95)</f>
        <v>266.95</v>
      </c>
      <c r="D64" s="6">
        <f>IFERROR(__xludf.DUMMYFUNCTION("""COMPUTED_VALUE"""),244.3)</f>
        <v>244.3</v>
      </c>
      <c r="E64" s="6">
        <f>IFERROR(__xludf.DUMMYFUNCTION("""COMPUTED_VALUE"""),264.6)</f>
        <v>264.6</v>
      </c>
      <c r="F64" s="6">
        <f>IFERROR(__xludf.DUMMYFUNCTION("""COMPUTED_VALUE"""),7.0495307E7)</f>
        <v>70495307</v>
      </c>
    </row>
    <row r="65">
      <c r="A65" s="7">
        <f>IFERROR(__xludf.DUMMYFUNCTION("""COMPUTED_VALUE"""),45639.64583333333)</f>
        <v>45639.64583</v>
      </c>
      <c r="B65" s="6">
        <f>IFERROR(__xludf.DUMMYFUNCTION("""COMPUTED_VALUE"""),263.0)</f>
        <v>263</v>
      </c>
      <c r="C65" s="6">
        <f>IFERROR(__xludf.DUMMYFUNCTION("""COMPUTED_VALUE"""),265.0)</f>
        <v>265</v>
      </c>
      <c r="D65" s="6">
        <f>IFERROR(__xludf.DUMMYFUNCTION("""COMPUTED_VALUE"""),251.11)</f>
        <v>251.11</v>
      </c>
      <c r="E65" s="6">
        <f>IFERROR(__xludf.DUMMYFUNCTION("""COMPUTED_VALUE"""),257.99)</f>
        <v>257.99</v>
      </c>
      <c r="F65" s="6">
        <f>IFERROR(__xludf.DUMMYFUNCTION("""COMPUTED_VALUE"""),5.1015692E7)</f>
        <v>51015692</v>
      </c>
    </row>
    <row r="66">
      <c r="A66" s="7">
        <f>IFERROR(__xludf.DUMMYFUNCTION("""COMPUTED_VALUE"""),45646.64583333333)</f>
        <v>45646.64583</v>
      </c>
      <c r="B66" s="6">
        <f>IFERROR(__xludf.DUMMYFUNCTION("""COMPUTED_VALUE"""),256.64)</f>
        <v>256.64</v>
      </c>
      <c r="C66" s="6">
        <f>IFERROR(__xludf.DUMMYFUNCTION("""COMPUTED_VALUE"""),259.6)</f>
        <v>259.6</v>
      </c>
      <c r="D66" s="6">
        <f>IFERROR(__xludf.DUMMYFUNCTION("""COMPUTED_VALUE"""),237.77)</f>
        <v>237.77</v>
      </c>
      <c r="E66" s="6">
        <f>IFERROR(__xludf.DUMMYFUNCTION("""COMPUTED_VALUE"""),240.59)</f>
        <v>240.59</v>
      </c>
      <c r="F66" s="6">
        <f>IFERROR(__xludf.DUMMYFUNCTION("""COMPUTED_VALUE"""),4.078382E7)</f>
        <v>40783820</v>
      </c>
    </row>
    <row r="67">
      <c r="A67" s="7">
        <f>IFERROR(__xludf.DUMMYFUNCTION("""COMPUTED_VALUE"""),45653.64583333333)</f>
        <v>45653.64583</v>
      </c>
      <c r="B67" s="6">
        <f>IFERROR(__xludf.DUMMYFUNCTION("""COMPUTED_VALUE"""),241.06)</f>
        <v>241.06</v>
      </c>
      <c r="C67" s="6">
        <f>IFERROR(__xludf.DUMMYFUNCTION("""COMPUTED_VALUE"""),248.7)</f>
        <v>248.7</v>
      </c>
      <c r="D67" s="6">
        <f>IFERROR(__xludf.DUMMYFUNCTION("""COMPUTED_VALUE"""),239.05)</f>
        <v>239.05</v>
      </c>
      <c r="E67" s="6">
        <f>IFERROR(__xludf.DUMMYFUNCTION("""COMPUTED_VALUE"""),244.99)</f>
        <v>244.99</v>
      </c>
      <c r="F67" s="6">
        <f>IFERROR(__xludf.DUMMYFUNCTION("""COMPUTED_VALUE"""),2.8744832E7)</f>
        <v>28744832</v>
      </c>
    </row>
    <row r="68">
      <c r="A68" s="7">
        <f>IFERROR(__xludf.DUMMYFUNCTION("""COMPUTED_VALUE"""),45660.64583333333)</f>
        <v>45660.64583</v>
      </c>
      <c r="B68" s="6">
        <f>IFERROR(__xludf.DUMMYFUNCTION("""COMPUTED_VALUE"""),244.0)</f>
        <v>244</v>
      </c>
      <c r="C68" s="6">
        <f>IFERROR(__xludf.DUMMYFUNCTION("""COMPUTED_VALUE"""),247.3)</f>
        <v>247.3</v>
      </c>
      <c r="D68" s="6">
        <f>IFERROR(__xludf.DUMMYFUNCTION("""COMPUTED_VALUE"""),235.05)</f>
        <v>235.05</v>
      </c>
      <c r="E68" s="6">
        <f>IFERROR(__xludf.DUMMYFUNCTION("""COMPUTED_VALUE"""),241.64)</f>
        <v>241.64</v>
      </c>
      <c r="F68" s="6">
        <f>IFERROR(__xludf.DUMMYFUNCTION("""COMPUTED_VALUE"""),6.5146903E7)</f>
        <v>65146903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IFERROR(__xludf.DUMMYFUNCTION("""COMPUTED_VALUE"""),239.2)</f>
        <v>239.2</v>
      </c>
      <c r="C69" s="6">
        <f>IFERROR(__xludf.DUMMYFUNCTION("""COMPUTED_VALUE"""),241.39)</f>
        <v>241.39</v>
      </c>
      <c r="D69" s="6">
        <f>IFERROR(__xludf.DUMMYFUNCTION("""COMPUTED_VALUE"""),225.0)</f>
        <v>225</v>
      </c>
      <c r="E69" s="6">
        <f>IFERROR(__xludf.DUMMYFUNCTION("""COMPUTED_VALUE"""),225.4)</f>
        <v>225.4</v>
      </c>
      <c r="F69" s="6">
        <f>IFERROR(__xludf.DUMMYFUNCTION("""COMPUTED_VALUE"""),6.2587217E7)</f>
        <v>62587217</v>
      </c>
    </row>
    <row r="70">
      <c r="A70" s="7">
        <f>IFERROR(__xludf.DUMMYFUNCTION("""COMPUTED_VALUE"""),45674.64583333333)</f>
        <v>45674.64583</v>
      </c>
      <c r="B70" s="6">
        <f>IFERROR(__xludf.DUMMYFUNCTION("""COMPUTED_VALUE"""),224.0)</f>
        <v>224</v>
      </c>
      <c r="C70" s="6">
        <f>IFERROR(__xludf.DUMMYFUNCTION("""COMPUTED_VALUE"""),230.95)</f>
        <v>230.95</v>
      </c>
      <c r="D70" s="6">
        <f>IFERROR(__xludf.DUMMYFUNCTION("""COMPUTED_VALUE"""),216.35)</f>
        <v>216.35</v>
      </c>
      <c r="E70" s="6">
        <f>IFERROR(__xludf.DUMMYFUNCTION("""COMPUTED_VALUE"""),228.0)</f>
        <v>228</v>
      </c>
      <c r="F70" s="6">
        <f>IFERROR(__xludf.DUMMYFUNCTION("""COMPUTED_VALUE"""),5.2683413E7)</f>
        <v>52683413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IFERROR(__xludf.DUMMYFUNCTION("""COMPUTED_VALUE"""),229.0)</f>
        <v>229</v>
      </c>
      <c r="C71" s="6">
        <f>IFERROR(__xludf.DUMMYFUNCTION("""COMPUTED_VALUE"""),235.53)</f>
        <v>235.53</v>
      </c>
      <c r="D71" s="6">
        <f>IFERROR(__xludf.DUMMYFUNCTION("""COMPUTED_VALUE"""),223.52)</f>
        <v>223.52</v>
      </c>
      <c r="E71" s="6">
        <f>IFERROR(__xludf.DUMMYFUNCTION("""COMPUTED_VALUE"""),225.21)</f>
        <v>225.21</v>
      </c>
      <c r="F71" s="6">
        <f>IFERROR(__xludf.DUMMYFUNCTION("""COMPUTED_VALUE"""),3.9678603E7)</f>
        <v>39678603</v>
      </c>
    </row>
    <row r="72">
      <c r="A72" s="7">
        <f>IFERROR(__xludf.DUMMYFUNCTION("""COMPUTED_VALUE"""),45695.64583333333)</f>
        <v>45695.64583</v>
      </c>
      <c r="B72" s="6">
        <f>IFERROR(__xludf.DUMMYFUNCTION("""COMPUTED_VALUE"""),211.09)</f>
        <v>211.09</v>
      </c>
      <c r="C72" s="6">
        <f>IFERROR(__xludf.DUMMYFUNCTION("""COMPUTED_VALUE"""),222.58)</f>
        <v>222.58</v>
      </c>
      <c r="D72" s="6">
        <f>IFERROR(__xludf.DUMMYFUNCTION("""COMPUTED_VALUE"""),206.55)</f>
        <v>206.55</v>
      </c>
      <c r="E72" s="6">
        <f>IFERROR(__xludf.DUMMYFUNCTION("""COMPUTED_VALUE"""),216.32)</f>
        <v>216.32</v>
      </c>
      <c r="F72" s="6">
        <f>IFERROR(__xludf.DUMMYFUNCTION("""COMPUTED_VALUE"""),6.0889005E7)</f>
        <v>60889005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IFERROR(__xludf.DUMMYFUNCTION("""COMPUTED_VALUE"""),216.5)</f>
        <v>216.5</v>
      </c>
      <c r="C73" s="6">
        <f>IFERROR(__xludf.DUMMYFUNCTION("""COMPUTED_VALUE"""),217.16)</f>
        <v>217.16</v>
      </c>
      <c r="D73" s="6">
        <f>IFERROR(__xludf.DUMMYFUNCTION("""COMPUTED_VALUE"""),202.25)</f>
        <v>202.25</v>
      </c>
      <c r="E73" s="6">
        <f>IFERROR(__xludf.DUMMYFUNCTION("""COMPUTED_VALUE"""),205.16)</f>
        <v>205.16</v>
      </c>
      <c r="F73" s="6">
        <f>IFERROR(__xludf.DUMMYFUNCTION("""COMPUTED_VALUE"""),3.5276748E7)</f>
        <v>35276748</v>
      </c>
    </row>
    <row r="74">
      <c r="A74" s="7">
        <f>IFERROR(__xludf.DUMMYFUNCTION("""COMPUTED_VALUE"""),45709.64583333333)</f>
        <v>45709.64583</v>
      </c>
      <c r="B74" s="6">
        <f>IFERROR(__xludf.DUMMYFUNCTION("""COMPUTED_VALUE"""),204.98)</f>
        <v>204.98</v>
      </c>
      <c r="C74" s="6">
        <f>IFERROR(__xludf.DUMMYFUNCTION("""COMPUTED_VALUE"""),214.95)</f>
        <v>214.95</v>
      </c>
      <c r="D74" s="6">
        <f>IFERROR(__xludf.DUMMYFUNCTION("""COMPUTED_VALUE"""),200.18)</f>
        <v>200.18</v>
      </c>
      <c r="E74" s="6">
        <f>IFERROR(__xludf.DUMMYFUNCTION("""COMPUTED_VALUE"""),210.27)</f>
        <v>210.27</v>
      </c>
      <c r="F74" s="6">
        <f>IFERROR(__xludf.DUMMYFUNCTION("""COMPUTED_VALUE"""),3.2551714E7)</f>
        <v>32551714</v>
      </c>
    </row>
    <row r="75">
      <c r="A75" s="7">
        <f>IFERROR(__xludf.DUMMYFUNCTION("""COMPUTED_VALUE"""),45716.64583333333)</f>
        <v>45716.64583</v>
      </c>
      <c r="B75" s="6">
        <f>IFERROR(__xludf.DUMMYFUNCTION("""COMPUTED_VALUE"""),208.0)</f>
        <v>208</v>
      </c>
      <c r="C75" s="6">
        <f>IFERROR(__xludf.DUMMYFUNCTION("""COMPUTED_VALUE"""),209.57)</f>
        <v>209.57</v>
      </c>
      <c r="D75" s="6">
        <f>IFERROR(__xludf.DUMMYFUNCTION("""COMPUTED_VALUE"""),196.01)</f>
        <v>196.01</v>
      </c>
      <c r="E75" s="6">
        <f>IFERROR(__xludf.DUMMYFUNCTION("""COMPUTED_VALUE"""),197.07)</f>
        <v>197.07</v>
      </c>
      <c r="F75" s="6">
        <f>IFERROR(__xludf.DUMMYFUNCTION("""COMPUTED_VALUE"""),3.3599362E7)</f>
        <v>33599362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IFERROR(__xludf.DUMMYFUNCTION("""COMPUTED_VALUE"""),198.1)</f>
        <v>198.1</v>
      </c>
      <c r="C76" s="6">
        <f>IFERROR(__xludf.DUMMYFUNCTION("""COMPUTED_VALUE"""),210.38)</f>
        <v>210.38</v>
      </c>
      <c r="D76" s="6">
        <f>IFERROR(__xludf.DUMMYFUNCTION("""COMPUTED_VALUE"""),190.7)</f>
        <v>190.7</v>
      </c>
      <c r="E76" s="6">
        <f>IFERROR(__xludf.DUMMYFUNCTION("""COMPUTED_VALUE"""),205.9)</f>
        <v>205.9</v>
      </c>
      <c r="F76" s="6">
        <f>IFERROR(__xludf.DUMMYFUNCTION("""COMPUTED_VALUE"""),5.0548505E7)</f>
        <v>50548505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IFERROR(__xludf.DUMMYFUNCTION("""COMPUTED_VALUE"""),206.0)</f>
        <v>206</v>
      </c>
      <c r="C77" s="6">
        <f>IFERROR(__xludf.DUMMYFUNCTION("""COMPUTED_VALUE"""),207.95)</f>
        <v>207.95</v>
      </c>
      <c r="D77" s="6">
        <f>IFERROR(__xludf.DUMMYFUNCTION("""COMPUTED_VALUE"""),201.11)</f>
        <v>201.11</v>
      </c>
      <c r="E77" s="6">
        <f>IFERROR(__xludf.DUMMYFUNCTION("""COMPUTED_VALUE"""),205.52)</f>
        <v>205.52</v>
      </c>
      <c r="F77" s="6">
        <f>IFERROR(__xludf.DUMMYFUNCTION("""COMPUTED_VALUE"""),4.5142322E7)</f>
        <v>45142322</v>
      </c>
    </row>
    <row r="78">
      <c r="A78" s="7">
        <f>IFERROR(__xludf.DUMMYFUNCTION("""COMPUTED_VALUE"""),45737.64583333333)</f>
        <v>45737.64583</v>
      </c>
      <c r="B78" s="6">
        <f>IFERROR(__xludf.DUMMYFUNCTION("""COMPUTED_VALUE"""),206.55)</f>
        <v>206.55</v>
      </c>
      <c r="C78" s="6">
        <f>IFERROR(__xludf.DUMMYFUNCTION("""COMPUTED_VALUE"""),217.75)</f>
        <v>217.75</v>
      </c>
      <c r="D78" s="6">
        <f>IFERROR(__xludf.DUMMYFUNCTION("""COMPUTED_VALUE"""),205.75)</f>
        <v>205.75</v>
      </c>
      <c r="E78" s="6">
        <f>IFERROR(__xludf.DUMMYFUNCTION("""COMPUTED_VALUE"""),216.7)</f>
        <v>216.7</v>
      </c>
      <c r="F78" s="6">
        <f>IFERROR(__xludf.DUMMYFUNCTION("""COMPUTED_VALUE"""),3.6453592E7)</f>
        <v>36453592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IFERROR(__xludf.DUMMYFUNCTION("""COMPUTED_VALUE"""),218.7)</f>
        <v>218.7</v>
      </c>
      <c r="C79" s="6">
        <f>IFERROR(__xludf.DUMMYFUNCTION("""COMPUTED_VALUE"""),233.75)</f>
        <v>233.75</v>
      </c>
      <c r="D79" s="6">
        <f>IFERROR(__xludf.DUMMYFUNCTION("""COMPUTED_VALUE"""),217.1)</f>
        <v>217.1</v>
      </c>
      <c r="E79" s="6">
        <f>IFERROR(__xludf.DUMMYFUNCTION("""COMPUTED_VALUE"""),228.53)</f>
        <v>228.53</v>
      </c>
      <c r="F79" s="6">
        <f>IFERROR(__xludf.DUMMYFUNCTION("""COMPUTED_VALUE"""),8.277754E7)</f>
        <v>82777540</v>
      </c>
    </row>
    <row r="80">
      <c r="A80" s="7">
        <f>IFERROR(__xludf.DUMMYFUNCTION("""COMPUTED_VALUE"""),45751.64583333333)</f>
        <v>45751.64583</v>
      </c>
      <c r="B80" s="6">
        <f>IFERROR(__xludf.DUMMYFUNCTION("""COMPUTED_VALUE"""),227.92)</f>
        <v>227.92</v>
      </c>
      <c r="C80" s="6">
        <f>IFERROR(__xludf.DUMMYFUNCTION("""COMPUTED_VALUE"""),242.34)</f>
        <v>242.34</v>
      </c>
      <c r="D80" s="6">
        <f>IFERROR(__xludf.DUMMYFUNCTION("""COMPUTED_VALUE"""),226.31)</f>
        <v>226.31</v>
      </c>
      <c r="E80" s="6">
        <f>IFERROR(__xludf.DUMMYFUNCTION("""COMPUTED_VALUE"""),234.32)</f>
        <v>234.32</v>
      </c>
      <c r="F80" s="6">
        <f>IFERROR(__xludf.DUMMYFUNCTION("""COMPUTED_VALUE"""),4.1640105E7)</f>
        <v>41640105</v>
      </c>
    </row>
    <row r="81">
      <c r="A81" s="7">
        <f>IFERROR(__xludf.DUMMYFUNCTION("""COMPUTED_VALUE"""),45758.64583333333)</f>
        <v>45758.64583</v>
      </c>
      <c r="B81" s="6">
        <f>IFERROR(__xludf.DUMMYFUNCTION("""COMPUTED_VALUE"""),220.0)</f>
        <v>220</v>
      </c>
      <c r="C81" s="6">
        <f>IFERROR(__xludf.DUMMYFUNCTION("""COMPUTED_VALUE"""),236.6)</f>
        <v>236.6</v>
      </c>
      <c r="D81" s="6">
        <f>IFERROR(__xludf.DUMMYFUNCTION("""COMPUTED_VALUE"""),219.0)</f>
        <v>219</v>
      </c>
      <c r="E81" s="6">
        <f>IFERROR(__xludf.DUMMYFUNCTION("""COMPUTED_VALUE"""),232.5)</f>
        <v>232.5</v>
      </c>
      <c r="F81" s="6">
        <f>IFERROR(__xludf.DUMMYFUNCTION("""COMPUTED_VALUE"""),3.9396813E7)</f>
        <v>39396813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IFERROR(__xludf.DUMMYFUNCTION("""COMPUTED_VALUE"""),236.0)</f>
        <v>236</v>
      </c>
      <c r="C82" s="6">
        <f>IFERROR(__xludf.DUMMYFUNCTION("""COMPUTED_VALUE"""),244.67)</f>
        <v>244.67</v>
      </c>
      <c r="D82" s="6">
        <f>IFERROR(__xludf.DUMMYFUNCTION("""COMPUTED_VALUE"""),231.8)</f>
        <v>231.8</v>
      </c>
      <c r="E82" s="6">
        <f>IFERROR(__xludf.DUMMYFUNCTION("""COMPUTED_VALUE"""),242.81)</f>
        <v>242.81</v>
      </c>
      <c r="F82" s="6">
        <f>IFERROR(__xludf.DUMMYFUNCTION("""COMPUTED_VALUE"""),3.2214333E7)</f>
        <v>32214333</v>
      </c>
    </row>
    <row r="83">
      <c r="A83" s="7">
        <f>IFERROR(__xludf.DUMMYFUNCTION("""COMPUTED_VALUE"""),45772.64583333333)</f>
        <v>45772.64583</v>
      </c>
      <c r="B83" s="6">
        <f>IFERROR(__xludf.DUMMYFUNCTION("""COMPUTED_VALUE"""),243.0)</f>
        <v>243</v>
      </c>
      <c r="C83" s="6">
        <f>IFERROR(__xludf.DUMMYFUNCTION("""COMPUTED_VALUE"""),257.28)</f>
        <v>257.28</v>
      </c>
      <c r="D83" s="6">
        <f>IFERROR(__xludf.DUMMYFUNCTION("""COMPUTED_VALUE"""),243.0)</f>
        <v>243</v>
      </c>
      <c r="E83" s="6">
        <f>IFERROR(__xludf.DUMMYFUNCTION("""COMPUTED_VALUE"""),246.79)</f>
        <v>246.79</v>
      </c>
      <c r="F83" s="6">
        <f>IFERROR(__xludf.DUMMYFUNCTION("""COMPUTED_VALUE"""),6.4304209E7)</f>
        <v>64304209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IFERROR(__xludf.DUMMYFUNCTION("""COMPUTED_VALUE"""),246.79)</f>
        <v>246.79</v>
      </c>
      <c r="C84" s="6">
        <f>IFERROR(__xludf.DUMMYFUNCTION("""COMPUTED_VALUE"""),259.44)</f>
        <v>259.44</v>
      </c>
      <c r="D84" s="6">
        <f>IFERROR(__xludf.DUMMYFUNCTION("""COMPUTED_VALUE"""),246.32)</f>
        <v>246.32</v>
      </c>
      <c r="E84" s="6">
        <f>IFERROR(__xludf.DUMMYFUNCTION("""COMPUTED_VALUE"""),248.61)</f>
        <v>248.61</v>
      </c>
      <c r="F84" s="6">
        <f>IFERROR(__xludf.DUMMYFUNCTION("""COMPUTED_VALUE"""),3.1712494E7)</f>
        <v>31712494</v>
      </c>
    </row>
    <row r="85">
      <c r="A85" s="7">
        <f>IFERROR(__xludf.DUMMYFUNCTION("""COMPUTED_VALUE"""),45786.64583333333)</f>
        <v>45786.64583</v>
      </c>
      <c r="B85" s="6">
        <f>IFERROR(__xludf.DUMMYFUNCTION("""COMPUTED_VALUE"""),248.6)</f>
        <v>248.6</v>
      </c>
      <c r="C85" s="6">
        <f>IFERROR(__xludf.DUMMYFUNCTION("""COMPUTED_VALUE"""),251.6)</f>
        <v>251.6</v>
      </c>
      <c r="D85" s="6">
        <f>IFERROR(__xludf.DUMMYFUNCTION("""COMPUTED_VALUE"""),212.55)</f>
        <v>212.55</v>
      </c>
      <c r="E85" s="6">
        <f>IFERROR(__xludf.DUMMYFUNCTION("""COMPUTED_VALUE"""),220.09)</f>
        <v>220.09</v>
      </c>
      <c r="F85" s="6">
        <f>IFERROR(__xludf.DUMMYFUNCTION("""COMPUTED_VALUE"""),1.22129423E8)</f>
        <v>122129423</v>
      </c>
    </row>
    <row r="86">
      <c r="A86" s="7">
        <f>IFERROR(__xludf.DUMMYFUNCTION("""COMPUTED_VALUE"""),45793.64583333333)</f>
        <v>45793.64583</v>
      </c>
      <c r="B86" s="6">
        <f>IFERROR(__xludf.DUMMYFUNCTION("""COMPUTED_VALUE"""),227.0)</f>
        <v>227</v>
      </c>
      <c r="C86" s="6">
        <f>IFERROR(__xludf.DUMMYFUNCTION("""COMPUTED_VALUE"""),238.0)</f>
        <v>238</v>
      </c>
      <c r="D86" s="6">
        <f>IFERROR(__xludf.DUMMYFUNCTION("""COMPUTED_VALUE"""),224.5)</f>
        <v>224.5</v>
      </c>
      <c r="E86" s="6">
        <f>IFERROR(__xludf.DUMMYFUNCTION("""COMPUTED_VALUE"""),236.92)</f>
        <v>236.92</v>
      </c>
      <c r="F86" s="6">
        <f>IFERROR(__xludf.DUMMYFUNCTION("""COMPUTED_VALUE"""),4.7078215E7)</f>
        <v>47078215</v>
      </c>
    </row>
    <row r="87">
      <c r="A87" s="7">
        <f>IFERROR(__xludf.DUMMYFUNCTION("""COMPUTED_VALUE"""),45800.64583333333)</f>
        <v>45800.64583</v>
      </c>
      <c r="B87" s="6">
        <f>IFERROR(__xludf.DUMMYFUNCTION("""COMPUTED_VALUE"""),237.0)</f>
        <v>237</v>
      </c>
      <c r="C87" s="6">
        <f>IFERROR(__xludf.DUMMYFUNCTION("""COMPUTED_VALUE"""),243.9)</f>
        <v>243.9</v>
      </c>
      <c r="D87" s="6">
        <f>IFERROR(__xludf.DUMMYFUNCTION("""COMPUTED_VALUE"""),235.13)</f>
        <v>235.13</v>
      </c>
      <c r="E87" s="6">
        <f>IFERROR(__xludf.DUMMYFUNCTION("""COMPUTED_VALUE"""),243.04)</f>
        <v>243.04</v>
      </c>
      <c r="F87" s="6">
        <f>IFERROR(__xludf.DUMMYFUNCTION("""COMPUTED_VALUE"""),5.0179491E7)</f>
        <v>50179491</v>
      </c>
    </row>
    <row r="88">
      <c r="A88" s="7">
        <f>IFERROR(__xludf.DUMMYFUNCTION("""COMPUTED_VALUE"""),45807.64583333333)</f>
        <v>45807.64583</v>
      </c>
      <c r="B88" s="6">
        <f>IFERROR(__xludf.DUMMYFUNCTION("""COMPUTED_VALUE"""),244.25)</f>
        <v>244.25</v>
      </c>
      <c r="C88" s="6">
        <f>IFERROR(__xludf.DUMMYFUNCTION("""COMPUTED_VALUE"""),251.53)</f>
        <v>251.53</v>
      </c>
      <c r="D88" s="6">
        <f>IFERROR(__xludf.DUMMYFUNCTION("""COMPUTED_VALUE"""),237.61)</f>
        <v>237.61</v>
      </c>
      <c r="E88" s="6">
        <f>IFERROR(__xludf.DUMMYFUNCTION("""COMPUTED_VALUE"""),249.55)</f>
        <v>249.55</v>
      </c>
      <c r="F88" s="6">
        <f>IFERROR(__xludf.DUMMYFUNCTION("""COMPUTED_VALUE"""),4.6466469E7)</f>
        <v>46466469</v>
      </c>
    </row>
    <row r="89">
      <c r="A89" s="7">
        <f>IFERROR(__xludf.DUMMYFUNCTION("""COMPUTED_VALUE"""),45814.64583333333)</f>
        <v>45814.64583</v>
      </c>
      <c r="B89" s="6">
        <f>IFERROR(__xludf.DUMMYFUNCTION("""COMPUTED_VALUE"""),251.5)</f>
        <v>251.5</v>
      </c>
      <c r="C89" s="6">
        <f>IFERROR(__xludf.DUMMYFUNCTION("""COMPUTED_VALUE"""),257.9)</f>
        <v>257.9</v>
      </c>
      <c r="D89" s="6">
        <f>IFERROR(__xludf.DUMMYFUNCTION("""COMPUTED_VALUE"""),241.05)</f>
        <v>241.05</v>
      </c>
      <c r="E89" s="6">
        <f>IFERROR(__xludf.DUMMYFUNCTION("""COMPUTED_VALUE"""),246.18)</f>
        <v>246.18</v>
      </c>
      <c r="F89" s="6">
        <f>IFERROR(__xludf.DUMMYFUNCTION("""COMPUTED_VALUE"""),8.9787906E7)</f>
        <v>89787906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IFERROR(__xludf.DUMMYFUNCTION("""COMPUTED_VALUE"""),248.0)</f>
        <v>248</v>
      </c>
      <c r="C90" s="6">
        <f>IFERROR(__xludf.DUMMYFUNCTION("""COMPUTED_VALUE"""),250.18)</f>
        <v>250.18</v>
      </c>
      <c r="D90" s="6">
        <f>IFERROR(__xludf.DUMMYFUNCTION("""COMPUTED_VALUE"""),234.81)</f>
        <v>234.81</v>
      </c>
      <c r="E90" s="6">
        <f>IFERROR(__xludf.DUMMYFUNCTION("""COMPUTED_VALUE"""),239.22)</f>
        <v>239.22</v>
      </c>
      <c r="F90" s="6">
        <f>IFERROR(__xludf.DUMMYFUNCTION("""COMPUTED_VALUE"""),5.1912154E7)</f>
        <v>51912154</v>
      </c>
    </row>
    <row r="91">
      <c r="A91" s="7">
        <f>IFERROR(__xludf.DUMMYFUNCTION("""COMPUTED_VALUE"""),45828.64583333333)</f>
        <v>45828.64583</v>
      </c>
      <c r="B91" s="6">
        <f>IFERROR(__xludf.DUMMYFUNCTION("""COMPUTED_VALUE"""),238.5)</f>
        <v>238.5</v>
      </c>
      <c r="C91" s="6">
        <f>IFERROR(__xludf.DUMMYFUNCTION("""COMPUTED_VALUE"""),244.95)</f>
        <v>244.95</v>
      </c>
      <c r="D91" s="6">
        <f>IFERROR(__xludf.DUMMYFUNCTION("""COMPUTED_VALUE"""),230.52)</f>
        <v>230.52</v>
      </c>
      <c r="E91" s="6">
        <f>IFERROR(__xludf.DUMMYFUNCTION("""COMPUTED_VALUE"""),234.15)</f>
        <v>234.15</v>
      </c>
      <c r="F91" s="6">
        <f>IFERROR(__xludf.DUMMYFUNCTION("""COMPUTED_VALUE"""),4.1492358E7)</f>
        <v>41492358</v>
      </c>
    </row>
    <row r="92">
      <c r="A92" s="7">
        <f>IFERROR(__xludf.DUMMYFUNCTION("""COMPUTED_VALUE"""),45835.64583333333)</f>
        <v>45835.64583</v>
      </c>
      <c r="B92" s="6">
        <f>IFERROR(__xludf.DUMMYFUNCTION("""COMPUTED_VALUE"""),231.99)</f>
        <v>231.99</v>
      </c>
      <c r="C92" s="6">
        <f>IFERROR(__xludf.DUMMYFUNCTION("""COMPUTED_VALUE"""),245.09)</f>
        <v>245.09</v>
      </c>
      <c r="D92" s="6">
        <f>IFERROR(__xludf.DUMMYFUNCTION("""COMPUTED_VALUE"""),231.89)</f>
        <v>231.89</v>
      </c>
      <c r="E92" s="6">
        <f>IFERROR(__xludf.DUMMYFUNCTION("""COMPUTED_VALUE"""),241.33)</f>
        <v>241.33</v>
      </c>
      <c r="F92" s="6">
        <f>IFERROR(__xludf.DUMMYFUNCTION("""COMPUTED_VALUE"""),4.2016837E7)</f>
        <v>42016837</v>
      </c>
    </row>
    <row r="93">
      <c r="A93" s="7">
        <f>IFERROR(__xludf.DUMMYFUNCTION("""COMPUTED_VALUE"""),45842.64583333333)</f>
        <v>45842.64583</v>
      </c>
      <c r="B93" s="6">
        <f>IFERROR(__xludf.DUMMYFUNCTION("""COMPUTED_VALUE"""),242.45)</f>
        <v>242.45</v>
      </c>
      <c r="C93" s="6">
        <f>IFERROR(__xludf.DUMMYFUNCTION("""COMPUTED_VALUE"""),249.68)</f>
        <v>249.68</v>
      </c>
      <c r="D93" s="6">
        <f>IFERROR(__xludf.DUMMYFUNCTION("""COMPUTED_VALUE"""),239.25)</f>
        <v>239.25</v>
      </c>
      <c r="E93" s="6">
        <f>IFERROR(__xludf.DUMMYFUNCTION("""COMPUTED_VALUE"""),240.78)</f>
        <v>240.78</v>
      </c>
      <c r="F93" s="6">
        <f>IFERROR(__xludf.DUMMYFUNCTION("""COMPUTED_VALUE"""),6.6276327E7)</f>
        <v>66276327</v>
      </c>
    </row>
    <row r="94">
      <c r="A94" s="7">
        <f>IFERROR(__xludf.DUMMYFUNCTION("""COMPUTED_VALUE"""),45849.64583333333)</f>
        <v>45849.64583</v>
      </c>
      <c r="B94" s="6">
        <f>IFERROR(__xludf.DUMMYFUNCTION("""COMPUTED_VALUE"""),240.9)</f>
        <v>240.9</v>
      </c>
      <c r="C94" s="6">
        <f>IFERROR(__xludf.DUMMYFUNCTION("""COMPUTED_VALUE"""),245.0)</f>
        <v>245</v>
      </c>
      <c r="D94" s="6">
        <f>IFERROR(__xludf.DUMMYFUNCTION("""COMPUTED_VALUE"""),236.01)</f>
        <v>236.01</v>
      </c>
      <c r="E94" s="6">
        <f>IFERROR(__xludf.DUMMYFUNCTION("""COMPUTED_VALUE"""),237.44)</f>
        <v>237.44</v>
      </c>
      <c r="F94" s="6">
        <f>IFERROR(__xludf.DUMMYFUNCTION("""COMPUTED_VALUE"""),3.0523541E7)</f>
        <v>30523541</v>
      </c>
    </row>
    <row r="95">
      <c r="A95" s="7">
        <f>IFERROR(__xludf.DUMMYFUNCTION("""COMPUTED_VALUE"""),45856.64583333333)</f>
        <v>45856.64583</v>
      </c>
      <c r="B95" s="6">
        <f>IFERROR(__xludf.DUMMYFUNCTION("""COMPUTED_VALUE"""),237.44)</f>
        <v>237.44</v>
      </c>
      <c r="C95" s="6">
        <f>IFERROR(__xludf.DUMMYFUNCTION("""COMPUTED_VALUE"""),250.57)</f>
        <v>250.57</v>
      </c>
      <c r="D95" s="6">
        <f>IFERROR(__xludf.DUMMYFUNCTION("""COMPUTED_VALUE"""),236.44)</f>
        <v>236.44</v>
      </c>
      <c r="E95" s="6">
        <f>IFERROR(__xludf.DUMMYFUNCTION("""COMPUTED_VALUE"""),244.71)</f>
        <v>244.71</v>
      </c>
      <c r="F95" s="6">
        <f>IFERROR(__xludf.DUMMYFUNCTION("""COMPUTED_VALUE"""),3.8459253E7)</f>
        <v>38459253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IFERROR(__xludf.DUMMYFUNCTION("""COMPUTED_VALUE"""),244.21)</f>
        <v>244.21</v>
      </c>
      <c r="C96" s="6">
        <f>IFERROR(__xludf.DUMMYFUNCTION("""COMPUTED_VALUE"""),249.0)</f>
        <v>249</v>
      </c>
      <c r="D96" s="6">
        <f>IFERROR(__xludf.DUMMYFUNCTION("""COMPUTED_VALUE"""),238.44)</f>
        <v>238.44</v>
      </c>
      <c r="E96" s="6">
        <f>IFERROR(__xludf.DUMMYFUNCTION("""COMPUTED_VALUE"""),243.45)</f>
        <v>243.45</v>
      </c>
      <c r="F96" s="6">
        <f>IFERROR(__xludf.DUMMYFUNCTION("""COMPUTED_VALUE"""),3.7112344E7)</f>
        <v>37112344</v>
      </c>
    </row>
    <row r="97">
      <c r="A97" s="7">
        <f>IFERROR(__xludf.DUMMYFUNCTION("""COMPUTED_VALUE"""),45870.64583333333)</f>
        <v>45870.64583</v>
      </c>
      <c r="B97" s="6">
        <f>IFERROR(__xludf.DUMMYFUNCTION("""COMPUTED_VALUE"""),239.15)</f>
        <v>239.15</v>
      </c>
      <c r="C97" s="6">
        <f>IFERROR(__xludf.DUMMYFUNCTION("""COMPUTED_VALUE"""),247.25)</f>
        <v>247.25</v>
      </c>
      <c r="D97" s="6">
        <f>IFERROR(__xludf.DUMMYFUNCTION("""COMPUTED_VALUE"""),234.55)</f>
        <v>234.55</v>
      </c>
      <c r="E97" s="6">
        <f>IFERROR(__xludf.DUMMYFUNCTION("""COMPUTED_VALUE"""),235.13)</f>
        <v>235.13</v>
      </c>
      <c r="F97" s="6">
        <f>IFERROR(__xludf.DUMMYFUNCTION("""COMPUTED_VALUE"""),3.129682E7)</f>
        <v>31296820</v>
      </c>
    </row>
    <row r="98">
      <c r="A98" s="7">
        <f>IFERROR(__xludf.DUMMYFUNCTION("""COMPUTED_VALUE"""),45877.64583333333)</f>
        <v>45877.64583</v>
      </c>
      <c r="B98" s="6">
        <f>IFERROR(__xludf.DUMMYFUNCTION("""COMPUTED_VALUE"""),235.16)</f>
        <v>235.16</v>
      </c>
      <c r="C98" s="6">
        <f>IFERROR(__xludf.DUMMYFUNCTION("""COMPUTED_VALUE"""),243.45)</f>
        <v>243.45</v>
      </c>
      <c r="D98" s="6">
        <f>IFERROR(__xludf.DUMMYFUNCTION("""COMPUTED_VALUE"""),235.16)</f>
        <v>235.16</v>
      </c>
      <c r="E98" s="6">
        <f>IFERROR(__xludf.DUMMYFUNCTION("""COMPUTED_VALUE"""),239.22)</f>
        <v>239.22</v>
      </c>
      <c r="F98" s="6">
        <f>IFERROR(__xludf.DUMMYFUNCTION("""COMPUTED_VALUE"""),2.3557381E7)</f>
        <v>23557381</v>
      </c>
    </row>
    <row r="99">
      <c r="A99" s="7">
        <f>IFERROR(__xludf.DUMMYFUNCTION("""COMPUTED_VALUE"""),45883.64583333333)</f>
        <v>45883.64583</v>
      </c>
      <c r="B99" s="6">
        <f>IFERROR(__xludf.DUMMYFUNCTION("""COMPUTED_VALUE"""),239.22)</f>
        <v>239.22</v>
      </c>
      <c r="C99" s="6">
        <f>IFERROR(__xludf.DUMMYFUNCTION("""COMPUTED_VALUE"""),245.33)</f>
        <v>245.33</v>
      </c>
      <c r="D99" s="6">
        <f>IFERROR(__xludf.DUMMYFUNCTION("""COMPUTED_VALUE"""),239.22)</f>
        <v>239.22</v>
      </c>
      <c r="E99" s="6">
        <f>IFERROR(__xludf.DUMMYFUNCTION("""COMPUTED_VALUE"""),242.77)</f>
        <v>242.77</v>
      </c>
      <c r="F99" s="6">
        <f>IFERROR(__xludf.DUMMYFUNCTION("""COMPUTED_VALUE"""),2.3983261E7)</f>
        <v>23983261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IFERROR(__xludf.DUMMYFUNCTION("""COMPUTED_VALUE"""),244.0)</f>
        <v>244</v>
      </c>
      <c r="C100" s="6">
        <f>IFERROR(__xludf.DUMMYFUNCTION("""COMPUTED_VALUE"""),248.5)</f>
        <v>248.5</v>
      </c>
      <c r="D100" s="6">
        <f>IFERROR(__xludf.DUMMYFUNCTION("""COMPUTED_VALUE"""),240.0)</f>
        <v>240</v>
      </c>
      <c r="E100" s="6">
        <f>IFERROR(__xludf.DUMMYFUNCTION("""COMPUTED_VALUE"""),240.23)</f>
        <v>240.23</v>
      </c>
      <c r="F100" s="6">
        <f>IFERROR(__xludf.DUMMYFUNCTION("""COMPUTED_VALUE"""),2.9767003E7)</f>
        <v>29767003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IFERROR(__xludf.DUMMYFUNCTION("""COMPUTED_VALUE"""),241.5)</f>
        <v>241.5</v>
      </c>
      <c r="C101" s="6">
        <f>IFERROR(__xludf.DUMMYFUNCTION("""COMPUTED_VALUE"""),242.94)</f>
        <v>242.94</v>
      </c>
      <c r="D101" s="6">
        <f>IFERROR(__xludf.DUMMYFUNCTION("""COMPUTED_VALUE"""),234.42)</f>
        <v>234.42</v>
      </c>
      <c r="E101" s="6">
        <f>IFERROR(__xludf.DUMMYFUNCTION("""COMPUTED_VALUE"""),235.14)</f>
        <v>235.14</v>
      </c>
      <c r="F101" s="6">
        <f>IFERROR(__xludf.DUMMYFUNCTION("""COMPUTED_VALUE"""),1.09910851E8)</f>
        <v>109910851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IFERROR(__xludf.DUMMYFUNCTION("GOOGLEFINANCE(""NSE:BANKINDIA"",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IFERROR(__xludf.DUMMYFUNCTION("""COMPUTED_VALUE"""),86.65)</f>
        <v>86.65</v>
      </c>
      <c r="C2" s="6">
        <f>IFERROR(__xludf.DUMMYFUNCTION("""COMPUTED_VALUE"""),88.5)</f>
        <v>88.5</v>
      </c>
      <c r="D2" s="6">
        <f>IFERROR(__xludf.DUMMYFUNCTION("""COMPUTED_VALUE"""),85.25)</f>
        <v>85.25</v>
      </c>
      <c r="E2" s="6">
        <f>IFERROR(__xludf.DUMMYFUNCTION("""COMPUTED_VALUE"""),88.0)</f>
        <v>88</v>
      </c>
      <c r="F2" s="6">
        <f>IFERROR(__xludf.DUMMYFUNCTION("""COMPUTED_VALUE"""),3.6868947E7)</f>
        <v>36868947</v>
      </c>
    </row>
    <row r="3">
      <c r="A3" s="7">
        <f>IFERROR(__xludf.DUMMYFUNCTION("""COMPUTED_VALUE"""),45177.64583333333)</f>
        <v>45177.64583</v>
      </c>
      <c r="B3" s="6">
        <f>IFERROR(__xludf.DUMMYFUNCTION("""COMPUTED_VALUE"""),88.5)</f>
        <v>88.5</v>
      </c>
      <c r="C3" s="6">
        <f>IFERROR(__xludf.DUMMYFUNCTION("""COMPUTED_VALUE"""),94.5)</f>
        <v>94.5</v>
      </c>
      <c r="D3" s="6">
        <f>IFERROR(__xludf.DUMMYFUNCTION("""COMPUTED_VALUE"""),88.2)</f>
        <v>88.2</v>
      </c>
      <c r="E3" s="6">
        <f>IFERROR(__xludf.DUMMYFUNCTION("""COMPUTED_VALUE"""),93.0)</f>
        <v>93</v>
      </c>
      <c r="F3" s="6">
        <f>IFERROR(__xludf.DUMMYFUNCTION("""COMPUTED_VALUE"""),8.9518054E7)</f>
        <v>89518054</v>
      </c>
    </row>
    <row r="4">
      <c r="A4" s="7">
        <f>IFERROR(__xludf.DUMMYFUNCTION("""COMPUTED_VALUE"""),45184.64583333333)</f>
        <v>45184.64583</v>
      </c>
      <c r="B4" s="6">
        <f>IFERROR(__xludf.DUMMYFUNCTION("""COMPUTED_VALUE"""),93.9)</f>
        <v>93.9</v>
      </c>
      <c r="C4" s="6">
        <f>IFERROR(__xludf.DUMMYFUNCTION("""COMPUTED_VALUE"""),109.45)</f>
        <v>109.45</v>
      </c>
      <c r="D4" s="6">
        <f>IFERROR(__xludf.DUMMYFUNCTION("""COMPUTED_VALUE"""),93.75)</f>
        <v>93.75</v>
      </c>
      <c r="E4" s="6">
        <f>IFERROR(__xludf.DUMMYFUNCTION("""COMPUTED_VALUE"""),105.75)</f>
        <v>105.75</v>
      </c>
      <c r="F4" s="6">
        <f>IFERROR(__xludf.DUMMYFUNCTION("""COMPUTED_VALUE"""),2.30149719E8)</f>
        <v>230149719</v>
      </c>
    </row>
    <row r="5">
      <c r="A5" s="7">
        <f>IFERROR(__xludf.DUMMYFUNCTION("""COMPUTED_VALUE"""),45191.64583333333)</f>
        <v>45191.64583</v>
      </c>
      <c r="B5" s="6">
        <f>IFERROR(__xludf.DUMMYFUNCTION("""COMPUTED_VALUE"""),105.55)</f>
        <v>105.55</v>
      </c>
      <c r="C5" s="6">
        <f>IFERROR(__xludf.DUMMYFUNCTION("""COMPUTED_VALUE"""),113.8)</f>
        <v>113.8</v>
      </c>
      <c r="D5" s="6">
        <f>IFERROR(__xludf.DUMMYFUNCTION("""COMPUTED_VALUE"""),105.0)</f>
        <v>105</v>
      </c>
      <c r="E5" s="6">
        <f>IFERROR(__xludf.DUMMYFUNCTION("""COMPUTED_VALUE"""),109.2)</f>
        <v>109.2</v>
      </c>
      <c r="F5" s="6">
        <f>IFERROR(__xludf.DUMMYFUNCTION("""COMPUTED_VALUE"""),1.53087174E8)</f>
        <v>153087174</v>
      </c>
    </row>
    <row r="6">
      <c r="A6" s="7">
        <f>IFERROR(__xludf.DUMMYFUNCTION("""COMPUTED_VALUE"""),45198.64583333333)</f>
        <v>45198.64583</v>
      </c>
      <c r="B6" s="6">
        <f>IFERROR(__xludf.DUMMYFUNCTION("""COMPUTED_VALUE"""),109.85)</f>
        <v>109.85</v>
      </c>
      <c r="C6" s="6">
        <f>IFERROR(__xludf.DUMMYFUNCTION("""COMPUTED_VALUE"""),110.95)</f>
        <v>110.95</v>
      </c>
      <c r="D6" s="6">
        <f>IFERROR(__xludf.DUMMYFUNCTION("""COMPUTED_VALUE"""),103.1)</f>
        <v>103.1</v>
      </c>
      <c r="E6" s="6">
        <f>IFERROR(__xludf.DUMMYFUNCTION("""COMPUTED_VALUE"""),109.4)</f>
        <v>109.4</v>
      </c>
      <c r="F6" s="6">
        <f>IFERROR(__xludf.DUMMYFUNCTION("""COMPUTED_VALUE"""),8.049983E7)</f>
        <v>80499830</v>
      </c>
    </row>
    <row r="7">
      <c r="A7" s="7">
        <f>IFERROR(__xludf.DUMMYFUNCTION("""COMPUTED_VALUE"""),45205.64583333333)</f>
        <v>45205.64583</v>
      </c>
      <c r="B7" s="6">
        <f>IFERROR(__xludf.DUMMYFUNCTION("""COMPUTED_VALUE"""),108.5)</f>
        <v>108.5</v>
      </c>
      <c r="C7" s="6">
        <f>IFERROR(__xludf.DUMMYFUNCTION("""COMPUTED_VALUE"""),113.8)</f>
        <v>113.8</v>
      </c>
      <c r="D7" s="6">
        <f>IFERROR(__xludf.DUMMYFUNCTION("""COMPUTED_VALUE"""),106.85)</f>
        <v>106.85</v>
      </c>
      <c r="E7" s="6">
        <f>IFERROR(__xludf.DUMMYFUNCTION("""COMPUTED_VALUE"""),108.55)</f>
        <v>108.55</v>
      </c>
      <c r="F7" s="6">
        <f>IFERROR(__xludf.DUMMYFUNCTION("""COMPUTED_VALUE"""),7.1820369E7)</f>
        <v>71820369</v>
      </c>
    </row>
    <row r="8">
      <c r="A8" s="7">
        <f>IFERROR(__xludf.DUMMYFUNCTION("""COMPUTED_VALUE"""),45212.64583333333)</f>
        <v>45212.64583</v>
      </c>
      <c r="B8" s="6">
        <f>IFERROR(__xludf.DUMMYFUNCTION("""COMPUTED_VALUE"""),107.0)</f>
        <v>107</v>
      </c>
      <c r="C8" s="6">
        <f>IFERROR(__xludf.DUMMYFUNCTION("""COMPUTED_VALUE"""),109.0)</f>
        <v>109</v>
      </c>
      <c r="D8" s="6">
        <f>IFERROR(__xludf.DUMMYFUNCTION("""COMPUTED_VALUE"""),103.5)</f>
        <v>103.5</v>
      </c>
      <c r="E8" s="6">
        <f>IFERROR(__xludf.DUMMYFUNCTION("""COMPUTED_VALUE"""),106.1)</f>
        <v>106.1</v>
      </c>
      <c r="F8" s="6">
        <f>IFERROR(__xludf.DUMMYFUNCTION("""COMPUTED_VALUE"""),3.9933654E7)</f>
        <v>39933654</v>
      </c>
    </row>
    <row r="9">
      <c r="A9" s="7">
        <f>IFERROR(__xludf.DUMMYFUNCTION("""COMPUTED_VALUE"""),45219.64583333333)</f>
        <v>45219.64583</v>
      </c>
      <c r="B9" s="6">
        <f>IFERROR(__xludf.DUMMYFUNCTION("""COMPUTED_VALUE"""),106.0)</f>
        <v>106</v>
      </c>
      <c r="C9" s="6">
        <f>IFERROR(__xludf.DUMMYFUNCTION("""COMPUTED_VALUE"""),107.6)</f>
        <v>107.6</v>
      </c>
      <c r="D9" s="6">
        <f>IFERROR(__xludf.DUMMYFUNCTION("""COMPUTED_VALUE"""),98.4)</f>
        <v>98.4</v>
      </c>
      <c r="E9" s="6">
        <f>IFERROR(__xludf.DUMMYFUNCTION("""COMPUTED_VALUE"""),99.6)</f>
        <v>99.6</v>
      </c>
      <c r="F9" s="6">
        <f>IFERROR(__xludf.DUMMYFUNCTION("""COMPUTED_VALUE"""),3.2687322E7)</f>
        <v>32687322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IFERROR(__xludf.DUMMYFUNCTION("""COMPUTED_VALUE"""),100.0)</f>
        <v>100</v>
      </c>
      <c r="C10" s="6">
        <f>IFERROR(__xludf.DUMMYFUNCTION("""COMPUTED_VALUE"""),101.1)</f>
        <v>101.1</v>
      </c>
      <c r="D10" s="6">
        <f>IFERROR(__xludf.DUMMYFUNCTION("""COMPUTED_VALUE"""),86.4)</f>
        <v>86.4</v>
      </c>
      <c r="E10" s="6">
        <f>IFERROR(__xludf.DUMMYFUNCTION("""COMPUTED_VALUE"""),96.8)</f>
        <v>96.8</v>
      </c>
      <c r="F10" s="6">
        <f>IFERROR(__xludf.DUMMYFUNCTION("""COMPUTED_VALUE"""),8.7504768E7)</f>
        <v>87504768</v>
      </c>
    </row>
    <row r="11">
      <c r="A11" s="7">
        <f>IFERROR(__xludf.DUMMYFUNCTION("""COMPUTED_VALUE"""),45233.64583333333)</f>
        <v>45233.64583</v>
      </c>
      <c r="B11" s="6">
        <f>IFERROR(__xludf.DUMMYFUNCTION("""COMPUTED_VALUE"""),97.3)</f>
        <v>97.3</v>
      </c>
      <c r="C11" s="6">
        <f>IFERROR(__xludf.DUMMYFUNCTION("""COMPUTED_VALUE"""),102.35)</f>
        <v>102.35</v>
      </c>
      <c r="D11" s="6">
        <f>IFERROR(__xludf.DUMMYFUNCTION("""COMPUTED_VALUE"""),94.7)</f>
        <v>94.7</v>
      </c>
      <c r="E11" s="6">
        <f>IFERROR(__xludf.DUMMYFUNCTION("""COMPUTED_VALUE"""),99.0)</f>
        <v>99</v>
      </c>
      <c r="F11" s="6">
        <f>IFERROR(__xludf.DUMMYFUNCTION("""COMPUTED_VALUE"""),5.7344463E7)</f>
        <v>57344463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IFERROR(__xludf.DUMMYFUNCTION("""COMPUTED_VALUE"""),101.9)</f>
        <v>101.9</v>
      </c>
      <c r="C12" s="6">
        <f>IFERROR(__xludf.DUMMYFUNCTION("""COMPUTED_VALUE"""),105.5)</f>
        <v>105.5</v>
      </c>
      <c r="D12" s="6">
        <f>IFERROR(__xludf.DUMMYFUNCTION("""COMPUTED_VALUE"""),100.1)</f>
        <v>100.1</v>
      </c>
      <c r="E12" s="6">
        <f>IFERROR(__xludf.DUMMYFUNCTION("""COMPUTED_VALUE"""),103.0)</f>
        <v>103</v>
      </c>
      <c r="F12" s="6">
        <f>IFERROR(__xludf.DUMMYFUNCTION("""COMPUTED_VALUE"""),4.3715805E7)</f>
        <v>43715805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IFERROR(__xludf.DUMMYFUNCTION("""COMPUTED_VALUE"""),103.9)</f>
        <v>103.9</v>
      </c>
      <c r="C13" s="6">
        <f>IFERROR(__xludf.DUMMYFUNCTION("""COMPUTED_VALUE"""),110.8)</f>
        <v>110.8</v>
      </c>
      <c r="D13" s="6">
        <f>IFERROR(__xludf.DUMMYFUNCTION("""COMPUTED_VALUE"""),102.65)</f>
        <v>102.65</v>
      </c>
      <c r="E13" s="6">
        <f>IFERROR(__xludf.DUMMYFUNCTION("""COMPUTED_VALUE"""),103.95)</f>
        <v>103.95</v>
      </c>
      <c r="F13" s="6">
        <f>IFERROR(__xludf.DUMMYFUNCTION("""COMPUTED_VALUE"""),5.1074683E7)</f>
        <v>51074683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IFERROR(__xludf.DUMMYFUNCTION("""COMPUTED_VALUE"""),104.2)</f>
        <v>104.2</v>
      </c>
      <c r="C14" s="6">
        <f>IFERROR(__xludf.DUMMYFUNCTION("""COMPUTED_VALUE"""),106.1)</f>
        <v>106.1</v>
      </c>
      <c r="D14" s="6">
        <f>IFERROR(__xludf.DUMMYFUNCTION("""COMPUTED_VALUE"""),103.1)</f>
        <v>103.1</v>
      </c>
      <c r="E14" s="6">
        <f>IFERROR(__xludf.DUMMYFUNCTION("""COMPUTED_VALUE"""),103.55)</f>
        <v>103.55</v>
      </c>
      <c r="F14" s="6">
        <f>IFERROR(__xludf.DUMMYFUNCTION("""COMPUTED_VALUE"""),2.9562066E7)</f>
        <v>29562066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IFERROR(__xludf.DUMMYFUNCTION("""COMPUTED_VALUE"""),103.55)</f>
        <v>103.55</v>
      </c>
      <c r="C15" s="6">
        <f>IFERROR(__xludf.DUMMYFUNCTION("""COMPUTED_VALUE"""),109.05)</f>
        <v>109.05</v>
      </c>
      <c r="D15" s="6">
        <f>IFERROR(__xludf.DUMMYFUNCTION("""COMPUTED_VALUE"""),102.9)</f>
        <v>102.9</v>
      </c>
      <c r="E15" s="6">
        <f>IFERROR(__xludf.DUMMYFUNCTION("""COMPUTED_VALUE"""),107.5)</f>
        <v>107.5</v>
      </c>
      <c r="F15" s="6">
        <f>IFERROR(__xludf.DUMMYFUNCTION("""COMPUTED_VALUE"""),4.0533571E7)</f>
        <v>40533571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IFERROR(__xludf.DUMMYFUNCTION("""COMPUTED_VALUE"""),112.0)</f>
        <v>112</v>
      </c>
      <c r="C16" s="6">
        <f>IFERROR(__xludf.DUMMYFUNCTION("""COMPUTED_VALUE"""),118.25)</f>
        <v>118.25</v>
      </c>
      <c r="D16" s="6">
        <f>IFERROR(__xludf.DUMMYFUNCTION("""COMPUTED_VALUE"""),108.6)</f>
        <v>108.6</v>
      </c>
      <c r="E16" s="6">
        <f>IFERROR(__xludf.DUMMYFUNCTION("""COMPUTED_VALUE"""),114.3)</f>
        <v>114.3</v>
      </c>
      <c r="F16" s="6">
        <f>IFERROR(__xludf.DUMMYFUNCTION("""COMPUTED_VALUE"""),1.35865983E8)</f>
        <v>135865983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IFERROR(__xludf.DUMMYFUNCTION("""COMPUTED_VALUE"""),114.9)</f>
        <v>114.9</v>
      </c>
      <c r="C17" s="6">
        <f>IFERROR(__xludf.DUMMYFUNCTION("""COMPUTED_VALUE"""),120.9)</f>
        <v>120.9</v>
      </c>
      <c r="D17" s="6">
        <f>IFERROR(__xludf.DUMMYFUNCTION("""COMPUTED_VALUE"""),108.2)</f>
        <v>108.2</v>
      </c>
      <c r="E17" s="6">
        <f>IFERROR(__xludf.DUMMYFUNCTION("""COMPUTED_VALUE"""),112.55)</f>
        <v>112.55</v>
      </c>
      <c r="F17" s="6">
        <f>IFERROR(__xludf.DUMMYFUNCTION("""COMPUTED_VALUE"""),3.03864833E8)</f>
        <v>303864833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IFERROR(__xludf.DUMMYFUNCTION("""COMPUTED_VALUE"""),113.0)</f>
        <v>113</v>
      </c>
      <c r="C18" s="6">
        <f>IFERROR(__xludf.DUMMYFUNCTION("""COMPUTED_VALUE"""),114.7)</f>
        <v>114.7</v>
      </c>
      <c r="D18" s="6">
        <f>IFERROR(__xludf.DUMMYFUNCTION("""COMPUTED_VALUE"""),105.5)</f>
        <v>105.5</v>
      </c>
      <c r="E18" s="6">
        <f>IFERROR(__xludf.DUMMYFUNCTION("""COMPUTED_VALUE"""),111.8)</f>
        <v>111.8</v>
      </c>
      <c r="F18" s="6">
        <f>IFERROR(__xludf.DUMMYFUNCTION("""COMPUTED_VALUE"""),1.40702264E8)</f>
        <v>140702264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IFERROR(__xludf.DUMMYFUNCTION("""COMPUTED_VALUE"""),112.25)</f>
        <v>112.25</v>
      </c>
      <c r="C19" s="6">
        <f>IFERROR(__xludf.DUMMYFUNCTION("""COMPUTED_VALUE"""),115.0)</f>
        <v>115</v>
      </c>
      <c r="D19" s="6">
        <f>IFERROR(__xludf.DUMMYFUNCTION("""COMPUTED_VALUE"""),109.1)</f>
        <v>109.1</v>
      </c>
      <c r="E19" s="6">
        <f>IFERROR(__xludf.DUMMYFUNCTION("""COMPUTED_VALUE"""),112.6)</f>
        <v>112.6</v>
      </c>
      <c r="F19" s="6">
        <f>IFERROR(__xludf.DUMMYFUNCTION("""COMPUTED_VALUE"""),7.6885963E7)</f>
        <v>76885963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IFERROR(__xludf.DUMMYFUNCTION("""COMPUTED_VALUE"""),113.2)</f>
        <v>113.2</v>
      </c>
      <c r="C20" s="6">
        <f>IFERROR(__xludf.DUMMYFUNCTION("""COMPUTED_VALUE"""),122.4)</f>
        <v>122.4</v>
      </c>
      <c r="D20" s="6">
        <f>IFERROR(__xludf.DUMMYFUNCTION("""COMPUTED_VALUE"""),111.95)</f>
        <v>111.95</v>
      </c>
      <c r="E20" s="6">
        <f>IFERROR(__xludf.DUMMYFUNCTION("""COMPUTED_VALUE"""),118.85)</f>
        <v>118.85</v>
      </c>
      <c r="F20" s="6">
        <f>IFERROR(__xludf.DUMMYFUNCTION("""COMPUTED_VALUE"""),1.40050371E8)</f>
        <v>140050371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IFERROR(__xludf.DUMMYFUNCTION("""COMPUTED_VALUE"""),119.0)</f>
        <v>119</v>
      </c>
      <c r="C21" s="6">
        <f>IFERROR(__xludf.DUMMYFUNCTION("""COMPUTED_VALUE"""),130.1)</f>
        <v>130.1</v>
      </c>
      <c r="D21" s="6">
        <f>IFERROR(__xludf.DUMMYFUNCTION("""COMPUTED_VALUE"""),116.6)</f>
        <v>116.6</v>
      </c>
      <c r="E21" s="6">
        <f>IFERROR(__xludf.DUMMYFUNCTION("""COMPUTED_VALUE"""),129.1)</f>
        <v>129.1</v>
      </c>
      <c r="F21" s="6">
        <f>IFERROR(__xludf.DUMMYFUNCTION("""COMPUTED_VALUE"""),1.26887077E8)</f>
        <v>126887077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IFERROR(__xludf.DUMMYFUNCTION("""COMPUTED_VALUE"""),138.9)</f>
        <v>138.9</v>
      </c>
      <c r="C22" s="6">
        <f>IFERROR(__xludf.DUMMYFUNCTION("""COMPUTED_VALUE"""),139.7)</f>
        <v>139.7</v>
      </c>
      <c r="D22" s="6">
        <f>IFERROR(__xludf.DUMMYFUNCTION("""COMPUTED_VALUE"""),126.55)</f>
        <v>126.55</v>
      </c>
      <c r="E22" s="6">
        <f>IFERROR(__xludf.DUMMYFUNCTION("""COMPUTED_VALUE"""),131.5)</f>
        <v>131.5</v>
      </c>
      <c r="F22" s="6">
        <f>IFERROR(__xludf.DUMMYFUNCTION("""COMPUTED_VALUE"""),5.5861307E7)</f>
        <v>55861307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IFERROR(__xludf.DUMMYFUNCTION("""COMPUTED_VALUE"""),132.5)</f>
        <v>132.5</v>
      </c>
      <c r="C23" s="6">
        <f>IFERROR(__xludf.DUMMYFUNCTION("""COMPUTED_VALUE"""),156.25)</f>
        <v>156.25</v>
      </c>
      <c r="D23" s="6">
        <f>IFERROR(__xludf.DUMMYFUNCTION("""COMPUTED_VALUE"""),132.4)</f>
        <v>132.4</v>
      </c>
      <c r="E23" s="6">
        <f>IFERROR(__xludf.DUMMYFUNCTION("""COMPUTED_VALUE"""),151.55)</f>
        <v>151.55</v>
      </c>
      <c r="F23" s="6">
        <f>IFERROR(__xludf.DUMMYFUNCTION("""COMPUTED_VALUE"""),1.38972964E8)</f>
        <v>138972964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IFERROR(__xludf.DUMMYFUNCTION("""COMPUTED_VALUE"""),147.1)</f>
        <v>147.1</v>
      </c>
      <c r="C24" s="6">
        <f>IFERROR(__xludf.DUMMYFUNCTION("""COMPUTED_VALUE"""),147.1)</f>
        <v>147.1</v>
      </c>
      <c r="D24" s="6">
        <f>IFERROR(__xludf.DUMMYFUNCTION("""COMPUTED_VALUE"""),130.55)</f>
        <v>130.55</v>
      </c>
      <c r="E24" s="6">
        <f>IFERROR(__xludf.DUMMYFUNCTION("""COMPUTED_VALUE"""),137.25)</f>
        <v>137.25</v>
      </c>
      <c r="F24" s="6">
        <f>IFERROR(__xludf.DUMMYFUNCTION("""COMPUTED_VALUE"""),2.12127293E8)</f>
        <v>212127293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IFERROR(__xludf.DUMMYFUNCTION("""COMPUTED_VALUE"""),138.25)</f>
        <v>138.25</v>
      </c>
      <c r="C25" s="6">
        <f>IFERROR(__xludf.DUMMYFUNCTION("""COMPUTED_VALUE"""),149.5)</f>
        <v>149.5</v>
      </c>
      <c r="D25" s="6">
        <f>IFERROR(__xludf.DUMMYFUNCTION("""COMPUTED_VALUE"""),124.45)</f>
        <v>124.45</v>
      </c>
      <c r="E25" s="6">
        <f>IFERROR(__xludf.DUMMYFUNCTION("""COMPUTED_VALUE"""),144.05)</f>
        <v>144.05</v>
      </c>
      <c r="F25" s="6">
        <f>IFERROR(__xludf.DUMMYFUNCTION("""COMPUTED_VALUE"""),1.13379248E8)</f>
        <v>113379248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IFERROR(__xludf.DUMMYFUNCTION("""COMPUTED_VALUE"""),145.0)</f>
        <v>145</v>
      </c>
      <c r="C26" s="6">
        <f>IFERROR(__xludf.DUMMYFUNCTION("""COMPUTED_VALUE"""),146.45)</f>
        <v>146.45</v>
      </c>
      <c r="D26" s="6">
        <f>IFERROR(__xludf.DUMMYFUNCTION("""COMPUTED_VALUE"""),136.0)</f>
        <v>136</v>
      </c>
      <c r="E26" s="6">
        <f>IFERROR(__xludf.DUMMYFUNCTION("""COMPUTED_VALUE"""),136.85)</f>
        <v>136.85</v>
      </c>
      <c r="F26" s="6">
        <f>IFERROR(__xludf.DUMMYFUNCTION("""COMPUTED_VALUE"""),6.8845672E7)</f>
        <v>68845672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IFERROR(__xludf.DUMMYFUNCTION("""COMPUTED_VALUE"""),138.4)</f>
        <v>138.4</v>
      </c>
      <c r="C27" s="6">
        <f>IFERROR(__xludf.DUMMYFUNCTION("""COMPUTED_VALUE"""),148.15)</f>
        <v>148.15</v>
      </c>
      <c r="D27" s="6">
        <f>IFERROR(__xludf.DUMMYFUNCTION("""COMPUTED_VALUE"""),135.9)</f>
        <v>135.9</v>
      </c>
      <c r="E27" s="6">
        <f>IFERROR(__xludf.DUMMYFUNCTION("""COMPUTED_VALUE"""),145.95)</f>
        <v>145.95</v>
      </c>
      <c r="F27" s="6">
        <f>IFERROR(__xludf.DUMMYFUNCTION("""COMPUTED_VALUE"""),9.6837266E7)</f>
        <v>96837266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IFERROR(__xludf.DUMMYFUNCTION("""COMPUTED_VALUE"""),147.3)</f>
        <v>147.3</v>
      </c>
      <c r="C28" s="6">
        <f>IFERROR(__xludf.DUMMYFUNCTION("""COMPUTED_VALUE"""),149.45)</f>
        <v>149.45</v>
      </c>
      <c r="D28" s="6">
        <f>IFERROR(__xludf.DUMMYFUNCTION("""COMPUTED_VALUE"""),125.1)</f>
        <v>125.1</v>
      </c>
      <c r="E28" s="6">
        <f>IFERROR(__xludf.DUMMYFUNCTION("""COMPUTED_VALUE"""),134.3)</f>
        <v>134.3</v>
      </c>
      <c r="F28" s="6">
        <f>IFERROR(__xludf.DUMMYFUNCTION("""COMPUTED_VALUE"""),9.4465881E7)</f>
        <v>94465881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IFERROR(__xludf.DUMMYFUNCTION("""COMPUTED_VALUE"""),134.0)</f>
        <v>134</v>
      </c>
      <c r="C29" s="6">
        <f>IFERROR(__xludf.DUMMYFUNCTION("""COMPUTED_VALUE"""),137.7)</f>
        <v>137.7</v>
      </c>
      <c r="D29" s="6">
        <f>IFERROR(__xludf.DUMMYFUNCTION("""COMPUTED_VALUE"""),128.1)</f>
        <v>128.1</v>
      </c>
      <c r="E29" s="6">
        <f>IFERROR(__xludf.DUMMYFUNCTION("""COMPUTED_VALUE"""),135.8)</f>
        <v>135.8</v>
      </c>
      <c r="F29" s="6">
        <f>IFERROR(__xludf.DUMMYFUNCTION("""COMPUTED_VALUE"""),4.7089428E7)</f>
        <v>47089428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IFERROR(__xludf.DUMMYFUNCTION("""COMPUTED_VALUE"""),135.85)</f>
        <v>135.85</v>
      </c>
      <c r="C30" s="6">
        <f>IFERROR(__xludf.DUMMYFUNCTION("""COMPUTED_VALUE"""),137.85)</f>
        <v>137.85</v>
      </c>
      <c r="D30" s="6">
        <f>IFERROR(__xludf.DUMMYFUNCTION("""COMPUTED_VALUE"""),131.4)</f>
        <v>131.4</v>
      </c>
      <c r="E30" s="6">
        <f>IFERROR(__xludf.DUMMYFUNCTION("""COMPUTED_VALUE"""),137.05)</f>
        <v>137.05</v>
      </c>
      <c r="F30" s="6">
        <f>IFERROR(__xludf.DUMMYFUNCTION("""COMPUTED_VALUE"""),3.1509276E7)</f>
        <v>31509276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IFERROR(__xludf.DUMMYFUNCTION("""COMPUTED_VALUE"""),134.0)</f>
        <v>134</v>
      </c>
      <c r="C31" s="6">
        <f>IFERROR(__xludf.DUMMYFUNCTION("""COMPUTED_VALUE"""),151.3)</f>
        <v>151.3</v>
      </c>
      <c r="D31" s="6">
        <f>IFERROR(__xludf.DUMMYFUNCTION("""COMPUTED_VALUE"""),133.9)</f>
        <v>133.9</v>
      </c>
      <c r="E31" s="6">
        <f>IFERROR(__xludf.DUMMYFUNCTION("""COMPUTED_VALUE"""),148.5)</f>
        <v>148.5</v>
      </c>
      <c r="F31" s="6">
        <f>IFERROR(__xludf.DUMMYFUNCTION("""COMPUTED_VALUE"""),1.04191699E8)</f>
        <v>104191699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IFERROR(__xludf.DUMMYFUNCTION("""COMPUTED_VALUE"""),148.5)</f>
        <v>148.5</v>
      </c>
      <c r="C32" s="6">
        <f>IFERROR(__xludf.DUMMYFUNCTION("""COMPUTED_VALUE"""),150.7)</f>
        <v>150.7</v>
      </c>
      <c r="D32" s="6">
        <f>IFERROR(__xludf.DUMMYFUNCTION("""COMPUTED_VALUE"""),141.2)</f>
        <v>141.2</v>
      </c>
      <c r="E32" s="6">
        <f>IFERROR(__xludf.DUMMYFUNCTION("""COMPUTED_VALUE"""),143.6)</f>
        <v>143.6</v>
      </c>
      <c r="F32" s="6">
        <f>IFERROR(__xludf.DUMMYFUNCTION("""COMPUTED_VALUE"""),3.7791362E7)</f>
        <v>37791362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IFERROR(__xludf.DUMMYFUNCTION("""COMPUTED_VALUE"""),138.0)</f>
        <v>138</v>
      </c>
      <c r="C33" s="6">
        <f>IFERROR(__xludf.DUMMYFUNCTION("""COMPUTED_VALUE"""),141.95)</f>
        <v>141.95</v>
      </c>
      <c r="D33" s="6">
        <f>IFERROR(__xludf.DUMMYFUNCTION("""COMPUTED_VALUE"""),133.2)</f>
        <v>133.2</v>
      </c>
      <c r="E33" s="6">
        <f>IFERROR(__xludf.DUMMYFUNCTION("""COMPUTED_VALUE"""),135.75)</f>
        <v>135.75</v>
      </c>
      <c r="F33" s="6">
        <f>IFERROR(__xludf.DUMMYFUNCTION("""COMPUTED_VALUE"""),2.769548E7)</f>
        <v>27695480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IFERROR(__xludf.DUMMYFUNCTION("""COMPUTED_VALUE"""),139.0)</f>
        <v>139</v>
      </c>
      <c r="C34" s="6">
        <f>IFERROR(__xludf.DUMMYFUNCTION("""COMPUTED_VALUE"""),154.4)</f>
        <v>154.4</v>
      </c>
      <c r="D34" s="6">
        <f>IFERROR(__xludf.DUMMYFUNCTION("""COMPUTED_VALUE"""),137.5)</f>
        <v>137.5</v>
      </c>
      <c r="E34" s="6">
        <f>IFERROR(__xludf.DUMMYFUNCTION("""COMPUTED_VALUE"""),150.35)</f>
        <v>150.35</v>
      </c>
      <c r="F34" s="6">
        <f>IFERROR(__xludf.DUMMYFUNCTION("""COMPUTED_VALUE"""),7.1448977E7)</f>
        <v>71448977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IFERROR(__xludf.DUMMYFUNCTION("""COMPUTED_VALUE"""),151.65)</f>
        <v>151.65</v>
      </c>
      <c r="C35" s="6">
        <f>IFERROR(__xludf.DUMMYFUNCTION("""COMPUTED_VALUE"""),157.95)</f>
        <v>157.95</v>
      </c>
      <c r="D35" s="6">
        <f>IFERROR(__xludf.DUMMYFUNCTION("""COMPUTED_VALUE"""),148.25)</f>
        <v>148.25</v>
      </c>
      <c r="E35" s="6">
        <f>IFERROR(__xludf.DUMMYFUNCTION("""COMPUTED_VALUE"""),149.8)</f>
        <v>149.8</v>
      </c>
      <c r="F35" s="6">
        <f>IFERROR(__xludf.DUMMYFUNCTION("""COMPUTED_VALUE"""),6.1758918E7)</f>
        <v>61758918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IFERROR(__xludf.DUMMYFUNCTION("""COMPUTED_VALUE"""),150.5)</f>
        <v>150.5</v>
      </c>
      <c r="C36" s="6">
        <f>IFERROR(__xludf.DUMMYFUNCTION("""COMPUTED_VALUE"""),150.65)</f>
        <v>150.65</v>
      </c>
      <c r="D36" s="6">
        <f>IFERROR(__xludf.DUMMYFUNCTION("""COMPUTED_VALUE"""),136.6)</f>
        <v>136.6</v>
      </c>
      <c r="E36" s="6">
        <f>IFERROR(__xludf.DUMMYFUNCTION("""COMPUTED_VALUE"""),138.75)</f>
        <v>138.75</v>
      </c>
      <c r="F36" s="6">
        <f>IFERROR(__xludf.DUMMYFUNCTION("""COMPUTED_VALUE"""),6.5855232E7)</f>
        <v>65855232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IFERROR(__xludf.DUMMYFUNCTION("""COMPUTED_VALUE"""),124.8)</f>
        <v>124.8</v>
      </c>
      <c r="C37" s="6">
        <f>IFERROR(__xludf.DUMMYFUNCTION("""COMPUTED_VALUE"""),131.2)</f>
        <v>131.2</v>
      </c>
      <c r="D37" s="6">
        <f>IFERROR(__xludf.DUMMYFUNCTION("""COMPUTED_VALUE"""),122.75)</f>
        <v>122.75</v>
      </c>
      <c r="E37" s="6">
        <f>IFERROR(__xludf.DUMMYFUNCTION("""COMPUTED_VALUE"""),129.9)</f>
        <v>129.9</v>
      </c>
      <c r="F37" s="6">
        <f>IFERROR(__xludf.DUMMYFUNCTION("""COMPUTED_VALUE"""),5.456932E7)</f>
        <v>54569320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IFERROR(__xludf.DUMMYFUNCTION("""COMPUTED_VALUE"""),130.75)</f>
        <v>130.75</v>
      </c>
      <c r="C38" s="6">
        <f>IFERROR(__xludf.DUMMYFUNCTION("""COMPUTED_VALUE"""),134.5)</f>
        <v>134.5</v>
      </c>
      <c r="D38" s="6">
        <f>IFERROR(__xludf.DUMMYFUNCTION("""COMPUTED_VALUE"""),125.5)</f>
        <v>125.5</v>
      </c>
      <c r="E38" s="6">
        <f>IFERROR(__xludf.DUMMYFUNCTION("""COMPUTED_VALUE"""),128.7)</f>
        <v>128.7</v>
      </c>
      <c r="F38" s="6">
        <f>IFERROR(__xludf.DUMMYFUNCTION("""COMPUTED_VALUE"""),6.2736954E7)</f>
        <v>62736954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IFERROR(__xludf.DUMMYFUNCTION("""COMPUTED_VALUE"""),135.0)</f>
        <v>135</v>
      </c>
      <c r="C39" s="6">
        <f>IFERROR(__xludf.DUMMYFUNCTION("""COMPUTED_VALUE"""),137.45)</f>
        <v>137.45</v>
      </c>
      <c r="D39" s="6">
        <f>IFERROR(__xludf.DUMMYFUNCTION("""COMPUTED_VALUE"""),109.55)</f>
        <v>109.55</v>
      </c>
      <c r="E39" s="6">
        <f>IFERROR(__xludf.DUMMYFUNCTION("""COMPUTED_VALUE"""),121.05)</f>
        <v>121.05</v>
      </c>
      <c r="F39" s="6">
        <f>IFERROR(__xludf.DUMMYFUNCTION("""COMPUTED_VALUE"""),1.7353904E8)</f>
        <v>173539040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IFERROR(__xludf.DUMMYFUNCTION("""COMPUTED_VALUE"""),122.0)</f>
        <v>122</v>
      </c>
      <c r="C40" s="6">
        <f>IFERROR(__xludf.DUMMYFUNCTION("""COMPUTED_VALUE"""),126.39)</f>
        <v>126.39</v>
      </c>
      <c r="D40" s="6">
        <f>IFERROR(__xludf.DUMMYFUNCTION("""COMPUTED_VALUE"""),122.0)</f>
        <v>122</v>
      </c>
      <c r="E40" s="6">
        <f>IFERROR(__xludf.DUMMYFUNCTION("""COMPUTED_VALUE"""),125.76)</f>
        <v>125.76</v>
      </c>
      <c r="F40" s="6">
        <f>IFERROR(__xludf.DUMMYFUNCTION("""COMPUTED_VALUE"""),6.6691683E7)</f>
        <v>66691683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IFERROR(__xludf.DUMMYFUNCTION("""COMPUTED_VALUE"""),124.9)</f>
        <v>124.9</v>
      </c>
      <c r="C41" s="6">
        <f>IFERROR(__xludf.DUMMYFUNCTION("""COMPUTED_VALUE"""),124.9)</f>
        <v>124.9</v>
      </c>
      <c r="D41" s="6">
        <f>IFERROR(__xludf.DUMMYFUNCTION("""COMPUTED_VALUE"""),121.1)</f>
        <v>121.1</v>
      </c>
      <c r="E41" s="6">
        <f>IFERROR(__xludf.DUMMYFUNCTION("""COMPUTED_VALUE"""),121.6)</f>
        <v>121.6</v>
      </c>
      <c r="F41" s="6">
        <f>IFERROR(__xludf.DUMMYFUNCTION("""COMPUTED_VALUE"""),5.04278E7)</f>
        <v>50427800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IFERROR(__xludf.DUMMYFUNCTION("""COMPUTED_VALUE"""),121.4)</f>
        <v>121.4</v>
      </c>
      <c r="C42" s="6">
        <f>IFERROR(__xludf.DUMMYFUNCTION("""COMPUTED_VALUE"""),124.46)</f>
        <v>124.46</v>
      </c>
      <c r="D42" s="6">
        <f>IFERROR(__xludf.DUMMYFUNCTION("""COMPUTED_VALUE"""),119.37)</f>
        <v>119.37</v>
      </c>
      <c r="E42" s="6">
        <f>IFERROR(__xludf.DUMMYFUNCTION("""COMPUTED_VALUE"""),120.51)</f>
        <v>120.51</v>
      </c>
      <c r="F42" s="6">
        <f>IFERROR(__xludf.DUMMYFUNCTION("""COMPUTED_VALUE"""),5.2242531E7)</f>
        <v>52242531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IFERROR(__xludf.DUMMYFUNCTION("""COMPUTED_VALUE"""),120.8)</f>
        <v>120.8</v>
      </c>
      <c r="C43" s="6">
        <f>IFERROR(__xludf.DUMMYFUNCTION("""COMPUTED_VALUE"""),121.55)</f>
        <v>121.55</v>
      </c>
      <c r="D43" s="6">
        <f>IFERROR(__xludf.DUMMYFUNCTION("""COMPUTED_VALUE"""),117.3)</f>
        <v>117.3</v>
      </c>
      <c r="E43" s="6">
        <f>IFERROR(__xludf.DUMMYFUNCTION("""COMPUTED_VALUE"""),120.45)</f>
        <v>120.45</v>
      </c>
      <c r="F43" s="6">
        <f>IFERROR(__xludf.DUMMYFUNCTION("""COMPUTED_VALUE"""),4.1483499E7)</f>
        <v>41483499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IFERROR(__xludf.DUMMYFUNCTION("""COMPUTED_VALUE"""),120.6)</f>
        <v>120.6</v>
      </c>
      <c r="C44" s="6">
        <f>IFERROR(__xludf.DUMMYFUNCTION("""COMPUTED_VALUE"""),125.9)</f>
        <v>125.9</v>
      </c>
      <c r="D44" s="6">
        <f>IFERROR(__xludf.DUMMYFUNCTION("""COMPUTED_VALUE"""),119.0)</f>
        <v>119</v>
      </c>
      <c r="E44" s="6">
        <f>IFERROR(__xludf.DUMMYFUNCTION("""COMPUTED_VALUE"""),120.29)</f>
        <v>120.29</v>
      </c>
      <c r="F44" s="6">
        <f>IFERROR(__xludf.DUMMYFUNCTION("""COMPUTED_VALUE"""),5.4081159E7)</f>
        <v>54081159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IFERROR(__xludf.DUMMYFUNCTION("""COMPUTED_VALUE"""),120.53)</f>
        <v>120.53</v>
      </c>
      <c r="C45" s="6">
        <f>IFERROR(__xludf.DUMMYFUNCTION("""COMPUTED_VALUE"""),125.09)</f>
        <v>125.09</v>
      </c>
      <c r="D45" s="6">
        <f>IFERROR(__xludf.DUMMYFUNCTION("""COMPUTED_VALUE"""),119.7)</f>
        <v>119.7</v>
      </c>
      <c r="E45" s="6">
        <f>IFERROR(__xludf.DUMMYFUNCTION("""COMPUTED_VALUE"""),120.89)</f>
        <v>120.89</v>
      </c>
      <c r="F45" s="6">
        <f>IFERROR(__xludf.DUMMYFUNCTION("""COMPUTED_VALUE"""),5.0871693E7)</f>
        <v>50871693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IFERROR(__xludf.DUMMYFUNCTION("""COMPUTED_VALUE"""),120.0)</f>
        <v>120</v>
      </c>
      <c r="C46" s="6">
        <f>IFERROR(__xludf.DUMMYFUNCTION("""COMPUTED_VALUE"""),122.46)</f>
        <v>122.46</v>
      </c>
      <c r="D46" s="6">
        <f>IFERROR(__xludf.DUMMYFUNCTION("""COMPUTED_VALUE"""),117.0)</f>
        <v>117</v>
      </c>
      <c r="E46" s="6">
        <f>IFERROR(__xludf.DUMMYFUNCTION("""COMPUTED_VALUE"""),119.37)</f>
        <v>119.37</v>
      </c>
      <c r="F46" s="6">
        <f>IFERROR(__xludf.DUMMYFUNCTION("""COMPUTED_VALUE"""),3.7171924E7)</f>
        <v>37171924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IFERROR(__xludf.DUMMYFUNCTION("""COMPUTED_VALUE"""),120.85)</f>
        <v>120.85</v>
      </c>
      <c r="C47" s="6">
        <f>IFERROR(__xludf.DUMMYFUNCTION("""COMPUTED_VALUE"""),128.2)</f>
        <v>128.2</v>
      </c>
      <c r="D47" s="6">
        <f>IFERROR(__xludf.DUMMYFUNCTION("""COMPUTED_VALUE"""),120.4)</f>
        <v>120.4</v>
      </c>
      <c r="E47" s="6">
        <f>IFERROR(__xludf.DUMMYFUNCTION("""COMPUTED_VALUE"""),126.24)</f>
        <v>126.24</v>
      </c>
      <c r="F47" s="6">
        <f>IFERROR(__xludf.DUMMYFUNCTION("""COMPUTED_VALUE"""),5.8815147E7)</f>
        <v>58815147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IFERROR(__xludf.DUMMYFUNCTION("""COMPUTED_VALUE"""),123.6)</f>
        <v>123.6</v>
      </c>
      <c r="C48" s="6">
        <f>IFERROR(__xludf.DUMMYFUNCTION("""COMPUTED_VALUE"""),124.9)</f>
        <v>124.9</v>
      </c>
      <c r="D48" s="6">
        <f>IFERROR(__xludf.DUMMYFUNCTION("""COMPUTED_VALUE"""),117.25)</f>
        <v>117.25</v>
      </c>
      <c r="E48" s="6">
        <f>IFERROR(__xludf.DUMMYFUNCTION("""COMPUTED_VALUE"""),118.95)</f>
        <v>118.95</v>
      </c>
      <c r="F48" s="6">
        <f>IFERROR(__xludf.DUMMYFUNCTION("""COMPUTED_VALUE"""),5.5778142E7)</f>
        <v>55778142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IFERROR(__xludf.DUMMYFUNCTION("""COMPUTED_VALUE"""),118.79)</f>
        <v>118.79</v>
      </c>
      <c r="C49" s="6">
        <f>IFERROR(__xludf.DUMMYFUNCTION("""COMPUTED_VALUE"""),119.5)</f>
        <v>119.5</v>
      </c>
      <c r="D49" s="6">
        <f>IFERROR(__xludf.DUMMYFUNCTION("""COMPUTED_VALUE"""),114.0)</f>
        <v>114</v>
      </c>
      <c r="E49" s="6">
        <f>IFERROR(__xludf.DUMMYFUNCTION("""COMPUTED_VALUE"""),116.01)</f>
        <v>116.01</v>
      </c>
      <c r="F49" s="6">
        <f>IFERROR(__xludf.DUMMYFUNCTION("""COMPUTED_VALUE"""),2.2054298E7)</f>
        <v>22054298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IFERROR(__xludf.DUMMYFUNCTION("""COMPUTED_VALUE"""),116.95)</f>
        <v>116.95</v>
      </c>
      <c r="C50" s="6">
        <f>IFERROR(__xludf.DUMMYFUNCTION("""COMPUTED_VALUE"""),121.5)</f>
        <v>121.5</v>
      </c>
      <c r="D50" s="6">
        <f>IFERROR(__xludf.DUMMYFUNCTION("""COMPUTED_VALUE"""),116.69)</f>
        <v>116.69</v>
      </c>
      <c r="E50" s="6">
        <f>IFERROR(__xludf.DUMMYFUNCTION("""COMPUTED_VALUE"""),120.56)</f>
        <v>120.56</v>
      </c>
      <c r="F50" s="6">
        <f>IFERROR(__xludf.DUMMYFUNCTION("""COMPUTED_VALUE"""),2.0537565E7)</f>
        <v>20537565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IFERROR(__xludf.DUMMYFUNCTION("""COMPUTED_VALUE"""),121.0)</f>
        <v>121</v>
      </c>
      <c r="C51" s="6">
        <f>IFERROR(__xludf.DUMMYFUNCTION("""COMPUTED_VALUE"""),121.49)</f>
        <v>121.49</v>
      </c>
      <c r="D51" s="6">
        <f>IFERROR(__xludf.DUMMYFUNCTION("""COMPUTED_VALUE"""),116.5)</f>
        <v>116.5</v>
      </c>
      <c r="E51" s="6">
        <f>IFERROR(__xludf.DUMMYFUNCTION("""COMPUTED_VALUE"""),117.74)</f>
        <v>117.74</v>
      </c>
      <c r="F51" s="6">
        <f>IFERROR(__xludf.DUMMYFUNCTION("""COMPUTED_VALUE"""),2.6898805E7)</f>
        <v>26898805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IFERROR(__xludf.DUMMYFUNCTION("""COMPUTED_VALUE"""),118.79)</f>
        <v>118.79</v>
      </c>
      <c r="C52" s="6">
        <f>IFERROR(__xludf.DUMMYFUNCTION("""COMPUTED_VALUE"""),119.39)</f>
        <v>119.39</v>
      </c>
      <c r="D52" s="6">
        <f>IFERROR(__xludf.DUMMYFUNCTION("""COMPUTED_VALUE"""),115.25)</f>
        <v>115.25</v>
      </c>
      <c r="E52" s="6">
        <f>IFERROR(__xludf.DUMMYFUNCTION("""COMPUTED_VALUE"""),115.75)</f>
        <v>115.75</v>
      </c>
      <c r="F52" s="6">
        <f>IFERROR(__xludf.DUMMYFUNCTION("""COMPUTED_VALUE"""),2.3816095E7)</f>
        <v>23816095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IFERROR(__xludf.DUMMYFUNCTION("""COMPUTED_VALUE"""),115.0)</f>
        <v>115</v>
      </c>
      <c r="C53" s="6">
        <f>IFERROR(__xludf.DUMMYFUNCTION("""COMPUTED_VALUE"""),115.58)</f>
        <v>115.58</v>
      </c>
      <c r="D53" s="6">
        <f>IFERROR(__xludf.DUMMYFUNCTION("""COMPUTED_VALUE"""),110.22)</f>
        <v>110.22</v>
      </c>
      <c r="E53" s="6">
        <f>IFERROR(__xludf.DUMMYFUNCTION("""COMPUTED_VALUE"""),112.36)</f>
        <v>112.36</v>
      </c>
      <c r="F53" s="6">
        <f>IFERROR(__xludf.DUMMYFUNCTION("""COMPUTED_VALUE"""),3.0194921E7)</f>
        <v>30194921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IFERROR(__xludf.DUMMYFUNCTION("""COMPUTED_VALUE"""),112.89)</f>
        <v>112.89</v>
      </c>
      <c r="C54" s="6">
        <f>IFERROR(__xludf.DUMMYFUNCTION("""COMPUTED_VALUE"""),115.25)</f>
        <v>115.25</v>
      </c>
      <c r="D54" s="6">
        <f>IFERROR(__xludf.DUMMYFUNCTION("""COMPUTED_VALUE"""),109.51)</f>
        <v>109.51</v>
      </c>
      <c r="E54" s="6">
        <f>IFERROR(__xludf.DUMMYFUNCTION("""COMPUTED_VALUE"""),110.3)</f>
        <v>110.3</v>
      </c>
      <c r="F54" s="6">
        <f>IFERROR(__xludf.DUMMYFUNCTION("""COMPUTED_VALUE"""),2.1329408E7)</f>
        <v>21329408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IFERROR(__xludf.DUMMYFUNCTION("""COMPUTED_VALUE"""),111.15)</f>
        <v>111.15</v>
      </c>
      <c r="C55" s="6">
        <f>IFERROR(__xludf.DUMMYFUNCTION("""COMPUTED_VALUE"""),113.59)</f>
        <v>113.59</v>
      </c>
      <c r="D55" s="6">
        <f>IFERROR(__xludf.DUMMYFUNCTION("""COMPUTED_VALUE"""),109.66)</f>
        <v>109.66</v>
      </c>
      <c r="E55" s="6">
        <f>IFERROR(__xludf.DUMMYFUNCTION("""COMPUTED_VALUE"""),110.77)</f>
        <v>110.77</v>
      </c>
      <c r="F55" s="6">
        <f>IFERROR(__xludf.DUMMYFUNCTION("""COMPUTED_VALUE"""),2.6076097E7)</f>
        <v>26076097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IFERROR(__xludf.DUMMYFUNCTION("""COMPUTED_VALUE"""),110.82)</f>
        <v>110.82</v>
      </c>
      <c r="C56" s="6">
        <f>IFERROR(__xludf.DUMMYFUNCTION("""COMPUTED_VALUE"""),111.69)</f>
        <v>111.69</v>
      </c>
      <c r="D56" s="6">
        <f>IFERROR(__xludf.DUMMYFUNCTION("""COMPUTED_VALUE"""),106.8)</f>
        <v>106.8</v>
      </c>
      <c r="E56" s="6">
        <f>IFERROR(__xludf.DUMMYFUNCTION("""COMPUTED_VALUE"""),108.76)</f>
        <v>108.76</v>
      </c>
      <c r="F56" s="6">
        <f>IFERROR(__xludf.DUMMYFUNCTION("""COMPUTED_VALUE"""),1.7996004E7)</f>
        <v>17996004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IFERROR(__xludf.DUMMYFUNCTION("""COMPUTED_VALUE"""),109.0)</f>
        <v>109</v>
      </c>
      <c r="C57" s="6">
        <f>IFERROR(__xludf.DUMMYFUNCTION("""COMPUTED_VALUE"""),109.46)</f>
        <v>109.46</v>
      </c>
      <c r="D57" s="6">
        <f>IFERROR(__xludf.DUMMYFUNCTION("""COMPUTED_VALUE"""),101.07)</f>
        <v>101.07</v>
      </c>
      <c r="E57" s="6">
        <f>IFERROR(__xludf.DUMMYFUNCTION("""COMPUTED_VALUE"""),105.53)</f>
        <v>105.53</v>
      </c>
      <c r="F57" s="6">
        <f>IFERROR(__xludf.DUMMYFUNCTION("""COMPUTED_VALUE"""),1.9911763E7)</f>
        <v>19911763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IFERROR(__xludf.DUMMYFUNCTION("""COMPUTED_VALUE"""),105.91)</f>
        <v>105.91</v>
      </c>
      <c r="C58" s="6">
        <f>IFERROR(__xludf.DUMMYFUNCTION("""COMPUTED_VALUE"""),106.3)</f>
        <v>106.3</v>
      </c>
      <c r="D58" s="6">
        <f>IFERROR(__xludf.DUMMYFUNCTION("""COMPUTED_VALUE"""),102.82)</f>
        <v>102.82</v>
      </c>
      <c r="E58" s="6">
        <f>IFERROR(__xludf.DUMMYFUNCTION("""COMPUTED_VALUE"""),104.82)</f>
        <v>104.82</v>
      </c>
      <c r="F58" s="6">
        <f>IFERROR(__xludf.DUMMYFUNCTION("""COMPUTED_VALUE"""),1.4176542E7)</f>
        <v>14176542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IFERROR(__xludf.DUMMYFUNCTION("""COMPUTED_VALUE"""),105.3)</f>
        <v>105.3</v>
      </c>
      <c r="C59" s="6">
        <f>IFERROR(__xludf.DUMMYFUNCTION("""COMPUTED_VALUE"""),106.18)</f>
        <v>106.18</v>
      </c>
      <c r="D59" s="6">
        <f>IFERROR(__xludf.DUMMYFUNCTION("""COMPUTED_VALUE"""),96.0)</f>
        <v>96</v>
      </c>
      <c r="E59" s="6">
        <f>IFERROR(__xludf.DUMMYFUNCTION("""COMPUTED_VALUE"""),96.56)</f>
        <v>96.56</v>
      </c>
      <c r="F59" s="6">
        <f>IFERROR(__xludf.DUMMYFUNCTION("""COMPUTED_VALUE"""),3.3436521E7)</f>
        <v>33436521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IFERROR(__xludf.DUMMYFUNCTION("""COMPUTED_VALUE"""),110.44)</f>
        <v>110.44</v>
      </c>
      <c r="C60" s="6">
        <f>IFERROR(__xludf.DUMMYFUNCTION("""COMPUTED_VALUE"""),115.0)</f>
        <v>115</v>
      </c>
      <c r="D60" s="6">
        <f>IFERROR(__xludf.DUMMYFUNCTION("""COMPUTED_VALUE"""),106.86)</f>
        <v>106.86</v>
      </c>
      <c r="E60" s="6">
        <f>IFERROR(__xludf.DUMMYFUNCTION("""COMPUTED_VALUE"""),111.64)</f>
        <v>111.64</v>
      </c>
      <c r="F60" s="6">
        <f>IFERROR(__xludf.DUMMYFUNCTION("""COMPUTED_VALUE"""),3.0602569E7)</f>
        <v>30602569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IFERROR(__xludf.DUMMYFUNCTION("""COMPUTED_VALUE"""),111.03)</f>
        <v>111.03</v>
      </c>
      <c r="C61" s="6">
        <f>IFERROR(__xludf.DUMMYFUNCTION("""COMPUTED_VALUE"""),115.0)</f>
        <v>115</v>
      </c>
      <c r="D61" s="6">
        <f>IFERROR(__xludf.DUMMYFUNCTION("""COMPUTED_VALUE"""),103.8)</f>
        <v>103.8</v>
      </c>
      <c r="E61" s="6">
        <f>IFERROR(__xludf.DUMMYFUNCTION("""COMPUTED_VALUE"""),104.3)</f>
        <v>104.3</v>
      </c>
      <c r="F61" s="6">
        <f>IFERROR(__xludf.DUMMYFUNCTION("""COMPUTED_VALUE"""),3.1795371E7)</f>
        <v>31795371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IFERROR(__xludf.DUMMYFUNCTION("""COMPUTED_VALUE"""),104.4)</f>
        <v>104.4</v>
      </c>
      <c r="C62" s="6">
        <f>IFERROR(__xludf.DUMMYFUNCTION("""COMPUTED_VALUE"""),107.6)</f>
        <v>107.6</v>
      </c>
      <c r="D62" s="6">
        <f>IFERROR(__xludf.DUMMYFUNCTION("""COMPUTED_VALUE"""),100.7)</f>
        <v>100.7</v>
      </c>
      <c r="E62" s="6">
        <f>IFERROR(__xludf.DUMMYFUNCTION("""COMPUTED_VALUE"""),103.06)</f>
        <v>103.06</v>
      </c>
      <c r="F62" s="6">
        <f>IFERROR(__xludf.DUMMYFUNCTION("""COMPUTED_VALUE"""),2.243706E7)</f>
        <v>22437060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IFERROR(__xludf.DUMMYFUNCTION("""COMPUTED_VALUE"""),106.59)</f>
        <v>106.59</v>
      </c>
      <c r="C63" s="6">
        <f>IFERROR(__xludf.DUMMYFUNCTION("""COMPUTED_VALUE"""),114.7)</f>
        <v>114.7</v>
      </c>
      <c r="D63" s="6">
        <f>IFERROR(__xludf.DUMMYFUNCTION("""COMPUTED_VALUE"""),105.34)</f>
        <v>105.34</v>
      </c>
      <c r="E63" s="6">
        <f>IFERROR(__xludf.DUMMYFUNCTION("""COMPUTED_VALUE"""),110.5)</f>
        <v>110.5</v>
      </c>
      <c r="F63" s="6">
        <f>IFERROR(__xludf.DUMMYFUNCTION("""COMPUTED_VALUE"""),4.1919841E7)</f>
        <v>41919841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IFERROR(__xludf.DUMMYFUNCTION("""COMPUTED_VALUE"""),110.35)</f>
        <v>110.35</v>
      </c>
      <c r="C64" s="6">
        <f>IFERROR(__xludf.DUMMYFUNCTION("""COMPUTED_VALUE"""),120.5)</f>
        <v>120.5</v>
      </c>
      <c r="D64" s="6">
        <f>IFERROR(__xludf.DUMMYFUNCTION("""COMPUTED_VALUE"""),107.45)</f>
        <v>107.45</v>
      </c>
      <c r="E64" s="6">
        <f>IFERROR(__xludf.DUMMYFUNCTION("""COMPUTED_VALUE"""),117.81)</f>
        <v>117.81</v>
      </c>
      <c r="F64" s="6">
        <f>IFERROR(__xludf.DUMMYFUNCTION("""COMPUTED_VALUE"""),7.1654367E7)</f>
        <v>71654367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IFERROR(__xludf.DUMMYFUNCTION("""COMPUTED_VALUE"""),117.6)</f>
        <v>117.6</v>
      </c>
      <c r="C65" s="6">
        <f>IFERROR(__xludf.DUMMYFUNCTION("""COMPUTED_VALUE"""),118.38)</f>
        <v>118.38</v>
      </c>
      <c r="D65" s="6">
        <f>IFERROR(__xludf.DUMMYFUNCTION("""COMPUTED_VALUE"""),109.81)</f>
        <v>109.81</v>
      </c>
      <c r="E65" s="6">
        <f>IFERROR(__xludf.DUMMYFUNCTION("""COMPUTED_VALUE"""),113.05)</f>
        <v>113.05</v>
      </c>
      <c r="F65" s="6">
        <f>IFERROR(__xludf.DUMMYFUNCTION("""COMPUTED_VALUE"""),2.602463E7)</f>
        <v>26024630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IFERROR(__xludf.DUMMYFUNCTION("""COMPUTED_VALUE"""),112.54)</f>
        <v>112.54</v>
      </c>
      <c r="C66" s="6">
        <f>IFERROR(__xludf.DUMMYFUNCTION("""COMPUTED_VALUE"""),115.6)</f>
        <v>115.6</v>
      </c>
      <c r="D66" s="6">
        <f>IFERROR(__xludf.DUMMYFUNCTION("""COMPUTED_VALUE"""),102.7)</f>
        <v>102.7</v>
      </c>
      <c r="E66" s="6">
        <f>IFERROR(__xludf.DUMMYFUNCTION("""COMPUTED_VALUE"""),103.03)</f>
        <v>103.03</v>
      </c>
      <c r="F66" s="6">
        <f>IFERROR(__xludf.DUMMYFUNCTION("""COMPUTED_VALUE"""),3.3481122E7)</f>
        <v>33481122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IFERROR(__xludf.DUMMYFUNCTION("""COMPUTED_VALUE"""),103.5)</f>
        <v>103.5</v>
      </c>
      <c r="C67" s="6">
        <f>IFERROR(__xludf.DUMMYFUNCTION("""COMPUTED_VALUE"""),104.75)</f>
        <v>104.75</v>
      </c>
      <c r="D67" s="6">
        <f>IFERROR(__xludf.DUMMYFUNCTION("""COMPUTED_VALUE"""),101.86)</f>
        <v>101.86</v>
      </c>
      <c r="E67" s="6">
        <f>IFERROR(__xludf.DUMMYFUNCTION("""COMPUTED_VALUE"""),102.8)</f>
        <v>102.8</v>
      </c>
      <c r="F67" s="6">
        <f>IFERROR(__xludf.DUMMYFUNCTION("""COMPUTED_VALUE"""),2.2588029E7)</f>
        <v>22588029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IFERROR(__xludf.DUMMYFUNCTION("""COMPUTED_VALUE"""),102.61)</f>
        <v>102.61</v>
      </c>
      <c r="C68" s="6">
        <f>IFERROR(__xludf.DUMMYFUNCTION("""COMPUTED_VALUE"""),107.15)</f>
        <v>107.15</v>
      </c>
      <c r="D68" s="6">
        <f>IFERROR(__xludf.DUMMYFUNCTION("""COMPUTED_VALUE"""),100.22)</f>
        <v>100.22</v>
      </c>
      <c r="E68" s="6">
        <f>IFERROR(__xludf.DUMMYFUNCTION("""COMPUTED_VALUE"""),104.72)</f>
        <v>104.72</v>
      </c>
      <c r="F68" s="6">
        <f>IFERROR(__xludf.DUMMYFUNCTION("""COMPUTED_VALUE"""),4.3277538E7)</f>
        <v>43277538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IFERROR(__xludf.DUMMYFUNCTION("""COMPUTED_VALUE"""),106.0)</f>
        <v>106</v>
      </c>
      <c r="C69" s="6">
        <f>IFERROR(__xludf.DUMMYFUNCTION("""COMPUTED_VALUE"""),106.32)</f>
        <v>106.32</v>
      </c>
      <c r="D69" s="6">
        <f>IFERROR(__xludf.DUMMYFUNCTION("""COMPUTED_VALUE"""),94.0)</f>
        <v>94</v>
      </c>
      <c r="E69" s="6">
        <f>IFERROR(__xludf.DUMMYFUNCTION("""COMPUTED_VALUE"""),94.27)</f>
        <v>94.27</v>
      </c>
      <c r="F69" s="6">
        <f>IFERROR(__xludf.DUMMYFUNCTION("""COMPUTED_VALUE"""),4.0998642E7)</f>
        <v>40998642</v>
      </c>
    </row>
    <row r="70">
      <c r="A70" s="7">
        <f>IFERROR(__xludf.DUMMYFUNCTION("""COMPUTED_VALUE"""),45674.64583333333)</f>
        <v>45674.64583</v>
      </c>
      <c r="B70" s="6">
        <f>IFERROR(__xludf.DUMMYFUNCTION("""COMPUTED_VALUE"""),93.27)</f>
        <v>93.27</v>
      </c>
      <c r="C70" s="6">
        <f>IFERROR(__xludf.DUMMYFUNCTION("""COMPUTED_VALUE"""),100.67)</f>
        <v>100.67</v>
      </c>
      <c r="D70" s="6">
        <f>IFERROR(__xludf.DUMMYFUNCTION("""COMPUTED_VALUE"""),90.05)</f>
        <v>90.05</v>
      </c>
      <c r="E70" s="6">
        <f>IFERROR(__xludf.DUMMYFUNCTION("""COMPUTED_VALUE"""),100.23)</f>
        <v>100.23</v>
      </c>
      <c r="F70" s="6">
        <f>IFERROR(__xludf.DUMMYFUNCTION("""COMPUTED_VALUE"""),4.774708E7)</f>
        <v>47747080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IFERROR(__xludf.DUMMYFUNCTION("""COMPUTED_VALUE"""),100.23)</f>
        <v>100.23</v>
      </c>
      <c r="C71" s="6">
        <f>IFERROR(__xludf.DUMMYFUNCTION("""COMPUTED_VALUE"""),102.86)</f>
        <v>102.86</v>
      </c>
      <c r="D71" s="6">
        <f>IFERROR(__xludf.DUMMYFUNCTION("""COMPUTED_VALUE"""),96.85)</f>
        <v>96.85</v>
      </c>
      <c r="E71" s="6">
        <f>IFERROR(__xludf.DUMMYFUNCTION("""COMPUTED_VALUE"""),98.37)</f>
        <v>98.37</v>
      </c>
      <c r="F71" s="6">
        <f>IFERROR(__xludf.DUMMYFUNCTION("""COMPUTED_VALUE"""),2.1556799E7)</f>
        <v>21556799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IFERROR(__xludf.DUMMYFUNCTION("""COMPUTED_VALUE"""),106.0)</f>
        <v>106</v>
      </c>
      <c r="C72" s="6">
        <f>IFERROR(__xludf.DUMMYFUNCTION("""COMPUTED_VALUE"""),110.14)</f>
        <v>110.14</v>
      </c>
      <c r="D72" s="6">
        <f>IFERROR(__xludf.DUMMYFUNCTION("""COMPUTED_VALUE"""),103.46)</f>
        <v>103.46</v>
      </c>
      <c r="E72" s="6">
        <f>IFERROR(__xludf.DUMMYFUNCTION("""COMPUTED_VALUE"""),106.16)</f>
        <v>106.16</v>
      </c>
      <c r="F72" s="6">
        <f>IFERROR(__xludf.DUMMYFUNCTION("""COMPUTED_VALUE"""),5.978763E7)</f>
        <v>59787630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IFERROR(__xludf.DUMMYFUNCTION("""COMPUTED_VALUE"""),106.81)</f>
        <v>106.81</v>
      </c>
      <c r="C73" s="6">
        <f>IFERROR(__xludf.DUMMYFUNCTION("""COMPUTED_VALUE"""),106.81)</f>
        <v>106.81</v>
      </c>
      <c r="D73" s="6">
        <f>IFERROR(__xludf.DUMMYFUNCTION("""COMPUTED_VALUE"""),97.68)</f>
        <v>97.68</v>
      </c>
      <c r="E73" s="6">
        <f>IFERROR(__xludf.DUMMYFUNCTION("""COMPUTED_VALUE"""),99.3)</f>
        <v>99.3</v>
      </c>
      <c r="F73" s="6">
        <f>IFERROR(__xludf.DUMMYFUNCTION("""COMPUTED_VALUE"""),3.1548305E7)</f>
        <v>31548305</v>
      </c>
    </row>
    <row r="74">
      <c r="A74" s="7">
        <f>IFERROR(__xludf.DUMMYFUNCTION("""COMPUTED_VALUE"""),45709.64583333333)</f>
        <v>45709.64583</v>
      </c>
      <c r="B74" s="6">
        <f>IFERROR(__xludf.DUMMYFUNCTION("""COMPUTED_VALUE"""),99.0)</f>
        <v>99</v>
      </c>
      <c r="C74" s="6">
        <f>IFERROR(__xludf.DUMMYFUNCTION("""COMPUTED_VALUE"""),104.99)</f>
        <v>104.99</v>
      </c>
      <c r="D74" s="6">
        <f>IFERROR(__xludf.DUMMYFUNCTION("""COMPUTED_VALUE"""),95.41)</f>
        <v>95.41</v>
      </c>
      <c r="E74" s="6">
        <f>IFERROR(__xludf.DUMMYFUNCTION("""COMPUTED_VALUE"""),101.51)</f>
        <v>101.51</v>
      </c>
      <c r="F74" s="6">
        <f>IFERROR(__xludf.DUMMYFUNCTION("""COMPUTED_VALUE"""),4.5735072E7)</f>
        <v>45735072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IFERROR(__xludf.DUMMYFUNCTION("""COMPUTED_VALUE"""),101.2)</f>
        <v>101.2</v>
      </c>
      <c r="C75" s="6">
        <f>IFERROR(__xludf.DUMMYFUNCTION("""COMPUTED_VALUE"""),101.8)</f>
        <v>101.8</v>
      </c>
      <c r="D75" s="6">
        <f>IFERROR(__xludf.DUMMYFUNCTION("""COMPUTED_VALUE"""),94.78)</f>
        <v>94.78</v>
      </c>
      <c r="E75" s="6">
        <f>IFERROR(__xludf.DUMMYFUNCTION("""COMPUTED_VALUE"""),95.16)</f>
        <v>95.16</v>
      </c>
      <c r="F75" s="6">
        <f>IFERROR(__xludf.DUMMYFUNCTION("""COMPUTED_VALUE"""),2.8746938E7)</f>
        <v>28746938</v>
      </c>
    </row>
    <row r="76">
      <c r="A76" s="7">
        <f>IFERROR(__xludf.DUMMYFUNCTION("""COMPUTED_VALUE"""),45723.64583333333)</f>
        <v>45723.64583</v>
      </c>
      <c r="B76" s="6">
        <f>IFERROR(__xludf.DUMMYFUNCTION("""COMPUTED_VALUE"""),95.9)</f>
        <v>95.9</v>
      </c>
      <c r="C76" s="6">
        <f>IFERROR(__xludf.DUMMYFUNCTION("""COMPUTED_VALUE"""),100.25)</f>
        <v>100.25</v>
      </c>
      <c r="D76" s="6">
        <f>IFERROR(__xludf.DUMMYFUNCTION("""COMPUTED_VALUE"""),92.7)</f>
        <v>92.7</v>
      </c>
      <c r="E76" s="6">
        <f>IFERROR(__xludf.DUMMYFUNCTION("""COMPUTED_VALUE"""),97.41)</f>
        <v>97.41</v>
      </c>
      <c r="F76" s="6">
        <f>IFERROR(__xludf.DUMMYFUNCTION("""COMPUTED_VALUE"""),4.4888781E7)</f>
        <v>44888781</v>
      </c>
    </row>
    <row r="77">
      <c r="A77" s="7">
        <f>IFERROR(__xludf.DUMMYFUNCTION("""COMPUTED_VALUE"""),45729.64583333333)</f>
        <v>45729.64583</v>
      </c>
      <c r="B77" s="6">
        <f>IFERROR(__xludf.DUMMYFUNCTION("""COMPUTED_VALUE"""),97.65)</f>
        <v>97.65</v>
      </c>
      <c r="C77" s="6">
        <f>IFERROR(__xludf.DUMMYFUNCTION("""COMPUTED_VALUE"""),97.68)</f>
        <v>97.68</v>
      </c>
      <c r="D77" s="6">
        <f>IFERROR(__xludf.DUMMYFUNCTION("""COMPUTED_VALUE"""),92.66)</f>
        <v>92.66</v>
      </c>
      <c r="E77" s="6">
        <f>IFERROR(__xludf.DUMMYFUNCTION("""COMPUTED_VALUE"""),94.12)</f>
        <v>94.12</v>
      </c>
      <c r="F77" s="6">
        <f>IFERROR(__xludf.DUMMYFUNCTION("""COMPUTED_VALUE"""),2.6009498E7)</f>
        <v>26009498</v>
      </c>
    </row>
    <row r="78">
      <c r="A78" s="7">
        <f>IFERROR(__xludf.DUMMYFUNCTION("""COMPUTED_VALUE"""),45737.64583333333)</f>
        <v>45737.64583</v>
      </c>
      <c r="B78" s="6">
        <f>IFERROR(__xludf.DUMMYFUNCTION("""COMPUTED_VALUE"""),95.39)</f>
        <v>95.39</v>
      </c>
      <c r="C78" s="6">
        <f>IFERROR(__xludf.DUMMYFUNCTION("""COMPUTED_VALUE"""),106.1)</f>
        <v>106.1</v>
      </c>
      <c r="D78" s="6">
        <f>IFERROR(__xludf.DUMMYFUNCTION("""COMPUTED_VALUE"""),95.0)</f>
        <v>95</v>
      </c>
      <c r="E78" s="6">
        <f>IFERROR(__xludf.DUMMYFUNCTION("""COMPUTED_VALUE"""),105.84)</f>
        <v>105.84</v>
      </c>
      <c r="F78" s="6">
        <f>IFERROR(__xludf.DUMMYFUNCTION("""COMPUTED_VALUE"""),4.1276128E7)</f>
        <v>41276128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IFERROR(__xludf.DUMMYFUNCTION("""COMPUTED_VALUE"""),106.4)</f>
        <v>106.4</v>
      </c>
      <c r="C79" s="6">
        <f>IFERROR(__xludf.DUMMYFUNCTION("""COMPUTED_VALUE"""),109.19)</f>
        <v>109.19</v>
      </c>
      <c r="D79" s="6">
        <f>IFERROR(__xludf.DUMMYFUNCTION("""COMPUTED_VALUE"""),104.07)</f>
        <v>104.07</v>
      </c>
      <c r="E79" s="6">
        <f>IFERROR(__xludf.DUMMYFUNCTION("""COMPUTED_VALUE"""),107.12)</f>
        <v>107.12</v>
      </c>
      <c r="F79" s="6">
        <f>IFERROR(__xludf.DUMMYFUNCTION("""COMPUTED_VALUE"""),4.9809996E7)</f>
        <v>49809996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IFERROR(__xludf.DUMMYFUNCTION("""COMPUTED_VALUE"""),106.52)</f>
        <v>106.52</v>
      </c>
      <c r="C80" s="6">
        <f>IFERROR(__xludf.DUMMYFUNCTION("""COMPUTED_VALUE"""),118.15)</f>
        <v>118.15</v>
      </c>
      <c r="D80" s="6">
        <f>IFERROR(__xludf.DUMMYFUNCTION("""COMPUTED_VALUE"""),106.26)</f>
        <v>106.26</v>
      </c>
      <c r="E80" s="6">
        <f>IFERROR(__xludf.DUMMYFUNCTION("""COMPUTED_VALUE"""),111.49)</f>
        <v>111.49</v>
      </c>
      <c r="F80" s="6">
        <f>IFERROR(__xludf.DUMMYFUNCTION("""COMPUTED_VALUE"""),6.2704008E7)</f>
        <v>62704008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IFERROR(__xludf.DUMMYFUNCTION("""COMPUTED_VALUE"""),103.99)</f>
        <v>103.99</v>
      </c>
      <c r="C81" s="6">
        <f>IFERROR(__xludf.DUMMYFUNCTION("""COMPUTED_VALUE"""),110.0)</f>
        <v>110</v>
      </c>
      <c r="D81" s="6">
        <f>IFERROR(__xludf.DUMMYFUNCTION("""COMPUTED_VALUE"""),103.0)</f>
        <v>103</v>
      </c>
      <c r="E81" s="6">
        <f>IFERROR(__xludf.DUMMYFUNCTION("""COMPUTED_VALUE"""),108.16)</f>
        <v>108.16</v>
      </c>
      <c r="F81" s="6">
        <f>IFERROR(__xludf.DUMMYFUNCTION("""COMPUTED_VALUE"""),3.2127268E7)</f>
        <v>32127268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IFERROR(__xludf.DUMMYFUNCTION("""COMPUTED_VALUE"""),109.26)</f>
        <v>109.26</v>
      </c>
      <c r="C82" s="6">
        <f>IFERROR(__xludf.DUMMYFUNCTION("""COMPUTED_VALUE"""),117.8)</f>
        <v>117.8</v>
      </c>
      <c r="D82" s="6">
        <f>IFERROR(__xludf.DUMMYFUNCTION("""COMPUTED_VALUE"""),108.85)</f>
        <v>108.85</v>
      </c>
      <c r="E82" s="6">
        <f>IFERROR(__xludf.DUMMYFUNCTION("""COMPUTED_VALUE"""),117.1)</f>
        <v>117.1</v>
      </c>
      <c r="F82" s="6">
        <f>IFERROR(__xludf.DUMMYFUNCTION("""COMPUTED_VALUE"""),3.7907328E7)</f>
        <v>37907328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IFERROR(__xludf.DUMMYFUNCTION("""COMPUTED_VALUE"""),117.11)</f>
        <v>117.11</v>
      </c>
      <c r="C83" s="6">
        <f>IFERROR(__xludf.DUMMYFUNCTION("""COMPUTED_VALUE"""),121.65)</f>
        <v>121.65</v>
      </c>
      <c r="D83" s="6">
        <f>IFERROR(__xludf.DUMMYFUNCTION("""COMPUTED_VALUE"""),113.7)</f>
        <v>113.7</v>
      </c>
      <c r="E83" s="6">
        <f>IFERROR(__xludf.DUMMYFUNCTION("""COMPUTED_VALUE"""),115.29)</f>
        <v>115.29</v>
      </c>
      <c r="F83" s="6">
        <f>IFERROR(__xludf.DUMMYFUNCTION("""COMPUTED_VALUE"""),5.0765984E7)</f>
        <v>50765984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IFERROR(__xludf.DUMMYFUNCTION("""COMPUTED_VALUE"""),115.29)</f>
        <v>115.29</v>
      </c>
      <c r="C84" s="6">
        <f>IFERROR(__xludf.DUMMYFUNCTION("""COMPUTED_VALUE"""),121.55)</f>
        <v>121.55</v>
      </c>
      <c r="D84" s="6">
        <f>IFERROR(__xludf.DUMMYFUNCTION("""COMPUTED_VALUE"""),114.58)</f>
        <v>114.58</v>
      </c>
      <c r="E84" s="6">
        <f>IFERROR(__xludf.DUMMYFUNCTION("""COMPUTED_VALUE"""),115.38)</f>
        <v>115.38</v>
      </c>
      <c r="F84" s="6">
        <f>IFERROR(__xludf.DUMMYFUNCTION("""COMPUTED_VALUE"""),2.8314066E7)</f>
        <v>28314066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IFERROR(__xludf.DUMMYFUNCTION("""COMPUTED_VALUE"""),115.9)</f>
        <v>115.9</v>
      </c>
      <c r="C85" s="6">
        <f>IFERROR(__xludf.DUMMYFUNCTION("""COMPUTED_VALUE"""),116.8)</f>
        <v>116.8</v>
      </c>
      <c r="D85" s="6">
        <f>IFERROR(__xludf.DUMMYFUNCTION("""COMPUTED_VALUE"""),104.2)</f>
        <v>104.2</v>
      </c>
      <c r="E85" s="6">
        <f>IFERROR(__xludf.DUMMYFUNCTION("""COMPUTED_VALUE"""),110.22)</f>
        <v>110.22</v>
      </c>
      <c r="F85" s="6">
        <f>IFERROR(__xludf.DUMMYFUNCTION("""COMPUTED_VALUE"""),4.4087622E7)</f>
        <v>44087622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IFERROR(__xludf.DUMMYFUNCTION("""COMPUTED_VALUE"""),115.03)</f>
        <v>115.03</v>
      </c>
      <c r="C86" s="6">
        <f>IFERROR(__xludf.DUMMYFUNCTION("""COMPUTED_VALUE"""),115.8)</f>
        <v>115.8</v>
      </c>
      <c r="D86" s="6">
        <f>IFERROR(__xludf.DUMMYFUNCTION("""COMPUTED_VALUE"""),108.82)</f>
        <v>108.82</v>
      </c>
      <c r="E86" s="6">
        <f>IFERROR(__xludf.DUMMYFUNCTION("""COMPUTED_VALUE"""),114.33)</f>
        <v>114.33</v>
      </c>
      <c r="F86" s="6">
        <f>IFERROR(__xludf.DUMMYFUNCTION("""COMPUTED_VALUE"""),8.4909171E7)</f>
        <v>84909171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IFERROR(__xludf.DUMMYFUNCTION("""COMPUTED_VALUE"""),115.09)</f>
        <v>115.09</v>
      </c>
      <c r="C87" s="6">
        <f>IFERROR(__xludf.DUMMYFUNCTION("""COMPUTED_VALUE"""),119.8)</f>
        <v>119.8</v>
      </c>
      <c r="D87" s="6">
        <f>IFERROR(__xludf.DUMMYFUNCTION("""COMPUTED_VALUE"""),114.57)</f>
        <v>114.57</v>
      </c>
      <c r="E87" s="6">
        <f>IFERROR(__xludf.DUMMYFUNCTION("""COMPUTED_VALUE"""),117.06)</f>
        <v>117.06</v>
      </c>
      <c r="F87" s="6">
        <f>IFERROR(__xludf.DUMMYFUNCTION("""COMPUTED_VALUE"""),5.9646338E7)</f>
        <v>59646338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IFERROR(__xludf.DUMMYFUNCTION("""COMPUTED_VALUE"""),117.4)</f>
        <v>117.4</v>
      </c>
      <c r="C88" s="6">
        <f>IFERROR(__xludf.DUMMYFUNCTION("""COMPUTED_VALUE"""),122.61)</f>
        <v>122.61</v>
      </c>
      <c r="D88" s="6">
        <f>IFERROR(__xludf.DUMMYFUNCTION("""COMPUTED_VALUE"""),116.1)</f>
        <v>116.1</v>
      </c>
      <c r="E88" s="6">
        <f>IFERROR(__xludf.DUMMYFUNCTION("""COMPUTED_VALUE"""),121.94)</f>
        <v>121.94</v>
      </c>
      <c r="F88" s="6">
        <f>IFERROR(__xludf.DUMMYFUNCTION("""COMPUTED_VALUE"""),5.9866874E7)</f>
        <v>59866874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IFERROR(__xludf.DUMMYFUNCTION("""COMPUTED_VALUE"""),122.78)</f>
        <v>122.78</v>
      </c>
      <c r="C89" s="6">
        <f>IFERROR(__xludf.DUMMYFUNCTION("""COMPUTED_VALUE"""),127.46)</f>
        <v>127.46</v>
      </c>
      <c r="D89" s="6">
        <f>IFERROR(__xludf.DUMMYFUNCTION("""COMPUTED_VALUE"""),121.82)</f>
        <v>121.82</v>
      </c>
      <c r="E89" s="6">
        <f>IFERROR(__xludf.DUMMYFUNCTION("""COMPUTED_VALUE"""),124.38)</f>
        <v>124.38</v>
      </c>
      <c r="F89" s="6">
        <f>IFERROR(__xludf.DUMMYFUNCTION("""COMPUTED_VALUE"""),5.7321601E7)</f>
        <v>57321601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IFERROR(__xludf.DUMMYFUNCTION("""COMPUTED_VALUE"""),125.6)</f>
        <v>125.6</v>
      </c>
      <c r="C90" s="6">
        <f>IFERROR(__xludf.DUMMYFUNCTION("""COMPUTED_VALUE"""),130.24)</f>
        <v>130.24</v>
      </c>
      <c r="D90" s="6">
        <f>IFERROR(__xludf.DUMMYFUNCTION("""COMPUTED_VALUE"""),118.42)</f>
        <v>118.42</v>
      </c>
      <c r="E90" s="6">
        <f>IFERROR(__xludf.DUMMYFUNCTION("""COMPUTED_VALUE"""),121.19)</f>
        <v>121.19</v>
      </c>
      <c r="F90" s="6">
        <f>IFERROR(__xludf.DUMMYFUNCTION("""COMPUTED_VALUE"""),7.003577E7)</f>
        <v>70035770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IFERROR(__xludf.DUMMYFUNCTION("""COMPUTED_VALUE"""),121.69)</f>
        <v>121.69</v>
      </c>
      <c r="C91" s="6">
        <f>IFERROR(__xludf.DUMMYFUNCTION("""COMPUTED_VALUE"""),122.89)</f>
        <v>122.89</v>
      </c>
      <c r="D91" s="6">
        <f>IFERROR(__xludf.DUMMYFUNCTION("""COMPUTED_VALUE"""),111.56)</f>
        <v>111.56</v>
      </c>
      <c r="E91" s="6">
        <f>IFERROR(__xludf.DUMMYFUNCTION("""COMPUTED_VALUE"""),113.18)</f>
        <v>113.18</v>
      </c>
      <c r="F91" s="6">
        <f>IFERROR(__xludf.DUMMYFUNCTION("""COMPUTED_VALUE"""),6.6065679E7)</f>
        <v>66065679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IFERROR(__xludf.DUMMYFUNCTION("""COMPUTED_VALUE"""),112.0)</f>
        <v>112</v>
      </c>
      <c r="C92" s="6">
        <f>IFERROR(__xludf.DUMMYFUNCTION("""COMPUTED_VALUE"""),120.4)</f>
        <v>120.4</v>
      </c>
      <c r="D92" s="6">
        <f>IFERROR(__xludf.DUMMYFUNCTION("""COMPUTED_VALUE"""),112.0)</f>
        <v>112</v>
      </c>
      <c r="E92" s="6">
        <f>IFERROR(__xludf.DUMMYFUNCTION("""COMPUTED_VALUE"""),116.77)</f>
        <v>116.77</v>
      </c>
      <c r="F92" s="6">
        <f>IFERROR(__xludf.DUMMYFUNCTION("""COMPUTED_VALUE"""),5.2569828E7)</f>
        <v>52569828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IFERROR(__xludf.DUMMYFUNCTION("""COMPUTED_VALUE"""),117.55)</f>
        <v>117.55</v>
      </c>
      <c r="C93" s="6">
        <f>IFERROR(__xludf.DUMMYFUNCTION("""COMPUTED_VALUE"""),121.63)</f>
        <v>121.63</v>
      </c>
      <c r="D93" s="6">
        <f>IFERROR(__xludf.DUMMYFUNCTION("""COMPUTED_VALUE"""),116.93)</f>
        <v>116.93</v>
      </c>
      <c r="E93" s="6">
        <f>IFERROR(__xludf.DUMMYFUNCTION("""COMPUTED_VALUE"""),117.81)</f>
        <v>117.81</v>
      </c>
      <c r="F93" s="6">
        <f>IFERROR(__xludf.DUMMYFUNCTION("""COMPUTED_VALUE"""),5.6615244E7)</f>
        <v>56615244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IFERROR(__xludf.DUMMYFUNCTION("""COMPUTED_VALUE"""),118.4)</f>
        <v>118.4</v>
      </c>
      <c r="C94" s="6">
        <f>IFERROR(__xludf.DUMMYFUNCTION("""COMPUTED_VALUE"""),119.14)</f>
        <v>119.14</v>
      </c>
      <c r="D94" s="6">
        <f>IFERROR(__xludf.DUMMYFUNCTION("""COMPUTED_VALUE"""),113.57)</f>
        <v>113.57</v>
      </c>
      <c r="E94" s="6">
        <f>IFERROR(__xludf.DUMMYFUNCTION("""COMPUTED_VALUE"""),114.56)</f>
        <v>114.56</v>
      </c>
      <c r="F94" s="6">
        <f>IFERROR(__xludf.DUMMYFUNCTION("""COMPUTED_VALUE"""),3.7698893E7)</f>
        <v>37698893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IFERROR(__xludf.DUMMYFUNCTION("""COMPUTED_VALUE"""),114.26)</f>
        <v>114.26</v>
      </c>
      <c r="C95" s="6">
        <f>IFERROR(__xludf.DUMMYFUNCTION("""COMPUTED_VALUE"""),118.47)</f>
        <v>118.47</v>
      </c>
      <c r="D95" s="6">
        <f>IFERROR(__xludf.DUMMYFUNCTION("""COMPUTED_VALUE"""),113.84)</f>
        <v>113.84</v>
      </c>
      <c r="E95" s="6">
        <f>IFERROR(__xludf.DUMMYFUNCTION("""COMPUTED_VALUE"""),115.02)</f>
        <v>115.02</v>
      </c>
      <c r="F95" s="6">
        <f>IFERROR(__xludf.DUMMYFUNCTION("""COMPUTED_VALUE"""),3.0974437E7)</f>
        <v>30974437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IFERROR(__xludf.DUMMYFUNCTION("""COMPUTED_VALUE"""),115.0)</f>
        <v>115</v>
      </c>
      <c r="C96" s="6">
        <f>IFERROR(__xludf.DUMMYFUNCTION("""COMPUTED_VALUE"""),116.35)</f>
        <v>116.35</v>
      </c>
      <c r="D96" s="6">
        <f>IFERROR(__xludf.DUMMYFUNCTION("""COMPUTED_VALUE"""),112.25)</f>
        <v>112.25</v>
      </c>
      <c r="E96" s="6">
        <f>IFERROR(__xludf.DUMMYFUNCTION("""COMPUTED_VALUE"""),113.14)</f>
        <v>113.14</v>
      </c>
      <c r="F96" s="6">
        <f>IFERROR(__xludf.DUMMYFUNCTION("""COMPUTED_VALUE"""),3.0313366E7)</f>
        <v>30313366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IFERROR(__xludf.DUMMYFUNCTION("""COMPUTED_VALUE"""),113.1)</f>
        <v>113.1</v>
      </c>
      <c r="C97" s="6">
        <f>IFERROR(__xludf.DUMMYFUNCTION("""COMPUTED_VALUE"""),116.1)</f>
        <v>116.1</v>
      </c>
      <c r="D97" s="6">
        <f>IFERROR(__xludf.DUMMYFUNCTION("""COMPUTED_VALUE"""),108.81)</f>
        <v>108.81</v>
      </c>
      <c r="E97" s="6">
        <f>IFERROR(__xludf.DUMMYFUNCTION("""COMPUTED_VALUE"""),109.29)</f>
        <v>109.29</v>
      </c>
      <c r="F97" s="6">
        <f>IFERROR(__xludf.DUMMYFUNCTION("""COMPUTED_VALUE"""),5.2083521E7)</f>
        <v>52083521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IFERROR(__xludf.DUMMYFUNCTION("""COMPUTED_VALUE"""),109.79)</f>
        <v>109.79</v>
      </c>
      <c r="C98" s="6">
        <f>IFERROR(__xludf.DUMMYFUNCTION("""COMPUTED_VALUE"""),112.58)</f>
        <v>112.58</v>
      </c>
      <c r="D98" s="6">
        <f>IFERROR(__xludf.DUMMYFUNCTION("""COMPUTED_VALUE"""),109.2)</f>
        <v>109.2</v>
      </c>
      <c r="E98" s="6">
        <f>IFERROR(__xludf.DUMMYFUNCTION("""COMPUTED_VALUE"""),110.63)</f>
        <v>110.63</v>
      </c>
      <c r="F98" s="6">
        <f>IFERROR(__xludf.DUMMYFUNCTION("""COMPUTED_VALUE"""),2.9092931E7)</f>
        <v>29092931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IFERROR(__xludf.DUMMYFUNCTION("""COMPUTED_VALUE"""),110.64)</f>
        <v>110.64</v>
      </c>
      <c r="C99" s="6">
        <f>IFERROR(__xludf.DUMMYFUNCTION("""COMPUTED_VALUE"""),114.63)</f>
        <v>114.63</v>
      </c>
      <c r="D99" s="6">
        <f>IFERROR(__xludf.DUMMYFUNCTION("""COMPUTED_VALUE"""),110.55)</f>
        <v>110.55</v>
      </c>
      <c r="E99" s="6">
        <f>IFERROR(__xludf.DUMMYFUNCTION("""COMPUTED_VALUE"""),113.19)</f>
        <v>113.19</v>
      </c>
      <c r="F99" s="6">
        <f>IFERROR(__xludf.DUMMYFUNCTION("""COMPUTED_VALUE"""),1.5976114E7)</f>
        <v>15976114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IFERROR(__xludf.DUMMYFUNCTION("""COMPUTED_VALUE"""),114.03)</f>
        <v>114.03</v>
      </c>
      <c r="C100" s="6">
        <f>IFERROR(__xludf.DUMMYFUNCTION("""COMPUTED_VALUE"""),117.31)</f>
        <v>117.31</v>
      </c>
      <c r="D100" s="6">
        <f>IFERROR(__xludf.DUMMYFUNCTION("""COMPUTED_VALUE"""),113.84)</f>
        <v>113.84</v>
      </c>
      <c r="E100" s="6">
        <f>IFERROR(__xludf.DUMMYFUNCTION("""COMPUTED_VALUE"""),115.46)</f>
        <v>115.46</v>
      </c>
      <c r="F100" s="6">
        <f>IFERROR(__xludf.DUMMYFUNCTION("""COMPUTED_VALUE"""),1.9605319E7)</f>
        <v>19605319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IFERROR(__xludf.DUMMYFUNCTION("""COMPUTED_VALUE"""),115.46)</f>
        <v>115.46</v>
      </c>
      <c r="C101" s="6">
        <f>IFERROR(__xludf.DUMMYFUNCTION("""COMPUTED_VALUE"""),116.16)</f>
        <v>116.16</v>
      </c>
      <c r="D101" s="6">
        <f>IFERROR(__xludf.DUMMYFUNCTION("""COMPUTED_VALUE"""),112.1)</f>
        <v>112.1</v>
      </c>
      <c r="E101" s="6">
        <f>IFERROR(__xludf.DUMMYFUNCTION("""COMPUTED_VALUE"""),112.38)</f>
        <v>112.38</v>
      </c>
      <c r="F101" s="6">
        <f>IFERROR(__xludf.DUMMYFUNCTION("""COMPUTED_VALUE"""),4.8181184E7)</f>
        <v>48181184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IFERROR(__xludf.DUMMYFUNCTION("GOOGLEFINANCE(""NSE:BDL"",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IFERROR(__xludf.DUMMYFUNCTION("""COMPUTED_VALUE"""),557.5)</f>
        <v>557.5</v>
      </c>
      <c r="C2" s="6">
        <f>IFERROR(__xludf.DUMMYFUNCTION("""COMPUTED_VALUE"""),578.6)</f>
        <v>578.6</v>
      </c>
      <c r="D2" s="6">
        <f>IFERROR(__xludf.DUMMYFUNCTION("""COMPUTED_VALUE"""),556.55)</f>
        <v>556.55</v>
      </c>
      <c r="E2" s="6">
        <f>IFERROR(__xludf.DUMMYFUNCTION("""COMPUTED_VALUE"""),571.75)</f>
        <v>571.75</v>
      </c>
      <c r="F2" s="6">
        <f>IFERROR(__xludf.DUMMYFUNCTION("""COMPUTED_VALUE"""),2241697.0)</f>
        <v>2241697</v>
      </c>
    </row>
    <row r="3">
      <c r="A3" s="7">
        <f>IFERROR(__xludf.DUMMYFUNCTION("""COMPUTED_VALUE"""),45177.64583333333)</f>
        <v>45177.64583</v>
      </c>
      <c r="B3" s="6">
        <f>IFERROR(__xludf.DUMMYFUNCTION("""COMPUTED_VALUE"""),574.63)</f>
        <v>574.63</v>
      </c>
      <c r="C3" s="6">
        <f>IFERROR(__xludf.DUMMYFUNCTION("""COMPUTED_VALUE"""),612.2)</f>
        <v>612.2</v>
      </c>
      <c r="D3" s="6">
        <f>IFERROR(__xludf.DUMMYFUNCTION("""COMPUTED_VALUE"""),573.23)</f>
        <v>573.23</v>
      </c>
      <c r="E3" s="6">
        <f>IFERROR(__xludf.DUMMYFUNCTION("""COMPUTED_VALUE"""),595.9)</f>
        <v>595.9</v>
      </c>
      <c r="F3" s="6">
        <f>IFERROR(__xludf.DUMMYFUNCTION("""COMPUTED_VALUE"""),6157972.0)</f>
        <v>6157972</v>
      </c>
    </row>
    <row r="4">
      <c r="A4" s="7">
        <f>IFERROR(__xludf.DUMMYFUNCTION("""COMPUTED_VALUE"""),45184.64583333333)</f>
        <v>45184.64583</v>
      </c>
      <c r="B4" s="6">
        <f>IFERROR(__xludf.DUMMYFUNCTION("""COMPUTED_VALUE"""),599.5)</f>
        <v>599.5</v>
      </c>
      <c r="C4" s="6">
        <f>IFERROR(__xludf.DUMMYFUNCTION("""COMPUTED_VALUE"""),603.17)</f>
        <v>603.17</v>
      </c>
      <c r="D4" s="6">
        <f>IFERROR(__xludf.DUMMYFUNCTION("""COMPUTED_VALUE"""),525.75)</f>
        <v>525.75</v>
      </c>
      <c r="E4" s="6">
        <f>IFERROR(__xludf.DUMMYFUNCTION("""COMPUTED_VALUE"""),532.2)</f>
        <v>532.2</v>
      </c>
      <c r="F4" s="6">
        <f>IFERROR(__xludf.DUMMYFUNCTION("""COMPUTED_VALUE"""),3398080.0)</f>
        <v>3398080</v>
      </c>
    </row>
    <row r="5">
      <c r="A5" s="7">
        <f>IFERROR(__xludf.DUMMYFUNCTION("""COMPUTED_VALUE"""),45191.64583333333)</f>
        <v>45191.64583</v>
      </c>
      <c r="B5" s="6">
        <f>IFERROR(__xludf.DUMMYFUNCTION("""COMPUTED_VALUE"""),540.0)</f>
        <v>540</v>
      </c>
      <c r="C5" s="6">
        <f>IFERROR(__xludf.DUMMYFUNCTION("""COMPUTED_VALUE"""),549.5)</f>
        <v>549.5</v>
      </c>
      <c r="D5" s="6">
        <f>IFERROR(__xludf.DUMMYFUNCTION("""COMPUTED_VALUE"""),499.28)</f>
        <v>499.28</v>
      </c>
      <c r="E5" s="6">
        <f>IFERROR(__xludf.DUMMYFUNCTION("""COMPUTED_VALUE"""),502.18)</f>
        <v>502.18</v>
      </c>
      <c r="F5" s="6">
        <f>IFERROR(__xludf.DUMMYFUNCTION("""COMPUTED_VALUE"""),3498048.0)</f>
        <v>3498048</v>
      </c>
    </row>
    <row r="6">
      <c r="A6" s="7">
        <f>IFERROR(__xludf.DUMMYFUNCTION("""COMPUTED_VALUE"""),45198.64583333333)</f>
        <v>45198.64583</v>
      </c>
      <c r="B6" s="6">
        <f>IFERROR(__xludf.DUMMYFUNCTION("""COMPUTED_VALUE"""),504.98)</f>
        <v>504.98</v>
      </c>
      <c r="C6" s="6">
        <f>IFERROR(__xludf.DUMMYFUNCTION("""COMPUTED_VALUE"""),520.63)</f>
        <v>520.63</v>
      </c>
      <c r="D6" s="6">
        <f>IFERROR(__xludf.DUMMYFUNCTION("""COMPUTED_VALUE"""),478.0)</f>
        <v>478</v>
      </c>
      <c r="E6" s="6">
        <f>IFERROR(__xludf.DUMMYFUNCTION("""COMPUTED_VALUE"""),515.65)</f>
        <v>515.65</v>
      </c>
      <c r="F6" s="6">
        <f>IFERROR(__xludf.DUMMYFUNCTION("""COMPUTED_VALUE"""),3454416.0)</f>
        <v>3454416</v>
      </c>
    </row>
    <row r="7">
      <c r="A7" s="7">
        <f>IFERROR(__xludf.DUMMYFUNCTION("""COMPUTED_VALUE"""),45205.64583333333)</f>
        <v>45205.64583</v>
      </c>
      <c r="B7" s="6">
        <f>IFERROR(__xludf.DUMMYFUNCTION("""COMPUTED_VALUE"""),513.03)</f>
        <v>513.03</v>
      </c>
      <c r="C7" s="6">
        <f>IFERROR(__xludf.DUMMYFUNCTION("""COMPUTED_VALUE"""),520.98)</f>
        <v>520.98</v>
      </c>
      <c r="D7" s="6">
        <f>IFERROR(__xludf.DUMMYFUNCTION("""COMPUTED_VALUE"""),486.6)</f>
        <v>486.6</v>
      </c>
      <c r="E7" s="6">
        <f>IFERROR(__xludf.DUMMYFUNCTION("""COMPUTED_VALUE"""),497.95)</f>
        <v>497.95</v>
      </c>
      <c r="F7" s="6">
        <f>IFERROR(__xludf.DUMMYFUNCTION("""COMPUTED_VALUE"""),3144121.0)</f>
        <v>3144121</v>
      </c>
    </row>
    <row r="8">
      <c r="A8" s="7">
        <f>IFERROR(__xludf.DUMMYFUNCTION("""COMPUTED_VALUE"""),45212.64583333333)</f>
        <v>45212.64583</v>
      </c>
      <c r="B8" s="6">
        <f>IFERROR(__xludf.DUMMYFUNCTION("""COMPUTED_VALUE"""),497.95)</f>
        <v>497.95</v>
      </c>
      <c r="C8" s="6">
        <f>IFERROR(__xludf.DUMMYFUNCTION("""COMPUTED_VALUE"""),521.5)</f>
        <v>521.5</v>
      </c>
      <c r="D8" s="6">
        <f>IFERROR(__xludf.DUMMYFUNCTION("""COMPUTED_VALUE"""),488.45)</f>
        <v>488.45</v>
      </c>
      <c r="E8" s="6">
        <f>IFERROR(__xludf.DUMMYFUNCTION("""COMPUTED_VALUE"""),500.7)</f>
        <v>500.7</v>
      </c>
      <c r="F8" s="6">
        <f>IFERROR(__xludf.DUMMYFUNCTION("""COMPUTED_VALUE"""),2842387.0)</f>
        <v>2842387</v>
      </c>
    </row>
    <row r="9">
      <c r="A9" s="7">
        <f>IFERROR(__xludf.DUMMYFUNCTION("""COMPUTED_VALUE"""),45219.64583333333)</f>
        <v>45219.64583</v>
      </c>
      <c r="B9" s="6">
        <f>IFERROR(__xludf.DUMMYFUNCTION("""COMPUTED_VALUE"""),502.0)</f>
        <v>502</v>
      </c>
      <c r="C9" s="6">
        <f>IFERROR(__xludf.DUMMYFUNCTION("""COMPUTED_VALUE"""),509.75)</f>
        <v>509.75</v>
      </c>
      <c r="D9" s="6">
        <f>IFERROR(__xludf.DUMMYFUNCTION("""COMPUTED_VALUE"""),495.0)</f>
        <v>495</v>
      </c>
      <c r="E9" s="6">
        <f>IFERROR(__xludf.DUMMYFUNCTION("""COMPUTED_VALUE"""),500.68)</f>
        <v>500.68</v>
      </c>
      <c r="F9" s="6">
        <f>IFERROR(__xludf.DUMMYFUNCTION("""COMPUTED_VALUE"""),1290889.0)</f>
        <v>1290889</v>
      </c>
    </row>
    <row r="10">
      <c r="A10" s="7">
        <f>IFERROR(__xludf.DUMMYFUNCTION("""COMPUTED_VALUE"""),45226.64583333333)</f>
        <v>45226.64583</v>
      </c>
      <c r="B10" s="6">
        <f>IFERROR(__xludf.DUMMYFUNCTION("""COMPUTED_VALUE"""),501.85)</f>
        <v>501.85</v>
      </c>
      <c r="C10" s="6">
        <f>IFERROR(__xludf.DUMMYFUNCTION("""COMPUTED_VALUE"""),504.0)</f>
        <v>504</v>
      </c>
      <c r="D10" s="6">
        <f>IFERROR(__xludf.DUMMYFUNCTION("""COMPUTED_VALUE"""),450.0)</f>
        <v>450</v>
      </c>
      <c r="E10" s="6">
        <f>IFERROR(__xludf.DUMMYFUNCTION("""COMPUTED_VALUE"""),482.58)</f>
        <v>482.58</v>
      </c>
      <c r="F10" s="6">
        <f>IFERROR(__xludf.DUMMYFUNCTION("""COMPUTED_VALUE"""),2439055.0)</f>
        <v>2439055</v>
      </c>
    </row>
    <row r="11">
      <c r="A11" s="7">
        <f>IFERROR(__xludf.DUMMYFUNCTION("""COMPUTED_VALUE"""),45233.64583333333)</f>
        <v>45233.64583</v>
      </c>
      <c r="B11" s="6">
        <f>IFERROR(__xludf.DUMMYFUNCTION("""COMPUTED_VALUE"""),484.98)</f>
        <v>484.98</v>
      </c>
      <c r="C11" s="6">
        <f>IFERROR(__xludf.DUMMYFUNCTION("""COMPUTED_VALUE"""),532.0)</f>
        <v>532</v>
      </c>
      <c r="D11" s="6">
        <f>IFERROR(__xludf.DUMMYFUNCTION("""COMPUTED_VALUE"""),477.28)</f>
        <v>477.28</v>
      </c>
      <c r="E11" s="6">
        <f>IFERROR(__xludf.DUMMYFUNCTION("""COMPUTED_VALUE"""),519.17)</f>
        <v>519.17</v>
      </c>
      <c r="F11" s="6">
        <f>IFERROR(__xludf.DUMMYFUNCTION("""COMPUTED_VALUE"""),2990911.0)</f>
        <v>2990911</v>
      </c>
    </row>
    <row r="12">
      <c r="A12" s="7">
        <f>IFERROR(__xludf.DUMMYFUNCTION("""COMPUTED_VALUE"""),45240.64583333333)</f>
        <v>45240.64583</v>
      </c>
      <c r="B12" s="6">
        <f>IFERROR(__xludf.DUMMYFUNCTION("""COMPUTED_VALUE"""),522.5)</f>
        <v>522.5</v>
      </c>
      <c r="C12" s="6">
        <f>IFERROR(__xludf.DUMMYFUNCTION("""COMPUTED_VALUE"""),531.48)</f>
        <v>531.48</v>
      </c>
      <c r="D12" s="6">
        <f>IFERROR(__xludf.DUMMYFUNCTION("""COMPUTED_VALUE"""),513.73)</f>
        <v>513.73</v>
      </c>
      <c r="E12" s="6">
        <f>IFERROR(__xludf.DUMMYFUNCTION("""COMPUTED_VALUE"""),526.6)</f>
        <v>526.6</v>
      </c>
      <c r="F12" s="6">
        <f>IFERROR(__xludf.DUMMYFUNCTION("""COMPUTED_VALUE"""),2289296.0)</f>
        <v>2289296</v>
      </c>
    </row>
    <row r="13">
      <c r="A13" s="7">
        <f>IFERROR(__xludf.DUMMYFUNCTION("""COMPUTED_VALUE"""),45247.64583333333)</f>
        <v>45247.64583</v>
      </c>
      <c r="B13" s="6">
        <f>IFERROR(__xludf.DUMMYFUNCTION("""COMPUTED_VALUE"""),534.5)</f>
        <v>534.5</v>
      </c>
      <c r="C13" s="6">
        <f>IFERROR(__xludf.DUMMYFUNCTION("""COMPUTED_VALUE"""),564.5)</f>
        <v>564.5</v>
      </c>
      <c r="D13" s="6">
        <f>IFERROR(__xludf.DUMMYFUNCTION("""COMPUTED_VALUE"""),525.0)</f>
        <v>525</v>
      </c>
      <c r="E13" s="6">
        <f>IFERROR(__xludf.DUMMYFUNCTION("""COMPUTED_VALUE"""),562.7)</f>
        <v>562.7</v>
      </c>
      <c r="F13" s="6">
        <f>IFERROR(__xludf.DUMMYFUNCTION("""COMPUTED_VALUE"""),2476572.0)</f>
        <v>2476572</v>
      </c>
    </row>
    <row r="14">
      <c r="A14" s="7">
        <f>IFERROR(__xludf.DUMMYFUNCTION("""COMPUTED_VALUE"""),45254.64583333333)</f>
        <v>45254.64583</v>
      </c>
      <c r="B14" s="6">
        <f>IFERROR(__xludf.DUMMYFUNCTION("""COMPUTED_VALUE"""),564.5)</f>
        <v>564.5</v>
      </c>
      <c r="C14" s="6">
        <f>IFERROR(__xludf.DUMMYFUNCTION("""COMPUTED_VALUE"""),585.95)</f>
        <v>585.95</v>
      </c>
      <c r="D14" s="6">
        <f>IFERROR(__xludf.DUMMYFUNCTION("""COMPUTED_VALUE"""),541.53)</f>
        <v>541.53</v>
      </c>
      <c r="E14" s="6">
        <f>IFERROR(__xludf.DUMMYFUNCTION("""COMPUTED_VALUE"""),579.63)</f>
        <v>579.63</v>
      </c>
      <c r="F14" s="6">
        <f>IFERROR(__xludf.DUMMYFUNCTION("""COMPUTED_VALUE"""),4893914.0)</f>
        <v>4893914</v>
      </c>
    </row>
    <row r="15">
      <c r="A15" s="7">
        <f>IFERROR(__xludf.DUMMYFUNCTION("""COMPUTED_VALUE"""),45261.64583333333)</f>
        <v>45261.64583</v>
      </c>
      <c r="B15" s="6">
        <f>IFERROR(__xludf.DUMMYFUNCTION("""COMPUTED_VALUE"""),585.78)</f>
        <v>585.78</v>
      </c>
      <c r="C15" s="6">
        <f>IFERROR(__xludf.DUMMYFUNCTION("""COMPUTED_VALUE"""),615.5)</f>
        <v>615.5</v>
      </c>
      <c r="D15" s="6">
        <f>IFERROR(__xludf.DUMMYFUNCTION("""COMPUTED_VALUE"""),575.1)</f>
        <v>575.1</v>
      </c>
      <c r="E15" s="6">
        <f>IFERROR(__xludf.DUMMYFUNCTION("""COMPUTED_VALUE"""),612.2)</f>
        <v>612.2</v>
      </c>
      <c r="F15" s="6">
        <f>IFERROR(__xludf.DUMMYFUNCTION("""COMPUTED_VALUE"""),5446272.0)</f>
        <v>5446272</v>
      </c>
    </row>
    <row r="16">
      <c r="A16" s="7">
        <f>IFERROR(__xludf.DUMMYFUNCTION("""COMPUTED_VALUE"""),45268.64583333333)</f>
        <v>45268.64583</v>
      </c>
      <c r="B16" s="6">
        <f>IFERROR(__xludf.DUMMYFUNCTION("""COMPUTED_VALUE"""),630.0)</f>
        <v>630</v>
      </c>
      <c r="C16" s="6">
        <f>IFERROR(__xludf.DUMMYFUNCTION("""COMPUTED_VALUE"""),694.98)</f>
        <v>694.98</v>
      </c>
      <c r="D16" s="6">
        <f>IFERROR(__xludf.DUMMYFUNCTION("""COMPUTED_VALUE"""),605.45)</f>
        <v>605.45</v>
      </c>
      <c r="E16" s="6">
        <f>IFERROR(__xludf.DUMMYFUNCTION("""COMPUTED_VALUE"""),661.7)</f>
        <v>661.7</v>
      </c>
      <c r="F16" s="6">
        <f>IFERROR(__xludf.DUMMYFUNCTION("""COMPUTED_VALUE"""),8780865.0)</f>
        <v>8780865</v>
      </c>
    </row>
    <row r="17">
      <c r="A17" s="7">
        <f>IFERROR(__xludf.DUMMYFUNCTION("""COMPUTED_VALUE"""),45275.64583333333)</f>
        <v>45275.64583</v>
      </c>
      <c r="B17" s="6">
        <f>IFERROR(__xludf.DUMMYFUNCTION("""COMPUTED_VALUE"""),662.5)</f>
        <v>662.5</v>
      </c>
      <c r="C17" s="6">
        <f>IFERROR(__xludf.DUMMYFUNCTION("""COMPUTED_VALUE"""),705.0)</f>
        <v>705</v>
      </c>
      <c r="D17" s="6">
        <f>IFERROR(__xludf.DUMMYFUNCTION("""COMPUTED_VALUE"""),657.0)</f>
        <v>657</v>
      </c>
      <c r="E17" s="6">
        <f>IFERROR(__xludf.DUMMYFUNCTION("""COMPUTED_VALUE"""),695.88)</f>
        <v>695.88</v>
      </c>
      <c r="F17" s="6">
        <f>IFERROR(__xludf.DUMMYFUNCTION("""COMPUTED_VALUE"""),5303731.0)</f>
        <v>5303731</v>
      </c>
    </row>
    <row r="18">
      <c r="A18" s="7">
        <f>IFERROR(__xludf.DUMMYFUNCTION("""COMPUTED_VALUE"""),45282.64583333333)</f>
        <v>45282.64583</v>
      </c>
      <c r="B18" s="6">
        <f>IFERROR(__xludf.DUMMYFUNCTION("""COMPUTED_VALUE"""),698.55)</f>
        <v>698.55</v>
      </c>
      <c r="C18" s="6">
        <f>IFERROR(__xludf.DUMMYFUNCTION("""COMPUTED_VALUE"""),799.0)</f>
        <v>799</v>
      </c>
      <c r="D18" s="6">
        <f>IFERROR(__xludf.DUMMYFUNCTION("""COMPUTED_VALUE"""),698.0)</f>
        <v>698</v>
      </c>
      <c r="E18" s="6">
        <f>IFERROR(__xludf.DUMMYFUNCTION("""COMPUTED_VALUE"""),785.63)</f>
        <v>785.63</v>
      </c>
      <c r="F18" s="6">
        <f>IFERROR(__xludf.DUMMYFUNCTION("""COMPUTED_VALUE"""),1.1953859E7)</f>
        <v>11953859</v>
      </c>
    </row>
    <row r="19">
      <c r="A19" s="7">
        <f>IFERROR(__xludf.DUMMYFUNCTION("""COMPUTED_VALUE"""),45289.64583333333)</f>
        <v>45289.64583</v>
      </c>
      <c r="B19" s="6">
        <f>IFERROR(__xludf.DUMMYFUNCTION("""COMPUTED_VALUE"""),793.5)</f>
        <v>793.5</v>
      </c>
      <c r="C19" s="6">
        <f>IFERROR(__xludf.DUMMYFUNCTION("""COMPUTED_VALUE"""),905.48)</f>
        <v>905.48</v>
      </c>
      <c r="D19" s="6">
        <f>IFERROR(__xludf.DUMMYFUNCTION("""COMPUTED_VALUE"""),790.15)</f>
        <v>790.15</v>
      </c>
      <c r="E19" s="6">
        <f>IFERROR(__xludf.DUMMYFUNCTION("""COMPUTED_VALUE"""),856.18)</f>
        <v>856.18</v>
      </c>
      <c r="F19" s="6">
        <f>IFERROR(__xludf.DUMMYFUNCTION("""COMPUTED_VALUE"""),1.203691E7)</f>
        <v>12036910</v>
      </c>
    </row>
    <row r="20">
      <c r="A20" s="7">
        <f>IFERROR(__xludf.DUMMYFUNCTION("""COMPUTED_VALUE"""),45296.64583333333)</f>
        <v>45296.64583</v>
      </c>
      <c r="B20" s="6">
        <f>IFERROR(__xludf.DUMMYFUNCTION("""COMPUTED_VALUE"""),860.0)</f>
        <v>860</v>
      </c>
      <c r="C20" s="6">
        <f>IFERROR(__xludf.DUMMYFUNCTION("""COMPUTED_VALUE"""),879.5)</f>
        <v>879.5</v>
      </c>
      <c r="D20" s="6">
        <f>IFERROR(__xludf.DUMMYFUNCTION("""COMPUTED_VALUE"""),815.0)</f>
        <v>815</v>
      </c>
      <c r="E20" s="6">
        <f>IFERROR(__xludf.DUMMYFUNCTION("""COMPUTED_VALUE"""),868.65)</f>
        <v>868.65</v>
      </c>
      <c r="F20" s="6">
        <f>IFERROR(__xludf.DUMMYFUNCTION("""COMPUTED_VALUE"""),5064663.0)</f>
        <v>5064663</v>
      </c>
    </row>
    <row r="21">
      <c r="A21" s="7">
        <f>IFERROR(__xludf.DUMMYFUNCTION("""COMPUTED_VALUE"""),45303.64583333333)</f>
        <v>45303.64583</v>
      </c>
      <c r="B21" s="6">
        <f>IFERROR(__xludf.DUMMYFUNCTION("""COMPUTED_VALUE"""),871.83)</f>
        <v>871.83</v>
      </c>
      <c r="C21" s="6">
        <f>IFERROR(__xludf.DUMMYFUNCTION("""COMPUTED_VALUE"""),878.5)</f>
        <v>878.5</v>
      </c>
      <c r="D21" s="6">
        <f>IFERROR(__xludf.DUMMYFUNCTION("""COMPUTED_VALUE"""),851.45)</f>
        <v>851.45</v>
      </c>
      <c r="E21" s="6">
        <f>IFERROR(__xludf.DUMMYFUNCTION("""COMPUTED_VALUE"""),863.3)</f>
        <v>863.3</v>
      </c>
      <c r="F21" s="6">
        <f>IFERROR(__xludf.DUMMYFUNCTION("""COMPUTED_VALUE"""),2323158.0)</f>
        <v>2323158</v>
      </c>
    </row>
    <row r="22">
      <c r="A22" s="7">
        <f>IFERROR(__xludf.DUMMYFUNCTION("""COMPUTED_VALUE"""),45316.64583333333)</f>
        <v>45316.64583</v>
      </c>
      <c r="B22" s="6">
        <f>IFERROR(__xludf.DUMMYFUNCTION("""COMPUTED_VALUE"""),870.5)</f>
        <v>870.5</v>
      </c>
      <c r="C22" s="6">
        <f>IFERROR(__xludf.DUMMYFUNCTION("""COMPUTED_VALUE"""),877.45)</f>
        <v>877.45</v>
      </c>
      <c r="D22" s="6">
        <f>IFERROR(__xludf.DUMMYFUNCTION("""COMPUTED_VALUE"""),812.63)</f>
        <v>812.63</v>
      </c>
      <c r="E22" s="6">
        <f>IFERROR(__xludf.DUMMYFUNCTION("""COMPUTED_VALUE"""),834.53)</f>
        <v>834.53</v>
      </c>
      <c r="F22" s="6">
        <f>IFERROR(__xludf.DUMMYFUNCTION("""COMPUTED_VALUE"""),2654320.0)</f>
        <v>2654320</v>
      </c>
    </row>
    <row r="23">
      <c r="A23" s="7">
        <f>IFERROR(__xludf.DUMMYFUNCTION("""COMPUTED_VALUE"""),45324.64583333333)</f>
        <v>45324.64583</v>
      </c>
      <c r="B23" s="6">
        <f>IFERROR(__xludf.DUMMYFUNCTION("""COMPUTED_VALUE"""),841.75)</f>
        <v>841.75</v>
      </c>
      <c r="C23" s="6">
        <f>IFERROR(__xludf.DUMMYFUNCTION("""COMPUTED_VALUE"""),915.0)</f>
        <v>915</v>
      </c>
      <c r="D23" s="6">
        <f>IFERROR(__xludf.DUMMYFUNCTION("""COMPUTED_VALUE"""),823.05)</f>
        <v>823.05</v>
      </c>
      <c r="E23" s="6">
        <f>IFERROR(__xludf.DUMMYFUNCTION("""COMPUTED_VALUE"""),879.7)</f>
        <v>879.7</v>
      </c>
      <c r="F23" s="6">
        <f>IFERROR(__xludf.DUMMYFUNCTION("""COMPUTED_VALUE"""),4065402.0)</f>
        <v>4065402</v>
      </c>
    </row>
    <row r="24">
      <c r="A24" s="7">
        <f>IFERROR(__xludf.DUMMYFUNCTION("""COMPUTED_VALUE"""),45331.64583333333)</f>
        <v>45331.64583</v>
      </c>
      <c r="B24" s="6">
        <f>IFERROR(__xludf.DUMMYFUNCTION("""COMPUTED_VALUE"""),885.0)</f>
        <v>885</v>
      </c>
      <c r="C24" s="6">
        <f>IFERROR(__xludf.DUMMYFUNCTION("""COMPUTED_VALUE"""),969.45)</f>
        <v>969.45</v>
      </c>
      <c r="D24" s="6">
        <f>IFERROR(__xludf.DUMMYFUNCTION("""COMPUTED_VALUE"""),867.5)</f>
        <v>867.5</v>
      </c>
      <c r="E24" s="6">
        <f>IFERROR(__xludf.DUMMYFUNCTION("""COMPUTED_VALUE"""),919.28)</f>
        <v>919.28</v>
      </c>
      <c r="F24" s="6">
        <f>IFERROR(__xludf.DUMMYFUNCTION("""COMPUTED_VALUE"""),7363231.0)</f>
        <v>7363231</v>
      </c>
    </row>
    <row r="25">
      <c r="A25" s="7">
        <f>IFERROR(__xludf.DUMMYFUNCTION("""COMPUTED_VALUE"""),45338.64583333333)</f>
        <v>45338.64583</v>
      </c>
      <c r="B25" s="6">
        <f>IFERROR(__xludf.DUMMYFUNCTION("""COMPUTED_VALUE"""),927.5)</f>
        <v>927.5</v>
      </c>
      <c r="C25" s="6">
        <f>IFERROR(__xludf.DUMMYFUNCTION("""COMPUTED_VALUE"""),931.43)</f>
        <v>931.43</v>
      </c>
      <c r="D25" s="6">
        <f>IFERROR(__xludf.DUMMYFUNCTION("""COMPUTED_VALUE"""),778.18)</f>
        <v>778.18</v>
      </c>
      <c r="E25" s="6">
        <f>IFERROR(__xludf.DUMMYFUNCTION("""COMPUTED_VALUE"""),854.95)</f>
        <v>854.95</v>
      </c>
      <c r="F25" s="6">
        <f>IFERROR(__xludf.DUMMYFUNCTION("""COMPUTED_VALUE"""),7856106.0)</f>
        <v>7856106</v>
      </c>
    </row>
    <row r="26">
      <c r="A26" s="7">
        <f>IFERROR(__xludf.DUMMYFUNCTION("""COMPUTED_VALUE"""),45345.64583333333)</f>
        <v>45345.64583</v>
      </c>
      <c r="B26" s="6">
        <f>IFERROR(__xludf.DUMMYFUNCTION("""COMPUTED_VALUE"""),863.5)</f>
        <v>863.5</v>
      </c>
      <c r="C26" s="6">
        <f>IFERROR(__xludf.DUMMYFUNCTION("""COMPUTED_VALUE"""),909.48)</f>
        <v>909.48</v>
      </c>
      <c r="D26" s="6">
        <f>IFERROR(__xludf.DUMMYFUNCTION("""COMPUTED_VALUE"""),831.98)</f>
        <v>831.98</v>
      </c>
      <c r="E26" s="6">
        <f>IFERROR(__xludf.DUMMYFUNCTION("""COMPUTED_VALUE"""),893.63)</f>
        <v>893.63</v>
      </c>
      <c r="F26" s="6">
        <f>IFERROR(__xludf.DUMMYFUNCTION("""COMPUTED_VALUE"""),4452146.0)</f>
        <v>4452146</v>
      </c>
    </row>
    <row r="27">
      <c r="A27" s="7">
        <f>IFERROR(__xludf.DUMMYFUNCTION("""COMPUTED_VALUE"""),45358.64583333333)</f>
        <v>45358.64583</v>
      </c>
      <c r="B27" s="6">
        <f>IFERROR(__xludf.DUMMYFUNCTION("""COMPUTED_VALUE"""),924.25)</f>
        <v>924.25</v>
      </c>
      <c r="C27" s="6">
        <f>IFERROR(__xludf.DUMMYFUNCTION("""COMPUTED_VALUE"""),940.0)</f>
        <v>940</v>
      </c>
      <c r="D27" s="6">
        <f>IFERROR(__xludf.DUMMYFUNCTION("""COMPUTED_VALUE"""),887.55)</f>
        <v>887.55</v>
      </c>
      <c r="E27" s="6">
        <f>IFERROR(__xludf.DUMMYFUNCTION("""COMPUTED_VALUE"""),899.63)</f>
        <v>899.63</v>
      </c>
      <c r="F27" s="6">
        <f>IFERROR(__xludf.DUMMYFUNCTION("""COMPUTED_VALUE"""),3594755.0)</f>
        <v>3594755</v>
      </c>
    </row>
    <row r="28">
      <c r="A28" s="7">
        <f>IFERROR(__xludf.DUMMYFUNCTION("""COMPUTED_VALUE"""),45366.64583333333)</f>
        <v>45366.64583</v>
      </c>
      <c r="B28" s="6">
        <f>IFERROR(__xludf.DUMMYFUNCTION("""COMPUTED_VALUE"""),905.0)</f>
        <v>905</v>
      </c>
      <c r="C28" s="6">
        <f>IFERROR(__xludf.DUMMYFUNCTION("""COMPUTED_VALUE"""),915.0)</f>
        <v>915</v>
      </c>
      <c r="D28" s="6">
        <f>IFERROR(__xludf.DUMMYFUNCTION("""COMPUTED_VALUE"""),776.05)</f>
        <v>776.05</v>
      </c>
      <c r="E28" s="6">
        <f>IFERROR(__xludf.DUMMYFUNCTION("""COMPUTED_VALUE"""),840.95)</f>
        <v>840.95</v>
      </c>
      <c r="F28" s="6">
        <f>IFERROR(__xludf.DUMMYFUNCTION("""COMPUTED_VALUE"""),5165248.0)</f>
        <v>5165248</v>
      </c>
    </row>
    <row r="29">
      <c r="A29" s="7">
        <f>IFERROR(__xludf.DUMMYFUNCTION("""COMPUTED_VALUE"""),45373.64583333333)</f>
        <v>45373.64583</v>
      </c>
      <c r="B29" s="6">
        <f>IFERROR(__xludf.DUMMYFUNCTION("""COMPUTED_VALUE"""),840.95)</f>
        <v>840.95</v>
      </c>
      <c r="C29" s="6">
        <f>IFERROR(__xludf.DUMMYFUNCTION("""COMPUTED_VALUE"""),859.85)</f>
        <v>859.85</v>
      </c>
      <c r="D29" s="6">
        <f>IFERROR(__xludf.DUMMYFUNCTION("""COMPUTED_VALUE"""),793.5)</f>
        <v>793.5</v>
      </c>
      <c r="E29" s="6">
        <f>IFERROR(__xludf.DUMMYFUNCTION("""COMPUTED_VALUE"""),843.03)</f>
        <v>843.03</v>
      </c>
      <c r="F29" s="6">
        <f>IFERROR(__xludf.DUMMYFUNCTION("""COMPUTED_VALUE"""),3583492.0)</f>
        <v>3583492</v>
      </c>
    </row>
    <row r="30">
      <c r="A30" s="7">
        <f>IFERROR(__xludf.DUMMYFUNCTION("""COMPUTED_VALUE"""),45379.64583333333)</f>
        <v>45379.64583</v>
      </c>
      <c r="B30" s="6">
        <f>IFERROR(__xludf.DUMMYFUNCTION("""COMPUTED_VALUE"""),846.65)</f>
        <v>846.65</v>
      </c>
      <c r="C30" s="6">
        <f>IFERROR(__xludf.DUMMYFUNCTION("""COMPUTED_VALUE"""),885.98)</f>
        <v>885.98</v>
      </c>
      <c r="D30" s="6">
        <f>IFERROR(__xludf.DUMMYFUNCTION("""COMPUTED_VALUE"""),836.5)</f>
        <v>836.5</v>
      </c>
      <c r="E30" s="6">
        <f>IFERROR(__xludf.DUMMYFUNCTION("""COMPUTED_VALUE"""),875.95)</f>
        <v>875.95</v>
      </c>
      <c r="F30" s="6">
        <f>IFERROR(__xludf.DUMMYFUNCTION("""COMPUTED_VALUE"""),2100538.0)</f>
        <v>2100538</v>
      </c>
    </row>
    <row r="31">
      <c r="A31" s="7">
        <f>IFERROR(__xludf.DUMMYFUNCTION("""COMPUTED_VALUE"""),45387.64583333333)</f>
        <v>45387.64583</v>
      </c>
      <c r="B31" s="6">
        <f>IFERROR(__xludf.DUMMYFUNCTION("""COMPUTED_VALUE"""),888.5)</f>
        <v>888.5</v>
      </c>
      <c r="C31" s="6">
        <f>IFERROR(__xludf.DUMMYFUNCTION("""COMPUTED_VALUE"""),906.75)</f>
        <v>906.75</v>
      </c>
      <c r="D31" s="6">
        <f>IFERROR(__xludf.DUMMYFUNCTION("""COMPUTED_VALUE"""),854.0)</f>
        <v>854</v>
      </c>
      <c r="E31" s="6">
        <f>IFERROR(__xludf.DUMMYFUNCTION("""COMPUTED_VALUE"""),872.4)</f>
        <v>872.4</v>
      </c>
      <c r="F31" s="6">
        <f>IFERROR(__xludf.DUMMYFUNCTION("""COMPUTED_VALUE"""),4334818.0)</f>
        <v>4334818</v>
      </c>
    </row>
    <row r="32">
      <c r="A32" s="7">
        <f>IFERROR(__xludf.DUMMYFUNCTION("""COMPUTED_VALUE"""),45394.64583333333)</f>
        <v>45394.64583</v>
      </c>
      <c r="B32" s="6">
        <f>IFERROR(__xludf.DUMMYFUNCTION("""COMPUTED_VALUE"""),876.2)</f>
        <v>876.2</v>
      </c>
      <c r="C32" s="6">
        <f>IFERROR(__xludf.DUMMYFUNCTION("""COMPUTED_VALUE"""),894.9)</f>
        <v>894.9</v>
      </c>
      <c r="D32" s="6">
        <f>IFERROR(__xludf.DUMMYFUNCTION("""COMPUTED_VALUE"""),862.53)</f>
        <v>862.53</v>
      </c>
      <c r="E32" s="6">
        <f>IFERROR(__xludf.DUMMYFUNCTION("""COMPUTED_VALUE"""),880.35)</f>
        <v>880.35</v>
      </c>
      <c r="F32" s="6">
        <f>IFERROR(__xludf.DUMMYFUNCTION("""COMPUTED_VALUE"""),2308038.0)</f>
        <v>2308038</v>
      </c>
    </row>
    <row r="33">
      <c r="A33" s="7">
        <f>IFERROR(__xludf.DUMMYFUNCTION("""COMPUTED_VALUE"""),45401.64583333333)</f>
        <v>45401.64583</v>
      </c>
      <c r="B33" s="6">
        <f>IFERROR(__xludf.DUMMYFUNCTION("""COMPUTED_VALUE"""),875.0)</f>
        <v>875</v>
      </c>
      <c r="C33" s="6">
        <f>IFERROR(__xludf.DUMMYFUNCTION("""COMPUTED_VALUE"""),944.0)</f>
        <v>944</v>
      </c>
      <c r="D33" s="6">
        <f>IFERROR(__xludf.DUMMYFUNCTION("""COMPUTED_VALUE"""),842.5)</f>
        <v>842.5</v>
      </c>
      <c r="E33" s="6">
        <f>IFERROR(__xludf.DUMMYFUNCTION("""COMPUTED_VALUE"""),916.63)</f>
        <v>916.63</v>
      </c>
      <c r="F33" s="6">
        <f>IFERROR(__xludf.DUMMYFUNCTION("""COMPUTED_VALUE"""),7553725.0)</f>
        <v>7553725</v>
      </c>
    </row>
    <row r="34">
      <c r="A34" s="7">
        <f>IFERROR(__xludf.DUMMYFUNCTION("""COMPUTED_VALUE"""),45408.64583333333)</f>
        <v>45408.64583</v>
      </c>
      <c r="B34" s="6">
        <f>IFERROR(__xludf.DUMMYFUNCTION("""COMPUTED_VALUE"""),925.0)</f>
        <v>925</v>
      </c>
      <c r="C34" s="6">
        <f>IFERROR(__xludf.DUMMYFUNCTION("""COMPUTED_VALUE"""),1048.97)</f>
        <v>1048.97</v>
      </c>
      <c r="D34" s="6">
        <f>IFERROR(__xludf.DUMMYFUNCTION("""COMPUTED_VALUE"""),918.5)</f>
        <v>918.5</v>
      </c>
      <c r="E34" s="6">
        <f>IFERROR(__xludf.DUMMYFUNCTION("""COMPUTED_VALUE"""),1009.0)</f>
        <v>1009</v>
      </c>
      <c r="F34" s="6">
        <f>IFERROR(__xludf.DUMMYFUNCTION("""COMPUTED_VALUE"""),1.083122E7)</f>
        <v>10831220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IFERROR(__xludf.DUMMYFUNCTION("""COMPUTED_VALUE"""),1015.0)</f>
        <v>1015</v>
      </c>
      <c r="C35" s="6">
        <f>IFERROR(__xludf.DUMMYFUNCTION("""COMPUTED_VALUE"""),1021.48)</f>
        <v>1021.48</v>
      </c>
      <c r="D35" s="6">
        <f>IFERROR(__xludf.DUMMYFUNCTION("""COMPUTED_VALUE"""),971.0)</f>
        <v>971</v>
      </c>
      <c r="E35" s="6">
        <f>IFERROR(__xludf.DUMMYFUNCTION("""COMPUTED_VALUE"""),979.8)</f>
        <v>979.8</v>
      </c>
      <c r="F35" s="6">
        <f>IFERROR(__xludf.DUMMYFUNCTION("""COMPUTED_VALUE"""),2637909.0)</f>
        <v>2637909</v>
      </c>
    </row>
    <row r="36">
      <c r="A36" s="7">
        <f>IFERROR(__xludf.DUMMYFUNCTION("""COMPUTED_VALUE"""),45422.64583333333)</f>
        <v>45422.64583</v>
      </c>
      <c r="B36" s="6">
        <f>IFERROR(__xludf.DUMMYFUNCTION("""COMPUTED_VALUE"""),984.98)</f>
        <v>984.98</v>
      </c>
      <c r="C36" s="6">
        <f>IFERROR(__xludf.DUMMYFUNCTION("""COMPUTED_VALUE"""),986.0)</f>
        <v>986</v>
      </c>
      <c r="D36" s="6">
        <f>IFERROR(__xludf.DUMMYFUNCTION("""COMPUTED_VALUE"""),913.53)</f>
        <v>913.53</v>
      </c>
      <c r="E36" s="6">
        <f>IFERROR(__xludf.DUMMYFUNCTION("""COMPUTED_VALUE"""),930.78)</f>
        <v>930.78</v>
      </c>
      <c r="F36" s="6">
        <f>IFERROR(__xludf.DUMMYFUNCTION("""COMPUTED_VALUE"""),3614223.0)</f>
        <v>3614223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IFERROR(__xludf.DUMMYFUNCTION("""COMPUTED_VALUE"""),1269.5)</f>
        <v>1269.5</v>
      </c>
      <c r="C37" s="6">
        <f>IFERROR(__xludf.DUMMYFUNCTION("""COMPUTED_VALUE"""),1658.95)</f>
        <v>1658.95</v>
      </c>
      <c r="D37" s="6">
        <f>IFERROR(__xludf.DUMMYFUNCTION("""COMPUTED_VALUE"""),1246.18)</f>
        <v>1246.18</v>
      </c>
      <c r="E37" s="6">
        <f>IFERROR(__xludf.DUMMYFUNCTION("""COMPUTED_VALUE"""),1523.05)</f>
        <v>1523.05</v>
      </c>
      <c r="F37" s="6">
        <f>IFERROR(__xludf.DUMMYFUNCTION("""COMPUTED_VALUE"""),2.4117835E7)</f>
        <v>24117835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IFERROR(__xludf.DUMMYFUNCTION("""COMPUTED_VALUE"""),1580.0)</f>
        <v>1580</v>
      </c>
      <c r="C38" s="6">
        <f>IFERROR(__xludf.DUMMYFUNCTION("""COMPUTED_VALUE"""),1640.0)</f>
        <v>1640</v>
      </c>
      <c r="D38" s="6">
        <f>IFERROR(__xludf.DUMMYFUNCTION("""COMPUTED_VALUE"""),1411.0)</f>
        <v>1411</v>
      </c>
      <c r="E38" s="6">
        <f>IFERROR(__xludf.DUMMYFUNCTION("""COMPUTED_VALUE"""),1557.35)</f>
        <v>1557.35</v>
      </c>
      <c r="F38" s="6">
        <f>IFERROR(__xludf.DUMMYFUNCTION("""COMPUTED_VALUE"""),2.7034865E7)</f>
        <v>27034865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IFERROR(__xludf.DUMMYFUNCTION("""COMPUTED_VALUE"""),1662.95)</f>
        <v>1662.95</v>
      </c>
      <c r="C39" s="6">
        <f>IFERROR(__xludf.DUMMYFUNCTION("""COMPUTED_VALUE"""),1662.95)</f>
        <v>1662.95</v>
      </c>
      <c r="D39" s="6">
        <f>IFERROR(__xludf.DUMMYFUNCTION("""COMPUTED_VALUE"""),1293.2)</f>
        <v>1293.2</v>
      </c>
      <c r="E39" s="6">
        <f>IFERROR(__xludf.DUMMYFUNCTION("""COMPUTED_VALUE"""),1430.95)</f>
        <v>1430.95</v>
      </c>
      <c r="F39" s="6">
        <f>IFERROR(__xludf.DUMMYFUNCTION("""COMPUTED_VALUE"""),2.3061732E7)</f>
        <v>23061732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IFERROR(__xludf.DUMMYFUNCTION("""COMPUTED_VALUE"""),1439.8)</f>
        <v>1439.8</v>
      </c>
      <c r="C40" s="6">
        <f>IFERROR(__xludf.DUMMYFUNCTION("""COMPUTED_VALUE"""),1617.3)</f>
        <v>1617.3</v>
      </c>
      <c r="D40" s="6">
        <f>IFERROR(__xludf.DUMMYFUNCTION("""COMPUTED_VALUE"""),1402.0)</f>
        <v>1402</v>
      </c>
      <c r="E40" s="6">
        <f>IFERROR(__xludf.DUMMYFUNCTION("""COMPUTED_VALUE"""),1582.8)</f>
        <v>1582.8</v>
      </c>
      <c r="F40" s="6">
        <f>IFERROR(__xludf.DUMMYFUNCTION("""COMPUTED_VALUE"""),1.9686592E7)</f>
        <v>19686592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IFERROR(__xludf.DUMMYFUNCTION("""COMPUTED_VALUE"""),1598.6)</f>
        <v>1598.6</v>
      </c>
      <c r="C41" s="6">
        <f>IFERROR(__xludf.DUMMYFUNCTION("""COMPUTED_VALUE"""),1650.0)</f>
        <v>1650</v>
      </c>
      <c r="D41" s="6">
        <f>IFERROR(__xludf.DUMMYFUNCTION("""COMPUTED_VALUE"""),1521.0)</f>
        <v>1521</v>
      </c>
      <c r="E41" s="6">
        <f>IFERROR(__xludf.DUMMYFUNCTION("""COMPUTED_VALUE"""),1530.45)</f>
        <v>1530.45</v>
      </c>
      <c r="F41" s="6">
        <f>IFERROR(__xludf.DUMMYFUNCTION("""COMPUTED_VALUE"""),1.5244122E7)</f>
        <v>15244122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IFERROR(__xludf.DUMMYFUNCTION("""COMPUTED_VALUE"""),1518.1)</f>
        <v>1518.1</v>
      </c>
      <c r="C42" s="6">
        <f>IFERROR(__xludf.DUMMYFUNCTION("""COMPUTED_VALUE"""),1649.0)</f>
        <v>1649</v>
      </c>
      <c r="D42" s="6">
        <f>IFERROR(__xludf.DUMMYFUNCTION("""COMPUTED_VALUE"""),1496.0)</f>
        <v>1496</v>
      </c>
      <c r="E42" s="6">
        <f>IFERROR(__xludf.DUMMYFUNCTION("""COMPUTED_VALUE"""),1596.6)</f>
        <v>1596.6</v>
      </c>
      <c r="F42" s="6">
        <f>IFERROR(__xludf.DUMMYFUNCTION("""COMPUTED_VALUE"""),1.6422785E7)</f>
        <v>16422785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IFERROR(__xludf.DUMMYFUNCTION("""COMPUTED_VALUE"""),1599.3)</f>
        <v>1599.3</v>
      </c>
      <c r="C43" s="6">
        <f>IFERROR(__xludf.DUMMYFUNCTION("""COMPUTED_VALUE"""),1794.7)</f>
        <v>1794.7</v>
      </c>
      <c r="D43" s="6">
        <f>IFERROR(__xludf.DUMMYFUNCTION("""COMPUTED_VALUE"""),1581.2)</f>
        <v>1581.2</v>
      </c>
      <c r="E43" s="6">
        <f>IFERROR(__xludf.DUMMYFUNCTION("""COMPUTED_VALUE"""),1731.85)</f>
        <v>1731.85</v>
      </c>
      <c r="F43" s="6">
        <f>IFERROR(__xludf.DUMMYFUNCTION("""COMPUTED_VALUE"""),3.0900412E7)</f>
        <v>30900412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IFERROR(__xludf.DUMMYFUNCTION("""COMPUTED_VALUE"""),1741.05)</f>
        <v>1741.05</v>
      </c>
      <c r="C44" s="6">
        <f>IFERROR(__xludf.DUMMYFUNCTION("""COMPUTED_VALUE"""),1773.3)</f>
        <v>1773.3</v>
      </c>
      <c r="D44" s="6">
        <f>IFERROR(__xludf.DUMMYFUNCTION("""COMPUTED_VALUE"""),1571.3)</f>
        <v>1571.3</v>
      </c>
      <c r="E44" s="6">
        <f>IFERROR(__xludf.DUMMYFUNCTION("""COMPUTED_VALUE"""),1665.55)</f>
        <v>1665.55</v>
      </c>
      <c r="F44" s="6">
        <f>IFERROR(__xludf.DUMMYFUNCTION("""COMPUTED_VALUE"""),1.4321531E7)</f>
        <v>14321531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IFERROR(__xludf.DUMMYFUNCTION("""COMPUTED_VALUE"""),1672.95)</f>
        <v>1672.95</v>
      </c>
      <c r="C45" s="6">
        <f>IFERROR(__xludf.DUMMYFUNCTION("""COMPUTED_VALUE"""),1680.0)</f>
        <v>1680</v>
      </c>
      <c r="D45" s="6">
        <f>IFERROR(__xludf.DUMMYFUNCTION("""COMPUTED_VALUE"""),1462.0)</f>
        <v>1462</v>
      </c>
      <c r="E45" s="6">
        <f>IFERROR(__xludf.DUMMYFUNCTION("""COMPUTED_VALUE"""),1467.75)</f>
        <v>1467.75</v>
      </c>
      <c r="F45" s="6">
        <f>IFERROR(__xludf.DUMMYFUNCTION("""COMPUTED_VALUE"""),8433913.0)</f>
        <v>8433913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IFERROR(__xludf.DUMMYFUNCTION("""COMPUTED_VALUE"""),1450.05)</f>
        <v>1450.05</v>
      </c>
      <c r="C46" s="6">
        <f>IFERROR(__xludf.DUMMYFUNCTION("""COMPUTED_VALUE"""),1528.0)</f>
        <v>1528</v>
      </c>
      <c r="D46" s="6">
        <f>IFERROR(__xludf.DUMMYFUNCTION("""COMPUTED_VALUE"""),1350.0)</f>
        <v>1350</v>
      </c>
      <c r="E46" s="6">
        <f>IFERROR(__xludf.DUMMYFUNCTION("""COMPUTED_VALUE"""),1412.5)</f>
        <v>1412.5</v>
      </c>
      <c r="F46" s="6">
        <f>IFERROR(__xludf.DUMMYFUNCTION("""COMPUTED_VALUE"""),1.0454244E7)</f>
        <v>10454244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IFERROR(__xludf.DUMMYFUNCTION("""COMPUTED_VALUE"""),1426.0)</f>
        <v>1426</v>
      </c>
      <c r="C47" s="6">
        <f>IFERROR(__xludf.DUMMYFUNCTION("""COMPUTED_VALUE"""),1498.0)</f>
        <v>1498</v>
      </c>
      <c r="D47" s="6">
        <f>IFERROR(__xludf.DUMMYFUNCTION("""COMPUTED_VALUE"""),1407.0)</f>
        <v>1407</v>
      </c>
      <c r="E47" s="6">
        <f>IFERROR(__xludf.DUMMYFUNCTION("""COMPUTED_VALUE"""),1419.2)</f>
        <v>1419.2</v>
      </c>
      <c r="F47" s="6">
        <f>IFERROR(__xludf.DUMMYFUNCTION("""COMPUTED_VALUE"""),5831209.0)</f>
        <v>5831209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IFERROR(__xludf.DUMMYFUNCTION("""COMPUTED_VALUE"""),1359.85)</f>
        <v>1359.85</v>
      </c>
      <c r="C48" s="6">
        <f>IFERROR(__xludf.DUMMYFUNCTION("""COMPUTED_VALUE"""),1449.95)</f>
        <v>1449.95</v>
      </c>
      <c r="D48" s="6">
        <f>IFERROR(__xludf.DUMMYFUNCTION("""COMPUTED_VALUE"""),1327.05)</f>
        <v>1327.05</v>
      </c>
      <c r="E48" s="6">
        <f>IFERROR(__xludf.DUMMYFUNCTION("""COMPUTED_VALUE"""),1434.05)</f>
        <v>1434.05</v>
      </c>
      <c r="F48" s="6">
        <f>IFERROR(__xludf.DUMMYFUNCTION("""COMPUTED_VALUE"""),6998836.0)</f>
        <v>6998836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IFERROR(__xludf.DUMMYFUNCTION("""COMPUTED_VALUE"""),1224.95)</f>
        <v>1224.95</v>
      </c>
      <c r="C49" s="6">
        <f>IFERROR(__xludf.DUMMYFUNCTION("""COMPUTED_VALUE"""),1359.95)</f>
        <v>1359.95</v>
      </c>
      <c r="D49" s="6">
        <f>IFERROR(__xludf.DUMMYFUNCTION("""COMPUTED_VALUE"""),1222.35)</f>
        <v>1222.35</v>
      </c>
      <c r="E49" s="6">
        <f>IFERROR(__xludf.DUMMYFUNCTION("""COMPUTED_VALUE"""),1318.8)</f>
        <v>1318.8</v>
      </c>
      <c r="F49" s="6">
        <f>IFERROR(__xludf.DUMMYFUNCTION("""COMPUTED_VALUE"""),7726479.0)</f>
        <v>7726479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IFERROR(__xludf.DUMMYFUNCTION("""COMPUTED_VALUE"""),1313.3)</f>
        <v>1313.3</v>
      </c>
      <c r="C50" s="6">
        <f>IFERROR(__xludf.DUMMYFUNCTION("""COMPUTED_VALUE"""),1351.0)</f>
        <v>1351</v>
      </c>
      <c r="D50" s="6">
        <f>IFERROR(__xludf.DUMMYFUNCTION("""COMPUTED_VALUE"""),1301.75)</f>
        <v>1301.75</v>
      </c>
      <c r="E50" s="6">
        <f>IFERROR(__xludf.DUMMYFUNCTION("""COMPUTED_VALUE"""),1315.75)</f>
        <v>1315.75</v>
      </c>
      <c r="F50" s="6">
        <f>IFERROR(__xludf.DUMMYFUNCTION("""COMPUTED_VALUE"""),4229031.0)</f>
        <v>4229031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IFERROR(__xludf.DUMMYFUNCTION("""COMPUTED_VALUE"""),1325.0)</f>
        <v>1325</v>
      </c>
      <c r="C51" s="6">
        <f>IFERROR(__xludf.DUMMYFUNCTION("""COMPUTED_VALUE"""),1334.4)</f>
        <v>1334.4</v>
      </c>
      <c r="D51" s="6">
        <f>IFERROR(__xludf.DUMMYFUNCTION("""COMPUTED_VALUE"""),1277.2)</f>
        <v>1277.2</v>
      </c>
      <c r="E51" s="6">
        <f>IFERROR(__xludf.DUMMYFUNCTION("""COMPUTED_VALUE"""),1302.9)</f>
        <v>1302.9</v>
      </c>
      <c r="F51" s="6">
        <f>IFERROR(__xludf.DUMMYFUNCTION("""COMPUTED_VALUE"""),4214207.0)</f>
        <v>4214207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IFERROR(__xludf.DUMMYFUNCTION("""COMPUTED_VALUE"""),1304.3)</f>
        <v>1304.3</v>
      </c>
      <c r="C52" s="6">
        <f>IFERROR(__xludf.DUMMYFUNCTION("""COMPUTED_VALUE"""),1366.0)</f>
        <v>1366</v>
      </c>
      <c r="D52" s="6">
        <f>IFERROR(__xludf.DUMMYFUNCTION("""COMPUTED_VALUE"""),1285.55)</f>
        <v>1285.55</v>
      </c>
      <c r="E52" s="6">
        <f>IFERROR(__xludf.DUMMYFUNCTION("""COMPUTED_VALUE"""),1289.7)</f>
        <v>1289.7</v>
      </c>
      <c r="F52" s="6">
        <f>IFERROR(__xludf.DUMMYFUNCTION("""COMPUTED_VALUE"""),5090877.0)</f>
        <v>5090877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IFERROR(__xludf.DUMMYFUNCTION("""COMPUTED_VALUE"""),1287.45)</f>
        <v>1287.45</v>
      </c>
      <c r="C53" s="6">
        <f>IFERROR(__xludf.DUMMYFUNCTION("""COMPUTED_VALUE"""),1289.7)</f>
        <v>1289.7</v>
      </c>
      <c r="D53" s="6">
        <f>IFERROR(__xludf.DUMMYFUNCTION("""COMPUTED_VALUE"""),1226.0)</f>
        <v>1226</v>
      </c>
      <c r="E53" s="6">
        <f>IFERROR(__xludf.DUMMYFUNCTION("""COMPUTED_VALUE"""),1241.5)</f>
        <v>1241.5</v>
      </c>
      <c r="F53" s="6">
        <f>IFERROR(__xludf.DUMMYFUNCTION("""COMPUTED_VALUE"""),2663242.0)</f>
        <v>2663242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IFERROR(__xludf.DUMMYFUNCTION("""COMPUTED_VALUE"""),1247.75)</f>
        <v>1247.75</v>
      </c>
      <c r="C54" s="6">
        <f>IFERROR(__xludf.DUMMYFUNCTION("""COMPUTED_VALUE"""),1248.65)</f>
        <v>1248.65</v>
      </c>
      <c r="D54" s="6">
        <f>IFERROR(__xludf.DUMMYFUNCTION("""COMPUTED_VALUE"""),1096.0)</f>
        <v>1096</v>
      </c>
      <c r="E54" s="6">
        <f>IFERROR(__xludf.DUMMYFUNCTION("""COMPUTED_VALUE"""),1149.4)</f>
        <v>1149.4</v>
      </c>
      <c r="F54" s="6">
        <f>IFERROR(__xludf.DUMMYFUNCTION("""COMPUTED_VALUE"""),6648016.0)</f>
        <v>6648016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IFERROR(__xludf.DUMMYFUNCTION("""COMPUTED_VALUE"""),1164.0)</f>
        <v>1164</v>
      </c>
      <c r="C55" s="6">
        <f>IFERROR(__xludf.DUMMYFUNCTION("""COMPUTED_VALUE"""),1183.0)</f>
        <v>1183</v>
      </c>
      <c r="D55" s="6">
        <f>IFERROR(__xludf.DUMMYFUNCTION("""COMPUTED_VALUE"""),1108.5)</f>
        <v>1108.5</v>
      </c>
      <c r="E55" s="6">
        <f>IFERROR(__xludf.DUMMYFUNCTION("""COMPUTED_VALUE"""),1130.25)</f>
        <v>1130.25</v>
      </c>
      <c r="F55" s="6">
        <f>IFERROR(__xludf.DUMMYFUNCTION("""COMPUTED_VALUE"""),3736562.0)</f>
        <v>3736562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IFERROR(__xludf.DUMMYFUNCTION("""COMPUTED_VALUE"""),1134.4)</f>
        <v>1134.4</v>
      </c>
      <c r="C56" s="6">
        <f>IFERROR(__xludf.DUMMYFUNCTION("""COMPUTED_VALUE"""),1165.95)</f>
        <v>1165.95</v>
      </c>
      <c r="D56" s="6">
        <f>IFERROR(__xludf.DUMMYFUNCTION("""COMPUTED_VALUE"""),1089.0)</f>
        <v>1089</v>
      </c>
      <c r="E56" s="6">
        <f>IFERROR(__xludf.DUMMYFUNCTION("""COMPUTED_VALUE"""),1108.35)</f>
        <v>1108.35</v>
      </c>
      <c r="F56" s="6">
        <f>IFERROR(__xludf.DUMMYFUNCTION("""COMPUTED_VALUE"""),3043874.0)</f>
        <v>3043874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IFERROR(__xludf.DUMMYFUNCTION("""COMPUTED_VALUE"""),1106.05)</f>
        <v>1106.05</v>
      </c>
      <c r="C57" s="6">
        <f>IFERROR(__xludf.DUMMYFUNCTION("""COMPUTED_VALUE"""),1230.0)</f>
        <v>1230</v>
      </c>
      <c r="D57" s="6">
        <f>IFERROR(__xludf.DUMMYFUNCTION("""COMPUTED_VALUE"""),1040.6)</f>
        <v>1040.6</v>
      </c>
      <c r="E57" s="6">
        <f>IFERROR(__xludf.DUMMYFUNCTION("""COMPUTED_VALUE"""),1221.95)</f>
        <v>1221.95</v>
      </c>
      <c r="F57" s="6">
        <f>IFERROR(__xludf.DUMMYFUNCTION("""COMPUTED_VALUE"""),5461868.0)</f>
        <v>5461868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IFERROR(__xludf.DUMMYFUNCTION("""COMPUTED_VALUE"""),1222.0)</f>
        <v>1222</v>
      </c>
      <c r="C58" s="6">
        <f>IFERROR(__xludf.DUMMYFUNCTION("""COMPUTED_VALUE"""),1226.0)</f>
        <v>1226</v>
      </c>
      <c r="D58" s="6">
        <f>IFERROR(__xludf.DUMMYFUNCTION("""COMPUTED_VALUE"""),1114.25)</f>
        <v>1114.25</v>
      </c>
      <c r="E58" s="6">
        <f>IFERROR(__xludf.DUMMYFUNCTION("""COMPUTED_VALUE"""),1129.85)</f>
        <v>1129.85</v>
      </c>
      <c r="F58" s="6">
        <f>IFERROR(__xludf.DUMMYFUNCTION("""COMPUTED_VALUE"""),2717224.0)</f>
        <v>2717224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IFERROR(__xludf.DUMMYFUNCTION("""COMPUTED_VALUE"""),1129.05)</f>
        <v>1129.05</v>
      </c>
      <c r="C59" s="6">
        <f>IFERROR(__xludf.DUMMYFUNCTION("""COMPUTED_VALUE"""),1146.0)</f>
        <v>1146</v>
      </c>
      <c r="D59" s="6">
        <f>IFERROR(__xludf.DUMMYFUNCTION("""COMPUTED_VALUE"""),1000.0)</f>
        <v>1000</v>
      </c>
      <c r="E59" s="6">
        <f>IFERROR(__xludf.DUMMYFUNCTION("""COMPUTED_VALUE"""),1033.65)</f>
        <v>1033.65</v>
      </c>
      <c r="F59" s="6">
        <f>IFERROR(__xludf.DUMMYFUNCTION("""COMPUTED_VALUE"""),3504037.0)</f>
        <v>3504037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IFERROR(__xludf.DUMMYFUNCTION("""COMPUTED_VALUE"""),1115.85)</f>
        <v>1115.85</v>
      </c>
      <c r="C60" s="6">
        <f>IFERROR(__xludf.DUMMYFUNCTION("""COMPUTED_VALUE"""),1119.6)</f>
        <v>1119.6</v>
      </c>
      <c r="D60" s="6">
        <f>IFERROR(__xludf.DUMMYFUNCTION("""COMPUTED_VALUE"""),1023.6)</f>
        <v>1023.6</v>
      </c>
      <c r="E60" s="6">
        <f>IFERROR(__xludf.DUMMYFUNCTION("""COMPUTED_VALUE"""),1050.3)</f>
        <v>1050.3</v>
      </c>
      <c r="F60" s="6">
        <f>IFERROR(__xludf.DUMMYFUNCTION("""COMPUTED_VALUE"""),2940190.0)</f>
        <v>2940190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IFERROR(__xludf.DUMMYFUNCTION("""COMPUTED_VALUE"""),1044.1)</f>
        <v>1044.1</v>
      </c>
      <c r="C61" s="6">
        <f>IFERROR(__xludf.DUMMYFUNCTION("""COMPUTED_VALUE"""),1062.9)</f>
        <v>1062.9</v>
      </c>
      <c r="D61" s="6">
        <f>IFERROR(__xludf.DUMMYFUNCTION("""COMPUTED_VALUE"""),968.3)</f>
        <v>968.3</v>
      </c>
      <c r="E61" s="6">
        <f>IFERROR(__xludf.DUMMYFUNCTION("""COMPUTED_VALUE"""),989.55)</f>
        <v>989.55</v>
      </c>
      <c r="F61" s="6">
        <f>IFERROR(__xludf.DUMMYFUNCTION("""COMPUTED_VALUE"""),2012096.0)</f>
        <v>2012096</v>
      </c>
    </row>
    <row r="62">
      <c r="A62" s="7">
        <f>IFERROR(__xludf.DUMMYFUNCTION("""COMPUTED_VALUE"""),45618.64583333333)</f>
        <v>45618.64583</v>
      </c>
      <c r="B62" s="6">
        <f>IFERROR(__xludf.DUMMYFUNCTION("""COMPUTED_VALUE"""),999.1)</f>
        <v>999.1</v>
      </c>
      <c r="C62" s="6">
        <f>IFERROR(__xludf.DUMMYFUNCTION("""COMPUTED_VALUE"""),1016.7)</f>
        <v>1016.7</v>
      </c>
      <c r="D62" s="6">
        <f>IFERROR(__xludf.DUMMYFUNCTION("""COMPUTED_VALUE"""),890.0)</f>
        <v>890</v>
      </c>
      <c r="E62" s="6">
        <f>IFERROR(__xludf.DUMMYFUNCTION("""COMPUTED_VALUE"""),935.4)</f>
        <v>935.4</v>
      </c>
      <c r="F62" s="6">
        <f>IFERROR(__xludf.DUMMYFUNCTION("""COMPUTED_VALUE"""),2826917.0)</f>
        <v>2826917</v>
      </c>
    </row>
    <row r="63">
      <c r="A63" s="7">
        <f>IFERROR(__xludf.DUMMYFUNCTION("""COMPUTED_VALUE"""),45625.64583333333)</f>
        <v>45625.64583</v>
      </c>
      <c r="B63" s="6">
        <f>IFERROR(__xludf.DUMMYFUNCTION("""COMPUTED_VALUE"""),961.0)</f>
        <v>961</v>
      </c>
      <c r="C63" s="6">
        <f>IFERROR(__xludf.DUMMYFUNCTION("""COMPUTED_VALUE"""),1174.95)</f>
        <v>1174.95</v>
      </c>
      <c r="D63" s="6">
        <f>IFERROR(__xludf.DUMMYFUNCTION("""COMPUTED_VALUE"""),961.0)</f>
        <v>961</v>
      </c>
      <c r="E63" s="6">
        <f>IFERROR(__xludf.DUMMYFUNCTION("""COMPUTED_VALUE"""),1150.0)</f>
        <v>1150</v>
      </c>
      <c r="F63" s="6">
        <f>IFERROR(__xludf.DUMMYFUNCTION("""COMPUTED_VALUE"""),6697423.0)</f>
        <v>6697423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IFERROR(__xludf.DUMMYFUNCTION("""COMPUTED_VALUE"""),1147.95)</f>
        <v>1147.95</v>
      </c>
      <c r="C64" s="6">
        <f>IFERROR(__xludf.DUMMYFUNCTION("""COMPUTED_VALUE"""),1237.0)</f>
        <v>1237</v>
      </c>
      <c r="D64" s="6">
        <f>IFERROR(__xludf.DUMMYFUNCTION("""COMPUTED_VALUE"""),1123.5)</f>
        <v>1123.5</v>
      </c>
      <c r="E64" s="6">
        <f>IFERROR(__xludf.DUMMYFUNCTION("""COMPUTED_VALUE"""),1219.8)</f>
        <v>1219.8</v>
      </c>
      <c r="F64" s="6">
        <f>IFERROR(__xludf.DUMMYFUNCTION("""COMPUTED_VALUE"""),5099871.0)</f>
        <v>5099871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IFERROR(__xludf.DUMMYFUNCTION("""COMPUTED_VALUE"""),1221.95)</f>
        <v>1221.95</v>
      </c>
      <c r="C65" s="6">
        <f>IFERROR(__xludf.DUMMYFUNCTION("""COMPUTED_VALUE"""),1275.0)</f>
        <v>1275</v>
      </c>
      <c r="D65" s="6">
        <f>IFERROR(__xludf.DUMMYFUNCTION("""COMPUTED_VALUE"""),1191.05)</f>
        <v>1191.05</v>
      </c>
      <c r="E65" s="6">
        <f>IFERROR(__xludf.DUMMYFUNCTION("""COMPUTED_VALUE"""),1260.95)</f>
        <v>1260.95</v>
      </c>
      <c r="F65" s="6">
        <f>IFERROR(__xludf.DUMMYFUNCTION("""COMPUTED_VALUE"""),3375700.0)</f>
        <v>3375700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IFERROR(__xludf.DUMMYFUNCTION("""COMPUTED_VALUE"""),1273.4)</f>
        <v>1273.4</v>
      </c>
      <c r="C66" s="6">
        <f>IFERROR(__xludf.DUMMYFUNCTION("""COMPUTED_VALUE"""),1297.8)</f>
        <v>1297.8</v>
      </c>
      <c r="D66" s="6">
        <f>IFERROR(__xludf.DUMMYFUNCTION("""COMPUTED_VALUE"""),1168.9)</f>
        <v>1168.9</v>
      </c>
      <c r="E66" s="6">
        <f>IFERROR(__xludf.DUMMYFUNCTION("""COMPUTED_VALUE"""),1239.25)</f>
        <v>1239.25</v>
      </c>
      <c r="F66" s="6">
        <f>IFERROR(__xludf.DUMMYFUNCTION("""COMPUTED_VALUE"""),4802025.0)</f>
        <v>4802025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IFERROR(__xludf.DUMMYFUNCTION("""COMPUTED_VALUE"""),1256.0)</f>
        <v>1256</v>
      </c>
      <c r="C67" s="6">
        <f>IFERROR(__xludf.DUMMYFUNCTION("""COMPUTED_VALUE"""),1256.9)</f>
        <v>1256.9</v>
      </c>
      <c r="D67" s="6">
        <f>IFERROR(__xludf.DUMMYFUNCTION("""COMPUTED_VALUE"""),1173.0)</f>
        <v>1173</v>
      </c>
      <c r="E67" s="6">
        <f>IFERROR(__xludf.DUMMYFUNCTION("""COMPUTED_VALUE"""),1199.95)</f>
        <v>1199.95</v>
      </c>
      <c r="F67" s="6">
        <f>IFERROR(__xludf.DUMMYFUNCTION("""COMPUTED_VALUE"""),1996798.0)</f>
        <v>1996798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IFERROR(__xludf.DUMMYFUNCTION("""COMPUTED_VALUE"""),1190.05)</f>
        <v>1190.05</v>
      </c>
      <c r="C68" s="6">
        <f>IFERROR(__xludf.DUMMYFUNCTION("""COMPUTED_VALUE"""),1199.4)</f>
        <v>1199.4</v>
      </c>
      <c r="D68" s="6">
        <f>IFERROR(__xludf.DUMMYFUNCTION("""COMPUTED_VALUE"""),1083.9)</f>
        <v>1083.9</v>
      </c>
      <c r="E68" s="6">
        <f>IFERROR(__xludf.DUMMYFUNCTION("""COMPUTED_VALUE"""),1143.65)</f>
        <v>1143.65</v>
      </c>
      <c r="F68" s="6">
        <f>IFERROR(__xludf.DUMMYFUNCTION("""COMPUTED_VALUE"""),2603309.0)</f>
        <v>2603309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IFERROR(__xludf.DUMMYFUNCTION("""COMPUTED_VALUE"""),1143.65)</f>
        <v>1143.65</v>
      </c>
      <c r="C69" s="6">
        <f>IFERROR(__xludf.DUMMYFUNCTION("""COMPUTED_VALUE"""),1215.0)</f>
        <v>1215</v>
      </c>
      <c r="D69" s="6">
        <f>IFERROR(__xludf.DUMMYFUNCTION("""COMPUTED_VALUE"""),1103.65)</f>
        <v>1103.65</v>
      </c>
      <c r="E69" s="6">
        <f>IFERROR(__xludf.DUMMYFUNCTION("""COMPUTED_VALUE"""),1200.45)</f>
        <v>1200.45</v>
      </c>
      <c r="F69" s="6">
        <f>IFERROR(__xludf.DUMMYFUNCTION("""COMPUTED_VALUE"""),3130580.0)</f>
        <v>3130580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IFERROR(__xludf.DUMMYFUNCTION("""COMPUTED_VALUE"""),1175.05)</f>
        <v>1175.05</v>
      </c>
      <c r="C70" s="6">
        <f>IFERROR(__xludf.DUMMYFUNCTION("""COMPUTED_VALUE"""),1289.5)</f>
        <v>1289.5</v>
      </c>
      <c r="D70" s="6">
        <f>IFERROR(__xludf.DUMMYFUNCTION("""COMPUTED_VALUE"""),1091.9)</f>
        <v>1091.9</v>
      </c>
      <c r="E70" s="6">
        <f>IFERROR(__xludf.DUMMYFUNCTION("""COMPUTED_VALUE"""),1276.25)</f>
        <v>1276.25</v>
      </c>
      <c r="F70" s="6">
        <f>IFERROR(__xludf.DUMMYFUNCTION("""COMPUTED_VALUE"""),6105580.0)</f>
        <v>6105580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IFERROR(__xludf.DUMMYFUNCTION("""COMPUTED_VALUE"""),1290.0)</f>
        <v>1290</v>
      </c>
      <c r="C71" s="6">
        <f>IFERROR(__xludf.DUMMYFUNCTION("""COMPUTED_VALUE"""),1345.8)</f>
        <v>1345.8</v>
      </c>
      <c r="D71" s="6">
        <f>IFERROR(__xludf.DUMMYFUNCTION("""COMPUTED_VALUE"""),1191.55)</f>
        <v>1191.55</v>
      </c>
      <c r="E71" s="6">
        <f>IFERROR(__xludf.DUMMYFUNCTION("""COMPUTED_VALUE"""),1241.2)</f>
        <v>1241.2</v>
      </c>
      <c r="F71" s="6">
        <f>IFERROR(__xludf.DUMMYFUNCTION("""COMPUTED_VALUE"""),7901852.0)</f>
        <v>7901852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IFERROR(__xludf.DUMMYFUNCTION("""COMPUTED_VALUE"""),1228.35)</f>
        <v>1228.35</v>
      </c>
      <c r="C72" s="6">
        <f>IFERROR(__xludf.DUMMYFUNCTION("""COMPUTED_VALUE"""),1260.5)</f>
        <v>1260.5</v>
      </c>
      <c r="D72" s="6">
        <f>IFERROR(__xludf.DUMMYFUNCTION("""COMPUTED_VALUE"""),1133.55)</f>
        <v>1133.55</v>
      </c>
      <c r="E72" s="6">
        <f>IFERROR(__xludf.DUMMYFUNCTION("""COMPUTED_VALUE"""),1200.4)</f>
        <v>1200.4</v>
      </c>
      <c r="F72" s="6">
        <f>IFERROR(__xludf.DUMMYFUNCTION("""COMPUTED_VALUE"""),7401269.0)</f>
        <v>7401269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IFERROR(__xludf.DUMMYFUNCTION("""COMPUTED_VALUE"""),1200.0)</f>
        <v>1200</v>
      </c>
      <c r="C73" s="6">
        <f>IFERROR(__xludf.DUMMYFUNCTION("""COMPUTED_VALUE"""),1224.0)</f>
        <v>1224</v>
      </c>
      <c r="D73" s="6">
        <f>IFERROR(__xludf.DUMMYFUNCTION("""COMPUTED_VALUE"""),1048.0)</f>
        <v>1048</v>
      </c>
      <c r="E73" s="6">
        <f>IFERROR(__xludf.DUMMYFUNCTION("""COMPUTED_VALUE"""),1102.55)</f>
        <v>1102.55</v>
      </c>
      <c r="F73" s="6">
        <f>IFERROR(__xludf.DUMMYFUNCTION("""COMPUTED_VALUE"""),6589520.0)</f>
        <v>6589520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IFERROR(__xludf.DUMMYFUNCTION("""COMPUTED_VALUE"""),1090.0)</f>
        <v>1090</v>
      </c>
      <c r="C74" s="6">
        <f>IFERROR(__xludf.DUMMYFUNCTION("""COMPUTED_VALUE"""),1109.5)</f>
        <v>1109.5</v>
      </c>
      <c r="D74" s="6">
        <f>IFERROR(__xludf.DUMMYFUNCTION("""COMPUTED_VALUE"""),993.55)</f>
        <v>993.55</v>
      </c>
      <c r="E74" s="6">
        <f>IFERROR(__xludf.DUMMYFUNCTION("""COMPUTED_VALUE"""),1009.6)</f>
        <v>1009.6</v>
      </c>
      <c r="F74" s="6">
        <f>IFERROR(__xludf.DUMMYFUNCTION("""COMPUTED_VALUE"""),5693667.0)</f>
        <v>5693667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IFERROR(__xludf.DUMMYFUNCTION("""COMPUTED_VALUE"""),1000.6)</f>
        <v>1000.6</v>
      </c>
      <c r="C75" s="6">
        <f>IFERROR(__xludf.DUMMYFUNCTION("""COMPUTED_VALUE"""),1037.6)</f>
        <v>1037.6</v>
      </c>
      <c r="D75" s="6">
        <f>IFERROR(__xludf.DUMMYFUNCTION("""COMPUTED_VALUE"""),966.15)</f>
        <v>966.15</v>
      </c>
      <c r="E75" s="6">
        <f>IFERROR(__xludf.DUMMYFUNCTION("""COMPUTED_VALUE"""),975.4)</f>
        <v>975.4</v>
      </c>
      <c r="F75" s="6">
        <f>IFERROR(__xludf.DUMMYFUNCTION("""COMPUTED_VALUE"""),3479073.0)</f>
        <v>3479073</v>
      </c>
    </row>
    <row r="76">
      <c r="A76" s="7">
        <f>IFERROR(__xludf.DUMMYFUNCTION("""COMPUTED_VALUE"""),45723.64583333333)</f>
        <v>45723.64583</v>
      </c>
      <c r="B76" s="6">
        <f>IFERROR(__xludf.DUMMYFUNCTION("""COMPUTED_VALUE"""),975.4)</f>
        <v>975.4</v>
      </c>
      <c r="C76" s="6">
        <f>IFERROR(__xludf.DUMMYFUNCTION("""COMPUTED_VALUE"""),1148.6)</f>
        <v>1148.6</v>
      </c>
      <c r="D76" s="6">
        <f>IFERROR(__xludf.DUMMYFUNCTION("""COMPUTED_VALUE"""),907.0)</f>
        <v>907</v>
      </c>
      <c r="E76" s="6">
        <f>IFERROR(__xludf.DUMMYFUNCTION("""COMPUTED_VALUE"""),1135.2)</f>
        <v>1135.2</v>
      </c>
      <c r="F76" s="6">
        <f>IFERROR(__xludf.DUMMYFUNCTION("""COMPUTED_VALUE"""),8810642.0)</f>
        <v>8810642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IFERROR(__xludf.DUMMYFUNCTION("""COMPUTED_VALUE"""),1135.2)</f>
        <v>1135.2</v>
      </c>
      <c r="C77" s="6">
        <f>IFERROR(__xludf.DUMMYFUNCTION("""COMPUTED_VALUE"""),1164.2)</f>
        <v>1164.2</v>
      </c>
      <c r="D77" s="6">
        <f>IFERROR(__xludf.DUMMYFUNCTION("""COMPUTED_VALUE"""),1088.0)</f>
        <v>1088</v>
      </c>
      <c r="E77" s="6">
        <f>IFERROR(__xludf.DUMMYFUNCTION("""COMPUTED_VALUE"""),1108.25)</f>
        <v>1108.25</v>
      </c>
      <c r="F77" s="6">
        <f>IFERROR(__xludf.DUMMYFUNCTION("""COMPUTED_VALUE"""),4530851.0)</f>
        <v>4530851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IFERROR(__xludf.DUMMYFUNCTION("""COMPUTED_VALUE"""),1100.0)</f>
        <v>1100</v>
      </c>
      <c r="C78" s="6">
        <f>IFERROR(__xludf.DUMMYFUNCTION("""COMPUTED_VALUE"""),1317.65)</f>
        <v>1317.65</v>
      </c>
      <c r="D78" s="6">
        <f>IFERROR(__xludf.DUMMYFUNCTION("""COMPUTED_VALUE"""),1100.0)</f>
        <v>1100</v>
      </c>
      <c r="E78" s="6">
        <f>IFERROR(__xludf.DUMMYFUNCTION("""COMPUTED_VALUE"""),1293.1)</f>
        <v>1293.1</v>
      </c>
      <c r="F78" s="6">
        <f>IFERROR(__xludf.DUMMYFUNCTION("""COMPUTED_VALUE"""),1.0404765E7)</f>
        <v>10404765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IFERROR(__xludf.DUMMYFUNCTION("""COMPUTED_VALUE"""),1308.9)</f>
        <v>1308.9</v>
      </c>
      <c r="C79" s="6">
        <f>IFERROR(__xludf.DUMMYFUNCTION("""COMPUTED_VALUE"""),1375.1)</f>
        <v>1375.1</v>
      </c>
      <c r="D79" s="6">
        <f>IFERROR(__xludf.DUMMYFUNCTION("""COMPUTED_VALUE"""),1261.55)</f>
        <v>1261.55</v>
      </c>
      <c r="E79" s="6">
        <f>IFERROR(__xludf.DUMMYFUNCTION("""COMPUTED_VALUE"""),1281.4)</f>
        <v>1281.4</v>
      </c>
      <c r="F79" s="6">
        <f>IFERROR(__xludf.DUMMYFUNCTION("""COMPUTED_VALUE"""),1.0246693E7)</f>
        <v>10246693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IFERROR(__xludf.DUMMYFUNCTION("""COMPUTED_VALUE"""),1280.0)</f>
        <v>1280</v>
      </c>
      <c r="C80" s="6">
        <f>IFERROR(__xludf.DUMMYFUNCTION("""COMPUTED_VALUE"""),1384.65)</f>
        <v>1384.65</v>
      </c>
      <c r="D80" s="6">
        <f>IFERROR(__xludf.DUMMYFUNCTION("""COMPUTED_VALUE"""),1222.2)</f>
        <v>1222.2</v>
      </c>
      <c r="E80" s="6">
        <f>IFERROR(__xludf.DUMMYFUNCTION("""COMPUTED_VALUE"""),1337.85)</f>
        <v>1337.85</v>
      </c>
      <c r="F80" s="6">
        <f>IFERROR(__xludf.DUMMYFUNCTION("""COMPUTED_VALUE"""),9022875.0)</f>
        <v>9022875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IFERROR(__xludf.DUMMYFUNCTION("""COMPUTED_VALUE"""),1152.2)</f>
        <v>1152.2</v>
      </c>
      <c r="C81" s="6">
        <f>IFERROR(__xludf.DUMMYFUNCTION("""COMPUTED_VALUE"""),1333.35)</f>
        <v>1333.35</v>
      </c>
      <c r="D81" s="6">
        <f>IFERROR(__xludf.DUMMYFUNCTION("""COMPUTED_VALUE"""),1141.2)</f>
        <v>1141.2</v>
      </c>
      <c r="E81" s="6">
        <f>IFERROR(__xludf.DUMMYFUNCTION("""COMPUTED_VALUE"""),1325.1)</f>
        <v>1325.1</v>
      </c>
      <c r="F81" s="6">
        <f>IFERROR(__xludf.DUMMYFUNCTION("""COMPUTED_VALUE"""),5018065.0)</f>
        <v>5018065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IFERROR(__xludf.DUMMYFUNCTION("""COMPUTED_VALUE"""),1335.0)</f>
        <v>1335</v>
      </c>
      <c r="C82" s="6">
        <f>IFERROR(__xludf.DUMMYFUNCTION("""COMPUTED_VALUE"""),1443.0)</f>
        <v>1443</v>
      </c>
      <c r="D82" s="6">
        <f>IFERROR(__xludf.DUMMYFUNCTION("""COMPUTED_VALUE"""),1335.0)</f>
        <v>1335</v>
      </c>
      <c r="E82" s="6">
        <f>IFERROR(__xludf.DUMMYFUNCTION("""COMPUTED_VALUE"""),1393.2)</f>
        <v>1393.2</v>
      </c>
      <c r="F82" s="6">
        <f>IFERROR(__xludf.DUMMYFUNCTION("""COMPUTED_VALUE"""),6263558.0)</f>
        <v>6263558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IFERROR(__xludf.DUMMYFUNCTION("""COMPUTED_VALUE"""),1398.6)</f>
        <v>1398.6</v>
      </c>
      <c r="C83" s="6">
        <f>IFERROR(__xludf.DUMMYFUNCTION("""COMPUTED_VALUE"""),1460.0)</f>
        <v>1460</v>
      </c>
      <c r="D83" s="6">
        <f>IFERROR(__xludf.DUMMYFUNCTION("""COMPUTED_VALUE"""),1373.0)</f>
        <v>1373</v>
      </c>
      <c r="E83" s="6">
        <f>IFERROR(__xludf.DUMMYFUNCTION("""COMPUTED_VALUE"""),1413.6)</f>
        <v>1413.6</v>
      </c>
      <c r="F83" s="6">
        <f>IFERROR(__xludf.DUMMYFUNCTION("""COMPUTED_VALUE"""),8521967.0)</f>
        <v>8521967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IFERROR(__xludf.DUMMYFUNCTION("""COMPUTED_VALUE"""),1398.0)</f>
        <v>1398</v>
      </c>
      <c r="C84" s="6">
        <f>IFERROR(__xludf.DUMMYFUNCTION("""COMPUTED_VALUE"""),1564.0)</f>
        <v>1564</v>
      </c>
      <c r="D84" s="6">
        <f>IFERROR(__xludf.DUMMYFUNCTION("""COMPUTED_VALUE"""),1398.0)</f>
        <v>1398</v>
      </c>
      <c r="E84" s="6">
        <f>IFERROR(__xludf.DUMMYFUNCTION("""COMPUTED_VALUE"""),1486.8)</f>
        <v>1486.8</v>
      </c>
      <c r="F84" s="6">
        <f>IFERROR(__xludf.DUMMYFUNCTION("""COMPUTED_VALUE"""),1.5648706E7)</f>
        <v>15648706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IFERROR(__xludf.DUMMYFUNCTION("""COMPUTED_VALUE"""),1500.0)</f>
        <v>1500</v>
      </c>
      <c r="C85" s="6">
        <f>IFERROR(__xludf.DUMMYFUNCTION("""COMPUTED_VALUE"""),1595.0)</f>
        <v>1595</v>
      </c>
      <c r="D85" s="6">
        <f>IFERROR(__xludf.DUMMYFUNCTION("""COMPUTED_VALUE"""),1427.8)</f>
        <v>1427.8</v>
      </c>
      <c r="E85" s="6">
        <f>IFERROR(__xludf.DUMMYFUNCTION("""COMPUTED_VALUE"""),1531.8)</f>
        <v>1531.8</v>
      </c>
      <c r="F85" s="6">
        <f>IFERROR(__xludf.DUMMYFUNCTION("""COMPUTED_VALUE"""),2.3865437E7)</f>
        <v>23865437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IFERROR(__xludf.DUMMYFUNCTION("""COMPUTED_VALUE"""),1596.8)</f>
        <v>1596.8</v>
      </c>
      <c r="C86" s="6">
        <f>IFERROR(__xludf.DUMMYFUNCTION("""COMPUTED_VALUE"""),1938.6)</f>
        <v>1938.6</v>
      </c>
      <c r="D86" s="6">
        <f>IFERROR(__xludf.DUMMYFUNCTION("""COMPUTED_VALUE"""),1527.6)</f>
        <v>1527.6</v>
      </c>
      <c r="E86" s="6">
        <f>IFERROR(__xludf.DUMMYFUNCTION("""COMPUTED_VALUE"""),1842.0)</f>
        <v>1842</v>
      </c>
      <c r="F86" s="6">
        <f>IFERROR(__xludf.DUMMYFUNCTION("""COMPUTED_VALUE"""),4.8734072E7)</f>
        <v>48734072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IFERROR(__xludf.DUMMYFUNCTION("""COMPUTED_VALUE"""),1879.0)</f>
        <v>1879</v>
      </c>
      <c r="C87" s="6">
        <f>IFERROR(__xludf.DUMMYFUNCTION("""COMPUTED_VALUE"""),1958.0)</f>
        <v>1958</v>
      </c>
      <c r="D87" s="6">
        <f>IFERROR(__xludf.DUMMYFUNCTION("""COMPUTED_VALUE"""),1748.4)</f>
        <v>1748.4</v>
      </c>
      <c r="E87" s="6">
        <f>IFERROR(__xludf.DUMMYFUNCTION("""COMPUTED_VALUE"""),1909.1)</f>
        <v>1909.1</v>
      </c>
      <c r="F87" s="6">
        <f>IFERROR(__xludf.DUMMYFUNCTION("""COMPUTED_VALUE"""),2.4481463E7)</f>
        <v>24481463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IFERROR(__xludf.DUMMYFUNCTION("""COMPUTED_VALUE"""),1910.0)</f>
        <v>1910</v>
      </c>
      <c r="C88" s="6">
        <f>IFERROR(__xludf.DUMMYFUNCTION("""COMPUTED_VALUE"""),2096.6)</f>
        <v>2096.6</v>
      </c>
      <c r="D88" s="6">
        <f>IFERROR(__xludf.DUMMYFUNCTION("""COMPUTED_VALUE"""),1842.0)</f>
        <v>1842</v>
      </c>
      <c r="E88" s="6">
        <f>IFERROR(__xludf.DUMMYFUNCTION("""COMPUTED_VALUE"""),2015.5)</f>
        <v>2015.5</v>
      </c>
      <c r="F88" s="6">
        <f>IFERROR(__xludf.DUMMYFUNCTION("""COMPUTED_VALUE"""),2.8926563E7)</f>
        <v>28926563</v>
      </c>
    </row>
    <row r="89">
      <c r="A89" s="7">
        <f>IFERROR(__xludf.DUMMYFUNCTION("""COMPUTED_VALUE"""),45814.64583333333)</f>
        <v>45814.64583</v>
      </c>
      <c r="B89" s="6">
        <f>IFERROR(__xludf.DUMMYFUNCTION("""COMPUTED_VALUE"""),2014.0)</f>
        <v>2014</v>
      </c>
      <c r="C89" s="6">
        <f>IFERROR(__xludf.DUMMYFUNCTION("""COMPUTED_VALUE"""),2057.0)</f>
        <v>2057</v>
      </c>
      <c r="D89" s="6">
        <f>IFERROR(__xludf.DUMMYFUNCTION("""COMPUTED_VALUE"""),1926.4)</f>
        <v>1926.4</v>
      </c>
      <c r="E89" s="6">
        <f>IFERROR(__xludf.DUMMYFUNCTION("""COMPUTED_VALUE"""),1933.6)</f>
        <v>1933.6</v>
      </c>
      <c r="F89" s="6">
        <f>IFERROR(__xludf.DUMMYFUNCTION("""COMPUTED_VALUE"""),1.5934139E7)</f>
        <v>15934139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IFERROR(__xludf.DUMMYFUNCTION("""COMPUTED_VALUE"""),1942.5)</f>
        <v>1942.5</v>
      </c>
      <c r="C90" s="6">
        <f>IFERROR(__xludf.DUMMYFUNCTION("""COMPUTED_VALUE"""),1991.9)</f>
        <v>1991.9</v>
      </c>
      <c r="D90" s="6">
        <f>IFERROR(__xludf.DUMMYFUNCTION("""COMPUTED_VALUE"""),1833.7)</f>
        <v>1833.7</v>
      </c>
      <c r="E90" s="6">
        <f>IFERROR(__xludf.DUMMYFUNCTION("""COMPUTED_VALUE"""),1900.0)</f>
        <v>1900</v>
      </c>
      <c r="F90" s="6">
        <f>IFERROR(__xludf.DUMMYFUNCTION("""COMPUTED_VALUE"""),1.4276431E7)</f>
        <v>14276431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IFERROR(__xludf.DUMMYFUNCTION("""COMPUTED_VALUE"""),1906.9)</f>
        <v>1906.9</v>
      </c>
      <c r="C91" s="6">
        <f>IFERROR(__xludf.DUMMYFUNCTION("""COMPUTED_VALUE"""),1952.9)</f>
        <v>1952.9</v>
      </c>
      <c r="D91" s="6">
        <f>IFERROR(__xludf.DUMMYFUNCTION("""COMPUTED_VALUE"""),1816.6)</f>
        <v>1816.6</v>
      </c>
      <c r="E91" s="6">
        <f>IFERROR(__xludf.DUMMYFUNCTION("""COMPUTED_VALUE"""),1902.0)</f>
        <v>1902</v>
      </c>
      <c r="F91" s="6">
        <f>IFERROR(__xludf.DUMMYFUNCTION("""COMPUTED_VALUE"""),1.4961274E7)</f>
        <v>14961274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IFERROR(__xludf.DUMMYFUNCTION("""COMPUTED_VALUE"""),1902.1)</f>
        <v>1902.1</v>
      </c>
      <c r="C92" s="6">
        <f>IFERROR(__xludf.DUMMYFUNCTION("""COMPUTED_VALUE"""),1952.0)</f>
        <v>1952</v>
      </c>
      <c r="D92" s="6">
        <f>IFERROR(__xludf.DUMMYFUNCTION("""COMPUTED_VALUE"""),1800.0)</f>
        <v>1800</v>
      </c>
      <c r="E92" s="6">
        <f>IFERROR(__xludf.DUMMYFUNCTION("""COMPUTED_VALUE"""),1890.1)</f>
        <v>1890.1</v>
      </c>
      <c r="F92" s="6">
        <f>IFERROR(__xludf.DUMMYFUNCTION("""COMPUTED_VALUE"""),1.5387924E7)</f>
        <v>15387924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IFERROR(__xludf.DUMMYFUNCTION("""COMPUTED_VALUE"""),1899.0)</f>
        <v>1899</v>
      </c>
      <c r="C93" s="6">
        <f>IFERROR(__xludf.DUMMYFUNCTION("""COMPUTED_VALUE"""),2013.5)</f>
        <v>2013.5</v>
      </c>
      <c r="D93" s="6">
        <f>IFERROR(__xludf.DUMMYFUNCTION("""COMPUTED_VALUE"""),1883.6)</f>
        <v>1883.6</v>
      </c>
      <c r="E93" s="6">
        <f>IFERROR(__xludf.DUMMYFUNCTION("""COMPUTED_VALUE"""),1977.6)</f>
        <v>1977.6</v>
      </c>
      <c r="F93" s="6">
        <f>IFERROR(__xludf.DUMMYFUNCTION("""COMPUTED_VALUE"""),1.6433357E7)</f>
        <v>16433357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IFERROR(__xludf.DUMMYFUNCTION("""COMPUTED_VALUE"""),1972.0)</f>
        <v>1972</v>
      </c>
      <c r="C94" s="6">
        <f>IFERROR(__xludf.DUMMYFUNCTION("""COMPUTED_VALUE"""),1998.0)</f>
        <v>1998</v>
      </c>
      <c r="D94" s="6">
        <f>IFERROR(__xludf.DUMMYFUNCTION("""COMPUTED_VALUE"""),1837.7)</f>
        <v>1837.7</v>
      </c>
      <c r="E94" s="6">
        <f>IFERROR(__xludf.DUMMYFUNCTION("""COMPUTED_VALUE"""),1856.6)</f>
        <v>1856.6</v>
      </c>
      <c r="F94" s="6">
        <f>IFERROR(__xludf.DUMMYFUNCTION("""COMPUTED_VALUE"""),1.0154201E7)</f>
        <v>10154201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IFERROR(__xludf.DUMMYFUNCTION("""COMPUTED_VALUE"""),1849.0)</f>
        <v>1849</v>
      </c>
      <c r="C95" s="6">
        <f>IFERROR(__xludf.DUMMYFUNCTION("""COMPUTED_VALUE"""),1851.3)</f>
        <v>1851.3</v>
      </c>
      <c r="D95" s="6">
        <f>IFERROR(__xludf.DUMMYFUNCTION("""COMPUTED_VALUE"""),1668.0)</f>
        <v>1668</v>
      </c>
      <c r="E95" s="6">
        <f>IFERROR(__xludf.DUMMYFUNCTION("""COMPUTED_VALUE"""),1671.6)</f>
        <v>1671.6</v>
      </c>
      <c r="F95" s="6">
        <f>IFERROR(__xludf.DUMMYFUNCTION("""COMPUTED_VALUE"""),8167477.0)</f>
        <v>8167477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IFERROR(__xludf.DUMMYFUNCTION("""COMPUTED_VALUE"""),1671.6)</f>
        <v>1671.6</v>
      </c>
      <c r="C96" s="6">
        <f>IFERROR(__xludf.DUMMYFUNCTION("""COMPUTED_VALUE"""),1735.0)</f>
        <v>1735</v>
      </c>
      <c r="D96" s="6">
        <f>IFERROR(__xludf.DUMMYFUNCTION("""COMPUTED_VALUE"""),1640.1)</f>
        <v>1640.1</v>
      </c>
      <c r="E96" s="6">
        <f>IFERROR(__xludf.DUMMYFUNCTION("""COMPUTED_VALUE"""),1657.6)</f>
        <v>1657.6</v>
      </c>
      <c r="F96" s="6">
        <f>IFERROR(__xludf.DUMMYFUNCTION("""COMPUTED_VALUE"""),7473075.0)</f>
        <v>7473075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IFERROR(__xludf.DUMMYFUNCTION("""COMPUTED_VALUE"""),1650.0)</f>
        <v>1650</v>
      </c>
      <c r="C97" s="6">
        <f>IFERROR(__xludf.DUMMYFUNCTION("""COMPUTED_VALUE"""),1667.7)</f>
        <v>1667.7</v>
      </c>
      <c r="D97" s="6">
        <f>IFERROR(__xludf.DUMMYFUNCTION("""COMPUTED_VALUE"""),1556.1)</f>
        <v>1556.1</v>
      </c>
      <c r="E97" s="6">
        <f>IFERROR(__xludf.DUMMYFUNCTION("""COMPUTED_VALUE"""),1565.2)</f>
        <v>1565.2</v>
      </c>
      <c r="F97" s="6">
        <f>IFERROR(__xludf.DUMMYFUNCTION("""COMPUTED_VALUE"""),4855612.0)</f>
        <v>4855612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IFERROR(__xludf.DUMMYFUNCTION("""COMPUTED_VALUE"""),1560.0)</f>
        <v>1560</v>
      </c>
      <c r="C98" s="6">
        <f>IFERROR(__xludf.DUMMYFUNCTION("""COMPUTED_VALUE"""),1616.8)</f>
        <v>1616.8</v>
      </c>
      <c r="D98" s="6">
        <f>IFERROR(__xludf.DUMMYFUNCTION("""COMPUTED_VALUE"""),1491.1)</f>
        <v>1491.1</v>
      </c>
      <c r="E98" s="6">
        <f>IFERROR(__xludf.DUMMYFUNCTION("""COMPUTED_VALUE"""),1498.9)</f>
        <v>1498.9</v>
      </c>
      <c r="F98" s="6">
        <f>IFERROR(__xludf.DUMMYFUNCTION("""COMPUTED_VALUE"""),6715298.0)</f>
        <v>6715298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IFERROR(__xludf.DUMMYFUNCTION("""COMPUTED_VALUE"""),1493.0)</f>
        <v>1493</v>
      </c>
      <c r="C99" s="6">
        <f>IFERROR(__xludf.DUMMYFUNCTION("""COMPUTED_VALUE"""),1613.9)</f>
        <v>1613.9</v>
      </c>
      <c r="D99" s="6">
        <f>IFERROR(__xludf.DUMMYFUNCTION("""COMPUTED_VALUE"""),1457.1)</f>
        <v>1457.1</v>
      </c>
      <c r="E99" s="6">
        <f>IFERROR(__xludf.DUMMYFUNCTION("""COMPUTED_VALUE"""),1577.8)</f>
        <v>1577.8</v>
      </c>
      <c r="F99" s="6">
        <f>IFERROR(__xludf.DUMMYFUNCTION("""COMPUTED_VALUE"""),1.1146542E7)</f>
        <v>11146542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IFERROR(__xludf.DUMMYFUNCTION("""COMPUTED_VALUE"""),1602.0)</f>
        <v>1602</v>
      </c>
      <c r="C100" s="6">
        <f>IFERROR(__xludf.DUMMYFUNCTION("""COMPUTED_VALUE"""),1629.0)</f>
        <v>1629</v>
      </c>
      <c r="D100" s="6">
        <f>IFERROR(__xludf.DUMMYFUNCTION("""COMPUTED_VALUE"""),1505.8)</f>
        <v>1505.8</v>
      </c>
      <c r="E100" s="6">
        <f>IFERROR(__xludf.DUMMYFUNCTION("""COMPUTED_VALUE"""),1517.6)</f>
        <v>1517.6</v>
      </c>
      <c r="F100" s="6">
        <f>IFERROR(__xludf.DUMMYFUNCTION("""COMPUTED_VALUE"""),8217223.0)</f>
        <v>8217223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IFERROR(__xludf.DUMMYFUNCTION("""COMPUTED_VALUE"""),1540.0)</f>
        <v>1540</v>
      </c>
      <c r="C101" s="6">
        <f>IFERROR(__xludf.DUMMYFUNCTION("""COMPUTED_VALUE"""),1542.7)</f>
        <v>1542.7</v>
      </c>
      <c r="D101" s="6">
        <f>IFERROR(__xludf.DUMMYFUNCTION("""COMPUTED_VALUE"""),1461.3)</f>
        <v>1461.3</v>
      </c>
      <c r="E101" s="6">
        <f>IFERROR(__xludf.DUMMYFUNCTION("""COMPUTED_VALUE"""),1477.6)</f>
        <v>1477.6</v>
      </c>
      <c r="F101" s="6">
        <f>IFERROR(__xludf.DUMMYFUNCTION("""COMPUTED_VALUE"""),2.9671812E7)</f>
        <v>29671812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IFERROR(__xludf.DUMMYFUNCTION("GOOGLEFINANCE(""NSE:BEL"",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IFERROR(__xludf.DUMMYFUNCTION("""COMPUTED_VALUE"""),136.1)</f>
        <v>136.1</v>
      </c>
      <c r="C2" s="6">
        <f>IFERROR(__xludf.DUMMYFUNCTION("""COMPUTED_VALUE"""),138.4)</f>
        <v>138.4</v>
      </c>
      <c r="D2" s="6">
        <f>IFERROR(__xludf.DUMMYFUNCTION("""COMPUTED_VALUE"""),132.2)</f>
        <v>132.2</v>
      </c>
      <c r="E2" s="6">
        <f>IFERROR(__xludf.DUMMYFUNCTION("""COMPUTED_VALUE"""),137.85)</f>
        <v>137.85</v>
      </c>
      <c r="F2" s="6">
        <f>IFERROR(__xludf.DUMMYFUNCTION("""COMPUTED_VALUE"""),7.5390487E7)</f>
        <v>75390487</v>
      </c>
    </row>
    <row r="3">
      <c r="A3" s="7">
        <f>IFERROR(__xludf.DUMMYFUNCTION("""COMPUTED_VALUE"""),45177.64583333333)</f>
        <v>45177.64583</v>
      </c>
      <c r="B3" s="6">
        <f>IFERROR(__xludf.DUMMYFUNCTION("""COMPUTED_VALUE"""),139.5)</f>
        <v>139.5</v>
      </c>
      <c r="C3" s="6">
        <f>IFERROR(__xludf.DUMMYFUNCTION("""COMPUTED_VALUE"""),144.3)</f>
        <v>144.3</v>
      </c>
      <c r="D3" s="6">
        <f>IFERROR(__xludf.DUMMYFUNCTION("""COMPUTED_VALUE"""),137.6)</f>
        <v>137.6</v>
      </c>
      <c r="E3" s="6">
        <f>IFERROR(__xludf.DUMMYFUNCTION("""COMPUTED_VALUE"""),143.3)</f>
        <v>143.3</v>
      </c>
      <c r="F3" s="6">
        <f>IFERROR(__xludf.DUMMYFUNCTION("""COMPUTED_VALUE"""),8.5126995E7)</f>
        <v>85126995</v>
      </c>
    </row>
    <row r="4">
      <c r="A4" s="7">
        <f>IFERROR(__xludf.DUMMYFUNCTION("""COMPUTED_VALUE"""),45184.64583333333)</f>
        <v>45184.64583</v>
      </c>
      <c r="B4" s="6">
        <f>IFERROR(__xludf.DUMMYFUNCTION("""COMPUTED_VALUE"""),144.35)</f>
        <v>144.35</v>
      </c>
      <c r="C4" s="6">
        <f>IFERROR(__xludf.DUMMYFUNCTION("""COMPUTED_VALUE"""),147.15)</f>
        <v>147.15</v>
      </c>
      <c r="D4" s="6">
        <f>IFERROR(__xludf.DUMMYFUNCTION("""COMPUTED_VALUE"""),133.3)</f>
        <v>133.3</v>
      </c>
      <c r="E4" s="6">
        <f>IFERROR(__xludf.DUMMYFUNCTION("""COMPUTED_VALUE"""),135.7)</f>
        <v>135.7</v>
      </c>
      <c r="F4" s="6">
        <f>IFERROR(__xludf.DUMMYFUNCTION("""COMPUTED_VALUE"""),1.1078577E8)</f>
        <v>110785770</v>
      </c>
    </row>
    <row r="5">
      <c r="A5" s="7">
        <f>IFERROR(__xludf.DUMMYFUNCTION("""COMPUTED_VALUE"""),45191.64583333333)</f>
        <v>45191.64583</v>
      </c>
      <c r="B5" s="6">
        <f>IFERROR(__xludf.DUMMYFUNCTION("""COMPUTED_VALUE"""),145.0)</f>
        <v>145</v>
      </c>
      <c r="C5" s="6">
        <f>IFERROR(__xludf.DUMMYFUNCTION("""COMPUTED_VALUE"""),145.0)</f>
        <v>145</v>
      </c>
      <c r="D5" s="6">
        <f>IFERROR(__xludf.DUMMYFUNCTION("""COMPUTED_VALUE"""),134.05)</f>
        <v>134.05</v>
      </c>
      <c r="E5" s="6">
        <f>IFERROR(__xludf.DUMMYFUNCTION("""COMPUTED_VALUE"""),136.05)</f>
        <v>136.05</v>
      </c>
      <c r="F5" s="6">
        <f>IFERROR(__xludf.DUMMYFUNCTION("""COMPUTED_VALUE"""),9.3077291E7)</f>
        <v>93077291</v>
      </c>
    </row>
    <row r="6">
      <c r="A6" s="7">
        <f>IFERROR(__xludf.DUMMYFUNCTION("""COMPUTED_VALUE"""),45198.64583333333)</f>
        <v>45198.64583</v>
      </c>
      <c r="B6" s="6">
        <f>IFERROR(__xludf.DUMMYFUNCTION("""COMPUTED_VALUE"""),136.3)</f>
        <v>136.3</v>
      </c>
      <c r="C6" s="6">
        <f>IFERROR(__xludf.DUMMYFUNCTION("""COMPUTED_VALUE"""),138.65)</f>
        <v>138.65</v>
      </c>
      <c r="D6" s="6">
        <f>IFERROR(__xludf.DUMMYFUNCTION("""COMPUTED_VALUE"""),133.6)</f>
        <v>133.6</v>
      </c>
      <c r="E6" s="6">
        <f>IFERROR(__xludf.DUMMYFUNCTION("""COMPUTED_VALUE"""),138.3)</f>
        <v>138.3</v>
      </c>
      <c r="F6" s="6">
        <f>IFERROR(__xludf.DUMMYFUNCTION("""COMPUTED_VALUE"""),6.6530883E7)</f>
        <v>66530883</v>
      </c>
    </row>
    <row r="7">
      <c r="A7" s="7">
        <f>IFERROR(__xludf.DUMMYFUNCTION("""COMPUTED_VALUE"""),45205.64583333333)</f>
        <v>45205.64583</v>
      </c>
      <c r="B7" s="6">
        <f>IFERROR(__xludf.DUMMYFUNCTION("""COMPUTED_VALUE"""),137.9)</f>
        <v>137.9</v>
      </c>
      <c r="C7" s="6">
        <f>IFERROR(__xludf.DUMMYFUNCTION("""COMPUTED_VALUE"""),141.35)</f>
        <v>141.35</v>
      </c>
      <c r="D7" s="6">
        <f>IFERROR(__xludf.DUMMYFUNCTION("""COMPUTED_VALUE"""),136.55)</f>
        <v>136.55</v>
      </c>
      <c r="E7" s="6">
        <f>IFERROR(__xludf.DUMMYFUNCTION("""COMPUTED_VALUE"""),139.0)</f>
        <v>139</v>
      </c>
      <c r="F7" s="6">
        <f>IFERROR(__xludf.DUMMYFUNCTION("""COMPUTED_VALUE"""),5.4906942E7)</f>
        <v>54906942</v>
      </c>
    </row>
    <row r="8">
      <c r="A8" s="7">
        <f>IFERROR(__xludf.DUMMYFUNCTION("""COMPUTED_VALUE"""),45212.64583333333)</f>
        <v>45212.64583</v>
      </c>
      <c r="B8" s="6">
        <f>IFERROR(__xludf.DUMMYFUNCTION("""COMPUTED_VALUE"""),136.2)</f>
        <v>136.2</v>
      </c>
      <c r="C8" s="6">
        <f>IFERROR(__xludf.DUMMYFUNCTION("""COMPUTED_VALUE"""),141.0)</f>
        <v>141</v>
      </c>
      <c r="D8" s="6">
        <f>IFERROR(__xludf.DUMMYFUNCTION("""COMPUTED_VALUE"""),135.05)</f>
        <v>135.05</v>
      </c>
      <c r="E8" s="6">
        <f>IFERROR(__xludf.DUMMYFUNCTION("""COMPUTED_VALUE"""),137.45)</f>
        <v>137.45</v>
      </c>
      <c r="F8" s="6">
        <f>IFERROR(__xludf.DUMMYFUNCTION("""COMPUTED_VALUE"""),5.2732556E7)</f>
        <v>52732556</v>
      </c>
    </row>
    <row r="9">
      <c r="A9" s="7">
        <f>IFERROR(__xludf.DUMMYFUNCTION("""COMPUTED_VALUE"""),45219.64583333333)</f>
        <v>45219.64583</v>
      </c>
      <c r="B9" s="6">
        <f>IFERROR(__xludf.DUMMYFUNCTION("""COMPUTED_VALUE"""),137.0)</f>
        <v>137</v>
      </c>
      <c r="C9" s="6">
        <f>IFERROR(__xludf.DUMMYFUNCTION("""COMPUTED_VALUE"""),138.95)</f>
        <v>138.95</v>
      </c>
      <c r="D9" s="6">
        <f>IFERROR(__xludf.DUMMYFUNCTION("""COMPUTED_VALUE"""),133.5)</f>
        <v>133.5</v>
      </c>
      <c r="E9" s="6">
        <f>IFERROR(__xludf.DUMMYFUNCTION("""COMPUTED_VALUE"""),134.2)</f>
        <v>134.2</v>
      </c>
      <c r="F9" s="6">
        <f>IFERROR(__xludf.DUMMYFUNCTION("""COMPUTED_VALUE"""),3.7426555E7)</f>
        <v>37426555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IFERROR(__xludf.DUMMYFUNCTION("""COMPUTED_VALUE"""),134.3)</f>
        <v>134.3</v>
      </c>
      <c r="C10" s="6">
        <f>IFERROR(__xludf.DUMMYFUNCTION("""COMPUTED_VALUE"""),135.9)</f>
        <v>135.9</v>
      </c>
      <c r="D10" s="6">
        <f>IFERROR(__xludf.DUMMYFUNCTION("""COMPUTED_VALUE"""),127.0)</f>
        <v>127</v>
      </c>
      <c r="E10" s="6">
        <f>IFERROR(__xludf.DUMMYFUNCTION("""COMPUTED_VALUE"""),132.2)</f>
        <v>132.2</v>
      </c>
      <c r="F10" s="6">
        <f>IFERROR(__xludf.DUMMYFUNCTION("""COMPUTED_VALUE"""),5.6489269E7)</f>
        <v>56489269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IFERROR(__xludf.DUMMYFUNCTION("""COMPUTED_VALUE"""),133.5)</f>
        <v>133.5</v>
      </c>
      <c r="C11" s="6">
        <f>IFERROR(__xludf.DUMMYFUNCTION("""COMPUTED_VALUE"""),137.0)</f>
        <v>137</v>
      </c>
      <c r="D11" s="6">
        <f>IFERROR(__xludf.DUMMYFUNCTION("""COMPUTED_VALUE"""),130.75)</f>
        <v>130.75</v>
      </c>
      <c r="E11" s="6">
        <f>IFERROR(__xludf.DUMMYFUNCTION("""COMPUTED_VALUE"""),135.95)</f>
        <v>135.95</v>
      </c>
      <c r="F11" s="6">
        <f>IFERROR(__xludf.DUMMYFUNCTION("""COMPUTED_VALUE"""),4.1622792E7)</f>
        <v>41622792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IFERROR(__xludf.DUMMYFUNCTION("""COMPUTED_VALUE"""),136.95)</f>
        <v>136.95</v>
      </c>
      <c r="C12" s="6">
        <f>IFERROR(__xludf.DUMMYFUNCTION("""COMPUTED_VALUE"""),141.15)</f>
        <v>141.15</v>
      </c>
      <c r="D12" s="6">
        <f>IFERROR(__xludf.DUMMYFUNCTION("""COMPUTED_VALUE"""),136.0)</f>
        <v>136</v>
      </c>
      <c r="E12" s="6">
        <f>IFERROR(__xludf.DUMMYFUNCTION("""COMPUTED_VALUE"""),138.8)</f>
        <v>138.8</v>
      </c>
      <c r="F12" s="6">
        <f>IFERROR(__xludf.DUMMYFUNCTION("""COMPUTED_VALUE"""),3.6675981E7)</f>
        <v>36675981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IFERROR(__xludf.DUMMYFUNCTION("""COMPUTED_VALUE"""),139.95)</f>
        <v>139.95</v>
      </c>
      <c r="C13" s="6">
        <f>IFERROR(__xludf.DUMMYFUNCTION("""COMPUTED_VALUE"""),146.5)</f>
        <v>146.5</v>
      </c>
      <c r="D13" s="6">
        <f>IFERROR(__xludf.DUMMYFUNCTION("""COMPUTED_VALUE"""),139.05)</f>
        <v>139.05</v>
      </c>
      <c r="E13" s="6">
        <f>IFERROR(__xludf.DUMMYFUNCTION("""COMPUTED_VALUE"""),146.1)</f>
        <v>146.1</v>
      </c>
      <c r="F13" s="6">
        <f>IFERROR(__xludf.DUMMYFUNCTION("""COMPUTED_VALUE"""),5.7997482E7)</f>
        <v>57997482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IFERROR(__xludf.DUMMYFUNCTION("""COMPUTED_VALUE"""),146.4)</f>
        <v>146.4</v>
      </c>
      <c r="C14" s="6">
        <f>IFERROR(__xludf.DUMMYFUNCTION("""COMPUTED_VALUE"""),146.75)</f>
        <v>146.75</v>
      </c>
      <c r="D14" s="6">
        <f>IFERROR(__xludf.DUMMYFUNCTION("""COMPUTED_VALUE"""),137.35)</f>
        <v>137.35</v>
      </c>
      <c r="E14" s="6">
        <f>IFERROR(__xludf.DUMMYFUNCTION("""COMPUTED_VALUE"""),140.35)</f>
        <v>140.35</v>
      </c>
      <c r="F14" s="6">
        <f>IFERROR(__xludf.DUMMYFUNCTION("""COMPUTED_VALUE"""),5.7912508E7)</f>
        <v>57912508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IFERROR(__xludf.DUMMYFUNCTION("""COMPUTED_VALUE"""),141.65)</f>
        <v>141.65</v>
      </c>
      <c r="C15" s="6">
        <f>IFERROR(__xludf.DUMMYFUNCTION("""COMPUTED_VALUE"""),150.3)</f>
        <v>150.3</v>
      </c>
      <c r="D15" s="6">
        <f>IFERROR(__xludf.DUMMYFUNCTION("""COMPUTED_VALUE"""),140.4)</f>
        <v>140.4</v>
      </c>
      <c r="E15" s="6">
        <f>IFERROR(__xludf.DUMMYFUNCTION("""COMPUTED_VALUE"""),147.45)</f>
        <v>147.45</v>
      </c>
      <c r="F15" s="6">
        <f>IFERROR(__xludf.DUMMYFUNCTION("""COMPUTED_VALUE"""),8.5334582E7)</f>
        <v>85334582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IFERROR(__xludf.DUMMYFUNCTION("""COMPUTED_VALUE"""),152.0)</f>
        <v>152</v>
      </c>
      <c r="C16" s="6">
        <f>IFERROR(__xludf.DUMMYFUNCTION("""COMPUTED_VALUE"""),162.35)</f>
        <v>162.35</v>
      </c>
      <c r="D16" s="6">
        <f>IFERROR(__xludf.DUMMYFUNCTION("""COMPUTED_VALUE"""),149.95)</f>
        <v>149.95</v>
      </c>
      <c r="E16" s="6">
        <f>IFERROR(__xludf.DUMMYFUNCTION("""COMPUTED_VALUE"""),158.75)</f>
        <v>158.75</v>
      </c>
      <c r="F16" s="6">
        <f>IFERROR(__xludf.DUMMYFUNCTION("""COMPUTED_VALUE"""),1.81430801E8)</f>
        <v>181430801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IFERROR(__xludf.DUMMYFUNCTION("""COMPUTED_VALUE"""),159.8)</f>
        <v>159.8</v>
      </c>
      <c r="C17" s="6">
        <f>IFERROR(__xludf.DUMMYFUNCTION("""COMPUTED_VALUE"""),170.2)</f>
        <v>170.2</v>
      </c>
      <c r="D17" s="6">
        <f>IFERROR(__xludf.DUMMYFUNCTION("""COMPUTED_VALUE"""),159.15)</f>
        <v>159.15</v>
      </c>
      <c r="E17" s="6">
        <f>IFERROR(__xludf.DUMMYFUNCTION("""COMPUTED_VALUE"""),169.05)</f>
        <v>169.05</v>
      </c>
      <c r="F17" s="6">
        <f>IFERROR(__xludf.DUMMYFUNCTION("""COMPUTED_VALUE"""),1.09706652E8)</f>
        <v>109706652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IFERROR(__xludf.DUMMYFUNCTION("""COMPUTED_VALUE"""),171.75)</f>
        <v>171.75</v>
      </c>
      <c r="C18" s="6">
        <f>IFERROR(__xludf.DUMMYFUNCTION("""COMPUTED_VALUE"""),176.3)</f>
        <v>176.3</v>
      </c>
      <c r="D18" s="6">
        <f>IFERROR(__xludf.DUMMYFUNCTION("""COMPUTED_VALUE"""),164.05)</f>
        <v>164.05</v>
      </c>
      <c r="E18" s="6">
        <f>IFERROR(__xludf.DUMMYFUNCTION("""COMPUTED_VALUE"""),174.8)</f>
        <v>174.8</v>
      </c>
      <c r="F18" s="6">
        <f>IFERROR(__xludf.DUMMYFUNCTION("""COMPUTED_VALUE"""),1.17431446E8)</f>
        <v>117431446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IFERROR(__xludf.DUMMYFUNCTION("""COMPUTED_VALUE"""),178.0)</f>
        <v>178</v>
      </c>
      <c r="C19" s="6">
        <f>IFERROR(__xludf.DUMMYFUNCTION("""COMPUTED_VALUE"""),185.2)</f>
        <v>185.2</v>
      </c>
      <c r="D19" s="6">
        <f>IFERROR(__xludf.DUMMYFUNCTION("""COMPUTED_VALUE"""),178.0)</f>
        <v>178</v>
      </c>
      <c r="E19" s="6">
        <f>IFERROR(__xludf.DUMMYFUNCTION("""COMPUTED_VALUE"""),184.2)</f>
        <v>184.2</v>
      </c>
      <c r="F19" s="6">
        <f>IFERROR(__xludf.DUMMYFUNCTION("""COMPUTED_VALUE"""),1.18701266E8)</f>
        <v>118701266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IFERROR(__xludf.DUMMYFUNCTION("""COMPUTED_VALUE"""),184.8)</f>
        <v>184.8</v>
      </c>
      <c r="C20" s="6">
        <f>IFERROR(__xludf.DUMMYFUNCTION("""COMPUTED_VALUE"""),188.65)</f>
        <v>188.65</v>
      </c>
      <c r="D20" s="6">
        <f>IFERROR(__xludf.DUMMYFUNCTION("""COMPUTED_VALUE"""),179.75)</f>
        <v>179.75</v>
      </c>
      <c r="E20" s="6">
        <f>IFERROR(__xludf.DUMMYFUNCTION("""COMPUTED_VALUE"""),185.95)</f>
        <v>185.95</v>
      </c>
      <c r="F20" s="6">
        <f>IFERROR(__xludf.DUMMYFUNCTION("""COMPUTED_VALUE"""),1.06965502E8)</f>
        <v>106965502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IFERROR(__xludf.DUMMYFUNCTION("""COMPUTED_VALUE"""),186.75)</f>
        <v>186.75</v>
      </c>
      <c r="C21" s="6">
        <f>IFERROR(__xludf.DUMMYFUNCTION("""COMPUTED_VALUE"""),187.65)</f>
        <v>187.65</v>
      </c>
      <c r="D21" s="6">
        <f>IFERROR(__xludf.DUMMYFUNCTION("""COMPUTED_VALUE"""),182.05)</f>
        <v>182.05</v>
      </c>
      <c r="E21" s="6">
        <f>IFERROR(__xludf.DUMMYFUNCTION("""COMPUTED_VALUE"""),183.5)</f>
        <v>183.5</v>
      </c>
      <c r="F21" s="6">
        <f>IFERROR(__xludf.DUMMYFUNCTION("""COMPUTED_VALUE"""),5.152049E7)</f>
        <v>51520490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IFERROR(__xludf.DUMMYFUNCTION("""COMPUTED_VALUE"""),195.25)</f>
        <v>195.25</v>
      </c>
      <c r="C22" s="6">
        <f>IFERROR(__xludf.DUMMYFUNCTION("""COMPUTED_VALUE"""),195.5)</f>
        <v>195.5</v>
      </c>
      <c r="D22" s="6">
        <f>IFERROR(__xludf.DUMMYFUNCTION("""COMPUTED_VALUE"""),184.0)</f>
        <v>184</v>
      </c>
      <c r="E22" s="6">
        <f>IFERROR(__xludf.DUMMYFUNCTION("""COMPUTED_VALUE"""),189.7)</f>
        <v>189.7</v>
      </c>
      <c r="F22" s="6">
        <f>IFERROR(__xludf.DUMMYFUNCTION("""COMPUTED_VALUE"""),5.3964136E7)</f>
        <v>53964136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IFERROR(__xludf.DUMMYFUNCTION("""COMPUTED_VALUE"""),190.0)</f>
        <v>190</v>
      </c>
      <c r="C23" s="6">
        <f>IFERROR(__xludf.DUMMYFUNCTION("""COMPUTED_VALUE"""),193.7)</f>
        <v>193.7</v>
      </c>
      <c r="D23" s="6">
        <f>IFERROR(__xludf.DUMMYFUNCTION("""COMPUTED_VALUE"""),181.55)</f>
        <v>181.55</v>
      </c>
      <c r="E23" s="6">
        <f>IFERROR(__xludf.DUMMYFUNCTION("""COMPUTED_VALUE"""),184.6)</f>
        <v>184.6</v>
      </c>
      <c r="F23" s="6">
        <f>IFERROR(__xludf.DUMMYFUNCTION("""COMPUTED_VALUE"""),1.29116578E8)</f>
        <v>129116578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IFERROR(__xludf.DUMMYFUNCTION("""COMPUTED_VALUE"""),187.0)</f>
        <v>187</v>
      </c>
      <c r="C24" s="6">
        <f>IFERROR(__xludf.DUMMYFUNCTION("""COMPUTED_VALUE"""),187.1)</f>
        <v>187.1</v>
      </c>
      <c r="D24" s="6">
        <f>IFERROR(__xludf.DUMMYFUNCTION("""COMPUTED_VALUE"""),176.5)</f>
        <v>176.5</v>
      </c>
      <c r="E24" s="6">
        <f>IFERROR(__xludf.DUMMYFUNCTION("""COMPUTED_VALUE"""),180.65)</f>
        <v>180.65</v>
      </c>
      <c r="F24" s="6">
        <f>IFERROR(__xludf.DUMMYFUNCTION("""COMPUTED_VALUE"""),1.00382721E8)</f>
        <v>100382721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IFERROR(__xludf.DUMMYFUNCTION("""COMPUTED_VALUE"""),181.25)</f>
        <v>181.25</v>
      </c>
      <c r="C25" s="6">
        <f>IFERROR(__xludf.DUMMYFUNCTION("""COMPUTED_VALUE"""),190.4)</f>
        <v>190.4</v>
      </c>
      <c r="D25" s="6">
        <f>IFERROR(__xludf.DUMMYFUNCTION("""COMPUTED_VALUE"""),171.75)</f>
        <v>171.75</v>
      </c>
      <c r="E25" s="6">
        <f>IFERROR(__xludf.DUMMYFUNCTION("""COMPUTED_VALUE"""),188.3)</f>
        <v>188.3</v>
      </c>
      <c r="F25" s="6">
        <f>IFERROR(__xludf.DUMMYFUNCTION("""COMPUTED_VALUE"""),1.04230565E8)</f>
        <v>104230565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IFERROR(__xludf.DUMMYFUNCTION("""COMPUTED_VALUE"""),189.95)</f>
        <v>189.95</v>
      </c>
      <c r="C26" s="6">
        <f>IFERROR(__xludf.DUMMYFUNCTION("""COMPUTED_VALUE"""),207.0)</f>
        <v>207</v>
      </c>
      <c r="D26" s="6">
        <f>IFERROR(__xludf.DUMMYFUNCTION("""COMPUTED_VALUE"""),186.25)</f>
        <v>186.25</v>
      </c>
      <c r="E26" s="6">
        <f>IFERROR(__xludf.DUMMYFUNCTION("""COMPUTED_VALUE"""),205.3)</f>
        <v>205.3</v>
      </c>
      <c r="F26" s="6">
        <f>IFERROR(__xludf.DUMMYFUNCTION("""COMPUTED_VALUE"""),1.69195636E8)</f>
        <v>169195636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IFERROR(__xludf.DUMMYFUNCTION("""COMPUTED_VALUE"""),207.95)</f>
        <v>207.95</v>
      </c>
      <c r="C27" s="6">
        <f>IFERROR(__xludf.DUMMYFUNCTION("""COMPUTED_VALUE"""),216.8)</f>
        <v>216.8</v>
      </c>
      <c r="D27" s="6">
        <f>IFERROR(__xludf.DUMMYFUNCTION("""COMPUTED_VALUE"""),205.6)</f>
        <v>205.6</v>
      </c>
      <c r="E27" s="6">
        <f>IFERROR(__xludf.DUMMYFUNCTION("""COMPUTED_VALUE"""),215.2)</f>
        <v>215.2</v>
      </c>
      <c r="F27" s="6">
        <f>IFERROR(__xludf.DUMMYFUNCTION("""COMPUTED_VALUE"""),1.26957838E8)</f>
        <v>126957838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IFERROR(__xludf.DUMMYFUNCTION("""COMPUTED_VALUE"""),216.45)</f>
        <v>216.45</v>
      </c>
      <c r="C28" s="6">
        <f>IFERROR(__xludf.DUMMYFUNCTION("""COMPUTED_VALUE"""),216.45)</f>
        <v>216.45</v>
      </c>
      <c r="D28" s="6">
        <f>IFERROR(__xludf.DUMMYFUNCTION("""COMPUTED_VALUE"""),179.1)</f>
        <v>179.1</v>
      </c>
      <c r="E28" s="6">
        <f>IFERROR(__xludf.DUMMYFUNCTION("""COMPUTED_VALUE"""),188.85)</f>
        <v>188.85</v>
      </c>
      <c r="F28" s="6">
        <f>IFERROR(__xludf.DUMMYFUNCTION("""COMPUTED_VALUE"""),2.225453E8)</f>
        <v>222545300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IFERROR(__xludf.DUMMYFUNCTION("""COMPUTED_VALUE"""),190.0)</f>
        <v>190</v>
      </c>
      <c r="C29" s="6">
        <f>IFERROR(__xludf.DUMMYFUNCTION("""COMPUTED_VALUE"""),198.95)</f>
        <v>198.95</v>
      </c>
      <c r="D29" s="6">
        <f>IFERROR(__xludf.DUMMYFUNCTION("""COMPUTED_VALUE"""),182.5)</f>
        <v>182.5</v>
      </c>
      <c r="E29" s="6">
        <f>IFERROR(__xludf.DUMMYFUNCTION("""COMPUTED_VALUE"""),197.5)</f>
        <v>197.5</v>
      </c>
      <c r="F29" s="6">
        <f>IFERROR(__xludf.DUMMYFUNCTION("""COMPUTED_VALUE"""),1.41528847E8)</f>
        <v>141528847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IFERROR(__xludf.DUMMYFUNCTION("""COMPUTED_VALUE"""),197.0)</f>
        <v>197</v>
      </c>
      <c r="C30" s="6">
        <f>IFERROR(__xludf.DUMMYFUNCTION("""COMPUTED_VALUE"""),203.95)</f>
        <v>203.95</v>
      </c>
      <c r="D30" s="6">
        <f>IFERROR(__xludf.DUMMYFUNCTION("""COMPUTED_VALUE"""),195.95)</f>
        <v>195.95</v>
      </c>
      <c r="E30" s="6">
        <f>IFERROR(__xludf.DUMMYFUNCTION("""COMPUTED_VALUE"""),201.5)</f>
        <v>201.5</v>
      </c>
      <c r="F30" s="6">
        <f>IFERROR(__xludf.DUMMYFUNCTION("""COMPUTED_VALUE"""),8.0966086E7)</f>
        <v>80966086</v>
      </c>
    </row>
    <row r="31">
      <c r="A31" s="7">
        <f>IFERROR(__xludf.DUMMYFUNCTION("""COMPUTED_VALUE"""),45387.64583333333)</f>
        <v>45387.64583</v>
      </c>
      <c r="B31" s="6">
        <f>IFERROR(__xludf.DUMMYFUNCTION("""COMPUTED_VALUE"""),205.0)</f>
        <v>205</v>
      </c>
      <c r="C31" s="6">
        <f>IFERROR(__xludf.DUMMYFUNCTION("""COMPUTED_VALUE"""),226.0)</f>
        <v>226</v>
      </c>
      <c r="D31" s="6">
        <f>IFERROR(__xludf.DUMMYFUNCTION("""COMPUTED_VALUE"""),203.75)</f>
        <v>203.75</v>
      </c>
      <c r="E31" s="6">
        <f>IFERROR(__xludf.DUMMYFUNCTION("""COMPUTED_VALUE"""),224.5)</f>
        <v>224.5</v>
      </c>
      <c r="F31" s="6">
        <f>IFERROR(__xludf.DUMMYFUNCTION("""COMPUTED_VALUE"""),2.31017472E8)</f>
        <v>231017472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IFERROR(__xludf.DUMMYFUNCTION("""COMPUTED_VALUE"""),225.55)</f>
        <v>225.55</v>
      </c>
      <c r="C32" s="6">
        <f>IFERROR(__xludf.DUMMYFUNCTION("""COMPUTED_VALUE"""),235.4)</f>
        <v>235.4</v>
      </c>
      <c r="D32" s="6">
        <f>IFERROR(__xludf.DUMMYFUNCTION("""COMPUTED_VALUE"""),221.2)</f>
        <v>221.2</v>
      </c>
      <c r="E32" s="6">
        <f>IFERROR(__xludf.DUMMYFUNCTION("""COMPUTED_VALUE"""),233.5)</f>
        <v>233.5</v>
      </c>
      <c r="F32" s="6">
        <f>IFERROR(__xludf.DUMMYFUNCTION("""COMPUTED_VALUE"""),1.39863794E8)</f>
        <v>139863794</v>
      </c>
    </row>
    <row r="33">
      <c r="A33" s="7">
        <f>IFERROR(__xludf.DUMMYFUNCTION("""COMPUTED_VALUE"""),45401.64583333333)</f>
        <v>45401.64583</v>
      </c>
      <c r="B33" s="6">
        <f>IFERROR(__xludf.DUMMYFUNCTION("""COMPUTED_VALUE"""),230.0)</f>
        <v>230</v>
      </c>
      <c r="C33" s="6">
        <f>IFERROR(__xludf.DUMMYFUNCTION("""COMPUTED_VALUE"""),238.0)</f>
        <v>238</v>
      </c>
      <c r="D33" s="6">
        <f>IFERROR(__xludf.DUMMYFUNCTION("""COMPUTED_VALUE"""),225.7)</f>
        <v>225.7</v>
      </c>
      <c r="E33" s="6">
        <f>IFERROR(__xludf.DUMMYFUNCTION("""COMPUTED_VALUE"""),233.3)</f>
        <v>233.3</v>
      </c>
      <c r="F33" s="6">
        <f>IFERROR(__xludf.DUMMYFUNCTION("""COMPUTED_VALUE"""),1.30035293E8)</f>
        <v>130035293</v>
      </c>
    </row>
    <row r="34">
      <c r="A34" s="7">
        <f>IFERROR(__xludf.DUMMYFUNCTION("""COMPUTED_VALUE"""),45408.64583333333)</f>
        <v>45408.64583</v>
      </c>
      <c r="B34" s="6">
        <f>IFERROR(__xludf.DUMMYFUNCTION("""COMPUTED_VALUE"""),236.0)</f>
        <v>236</v>
      </c>
      <c r="C34" s="6">
        <f>IFERROR(__xludf.DUMMYFUNCTION("""COMPUTED_VALUE"""),241.65)</f>
        <v>241.65</v>
      </c>
      <c r="D34" s="6">
        <f>IFERROR(__xludf.DUMMYFUNCTION("""COMPUTED_VALUE"""),231.75)</f>
        <v>231.75</v>
      </c>
      <c r="E34" s="6">
        <f>IFERROR(__xludf.DUMMYFUNCTION("""COMPUTED_VALUE"""),238.95)</f>
        <v>238.95</v>
      </c>
      <c r="F34" s="6">
        <f>IFERROR(__xludf.DUMMYFUNCTION("""COMPUTED_VALUE"""),1.06815752E8)</f>
        <v>106815752</v>
      </c>
    </row>
    <row r="35">
      <c r="A35" s="7">
        <f>IFERROR(__xludf.DUMMYFUNCTION("""COMPUTED_VALUE"""),45415.64583333333)</f>
        <v>45415.64583</v>
      </c>
      <c r="B35" s="6">
        <f>IFERROR(__xludf.DUMMYFUNCTION("""COMPUTED_VALUE"""),240.15)</f>
        <v>240.15</v>
      </c>
      <c r="C35" s="6">
        <f>IFERROR(__xludf.DUMMYFUNCTION("""COMPUTED_VALUE"""),240.2)</f>
        <v>240.2</v>
      </c>
      <c r="D35" s="6">
        <f>IFERROR(__xludf.DUMMYFUNCTION("""COMPUTED_VALUE"""),230.75)</f>
        <v>230.75</v>
      </c>
      <c r="E35" s="6">
        <f>IFERROR(__xludf.DUMMYFUNCTION("""COMPUTED_VALUE"""),234.1)</f>
        <v>234.1</v>
      </c>
      <c r="F35" s="6">
        <f>IFERROR(__xludf.DUMMYFUNCTION("""COMPUTED_VALUE"""),6.9344553E7)</f>
        <v>69344553</v>
      </c>
    </row>
    <row r="36">
      <c r="A36" s="7">
        <f>IFERROR(__xludf.DUMMYFUNCTION("""COMPUTED_VALUE"""),45422.64583333333)</f>
        <v>45422.64583</v>
      </c>
      <c r="B36" s="6">
        <f>IFERROR(__xludf.DUMMYFUNCTION("""COMPUTED_VALUE"""),235.1)</f>
        <v>235.1</v>
      </c>
      <c r="C36" s="6">
        <f>IFERROR(__xludf.DUMMYFUNCTION("""COMPUTED_VALUE"""),238.2)</f>
        <v>238.2</v>
      </c>
      <c r="D36" s="6">
        <f>IFERROR(__xludf.DUMMYFUNCTION("""COMPUTED_VALUE"""),223.15)</f>
        <v>223.15</v>
      </c>
      <c r="E36" s="6">
        <f>IFERROR(__xludf.DUMMYFUNCTION("""COMPUTED_VALUE"""),227.1)</f>
        <v>227.1</v>
      </c>
      <c r="F36" s="6">
        <f>IFERROR(__xludf.DUMMYFUNCTION("""COMPUTED_VALUE"""),1.31501767E8)</f>
        <v>131501767</v>
      </c>
    </row>
    <row r="37">
      <c r="A37" s="7">
        <f>IFERROR(__xludf.DUMMYFUNCTION("""COMPUTED_VALUE"""),45436.64583333333)</f>
        <v>45436.64583</v>
      </c>
      <c r="B37" s="6">
        <f>IFERROR(__xludf.DUMMYFUNCTION("""COMPUTED_VALUE"""),283.0)</f>
        <v>283</v>
      </c>
      <c r="C37" s="6">
        <f>IFERROR(__xludf.DUMMYFUNCTION("""COMPUTED_VALUE"""),299.9)</f>
        <v>299.9</v>
      </c>
      <c r="D37" s="6">
        <f>IFERROR(__xludf.DUMMYFUNCTION("""COMPUTED_VALUE"""),264.3)</f>
        <v>264.3</v>
      </c>
      <c r="E37" s="6">
        <f>IFERROR(__xludf.DUMMYFUNCTION("""COMPUTED_VALUE"""),297.2)</f>
        <v>297.2</v>
      </c>
      <c r="F37" s="6">
        <f>IFERROR(__xludf.DUMMYFUNCTION("""COMPUTED_VALUE"""),3.47077354E8)</f>
        <v>347077354</v>
      </c>
    </row>
    <row r="38">
      <c r="A38" s="7">
        <f>IFERROR(__xludf.DUMMYFUNCTION("""COMPUTED_VALUE"""),45443.64583333333)</f>
        <v>45443.64583</v>
      </c>
      <c r="B38" s="6">
        <f>IFERROR(__xludf.DUMMYFUNCTION("""COMPUTED_VALUE"""),301.75)</f>
        <v>301.75</v>
      </c>
      <c r="C38" s="6">
        <f>IFERROR(__xludf.DUMMYFUNCTION("""COMPUTED_VALUE"""),303.2)</f>
        <v>303.2</v>
      </c>
      <c r="D38" s="6">
        <f>IFERROR(__xludf.DUMMYFUNCTION("""COMPUTED_VALUE"""),285.0)</f>
        <v>285</v>
      </c>
      <c r="E38" s="6">
        <f>IFERROR(__xludf.DUMMYFUNCTION("""COMPUTED_VALUE"""),295.95)</f>
        <v>295.95</v>
      </c>
      <c r="F38" s="6">
        <f>IFERROR(__xludf.DUMMYFUNCTION("""COMPUTED_VALUE"""),2.0959708E8)</f>
        <v>209597080</v>
      </c>
    </row>
    <row r="39">
      <c r="A39" s="7">
        <f>IFERROR(__xludf.DUMMYFUNCTION("""COMPUTED_VALUE"""),45450.64583333333)</f>
        <v>45450.64583</v>
      </c>
      <c r="B39" s="6">
        <f>IFERROR(__xludf.DUMMYFUNCTION("""COMPUTED_VALUE"""),323.0)</f>
        <v>323</v>
      </c>
      <c r="C39" s="6">
        <f>IFERROR(__xludf.DUMMYFUNCTION("""COMPUTED_VALUE"""),323.0)</f>
        <v>323</v>
      </c>
      <c r="D39" s="6">
        <f>IFERROR(__xludf.DUMMYFUNCTION("""COMPUTED_VALUE"""),230.0)</f>
        <v>230</v>
      </c>
      <c r="E39" s="6">
        <f>IFERROR(__xludf.DUMMYFUNCTION("""COMPUTED_VALUE"""),283.2)</f>
        <v>283.2</v>
      </c>
      <c r="F39" s="6">
        <f>IFERROR(__xludf.DUMMYFUNCTION("""COMPUTED_VALUE"""),6.84408165E8)</f>
        <v>684408165</v>
      </c>
    </row>
    <row r="40">
      <c r="A40" s="7">
        <f>IFERROR(__xludf.DUMMYFUNCTION("""COMPUTED_VALUE"""),45457.64583333333)</f>
        <v>45457.64583</v>
      </c>
      <c r="B40" s="6">
        <f>IFERROR(__xludf.DUMMYFUNCTION("""COMPUTED_VALUE"""),288.9)</f>
        <v>288.9</v>
      </c>
      <c r="C40" s="6">
        <f>IFERROR(__xludf.DUMMYFUNCTION("""COMPUTED_VALUE"""),310.5)</f>
        <v>310.5</v>
      </c>
      <c r="D40" s="6">
        <f>IFERROR(__xludf.DUMMYFUNCTION("""COMPUTED_VALUE"""),281.1)</f>
        <v>281.1</v>
      </c>
      <c r="E40" s="6">
        <f>IFERROR(__xludf.DUMMYFUNCTION("""COMPUTED_VALUE"""),309.6)</f>
        <v>309.6</v>
      </c>
      <c r="F40" s="6">
        <f>IFERROR(__xludf.DUMMYFUNCTION("""COMPUTED_VALUE"""),2.2550211E8)</f>
        <v>225502110</v>
      </c>
    </row>
    <row r="41">
      <c r="A41" s="7">
        <f>IFERROR(__xludf.DUMMYFUNCTION("""COMPUTED_VALUE"""),45464.64583333333)</f>
        <v>45464.64583</v>
      </c>
      <c r="B41" s="6">
        <f>IFERROR(__xludf.DUMMYFUNCTION("""COMPUTED_VALUE"""),313.0)</f>
        <v>313</v>
      </c>
      <c r="C41" s="6">
        <f>IFERROR(__xludf.DUMMYFUNCTION("""COMPUTED_VALUE"""),321.0)</f>
        <v>321</v>
      </c>
      <c r="D41" s="6">
        <f>IFERROR(__xludf.DUMMYFUNCTION("""COMPUTED_VALUE"""),302.25)</f>
        <v>302.25</v>
      </c>
      <c r="E41" s="6">
        <f>IFERROR(__xludf.DUMMYFUNCTION("""COMPUTED_VALUE"""),304.95)</f>
        <v>304.95</v>
      </c>
      <c r="F41" s="6">
        <f>IFERROR(__xludf.DUMMYFUNCTION("""COMPUTED_VALUE"""),2.00684408E8)</f>
        <v>200684408</v>
      </c>
    </row>
    <row r="42">
      <c r="A42" s="7">
        <f>IFERROR(__xludf.DUMMYFUNCTION("""COMPUTED_VALUE"""),45471.64583333333)</f>
        <v>45471.64583</v>
      </c>
      <c r="B42" s="6">
        <f>IFERROR(__xludf.DUMMYFUNCTION("""COMPUTED_VALUE"""),304.8)</f>
        <v>304.8</v>
      </c>
      <c r="C42" s="6">
        <f>IFERROR(__xludf.DUMMYFUNCTION("""COMPUTED_VALUE"""),314.95)</f>
        <v>314.95</v>
      </c>
      <c r="D42" s="6">
        <f>IFERROR(__xludf.DUMMYFUNCTION("""COMPUTED_VALUE"""),297.45)</f>
        <v>297.45</v>
      </c>
      <c r="E42" s="6">
        <f>IFERROR(__xludf.DUMMYFUNCTION("""COMPUTED_VALUE"""),305.9)</f>
        <v>305.9</v>
      </c>
      <c r="F42" s="6">
        <f>IFERROR(__xludf.DUMMYFUNCTION("""COMPUTED_VALUE"""),1.56755208E8)</f>
        <v>156755208</v>
      </c>
    </row>
    <row r="43">
      <c r="A43" s="7">
        <f>IFERROR(__xludf.DUMMYFUNCTION("""COMPUTED_VALUE"""),45478.64583333333)</f>
        <v>45478.64583</v>
      </c>
      <c r="B43" s="6">
        <f>IFERROR(__xludf.DUMMYFUNCTION("""COMPUTED_VALUE"""),310.95)</f>
        <v>310.95</v>
      </c>
      <c r="C43" s="6">
        <f>IFERROR(__xludf.DUMMYFUNCTION("""COMPUTED_VALUE"""),326.8)</f>
        <v>326.8</v>
      </c>
      <c r="D43" s="6">
        <f>IFERROR(__xludf.DUMMYFUNCTION("""COMPUTED_VALUE"""),303.0)</f>
        <v>303</v>
      </c>
      <c r="E43" s="6">
        <f>IFERROR(__xludf.DUMMYFUNCTION("""COMPUTED_VALUE"""),324.05)</f>
        <v>324.05</v>
      </c>
      <c r="F43" s="6">
        <f>IFERROR(__xludf.DUMMYFUNCTION("""COMPUTED_VALUE"""),2.0710614E8)</f>
        <v>207106140</v>
      </c>
    </row>
    <row r="44">
      <c r="A44" s="7">
        <f>IFERROR(__xludf.DUMMYFUNCTION("""COMPUTED_VALUE"""),45485.64583333333)</f>
        <v>45485.64583</v>
      </c>
      <c r="B44" s="6">
        <f>IFERROR(__xludf.DUMMYFUNCTION("""COMPUTED_VALUE"""),328.45)</f>
        <v>328.45</v>
      </c>
      <c r="C44" s="6">
        <f>IFERROR(__xludf.DUMMYFUNCTION("""COMPUTED_VALUE"""),340.5)</f>
        <v>340.5</v>
      </c>
      <c r="D44" s="6">
        <f>IFERROR(__xludf.DUMMYFUNCTION("""COMPUTED_VALUE"""),324.15)</f>
        <v>324.15</v>
      </c>
      <c r="E44" s="6">
        <f>IFERROR(__xludf.DUMMYFUNCTION("""COMPUTED_VALUE"""),333.1)</f>
        <v>333.1</v>
      </c>
      <c r="F44" s="6">
        <f>IFERROR(__xludf.DUMMYFUNCTION("""COMPUTED_VALUE"""),2.26426174E8)</f>
        <v>226426174</v>
      </c>
    </row>
    <row r="45">
      <c r="A45" s="7">
        <f>IFERROR(__xludf.DUMMYFUNCTION("""COMPUTED_VALUE"""),45492.64583333333)</f>
        <v>45492.64583</v>
      </c>
      <c r="B45" s="6">
        <f>IFERROR(__xludf.DUMMYFUNCTION("""COMPUTED_VALUE"""),336.0)</f>
        <v>336</v>
      </c>
      <c r="C45" s="6">
        <f>IFERROR(__xludf.DUMMYFUNCTION("""COMPUTED_VALUE"""),336.05)</f>
        <v>336.05</v>
      </c>
      <c r="D45" s="6">
        <f>IFERROR(__xludf.DUMMYFUNCTION("""COMPUTED_VALUE"""),305.0)</f>
        <v>305</v>
      </c>
      <c r="E45" s="6">
        <f>IFERROR(__xludf.DUMMYFUNCTION("""COMPUTED_VALUE"""),306.3)</f>
        <v>306.3</v>
      </c>
      <c r="F45" s="6">
        <f>IFERROR(__xludf.DUMMYFUNCTION("""COMPUTED_VALUE"""),1.39964674E8)</f>
        <v>139964674</v>
      </c>
    </row>
    <row r="46">
      <c r="A46" s="7">
        <f>IFERROR(__xludf.DUMMYFUNCTION("""COMPUTED_VALUE"""),45499.64583333333)</f>
        <v>45499.64583</v>
      </c>
      <c r="B46" s="6">
        <f>IFERROR(__xludf.DUMMYFUNCTION("""COMPUTED_VALUE"""),306.0)</f>
        <v>306</v>
      </c>
      <c r="C46" s="6">
        <f>IFERROR(__xludf.DUMMYFUNCTION("""COMPUTED_VALUE"""),317.0)</f>
        <v>317</v>
      </c>
      <c r="D46" s="6">
        <f>IFERROR(__xludf.DUMMYFUNCTION("""COMPUTED_VALUE"""),281.1)</f>
        <v>281.1</v>
      </c>
      <c r="E46" s="6">
        <f>IFERROR(__xludf.DUMMYFUNCTION("""COMPUTED_VALUE"""),309.9)</f>
        <v>309.9</v>
      </c>
      <c r="F46" s="6">
        <f>IFERROR(__xludf.DUMMYFUNCTION("""COMPUTED_VALUE"""),1.92332671E8)</f>
        <v>192332671</v>
      </c>
    </row>
    <row r="47">
      <c r="A47" s="7">
        <f>IFERROR(__xludf.DUMMYFUNCTION("""COMPUTED_VALUE"""),45506.64583333333)</f>
        <v>45506.64583</v>
      </c>
      <c r="B47" s="6">
        <f>IFERROR(__xludf.DUMMYFUNCTION("""COMPUTED_VALUE"""),312.8)</f>
        <v>312.8</v>
      </c>
      <c r="C47" s="6">
        <f>IFERROR(__xludf.DUMMYFUNCTION("""COMPUTED_VALUE"""),326.55)</f>
        <v>326.55</v>
      </c>
      <c r="D47" s="6">
        <f>IFERROR(__xludf.DUMMYFUNCTION("""COMPUTED_VALUE"""),301.7)</f>
        <v>301.7</v>
      </c>
      <c r="E47" s="6">
        <f>IFERROR(__xludf.DUMMYFUNCTION("""COMPUTED_VALUE"""),302.95)</f>
        <v>302.95</v>
      </c>
      <c r="F47" s="6">
        <f>IFERROR(__xludf.DUMMYFUNCTION("""COMPUTED_VALUE"""),1.72509954E8)</f>
        <v>172509954</v>
      </c>
    </row>
    <row r="48">
      <c r="A48" s="7">
        <f>IFERROR(__xludf.DUMMYFUNCTION("""COMPUTED_VALUE"""),45513.64583333333)</f>
        <v>45513.64583</v>
      </c>
      <c r="B48" s="6">
        <f>IFERROR(__xludf.DUMMYFUNCTION("""COMPUTED_VALUE"""),289.85)</f>
        <v>289.85</v>
      </c>
      <c r="C48" s="6">
        <f>IFERROR(__xludf.DUMMYFUNCTION("""COMPUTED_VALUE"""),305.0)</f>
        <v>305</v>
      </c>
      <c r="D48" s="6">
        <f>IFERROR(__xludf.DUMMYFUNCTION("""COMPUTED_VALUE"""),285.0)</f>
        <v>285</v>
      </c>
      <c r="E48" s="6">
        <f>IFERROR(__xludf.DUMMYFUNCTION("""COMPUTED_VALUE"""),302.2)</f>
        <v>302.2</v>
      </c>
      <c r="F48" s="6">
        <f>IFERROR(__xludf.DUMMYFUNCTION("""COMPUTED_VALUE"""),1.49276701E8)</f>
        <v>149276701</v>
      </c>
    </row>
    <row r="49">
      <c r="A49" s="7">
        <f>IFERROR(__xludf.DUMMYFUNCTION("""COMPUTED_VALUE"""),45520.64583333333)</f>
        <v>45520.64583</v>
      </c>
      <c r="B49" s="6">
        <f>IFERROR(__xludf.DUMMYFUNCTION("""COMPUTED_VALUE"""),299.0)</f>
        <v>299</v>
      </c>
      <c r="C49" s="6">
        <f>IFERROR(__xludf.DUMMYFUNCTION("""COMPUTED_VALUE"""),303.9)</f>
        <v>303.9</v>
      </c>
      <c r="D49" s="6">
        <f>IFERROR(__xludf.DUMMYFUNCTION("""COMPUTED_VALUE"""),290.65)</f>
        <v>290.65</v>
      </c>
      <c r="E49" s="6">
        <f>IFERROR(__xludf.DUMMYFUNCTION("""COMPUTED_VALUE"""),303.3)</f>
        <v>303.3</v>
      </c>
      <c r="F49" s="6">
        <f>IFERROR(__xludf.DUMMYFUNCTION("""COMPUTED_VALUE"""),6.8101927E7)</f>
        <v>68101927</v>
      </c>
    </row>
    <row r="50">
      <c r="A50" s="7">
        <f>IFERROR(__xludf.DUMMYFUNCTION("""COMPUTED_VALUE"""),45527.64583333333)</f>
        <v>45527.64583</v>
      </c>
      <c r="B50" s="6">
        <f>IFERROR(__xludf.DUMMYFUNCTION("""COMPUTED_VALUE"""),304.8)</f>
        <v>304.8</v>
      </c>
      <c r="C50" s="6">
        <f>IFERROR(__xludf.DUMMYFUNCTION("""COMPUTED_VALUE"""),309.2)</f>
        <v>309.2</v>
      </c>
      <c r="D50" s="6">
        <f>IFERROR(__xludf.DUMMYFUNCTION("""COMPUTED_VALUE"""),297.8)</f>
        <v>297.8</v>
      </c>
      <c r="E50" s="6">
        <f>IFERROR(__xludf.DUMMYFUNCTION("""COMPUTED_VALUE"""),306.0)</f>
        <v>306</v>
      </c>
      <c r="F50" s="6">
        <f>IFERROR(__xludf.DUMMYFUNCTION("""COMPUTED_VALUE"""),7.324551E7)</f>
        <v>73245510</v>
      </c>
    </row>
    <row r="51">
      <c r="A51" s="7">
        <f>IFERROR(__xludf.DUMMYFUNCTION("""COMPUTED_VALUE"""),45534.64583333333)</f>
        <v>45534.64583</v>
      </c>
      <c r="B51" s="6">
        <f>IFERROR(__xludf.DUMMYFUNCTION("""COMPUTED_VALUE"""),308.7)</f>
        <v>308.7</v>
      </c>
      <c r="C51" s="6">
        <f>IFERROR(__xludf.DUMMYFUNCTION("""COMPUTED_VALUE"""),308.9)</f>
        <v>308.9</v>
      </c>
      <c r="D51" s="6">
        <f>IFERROR(__xludf.DUMMYFUNCTION("""COMPUTED_VALUE"""),292.1)</f>
        <v>292.1</v>
      </c>
      <c r="E51" s="6">
        <f>IFERROR(__xludf.DUMMYFUNCTION("""COMPUTED_VALUE"""),299.3)</f>
        <v>299.3</v>
      </c>
      <c r="F51" s="6">
        <f>IFERROR(__xludf.DUMMYFUNCTION("""COMPUTED_VALUE"""),9.4030059E7)</f>
        <v>94030059</v>
      </c>
    </row>
    <row r="52">
      <c r="A52" s="7">
        <f>IFERROR(__xludf.DUMMYFUNCTION("""COMPUTED_VALUE"""),45541.64583333333)</f>
        <v>45541.64583</v>
      </c>
      <c r="B52" s="6">
        <f>IFERROR(__xludf.DUMMYFUNCTION("""COMPUTED_VALUE"""),301.95)</f>
        <v>301.95</v>
      </c>
      <c r="C52" s="6">
        <f>IFERROR(__xludf.DUMMYFUNCTION("""COMPUTED_VALUE"""),301.95)</f>
        <v>301.95</v>
      </c>
      <c r="D52" s="6">
        <f>IFERROR(__xludf.DUMMYFUNCTION("""COMPUTED_VALUE"""),282.05)</f>
        <v>282.05</v>
      </c>
      <c r="E52" s="6">
        <f>IFERROR(__xludf.DUMMYFUNCTION("""COMPUTED_VALUE"""),283.6)</f>
        <v>283.6</v>
      </c>
      <c r="F52" s="6">
        <f>IFERROR(__xludf.DUMMYFUNCTION("""COMPUTED_VALUE"""),1.00027401E8)</f>
        <v>100027401</v>
      </c>
    </row>
    <row r="53">
      <c r="A53" s="7">
        <f>IFERROR(__xludf.DUMMYFUNCTION("""COMPUTED_VALUE"""),45548.64583333333)</f>
        <v>45548.64583</v>
      </c>
      <c r="B53" s="6">
        <f>IFERROR(__xludf.DUMMYFUNCTION("""COMPUTED_VALUE"""),282.0)</f>
        <v>282</v>
      </c>
      <c r="C53" s="6">
        <f>IFERROR(__xludf.DUMMYFUNCTION("""COMPUTED_VALUE"""),294.0)</f>
        <v>294</v>
      </c>
      <c r="D53" s="6">
        <f>IFERROR(__xludf.DUMMYFUNCTION("""COMPUTED_VALUE"""),275.75)</f>
        <v>275.75</v>
      </c>
      <c r="E53" s="6">
        <f>IFERROR(__xludf.DUMMYFUNCTION("""COMPUTED_VALUE"""),289.95)</f>
        <v>289.95</v>
      </c>
      <c r="F53" s="6">
        <f>IFERROR(__xludf.DUMMYFUNCTION("""COMPUTED_VALUE"""),9.9235692E7)</f>
        <v>99235692</v>
      </c>
    </row>
    <row r="54">
      <c r="A54" s="7">
        <f>IFERROR(__xludf.DUMMYFUNCTION("""COMPUTED_VALUE"""),45555.64583333333)</f>
        <v>45555.64583</v>
      </c>
      <c r="B54" s="6">
        <f>IFERROR(__xludf.DUMMYFUNCTION("""COMPUTED_VALUE"""),290.9)</f>
        <v>290.9</v>
      </c>
      <c r="C54" s="6">
        <f>IFERROR(__xludf.DUMMYFUNCTION("""COMPUTED_VALUE"""),292.2)</f>
        <v>292.2</v>
      </c>
      <c r="D54" s="6">
        <f>IFERROR(__xludf.DUMMYFUNCTION("""COMPUTED_VALUE"""),267.1)</f>
        <v>267.1</v>
      </c>
      <c r="E54" s="6">
        <f>IFERROR(__xludf.DUMMYFUNCTION("""COMPUTED_VALUE"""),277.35)</f>
        <v>277.35</v>
      </c>
      <c r="F54" s="6">
        <f>IFERROR(__xludf.DUMMYFUNCTION("""COMPUTED_VALUE"""),1.18643006E8)</f>
        <v>118643006</v>
      </c>
    </row>
    <row r="55">
      <c r="A55" s="7">
        <f>IFERROR(__xludf.DUMMYFUNCTION("""COMPUTED_VALUE"""),45562.64583333333)</f>
        <v>45562.64583</v>
      </c>
      <c r="B55" s="6">
        <f>IFERROR(__xludf.DUMMYFUNCTION("""COMPUTED_VALUE"""),280.0)</f>
        <v>280</v>
      </c>
      <c r="C55" s="6">
        <f>IFERROR(__xludf.DUMMYFUNCTION("""COMPUTED_VALUE"""),295.0)</f>
        <v>295</v>
      </c>
      <c r="D55" s="6">
        <f>IFERROR(__xludf.DUMMYFUNCTION("""COMPUTED_VALUE"""),278.65)</f>
        <v>278.65</v>
      </c>
      <c r="E55" s="6">
        <f>IFERROR(__xludf.DUMMYFUNCTION("""COMPUTED_VALUE"""),293.45)</f>
        <v>293.45</v>
      </c>
      <c r="F55" s="6">
        <f>IFERROR(__xludf.DUMMYFUNCTION("""COMPUTED_VALUE"""),2.90988321E8)</f>
        <v>290988321</v>
      </c>
    </row>
    <row r="56">
      <c r="A56" s="7">
        <f>IFERROR(__xludf.DUMMYFUNCTION("""COMPUTED_VALUE"""),45569.64583333333)</f>
        <v>45569.64583</v>
      </c>
      <c r="B56" s="6">
        <f>IFERROR(__xludf.DUMMYFUNCTION("""COMPUTED_VALUE"""),293.45)</f>
        <v>293.45</v>
      </c>
      <c r="C56" s="6">
        <f>IFERROR(__xludf.DUMMYFUNCTION("""COMPUTED_VALUE"""),294.6)</f>
        <v>294.6</v>
      </c>
      <c r="D56" s="6">
        <f>IFERROR(__xludf.DUMMYFUNCTION("""COMPUTED_VALUE"""),273.55)</f>
        <v>273.55</v>
      </c>
      <c r="E56" s="6">
        <f>IFERROR(__xludf.DUMMYFUNCTION("""COMPUTED_VALUE"""),277.2)</f>
        <v>277.2</v>
      </c>
      <c r="F56" s="6">
        <f>IFERROR(__xludf.DUMMYFUNCTION("""COMPUTED_VALUE"""),9.1351409E7)</f>
        <v>91351409</v>
      </c>
    </row>
    <row r="57">
      <c r="A57" s="7">
        <f>IFERROR(__xludf.DUMMYFUNCTION("""COMPUTED_VALUE"""),45576.64583333333)</f>
        <v>45576.64583</v>
      </c>
      <c r="B57" s="6">
        <f>IFERROR(__xludf.DUMMYFUNCTION("""COMPUTED_VALUE"""),277.4)</f>
        <v>277.4</v>
      </c>
      <c r="C57" s="6">
        <f>IFERROR(__xludf.DUMMYFUNCTION("""COMPUTED_VALUE"""),289.6)</f>
        <v>289.6</v>
      </c>
      <c r="D57" s="6">
        <f>IFERROR(__xludf.DUMMYFUNCTION("""COMPUTED_VALUE"""),265.0)</f>
        <v>265</v>
      </c>
      <c r="E57" s="6">
        <f>IFERROR(__xludf.DUMMYFUNCTION("""COMPUTED_VALUE"""),285.9)</f>
        <v>285.9</v>
      </c>
      <c r="F57" s="6">
        <f>IFERROR(__xludf.DUMMYFUNCTION("""COMPUTED_VALUE"""),9.8712541E7)</f>
        <v>98712541</v>
      </c>
    </row>
    <row r="58">
      <c r="A58" s="7">
        <f>IFERROR(__xludf.DUMMYFUNCTION("""COMPUTED_VALUE"""),45583.64583333333)</f>
        <v>45583.64583</v>
      </c>
      <c r="B58" s="6">
        <f>IFERROR(__xludf.DUMMYFUNCTION("""COMPUTED_VALUE"""),286.1)</f>
        <v>286.1</v>
      </c>
      <c r="C58" s="6">
        <f>IFERROR(__xludf.DUMMYFUNCTION("""COMPUTED_VALUE"""),291.05)</f>
        <v>291.05</v>
      </c>
      <c r="D58" s="6">
        <f>IFERROR(__xludf.DUMMYFUNCTION("""COMPUTED_VALUE"""),277.8)</f>
        <v>277.8</v>
      </c>
      <c r="E58" s="6">
        <f>IFERROR(__xludf.DUMMYFUNCTION("""COMPUTED_VALUE"""),287.15)</f>
        <v>287.15</v>
      </c>
      <c r="F58" s="6">
        <f>IFERROR(__xludf.DUMMYFUNCTION("""COMPUTED_VALUE"""),5.9714594E7)</f>
        <v>59714594</v>
      </c>
    </row>
    <row r="59">
      <c r="A59" s="7">
        <f>IFERROR(__xludf.DUMMYFUNCTION("""COMPUTED_VALUE"""),45590.64583333333)</f>
        <v>45590.64583</v>
      </c>
      <c r="B59" s="6">
        <f>IFERROR(__xludf.DUMMYFUNCTION("""COMPUTED_VALUE"""),286.3)</f>
        <v>286.3</v>
      </c>
      <c r="C59" s="6">
        <f>IFERROR(__xludf.DUMMYFUNCTION("""COMPUTED_VALUE"""),287.45)</f>
        <v>287.45</v>
      </c>
      <c r="D59" s="6">
        <f>IFERROR(__xludf.DUMMYFUNCTION("""COMPUTED_VALUE"""),257.45)</f>
        <v>257.45</v>
      </c>
      <c r="E59" s="6">
        <f>IFERROR(__xludf.DUMMYFUNCTION("""COMPUTED_VALUE"""),272.35)</f>
        <v>272.35</v>
      </c>
      <c r="F59" s="6">
        <f>IFERROR(__xludf.DUMMYFUNCTION("""COMPUTED_VALUE"""),8.8245905E7)</f>
        <v>88245905</v>
      </c>
    </row>
    <row r="60">
      <c r="A60" s="7">
        <f>IFERROR(__xludf.DUMMYFUNCTION("""COMPUTED_VALUE"""),45604.64583333333)</f>
        <v>45604.64583</v>
      </c>
      <c r="B60" s="6">
        <f>IFERROR(__xludf.DUMMYFUNCTION("""COMPUTED_VALUE"""),289.0)</f>
        <v>289</v>
      </c>
      <c r="C60" s="6">
        <f>IFERROR(__xludf.DUMMYFUNCTION("""COMPUTED_VALUE"""),304.5)</f>
        <v>304.5</v>
      </c>
      <c r="D60" s="6">
        <f>IFERROR(__xludf.DUMMYFUNCTION("""COMPUTED_VALUE"""),277.15)</f>
        <v>277.15</v>
      </c>
      <c r="E60" s="6">
        <f>IFERROR(__xludf.DUMMYFUNCTION("""COMPUTED_VALUE"""),297.75)</f>
        <v>297.75</v>
      </c>
      <c r="F60" s="6">
        <f>IFERROR(__xludf.DUMMYFUNCTION("""COMPUTED_VALUE"""),1.34017165E8)</f>
        <v>134017165</v>
      </c>
    </row>
    <row r="61">
      <c r="A61" s="7">
        <f>IFERROR(__xludf.DUMMYFUNCTION("""COMPUTED_VALUE"""),45610.64583333333)</f>
        <v>45610.64583</v>
      </c>
      <c r="B61" s="6">
        <f>IFERROR(__xludf.DUMMYFUNCTION("""COMPUTED_VALUE"""),297.5)</f>
        <v>297.5</v>
      </c>
      <c r="C61" s="6">
        <f>IFERROR(__xludf.DUMMYFUNCTION("""COMPUTED_VALUE"""),303.8)</f>
        <v>303.8</v>
      </c>
      <c r="D61" s="6">
        <f>IFERROR(__xludf.DUMMYFUNCTION("""COMPUTED_VALUE"""),275.5)</f>
        <v>275.5</v>
      </c>
      <c r="E61" s="6">
        <f>IFERROR(__xludf.DUMMYFUNCTION("""COMPUTED_VALUE"""),280.95)</f>
        <v>280.95</v>
      </c>
      <c r="F61" s="6">
        <f>IFERROR(__xludf.DUMMYFUNCTION("""COMPUTED_VALUE"""),7.4991806E7)</f>
        <v>74991806</v>
      </c>
    </row>
    <row r="62">
      <c r="A62" s="7">
        <f>IFERROR(__xludf.DUMMYFUNCTION("""COMPUTED_VALUE"""),45618.64583333333)</f>
        <v>45618.64583</v>
      </c>
      <c r="B62" s="6">
        <f>IFERROR(__xludf.DUMMYFUNCTION("""COMPUTED_VALUE"""),283.0)</f>
        <v>283</v>
      </c>
      <c r="C62" s="6">
        <f>IFERROR(__xludf.DUMMYFUNCTION("""COMPUTED_VALUE"""),286.7)</f>
        <v>286.7</v>
      </c>
      <c r="D62" s="6">
        <f>IFERROR(__xludf.DUMMYFUNCTION("""COMPUTED_VALUE"""),270.25)</f>
        <v>270.25</v>
      </c>
      <c r="E62" s="6">
        <f>IFERROR(__xludf.DUMMYFUNCTION("""COMPUTED_VALUE"""),280.85)</f>
        <v>280.85</v>
      </c>
      <c r="F62" s="6">
        <f>IFERROR(__xludf.DUMMYFUNCTION("""COMPUTED_VALUE"""),5.4288127E7)</f>
        <v>54288127</v>
      </c>
    </row>
    <row r="63">
      <c r="A63" s="7">
        <f>IFERROR(__xludf.DUMMYFUNCTION("""COMPUTED_VALUE"""),45625.64583333333)</f>
        <v>45625.64583</v>
      </c>
      <c r="B63" s="6">
        <f>IFERROR(__xludf.DUMMYFUNCTION("""COMPUTED_VALUE"""),290.0)</f>
        <v>290</v>
      </c>
      <c r="C63" s="6">
        <f>IFERROR(__xludf.DUMMYFUNCTION("""COMPUTED_VALUE"""),310.6)</f>
        <v>310.6</v>
      </c>
      <c r="D63" s="6">
        <f>IFERROR(__xludf.DUMMYFUNCTION("""COMPUTED_VALUE"""),287.95)</f>
        <v>287.95</v>
      </c>
      <c r="E63" s="6">
        <f>IFERROR(__xludf.DUMMYFUNCTION("""COMPUTED_VALUE"""),308.0)</f>
        <v>308</v>
      </c>
      <c r="F63" s="6">
        <f>IFERROR(__xludf.DUMMYFUNCTION("""COMPUTED_VALUE"""),1.67192854E8)</f>
        <v>167192854</v>
      </c>
    </row>
    <row r="64">
      <c r="A64" s="7">
        <f>IFERROR(__xludf.DUMMYFUNCTION("""COMPUTED_VALUE"""),45632.64583333333)</f>
        <v>45632.64583</v>
      </c>
      <c r="B64" s="6">
        <f>IFERROR(__xludf.DUMMYFUNCTION("""COMPUTED_VALUE"""),307.8)</f>
        <v>307.8</v>
      </c>
      <c r="C64" s="6">
        <f>IFERROR(__xludf.DUMMYFUNCTION("""COMPUTED_VALUE"""),320.85)</f>
        <v>320.85</v>
      </c>
      <c r="D64" s="6">
        <f>IFERROR(__xludf.DUMMYFUNCTION("""COMPUTED_VALUE"""),303.3)</f>
        <v>303.3</v>
      </c>
      <c r="E64" s="6">
        <f>IFERROR(__xludf.DUMMYFUNCTION("""COMPUTED_VALUE"""),313.75)</f>
        <v>313.75</v>
      </c>
      <c r="F64" s="6">
        <f>IFERROR(__xludf.DUMMYFUNCTION("""COMPUTED_VALUE"""),1.04667485E8)</f>
        <v>104667485</v>
      </c>
    </row>
    <row r="65">
      <c r="A65" s="7">
        <f>IFERROR(__xludf.DUMMYFUNCTION("""COMPUTED_VALUE"""),45639.64583333333)</f>
        <v>45639.64583</v>
      </c>
      <c r="B65" s="6">
        <f>IFERROR(__xludf.DUMMYFUNCTION("""COMPUTED_VALUE"""),313.6)</f>
        <v>313.6</v>
      </c>
      <c r="C65" s="6">
        <f>IFERROR(__xludf.DUMMYFUNCTION("""COMPUTED_VALUE"""),318.3)</f>
        <v>318.3</v>
      </c>
      <c r="D65" s="6">
        <f>IFERROR(__xludf.DUMMYFUNCTION("""COMPUTED_VALUE"""),308.15)</f>
        <v>308.15</v>
      </c>
      <c r="E65" s="6">
        <f>IFERROR(__xludf.DUMMYFUNCTION("""COMPUTED_VALUE"""),315.65)</f>
        <v>315.65</v>
      </c>
      <c r="F65" s="6">
        <f>IFERROR(__xludf.DUMMYFUNCTION("""COMPUTED_VALUE"""),6.345775E7)</f>
        <v>63457750</v>
      </c>
    </row>
    <row r="66">
      <c r="A66" s="7">
        <f>IFERROR(__xludf.DUMMYFUNCTION("""COMPUTED_VALUE"""),45646.64583333333)</f>
        <v>45646.64583</v>
      </c>
      <c r="B66" s="6">
        <f>IFERROR(__xludf.DUMMYFUNCTION("""COMPUTED_VALUE"""),315.8)</f>
        <v>315.8</v>
      </c>
      <c r="C66" s="6">
        <f>IFERROR(__xludf.DUMMYFUNCTION("""COMPUTED_VALUE"""),318.65)</f>
        <v>318.65</v>
      </c>
      <c r="D66" s="6">
        <f>IFERROR(__xludf.DUMMYFUNCTION("""COMPUTED_VALUE"""),289.35)</f>
        <v>289.35</v>
      </c>
      <c r="E66" s="6">
        <f>IFERROR(__xludf.DUMMYFUNCTION("""COMPUTED_VALUE"""),290.85)</f>
        <v>290.85</v>
      </c>
      <c r="F66" s="6">
        <f>IFERROR(__xludf.DUMMYFUNCTION("""COMPUTED_VALUE"""),7.3508659E7)</f>
        <v>73508659</v>
      </c>
    </row>
    <row r="67">
      <c r="A67" s="7">
        <f>IFERROR(__xludf.DUMMYFUNCTION("""COMPUTED_VALUE"""),45653.64583333333)</f>
        <v>45653.64583</v>
      </c>
      <c r="B67" s="6">
        <f>IFERROR(__xludf.DUMMYFUNCTION("""COMPUTED_VALUE"""),294.0)</f>
        <v>294</v>
      </c>
      <c r="C67" s="6">
        <f>IFERROR(__xludf.DUMMYFUNCTION("""COMPUTED_VALUE"""),297.35)</f>
        <v>297.35</v>
      </c>
      <c r="D67" s="6">
        <f>IFERROR(__xludf.DUMMYFUNCTION("""COMPUTED_VALUE"""),288.0)</f>
        <v>288</v>
      </c>
      <c r="E67" s="6">
        <f>IFERROR(__xludf.DUMMYFUNCTION("""COMPUTED_VALUE"""),292.05)</f>
        <v>292.05</v>
      </c>
      <c r="F67" s="6">
        <f>IFERROR(__xludf.DUMMYFUNCTION("""COMPUTED_VALUE"""),3.9554259E7)</f>
        <v>39554259</v>
      </c>
    </row>
    <row r="68">
      <c r="A68" s="7">
        <f>IFERROR(__xludf.DUMMYFUNCTION("""COMPUTED_VALUE"""),45660.64583333333)</f>
        <v>45660.64583</v>
      </c>
      <c r="B68" s="6">
        <f>IFERROR(__xludf.DUMMYFUNCTION("""COMPUTED_VALUE"""),292.05)</f>
        <v>292.05</v>
      </c>
      <c r="C68" s="6">
        <f>IFERROR(__xludf.DUMMYFUNCTION("""COMPUTED_VALUE"""),297.8)</f>
        <v>297.8</v>
      </c>
      <c r="D68" s="6">
        <f>IFERROR(__xludf.DUMMYFUNCTION("""COMPUTED_VALUE"""),282.85)</f>
        <v>282.85</v>
      </c>
      <c r="E68" s="6">
        <f>IFERROR(__xludf.DUMMYFUNCTION("""COMPUTED_VALUE"""),291.95)</f>
        <v>291.95</v>
      </c>
      <c r="F68" s="6">
        <f>IFERROR(__xludf.DUMMYFUNCTION("""COMPUTED_VALUE"""),7.0086401E7)</f>
        <v>70086401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IFERROR(__xludf.DUMMYFUNCTION("""COMPUTED_VALUE"""),292.55)</f>
        <v>292.55</v>
      </c>
      <c r="C69" s="6">
        <f>IFERROR(__xludf.DUMMYFUNCTION("""COMPUTED_VALUE"""),292.55)</f>
        <v>292.55</v>
      </c>
      <c r="D69" s="6">
        <f>IFERROR(__xludf.DUMMYFUNCTION("""COMPUTED_VALUE"""),270.0)</f>
        <v>270</v>
      </c>
      <c r="E69" s="6">
        <f>IFERROR(__xludf.DUMMYFUNCTION("""COMPUTED_VALUE"""),271.0)</f>
        <v>271</v>
      </c>
      <c r="F69" s="6">
        <f>IFERROR(__xludf.DUMMYFUNCTION("""COMPUTED_VALUE"""),6.4915023E7)</f>
        <v>64915023</v>
      </c>
    </row>
    <row r="70">
      <c r="A70" s="7">
        <f>IFERROR(__xludf.DUMMYFUNCTION("""COMPUTED_VALUE"""),45674.64583333333)</f>
        <v>45674.64583</v>
      </c>
      <c r="B70" s="6">
        <f>IFERROR(__xludf.DUMMYFUNCTION("""COMPUTED_VALUE"""),265.0)</f>
        <v>265</v>
      </c>
      <c r="C70" s="6">
        <f>IFERROR(__xludf.DUMMYFUNCTION("""COMPUTED_VALUE"""),283.9)</f>
        <v>283.9</v>
      </c>
      <c r="D70" s="6">
        <f>IFERROR(__xludf.DUMMYFUNCTION("""COMPUTED_VALUE"""),258.3)</f>
        <v>258.3</v>
      </c>
      <c r="E70" s="6">
        <f>IFERROR(__xludf.DUMMYFUNCTION("""COMPUTED_VALUE"""),282.15)</f>
        <v>282.15</v>
      </c>
      <c r="F70" s="6">
        <f>IFERROR(__xludf.DUMMYFUNCTION("""COMPUTED_VALUE"""),7.9719968E7)</f>
        <v>79719968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IFERROR(__xludf.DUMMYFUNCTION("""COMPUTED_VALUE"""),283.2)</f>
        <v>283.2</v>
      </c>
      <c r="C71" s="6">
        <f>IFERROR(__xludf.DUMMYFUNCTION("""COMPUTED_VALUE"""),287.8)</f>
        <v>287.8</v>
      </c>
      <c r="D71" s="6">
        <f>IFERROR(__xludf.DUMMYFUNCTION("""COMPUTED_VALUE"""),266.3)</f>
        <v>266.3</v>
      </c>
      <c r="E71" s="6">
        <f>IFERROR(__xludf.DUMMYFUNCTION("""COMPUTED_VALUE"""),270.15)</f>
        <v>270.15</v>
      </c>
      <c r="F71" s="6">
        <f>IFERROR(__xludf.DUMMYFUNCTION("""COMPUTED_VALUE"""),6.6920566E7)</f>
        <v>66920566</v>
      </c>
    </row>
    <row r="72">
      <c r="A72" s="7">
        <f>IFERROR(__xludf.DUMMYFUNCTION("""COMPUTED_VALUE"""),45695.64583333333)</f>
        <v>45695.64583</v>
      </c>
      <c r="B72" s="6">
        <f>IFERROR(__xludf.DUMMYFUNCTION("""COMPUTED_VALUE"""),277.85)</f>
        <v>277.85</v>
      </c>
      <c r="C72" s="6">
        <f>IFERROR(__xludf.DUMMYFUNCTION("""COMPUTED_VALUE"""),291.8)</f>
        <v>291.8</v>
      </c>
      <c r="D72" s="6">
        <f>IFERROR(__xludf.DUMMYFUNCTION("""COMPUTED_VALUE"""),263.3)</f>
        <v>263.3</v>
      </c>
      <c r="E72" s="6">
        <f>IFERROR(__xludf.DUMMYFUNCTION("""COMPUTED_VALUE"""),277.05)</f>
        <v>277.05</v>
      </c>
      <c r="F72" s="6">
        <f>IFERROR(__xludf.DUMMYFUNCTION("""COMPUTED_VALUE"""),1.33157267E8)</f>
        <v>133157267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IFERROR(__xludf.DUMMYFUNCTION("""COMPUTED_VALUE"""),278.9)</f>
        <v>278.9</v>
      </c>
      <c r="C73" s="6">
        <f>IFERROR(__xludf.DUMMYFUNCTION("""COMPUTED_VALUE"""),282.2)</f>
        <v>282.2</v>
      </c>
      <c r="D73" s="6">
        <f>IFERROR(__xludf.DUMMYFUNCTION("""COMPUTED_VALUE"""),248.2)</f>
        <v>248.2</v>
      </c>
      <c r="E73" s="6">
        <f>IFERROR(__xludf.DUMMYFUNCTION("""COMPUTED_VALUE"""),250.35)</f>
        <v>250.35</v>
      </c>
      <c r="F73" s="6">
        <f>IFERROR(__xludf.DUMMYFUNCTION("""COMPUTED_VALUE"""),1.17325261E8)</f>
        <v>117325261</v>
      </c>
    </row>
    <row r="74">
      <c r="A74" s="7">
        <f>IFERROR(__xludf.DUMMYFUNCTION("""COMPUTED_VALUE"""),45709.64583333333)</f>
        <v>45709.64583</v>
      </c>
      <c r="B74" s="6">
        <f>IFERROR(__xludf.DUMMYFUNCTION("""COMPUTED_VALUE"""),248.95)</f>
        <v>248.95</v>
      </c>
      <c r="C74" s="6">
        <f>IFERROR(__xludf.DUMMYFUNCTION("""COMPUTED_VALUE"""),262.5)</f>
        <v>262.5</v>
      </c>
      <c r="D74" s="6">
        <f>IFERROR(__xludf.DUMMYFUNCTION("""COMPUTED_VALUE"""),240.25)</f>
        <v>240.25</v>
      </c>
      <c r="E74" s="6">
        <f>IFERROR(__xludf.DUMMYFUNCTION("""COMPUTED_VALUE"""),256.1)</f>
        <v>256.1</v>
      </c>
      <c r="F74" s="6">
        <f>IFERROR(__xludf.DUMMYFUNCTION("""COMPUTED_VALUE"""),1.03161405E8)</f>
        <v>103161405</v>
      </c>
    </row>
    <row r="75">
      <c r="A75" s="7">
        <f>IFERROR(__xludf.DUMMYFUNCTION("""COMPUTED_VALUE"""),45716.64583333333)</f>
        <v>45716.64583</v>
      </c>
      <c r="B75" s="6">
        <f>IFERROR(__xludf.DUMMYFUNCTION("""COMPUTED_VALUE"""),251.0)</f>
        <v>251</v>
      </c>
      <c r="C75" s="6">
        <f>IFERROR(__xludf.DUMMYFUNCTION("""COMPUTED_VALUE"""),258.55)</f>
        <v>258.55</v>
      </c>
      <c r="D75" s="6">
        <f>IFERROR(__xludf.DUMMYFUNCTION("""COMPUTED_VALUE"""),243.5)</f>
        <v>243.5</v>
      </c>
      <c r="E75" s="6">
        <f>IFERROR(__xludf.DUMMYFUNCTION("""COMPUTED_VALUE"""),246.25)</f>
        <v>246.25</v>
      </c>
      <c r="F75" s="6">
        <f>IFERROR(__xludf.DUMMYFUNCTION("""COMPUTED_VALUE"""),5.902222E7)</f>
        <v>59022220</v>
      </c>
    </row>
    <row r="76">
      <c r="A76" s="7">
        <f>IFERROR(__xludf.DUMMYFUNCTION("""COMPUTED_VALUE"""),45723.64583333333)</f>
        <v>45723.64583</v>
      </c>
      <c r="B76" s="6">
        <f>IFERROR(__xludf.DUMMYFUNCTION("""COMPUTED_VALUE"""),247.5)</f>
        <v>247.5</v>
      </c>
      <c r="C76" s="6">
        <f>IFERROR(__xludf.DUMMYFUNCTION("""COMPUTED_VALUE"""),281.0)</f>
        <v>281</v>
      </c>
      <c r="D76" s="6">
        <f>IFERROR(__xludf.DUMMYFUNCTION("""COMPUTED_VALUE"""),244.36)</f>
        <v>244.36</v>
      </c>
      <c r="E76" s="6">
        <f>IFERROR(__xludf.DUMMYFUNCTION("""COMPUTED_VALUE"""),276.99)</f>
        <v>276.99</v>
      </c>
      <c r="F76" s="6">
        <f>IFERROR(__xludf.DUMMYFUNCTION("""COMPUTED_VALUE"""),1.26270879E8)</f>
        <v>126270879</v>
      </c>
    </row>
    <row r="77">
      <c r="A77" s="7">
        <f>IFERROR(__xludf.DUMMYFUNCTION("""COMPUTED_VALUE"""),45729.64583333333)</f>
        <v>45729.64583</v>
      </c>
      <c r="B77" s="6">
        <f>IFERROR(__xludf.DUMMYFUNCTION("""COMPUTED_VALUE"""),278.6)</f>
        <v>278.6</v>
      </c>
      <c r="C77" s="6">
        <f>IFERROR(__xludf.DUMMYFUNCTION("""COMPUTED_VALUE"""),285.8)</f>
        <v>285.8</v>
      </c>
      <c r="D77" s="6">
        <f>IFERROR(__xludf.DUMMYFUNCTION("""COMPUTED_VALUE"""),269.05)</f>
        <v>269.05</v>
      </c>
      <c r="E77" s="6">
        <f>IFERROR(__xludf.DUMMYFUNCTION("""COMPUTED_VALUE"""),280.07)</f>
        <v>280.07</v>
      </c>
      <c r="F77" s="6">
        <f>IFERROR(__xludf.DUMMYFUNCTION("""COMPUTED_VALUE"""),9.5291208E7)</f>
        <v>95291208</v>
      </c>
    </row>
    <row r="78">
      <c r="A78" s="7">
        <f>IFERROR(__xludf.DUMMYFUNCTION("""COMPUTED_VALUE"""),45737.64583333333)</f>
        <v>45737.64583</v>
      </c>
      <c r="B78" s="6">
        <f>IFERROR(__xludf.DUMMYFUNCTION("""COMPUTED_VALUE"""),281.0)</f>
        <v>281</v>
      </c>
      <c r="C78" s="6">
        <f>IFERROR(__xludf.DUMMYFUNCTION("""COMPUTED_VALUE"""),301.0)</f>
        <v>301</v>
      </c>
      <c r="D78" s="6">
        <f>IFERROR(__xludf.DUMMYFUNCTION("""COMPUTED_VALUE"""),276.72)</f>
        <v>276.72</v>
      </c>
      <c r="E78" s="6">
        <f>IFERROR(__xludf.DUMMYFUNCTION("""COMPUTED_VALUE"""),295.74)</f>
        <v>295.74</v>
      </c>
      <c r="F78" s="6">
        <f>IFERROR(__xludf.DUMMYFUNCTION("""COMPUTED_VALUE"""),1.19913728E8)</f>
        <v>119913728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IFERROR(__xludf.DUMMYFUNCTION("""COMPUTED_VALUE"""),296.9)</f>
        <v>296.9</v>
      </c>
      <c r="C79" s="6">
        <f>IFERROR(__xludf.DUMMYFUNCTION("""COMPUTED_VALUE"""),306.58)</f>
        <v>306.58</v>
      </c>
      <c r="D79" s="6">
        <f>IFERROR(__xludf.DUMMYFUNCTION("""COMPUTED_VALUE"""),296.35)</f>
        <v>296.35</v>
      </c>
      <c r="E79" s="6">
        <f>IFERROR(__xludf.DUMMYFUNCTION("""COMPUTED_VALUE"""),301.32)</f>
        <v>301.32</v>
      </c>
      <c r="F79" s="6">
        <f>IFERROR(__xludf.DUMMYFUNCTION("""COMPUTED_VALUE"""),1.08474484E8)</f>
        <v>108474484</v>
      </c>
    </row>
    <row r="80">
      <c r="A80" s="7">
        <f>IFERROR(__xludf.DUMMYFUNCTION("""COMPUTED_VALUE"""),45751.64583333333)</f>
        <v>45751.64583</v>
      </c>
      <c r="B80" s="6">
        <f>IFERROR(__xludf.DUMMYFUNCTION("""COMPUTED_VALUE"""),302.0)</f>
        <v>302</v>
      </c>
      <c r="C80" s="6">
        <f>IFERROR(__xludf.DUMMYFUNCTION("""COMPUTED_VALUE"""),305.8)</f>
        <v>305.8</v>
      </c>
      <c r="D80" s="6">
        <f>IFERROR(__xludf.DUMMYFUNCTION("""COMPUTED_VALUE"""),274.45)</f>
        <v>274.45</v>
      </c>
      <c r="E80" s="6">
        <f>IFERROR(__xludf.DUMMYFUNCTION("""COMPUTED_VALUE"""),280.0)</f>
        <v>280</v>
      </c>
      <c r="F80" s="6">
        <f>IFERROR(__xludf.DUMMYFUNCTION("""COMPUTED_VALUE"""),1.26493286E8)</f>
        <v>126493286</v>
      </c>
    </row>
    <row r="81">
      <c r="A81" s="7">
        <f>IFERROR(__xludf.DUMMYFUNCTION("""COMPUTED_VALUE"""),45758.64583333333)</f>
        <v>45758.64583</v>
      </c>
      <c r="B81" s="6">
        <f>IFERROR(__xludf.DUMMYFUNCTION("""COMPUTED_VALUE"""),257.0)</f>
        <v>257</v>
      </c>
      <c r="C81" s="6">
        <f>IFERROR(__xludf.DUMMYFUNCTION("""COMPUTED_VALUE"""),288.0)</f>
        <v>288</v>
      </c>
      <c r="D81" s="6">
        <f>IFERROR(__xludf.DUMMYFUNCTION("""COMPUTED_VALUE"""),256.2)</f>
        <v>256.2</v>
      </c>
      <c r="E81" s="6">
        <f>IFERROR(__xludf.DUMMYFUNCTION("""COMPUTED_VALUE"""),285.0)</f>
        <v>285</v>
      </c>
      <c r="F81" s="6">
        <f>IFERROR(__xludf.DUMMYFUNCTION("""COMPUTED_VALUE"""),7.7014715E7)</f>
        <v>77014715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IFERROR(__xludf.DUMMYFUNCTION("""COMPUTED_VALUE"""),289.9)</f>
        <v>289.9</v>
      </c>
      <c r="C82" s="6">
        <f>IFERROR(__xludf.DUMMYFUNCTION("""COMPUTED_VALUE"""),296.6)</f>
        <v>296.6</v>
      </c>
      <c r="D82" s="6">
        <f>IFERROR(__xludf.DUMMYFUNCTION("""COMPUTED_VALUE"""),287.55)</f>
        <v>287.55</v>
      </c>
      <c r="E82" s="6">
        <f>IFERROR(__xludf.DUMMYFUNCTION("""COMPUTED_VALUE"""),295.15)</f>
        <v>295.15</v>
      </c>
      <c r="F82" s="6">
        <f>IFERROR(__xludf.DUMMYFUNCTION("""COMPUTED_VALUE"""),4.5601455E7)</f>
        <v>45601455</v>
      </c>
    </row>
    <row r="83">
      <c r="A83" s="7">
        <f>IFERROR(__xludf.DUMMYFUNCTION("""COMPUTED_VALUE"""),45772.64583333333)</f>
        <v>45772.64583</v>
      </c>
      <c r="B83" s="6">
        <f>IFERROR(__xludf.DUMMYFUNCTION("""COMPUTED_VALUE"""),297.5)</f>
        <v>297.5</v>
      </c>
      <c r="C83" s="6">
        <f>IFERROR(__xludf.DUMMYFUNCTION("""COMPUTED_VALUE"""),310.3)</f>
        <v>310.3</v>
      </c>
      <c r="D83" s="6">
        <f>IFERROR(__xludf.DUMMYFUNCTION("""COMPUTED_VALUE"""),293.7)</f>
        <v>293.7</v>
      </c>
      <c r="E83" s="6">
        <f>IFERROR(__xludf.DUMMYFUNCTION("""COMPUTED_VALUE"""),297.6)</f>
        <v>297.6</v>
      </c>
      <c r="F83" s="6">
        <f>IFERROR(__xludf.DUMMYFUNCTION("""COMPUTED_VALUE"""),8.5493901E7)</f>
        <v>85493901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IFERROR(__xludf.DUMMYFUNCTION("""COMPUTED_VALUE"""),296.0)</f>
        <v>296</v>
      </c>
      <c r="C84" s="6">
        <f>IFERROR(__xludf.DUMMYFUNCTION("""COMPUTED_VALUE"""),320.45)</f>
        <v>320.45</v>
      </c>
      <c r="D84" s="6">
        <f>IFERROR(__xludf.DUMMYFUNCTION("""COMPUTED_VALUE"""),295.85)</f>
        <v>295.85</v>
      </c>
      <c r="E84" s="6">
        <f>IFERROR(__xludf.DUMMYFUNCTION("""COMPUTED_VALUE"""),311.35)</f>
        <v>311.35</v>
      </c>
      <c r="F84" s="6">
        <f>IFERROR(__xludf.DUMMYFUNCTION("""COMPUTED_VALUE"""),1.28111583E8)</f>
        <v>128111583</v>
      </c>
    </row>
    <row r="85">
      <c r="A85" s="7">
        <f>IFERROR(__xludf.DUMMYFUNCTION("""COMPUTED_VALUE"""),45786.64583333333)</f>
        <v>45786.64583</v>
      </c>
      <c r="B85" s="6">
        <f>IFERROR(__xludf.DUMMYFUNCTION("""COMPUTED_VALUE"""),313.95)</f>
        <v>313.95</v>
      </c>
      <c r="C85" s="6">
        <f>IFERROR(__xludf.DUMMYFUNCTION("""COMPUTED_VALUE"""),321.8)</f>
        <v>321.8</v>
      </c>
      <c r="D85" s="6">
        <f>IFERROR(__xludf.DUMMYFUNCTION("""COMPUTED_VALUE"""),304.8)</f>
        <v>304.8</v>
      </c>
      <c r="E85" s="6">
        <f>IFERROR(__xludf.DUMMYFUNCTION("""COMPUTED_VALUE"""),315.85)</f>
        <v>315.85</v>
      </c>
      <c r="F85" s="6">
        <f>IFERROR(__xludf.DUMMYFUNCTION("""COMPUTED_VALUE"""),1.08615962E8)</f>
        <v>108615962</v>
      </c>
    </row>
    <row r="86">
      <c r="A86" s="7">
        <f>IFERROR(__xludf.DUMMYFUNCTION("""COMPUTED_VALUE"""),45793.64583333333)</f>
        <v>45793.64583</v>
      </c>
      <c r="B86" s="6">
        <f>IFERROR(__xludf.DUMMYFUNCTION("""COMPUTED_VALUE"""),325.0)</f>
        <v>325</v>
      </c>
      <c r="C86" s="6">
        <f>IFERROR(__xludf.DUMMYFUNCTION("""COMPUTED_VALUE"""),371.15)</f>
        <v>371.15</v>
      </c>
      <c r="D86" s="6">
        <f>IFERROR(__xludf.DUMMYFUNCTION("""COMPUTED_VALUE"""),316.2)</f>
        <v>316.2</v>
      </c>
      <c r="E86" s="6">
        <f>IFERROR(__xludf.DUMMYFUNCTION("""COMPUTED_VALUE"""),363.9)</f>
        <v>363.9</v>
      </c>
      <c r="F86" s="6">
        <f>IFERROR(__xludf.DUMMYFUNCTION("""COMPUTED_VALUE"""),2.46412383E8)</f>
        <v>246412383</v>
      </c>
    </row>
    <row r="87">
      <c r="A87" s="7">
        <f>IFERROR(__xludf.DUMMYFUNCTION("""COMPUTED_VALUE"""),45800.64583333333)</f>
        <v>45800.64583</v>
      </c>
      <c r="B87" s="6">
        <f>IFERROR(__xludf.DUMMYFUNCTION("""COMPUTED_VALUE"""),372.9)</f>
        <v>372.9</v>
      </c>
      <c r="C87" s="6">
        <f>IFERROR(__xludf.DUMMYFUNCTION("""COMPUTED_VALUE"""),389.9)</f>
        <v>389.9</v>
      </c>
      <c r="D87" s="6">
        <f>IFERROR(__xludf.DUMMYFUNCTION("""COMPUTED_VALUE"""),358.5)</f>
        <v>358.5</v>
      </c>
      <c r="E87" s="6">
        <f>IFERROR(__xludf.DUMMYFUNCTION("""COMPUTED_VALUE"""),383.8)</f>
        <v>383.8</v>
      </c>
      <c r="F87" s="6">
        <f>IFERROR(__xludf.DUMMYFUNCTION("""COMPUTED_VALUE"""),2.88933706E8)</f>
        <v>288933706</v>
      </c>
    </row>
    <row r="88">
      <c r="A88" s="7">
        <f>IFERROR(__xludf.DUMMYFUNCTION("""COMPUTED_VALUE"""),45807.64583333333)</f>
        <v>45807.64583</v>
      </c>
      <c r="B88" s="6">
        <f>IFERROR(__xludf.DUMMYFUNCTION("""COMPUTED_VALUE"""),384.9)</f>
        <v>384.9</v>
      </c>
      <c r="C88" s="6">
        <f>IFERROR(__xludf.DUMMYFUNCTION("""COMPUTED_VALUE"""),393.5)</f>
        <v>393.5</v>
      </c>
      <c r="D88" s="6">
        <f>IFERROR(__xludf.DUMMYFUNCTION("""COMPUTED_VALUE"""),378.5)</f>
        <v>378.5</v>
      </c>
      <c r="E88" s="6">
        <f>IFERROR(__xludf.DUMMYFUNCTION("""COMPUTED_VALUE"""),384.6)</f>
        <v>384.6</v>
      </c>
      <c r="F88" s="6">
        <f>IFERROR(__xludf.DUMMYFUNCTION("""COMPUTED_VALUE"""),1.12838457E8)</f>
        <v>112838457</v>
      </c>
    </row>
    <row r="89">
      <c r="A89" s="7">
        <f>IFERROR(__xludf.DUMMYFUNCTION("""COMPUTED_VALUE"""),45814.64583333333)</f>
        <v>45814.64583</v>
      </c>
      <c r="B89" s="6">
        <f>IFERROR(__xludf.DUMMYFUNCTION("""COMPUTED_VALUE"""),385.0)</f>
        <v>385</v>
      </c>
      <c r="C89" s="6">
        <f>IFERROR(__xludf.DUMMYFUNCTION("""COMPUTED_VALUE"""),396.85)</f>
        <v>396.85</v>
      </c>
      <c r="D89" s="6">
        <f>IFERROR(__xludf.DUMMYFUNCTION("""COMPUTED_VALUE"""),383.75)</f>
        <v>383.75</v>
      </c>
      <c r="E89" s="6">
        <f>IFERROR(__xludf.DUMMYFUNCTION("""COMPUTED_VALUE"""),390.7)</f>
        <v>390.7</v>
      </c>
      <c r="F89" s="6">
        <f>IFERROR(__xludf.DUMMYFUNCTION("""COMPUTED_VALUE"""),8.9335671E7)</f>
        <v>89335671</v>
      </c>
    </row>
    <row r="90">
      <c r="A90" s="7">
        <f>IFERROR(__xludf.DUMMYFUNCTION("""COMPUTED_VALUE"""),45821.64583333333)</f>
        <v>45821.64583</v>
      </c>
      <c r="B90" s="6">
        <f>IFERROR(__xludf.DUMMYFUNCTION("""COMPUTED_VALUE"""),394.0)</f>
        <v>394</v>
      </c>
      <c r="C90" s="6">
        <f>IFERROR(__xludf.DUMMYFUNCTION("""COMPUTED_VALUE"""),401.85)</f>
        <v>401.85</v>
      </c>
      <c r="D90" s="6">
        <f>IFERROR(__xludf.DUMMYFUNCTION("""COMPUTED_VALUE"""),379.5)</f>
        <v>379.5</v>
      </c>
      <c r="E90" s="6">
        <f>IFERROR(__xludf.DUMMYFUNCTION("""COMPUTED_VALUE"""),394.2)</f>
        <v>394.2</v>
      </c>
      <c r="F90" s="6">
        <f>IFERROR(__xludf.DUMMYFUNCTION("""COMPUTED_VALUE"""),1.09363653E8)</f>
        <v>109363653</v>
      </c>
    </row>
    <row r="91">
      <c r="A91" s="7">
        <f>IFERROR(__xludf.DUMMYFUNCTION("""COMPUTED_VALUE"""),45828.64583333333)</f>
        <v>45828.64583</v>
      </c>
      <c r="B91" s="6">
        <f>IFERROR(__xludf.DUMMYFUNCTION("""COMPUTED_VALUE"""),396.15)</f>
        <v>396.15</v>
      </c>
      <c r="C91" s="6">
        <f>IFERROR(__xludf.DUMMYFUNCTION("""COMPUTED_VALUE"""),410.0)</f>
        <v>410</v>
      </c>
      <c r="D91" s="6">
        <f>IFERROR(__xludf.DUMMYFUNCTION("""COMPUTED_VALUE"""),393.45)</f>
        <v>393.45</v>
      </c>
      <c r="E91" s="6">
        <f>IFERROR(__xludf.DUMMYFUNCTION("""COMPUTED_VALUE"""),408.25)</f>
        <v>408.25</v>
      </c>
      <c r="F91" s="6">
        <f>IFERROR(__xludf.DUMMYFUNCTION("""COMPUTED_VALUE"""),2.16086443E8)</f>
        <v>216086443</v>
      </c>
    </row>
    <row r="92">
      <c r="A92" s="7">
        <f>IFERROR(__xludf.DUMMYFUNCTION("""COMPUTED_VALUE"""),45835.64583333333)</f>
        <v>45835.64583</v>
      </c>
      <c r="B92" s="6">
        <f>IFERROR(__xludf.DUMMYFUNCTION("""COMPUTED_VALUE"""),411.0)</f>
        <v>411</v>
      </c>
      <c r="C92" s="6">
        <f>IFERROR(__xludf.DUMMYFUNCTION("""COMPUTED_VALUE"""),426.5)</f>
        <v>426.5</v>
      </c>
      <c r="D92" s="6">
        <f>IFERROR(__xludf.DUMMYFUNCTION("""COMPUTED_VALUE"""),405.0)</f>
        <v>405</v>
      </c>
      <c r="E92" s="6">
        <f>IFERROR(__xludf.DUMMYFUNCTION("""COMPUTED_VALUE"""),414.5)</f>
        <v>414.5</v>
      </c>
      <c r="F92" s="6">
        <f>IFERROR(__xludf.DUMMYFUNCTION("""COMPUTED_VALUE"""),1.72982135E8)</f>
        <v>172982135</v>
      </c>
    </row>
    <row r="93">
      <c r="A93" s="7">
        <f>IFERROR(__xludf.DUMMYFUNCTION("""COMPUTED_VALUE"""),45842.64583333333)</f>
        <v>45842.64583</v>
      </c>
      <c r="B93" s="6">
        <f>IFERROR(__xludf.DUMMYFUNCTION("""COMPUTED_VALUE"""),416.65)</f>
        <v>416.65</v>
      </c>
      <c r="C93" s="6">
        <f>IFERROR(__xludf.DUMMYFUNCTION("""COMPUTED_VALUE"""),436.0)</f>
        <v>436</v>
      </c>
      <c r="D93" s="6">
        <f>IFERROR(__xludf.DUMMYFUNCTION("""COMPUTED_VALUE"""),414.25)</f>
        <v>414.25</v>
      </c>
      <c r="E93" s="6">
        <f>IFERROR(__xludf.DUMMYFUNCTION("""COMPUTED_VALUE"""),427.55)</f>
        <v>427.55</v>
      </c>
      <c r="F93" s="6">
        <f>IFERROR(__xludf.DUMMYFUNCTION("""COMPUTED_VALUE"""),1.08717597E8)</f>
        <v>108717597</v>
      </c>
    </row>
    <row r="94">
      <c r="A94" s="7">
        <f>IFERROR(__xludf.DUMMYFUNCTION("""COMPUTED_VALUE"""),45849.64583333333)</f>
        <v>45849.64583</v>
      </c>
      <c r="B94" s="6">
        <f>IFERROR(__xludf.DUMMYFUNCTION("""COMPUTED_VALUE"""),427.45)</f>
        <v>427.45</v>
      </c>
      <c r="C94" s="6">
        <f>IFERROR(__xludf.DUMMYFUNCTION("""COMPUTED_VALUE"""),427.45)</f>
        <v>427.45</v>
      </c>
      <c r="D94" s="6">
        <f>IFERROR(__xludf.DUMMYFUNCTION("""COMPUTED_VALUE"""),405.1)</f>
        <v>405.1</v>
      </c>
      <c r="E94" s="6">
        <f>IFERROR(__xludf.DUMMYFUNCTION("""COMPUTED_VALUE"""),409.3)</f>
        <v>409.3</v>
      </c>
      <c r="F94" s="6">
        <f>IFERROR(__xludf.DUMMYFUNCTION("""COMPUTED_VALUE"""),8.6249429E7)</f>
        <v>86249429</v>
      </c>
    </row>
    <row r="95">
      <c r="A95" s="7">
        <f>IFERROR(__xludf.DUMMYFUNCTION("""COMPUTED_VALUE"""),45856.64583333333)</f>
        <v>45856.64583</v>
      </c>
      <c r="B95" s="6">
        <f>IFERROR(__xludf.DUMMYFUNCTION("""COMPUTED_VALUE"""),405.5)</f>
        <v>405.5</v>
      </c>
      <c r="C95" s="6">
        <f>IFERROR(__xludf.DUMMYFUNCTION("""COMPUTED_VALUE"""),412.9)</f>
        <v>412.9</v>
      </c>
      <c r="D95" s="6">
        <f>IFERROR(__xludf.DUMMYFUNCTION("""COMPUTED_VALUE"""),394.15)</f>
        <v>394.15</v>
      </c>
      <c r="E95" s="6">
        <f>IFERROR(__xludf.DUMMYFUNCTION("""COMPUTED_VALUE"""),394.75)</f>
        <v>394.75</v>
      </c>
      <c r="F95" s="6">
        <f>IFERROR(__xludf.DUMMYFUNCTION("""COMPUTED_VALUE"""),6.8084039E7)</f>
        <v>68084039</v>
      </c>
    </row>
    <row r="96">
      <c r="A96" s="7">
        <f>IFERROR(__xludf.DUMMYFUNCTION("""COMPUTED_VALUE"""),45863.64583333333)</f>
        <v>45863.64583</v>
      </c>
      <c r="B96" s="6">
        <f>IFERROR(__xludf.DUMMYFUNCTION("""COMPUTED_VALUE"""),394.6)</f>
        <v>394.6</v>
      </c>
      <c r="C96" s="6">
        <f>IFERROR(__xludf.DUMMYFUNCTION("""COMPUTED_VALUE"""),404.9)</f>
        <v>404.9</v>
      </c>
      <c r="D96" s="6">
        <f>IFERROR(__xludf.DUMMYFUNCTION("""COMPUTED_VALUE"""),391.1)</f>
        <v>391.1</v>
      </c>
      <c r="E96" s="6">
        <f>IFERROR(__xludf.DUMMYFUNCTION("""COMPUTED_VALUE"""),395.2)</f>
        <v>395.2</v>
      </c>
      <c r="F96" s="6">
        <f>IFERROR(__xludf.DUMMYFUNCTION("""COMPUTED_VALUE"""),5.1811236E7)</f>
        <v>51811236</v>
      </c>
    </row>
    <row r="97">
      <c r="A97" s="7">
        <f>IFERROR(__xludf.DUMMYFUNCTION("""COMPUTED_VALUE"""),45870.64583333333)</f>
        <v>45870.64583</v>
      </c>
      <c r="B97" s="6">
        <f>IFERROR(__xludf.DUMMYFUNCTION("""COMPUTED_VALUE"""),395.2)</f>
        <v>395.2</v>
      </c>
      <c r="C97" s="6">
        <f>IFERROR(__xludf.DUMMYFUNCTION("""COMPUTED_VALUE"""),396.35)</f>
        <v>396.35</v>
      </c>
      <c r="D97" s="6">
        <f>IFERROR(__xludf.DUMMYFUNCTION("""COMPUTED_VALUE"""),376.2)</f>
        <v>376.2</v>
      </c>
      <c r="E97" s="6">
        <f>IFERROR(__xludf.DUMMYFUNCTION("""COMPUTED_VALUE"""),377.2)</f>
        <v>377.2</v>
      </c>
      <c r="F97" s="6">
        <f>IFERROR(__xludf.DUMMYFUNCTION("""COMPUTED_VALUE"""),7.4904537E7)</f>
        <v>74904537</v>
      </c>
    </row>
    <row r="98">
      <c r="A98" s="7">
        <f>IFERROR(__xludf.DUMMYFUNCTION("""COMPUTED_VALUE"""),45877.64583333333)</f>
        <v>45877.64583</v>
      </c>
      <c r="B98" s="6">
        <f>IFERROR(__xludf.DUMMYFUNCTION("""COMPUTED_VALUE"""),379.0)</f>
        <v>379</v>
      </c>
      <c r="C98" s="6">
        <f>IFERROR(__xludf.DUMMYFUNCTION("""COMPUTED_VALUE"""),393.5)</f>
        <v>393.5</v>
      </c>
      <c r="D98" s="6">
        <f>IFERROR(__xludf.DUMMYFUNCTION("""COMPUTED_VALUE"""),376.45)</f>
        <v>376.45</v>
      </c>
      <c r="E98" s="6">
        <f>IFERROR(__xludf.DUMMYFUNCTION("""COMPUTED_VALUE"""),384.6)</f>
        <v>384.6</v>
      </c>
      <c r="F98" s="6">
        <f>IFERROR(__xludf.DUMMYFUNCTION("""COMPUTED_VALUE"""),6.2449289E7)</f>
        <v>62449289</v>
      </c>
    </row>
    <row r="99">
      <c r="A99" s="7">
        <f>IFERROR(__xludf.DUMMYFUNCTION("""COMPUTED_VALUE"""),45883.64583333333)</f>
        <v>45883.64583</v>
      </c>
      <c r="B99" s="6">
        <f>IFERROR(__xludf.DUMMYFUNCTION("""COMPUTED_VALUE"""),384.0)</f>
        <v>384</v>
      </c>
      <c r="C99" s="6">
        <f>IFERROR(__xludf.DUMMYFUNCTION("""COMPUTED_VALUE"""),389.9)</f>
        <v>389.9</v>
      </c>
      <c r="D99" s="6">
        <f>IFERROR(__xludf.DUMMYFUNCTION("""COMPUTED_VALUE"""),379.55)</f>
        <v>379.55</v>
      </c>
      <c r="E99" s="6">
        <f>IFERROR(__xludf.DUMMYFUNCTION("""COMPUTED_VALUE"""),384.9)</f>
        <v>384.9</v>
      </c>
      <c r="F99" s="6">
        <f>IFERROR(__xludf.DUMMYFUNCTION("""COMPUTED_VALUE"""),3.7217021E7)</f>
        <v>37217021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IFERROR(__xludf.DUMMYFUNCTION("""COMPUTED_VALUE"""),388.0)</f>
        <v>388</v>
      </c>
      <c r="C100" s="6">
        <f>IFERROR(__xludf.DUMMYFUNCTION("""COMPUTED_VALUE"""),389.75)</f>
        <v>389.75</v>
      </c>
      <c r="D100" s="6">
        <f>IFERROR(__xludf.DUMMYFUNCTION("""COMPUTED_VALUE"""),371.1)</f>
        <v>371.1</v>
      </c>
      <c r="E100" s="6">
        <f>IFERROR(__xludf.DUMMYFUNCTION("""COMPUTED_VALUE"""),374.85)</f>
        <v>374.85</v>
      </c>
      <c r="F100" s="6">
        <f>IFERROR(__xludf.DUMMYFUNCTION("""COMPUTED_VALUE"""),7.1106194E7)</f>
        <v>71106194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IFERROR(__xludf.DUMMYFUNCTION("""COMPUTED_VALUE"""),377.85)</f>
        <v>377.85</v>
      </c>
      <c r="C101" s="6">
        <f>IFERROR(__xludf.DUMMYFUNCTION("""COMPUTED_VALUE"""),380.05)</f>
        <v>380.05</v>
      </c>
      <c r="D101" s="6">
        <f>IFERROR(__xludf.DUMMYFUNCTION("""COMPUTED_VALUE"""),364.25)</f>
        <v>364.25</v>
      </c>
      <c r="E101" s="6">
        <f>IFERROR(__xludf.DUMMYFUNCTION("""COMPUTED_VALUE"""),365.85)</f>
        <v>365.85</v>
      </c>
      <c r="F101" s="6">
        <f>IFERROR(__xludf.DUMMYFUNCTION("""COMPUTED_VALUE"""),1.65805082E8)</f>
        <v>165805082</v>
      </c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IFERROR(__xludf.DUMMYFUNCTION("GOOGLEFINANCE(""NSE:BHARATFORG"",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IFERROR(__xludf.DUMMYFUNCTION("""COMPUTED_VALUE"""),1025.0)</f>
        <v>1025</v>
      </c>
      <c r="C2" s="6">
        <f>IFERROR(__xludf.DUMMYFUNCTION("""COMPUTED_VALUE"""),1080.95)</f>
        <v>1080.95</v>
      </c>
      <c r="D2" s="6">
        <f>IFERROR(__xludf.DUMMYFUNCTION("""COMPUTED_VALUE"""),1023.05)</f>
        <v>1023.05</v>
      </c>
      <c r="E2" s="6">
        <f>IFERROR(__xludf.DUMMYFUNCTION("""COMPUTED_VALUE"""),1078.8)</f>
        <v>1078.8</v>
      </c>
      <c r="F2" s="6">
        <f>IFERROR(__xludf.DUMMYFUNCTION("""COMPUTED_VALUE"""),8229761.0)</f>
        <v>8229761</v>
      </c>
    </row>
    <row r="3">
      <c r="A3" s="7">
        <f>IFERROR(__xludf.DUMMYFUNCTION("""COMPUTED_VALUE"""),45177.64583333333)</f>
        <v>45177.64583</v>
      </c>
      <c r="B3" s="6">
        <f>IFERROR(__xludf.DUMMYFUNCTION("""COMPUTED_VALUE"""),1085.0)</f>
        <v>1085</v>
      </c>
      <c r="C3" s="6">
        <f>IFERROR(__xludf.DUMMYFUNCTION("""COMPUTED_VALUE"""),1111.9)</f>
        <v>1111.9</v>
      </c>
      <c r="D3" s="6">
        <f>IFERROR(__xludf.DUMMYFUNCTION("""COMPUTED_VALUE"""),1075.0)</f>
        <v>1075</v>
      </c>
      <c r="E3" s="6">
        <f>IFERROR(__xludf.DUMMYFUNCTION("""COMPUTED_VALUE"""),1105.4)</f>
        <v>1105.4</v>
      </c>
      <c r="F3" s="6">
        <f>IFERROR(__xludf.DUMMYFUNCTION("""COMPUTED_VALUE"""),4838634.0)</f>
        <v>4838634</v>
      </c>
    </row>
    <row r="4">
      <c r="A4" s="7">
        <f>IFERROR(__xludf.DUMMYFUNCTION("""COMPUTED_VALUE"""),45184.64583333333)</f>
        <v>45184.64583</v>
      </c>
      <c r="B4" s="6">
        <f>IFERROR(__xludf.DUMMYFUNCTION("""COMPUTED_VALUE"""),1107.1)</f>
        <v>1107.1</v>
      </c>
      <c r="C4" s="6">
        <f>IFERROR(__xludf.DUMMYFUNCTION("""COMPUTED_VALUE"""),1148.05)</f>
        <v>1148.05</v>
      </c>
      <c r="D4" s="6">
        <f>IFERROR(__xludf.DUMMYFUNCTION("""COMPUTED_VALUE"""),1064.05)</f>
        <v>1064.05</v>
      </c>
      <c r="E4" s="6">
        <f>IFERROR(__xludf.DUMMYFUNCTION("""COMPUTED_VALUE"""),1134.4)</f>
        <v>1134.4</v>
      </c>
      <c r="F4" s="6">
        <f>IFERROR(__xludf.DUMMYFUNCTION("""COMPUTED_VALUE"""),6706040.0)</f>
        <v>6706040</v>
      </c>
    </row>
    <row r="5">
      <c r="A5" s="7">
        <f>IFERROR(__xludf.DUMMYFUNCTION("""COMPUTED_VALUE"""),45191.64583333333)</f>
        <v>45191.64583</v>
      </c>
      <c r="B5" s="6">
        <f>IFERROR(__xludf.DUMMYFUNCTION("""COMPUTED_VALUE"""),1145.0)</f>
        <v>1145</v>
      </c>
      <c r="C5" s="6">
        <f>IFERROR(__xludf.DUMMYFUNCTION("""COMPUTED_VALUE"""),1145.0)</f>
        <v>1145</v>
      </c>
      <c r="D5" s="6">
        <f>IFERROR(__xludf.DUMMYFUNCTION("""COMPUTED_VALUE"""),1087.55)</f>
        <v>1087.55</v>
      </c>
      <c r="E5" s="6">
        <f>IFERROR(__xludf.DUMMYFUNCTION("""COMPUTED_VALUE"""),1090.95)</f>
        <v>1090.95</v>
      </c>
      <c r="F5" s="6">
        <f>IFERROR(__xludf.DUMMYFUNCTION("""COMPUTED_VALUE"""),3928677.0)</f>
        <v>3928677</v>
      </c>
    </row>
    <row r="6">
      <c r="A6" s="7">
        <f>IFERROR(__xludf.DUMMYFUNCTION("""COMPUTED_VALUE"""),45198.64583333333)</f>
        <v>45198.64583</v>
      </c>
      <c r="B6" s="6">
        <f>IFERROR(__xludf.DUMMYFUNCTION("""COMPUTED_VALUE"""),1090.95)</f>
        <v>1090.95</v>
      </c>
      <c r="C6" s="6">
        <f>IFERROR(__xludf.DUMMYFUNCTION("""COMPUTED_VALUE"""),1115.7)</f>
        <v>1115.7</v>
      </c>
      <c r="D6" s="6">
        <f>IFERROR(__xludf.DUMMYFUNCTION("""COMPUTED_VALUE"""),1076.7)</f>
        <v>1076.7</v>
      </c>
      <c r="E6" s="6">
        <f>IFERROR(__xludf.DUMMYFUNCTION("""COMPUTED_VALUE"""),1091.6)</f>
        <v>1091.6</v>
      </c>
      <c r="F6" s="6">
        <f>IFERROR(__xludf.DUMMYFUNCTION("""COMPUTED_VALUE"""),5523590.0)</f>
        <v>5523590</v>
      </c>
    </row>
    <row r="7">
      <c r="A7" s="7">
        <f>IFERROR(__xludf.DUMMYFUNCTION("""COMPUTED_VALUE"""),45205.64583333333)</f>
        <v>45205.64583</v>
      </c>
      <c r="B7" s="6">
        <f>IFERROR(__xludf.DUMMYFUNCTION("""COMPUTED_VALUE"""),1090.95)</f>
        <v>1090.95</v>
      </c>
      <c r="C7" s="6">
        <f>IFERROR(__xludf.DUMMYFUNCTION("""COMPUTED_VALUE"""),1094.7)</f>
        <v>1094.7</v>
      </c>
      <c r="D7" s="6">
        <f>IFERROR(__xludf.DUMMYFUNCTION("""COMPUTED_VALUE"""),1051.8)</f>
        <v>1051.8</v>
      </c>
      <c r="E7" s="6">
        <f>IFERROR(__xludf.DUMMYFUNCTION("""COMPUTED_VALUE"""),1091.9)</f>
        <v>1091.9</v>
      </c>
      <c r="F7" s="6">
        <f>IFERROR(__xludf.DUMMYFUNCTION("""COMPUTED_VALUE"""),2791458.0)</f>
        <v>2791458</v>
      </c>
    </row>
    <row r="8">
      <c r="A8" s="7">
        <f>IFERROR(__xludf.DUMMYFUNCTION("""COMPUTED_VALUE"""),45212.64583333333)</f>
        <v>45212.64583</v>
      </c>
      <c r="B8" s="6">
        <f>IFERROR(__xludf.DUMMYFUNCTION("""COMPUTED_VALUE"""),1089.95)</f>
        <v>1089.95</v>
      </c>
      <c r="C8" s="6">
        <f>IFERROR(__xludf.DUMMYFUNCTION("""COMPUTED_VALUE"""),1127.0)</f>
        <v>1127</v>
      </c>
      <c r="D8" s="6">
        <f>IFERROR(__xludf.DUMMYFUNCTION("""COMPUTED_VALUE"""),1073.65)</f>
        <v>1073.65</v>
      </c>
      <c r="E8" s="6">
        <f>IFERROR(__xludf.DUMMYFUNCTION("""COMPUTED_VALUE"""),1117.9)</f>
        <v>1117.9</v>
      </c>
      <c r="F8" s="6">
        <f>IFERROR(__xludf.DUMMYFUNCTION("""COMPUTED_VALUE"""),3512395.0)</f>
        <v>3512395</v>
      </c>
    </row>
    <row r="9">
      <c r="A9" s="7">
        <f>IFERROR(__xludf.DUMMYFUNCTION("""COMPUTED_VALUE"""),45219.64583333333)</f>
        <v>45219.64583</v>
      </c>
      <c r="B9" s="6">
        <f>IFERROR(__xludf.DUMMYFUNCTION("""COMPUTED_VALUE"""),1119.5)</f>
        <v>1119.5</v>
      </c>
      <c r="C9" s="6">
        <f>IFERROR(__xludf.DUMMYFUNCTION("""COMPUTED_VALUE"""),1128.8)</f>
        <v>1128.8</v>
      </c>
      <c r="D9" s="6">
        <f>IFERROR(__xludf.DUMMYFUNCTION("""COMPUTED_VALUE"""),1065.05)</f>
        <v>1065.05</v>
      </c>
      <c r="E9" s="6">
        <f>IFERROR(__xludf.DUMMYFUNCTION("""COMPUTED_VALUE"""),1071.05)</f>
        <v>1071.05</v>
      </c>
      <c r="F9" s="6">
        <f>IFERROR(__xludf.DUMMYFUNCTION("""COMPUTED_VALUE"""),2781306.0)</f>
        <v>2781306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IFERROR(__xludf.DUMMYFUNCTION("""COMPUTED_VALUE"""),1071.8)</f>
        <v>1071.8</v>
      </c>
      <c r="C10" s="6">
        <f>IFERROR(__xludf.DUMMYFUNCTION("""COMPUTED_VALUE"""),1085.15)</f>
        <v>1085.15</v>
      </c>
      <c r="D10" s="6">
        <f>IFERROR(__xludf.DUMMYFUNCTION("""COMPUTED_VALUE"""),1008.9)</f>
        <v>1008.9</v>
      </c>
      <c r="E10" s="6">
        <f>IFERROR(__xludf.DUMMYFUNCTION("""COMPUTED_VALUE"""),1025.0)</f>
        <v>1025</v>
      </c>
      <c r="F10" s="6">
        <f>IFERROR(__xludf.DUMMYFUNCTION("""COMPUTED_VALUE"""),5797354.0)</f>
        <v>5797354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IFERROR(__xludf.DUMMYFUNCTION("""COMPUTED_VALUE"""),1025.0)</f>
        <v>1025</v>
      </c>
      <c r="C11" s="6">
        <f>IFERROR(__xludf.DUMMYFUNCTION("""COMPUTED_VALUE"""),1043.0)</f>
        <v>1043</v>
      </c>
      <c r="D11" s="6">
        <f>IFERROR(__xludf.DUMMYFUNCTION("""COMPUTED_VALUE"""),1002.3)</f>
        <v>1002.3</v>
      </c>
      <c r="E11" s="6">
        <f>IFERROR(__xludf.DUMMYFUNCTION("""COMPUTED_VALUE"""),1030.85)</f>
        <v>1030.85</v>
      </c>
      <c r="F11" s="6">
        <f>IFERROR(__xludf.DUMMYFUNCTION("""COMPUTED_VALUE"""),3385522.0)</f>
        <v>3385522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IFERROR(__xludf.DUMMYFUNCTION("""COMPUTED_VALUE"""),1041.8)</f>
        <v>1041.8</v>
      </c>
      <c r="C12" s="6">
        <f>IFERROR(__xludf.DUMMYFUNCTION("""COMPUTED_VALUE"""),1083.8)</f>
        <v>1083.8</v>
      </c>
      <c r="D12" s="6">
        <f>IFERROR(__xludf.DUMMYFUNCTION("""COMPUTED_VALUE"""),1015.0)</f>
        <v>1015</v>
      </c>
      <c r="E12" s="6">
        <f>IFERROR(__xludf.DUMMYFUNCTION("""COMPUTED_VALUE"""),1040.5)</f>
        <v>1040.5</v>
      </c>
      <c r="F12" s="6">
        <f>IFERROR(__xludf.DUMMYFUNCTION("""COMPUTED_VALUE"""),1.3101987E7)</f>
        <v>13101987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IFERROR(__xludf.DUMMYFUNCTION("""COMPUTED_VALUE"""),1050.0)</f>
        <v>1050</v>
      </c>
      <c r="C13" s="6">
        <f>IFERROR(__xludf.DUMMYFUNCTION("""COMPUTED_VALUE"""),1070.0)</f>
        <v>1070</v>
      </c>
      <c r="D13" s="6">
        <f>IFERROR(__xludf.DUMMYFUNCTION("""COMPUTED_VALUE"""),1028.1)</f>
        <v>1028.1</v>
      </c>
      <c r="E13" s="6">
        <f>IFERROR(__xludf.DUMMYFUNCTION("""COMPUTED_VALUE"""),1060.4)</f>
        <v>1060.4</v>
      </c>
      <c r="F13" s="6">
        <f>IFERROR(__xludf.DUMMYFUNCTION("""COMPUTED_VALUE"""),3895414.0)</f>
        <v>3895414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IFERROR(__xludf.DUMMYFUNCTION("""COMPUTED_VALUE"""),1061.0)</f>
        <v>1061</v>
      </c>
      <c r="C14" s="6">
        <f>IFERROR(__xludf.DUMMYFUNCTION("""COMPUTED_VALUE"""),1120.9)</f>
        <v>1120.9</v>
      </c>
      <c r="D14" s="6">
        <f>IFERROR(__xludf.DUMMYFUNCTION("""COMPUTED_VALUE"""),1056.3)</f>
        <v>1056.3</v>
      </c>
      <c r="E14" s="6">
        <f>IFERROR(__xludf.DUMMYFUNCTION("""COMPUTED_VALUE"""),1115.55)</f>
        <v>1115.55</v>
      </c>
      <c r="F14" s="6">
        <f>IFERROR(__xludf.DUMMYFUNCTION("""COMPUTED_VALUE"""),5289566.0)</f>
        <v>5289566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IFERROR(__xludf.DUMMYFUNCTION("""COMPUTED_VALUE"""),1121.45)</f>
        <v>1121.45</v>
      </c>
      <c r="C15" s="6">
        <f>IFERROR(__xludf.DUMMYFUNCTION("""COMPUTED_VALUE"""),1163.45)</f>
        <v>1163.45</v>
      </c>
      <c r="D15" s="6">
        <f>IFERROR(__xludf.DUMMYFUNCTION("""COMPUTED_VALUE"""),1088.45)</f>
        <v>1088.45</v>
      </c>
      <c r="E15" s="6">
        <f>IFERROR(__xludf.DUMMYFUNCTION("""COMPUTED_VALUE"""),1156.5)</f>
        <v>1156.5</v>
      </c>
      <c r="F15" s="6">
        <f>IFERROR(__xludf.DUMMYFUNCTION("""COMPUTED_VALUE"""),5630695.0)</f>
        <v>5630695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IFERROR(__xludf.DUMMYFUNCTION("""COMPUTED_VALUE"""),1172.0)</f>
        <v>1172</v>
      </c>
      <c r="C16" s="6">
        <f>IFERROR(__xludf.DUMMYFUNCTION("""COMPUTED_VALUE"""),1185.95)</f>
        <v>1185.95</v>
      </c>
      <c r="D16" s="6">
        <f>IFERROR(__xludf.DUMMYFUNCTION("""COMPUTED_VALUE"""),1155.05)</f>
        <v>1155.05</v>
      </c>
      <c r="E16" s="6">
        <f>IFERROR(__xludf.DUMMYFUNCTION("""COMPUTED_VALUE"""),1177.15)</f>
        <v>1177.15</v>
      </c>
      <c r="F16" s="6">
        <f>IFERROR(__xludf.DUMMYFUNCTION("""COMPUTED_VALUE"""),4586779.0)</f>
        <v>4586779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IFERROR(__xludf.DUMMYFUNCTION("""COMPUTED_VALUE"""),1181.7)</f>
        <v>1181.7</v>
      </c>
      <c r="C17" s="6">
        <f>IFERROR(__xludf.DUMMYFUNCTION("""COMPUTED_VALUE"""),1210.9)</f>
        <v>1210.9</v>
      </c>
      <c r="D17" s="6">
        <f>IFERROR(__xludf.DUMMYFUNCTION("""COMPUTED_VALUE"""),1174.25)</f>
        <v>1174.25</v>
      </c>
      <c r="E17" s="6">
        <f>IFERROR(__xludf.DUMMYFUNCTION("""COMPUTED_VALUE"""),1196.7)</f>
        <v>1196.7</v>
      </c>
      <c r="F17" s="6">
        <f>IFERROR(__xludf.DUMMYFUNCTION("""COMPUTED_VALUE"""),3661305.0)</f>
        <v>3661305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IFERROR(__xludf.DUMMYFUNCTION("""COMPUTED_VALUE"""),1197.6)</f>
        <v>1197.6</v>
      </c>
      <c r="C18" s="6">
        <f>IFERROR(__xludf.DUMMYFUNCTION("""COMPUTED_VALUE"""),1230.0)</f>
        <v>1230</v>
      </c>
      <c r="D18" s="6">
        <f>IFERROR(__xludf.DUMMYFUNCTION("""COMPUTED_VALUE"""),1149.55)</f>
        <v>1149.55</v>
      </c>
      <c r="E18" s="6">
        <f>IFERROR(__xludf.DUMMYFUNCTION("""COMPUTED_VALUE"""),1201.75)</f>
        <v>1201.75</v>
      </c>
      <c r="F18" s="6">
        <f>IFERROR(__xludf.DUMMYFUNCTION("""COMPUTED_VALUE"""),4231975.0)</f>
        <v>4231975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IFERROR(__xludf.DUMMYFUNCTION("""COMPUTED_VALUE"""),1205.05)</f>
        <v>1205.05</v>
      </c>
      <c r="C19" s="6">
        <f>IFERROR(__xludf.DUMMYFUNCTION("""COMPUTED_VALUE"""),1249.9)</f>
        <v>1249.9</v>
      </c>
      <c r="D19" s="6">
        <f>IFERROR(__xludf.DUMMYFUNCTION("""COMPUTED_VALUE"""),1202.05)</f>
        <v>1202.05</v>
      </c>
      <c r="E19" s="6">
        <f>IFERROR(__xludf.DUMMYFUNCTION("""COMPUTED_VALUE"""),1238.35)</f>
        <v>1238.35</v>
      </c>
      <c r="F19" s="6">
        <f>IFERROR(__xludf.DUMMYFUNCTION("""COMPUTED_VALUE"""),4054840.0)</f>
        <v>4054840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IFERROR(__xludf.DUMMYFUNCTION("""COMPUTED_VALUE"""),1242.0)</f>
        <v>1242</v>
      </c>
      <c r="C20" s="6">
        <f>IFERROR(__xludf.DUMMYFUNCTION("""COMPUTED_VALUE"""),1270.0)</f>
        <v>1270</v>
      </c>
      <c r="D20" s="6">
        <f>IFERROR(__xludf.DUMMYFUNCTION("""COMPUTED_VALUE"""),1215.75)</f>
        <v>1215.75</v>
      </c>
      <c r="E20" s="6">
        <f>IFERROR(__xludf.DUMMYFUNCTION("""COMPUTED_VALUE"""),1267.05)</f>
        <v>1267.05</v>
      </c>
      <c r="F20" s="6">
        <f>IFERROR(__xludf.DUMMYFUNCTION("""COMPUTED_VALUE"""),3423498.0)</f>
        <v>3423498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IFERROR(__xludf.DUMMYFUNCTION("""COMPUTED_VALUE"""),1272.0)</f>
        <v>1272</v>
      </c>
      <c r="C21" s="6">
        <f>IFERROR(__xludf.DUMMYFUNCTION("""COMPUTED_VALUE"""),1299.0)</f>
        <v>1299</v>
      </c>
      <c r="D21" s="6">
        <f>IFERROR(__xludf.DUMMYFUNCTION("""COMPUTED_VALUE"""),1234.25)</f>
        <v>1234.25</v>
      </c>
      <c r="E21" s="6">
        <f>IFERROR(__xludf.DUMMYFUNCTION("""COMPUTED_VALUE"""),1253.2)</f>
        <v>1253.2</v>
      </c>
      <c r="F21" s="6">
        <f>IFERROR(__xludf.DUMMYFUNCTION("""COMPUTED_VALUE"""),4616561.0)</f>
        <v>4616561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IFERROR(__xludf.DUMMYFUNCTION("""COMPUTED_VALUE"""),1223.95)</f>
        <v>1223.95</v>
      </c>
      <c r="C22" s="6">
        <f>IFERROR(__xludf.DUMMYFUNCTION("""COMPUTED_VALUE"""),1232.0)</f>
        <v>1232</v>
      </c>
      <c r="D22" s="6">
        <f>IFERROR(__xludf.DUMMYFUNCTION("""COMPUTED_VALUE"""),1180.0)</f>
        <v>1180</v>
      </c>
      <c r="E22" s="6">
        <f>IFERROR(__xludf.DUMMYFUNCTION("""COMPUTED_VALUE"""),1200.25)</f>
        <v>1200.25</v>
      </c>
      <c r="F22" s="6">
        <f>IFERROR(__xludf.DUMMYFUNCTION("""COMPUTED_VALUE"""),1810858.0)</f>
        <v>1810858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IFERROR(__xludf.DUMMYFUNCTION("""COMPUTED_VALUE"""),1201.1)</f>
        <v>1201.1</v>
      </c>
      <c r="C23" s="6">
        <f>IFERROR(__xludf.DUMMYFUNCTION("""COMPUTED_VALUE"""),1256.05)</f>
        <v>1256.05</v>
      </c>
      <c r="D23" s="6">
        <f>IFERROR(__xludf.DUMMYFUNCTION("""COMPUTED_VALUE"""),1200.45)</f>
        <v>1200.45</v>
      </c>
      <c r="E23" s="6">
        <f>IFERROR(__xludf.DUMMYFUNCTION("""COMPUTED_VALUE"""),1238.85)</f>
        <v>1238.85</v>
      </c>
      <c r="F23" s="6">
        <f>IFERROR(__xludf.DUMMYFUNCTION("""COMPUTED_VALUE"""),4265805.0)</f>
        <v>4265805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IFERROR(__xludf.DUMMYFUNCTION("""COMPUTED_VALUE"""),1245.6)</f>
        <v>1245.6</v>
      </c>
      <c r="C24" s="6">
        <f>IFERROR(__xludf.DUMMYFUNCTION("""COMPUTED_VALUE"""),1321.25)</f>
        <v>1321.25</v>
      </c>
      <c r="D24" s="6">
        <f>IFERROR(__xludf.DUMMYFUNCTION("""COMPUTED_VALUE"""),1229.55)</f>
        <v>1229.55</v>
      </c>
      <c r="E24" s="6">
        <f>IFERROR(__xludf.DUMMYFUNCTION("""COMPUTED_VALUE"""),1314.05)</f>
        <v>1314.05</v>
      </c>
      <c r="F24" s="6">
        <f>IFERROR(__xludf.DUMMYFUNCTION("""COMPUTED_VALUE"""),5962367.0)</f>
        <v>5962367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IFERROR(__xludf.DUMMYFUNCTION("""COMPUTED_VALUE"""),1324.0)</f>
        <v>1324</v>
      </c>
      <c r="C25" s="6">
        <f>IFERROR(__xludf.DUMMYFUNCTION("""COMPUTED_VALUE"""),1330.0)</f>
        <v>1330</v>
      </c>
      <c r="D25" s="6">
        <f>IFERROR(__xludf.DUMMYFUNCTION("""COMPUTED_VALUE"""),1063.0)</f>
        <v>1063</v>
      </c>
      <c r="E25" s="6">
        <f>IFERROR(__xludf.DUMMYFUNCTION("""COMPUTED_VALUE"""),1133.85)</f>
        <v>1133.85</v>
      </c>
      <c r="F25" s="6">
        <f>IFERROR(__xludf.DUMMYFUNCTION("""COMPUTED_VALUE"""),1.7275486E7)</f>
        <v>17275486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IFERROR(__xludf.DUMMYFUNCTION("""COMPUTED_VALUE"""),1150.0)</f>
        <v>1150</v>
      </c>
      <c r="C26" s="6">
        <f>IFERROR(__xludf.DUMMYFUNCTION("""COMPUTED_VALUE"""),1150.0)</f>
        <v>1150</v>
      </c>
      <c r="D26" s="6">
        <f>IFERROR(__xludf.DUMMYFUNCTION("""COMPUTED_VALUE"""),1100.0)</f>
        <v>1100</v>
      </c>
      <c r="E26" s="6">
        <f>IFERROR(__xludf.DUMMYFUNCTION("""COMPUTED_VALUE"""),1132.1)</f>
        <v>1132.1</v>
      </c>
      <c r="F26" s="6">
        <f>IFERROR(__xludf.DUMMYFUNCTION("""COMPUTED_VALUE"""),4311123.0)</f>
        <v>4311123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IFERROR(__xludf.DUMMYFUNCTION("""COMPUTED_VALUE"""),1182.0)</f>
        <v>1182</v>
      </c>
      <c r="C27" s="6">
        <f>IFERROR(__xludf.DUMMYFUNCTION("""COMPUTED_VALUE"""),1211.0)</f>
        <v>1211</v>
      </c>
      <c r="D27" s="6">
        <f>IFERROR(__xludf.DUMMYFUNCTION("""COMPUTED_VALUE"""),1150.1)</f>
        <v>1150.1</v>
      </c>
      <c r="E27" s="6">
        <f>IFERROR(__xludf.DUMMYFUNCTION("""COMPUTED_VALUE"""),1178.85)</f>
        <v>1178.85</v>
      </c>
      <c r="F27" s="6">
        <f>IFERROR(__xludf.DUMMYFUNCTION("""COMPUTED_VALUE"""),4288983.0)</f>
        <v>4288983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IFERROR(__xludf.DUMMYFUNCTION("""COMPUTED_VALUE"""),1170.05)</f>
        <v>1170.05</v>
      </c>
      <c r="C28" s="6">
        <f>IFERROR(__xludf.DUMMYFUNCTION("""COMPUTED_VALUE"""),1190.6)</f>
        <v>1190.6</v>
      </c>
      <c r="D28" s="6">
        <f>IFERROR(__xludf.DUMMYFUNCTION("""COMPUTED_VALUE"""),1096.7)</f>
        <v>1096.7</v>
      </c>
      <c r="E28" s="6">
        <f>IFERROR(__xludf.DUMMYFUNCTION("""COMPUTED_VALUE"""),1119.5)</f>
        <v>1119.5</v>
      </c>
      <c r="F28" s="6">
        <f>IFERROR(__xludf.DUMMYFUNCTION("""COMPUTED_VALUE"""),7300431.0)</f>
        <v>7300431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IFERROR(__xludf.DUMMYFUNCTION("""COMPUTED_VALUE"""),1119.0)</f>
        <v>1119</v>
      </c>
      <c r="C29" s="6">
        <f>IFERROR(__xludf.DUMMYFUNCTION("""COMPUTED_VALUE"""),1133.6)</f>
        <v>1133.6</v>
      </c>
      <c r="D29" s="6">
        <f>IFERROR(__xludf.DUMMYFUNCTION("""COMPUTED_VALUE"""),1088.0)</f>
        <v>1088</v>
      </c>
      <c r="E29" s="6">
        <f>IFERROR(__xludf.DUMMYFUNCTION("""COMPUTED_VALUE"""),1128.95)</f>
        <v>1128.95</v>
      </c>
      <c r="F29" s="6">
        <f>IFERROR(__xludf.DUMMYFUNCTION("""COMPUTED_VALUE"""),6606530.0)</f>
        <v>6606530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IFERROR(__xludf.DUMMYFUNCTION("""COMPUTED_VALUE"""),1131.9)</f>
        <v>1131.9</v>
      </c>
      <c r="C30" s="6">
        <f>IFERROR(__xludf.DUMMYFUNCTION("""COMPUTED_VALUE"""),1143.05)</f>
        <v>1143.05</v>
      </c>
      <c r="D30" s="6">
        <f>IFERROR(__xludf.DUMMYFUNCTION("""COMPUTED_VALUE"""),1103.5)</f>
        <v>1103.5</v>
      </c>
      <c r="E30" s="6">
        <f>IFERROR(__xludf.DUMMYFUNCTION("""COMPUTED_VALUE"""),1129.6)</f>
        <v>1129.6</v>
      </c>
      <c r="F30" s="6">
        <f>IFERROR(__xludf.DUMMYFUNCTION("""COMPUTED_VALUE"""),3931626.0)</f>
        <v>3931626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IFERROR(__xludf.DUMMYFUNCTION("""COMPUTED_VALUE"""),1132.2)</f>
        <v>1132.2</v>
      </c>
      <c r="C31" s="6">
        <f>IFERROR(__xludf.DUMMYFUNCTION("""COMPUTED_VALUE"""),1172.5)</f>
        <v>1172.5</v>
      </c>
      <c r="D31" s="6">
        <f>IFERROR(__xludf.DUMMYFUNCTION("""COMPUTED_VALUE"""),1105.3)</f>
        <v>1105.3</v>
      </c>
      <c r="E31" s="6">
        <f>IFERROR(__xludf.DUMMYFUNCTION("""COMPUTED_VALUE"""),1145.65)</f>
        <v>1145.65</v>
      </c>
      <c r="F31" s="6">
        <f>IFERROR(__xludf.DUMMYFUNCTION("""COMPUTED_VALUE"""),7253525.0)</f>
        <v>7253525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IFERROR(__xludf.DUMMYFUNCTION("""COMPUTED_VALUE"""),1152.95)</f>
        <v>1152.95</v>
      </c>
      <c r="C32" s="6">
        <f>IFERROR(__xludf.DUMMYFUNCTION("""COMPUTED_VALUE"""),1187.0)</f>
        <v>1187</v>
      </c>
      <c r="D32" s="6">
        <f>IFERROR(__xludf.DUMMYFUNCTION("""COMPUTED_VALUE"""),1136.0)</f>
        <v>1136</v>
      </c>
      <c r="E32" s="6">
        <f>IFERROR(__xludf.DUMMYFUNCTION("""COMPUTED_VALUE"""),1169.05)</f>
        <v>1169.05</v>
      </c>
      <c r="F32" s="6">
        <f>IFERROR(__xludf.DUMMYFUNCTION("""COMPUTED_VALUE"""),5668781.0)</f>
        <v>5668781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IFERROR(__xludf.DUMMYFUNCTION("""COMPUTED_VALUE"""),1155.0)</f>
        <v>1155</v>
      </c>
      <c r="C33" s="6">
        <f>IFERROR(__xludf.DUMMYFUNCTION("""COMPUTED_VALUE"""),1196.8)</f>
        <v>1196.8</v>
      </c>
      <c r="D33" s="6">
        <f>IFERROR(__xludf.DUMMYFUNCTION("""COMPUTED_VALUE"""),1155.0)</f>
        <v>1155</v>
      </c>
      <c r="E33" s="6">
        <f>IFERROR(__xludf.DUMMYFUNCTION("""COMPUTED_VALUE"""),1193.1)</f>
        <v>1193.1</v>
      </c>
      <c r="F33" s="6">
        <f>IFERROR(__xludf.DUMMYFUNCTION("""COMPUTED_VALUE"""),4423938.0)</f>
        <v>4423938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IFERROR(__xludf.DUMMYFUNCTION("""COMPUTED_VALUE"""),1205.85)</f>
        <v>1205.85</v>
      </c>
      <c r="C34" s="6">
        <f>IFERROR(__xludf.DUMMYFUNCTION("""COMPUTED_VALUE"""),1326.0)</f>
        <v>1326</v>
      </c>
      <c r="D34" s="6">
        <f>IFERROR(__xludf.DUMMYFUNCTION("""COMPUTED_VALUE"""),1194.75)</f>
        <v>1194.75</v>
      </c>
      <c r="E34" s="6">
        <f>IFERROR(__xludf.DUMMYFUNCTION("""COMPUTED_VALUE"""),1309.9)</f>
        <v>1309.9</v>
      </c>
      <c r="F34" s="6">
        <f>IFERROR(__xludf.DUMMYFUNCTION("""COMPUTED_VALUE"""),9979134.0)</f>
        <v>9979134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IFERROR(__xludf.DUMMYFUNCTION("""COMPUTED_VALUE"""),1312.25)</f>
        <v>1312.25</v>
      </c>
      <c r="C35" s="6">
        <f>IFERROR(__xludf.DUMMYFUNCTION("""COMPUTED_VALUE"""),1316.9)</f>
        <v>1316.9</v>
      </c>
      <c r="D35" s="6">
        <f>IFERROR(__xludf.DUMMYFUNCTION("""COMPUTED_VALUE"""),1242.2)</f>
        <v>1242.2</v>
      </c>
      <c r="E35" s="6">
        <f>IFERROR(__xludf.DUMMYFUNCTION("""COMPUTED_VALUE"""),1252.2)</f>
        <v>1252.2</v>
      </c>
      <c r="F35" s="6">
        <f>IFERROR(__xludf.DUMMYFUNCTION("""COMPUTED_VALUE"""),2976046.0)</f>
        <v>2976046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IFERROR(__xludf.DUMMYFUNCTION("""COMPUTED_VALUE"""),1261.9)</f>
        <v>1261.9</v>
      </c>
      <c r="C36" s="6">
        <f>IFERROR(__xludf.DUMMYFUNCTION("""COMPUTED_VALUE"""),1474.4)</f>
        <v>1474.4</v>
      </c>
      <c r="D36" s="6">
        <f>IFERROR(__xludf.DUMMYFUNCTION("""COMPUTED_VALUE"""),1209.15)</f>
        <v>1209.15</v>
      </c>
      <c r="E36" s="6">
        <f>IFERROR(__xludf.DUMMYFUNCTION("""COMPUTED_VALUE"""),1397.7)</f>
        <v>1397.7</v>
      </c>
      <c r="F36" s="6">
        <f>IFERROR(__xludf.DUMMYFUNCTION("""COMPUTED_VALUE"""),2.5639803E7)</f>
        <v>25639803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IFERROR(__xludf.DUMMYFUNCTION("""COMPUTED_VALUE"""),1490.05)</f>
        <v>1490.05</v>
      </c>
      <c r="C37" s="6">
        <f>IFERROR(__xludf.DUMMYFUNCTION("""COMPUTED_VALUE"""),1587.0)</f>
        <v>1587</v>
      </c>
      <c r="D37" s="6">
        <f>IFERROR(__xludf.DUMMYFUNCTION("""COMPUTED_VALUE"""),1460.0)</f>
        <v>1460</v>
      </c>
      <c r="E37" s="6">
        <f>IFERROR(__xludf.DUMMYFUNCTION("""COMPUTED_VALUE"""),1573.5)</f>
        <v>1573.5</v>
      </c>
      <c r="F37" s="6">
        <f>IFERROR(__xludf.DUMMYFUNCTION("""COMPUTED_VALUE"""),5479216.0)</f>
        <v>5479216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IFERROR(__xludf.DUMMYFUNCTION("""COMPUTED_VALUE"""),1589.9)</f>
        <v>1589.9</v>
      </c>
      <c r="C38" s="6">
        <f>IFERROR(__xludf.DUMMYFUNCTION("""COMPUTED_VALUE"""),1600.0)</f>
        <v>1600</v>
      </c>
      <c r="D38" s="6">
        <f>IFERROR(__xludf.DUMMYFUNCTION("""COMPUTED_VALUE"""),1533.1)</f>
        <v>1533.1</v>
      </c>
      <c r="E38" s="6">
        <f>IFERROR(__xludf.DUMMYFUNCTION("""COMPUTED_VALUE"""),1554.55)</f>
        <v>1554.55</v>
      </c>
      <c r="F38" s="6">
        <f>IFERROR(__xludf.DUMMYFUNCTION("""COMPUTED_VALUE"""),7952954.0)</f>
        <v>7952954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IFERROR(__xludf.DUMMYFUNCTION("""COMPUTED_VALUE"""),1649.95)</f>
        <v>1649.95</v>
      </c>
      <c r="C39" s="6">
        <f>IFERROR(__xludf.DUMMYFUNCTION("""COMPUTED_VALUE"""),1649.95)</f>
        <v>1649.95</v>
      </c>
      <c r="D39" s="6">
        <f>IFERROR(__xludf.DUMMYFUNCTION("""COMPUTED_VALUE"""),1406.25)</f>
        <v>1406.25</v>
      </c>
      <c r="E39" s="6">
        <f>IFERROR(__xludf.DUMMYFUNCTION("""COMPUTED_VALUE"""),1583.2)</f>
        <v>1583.2</v>
      </c>
      <c r="F39" s="6">
        <f>IFERROR(__xludf.DUMMYFUNCTION("""COMPUTED_VALUE"""),9822089.0)</f>
        <v>9822089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IFERROR(__xludf.DUMMYFUNCTION("""COMPUTED_VALUE"""),1593.9)</f>
        <v>1593.9</v>
      </c>
      <c r="C40" s="6">
        <f>IFERROR(__xludf.DUMMYFUNCTION("""COMPUTED_VALUE"""),1739.45)</f>
        <v>1739.45</v>
      </c>
      <c r="D40" s="6">
        <f>IFERROR(__xludf.DUMMYFUNCTION("""COMPUTED_VALUE"""),1557.35)</f>
        <v>1557.35</v>
      </c>
      <c r="E40" s="6">
        <f>IFERROR(__xludf.DUMMYFUNCTION("""COMPUTED_VALUE"""),1717.3)</f>
        <v>1717.3</v>
      </c>
      <c r="F40" s="6">
        <f>IFERROR(__xludf.DUMMYFUNCTION("""COMPUTED_VALUE"""),8265837.0)</f>
        <v>8265837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IFERROR(__xludf.DUMMYFUNCTION("""COMPUTED_VALUE"""),1720.0)</f>
        <v>1720</v>
      </c>
      <c r="C41" s="6">
        <f>IFERROR(__xludf.DUMMYFUNCTION("""COMPUTED_VALUE"""),1804.5)</f>
        <v>1804.5</v>
      </c>
      <c r="D41" s="6">
        <f>IFERROR(__xludf.DUMMYFUNCTION("""COMPUTED_VALUE"""),1688.0)</f>
        <v>1688</v>
      </c>
      <c r="E41" s="6">
        <f>IFERROR(__xludf.DUMMYFUNCTION("""COMPUTED_VALUE"""),1752.2)</f>
        <v>1752.2</v>
      </c>
      <c r="F41" s="6">
        <f>IFERROR(__xludf.DUMMYFUNCTION("""COMPUTED_VALUE"""),9331069.0)</f>
        <v>9331069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IFERROR(__xludf.DUMMYFUNCTION("""COMPUTED_VALUE"""),1749.0)</f>
        <v>1749</v>
      </c>
      <c r="C42" s="6">
        <f>IFERROR(__xludf.DUMMYFUNCTION("""COMPUTED_VALUE"""),1776.3)</f>
        <v>1776.3</v>
      </c>
      <c r="D42" s="6">
        <f>IFERROR(__xludf.DUMMYFUNCTION("""COMPUTED_VALUE"""),1666.45)</f>
        <v>1666.45</v>
      </c>
      <c r="E42" s="6">
        <f>IFERROR(__xludf.DUMMYFUNCTION("""COMPUTED_VALUE"""),1670.35)</f>
        <v>1670.35</v>
      </c>
      <c r="F42" s="6">
        <f>IFERROR(__xludf.DUMMYFUNCTION("""COMPUTED_VALUE"""),7193178.0)</f>
        <v>7193178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IFERROR(__xludf.DUMMYFUNCTION("""COMPUTED_VALUE"""),1673.1)</f>
        <v>1673.1</v>
      </c>
      <c r="C43" s="6">
        <f>IFERROR(__xludf.DUMMYFUNCTION("""COMPUTED_VALUE"""),1696.8)</f>
        <v>1696.8</v>
      </c>
      <c r="D43" s="6">
        <f>IFERROR(__xludf.DUMMYFUNCTION("""COMPUTED_VALUE"""),1627.25)</f>
        <v>1627.25</v>
      </c>
      <c r="E43" s="6">
        <f>IFERROR(__xludf.DUMMYFUNCTION("""COMPUTED_VALUE"""),1672.25)</f>
        <v>1672.25</v>
      </c>
      <c r="F43" s="6">
        <f>IFERROR(__xludf.DUMMYFUNCTION("""COMPUTED_VALUE"""),6288222.0)</f>
        <v>6288222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IFERROR(__xludf.DUMMYFUNCTION("""COMPUTED_VALUE"""),1682.95)</f>
        <v>1682.95</v>
      </c>
      <c r="C44" s="6">
        <f>IFERROR(__xludf.DUMMYFUNCTION("""COMPUTED_VALUE"""),1693.25)</f>
        <v>1693.25</v>
      </c>
      <c r="D44" s="6">
        <f>IFERROR(__xludf.DUMMYFUNCTION("""COMPUTED_VALUE"""),1603.0)</f>
        <v>1603</v>
      </c>
      <c r="E44" s="6">
        <f>IFERROR(__xludf.DUMMYFUNCTION("""COMPUTED_VALUE"""),1618.95)</f>
        <v>1618.95</v>
      </c>
      <c r="F44" s="6">
        <f>IFERROR(__xludf.DUMMYFUNCTION("""COMPUTED_VALUE"""),4993254.0)</f>
        <v>4993254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IFERROR(__xludf.DUMMYFUNCTION("""COMPUTED_VALUE"""),1628.0)</f>
        <v>1628</v>
      </c>
      <c r="C45" s="6">
        <f>IFERROR(__xludf.DUMMYFUNCTION("""COMPUTED_VALUE"""),1665.85)</f>
        <v>1665.85</v>
      </c>
      <c r="D45" s="6">
        <f>IFERROR(__xludf.DUMMYFUNCTION("""COMPUTED_VALUE"""),1575.0)</f>
        <v>1575</v>
      </c>
      <c r="E45" s="6">
        <f>IFERROR(__xludf.DUMMYFUNCTION("""COMPUTED_VALUE"""),1579.4)</f>
        <v>1579.4</v>
      </c>
      <c r="F45" s="6">
        <f>IFERROR(__xludf.DUMMYFUNCTION("""COMPUTED_VALUE"""),4259471.0)</f>
        <v>4259471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IFERROR(__xludf.DUMMYFUNCTION("""COMPUTED_VALUE"""),1569.95)</f>
        <v>1569.95</v>
      </c>
      <c r="C46" s="6">
        <f>IFERROR(__xludf.DUMMYFUNCTION("""COMPUTED_VALUE"""),1694.3)</f>
        <v>1694.3</v>
      </c>
      <c r="D46" s="6">
        <f>IFERROR(__xludf.DUMMYFUNCTION("""COMPUTED_VALUE"""),1500.0)</f>
        <v>1500</v>
      </c>
      <c r="E46" s="6">
        <f>IFERROR(__xludf.DUMMYFUNCTION("""COMPUTED_VALUE"""),1684.9)</f>
        <v>1684.9</v>
      </c>
      <c r="F46" s="6">
        <f>IFERROR(__xludf.DUMMYFUNCTION("""COMPUTED_VALUE"""),7738450.0)</f>
        <v>7738450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IFERROR(__xludf.DUMMYFUNCTION("""COMPUTED_VALUE"""),1694.95)</f>
        <v>1694.95</v>
      </c>
      <c r="C47" s="6">
        <f>IFERROR(__xludf.DUMMYFUNCTION("""COMPUTED_VALUE"""),1771.2)</f>
        <v>1771.2</v>
      </c>
      <c r="D47" s="6">
        <f>IFERROR(__xludf.DUMMYFUNCTION("""COMPUTED_VALUE"""),1648.0)</f>
        <v>1648</v>
      </c>
      <c r="E47" s="6">
        <f>IFERROR(__xludf.DUMMYFUNCTION("""COMPUTED_VALUE"""),1655.4)</f>
        <v>1655.4</v>
      </c>
      <c r="F47" s="6">
        <f>IFERROR(__xludf.DUMMYFUNCTION("""COMPUTED_VALUE"""),5737993.0)</f>
        <v>5737993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IFERROR(__xludf.DUMMYFUNCTION("""COMPUTED_VALUE"""),1579.95)</f>
        <v>1579.95</v>
      </c>
      <c r="C48" s="6">
        <f>IFERROR(__xludf.DUMMYFUNCTION("""COMPUTED_VALUE"""),1654.95)</f>
        <v>1654.95</v>
      </c>
      <c r="D48" s="6">
        <f>IFERROR(__xludf.DUMMYFUNCTION("""COMPUTED_VALUE"""),1510.4)</f>
        <v>1510.4</v>
      </c>
      <c r="E48" s="6">
        <f>IFERROR(__xludf.DUMMYFUNCTION("""COMPUTED_VALUE"""),1636.55)</f>
        <v>1636.55</v>
      </c>
      <c r="F48" s="6">
        <f>IFERROR(__xludf.DUMMYFUNCTION("""COMPUTED_VALUE"""),1.22485E7)</f>
        <v>12248500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IFERROR(__xludf.DUMMYFUNCTION("""COMPUTED_VALUE"""),1629.95)</f>
        <v>1629.95</v>
      </c>
      <c r="C49" s="6">
        <f>IFERROR(__xludf.DUMMYFUNCTION("""COMPUTED_VALUE"""),1629.95)</f>
        <v>1629.95</v>
      </c>
      <c r="D49" s="6">
        <f>IFERROR(__xludf.DUMMYFUNCTION("""COMPUTED_VALUE"""),1553.25)</f>
        <v>1553.25</v>
      </c>
      <c r="E49" s="6">
        <f>IFERROR(__xludf.DUMMYFUNCTION("""COMPUTED_VALUE"""),1584.5)</f>
        <v>1584.5</v>
      </c>
      <c r="F49" s="6">
        <f>IFERROR(__xludf.DUMMYFUNCTION("""COMPUTED_VALUE"""),3339645.0)</f>
        <v>3339645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IFERROR(__xludf.DUMMYFUNCTION("""COMPUTED_VALUE"""),1610.0)</f>
        <v>1610</v>
      </c>
      <c r="C50" s="6">
        <f>IFERROR(__xludf.DUMMYFUNCTION("""COMPUTED_VALUE"""),1647.95)</f>
        <v>1647.95</v>
      </c>
      <c r="D50" s="6">
        <f>IFERROR(__xludf.DUMMYFUNCTION("""COMPUTED_VALUE"""),1551.05)</f>
        <v>1551.05</v>
      </c>
      <c r="E50" s="6">
        <f>IFERROR(__xludf.DUMMYFUNCTION("""COMPUTED_VALUE"""),1620.3)</f>
        <v>1620.3</v>
      </c>
      <c r="F50" s="6">
        <f>IFERROR(__xludf.DUMMYFUNCTION("""COMPUTED_VALUE"""),4906259.0)</f>
        <v>4906259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IFERROR(__xludf.DUMMYFUNCTION("""COMPUTED_VALUE"""),1622.0)</f>
        <v>1622</v>
      </c>
      <c r="C51" s="6">
        <f>IFERROR(__xludf.DUMMYFUNCTION("""COMPUTED_VALUE"""),1644.9)</f>
        <v>1644.9</v>
      </c>
      <c r="D51" s="6">
        <f>IFERROR(__xludf.DUMMYFUNCTION("""COMPUTED_VALUE"""),1556.25)</f>
        <v>1556.25</v>
      </c>
      <c r="E51" s="6">
        <f>IFERROR(__xludf.DUMMYFUNCTION("""COMPUTED_VALUE"""),1587.0)</f>
        <v>1587</v>
      </c>
      <c r="F51" s="6">
        <f>IFERROR(__xludf.DUMMYFUNCTION("""COMPUTED_VALUE"""),4048336.0)</f>
        <v>4048336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IFERROR(__xludf.DUMMYFUNCTION("""COMPUTED_VALUE"""),1597.0)</f>
        <v>1597</v>
      </c>
      <c r="C52" s="6">
        <f>IFERROR(__xludf.DUMMYFUNCTION("""COMPUTED_VALUE"""),1629.9)</f>
        <v>1629.9</v>
      </c>
      <c r="D52" s="6">
        <f>IFERROR(__xludf.DUMMYFUNCTION("""COMPUTED_VALUE"""),1545.5)</f>
        <v>1545.5</v>
      </c>
      <c r="E52" s="6">
        <f>IFERROR(__xludf.DUMMYFUNCTION("""COMPUTED_VALUE"""),1551.2)</f>
        <v>1551.2</v>
      </c>
      <c r="F52" s="6">
        <f>IFERROR(__xludf.DUMMYFUNCTION("""COMPUTED_VALUE"""),5710332.0)</f>
        <v>5710332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IFERROR(__xludf.DUMMYFUNCTION("""COMPUTED_VALUE"""),1535.0)</f>
        <v>1535</v>
      </c>
      <c r="C53" s="6">
        <f>IFERROR(__xludf.DUMMYFUNCTION("""COMPUTED_VALUE"""),1629.7)</f>
        <v>1629.7</v>
      </c>
      <c r="D53" s="6">
        <f>IFERROR(__xludf.DUMMYFUNCTION("""COMPUTED_VALUE"""),1524.75)</f>
        <v>1524.75</v>
      </c>
      <c r="E53" s="6">
        <f>IFERROR(__xludf.DUMMYFUNCTION("""COMPUTED_VALUE"""),1616.25)</f>
        <v>1616.25</v>
      </c>
      <c r="F53" s="6">
        <f>IFERROR(__xludf.DUMMYFUNCTION("""COMPUTED_VALUE"""),4720049.0)</f>
        <v>4720049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IFERROR(__xludf.DUMMYFUNCTION("""COMPUTED_VALUE"""),1625.0)</f>
        <v>1625</v>
      </c>
      <c r="C54" s="6">
        <f>IFERROR(__xludf.DUMMYFUNCTION("""COMPUTED_VALUE"""),1625.0)</f>
        <v>1625</v>
      </c>
      <c r="D54" s="6">
        <f>IFERROR(__xludf.DUMMYFUNCTION("""COMPUTED_VALUE"""),1534.05)</f>
        <v>1534.05</v>
      </c>
      <c r="E54" s="6">
        <f>IFERROR(__xludf.DUMMYFUNCTION("""COMPUTED_VALUE"""),1591.35)</f>
        <v>1591.35</v>
      </c>
      <c r="F54" s="6">
        <f>IFERROR(__xludf.DUMMYFUNCTION("""COMPUTED_VALUE"""),5411725.0)</f>
        <v>5411725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IFERROR(__xludf.DUMMYFUNCTION("""COMPUTED_VALUE"""),1600.8)</f>
        <v>1600.8</v>
      </c>
      <c r="C55" s="6">
        <f>IFERROR(__xludf.DUMMYFUNCTION("""COMPUTED_VALUE"""),1626.0)</f>
        <v>1626</v>
      </c>
      <c r="D55" s="6">
        <f>IFERROR(__xludf.DUMMYFUNCTION("""COMPUTED_VALUE"""),1502.6)</f>
        <v>1502.6</v>
      </c>
      <c r="E55" s="6">
        <f>IFERROR(__xludf.DUMMYFUNCTION("""COMPUTED_VALUE"""),1522.5)</f>
        <v>1522.5</v>
      </c>
      <c r="F55" s="6">
        <f>IFERROR(__xludf.DUMMYFUNCTION("""COMPUTED_VALUE"""),7636491.0)</f>
        <v>7636491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IFERROR(__xludf.DUMMYFUNCTION("""COMPUTED_VALUE"""),1520.5)</f>
        <v>1520.5</v>
      </c>
      <c r="C56" s="6">
        <f>IFERROR(__xludf.DUMMYFUNCTION("""COMPUTED_VALUE"""),1555.0)</f>
        <v>1555</v>
      </c>
      <c r="D56" s="6">
        <f>IFERROR(__xludf.DUMMYFUNCTION("""COMPUTED_VALUE"""),1460.15)</f>
        <v>1460.15</v>
      </c>
      <c r="E56" s="6">
        <f>IFERROR(__xludf.DUMMYFUNCTION("""COMPUTED_VALUE"""),1473.8)</f>
        <v>1473.8</v>
      </c>
      <c r="F56" s="6">
        <f>IFERROR(__xludf.DUMMYFUNCTION("""COMPUTED_VALUE"""),3607158.0)</f>
        <v>3607158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IFERROR(__xludf.DUMMYFUNCTION("""COMPUTED_VALUE"""),1477.95)</f>
        <v>1477.95</v>
      </c>
      <c r="C57" s="6">
        <f>IFERROR(__xludf.DUMMYFUNCTION("""COMPUTED_VALUE"""),1526.9)</f>
        <v>1526.9</v>
      </c>
      <c r="D57" s="6">
        <f>IFERROR(__xludf.DUMMYFUNCTION("""COMPUTED_VALUE"""),1425.1)</f>
        <v>1425.1</v>
      </c>
      <c r="E57" s="6">
        <f>IFERROR(__xludf.DUMMYFUNCTION("""COMPUTED_VALUE"""),1492.35)</f>
        <v>1492.35</v>
      </c>
      <c r="F57" s="6">
        <f>IFERROR(__xludf.DUMMYFUNCTION("""COMPUTED_VALUE"""),4770653.0)</f>
        <v>4770653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IFERROR(__xludf.DUMMYFUNCTION("""COMPUTED_VALUE"""),1486.1)</f>
        <v>1486.1</v>
      </c>
      <c r="C58" s="6">
        <f>IFERROR(__xludf.DUMMYFUNCTION("""COMPUTED_VALUE"""),1505.75)</f>
        <v>1505.75</v>
      </c>
      <c r="D58" s="6">
        <f>IFERROR(__xludf.DUMMYFUNCTION("""COMPUTED_VALUE"""),1442.75)</f>
        <v>1442.75</v>
      </c>
      <c r="E58" s="6">
        <f>IFERROR(__xludf.DUMMYFUNCTION("""COMPUTED_VALUE"""),1474.75)</f>
        <v>1474.75</v>
      </c>
      <c r="F58" s="6">
        <f>IFERROR(__xludf.DUMMYFUNCTION("""COMPUTED_VALUE"""),4662463.0)</f>
        <v>4662463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IFERROR(__xludf.DUMMYFUNCTION("""COMPUTED_VALUE"""),1475.0)</f>
        <v>1475</v>
      </c>
      <c r="C59" s="6">
        <f>IFERROR(__xludf.DUMMYFUNCTION("""COMPUTED_VALUE"""),1496.0)</f>
        <v>1496</v>
      </c>
      <c r="D59" s="6">
        <f>IFERROR(__xludf.DUMMYFUNCTION("""COMPUTED_VALUE"""),1390.0)</f>
        <v>1390</v>
      </c>
      <c r="E59" s="6">
        <f>IFERROR(__xludf.DUMMYFUNCTION("""COMPUTED_VALUE"""),1400.2)</f>
        <v>1400.2</v>
      </c>
      <c r="F59" s="6">
        <f>IFERROR(__xludf.DUMMYFUNCTION("""COMPUTED_VALUE"""),3856382.0)</f>
        <v>3856382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IFERROR(__xludf.DUMMYFUNCTION("""COMPUTED_VALUE"""),1422.2)</f>
        <v>1422.2</v>
      </c>
      <c r="C60" s="6">
        <f>IFERROR(__xludf.DUMMYFUNCTION("""COMPUTED_VALUE"""),1482.9)</f>
        <v>1482.9</v>
      </c>
      <c r="D60" s="6">
        <f>IFERROR(__xludf.DUMMYFUNCTION("""COMPUTED_VALUE"""),1395.5)</f>
        <v>1395.5</v>
      </c>
      <c r="E60" s="6">
        <f>IFERROR(__xludf.DUMMYFUNCTION("""COMPUTED_VALUE"""),1420.05)</f>
        <v>1420.05</v>
      </c>
      <c r="F60" s="6">
        <f>IFERROR(__xludf.DUMMYFUNCTION("""COMPUTED_VALUE"""),4724924.0)</f>
        <v>4724924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IFERROR(__xludf.DUMMYFUNCTION("""COMPUTED_VALUE"""),1414.1)</f>
        <v>1414.1</v>
      </c>
      <c r="C61" s="6">
        <f>IFERROR(__xludf.DUMMYFUNCTION("""COMPUTED_VALUE"""),1420.05)</f>
        <v>1420.05</v>
      </c>
      <c r="D61" s="6">
        <f>IFERROR(__xludf.DUMMYFUNCTION("""COMPUTED_VALUE"""),1301.55)</f>
        <v>1301.55</v>
      </c>
      <c r="E61" s="6">
        <f>IFERROR(__xludf.DUMMYFUNCTION("""COMPUTED_VALUE"""),1328.75)</f>
        <v>1328.75</v>
      </c>
      <c r="F61" s="6">
        <f>IFERROR(__xludf.DUMMYFUNCTION("""COMPUTED_VALUE"""),3882631.0)</f>
        <v>3882631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IFERROR(__xludf.DUMMYFUNCTION("""COMPUTED_VALUE"""),1329.0)</f>
        <v>1329</v>
      </c>
      <c r="C62" s="6">
        <f>IFERROR(__xludf.DUMMYFUNCTION("""COMPUTED_VALUE"""),1355.35)</f>
        <v>1355.35</v>
      </c>
      <c r="D62" s="6">
        <f>IFERROR(__xludf.DUMMYFUNCTION("""COMPUTED_VALUE"""),1286.6)</f>
        <v>1286.6</v>
      </c>
      <c r="E62" s="6">
        <f>IFERROR(__xludf.DUMMYFUNCTION("""COMPUTED_VALUE"""),1316.15)</f>
        <v>1316.15</v>
      </c>
      <c r="F62" s="6">
        <f>IFERROR(__xludf.DUMMYFUNCTION("""COMPUTED_VALUE"""),3966570.0)</f>
        <v>3966570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IFERROR(__xludf.DUMMYFUNCTION("""COMPUTED_VALUE"""),1328.0)</f>
        <v>1328</v>
      </c>
      <c r="C63" s="6">
        <f>IFERROR(__xludf.DUMMYFUNCTION("""COMPUTED_VALUE"""),1360.3)</f>
        <v>1360.3</v>
      </c>
      <c r="D63" s="6">
        <f>IFERROR(__xludf.DUMMYFUNCTION("""COMPUTED_VALUE"""),1313.2)</f>
        <v>1313.2</v>
      </c>
      <c r="E63" s="6">
        <f>IFERROR(__xludf.DUMMYFUNCTION("""COMPUTED_VALUE"""),1332.25)</f>
        <v>1332.25</v>
      </c>
      <c r="F63" s="6">
        <f>IFERROR(__xludf.DUMMYFUNCTION("""COMPUTED_VALUE"""),4400821.0)</f>
        <v>4400821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IFERROR(__xludf.DUMMYFUNCTION("""COMPUTED_VALUE"""),1329.5)</f>
        <v>1329.5</v>
      </c>
      <c r="C64" s="6">
        <f>IFERROR(__xludf.DUMMYFUNCTION("""COMPUTED_VALUE"""),1394.95)</f>
        <v>1394.95</v>
      </c>
      <c r="D64" s="6">
        <f>IFERROR(__xludf.DUMMYFUNCTION("""COMPUTED_VALUE"""),1305.35)</f>
        <v>1305.35</v>
      </c>
      <c r="E64" s="6">
        <f>IFERROR(__xludf.DUMMYFUNCTION("""COMPUTED_VALUE"""),1354.75)</f>
        <v>1354.75</v>
      </c>
      <c r="F64" s="6">
        <f>IFERROR(__xludf.DUMMYFUNCTION("""COMPUTED_VALUE"""),5683023.0)</f>
        <v>5683023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IFERROR(__xludf.DUMMYFUNCTION("""COMPUTED_VALUE"""),1354.75)</f>
        <v>1354.75</v>
      </c>
      <c r="C65" s="6">
        <f>IFERROR(__xludf.DUMMYFUNCTION("""COMPUTED_VALUE"""),1385.0)</f>
        <v>1385</v>
      </c>
      <c r="D65" s="6">
        <f>IFERROR(__xludf.DUMMYFUNCTION("""COMPUTED_VALUE"""),1318.95)</f>
        <v>1318.95</v>
      </c>
      <c r="E65" s="6">
        <f>IFERROR(__xludf.DUMMYFUNCTION("""COMPUTED_VALUE"""),1348.3)</f>
        <v>1348.3</v>
      </c>
      <c r="F65" s="6">
        <f>IFERROR(__xludf.DUMMYFUNCTION("""COMPUTED_VALUE"""),4902159.0)</f>
        <v>4902159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IFERROR(__xludf.DUMMYFUNCTION("""COMPUTED_VALUE"""),1357.25)</f>
        <v>1357.25</v>
      </c>
      <c r="C66" s="6">
        <f>IFERROR(__xludf.DUMMYFUNCTION("""COMPUTED_VALUE"""),1372.95)</f>
        <v>1372.95</v>
      </c>
      <c r="D66" s="6">
        <f>IFERROR(__xludf.DUMMYFUNCTION("""COMPUTED_VALUE"""),1274.35)</f>
        <v>1274.35</v>
      </c>
      <c r="E66" s="6">
        <f>IFERROR(__xludf.DUMMYFUNCTION("""COMPUTED_VALUE"""),1278.9)</f>
        <v>1278.9</v>
      </c>
      <c r="F66" s="6">
        <f>IFERROR(__xludf.DUMMYFUNCTION("""COMPUTED_VALUE"""),5308201.0)</f>
        <v>5308201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IFERROR(__xludf.DUMMYFUNCTION("""COMPUTED_VALUE"""),1284.0)</f>
        <v>1284</v>
      </c>
      <c r="C67" s="6">
        <f>IFERROR(__xludf.DUMMYFUNCTION("""COMPUTED_VALUE"""),1347.0)</f>
        <v>1347</v>
      </c>
      <c r="D67" s="6">
        <f>IFERROR(__xludf.DUMMYFUNCTION("""COMPUTED_VALUE"""),1272.2)</f>
        <v>1272.2</v>
      </c>
      <c r="E67" s="6">
        <f>IFERROR(__xludf.DUMMYFUNCTION("""COMPUTED_VALUE"""),1314.85)</f>
        <v>1314.85</v>
      </c>
      <c r="F67" s="6">
        <f>IFERROR(__xludf.DUMMYFUNCTION("""COMPUTED_VALUE"""),3721518.0)</f>
        <v>3721518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IFERROR(__xludf.DUMMYFUNCTION("""COMPUTED_VALUE"""),1308.7)</f>
        <v>1308.7</v>
      </c>
      <c r="C68" s="6">
        <f>IFERROR(__xludf.DUMMYFUNCTION("""COMPUTED_VALUE"""),1322.0)</f>
        <v>1322</v>
      </c>
      <c r="D68" s="6">
        <f>IFERROR(__xludf.DUMMYFUNCTION("""COMPUTED_VALUE"""),1278.85)</f>
        <v>1278.85</v>
      </c>
      <c r="E68" s="6">
        <f>IFERROR(__xludf.DUMMYFUNCTION("""COMPUTED_VALUE"""),1296.15)</f>
        <v>1296.15</v>
      </c>
      <c r="F68" s="6">
        <f>IFERROR(__xludf.DUMMYFUNCTION("""COMPUTED_VALUE"""),7227400.0)</f>
        <v>7227400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IFERROR(__xludf.DUMMYFUNCTION("""COMPUTED_VALUE"""),1296.3)</f>
        <v>1296.3</v>
      </c>
      <c r="C69" s="6">
        <f>IFERROR(__xludf.DUMMYFUNCTION("""COMPUTED_VALUE"""),1301.65)</f>
        <v>1301.65</v>
      </c>
      <c r="D69" s="6">
        <f>IFERROR(__xludf.DUMMYFUNCTION("""COMPUTED_VALUE"""),1203.45)</f>
        <v>1203.45</v>
      </c>
      <c r="E69" s="6">
        <f>IFERROR(__xludf.DUMMYFUNCTION("""COMPUTED_VALUE"""),1209.85)</f>
        <v>1209.85</v>
      </c>
      <c r="F69" s="6">
        <f>IFERROR(__xludf.DUMMYFUNCTION("""COMPUTED_VALUE"""),3941144.0)</f>
        <v>3941144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IFERROR(__xludf.DUMMYFUNCTION("""COMPUTED_VALUE"""),1204.8)</f>
        <v>1204.8</v>
      </c>
      <c r="C70" s="6">
        <f>IFERROR(__xludf.DUMMYFUNCTION("""COMPUTED_VALUE"""),1222.95)</f>
        <v>1222.95</v>
      </c>
      <c r="D70" s="6">
        <f>IFERROR(__xludf.DUMMYFUNCTION("""COMPUTED_VALUE"""),1167.55)</f>
        <v>1167.55</v>
      </c>
      <c r="E70" s="6">
        <f>IFERROR(__xludf.DUMMYFUNCTION("""COMPUTED_VALUE"""),1207.5)</f>
        <v>1207.5</v>
      </c>
      <c r="F70" s="6">
        <f>IFERROR(__xludf.DUMMYFUNCTION("""COMPUTED_VALUE"""),6780572.0)</f>
        <v>6780572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IFERROR(__xludf.DUMMYFUNCTION("""COMPUTED_VALUE"""),1213.0)</f>
        <v>1213</v>
      </c>
      <c r="C71" s="6">
        <f>IFERROR(__xludf.DUMMYFUNCTION("""COMPUTED_VALUE"""),1243.85)</f>
        <v>1243.85</v>
      </c>
      <c r="D71" s="6">
        <f>IFERROR(__xludf.DUMMYFUNCTION("""COMPUTED_VALUE"""),1186.05)</f>
        <v>1186.05</v>
      </c>
      <c r="E71" s="6">
        <f>IFERROR(__xludf.DUMMYFUNCTION("""COMPUTED_VALUE"""),1216.55)</f>
        <v>1216.55</v>
      </c>
      <c r="F71" s="6">
        <f>IFERROR(__xludf.DUMMYFUNCTION("""COMPUTED_VALUE"""),3824808.0)</f>
        <v>3824808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IFERROR(__xludf.DUMMYFUNCTION("""COMPUTED_VALUE"""),1166.0)</f>
        <v>1166</v>
      </c>
      <c r="C72" s="6">
        <f>IFERROR(__xludf.DUMMYFUNCTION("""COMPUTED_VALUE"""),1199.1)</f>
        <v>1199.1</v>
      </c>
      <c r="D72" s="6">
        <f>IFERROR(__xludf.DUMMYFUNCTION("""COMPUTED_VALUE"""),1123.0)</f>
        <v>1123</v>
      </c>
      <c r="E72" s="6">
        <f>IFERROR(__xludf.DUMMYFUNCTION("""COMPUTED_VALUE"""),1139.45)</f>
        <v>1139.45</v>
      </c>
      <c r="F72" s="6">
        <f>IFERROR(__xludf.DUMMYFUNCTION("""COMPUTED_VALUE"""),7638651.0)</f>
        <v>7638651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IFERROR(__xludf.DUMMYFUNCTION("""COMPUTED_VALUE"""),1144.9)</f>
        <v>1144.9</v>
      </c>
      <c r="C73" s="6">
        <f>IFERROR(__xludf.DUMMYFUNCTION("""COMPUTED_VALUE"""),1148.4)</f>
        <v>1148.4</v>
      </c>
      <c r="D73" s="6">
        <f>IFERROR(__xludf.DUMMYFUNCTION("""COMPUTED_VALUE"""),1044.7)</f>
        <v>1044.7</v>
      </c>
      <c r="E73" s="6">
        <f>IFERROR(__xludf.DUMMYFUNCTION("""COMPUTED_VALUE"""),1078.35)</f>
        <v>1078.35</v>
      </c>
      <c r="F73" s="6">
        <f>IFERROR(__xludf.DUMMYFUNCTION("""COMPUTED_VALUE"""),7268096.0)</f>
        <v>7268096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IFERROR(__xludf.DUMMYFUNCTION("""COMPUTED_VALUE"""),1078.35)</f>
        <v>1078.35</v>
      </c>
      <c r="C74" s="6">
        <f>IFERROR(__xludf.DUMMYFUNCTION("""COMPUTED_VALUE"""),1103.45)</f>
        <v>1103.45</v>
      </c>
      <c r="D74" s="6">
        <f>IFERROR(__xludf.DUMMYFUNCTION("""COMPUTED_VALUE"""),1047.6)</f>
        <v>1047.6</v>
      </c>
      <c r="E74" s="6">
        <f>IFERROR(__xludf.DUMMYFUNCTION("""COMPUTED_VALUE"""),1058.95)</f>
        <v>1058.95</v>
      </c>
      <c r="F74" s="6">
        <f>IFERROR(__xludf.DUMMYFUNCTION("""COMPUTED_VALUE"""),4206668.0)</f>
        <v>4206668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IFERROR(__xludf.DUMMYFUNCTION("""COMPUTED_VALUE"""),1048.15)</f>
        <v>1048.15</v>
      </c>
      <c r="C75" s="6">
        <f>IFERROR(__xludf.DUMMYFUNCTION("""COMPUTED_VALUE"""),1054.35)</f>
        <v>1054.35</v>
      </c>
      <c r="D75" s="6">
        <f>IFERROR(__xludf.DUMMYFUNCTION("""COMPUTED_VALUE"""),1002.15)</f>
        <v>1002.15</v>
      </c>
      <c r="E75" s="6">
        <f>IFERROR(__xludf.DUMMYFUNCTION("""COMPUTED_VALUE"""),1016.5)</f>
        <v>1016.5</v>
      </c>
      <c r="F75" s="6">
        <f>IFERROR(__xludf.DUMMYFUNCTION("""COMPUTED_VALUE"""),4562024.0)</f>
        <v>4562024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IFERROR(__xludf.DUMMYFUNCTION("""COMPUTED_VALUE"""),1018.0)</f>
        <v>1018</v>
      </c>
      <c r="C76" s="6">
        <f>IFERROR(__xludf.DUMMYFUNCTION("""COMPUTED_VALUE"""),1099.0)</f>
        <v>1099</v>
      </c>
      <c r="D76" s="6">
        <f>IFERROR(__xludf.DUMMYFUNCTION("""COMPUTED_VALUE"""),1002.4)</f>
        <v>1002.4</v>
      </c>
      <c r="E76" s="6">
        <f>IFERROR(__xludf.DUMMYFUNCTION("""COMPUTED_VALUE"""),1087.8)</f>
        <v>1087.8</v>
      </c>
      <c r="F76" s="6">
        <f>IFERROR(__xludf.DUMMYFUNCTION("""COMPUTED_VALUE"""),4045367.0)</f>
        <v>4045367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IFERROR(__xludf.DUMMYFUNCTION("""COMPUTED_VALUE"""),1092.65)</f>
        <v>1092.65</v>
      </c>
      <c r="C77" s="6">
        <f>IFERROR(__xludf.DUMMYFUNCTION("""COMPUTED_VALUE"""),1099.0)</f>
        <v>1099</v>
      </c>
      <c r="D77" s="6">
        <f>IFERROR(__xludf.DUMMYFUNCTION("""COMPUTED_VALUE"""),1032.0)</f>
        <v>1032</v>
      </c>
      <c r="E77" s="6">
        <f>IFERROR(__xludf.DUMMYFUNCTION("""COMPUTED_VALUE"""),1039.25)</f>
        <v>1039.25</v>
      </c>
      <c r="F77" s="6">
        <f>IFERROR(__xludf.DUMMYFUNCTION("""COMPUTED_VALUE"""),4108250.0)</f>
        <v>4108250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IFERROR(__xludf.DUMMYFUNCTION("""COMPUTED_VALUE"""),1081.0)</f>
        <v>1081</v>
      </c>
      <c r="C78" s="6">
        <f>IFERROR(__xludf.DUMMYFUNCTION("""COMPUTED_VALUE"""),1207.3)</f>
        <v>1207.3</v>
      </c>
      <c r="D78" s="6">
        <f>IFERROR(__xludf.DUMMYFUNCTION("""COMPUTED_VALUE"""),1076.65)</f>
        <v>1076.65</v>
      </c>
      <c r="E78" s="6">
        <f>IFERROR(__xludf.DUMMYFUNCTION("""COMPUTED_VALUE"""),1181.3)</f>
        <v>1181.3</v>
      </c>
      <c r="F78" s="6">
        <f>IFERROR(__xludf.DUMMYFUNCTION("""COMPUTED_VALUE"""),6816344.0)</f>
        <v>6816344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IFERROR(__xludf.DUMMYFUNCTION("""COMPUTED_VALUE"""),1185.0)</f>
        <v>1185</v>
      </c>
      <c r="C79" s="6">
        <f>IFERROR(__xludf.DUMMYFUNCTION("""COMPUTED_VALUE"""),1210.0)</f>
        <v>1210</v>
      </c>
      <c r="D79" s="6">
        <f>IFERROR(__xludf.DUMMYFUNCTION("""COMPUTED_VALUE"""),1129.85)</f>
        <v>1129.85</v>
      </c>
      <c r="E79" s="6">
        <f>IFERROR(__xludf.DUMMYFUNCTION("""COMPUTED_VALUE"""),1169.15)</f>
        <v>1169.15</v>
      </c>
      <c r="F79" s="6">
        <f>IFERROR(__xludf.DUMMYFUNCTION("""COMPUTED_VALUE"""),1.0969449E7)</f>
        <v>10969449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IFERROR(__xludf.DUMMYFUNCTION("""COMPUTED_VALUE"""),1160.0)</f>
        <v>1160</v>
      </c>
      <c r="C80" s="6">
        <f>IFERROR(__xludf.DUMMYFUNCTION("""COMPUTED_VALUE"""),1179.0)</f>
        <v>1179</v>
      </c>
      <c r="D80" s="6">
        <f>IFERROR(__xludf.DUMMYFUNCTION("""COMPUTED_VALUE"""),1014.0)</f>
        <v>1014</v>
      </c>
      <c r="E80" s="6">
        <f>IFERROR(__xludf.DUMMYFUNCTION("""COMPUTED_VALUE"""),1026.05)</f>
        <v>1026.05</v>
      </c>
      <c r="F80" s="6">
        <f>IFERROR(__xludf.DUMMYFUNCTION("""COMPUTED_VALUE"""),9047639.0)</f>
        <v>9047639</v>
      </c>
    </row>
    <row r="81">
      <c r="A81" s="7">
        <f>IFERROR(__xludf.DUMMYFUNCTION("""COMPUTED_VALUE"""),45758.64583333333)</f>
        <v>45758.64583</v>
      </c>
      <c r="B81" s="6">
        <f>IFERROR(__xludf.DUMMYFUNCTION("""COMPUTED_VALUE"""),925.0)</f>
        <v>925</v>
      </c>
      <c r="C81" s="6">
        <f>IFERROR(__xludf.DUMMYFUNCTION("""COMPUTED_VALUE"""),1010.0)</f>
        <v>1010</v>
      </c>
      <c r="D81" s="6">
        <f>IFERROR(__xludf.DUMMYFUNCTION("""COMPUTED_VALUE"""),919.1)</f>
        <v>919.1</v>
      </c>
      <c r="E81" s="6">
        <f>IFERROR(__xludf.DUMMYFUNCTION("""COMPUTED_VALUE"""),1002.15)</f>
        <v>1002.15</v>
      </c>
      <c r="F81" s="6">
        <f>IFERROR(__xludf.DUMMYFUNCTION("""COMPUTED_VALUE"""),9768227.0)</f>
        <v>9768227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IFERROR(__xludf.DUMMYFUNCTION("""COMPUTED_VALUE"""),1041.0)</f>
        <v>1041</v>
      </c>
      <c r="C82" s="6">
        <f>IFERROR(__xludf.DUMMYFUNCTION("""COMPUTED_VALUE"""),1078.5)</f>
        <v>1078.5</v>
      </c>
      <c r="D82" s="6">
        <f>IFERROR(__xludf.DUMMYFUNCTION("""COMPUTED_VALUE"""),1040.1)</f>
        <v>1040.1</v>
      </c>
      <c r="E82" s="6">
        <f>IFERROR(__xludf.DUMMYFUNCTION("""COMPUTED_VALUE"""),1068.2)</f>
        <v>1068.2</v>
      </c>
      <c r="F82" s="6">
        <f>IFERROR(__xludf.DUMMYFUNCTION("""COMPUTED_VALUE"""),4946643.0)</f>
        <v>4946643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IFERROR(__xludf.DUMMYFUNCTION("""COMPUTED_VALUE"""),1070.0)</f>
        <v>1070</v>
      </c>
      <c r="C83" s="6">
        <f>IFERROR(__xludf.DUMMYFUNCTION("""COMPUTED_VALUE"""),1139.6)</f>
        <v>1139.6</v>
      </c>
      <c r="D83" s="6">
        <f>IFERROR(__xludf.DUMMYFUNCTION("""COMPUTED_VALUE"""),1066.7)</f>
        <v>1066.7</v>
      </c>
      <c r="E83" s="6">
        <f>IFERROR(__xludf.DUMMYFUNCTION("""COMPUTED_VALUE"""),1088.5)</f>
        <v>1088.5</v>
      </c>
      <c r="F83" s="6">
        <f>IFERROR(__xludf.DUMMYFUNCTION("""COMPUTED_VALUE"""),6685515.0)</f>
        <v>6685515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IFERROR(__xludf.DUMMYFUNCTION("""COMPUTED_VALUE"""),1082.0)</f>
        <v>1082</v>
      </c>
      <c r="C84" s="6">
        <f>IFERROR(__xludf.DUMMYFUNCTION("""COMPUTED_VALUE"""),1156.0)</f>
        <v>1156</v>
      </c>
      <c r="D84" s="6">
        <f>IFERROR(__xludf.DUMMYFUNCTION("""COMPUTED_VALUE"""),1082.0)</f>
        <v>1082</v>
      </c>
      <c r="E84" s="6">
        <f>IFERROR(__xludf.DUMMYFUNCTION("""COMPUTED_VALUE"""),1107.0)</f>
        <v>1107</v>
      </c>
      <c r="F84" s="6">
        <f>IFERROR(__xludf.DUMMYFUNCTION("""COMPUTED_VALUE"""),5233376.0)</f>
        <v>5233376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IFERROR(__xludf.DUMMYFUNCTION("""COMPUTED_VALUE"""),1108.9)</f>
        <v>1108.9</v>
      </c>
      <c r="C85" s="6">
        <f>IFERROR(__xludf.DUMMYFUNCTION("""COMPUTED_VALUE"""),1176.9)</f>
        <v>1176.9</v>
      </c>
      <c r="D85" s="6">
        <f>IFERROR(__xludf.DUMMYFUNCTION("""COMPUTED_VALUE"""),1080.0)</f>
        <v>1080</v>
      </c>
      <c r="E85" s="6">
        <f>IFERROR(__xludf.DUMMYFUNCTION("""COMPUTED_VALUE"""),1165.6)</f>
        <v>1165.6</v>
      </c>
      <c r="F85" s="6">
        <f>IFERROR(__xludf.DUMMYFUNCTION("""COMPUTED_VALUE"""),1.2039709E7)</f>
        <v>12039709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IFERROR(__xludf.DUMMYFUNCTION("""COMPUTED_VALUE"""),1205.0)</f>
        <v>1205</v>
      </c>
      <c r="C86" s="6">
        <f>IFERROR(__xludf.DUMMYFUNCTION("""COMPUTED_VALUE"""),1270.0)</f>
        <v>1270</v>
      </c>
      <c r="D86" s="6">
        <f>IFERROR(__xludf.DUMMYFUNCTION("""COMPUTED_VALUE"""),1173.3)</f>
        <v>1173.3</v>
      </c>
      <c r="E86" s="6">
        <f>IFERROR(__xludf.DUMMYFUNCTION("""COMPUTED_VALUE"""),1263.0)</f>
        <v>1263</v>
      </c>
      <c r="F86" s="6">
        <f>IFERROR(__xludf.DUMMYFUNCTION("""COMPUTED_VALUE"""),1.1881866E7)</f>
        <v>11881866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IFERROR(__xludf.DUMMYFUNCTION("""COMPUTED_VALUE"""),1271.0)</f>
        <v>1271</v>
      </c>
      <c r="C87" s="6">
        <f>IFERROR(__xludf.DUMMYFUNCTION("""COMPUTED_VALUE"""),1279.0)</f>
        <v>1279</v>
      </c>
      <c r="D87" s="6">
        <f>IFERROR(__xludf.DUMMYFUNCTION("""COMPUTED_VALUE"""),1217.0)</f>
        <v>1217</v>
      </c>
      <c r="E87" s="6">
        <f>IFERROR(__xludf.DUMMYFUNCTION("""COMPUTED_VALUE"""),1245.1)</f>
        <v>1245.1</v>
      </c>
      <c r="F87" s="6">
        <f>IFERROR(__xludf.DUMMYFUNCTION("""COMPUTED_VALUE"""),4678636.0)</f>
        <v>4678636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IFERROR(__xludf.DUMMYFUNCTION("""COMPUTED_VALUE"""),1245.0)</f>
        <v>1245</v>
      </c>
      <c r="C88" s="6">
        <f>IFERROR(__xludf.DUMMYFUNCTION("""COMPUTED_VALUE"""),1276.3)</f>
        <v>1276.3</v>
      </c>
      <c r="D88" s="6">
        <f>IFERROR(__xludf.DUMMYFUNCTION("""COMPUTED_VALUE"""),1238.0)</f>
        <v>1238</v>
      </c>
      <c r="E88" s="6">
        <f>IFERROR(__xludf.DUMMYFUNCTION("""COMPUTED_VALUE"""),1240.9)</f>
        <v>1240.9</v>
      </c>
      <c r="F88" s="6">
        <f>IFERROR(__xludf.DUMMYFUNCTION("""COMPUTED_VALUE"""),5546302.0)</f>
        <v>5546302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IFERROR(__xludf.DUMMYFUNCTION("""COMPUTED_VALUE"""),1238.0)</f>
        <v>1238</v>
      </c>
      <c r="C89" s="6">
        <f>IFERROR(__xludf.DUMMYFUNCTION("""COMPUTED_VALUE"""),1299.7)</f>
        <v>1299.7</v>
      </c>
      <c r="D89" s="6">
        <f>IFERROR(__xludf.DUMMYFUNCTION("""COMPUTED_VALUE"""),1230.0)</f>
        <v>1230</v>
      </c>
      <c r="E89" s="6">
        <f>IFERROR(__xludf.DUMMYFUNCTION("""COMPUTED_VALUE"""),1296.4)</f>
        <v>1296.4</v>
      </c>
      <c r="F89" s="6">
        <f>IFERROR(__xludf.DUMMYFUNCTION("""COMPUTED_VALUE"""),8437637.0)</f>
        <v>8437637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IFERROR(__xludf.DUMMYFUNCTION("""COMPUTED_VALUE"""),1305.0)</f>
        <v>1305</v>
      </c>
      <c r="C90" s="6">
        <f>IFERROR(__xludf.DUMMYFUNCTION("""COMPUTED_VALUE"""),1362.1)</f>
        <v>1362.1</v>
      </c>
      <c r="D90" s="6">
        <f>IFERROR(__xludf.DUMMYFUNCTION("""COMPUTED_VALUE"""),1271.0)</f>
        <v>1271</v>
      </c>
      <c r="E90" s="6">
        <f>IFERROR(__xludf.DUMMYFUNCTION("""COMPUTED_VALUE"""),1309.3)</f>
        <v>1309.3</v>
      </c>
      <c r="F90" s="6">
        <f>IFERROR(__xludf.DUMMYFUNCTION("""COMPUTED_VALUE"""),7031525.0)</f>
        <v>7031525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IFERROR(__xludf.DUMMYFUNCTION("""COMPUTED_VALUE"""),1311.0)</f>
        <v>1311</v>
      </c>
      <c r="C91" s="6">
        <f>IFERROR(__xludf.DUMMYFUNCTION("""COMPUTED_VALUE"""),1325.0)</f>
        <v>1325</v>
      </c>
      <c r="D91" s="6">
        <f>IFERROR(__xludf.DUMMYFUNCTION("""COMPUTED_VALUE"""),1269.0)</f>
        <v>1269</v>
      </c>
      <c r="E91" s="6">
        <f>IFERROR(__xludf.DUMMYFUNCTION("""COMPUTED_VALUE"""),1278.3)</f>
        <v>1278.3</v>
      </c>
      <c r="F91" s="6">
        <f>IFERROR(__xludf.DUMMYFUNCTION("""COMPUTED_VALUE"""),3864031.0)</f>
        <v>3864031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IFERROR(__xludf.DUMMYFUNCTION("""COMPUTED_VALUE"""),1275.1)</f>
        <v>1275.1</v>
      </c>
      <c r="C92" s="6">
        <f>IFERROR(__xludf.DUMMYFUNCTION("""COMPUTED_VALUE"""),1324.5)</f>
        <v>1324.5</v>
      </c>
      <c r="D92" s="6">
        <f>IFERROR(__xludf.DUMMYFUNCTION("""COMPUTED_VALUE"""),1270.6)</f>
        <v>1270.6</v>
      </c>
      <c r="E92" s="6">
        <f>IFERROR(__xludf.DUMMYFUNCTION("""COMPUTED_VALUE"""),1309.7)</f>
        <v>1309.7</v>
      </c>
      <c r="F92" s="6">
        <f>IFERROR(__xludf.DUMMYFUNCTION("""COMPUTED_VALUE"""),7400789.0)</f>
        <v>7400789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IFERROR(__xludf.DUMMYFUNCTION("""COMPUTED_VALUE"""),1317.0)</f>
        <v>1317</v>
      </c>
      <c r="C93" s="6">
        <f>IFERROR(__xludf.DUMMYFUNCTION("""COMPUTED_VALUE"""),1336.1)</f>
        <v>1336.1</v>
      </c>
      <c r="D93" s="6">
        <f>IFERROR(__xludf.DUMMYFUNCTION("""COMPUTED_VALUE"""),1270.0)</f>
        <v>1270</v>
      </c>
      <c r="E93" s="6">
        <f>IFERROR(__xludf.DUMMYFUNCTION("""COMPUTED_VALUE"""),1314.5)</f>
        <v>1314.5</v>
      </c>
      <c r="F93" s="6">
        <f>IFERROR(__xludf.DUMMYFUNCTION("""COMPUTED_VALUE"""),6497324.0)</f>
        <v>6497324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IFERROR(__xludf.DUMMYFUNCTION("""COMPUTED_VALUE"""),1314.0)</f>
        <v>1314</v>
      </c>
      <c r="C94" s="6">
        <f>IFERROR(__xludf.DUMMYFUNCTION("""COMPUTED_VALUE"""),1314.0)</f>
        <v>1314</v>
      </c>
      <c r="D94" s="6">
        <f>IFERROR(__xludf.DUMMYFUNCTION("""COMPUTED_VALUE"""),1210.8)</f>
        <v>1210.8</v>
      </c>
      <c r="E94" s="6">
        <f>IFERROR(__xludf.DUMMYFUNCTION("""COMPUTED_VALUE"""),1214.8)</f>
        <v>1214.8</v>
      </c>
      <c r="F94" s="6">
        <f>IFERROR(__xludf.DUMMYFUNCTION("""COMPUTED_VALUE"""),4219672.0)</f>
        <v>4219672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IFERROR(__xludf.DUMMYFUNCTION("""COMPUTED_VALUE"""),1210.9)</f>
        <v>1210.9</v>
      </c>
      <c r="C95" s="6">
        <f>IFERROR(__xludf.DUMMYFUNCTION("""COMPUTED_VALUE"""),1241.7)</f>
        <v>1241.7</v>
      </c>
      <c r="D95" s="6">
        <f>IFERROR(__xludf.DUMMYFUNCTION("""COMPUTED_VALUE"""),1200.0)</f>
        <v>1200</v>
      </c>
      <c r="E95" s="6">
        <f>IFERROR(__xludf.DUMMYFUNCTION("""COMPUTED_VALUE"""),1216.6)</f>
        <v>1216.6</v>
      </c>
      <c r="F95" s="6">
        <f>IFERROR(__xludf.DUMMYFUNCTION("""COMPUTED_VALUE"""),4109615.0)</f>
        <v>4109615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IFERROR(__xludf.DUMMYFUNCTION("""COMPUTED_VALUE"""),1216.6)</f>
        <v>1216.6</v>
      </c>
      <c r="C96" s="6">
        <f>IFERROR(__xludf.DUMMYFUNCTION("""COMPUTED_VALUE"""),1230.3)</f>
        <v>1230.3</v>
      </c>
      <c r="D96" s="6">
        <f>IFERROR(__xludf.DUMMYFUNCTION("""COMPUTED_VALUE"""),1185.7)</f>
        <v>1185.7</v>
      </c>
      <c r="E96" s="6">
        <f>IFERROR(__xludf.DUMMYFUNCTION("""COMPUTED_VALUE"""),1204.0)</f>
        <v>1204</v>
      </c>
      <c r="F96" s="6">
        <f>IFERROR(__xludf.DUMMYFUNCTION("""COMPUTED_VALUE"""),3076665.0)</f>
        <v>3076665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IFERROR(__xludf.DUMMYFUNCTION("""COMPUTED_VALUE"""),1202.7)</f>
        <v>1202.7</v>
      </c>
      <c r="C97" s="6">
        <f>IFERROR(__xludf.DUMMYFUNCTION("""COMPUTED_VALUE"""),1227.7)</f>
        <v>1227.7</v>
      </c>
      <c r="D97" s="6">
        <f>IFERROR(__xludf.DUMMYFUNCTION("""COMPUTED_VALUE"""),1141.9)</f>
        <v>1141.9</v>
      </c>
      <c r="E97" s="6">
        <f>IFERROR(__xludf.DUMMYFUNCTION("""COMPUTED_VALUE"""),1146.1)</f>
        <v>1146.1</v>
      </c>
      <c r="F97" s="6">
        <f>IFERROR(__xludf.DUMMYFUNCTION("""COMPUTED_VALUE"""),4697157.0)</f>
        <v>4697157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IFERROR(__xludf.DUMMYFUNCTION("""COMPUTED_VALUE"""),1145.0)</f>
        <v>1145</v>
      </c>
      <c r="C98" s="6">
        <f>IFERROR(__xludf.DUMMYFUNCTION("""COMPUTED_VALUE"""),1179.6)</f>
        <v>1179.6</v>
      </c>
      <c r="D98" s="6">
        <f>IFERROR(__xludf.DUMMYFUNCTION("""COMPUTED_VALUE"""),1102.0)</f>
        <v>1102</v>
      </c>
      <c r="E98" s="6">
        <f>IFERROR(__xludf.DUMMYFUNCTION("""COMPUTED_VALUE"""),1135.2)</f>
        <v>1135.2</v>
      </c>
      <c r="F98" s="6">
        <f>IFERROR(__xludf.DUMMYFUNCTION("""COMPUTED_VALUE"""),5652537.0)</f>
        <v>5652537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IFERROR(__xludf.DUMMYFUNCTION("""COMPUTED_VALUE"""),1136.8)</f>
        <v>1136.8</v>
      </c>
      <c r="C99" s="6">
        <f>IFERROR(__xludf.DUMMYFUNCTION("""COMPUTED_VALUE"""),1186.0)</f>
        <v>1186</v>
      </c>
      <c r="D99" s="6">
        <f>IFERROR(__xludf.DUMMYFUNCTION("""COMPUTED_VALUE"""),1129.5)</f>
        <v>1129.5</v>
      </c>
      <c r="E99" s="6">
        <f>IFERROR(__xludf.DUMMYFUNCTION("""COMPUTED_VALUE"""),1180.5)</f>
        <v>1180.5</v>
      </c>
      <c r="F99" s="6">
        <f>IFERROR(__xludf.DUMMYFUNCTION("""COMPUTED_VALUE"""),2211415.0)</f>
        <v>2211415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IFERROR(__xludf.DUMMYFUNCTION("""COMPUTED_VALUE"""),1199.8)</f>
        <v>1199.8</v>
      </c>
      <c r="C100" s="6">
        <f>IFERROR(__xludf.DUMMYFUNCTION("""COMPUTED_VALUE"""),1200.1)</f>
        <v>1200.1</v>
      </c>
      <c r="D100" s="6">
        <f>IFERROR(__xludf.DUMMYFUNCTION("""COMPUTED_VALUE"""),1120.2)</f>
        <v>1120.2</v>
      </c>
      <c r="E100" s="6">
        <f>IFERROR(__xludf.DUMMYFUNCTION("""COMPUTED_VALUE"""),1123.0)</f>
        <v>1123</v>
      </c>
      <c r="F100" s="6">
        <f>IFERROR(__xludf.DUMMYFUNCTION("""COMPUTED_VALUE"""),5123451.0)</f>
        <v>5123451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IFERROR(__xludf.DUMMYFUNCTION("""COMPUTED_VALUE"""),1125.9)</f>
        <v>1125.9</v>
      </c>
      <c r="C101" s="6">
        <f>IFERROR(__xludf.DUMMYFUNCTION("""COMPUTED_VALUE"""),1157.8)</f>
        <v>1157.8</v>
      </c>
      <c r="D101" s="6">
        <f>IFERROR(__xludf.DUMMYFUNCTION("""COMPUTED_VALUE"""),1110.0)</f>
        <v>1110</v>
      </c>
      <c r="E101" s="6">
        <f>IFERROR(__xludf.DUMMYFUNCTION("""COMPUTED_VALUE"""),1122.3)</f>
        <v>1122.3</v>
      </c>
      <c r="F101" s="6">
        <f>IFERROR(__xludf.DUMMYFUNCTION("""COMPUTED_VALUE"""),2.6692989E7)</f>
        <v>26692989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IFERROR(__xludf.DUMMYFUNCTION("GOOGLEFINANCE(""NSE:BHARTIARTL"",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IFERROR(__xludf.DUMMYFUNCTION("""COMPUTED_VALUE"""),874.05)</f>
        <v>874.05</v>
      </c>
      <c r="C2" s="6">
        <f>IFERROR(__xludf.DUMMYFUNCTION("""COMPUTED_VALUE"""),875.75)</f>
        <v>875.75</v>
      </c>
      <c r="D2" s="6">
        <f>IFERROR(__xludf.DUMMYFUNCTION("""COMPUTED_VALUE"""),847.05)</f>
        <v>847.05</v>
      </c>
      <c r="E2" s="6">
        <f>IFERROR(__xludf.DUMMYFUNCTION("""COMPUTED_VALUE"""),865.95)</f>
        <v>865.95</v>
      </c>
      <c r="F2" s="6">
        <f>IFERROR(__xludf.DUMMYFUNCTION("""COMPUTED_VALUE"""),3.7376495E7)</f>
        <v>37376495</v>
      </c>
    </row>
    <row r="3">
      <c r="A3" s="7">
        <f>IFERROR(__xludf.DUMMYFUNCTION("""COMPUTED_VALUE"""),45177.64583333333)</f>
        <v>45177.64583</v>
      </c>
      <c r="B3" s="6">
        <f>IFERROR(__xludf.DUMMYFUNCTION("""COMPUTED_VALUE"""),865.75)</f>
        <v>865.75</v>
      </c>
      <c r="C3" s="6">
        <f>IFERROR(__xludf.DUMMYFUNCTION("""COMPUTED_VALUE"""),890.65)</f>
        <v>890.65</v>
      </c>
      <c r="D3" s="6">
        <f>IFERROR(__xludf.DUMMYFUNCTION("""COMPUTED_VALUE"""),858.4)</f>
        <v>858.4</v>
      </c>
      <c r="E3" s="6">
        <f>IFERROR(__xludf.DUMMYFUNCTION("""COMPUTED_VALUE"""),885.85)</f>
        <v>885.85</v>
      </c>
      <c r="F3" s="6">
        <f>IFERROR(__xludf.DUMMYFUNCTION("""COMPUTED_VALUE"""),1.7828803E7)</f>
        <v>17828803</v>
      </c>
    </row>
    <row r="4">
      <c r="A4" s="7">
        <f>IFERROR(__xludf.DUMMYFUNCTION("""COMPUTED_VALUE"""),45184.64583333333)</f>
        <v>45184.64583</v>
      </c>
      <c r="B4" s="6">
        <f>IFERROR(__xludf.DUMMYFUNCTION("""COMPUTED_VALUE"""),888.0)</f>
        <v>888</v>
      </c>
      <c r="C4" s="6">
        <f>IFERROR(__xludf.DUMMYFUNCTION("""COMPUTED_VALUE"""),948.7)</f>
        <v>948.7</v>
      </c>
      <c r="D4" s="6">
        <f>IFERROR(__xludf.DUMMYFUNCTION("""COMPUTED_VALUE"""),883.6)</f>
        <v>883.6</v>
      </c>
      <c r="E4" s="6">
        <f>IFERROR(__xludf.DUMMYFUNCTION("""COMPUTED_VALUE"""),936.15)</f>
        <v>936.15</v>
      </c>
      <c r="F4" s="6">
        <f>IFERROR(__xludf.DUMMYFUNCTION("""COMPUTED_VALUE"""),3.157902E7)</f>
        <v>31579020</v>
      </c>
    </row>
    <row r="5">
      <c r="A5" s="7">
        <f>IFERROR(__xludf.DUMMYFUNCTION("""COMPUTED_VALUE"""),45191.64583333333)</f>
        <v>45191.64583</v>
      </c>
      <c r="B5" s="6">
        <f>IFERROR(__xludf.DUMMYFUNCTION("""COMPUTED_VALUE"""),929.4)</f>
        <v>929.4</v>
      </c>
      <c r="C5" s="6">
        <f>IFERROR(__xludf.DUMMYFUNCTION("""COMPUTED_VALUE"""),935.8)</f>
        <v>935.8</v>
      </c>
      <c r="D5" s="6">
        <f>IFERROR(__xludf.DUMMYFUNCTION("""COMPUTED_VALUE"""),903.35)</f>
        <v>903.35</v>
      </c>
      <c r="E5" s="6">
        <f>IFERROR(__xludf.DUMMYFUNCTION("""COMPUTED_VALUE"""),911.4)</f>
        <v>911.4</v>
      </c>
      <c r="F5" s="6">
        <f>IFERROR(__xludf.DUMMYFUNCTION("""COMPUTED_VALUE"""),1.9228408E7)</f>
        <v>19228408</v>
      </c>
    </row>
    <row r="6">
      <c r="A6" s="7">
        <f>IFERROR(__xludf.DUMMYFUNCTION("""COMPUTED_VALUE"""),45198.64583333333)</f>
        <v>45198.64583</v>
      </c>
      <c r="B6" s="6">
        <f>IFERROR(__xludf.DUMMYFUNCTION("""COMPUTED_VALUE"""),912.0)</f>
        <v>912</v>
      </c>
      <c r="C6" s="6">
        <f>IFERROR(__xludf.DUMMYFUNCTION("""COMPUTED_VALUE"""),936.4)</f>
        <v>936.4</v>
      </c>
      <c r="D6" s="6">
        <f>IFERROR(__xludf.DUMMYFUNCTION("""COMPUTED_VALUE"""),902.05)</f>
        <v>902.05</v>
      </c>
      <c r="E6" s="6">
        <f>IFERROR(__xludf.DUMMYFUNCTION("""COMPUTED_VALUE"""),926.4)</f>
        <v>926.4</v>
      </c>
      <c r="F6" s="6">
        <f>IFERROR(__xludf.DUMMYFUNCTION("""COMPUTED_VALUE"""),2.8341711E7)</f>
        <v>28341711</v>
      </c>
    </row>
    <row r="7">
      <c r="A7" s="7">
        <f>IFERROR(__xludf.DUMMYFUNCTION("""COMPUTED_VALUE"""),45205.64583333333)</f>
        <v>45205.64583</v>
      </c>
      <c r="B7" s="6">
        <f>IFERROR(__xludf.DUMMYFUNCTION("""COMPUTED_VALUE"""),918.25)</f>
        <v>918.25</v>
      </c>
      <c r="C7" s="6">
        <f>IFERROR(__xludf.DUMMYFUNCTION("""COMPUTED_VALUE"""),929.6)</f>
        <v>929.6</v>
      </c>
      <c r="D7" s="6">
        <f>IFERROR(__xludf.DUMMYFUNCTION("""COMPUTED_VALUE"""),916.05)</f>
        <v>916.05</v>
      </c>
      <c r="E7" s="6">
        <f>IFERROR(__xludf.DUMMYFUNCTION("""COMPUTED_VALUE"""),926.05)</f>
        <v>926.05</v>
      </c>
      <c r="F7" s="6">
        <f>IFERROR(__xludf.DUMMYFUNCTION("""COMPUTED_VALUE"""),1.9425928E7)</f>
        <v>19425928</v>
      </c>
    </row>
    <row r="8">
      <c r="A8" s="7">
        <f>IFERROR(__xludf.DUMMYFUNCTION("""COMPUTED_VALUE"""),45212.64583333333)</f>
        <v>45212.64583</v>
      </c>
      <c r="B8" s="6">
        <f>IFERROR(__xludf.DUMMYFUNCTION("""COMPUTED_VALUE"""),918.0)</f>
        <v>918</v>
      </c>
      <c r="C8" s="6">
        <f>IFERROR(__xludf.DUMMYFUNCTION("""COMPUTED_VALUE"""),956.8)</f>
        <v>956.8</v>
      </c>
      <c r="D8" s="6">
        <f>IFERROR(__xludf.DUMMYFUNCTION("""COMPUTED_VALUE"""),916.55)</f>
        <v>916.55</v>
      </c>
      <c r="E8" s="6">
        <f>IFERROR(__xludf.DUMMYFUNCTION("""COMPUTED_VALUE"""),954.2)</f>
        <v>954.2</v>
      </c>
      <c r="F8" s="6">
        <f>IFERROR(__xludf.DUMMYFUNCTION("""COMPUTED_VALUE"""),2.5757673E7)</f>
        <v>25757673</v>
      </c>
    </row>
    <row r="9">
      <c r="A9" s="7">
        <f>IFERROR(__xludf.DUMMYFUNCTION("""COMPUTED_VALUE"""),45219.64583333333)</f>
        <v>45219.64583</v>
      </c>
      <c r="B9" s="6">
        <f>IFERROR(__xludf.DUMMYFUNCTION("""COMPUTED_VALUE"""),957.95)</f>
        <v>957.95</v>
      </c>
      <c r="C9" s="6">
        <f>IFERROR(__xludf.DUMMYFUNCTION("""COMPUTED_VALUE"""),960.25)</f>
        <v>960.25</v>
      </c>
      <c r="D9" s="6">
        <f>IFERROR(__xludf.DUMMYFUNCTION("""COMPUTED_VALUE"""),937.0)</f>
        <v>937</v>
      </c>
      <c r="E9" s="6">
        <f>IFERROR(__xludf.DUMMYFUNCTION("""COMPUTED_VALUE"""),945.2)</f>
        <v>945.2</v>
      </c>
      <c r="F9" s="6">
        <f>IFERROR(__xludf.DUMMYFUNCTION("""COMPUTED_VALUE"""),1.551159E7)</f>
        <v>15511590</v>
      </c>
    </row>
    <row r="10">
      <c r="A10" s="7">
        <f>IFERROR(__xludf.DUMMYFUNCTION("""COMPUTED_VALUE"""),45226.64583333333)</f>
        <v>45226.64583</v>
      </c>
      <c r="B10" s="6">
        <f>IFERROR(__xludf.DUMMYFUNCTION("""COMPUTED_VALUE"""),941.6)</f>
        <v>941.6</v>
      </c>
      <c r="C10" s="6">
        <f>IFERROR(__xludf.DUMMYFUNCTION("""COMPUTED_VALUE"""),949.1)</f>
        <v>949.1</v>
      </c>
      <c r="D10" s="6">
        <f>IFERROR(__xludf.DUMMYFUNCTION("""COMPUTED_VALUE"""),900.05)</f>
        <v>900.05</v>
      </c>
      <c r="E10" s="6">
        <f>IFERROR(__xludf.DUMMYFUNCTION("""COMPUTED_VALUE"""),914.6)</f>
        <v>914.6</v>
      </c>
      <c r="F10" s="6">
        <f>IFERROR(__xludf.DUMMYFUNCTION("""COMPUTED_VALUE"""),1.864904E7)</f>
        <v>18649040</v>
      </c>
    </row>
    <row r="11">
      <c r="A11" s="7">
        <f>IFERROR(__xludf.DUMMYFUNCTION("""COMPUTED_VALUE"""),45233.64583333333)</f>
        <v>45233.64583</v>
      </c>
      <c r="B11" s="6">
        <f>IFERROR(__xludf.DUMMYFUNCTION("""COMPUTED_VALUE"""),914.8)</f>
        <v>914.8</v>
      </c>
      <c r="C11" s="6">
        <f>IFERROR(__xludf.DUMMYFUNCTION("""COMPUTED_VALUE"""),933.7)</f>
        <v>933.7</v>
      </c>
      <c r="D11" s="6">
        <f>IFERROR(__xludf.DUMMYFUNCTION("""COMPUTED_VALUE"""),895.45)</f>
        <v>895.45</v>
      </c>
      <c r="E11" s="6">
        <f>IFERROR(__xludf.DUMMYFUNCTION("""COMPUTED_VALUE"""),930.75)</f>
        <v>930.75</v>
      </c>
      <c r="F11" s="6">
        <f>IFERROR(__xludf.DUMMYFUNCTION("""COMPUTED_VALUE"""),2.4712521E7)</f>
        <v>24712521</v>
      </c>
    </row>
    <row r="12">
      <c r="A12" s="7">
        <f>IFERROR(__xludf.DUMMYFUNCTION("""COMPUTED_VALUE"""),45240.64583333333)</f>
        <v>45240.64583</v>
      </c>
      <c r="B12" s="6">
        <f>IFERROR(__xludf.DUMMYFUNCTION("""COMPUTED_VALUE"""),934.2)</f>
        <v>934.2</v>
      </c>
      <c r="C12" s="6">
        <f>IFERROR(__xludf.DUMMYFUNCTION("""COMPUTED_VALUE"""),941.8)</f>
        <v>941.8</v>
      </c>
      <c r="D12" s="6">
        <f>IFERROR(__xludf.DUMMYFUNCTION("""COMPUTED_VALUE"""),929.0)</f>
        <v>929</v>
      </c>
      <c r="E12" s="6">
        <f>IFERROR(__xludf.DUMMYFUNCTION("""COMPUTED_VALUE"""),935.5)</f>
        <v>935.5</v>
      </c>
      <c r="F12" s="6">
        <f>IFERROR(__xludf.DUMMYFUNCTION("""COMPUTED_VALUE"""),1.3446329E7)</f>
        <v>13446329</v>
      </c>
    </row>
    <row r="13">
      <c r="A13" s="7">
        <f>IFERROR(__xludf.DUMMYFUNCTION("""COMPUTED_VALUE"""),45247.64583333333)</f>
        <v>45247.64583</v>
      </c>
      <c r="B13" s="6">
        <f>IFERROR(__xludf.DUMMYFUNCTION("""COMPUTED_VALUE"""),940.0)</f>
        <v>940</v>
      </c>
      <c r="C13" s="6">
        <f>IFERROR(__xludf.DUMMYFUNCTION("""COMPUTED_VALUE"""),954.0)</f>
        <v>954</v>
      </c>
      <c r="D13" s="6">
        <f>IFERROR(__xludf.DUMMYFUNCTION("""COMPUTED_VALUE"""),933.0)</f>
        <v>933</v>
      </c>
      <c r="E13" s="6">
        <f>IFERROR(__xludf.DUMMYFUNCTION("""COMPUTED_VALUE"""),947.3)</f>
        <v>947.3</v>
      </c>
      <c r="F13" s="6">
        <f>IFERROR(__xludf.DUMMYFUNCTION("""COMPUTED_VALUE"""),1.5207699E7)</f>
        <v>15207699</v>
      </c>
    </row>
    <row r="14">
      <c r="A14" s="7">
        <f>IFERROR(__xludf.DUMMYFUNCTION("""COMPUTED_VALUE"""),45254.64583333333)</f>
        <v>45254.64583</v>
      </c>
      <c r="B14" s="6">
        <f>IFERROR(__xludf.DUMMYFUNCTION("""COMPUTED_VALUE"""),949.0)</f>
        <v>949</v>
      </c>
      <c r="C14" s="6">
        <f>IFERROR(__xludf.DUMMYFUNCTION("""COMPUTED_VALUE"""),981.0)</f>
        <v>981</v>
      </c>
      <c r="D14" s="6">
        <f>IFERROR(__xludf.DUMMYFUNCTION("""COMPUTED_VALUE"""),941.95)</f>
        <v>941.95</v>
      </c>
      <c r="E14" s="6">
        <f>IFERROR(__xludf.DUMMYFUNCTION("""COMPUTED_VALUE"""),973.15)</f>
        <v>973.15</v>
      </c>
      <c r="F14" s="6">
        <f>IFERROR(__xludf.DUMMYFUNCTION("""COMPUTED_VALUE"""),1.8732997E7)</f>
        <v>18732997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IFERROR(__xludf.DUMMYFUNCTION("""COMPUTED_VALUE"""),974.05)</f>
        <v>974.05</v>
      </c>
      <c r="C15" s="6">
        <f>IFERROR(__xludf.DUMMYFUNCTION("""COMPUTED_VALUE"""),1022.55)</f>
        <v>1022.55</v>
      </c>
      <c r="D15" s="6">
        <f>IFERROR(__xludf.DUMMYFUNCTION("""COMPUTED_VALUE"""),971.2)</f>
        <v>971.2</v>
      </c>
      <c r="E15" s="6">
        <f>IFERROR(__xludf.DUMMYFUNCTION("""COMPUTED_VALUE"""),1014.7)</f>
        <v>1014.7</v>
      </c>
      <c r="F15" s="6">
        <f>IFERROR(__xludf.DUMMYFUNCTION("""COMPUTED_VALUE"""),2.6223904E7)</f>
        <v>26223904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IFERROR(__xludf.DUMMYFUNCTION("""COMPUTED_VALUE"""),1036.0)</f>
        <v>1036</v>
      </c>
      <c r="C16" s="6">
        <f>IFERROR(__xludf.DUMMYFUNCTION("""COMPUTED_VALUE"""),1045.95)</f>
        <v>1045.95</v>
      </c>
      <c r="D16" s="6">
        <f>IFERROR(__xludf.DUMMYFUNCTION("""COMPUTED_VALUE"""),991.3)</f>
        <v>991.3</v>
      </c>
      <c r="E16" s="6">
        <f>IFERROR(__xludf.DUMMYFUNCTION("""COMPUTED_VALUE"""),1000.25)</f>
        <v>1000.25</v>
      </c>
      <c r="F16" s="6">
        <f>IFERROR(__xludf.DUMMYFUNCTION("""COMPUTED_VALUE"""),3.3988313E7)</f>
        <v>33988313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IFERROR(__xludf.DUMMYFUNCTION("""COMPUTED_VALUE"""),996.1)</f>
        <v>996.1</v>
      </c>
      <c r="C17" s="6">
        <f>IFERROR(__xludf.DUMMYFUNCTION("""COMPUTED_VALUE"""),1011.2)</f>
        <v>1011.2</v>
      </c>
      <c r="D17" s="6">
        <f>IFERROR(__xludf.DUMMYFUNCTION("""COMPUTED_VALUE"""),987.0)</f>
        <v>987</v>
      </c>
      <c r="E17" s="6">
        <f>IFERROR(__xludf.DUMMYFUNCTION("""COMPUTED_VALUE"""),992.55)</f>
        <v>992.55</v>
      </c>
      <c r="F17" s="6">
        <f>IFERROR(__xludf.DUMMYFUNCTION("""COMPUTED_VALUE"""),3.4128939E7)</f>
        <v>34128939</v>
      </c>
    </row>
    <row r="18">
      <c r="A18" s="7">
        <f>IFERROR(__xludf.DUMMYFUNCTION("""COMPUTED_VALUE"""),45282.64583333333)</f>
        <v>45282.64583</v>
      </c>
      <c r="B18" s="6">
        <f>IFERROR(__xludf.DUMMYFUNCTION("""COMPUTED_VALUE"""),995.0)</f>
        <v>995</v>
      </c>
      <c r="C18" s="6">
        <f>IFERROR(__xludf.DUMMYFUNCTION("""COMPUTED_VALUE"""),998.95)</f>
        <v>998.95</v>
      </c>
      <c r="D18" s="6">
        <f>IFERROR(__xludf.DUMMYFUNCTION("""COMPUTED_VALUE"""),960.0)</f>
        <v>960</v>
      </c>
      <c r="E18" s="6">
        <f>IFERROR(__xludf.DUMMYFUNCTION("""COMPUTED_VALUE"""),989.55)</f>
        <v>989.55</v>
      </c>
      <c r="F18" s="6">
        <f>IFERROR(__xludf.DUMMYFUNCTION("""COMPUTED_VALUE"""),2.2553215E7)</f>
        <v>22553215</v>
      </c>
    </row>
    <row r="19">
      <c r="A19" s="7">
        <f>IFERROR(__xludf.DUMMYFUNCTION("""COMPUTED_VALUE"""),45289.64583333333)</f>
        <v>45289.64583</v>
      </c>
      <c r="B19" s="6">
        <f>IFERROR(__xludf.DUMMYFUNCTION("""COMPUTED_VALUE"""),995.0)</f>
        <v>995</v>
      </c>
      <c r="C19" s="6">
        <f>IFERROR(__xludf.DUMMYFUNCTION("""COMPUTED_VALUE"""),1043.25)</f>
        <v>1043.25</v>
      </c>
      <c r="D19" s="6">
        <f>IFERROR(__xludf.DUMMYFUNCTION("""COMPUTED_VALUE"""),989.65)</f>
        <v>989.65</v>
      </c>
      <c r="E19" s="6">
        <f>IFERROR(__xludf.DUMMYFUNCTION("""COMPUTED_VALUE"""),1032.2)</f>
        <v>1032.2</v>
      </c>
      <c r="F19" s="6">
        <f>IFERROR(__xludf.DUMMYFUNCTION("""COMPUTED_VALUE"""),1.7172099E7)</f>
        <v>17172099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IFERROR(__xludf.DUMMYFUNCTION("""COMPUTED_VALUE"""),1031.95)</f>
        <v>1031.95</v>
      </c>
      <c r="C20" s="6">
        <f>IFERROR(__xludf.DUMMYFUNCTION("""COMPUTED_VALUE"""),1063.65)</f>
        <v>1063.65</v>
      </c>
      <c r="D20" s="6">
        <f>IFERROR(__xludf.DUMMYFUNCTION("""COMPUTED_VALUE"""),1007.0)</f>
        <v>1007</v>
      </c>
      <c r="E20" s="6">
        <f>IFERROR(__xludf.DUMMYFUNCTION("""COMPUTED_VALUE"""),1046.6)</f>
        <v>1046.6</v>
      </c>
      <c r="F20" s="6">
        <f>IFERROR(__xludf.DUMMYFUNCTION("""COMPUTED_VALUE"""),2.2946737E7)</f>
        <v>22946737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IFERROR(__xludf.DUMMYFUNCTION("""COMPUTED_VALUE"""),1050.0)</f>
        <v>1050</v>
      </c>
      <c r="C21" s="6">
        <f>IFERROR(__xludf.DUMMYFUNCTION("""COMPUTED_VALUE"""),1078.55)</f>
        <v>1078.55</v>
      </c>
      <c r="D21" s="6">
        <f>IFERROR(__xludf.DUMMYFUNCTION("""COMPUTED_VALUE"""),1045.25)</f>
        <v>1045.25</v>
      </c>
      <c r="E21" s="6">
        <f>IFERROR(__xludf.DUMMYFUNCTION("""COMPUTED_VALUE"""),1076.35)</f>
        <v>1076.35</v>
      </c>
      <c r="F21" s="6">
        <f>IFERROR(__xludf.DUMMYFUNCTION("""COMPUTED_VALUE"""),1.6970731E7)</f>
        <v>16970731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IFERROR(__xludf.DUMMYFUNCTION("""COMPUTED_VALUE"""),1145.0)</f>
        <v>1145</v>
      </c>
      <c r="C22" s="6">
        <f>IFERROR(__xludf.DUMMYFUNCTION("""COMPUTED_VALUE"""),1200.65)</f>
        <v>1200.65</v>
      </c>
      <c r="D22" s="6">
        <f>IFERROR(__xludf.DUMMYFUNCTION("""COMPUTED_VALUE"""),1135.0)</f>
        <v>1135</v>
      </c>
      <c r="E22" s="6">
        <f>IFERROR(__xludf.DUMMYFUNCTION("""COMPUTED_VALUE"""),1160.55)</f>
        <v>1160.55</v>
      </c>
      <c r="F22" s="6">
        <f>IFERROR(__xludf.DUMMYFUNCTION("""COMPUTED_VALUE"""),3.9165884E7)</f>
        <v>39165884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IFERROR(__xludf.DUMMYFUNCTION("""COMPUTED_VALUE"""),1158.0)</f>
        <v>1158</v>
      </c>
      <c r="C23" s="6">
        <f>IFERROR(__xludf.DUMMYFUNCTION("""COMPUTED_VALUE"""),1180.85)</f>
        <v>1180.85</v>
      </c>
      <c r="D23" s="6">
        <f>IFERROR(__xludf.DUMMYFUNCTION("""COMPUTED_VALUE"""),1145.3)</f>
        <v>1145.3</v>
      </c>
      <c r="E23" s="6">
        <f>IFERROR(__xludf.DUMMYFUNCTION("""COMPUTED_VALUE"""),1150.8)</f>
        <v>1150.8</v>
      </c>
      <c r="F23" s="6">
        <f>IFERROR(__xludf.DUMMYFUNCTION("""COMPUTED_VALUE"""),2.2476039E7)</f>
        <v>22476039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IFERROR(__xludf.DUMMYFUNCTION("""COMPUTED_VALUE"""),1154.35)</f>
        <v>1154.35</v>
      </c>
      <c r="C24" s="6">
        <f>IFERROR(__xludf.DUMMYFUNCTION("""COMPUTED_VALUE"""),1159.65)</f>
        <v>1159.65</v>
      </c>
      <c r="D24" s="6">
        <f>IFERROR(__xludf.DUMMYFUNCTION("""COMPUTED_VALUE"""),1110.0)</f>
        <v>1110</v>
      </c>
      <c r="E24" s="6">
        <f>IFERROR(__xludf.DUMMYFUNCTION("""COMPUTED_VALUE"""),1120.25)</f>
        <v>1120.25</v>
      </c>
      <c r="F24" s="6">
        <f>IFERROR(__xludf.DUMMYFUNCTION("""COMPUTED_VALUE"""),3.1165653E7)</f>
        <v>31165653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IFERROR(__xludf.DUMMYFUNCTION("""COMPUTED_VALUE"""),1122.9)</f>
        <v>1122.9</v>
      </c>
      <c r="C25" s="6">
        <f>IFERROR(__xludf.DUMMYFUNCTION("""COMPUTED_VALUE"""),1131.45)</f>
        <v>1131.45</v>
      </c>
      <c r="D25" s="6">
        <f>IFERROR(__xludf.DUMMYFUNCTION("""COMPUTED_VALUE"""),1103.8)</f>
        <v>1103.8</v>
      </c>
      <c r="E25" s="6">
        <f>IFERROR(__xludf.DUMMYFUNCTION("""COMPUTED_VALUE"""),1120.0)</f>
        <v>1120</v>
      </c>
      <c r="F25" s="6">
        <f>IFERROR(__xludf.DUMMYFUNCTION("""COMPUTED_VALUE"""),1.9901264E7)</f>
        <v>19901264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IFERROR(__xludf.DUMMYFUNCTION("""COMPUTED_VALUE"""),1121.05)</f>
        <v>1121.05</v>
      </c>
      <c r="C26" s="6">
        <f>IFERROR(__xludf.DUMMYFUNCTION("""COMPUTED_VALUE"""),1159.15)</f>
        <v>1159.15</v>
      </c>
      <c r="D26" s="6">
        <f>IFERROR(__xludf.DUMMYFUNCTION("""COMPUTED_VALUE"""),1097.65)</f>
        <v>1097.65</v>
      </c>
      <c r="E26" s="6">
        <f>IFERROR(__xludf.DUMMYFUNCTION("""COMPUTED_VALUE"""),1125.75)</f>
        <v>1125.75</v>
      </c>
      <c r="F26" s="6">
        <f>IFERROR(__xludf.DUMMYFUNCTION("""COMPUTED_VALUE"""),3.0030924E7)</f>
        <v>30030924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IFERROR(__xludf.DUMMYFUNCTION("""COMPUTED_VALUE"""),1132.0)</f>
        <v>1132</v>
      </c>
      <c r="C27" s="6">
        <f>IFERROR(__xludf.DUMMYFUNCTION("""COMPUTED_VALUE"""),1213.6)</f>
        <v>1213.6</v>
      </c>
      <c r="D27" s="6">
        <f>IFERROR(__xludf.DUMMYFUNCTION("""COMPUTED_VALUE"""),1132.0)</f>
        <v>1132</v>
      </c>
      <c r="E27" s="6">
        <f>IFERROR(__xludf.DUMMYFUNCTION("""COMPUTED_VALUE"""),1199.7)</f>
        <v>1199.7</v>
      </c>
      <c r="F27" s="6">
        <f>IFERROR(__xludf.DUMMYFUNCTION("""COMPUTED_VALUE"""),2.5598918E7)</f>
        <v>25598918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IFERROR(__xludf.DUMMYFUNCTION("""COMPUTED_VALUE"""),1186.0)</f>
        <v>1186</v>
      </c>
      <c r="C28" s="6">
        <f>IFERROR(__xludf.DUMMYFUNCTION("""COMPUTED_VALUE"""),1222.8)</f>
        <v>1222.8</v>
      </c>
      <c r="D28" s="6">
        <f>IFERROR(__xludf.DUMMYFUNCTION("""COMPUTED_VALUE"""),1151.7)</f>
        <v>1151.7</v>
      </c>
      <c r="E28" s="6">
        <f>IFERROR(__xludf.DUMMYFUNCTION("""COMPUTED_VALUE"""),1220.0)</f>
        <v>1220</v>
      </c>
      <c r="F28" s="6">
        <f>IFERROR(__xludf.DUMMYFUNCTION("""COMPUTED_VALUE"""),3.7141348E7)</f>
        <v>37141348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IFERROR(__xludf.DUMMYFUNCTION("""COMPUTED_VALUE"""),1225.0)</f>
        <v>1225</v>
      </c>
      <c r="C29" s="6">
        <f>IFERROR(__xludf.DUMMYFUNCTION("""COMPUTED_VALUE"""),1245.0)</f>
        <v>1245</v>
      </c>
      <c r="D29" s="6">
        <f>IFERROR(__xludf.DUMMYFUNCTION("""COMPUTED_VALUE"""),1214.1)</f>
        <v>1214.1</v>
      </c>
      <c r="E29" s="6">
        <f>IFERROR(__xludf.DUMMYFUNCTION("""COMPUTED_VALUE"""),1236.1)</f>
        <v>1236.1</v>
      </c>
      <c r="F29" s="6">
        <f>IFERROR(__xludf.DUMMYFUNCTION("""COMPUTED_VALUE"""),3.6233088E7)</f>
        <v>36233088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IFERROR(__xludf.DUMMYFUNCTION("""COMPUTED_VALUE"""),1225.0)</f>
        <v>1225</v>
      </c>
      <c r="C30" s="6">
        <f>IFERROR(__xludf.DUMMYFUNCTION("""COMPUTED_VALUE"""),1238.5)</f>
        <v>1238.5</v>
      </c>
      <c r="D30" s="6">
        <f>IFERROR(__xludf.DUMMYFUNCTION("""COMPUTED_VALUE"""),1210.0)</f>
        <v>1210</v>
      </c>
      <c r="E30" s="6">
        <f>IFERROR(__xludf.DUMMYFUNCTION("""COMPUTED_VALUE"""),1228.6)</f>
        <v>1228.6</v>
      </c>
      <c r="F30" s="6">
        <f>IFERROR(__xludf.DUMMYFUNCTION("""COMPUTED_VALUE"""),2.7195684E7)</f>
        <v>27195684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IFERROR(__xludf.DUMMYFUNCTION("""COMPUTED_VALUE"""),1228.0)</f>
        <v>1228</v>
      </c>
      <c r="C31" s="6">
        <f>IFERROR(__xludf.DUMMYFUNCTION("""COMPUTED_VALUE"""),1240.6)</f>
        <v>1240.6</v>
      </c>
      <c r="D31" s="6">
        <f>IFERROR(__xludf.DUMMYFUNCTION("""COMPUTED_VALUE"""),1188.95)</f>
        <v>1188.95</v>
      </c>
      <c r="E31" s="6">
        <f>IFERROR(__xludf.DUMMYFUNCTION("""COMPUTED_VALUE"""),1191.0)</f>
        <v>1191</v>
      </c>
      <c r="F31" s="6">
        <f>IFERROR(__xludf.DUMMYFUNCTION("""COMPUTED_VALUE"""),3.0174486E7)</f>
        <v>30174486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IFERROR(__xludf.DUMMYFUNCTION("""COMPUTED_VALUE"""),1188.0)</f>
        <v>1188</v>
      </c>
      <c r="C32" s="6">
        <f>IFERROR(__xludf.DUMMYFUNCTION("""COMPUTED_VALUE"""),1231.85)</f>
        <v>1231.85</v>
      </c>
      <c r="D32" s="6">
        <f>IFERROR(__xludf.DUMMYFUNCTION("""COMPUTED_VALUE"""),1183.1)</f>
        <v>1183.1</v>
      </c>
      <c r="E32" s="6">
        <f>IFERROR(__xludf.DUMMYFUNCTION("""COMPUTED_VALUE"""),1225.55)</f>
        <v>1225.55</v>
      </c>
      <c r="F32" s="6">
        <f>IFERROR(__xludf.DUMMYFUNCTION("""COMPUTED_VALUE"""),2.25198E7)</f>
        <v>22519800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IFERROR(__xludf.DUMMYFUNCTION("""COMPUTED_VALUE"""),1210.6)</f>
        <v>1210.6</v>
      </c>
      <c r="C33" s="6">
        <f>IFERROR(__xludf.DUMMYFUNCTION("""COMPUTED_VALUE"""),1296.5)</f>
        <v>1296.5</v>
      </c>
      <c r="D33" s="6">
        <f>IFERROR(__xludf.DUMMYFUNCTION("""COMPUTED_VALUE"""),1210.35)</f>
        <v>1210.35</v>
      </c>
      <c r="E33" s="6">
        <f>IFERROR(__xludf.DUMMYFUNCTION("""COMPUTED_VALUE"""),1289.0)</f>
        <v>1289</v>
      </c>
      <c r="F33" s="6">
        <f>IFERROR(__xludf.DUMMYFUNCTION("""COMPUTED_VALUE"""),4.256102E7)</f>
        <v>42561020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IFERROR(__xludf.DUMMYFUNCTION("""COMPUTED_VALUE"""),1304.0)</f>
        <v>1304</v>
      </c>
      <c r="C34" s="6">
        <f>IFERROR(__xludf.DUMMYFUNCTION("""COMPUTED_VALUE"""),1354.0)</f>
        <v>1354</v>
      </c>
      <c r="D34" s="6">
        <f>IFERROR(__xludf.DUMMYFUNCTION("""COMPUTED_VALUE"""),1288.25)</f>
        <v>1288.25</v>
      </c>
      <c r="E34" s="6">
        <f>IFERROR(__xludf.DUMMYFUNCTION("""COMPUTED_VALUE"""),1326.0)</f>
        <v>1326</v>
      </c>
      <c r="F34" s="6">
        <f>IFERROR(__xludf.DUMMYFUNCTION("""COMPUTED_VALUE"""),4.0049312E7)</f>
        <v>40049312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IFERROR(__xludf.DUMMYFUNCTION("""COMPUTED_VALUE"""),1324.5)</f>
        <v>1324.5</v>
      </c>
      <c r="C35" s="6">
        <f>IFERROR(__xludf.DUMMYFUNCTION("""COMPUTED_VALUE"""),1346.0)</f>
        <v>1346</v>
      </c>
      <c r="D35" s="6">
        <f>IFERROR(__xludf.DUMMYFUNCTION("""COMPUTED_VALUE"""),1258.15)</f>
        <v>1258.15</v>
      </c>
      <c r="E35" s="6">
        <f>IFERROR(__xludf.DUMMYFUNCTION("""COMPUTED_VALUE"""),1277.4)</f>
        <v>1277.4</v>
      </c>
      <c r="F35" s="6">
        <f>IFERROR(__xludf.DUMMYFUNCTION("""COMPUTED_VALUE"""),2.775476E7)</f>
        <v>27754760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IFERROR(__xludf.DUMMYFUNCTION("""COMPUTED_VALUE"""),1275.0)</f>
        <v>1275</v>
      </c>
      <c r="C36" s="6">
        <f>IFERROR(__xludf.DUMMYFUNCTION("""COMPUTED_VALUE"""),1308.5)</f>
        <v>1308.5</v>
      </c>
      <c r="D36" s="6">
        <f>IFERROR(__xludf.DUMMYFUNCTION("""COMPUTED_VALUE"""),1270.05)</f>
        <v>1270.05</v>
      </c>
      <c r="E36" s="6">
        <f>IFERROR(__xludf.DUMMYFUNCTION("""COMPUTED_VALUE"""),1301.15)</f>
        <v>1301.15</v>
      </c>
      <c r="F36" s="6">
        <f>IFERROR(__xludf.DUMMYFUNCTION("""COMPUTED_VALUE"""),2.4346971E7)</f>
        <v>24346971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IFERROR(__xludf.DUMMYFUNCTION("""COMPUTED_VALUE"""),1356.0)</f>
        <v>1356</v>
      </c>
      <c r="C37" s="6">
        <f>IFERROR(__xludf.DUMMYFUNCTION("""COMPUTED_VALUE"""),1397.75)</f>
        <v>1397.75</v>
      </c>
      <c r="D37" s="6">
        <f>IFERROR(__xludf.DUMMYFUNCTION("""COMPUTED_VALUE"""),1329.55)</f>
        <v>1329.55</v>
      </c>
      <c r="E37" s="6">
        <f>IFERROR(__xludf.DUMMYFUNCTION("""COMPUTED_VALUE"""),1388.5)</f>
        <v>1388.5</v>
      </c>
      <c r="F37" s="6">
        <f>IFERROR(__xludf.DUMMYFUNCTION("""COMPUTED_VALUE"""),2.1218652E7)</f>
        <v>21218652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IFERROR(__xludf.DUMMYFUNCTION("""COMPUTED_VALUE"""),1396.0)</f>
        <v>1396</v>
      </c>
      <c r="C38" s="6">
        <f>IFERROR(__xludf.DUMMYFUNCTION("""COMPUTED_VALUE"""),1407.0)</f>
        <v>1407</v>
      </c>
      <c r="D38" s="6">
        <f>IFERROR(__xludf.DUMMYFUNCTION("""COMPUTED_VALUE"""),1338.0)</f>
        <v>1338</v>
      </c>
      <c r="E38" s="6">
        <f>IFERROR(__xludf.DUMMYFUNCTION("""COMPUTED_VALUE"""),1372.75)</f>
        <v>1372.75</v>
      </c>
      <c r="F38" s="6">
        <f>IFERROR(__xludf.DUMMYFUNCTION("""COMPUTED_VALUE"""),4.4993966E7)</f>
        <v>44993966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IFERROR(__xludf.DUMMYFUNCTION("""COMPUTED_VALUE"""),1415.3)</f>
        <v>1415.3</v>
      </c>
      <c r="C39" s="6">
        <f>IFERROR(__xludf.DUMMYFUNCTION("""COMPUTED_VALUE"""),1430.65)</f>
        <v>1430.65</v>
      </c>
      <c r="D39" s="6">
        <f>IFERROR(__xludf.DUMMYFUNCTION("""COMPUTED_VALUE"""),1219.05)</f>
        <v>1219.05</v>
      </c>
      <c r="E39" s="6">
        <f>IFERROR(__xludf.DUMMYFUNCTION("""COMPUTED_VALUE"""),1425.25)</f>
        <v>1425.25</v>
      </c>
      <c r="F39" s="6">
        <f>IFERROR(__xludf.DUMMYFUNCTION("""COMPUTED_VALUE"""),6.06776E7)</f>
        <v>60677600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IFERROR(__xludf.DUMMYFUNCTION("""COMPUTED_VALUE"""),1421.05)</f>
        <v>1421.05</v>
      </c>
      <c r="C40" s="6">
        <f>IFERROR(__xludf.DUMMYFUNCTION("""COMPUTED_VALUE"""),1455.95)</f>
        <v>1455.95</v>
      </c>
      <c r="D40" s="6">
        <f>IFERROR(__xludf.DUMMYFUNCTION("""COMPUTED_VALUE"""),1413.0)</f>
        <v>1413</v>
      </c>
      <c r="E40" s="6">
        <f>IFERROR(__xludf.DUMMYFUNCTION("""COMPUTED_VALUE"""),1427.4)</f>
        <v>1427.4</v>
      </c>
      <c r="F40" s="6">
        <f>IFERROR(__xludf.DUMMYFUNCTION("""COMPUTED_VALUE"""),2.6580225E7)</f>
        <v>26580225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IFERROR(__xludf.DUMMYFUNCTION("""COMPUTED_VALUE"""),1444.0)</f>
        <v>1444</v>
      </c>
      <c r="C41" s="6">
        <f>IFERROR(__xludf.DUMMYFUNCTION("""COMPUTED_VALUE"""),1444.0)</f>
        <v>1444</v>
      </c>
      <c r="D41" s="6">
        <f>IFERROR(__xludf.DUMMYFUNCTION("""COMPUTED_VALUE"""),1372.85)</f>
        <v>1372.85</v>
      </c>
      <c r="E41" s="6">
        <f>IFERROR(__xludf.DUMMYFUNCTION("""COMPUTED_VALUE"""),1416.05)</f>
        <v>1416.05</v>
      </c>
      <c r="F41" s="6">
        <f>IFERROR(__xludf.DUMMYFUNCTION("""COMPUTED_VALUE"""),6.9984482E7)</f>
        <v>69984482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IFERROR(__xludf.DUMMYFUNCTION("""COMPUTED_VALUE"""),1402.0)</f>
        <v>1402</v>
      </c>
      <c r="C42" s="6">
        <f>IFERROR(__xludf.DUMMYFUNCTION("""COMPUTED_VALUE"""),1536.25)</f>
        <v>1536.25</v>
      </c>
      <c r="D42" s="6">
        <f>IFERROR(__xludf.DUMMYFUNCTION("""COMPUTED_VALUE"""),1389.35)</f>
        <v>1389.35</v>
      </c>
      <c r="E42" s="6">
        <f>IFERROR(__xludf.DUMMYFUNCTION("""COMPUTED_VALUE"""),1444.05)</f>
        <v>1444.05</v>
      </c>
      <c r="F42" s="6">
        <f>IFERROR(__xludf.DUMMYFUNCTION("""COMPUTED_VALUE"""),7.0950765E7)</f>
        <v>70950765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IFERROR(__xludf.DUMMYFUNCTION("""COMPUTED_VALUE"""),1450.0)</f>
        <v>1450</v>
      </c>
      <c r="C43" s="6">
        <f>IFERROR(__xludf.DUMMYFUNCTION("""COMPUTED_VALUE"""),1473.4)</f>
        <v>1473.4</v>
      </c>
      <c r="D43" s="6">
        <f>IFERROR(__xludf.DUMMYFUNCTION("""COMPUTED_VALUE"""),1408.45)</f>
        <v>1408.45</v>
      </c>
      <c r="E43" s="6">
        <f>IFERROR(__xludf.DUMMYFUNCTION("""COMPUTED_VALUE"""),1429.7)</f>
        <v>1429.7</v>
      </c>
      <c r="F43" s="6">
        <f>IFERROR(__xludf.DUMMYFUNCTION("""COMPUTED_VALUE"""),3.6517962E7)</f>
        <v>36517962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IFERROR(__xludf.DUMMYFUNCTION("""COMPUTED_VALUE"""),1431.0)</f>
        <v>1431</v>
      </c>
      <c r="C44" s="6">
        <f>IFERROR(__xludf.DUMMYFUNCTION("""COMPUTED_VALUE"""),1450.85)</f>
        <v>1450.85</v>
      </c>
      <c r="D44" s="6">
        <f>IFERROR(__xludf.DUMMYFUNCTION("""COMPUTED_VALUE"""),1421.45)</f>
        <v>1421.45</v>
      </c>
      <c r="E44" s="6">
        <f>IFERROR(__xludf.DUMMYFUNCTION("""COMPUTED_VALUE"""),1433.25)</f>
        <v>1433.25</v>
      </c>
      <c r="F44" s="6">
        <f>IFERROR(__xludf.DUMMYFUNCTION("""COMPUTED_VALUE"""),2.0096732E7)</f>
        <v>20096732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IFERROR(__xludf.DUMMYFUNCTION("""COMPUTED_VALUE"""),1433.25)</f>
        <v>1433.25</v>
      </c>
      <c r="C45" s="6">
        <f>IFERROR(__xludf.DUMMYFUNCTION("""COMPUTED_VALUE"""),1485.95)</f>
        <v>1485.95</v>
      </c>
      <c r="D45" s="6">
        <f>IFERROR(__xludf.DUMMYFUNCTION("""COMPUTED_VALUE"""),1426.05)</f>
        <v>1426.05</v>
      </c>
      <c r="E45" s="6">
        <f>IFERROR(__xludf.DUMMYFUNCTION("""COMPUTED_VALUE"""),1461.75)</f>
        <v>1461.75</v>
      </c>
      <c r="F45" s="6">
        <f>IFERROR(__xludf.DUMMYFUNCTION("""COMPUTED_VALUE"""),2.0621395E7)</f>
        <v>20621395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IFERROR(__xludf.DUMMYFUNCTION("""COMPUTED_VALUE"""),1450.0)</f>
        <v>1450</v>
      </c>
      <c r="C46" s="6">
        <f>IFERROR(__xludf.DUMMYFUNCTION("""COMPUTED_VALUE"""),1520.0)</f>
        <v>1520</v>
      </c>
      <c r="D46" s="6">
        <f>IFERROR(__xludf.DUMMYFUNCTION("""COMPUTED_VALUE"""),1428.45)</f>
        <v>1428.45</v>
      </c>
      <c r="E46" s="6">
        <f>IFERROR(__xludf.DUMMYFUNCTION("""COMPUTED_VALUE"""),1514.4)</f>
        <v>1514.4</v>
      </c>
      <c r="F46" s="6">
        <f>IFERROR(__xludf.DUMMYFUNCTION("""COMPUTED_VALUE"""),2.4868809E7)</f>
        <v>24868809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IFERROR(__xludf.DUMMYFUNCTION("""COMPUTED_VALUE"""),1525.0)</f>
        <v>1525</v>
      </c>
      <c r="C47" s="6">
        <f>IFERROR(__xludf.DUMMYFUNCTION("""COMPUTED_VALUE"""),1525.0)</f>
        <v>1525</v>
      </c>
      <c r="D47" s="6">
        <f>IFERROR(__xludf.DUMMYFUNCTION("""COMPUTED_VALUE"""),1464.05)</f>
        <v>1464.05</v>
      </c>
      <c r="E47" s="6">
        <f>IFERROR(__xludf.DUMMYFUNCTION("""COMPUTED_VALUE"""),1493.8)</f>
        <v>1493.8</v>
      </c>
      <c r="F47" s="6">
        <f>IFERROR(__xludf.DUMMYFUNCTION("""COMPUTED_VALUE"""),2.2354591E7)</f>
        <v>22354591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IFERROR(__xludf.DUMMYFUNCTION("""COMPUTED_VALUE"""),1482.0)</f>
        <v>1482</v>
      </c>
      <c r="C48" s="6">
        <f>IFERROR(__xludf.DUMMYFUNCTION("""COMPUTED_VALUE"""),1492.9)</f>
        <v>1492.9</v>
      </c>
      <c r="D48" s="6">
        <f>IFERROR(__xludf.DUMMYFUNCTION("""COMPUTED_VALUE"""),1422.6)</f>
        <v>1422.6</v>
      </c>
      <c r="E48" s="6">
        <f>IFERROR(__xludf.DUMMYFUNCTION("""COMPUTED_VALUE"""),1464.1)</f>
        <v>1464.1</v>
      </c>
      <c r="F48" s="6">
        <f>IFERROR(__xludf.DUMMYFUNCTION("""COMPUTED_VALUE"""),2.8664478E7)</f>
        <v>28664478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IFERROR(__xludf.DUMMYFUNCTION("""COMPUTED_VALUE"""),1466.0)</f>
        <v>1466</v>
      </c>
      <c r="C49" s="6">
        <f>IFERROR(__xludf.DUMMYFUNCTION("""COMPUTED_VALUE"""),1491.0)</f>
        <v>1491</v>
      </c>
      <c r="D49" s="6">
        <f>IFERROR(__xludf.DUMMYFUNCTION("""COMPUTED_VALUE"""),1445.0)</f>
        <v>1445</v>
      </c>
      <c r="E49" s="6">
        <f>IFERROR(__xludf.DUMMYFUNCTION("""COMPUTED_VALUE"""),1483.55)</f>
        <v>1483.55</v>
      </c>
      <c r="F49" s="6">
        <f>IFERROR(__xludf.DUMMYFUNCTION("""COMPUTED_VALUE"""),2.1591644E7)</f>
        <v>21591644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IFERROR(__xludf.DUMMYFUNCTION("""COMPUTED_VALUE"""),1487.0)</f>
        <v>1487</v>
      </c>
      <c r="C50" s="6">
        <f>IFERROR(__xludf.DUMMYFUNCTION("""COMPUTED_VALUE"""),1510.0)</f>
        <v>1510</v>
      </c>
      <c r="D50" s="6">
        <f>IFERROR(__xludf.DUMMYFUNCTION("""COMPUTED_VALUE"""),1446.5)</f>
        <v>1446.5</v>
      </c>
      <c r="E50" s="6">
        <f>IFERROR(__xludf.DUMMYFUNCTION("""COMPUTED_VALUE"""),1506.75)</f>
        <v>1506.75</v>
      </c>
      <c r="F50" s="6">
        <f>IFERROR(__xludf.DUMMYFUNCTION("""COMPUTED_VALUE"""),3.3645914E7)</f>
        <v>33645914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IFERROR(__xludf.DUMMYFUNCTION("""COMPUTED_VALUE"""),1509.0)</f>
        <v>1509</v>
      </c>
      <c r="C51" s="6">
        <f>IFERROR(__xludf.DUMMYFUNCTION("""COMPUTED_VALUE"""),1608.4)</f>
        <v>1608.4</v>
      </c>
      <c r="D51" s="6">
        <f>IFERROR(__xludf.DUMMYFUNCTION("""COMPUTED_VALUE"""),1502.0)</f>
        <v>1502</v>
      </c>
      <c r="E51" s="6">
        <f>IFERROR(__xludf.DUMMYFUNCTION("""COMPUTED_VALUE"""),1589.05)</f>
        <v>1589.05</v>
      </c>
      <c r="F51" s="6">
        <f>IFERROR(__xludf.DUMMYFUNCTION("""COMPUTED_VALUE"""),6.0355007E7)</f>
        <v>60355007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IFERROR(__xludf.DUMMYFUNCTION("""COMPUTED_VALUE"""),1605.0)</f>
        <v>1605</v>
      </c>
      <c r="C52" s="6">
        <f>IFERROR(__xludf.DUMMYFUNCTION("""COMPUTED_VALUE"""),1605.0)</f>
        <v>1605</v>
      </c>
      <c r="D52" s="6">
        <f>IFERROR(__xludf.DUMMYFUNCTION("""COMPUTED_VALUE"""),1530.2)</f>
        <v>1530.2</v>
      </c>
      <c r="E52" s="6">
        <f>IFERROR(__xludf.DUMMYFUNCTION("""COMPUTED_VALUE"""),1539.25)</f>
        <v>1539.25</v>
      </c>
      <c r="F52" s="6">
        <f>IFERROR(__xludf.DUMMYFUNCTION("""COMPUTED_VALUE"""),2.5801037E7)</f>
        <v>25801037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IFERROR(__xludf.DUMMYFUNCTION("""COMPUTED_VALUE"""),1523.25)</f>
        <v>1523.25</v>
      </c>
      <c r="C53" s="6">
        <f>IFERROR(__xludf.DUMMYFUNCTION("""COMPUTED_VALUE"""),1654.9)</f>
        <v>1654.9</v>
      </c>
      <c r="D53" s="6">
        <f>IFERROR(__xludf.DUMMYFUNCTION("""COMPUTED_VALUE"""),1523.25)</f>
        <v>1523.25</v>
      </c>
      <c r="E53" s="6">
        <f>IFERROR(__xludf.DUMMYFUNCTION("""COMPUTED_VALUE"""),1634.45)</f>
        <v>1634.45</v>
      </c>
      <c r="F53" s="6">
        <f>IFERROR(__xludf.DUMMYFUNCTION("""COMPUTED_VALUE"""),3.3884993E7)</f>
        <v>33884993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IFERROR(__xludf.DUMMYFUNCTION("""COMPUTED_VALUE"""),1634.45)</f>
        <v>1634.45</v>
      </c>
      <c r="C54" s="6">
        <f>IFERROR(__xludf.DUMMYFUNCTION("""COMPUTED_VALUE"""),1723.4)</f>
        <v>1723.4</v>
      </c>
      <c r="D54" s="6">
        <f>IFERROR(__xludf.DUMMYFUNCTION("""COMPUTED_VALUE"""),1630.1)</f>
        <v>1630.1</v>
      </c>
      <c r="E54" s="6">
        <f>IFERROR(__xludf.DUMMYFUNCTION("""COMPUTED_VALUE"""),1711.75)</f>
        <v>1711.75</v>
      </c>
      <c r="F54" s="6">
        <f>IFERROR(__xludf.DUMMYFUNCTION("""COMPUTED_VALUE"""),4.1300845E7)</f>
        <v>41300845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IFERROR(__xludf.DUMMYFUNCTION("""COMPUTED_VALUE"""),1719.0)</f>
        <v>1719</v>
      </c>
      <c r="C55" s="6">
        <f>IFERROR(__xludf.DUMMYFUNCTION("""COMPUTED_VALUE"""),1779.0)</f>
        <v>1779</v>
      </c>
      <c r="D55" s="6">
        <f>IFERROR(__xludf.DUMMYFUNCTION("""COMPUTED_VALUE"""),1719.0)</f>
        <v>1719</v>
      </c>
      <c r="E55" s="6">
        <f>IFERROR(__xludf.DUMMYFUNCTION("""COMPUTED_VALUE"""),1734.6)</f>
        <v>1734.6</v>
      </c>
      <c r="F55" s="6">
        <f>IFERROR(__xludf.DUMMYFUNCTION("""COMPUTED_VALUE"""),3.1132419E7)</f>
        <v>31132419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IFERROR(__xludf.DUMMYFUNCTION("""COMPUTED_VALUE"""),1714.0)</f>
        <v>1714</v>
      </c>
      <c r="C56" s="6">
        <f>IFERROR(__xludf.DUMMYFUNCTION("""COMPUTED_VALUE"""),1733.0)</f>
        <v>1733</v>
      </c>
      <c r="D56" s="6">
        <f>IFERROR(__xludf.DUMMYFUNCTION("""COMPUTED_VALUE"""),1630.15)</f>
        <v>1630.15</v>
      </c>
      <c r="E56" s="6">
        <f>IFERROR(__xludf.DUMMYFUNCTION("""COMPUTED_VALUE"""),1640.9)</f>
        <v>1640.9</v>
      </c>
      <c r="F56" s="6">
        <f>IFERROR(__xludf.DUMMYFUNCTION("""COMPUTED_VALUE"""),2.6333181E7)</f>
        <v>26333181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IFERROR(__xludf.DUMMYFUNCTION("""COMPUTED_VALUE"""),1651.0)</f>
        <v>1651</v>
      </c>
      <c r="C57" s="6">
        <f>IFERROR(__xludf.DUMMYFUNCTION("""COMPUTED_VALUE"""),1704.6)</f>
        <v>1704.6</v>
      </c>
      <c r="D57" s="6">
        <f>IFERROR(__xludf.DUMMYFUNCTION("""COMPUTED_VALUE"""),1642.45)</f>
        <v>1642.45</v>
      </c>
      <c r="E57" s="6">
        <f>IFERROR(__xludf.DUMMYFUNCTION("""COMPUTED_VALUE"""),1687.4)</f>
        <v>1687.4</v>
      </c>
      <c r="F57" s="6">
        <f>IFERROR(__xludf.DUMMYFUNCTION("""COMPUTED_VALUE"""),2.1441991E7)</f>
        <v>21441991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IFERROR(__xludf.DUMMYFUNCTION("""COMPUTED_VALUE"""),1686.0)</f>
        <v>1686</v>
      </c>
      <c r="C58" s="6">
        <f>IFERROR(__xludf.DUMMYFUNCTION("""COMPUTED_VALUE"""),1742.25)</f>
        <v>1742.25</v>
      </c>
      <c r="D58" s="6">
        <f>IFERROR(__xludf.DUMMYFUNCTION("""COMPUTED_VALUE"""),1679.35)</f>
        <v>1679.35</v>
      </c>
      <c r="E58" s="6">
        <f>IFERROR(__xludf.DUMMYFUNCTION("""COMPUTED_VALUE"""),1707.85)</f>
        <v>1707.85</v>
      </c>
      <c r="F58" s="6">
        <f>IFERROR(__xludf.DUMMYFUNCTION("""COMPUTED_VALUE"""),1.9789343E7)</f>
        <v>19789343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IFERROR(__xludf.DUMMYFUNCTION("""COMPUTED_VALUE"""),1705.55)</f>
        <v>1705.55</v>
      </c>
      <c r="C59" s="6">
        <f>IFERROR(__xludf.DUMMYFUNCTION("""COMPUTED_VALUE"""),1712.9)</f>
        <v>1712.9</v>
      </c>
      <c r="D59" s="6">
        <f>IFERROR(__xludf.DUMMYFUNCTION("""COMPUTED_VALUE"""),1655.85)</f>
        <v>1655.85</v>
      </c>
      <c r="E59" s="6">
        <f>IFERROR(__xludf.DUMMYFUNCTION("""COMPUTED_VALUE"""),1666.0)</f>
        <v>1666</v>
      </c>
      <c r="F59" s="6">
        <f>IFERROR(__xludf.DUMMYFUNCTION("""COMPUTED_VALUE"""),1.6774943E7)</f>
        <v>16774943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IFERROR(__xludf.DUMMYFUNCTION("""COMPUTED_VALUE"""),1619.15)</f>
        <v>1619.15</v>
      </c>
      <c r="C60" s="6">
        <f>IFERROR(__xludf.DUMMYFUNCTION("""COMPUTED_VALUE"""),1623.85)</f>
        <v>1623.85</v>
      </c>
      <c r="D60" s="6">
        <f>IFERROR(__xludf.DUMMYFUNCTION("""COMPUTED_VALUE"""),1558.85)</f>
        <v>1558.85</v>
      </c>
      <c r="E60" s="6">
        <f>IFERROR(__xludf.DUMMYFUNCTION("""COMPUTED_VALUE"""),1569.9)</f>
        <v>1569.9</v>
      </c>
      <c r="F60" s="6">
        <f>IFERROR(__xludf.DUMMYFUNCTION("""COMPUTED_VALUE"""),2.7456413E7)</f>
        <v>27456413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IFERROR(__xludf.DUMMYFUNCTION("""COMPUTED_VALUE"""),1561.0)</f>
        <v>1561</v>
      </c>
      <c r="C61" s="6">
        <f>IFERROR(__xludf.DUMMYFUNCTION("""COMPUTED_VALUE"""),1595.0)</f>
        <v>1595</v>
      </c>
      <c r="D61" s="6">
        <f>IFERROR(__xludf.DUMMYFUNCTION("""COMPUTED_VALUE"""),1536.55)</f>
        <v>1536.55</v>
      </c>
      <c r="E61" s="6">
        <f>IFERROR(__xludf.DUMMYFUNCTION("""COMPUTED_VALUE"""),1550.5)</f>
        <v>1550.5</v>
      </c>
      <c r="F61" s="6">
        <f>IFERROR(__xludf.DUMMYFUNCTION("""COMPUTED_VALUE"""),1.9100088E7)</f>
        <v>19100088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IFERROR(__xludf.DUMMYFUNCTION("""COMPUTED_VALUE"""),1568.95)</f>
        <v>1568.95</v>
      </c>
      <c r="C62" s="6">
        <f>IFERROR(__xludf.DUMMYFUNCTION("""COMPUTED_VALUE"""),1575.0)</f>
        <v>1575</v>
      </c>
      <c r="D62" s="6">
        <f>IFERROR(__xludf.DUMMYFUNCTION("""COMPUTED_VALUE"""),1511.0)</f>
        <v>1511</v>
      </c>
      <c r="E62" s="6">
        <f>IFERROR(__xludf.DUMMYFUNCTION("""COMPUTED_VALUE"""),1569.3)</f>
        <v>1569.3</v>
      </c>
      <c r="F62" s="6">
        <f>IFERROR(__xludf.DUMMYFUNCTION("""COMPUTED_VALUE"""),2.6051319E7)</f>
        <v>26051319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IFERROR(__xludf.DUMMYFUNCTION("""COMPUTED_VALUE"""),1581.95)</f>
        <v>1581.95</v>
      </c>
      <c r="C63" s="6">
        <f>IFERROR(__xludf.DUMMYFUNCTION("""COMPUTED_VALUE"""),1648.9)</f>
        <v>1648.9</v>
      </c>
      <c r="D63" s="6">
        <f>IFERROR(__xludf.DUMMYFUNCTION("""COMPUTED_VALUE"""),1551.15)</f>
        <v>1551.15</v>
      </c>
      <c r="E63" s="6">
        <f>IFERROR(__xludf.DUMMYFUNCTION("""COMPUTED_VALUE"""),1627.15)</f>
        <v>1627.15</v>
      </c>
      <c r="F63" s="6">
        <f>IFERROR(__xludf.DUMMYFUNCTION("""COMPUTED_VALUE"""),3.8659548E7)</f>
        <v>38659548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IFERROR(__xludf.DUMMYFUNCTION("""COMPUTED_VALUE"""),1627.15)</f>
        <v>1627.15</v>
      </c>
      <c r="C64" s="6">
        <f>IFERROR(__xludf.DUMMYFUNCTION("""COMPUTED_VALUE"""),1652.9)</f>
        <v>1652.9</v>
      </c>
      <c r="D64" s="6">
        <f>IFERROR(__xludf.DUMMYFUNCTION("""COMPUTED_VALUE"""),1582.4)</f>
        <v>1582.4</v>
      </c>
      <c r="E64" s="6">
        <f>IFERROR(__xludf.DUMMYFUNCTION("""COMPUTED_VALUE"""),1597.85)</f>
        <v>1597.85</v>
      </c>
      <c r="F64" s="6">
        <f>IFERROR(__xludf.DUMMYFUNCTION("""COMPUTED_VALUE"""),3.6314048E7)</f>
        <v>36314048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IFERROR(__xludf.DUMMYFUNCTION("""COMPUTED_VALUE"""),1595.9)</f>
        <v>1595.9</v>
      </c>
      <c r="C65" s="6">
        <f>IFERROR(__xludf.DUMMYFUNCTION("""COMPUTED_VALUE"""),1685.0)</f>
        <v>1685</v>
      </c>
      <c r="D65" s="6">
        <f>IFERROR(__xludf.DUMMYFUNCTION("""COMPUTED_VALUE"""),1570.05)</f>
        <v>1570.05</v>
      </c>
      <c r="E65" s="6">
        <f>IFERROR(__xludf.DUMMYFUNCTION("""COMPUTED_VALUE"""),1681.75)</f>
        <v>1681.75</v>
      </c>
      <c r="F65" s="6">
        <f>IFERROR(__xludf.DUMMYFUNCTION("""COMPUTED_VALUE"""),4.8785023E7)</f>
        <v>48785023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IFERROR(__xludf.DUMMYFUNCTION("""COMPUTED_VALUE"""),1681.75)</f>
        <v>1681.75</v>
      </c>
      <c r="C66" s="6">
        <f>IFERROR(__xludf.DUMMYFUNCTION("""COMPUTED_VALUE"""),1687.0)</f>
        <v>1687</v>
      </c>
      <c r="D66" s="6">
        <f>IFERROR(__xludf.DUMMYFUNCTION("""COMPUTED_VALUE"""),1573.4)</f>
        <v>1573.4</v>
      </c>
      <c r="E66" s="6">
        <f>IFERROR(__xludf.DUMMYFUNCTION("""COMPUTED_VALUE"""),1578.1)</f>
        <v>1578.1</v>
      </c>
      <c r="F66" s="6">
        <f>IFERROR(__xludf.DUMMYFUNCTION("""COMPUTED_VALUE"""),3.006749E7)</f>
        <v>30067490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IFERROR(__xludf.DUMMYFUNCTION("""COMPUTED_VALUE"""),1586.0)</f>
        <v>1586</v>
      </c>
      <c r="C67" s="6">
        <f>IFERROR(__xludf.DUMMYFUNCTION("""COMPUTED_VALUE"""),1628.45)</f>
        <v>1628.45</v>
      </c>
      <c r="D67" s="6">
        <f>IFERROR(__xludf.DUMMYFUNCTION("""COMPUTED_VALUE"""),1575.0)</f>
        <v>1575</v>
      </c>
      <c r="E67" s="6">
        <f>IFERROR(__xludf.DUMMYFUNCTION("""COMPUTED_VALUE"""),1599.85)</f>
        <v>1599.85</v>
      </c>
      <c r="F67" s="6">
        <f>IFERROR(__xludf.DUMMYFUNCTION("""COMPUTED_VALUE"""),1.3933732E7)</f>
        <v>13933732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IFERROR(__xludf.DUMMYFUNCTION("""COMPUTED_VALUE"""),1605.0)</f>
        <v>1605</v>
      </c>
      <c r="C68" s="6">
        <f>IFERROR(__xludf.DUMMYFUNCTION("""COMPUTED_VALUE"""),1619.6)</f>
        <v>1619.6</v>
      </c>
      <c r="D68" s="6">
        <f>IFERROR(__xludf.DUMMYFUNCTION("""COMPUTED_VALUE"""),1563.35)</f>
        <v>1563.35</v>
      </c>
      <c r="E68" s="6">
        <f>IFERROR(__xludf.DUMMYFUNCTION("""COMPUTED_VALUE"""),1598.85)</f>
        <v>1598.85</v>
      </c>
      <c r="F68" s="6">
        <f>IFERROR(__xludf.DUMMYFUNCTION("""COMPUTED_VALUE"""),1.5491046E7)</f>
        <v>15491046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IFERROR(__xludf.DUMMYFUNCTION("""COMPUTED_VALUE"""),1596.15)</f>
        <v>1596.15</v>
      </c>
      <c r="C69" s="6">
        <f>IFERROR(__xludf.DUMMYFUNCTION("""COMPUTED_VALUE"""),1625.0)</f>
        <v>1625</v>
      </c>
      <c r="D69" s="6">
        <f>IFERROR(__xludf.DUMMYFUNCTION("""COMPUTED_VALUE"""),1567.1)</f>
        <v>1567.1</v>
      </c>
      <c r="E69" s="6">
        <f>IFERROR(__xludf.DUMMYFUNCTION("""COMPUTED_VALUE"""),1615.9)</f>
        <v>1615.9</v>
      </c>
      <c r="F69" s="6">
        <f>IFERROR(__xludf.DUMMYFUNCTION("""COMPUTED_VALUE"""),1.9920359E7)</f>
        <v>19920359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IFERROR(__xludf.DUMMYFUNCTION("""COMPUTED_VALUE"""),1580.0)</f>
        <v>1580</v>
      </c>
      <c r="C70" s="6">
        <f>IFERROR(__xludf.DUMMYFUNCTION("""COMPUTED_VALUE"""),1639.0)</f>
        <v>1639</v>
      </c>
      <c r="D70" s="6">
        <f>IFERROR(__xludf.DUMMYFUNCTION("""COMPUTED_VALUE"""),1578.1)</f>
        <v>1578.1</v>
      </c>
      <c r="E70" s="6">
        <f>IFERROR(__xludf.DUMMYFUNCTION("""COMPUTED_VALUE"""),1627.5)</f>
        <v>1627.5</v>
      </c>
      <c r="F70" s="6">
        <f>IFERROR(__xludf.DUMMYFUNCTION("""COMPUTED_VALUE"""),2.1928722E7)</f>
        <v>21928722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IFERROR(__xludf.DUMMYFUNCTION("""COMPUTED_VALUE"""),1638.0)</f>
        <v>1638</v>
      </c>
      <c r="C71" s="6">
        <f>IFERROR(__xludf.DUMMYFUNCTION("""COMPUTED_VALUE"""),1661.9)</f>
        <v>1661.9</v>
      </c>
      <c r="D71" s="6">
        <f>IFERROR(__xludf.DUMMYFUNCTION("""COMPUTED_VALUE"""),1617.2)</f>
        <v>1617.2</v>
      </c>
      <c r="E71" s="6">
        <f>IFERROR(__xludf.DUMMYFUNCTION("""COMPUTED_VALUE"""),1644.8)</f>
        <v>1644.8</v>
      </c>
      <c r="F71" s="6">
        <f>IFERROR(__xludf.DUMMYFUNCTION("""COMPUTED_VALUE"""),2.1231162E7)</f>
        <v>21231162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IFERROR(__xludf.DUMMYFUNCTION("""COMPUTED_VALUE"""),1619.9)</f>
        <v>1619.9</v>
      </c>
      <c r="C72" s="6">
        <f>IFERROR(__xludf.DUMMYFUNCTION("""COMPUTED_VALUE"""),1707.55)</f>
        <v>1707.55</v>
      </c>
      <c r="D72" s="6">
        <f>IFERROR(__xludf.DUMMYFUNCTION("""COMPUTED_VALUE"""),1608.1)</f>
        <v>1608.1</v>
      </c>
      <c r="E72" s="6">
        <f>IFERROR(__xludf.DUMMYFUNCTION("""COMPUTED_VALUE"""),1676.75)</f>
        <v>1676.75</v>
      </c>
      <c r="F72" s="6">
        <f>IFERROR(__xludf.DUMMYFUNCTION("""COMPUTED_VALUE"""),3.4556156E7)</f>
        <v>34556156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IFERROR(__xludf.DUMMYFUNCTION("""COMPUTED_VALUE"""),1698.85)</f>
        <v>1698.85</v>
      </c>
      <c r="C73" s="6">
        <f>IFERROR(__xludf.DUMMYFUNCTION("""COMPUTED_VALUE"""),1728.4)</f>
        <v>1728.4</v>
      </c>
      <c r="D73" s="6">
        <f>IFERROR(__xludf.DUMMYFUNCTION("""COMPUTED_VALUE"""),1678.05)</f>
        <v>1678.05</v>
      </c>
      <c r="E73" s="6">
        <f>IFERROR(__xludf.DUMMYFUNCTION("""COMPUTED_VALUE"""),1717.05)</f>
        <v>1717.05</v>
      </c>
      <c r="F73" s="6">
        <f>IFERROR(__xludf.DUMMYFUNCTION("""COMPUTED_VALUE"""),3.3378201E7)</f>
        <v>33378201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IFERROR(__xludf.DUMMYFUNCTION("""COMPUTED_VALUE"""),1711.75)</f>
        <v>1711.75</v>
      </c>
      <c r="C74" s="6">
        <f>IFERROR(__xludf.DUMMYFUNCTION("""COMPUTED_VALUE"""),1716.9)</f>
        <v>1716.9</v>
      </c>
      <c r="D74" s="6">
        <f>IFERROR(__xludf.DUMMYFUNCTION("""COMPUTED_VALUE"""),1627.25)</f>
        <v>1627.25</v>
      </c>
      <c r="E74" s="6">
        <f>IFERROR(__xludf.DUMMYFUNCTION("""COMPUTED_VALUE"""),1639.25)</f>
        <v>1639.25</v>
      </c>
      <c r="F74" s="6">
        <f>IFERROR(__xludf.DUMMYFUNCTION("""COMPUTED_VALUE"""),3.1184701E7)</f>
        <v>31184701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IFERROR(__xludf.DUMMYFUNCTION("""COMPUTED_VALUE"""),1627.0)</f>
        <v>1627</v>
      </c>
      <c r="C75" s="6">
        <f>IFERROR(__xludf.DUMMYFUNCTION("""COMPUTED_VALUE"""),1656.0)</f>
        <v>1656</v>
      </c>
      <c r="D75" s="6">
        <f>IFERROR(__xludf.DUMMYFUNCTION("""COMPUTED_VALUE"""),1559.5)</f>
        <v>1559.5</v>
      </c>
      <c r="E75" s="6">
        <f>IFERROR(__xludf.DUMMYFUNCTION("""COMPUTED_VALUE"""),1570.2)</f>
        <v>1570.2</v>
      </c>
      <c r="F75" s="6">
        <f>IFERROR(__xludf.DUMMYFUNCTION("""COMPUTED_VALUE"""),3.2168954E7)</f>
        <v>32168954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IFERROR(__xludf.DUMMYFUNCTION("""COMPUTED_VALUE"""),1579.0)</f>
        <v>1579</v>
      </c>
      <c r="C76" s="6">
        <f>IFERROR(__xludf.DUMMYFUNCTION("""COMPUTED_VALUE"""),1642.4)</f>
        <v>1642.4</v>
      </c>
      <c r="D76" s="6">
        <f>IFERROR(__xludf.DUMMYFUNCTION("""COMPUTED_VALUE"""),1568.0)</f>
        <v>1568</v>
      </c>
      <c r="E76" s="6">
        <f>IFERROR(__xludf.DUMMYFUNCTION("""COMPUTED_VALUE"""),1630.7)</f>
        <v>1630.7</v>
      </c>
      <c r="F76" s="6">
        <f>IFERROR(__xludf.DUMMYFUNCTION("""COMPUTED_VALUE"""),2.6718185E7)</f>
        <v>26718185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IFERROR(__xludf.DUMMYFUNCTION("""COMPUTED_VALUE"""),1640.0)</f>
        <v>1640</v>
      </c>
      <c r="C77" s="6">
        <f>IFERROR(__xludf.DUMMYFUNCTION("""COMPUTED_VALUE"""),1716.65)</f>
        <v>1716.65</v>
      </c>
      <c r="D77" s="6">
        <f>IFERROR(__xludf.DUMMYFUNCTION("""COMPUTED_VALUE"""),1624.05)</f>
        <v>1624.05</v>
      </c>
      <c r="E77" s="6">
        <f>IFERROR(__xludf.DUMMYFUNCTION("""COMPUTED_VALUE"""),1632.5)</f>
        <v>1632.5</v>
      </c>
      <c r="F77" s="6">
        <f>IFERROR(__xludf.DUMMYFUNCTION("""COMPUTED_VALUE"""),2.8081973E7)</f>
        <v>28081973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IFERROR(__xludf.DUMMYFUNCTION("""COMPUTED_VALUE"""),1612.2)</f>
        <v>1612.2</v>
      </c>
      <c r="C78" s="6">
        <f>IFERROR(__xludf.DUMMYFUNCTION("""COMPUTED_VALUE"""),1731.4)</f>
        <v>1731.4</v>
      </c>
      <c r="D78" s="6">
        <f>IFERROR(__xludf.DUMMYFUNCTION("""COMPUTED_VALUE"""),1612.2)</f>
        <v>1612.2</v>
      </c>
      <c r="E78" s="6">
        <f>IFERROR(__xludf.DUMMYFUNCTION("""COMPUTED_VALUE"""),1725.8)</f>
        <v>1725.8</v>
      </c>
      <c r="F78" s="6">
        <f>IFERROR(__xludf.DUMMYFUNCTION("""COMPUTED_VALUE"""),4.6018757E7)</f>
        <v>46018757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IFERROR(__xludf.DUMMYFUNCTION("""COMPUTED_VALUE"""),1740.0)</f>
        <v>1740</v>
      </c>
      <c r="C79" s="6">
        <f>IFERROR(__xludf.DUMMYFUNCTION("""COMPUTED_VALUE"""),1765.0)</f>
        <v>1765</v>
      </c>
      <c r="D79" s="6">
        <f>IFERROR(__xludf.DUMMYFUNCTION("""COMPUTED_VALUE"""),1660.0)</f>
        <v>1660</v>
      </c>
      <c r="E79" s="6">
        <f>IFERROR(__xludf.DUMMYFUNCTION("""COMPUTED_VALUE"""),1733.4)</f>
        <v>1733.4</v>
      </c>
      <c r="F79" s="6">
        <f>IFERROR(__xludf.DUMMYFUNCTION("""COMPUTED_VALUE"""),2.6476395E7)</f>
        <v>26476395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IFERROR(__xludf.DUMMYFUNCTION("""COMPUTED_VALUE"""),1715.0)</f>
        <v>1715</v>
      </c>
      <c r="C80" s="6">
        <f>IFERROR(__xludf.DUMMYFUNCTION("""COMPUTED_VALUE"""),1770.8)</f>
        <v>1770.8</v>
      </c>
      <c r="D80" s="6">
        <f>IFERROR(__xludf.DUMMYFUNCTION("""COMPUTED_VALUE"""),1708.45)</f>
        <v>1708.45</v>
      </c>
      <c r="E80" s="6">
        <f>IFERROR(__xludf.DUMMYFUNCTION("""COMPUTED_VALUE"""),1743.45)</f>
        <v>1743.45</v>
      </c>
      <c r="F80" s="6">
        <f>IFERROR(__xludf.DUMMYFUNCTION("""COMPUTED_VALUE"""),2.3363605E7)</f>
        <v>23363605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IFERROR(__xludf.DUMMYFUNCTION("""COMPUTED_VALUE"""),1730.0)</f>
        <v>1730</v>
      </c>
      <c r="C81" s="6">
        <f>IFERROR(__xludf.DUMMYFUNCTION("""COMPUTED_VALUE"""),1774.75)</f>
        <v>1774.75</v>
      </c>
      <c r="D81" s="6">
        <f>IFERROR(__xludf.DUMMYFUNCTION("""COMPUTED_VALUE"""),1669.4)</f>
        <v>1669.4</v>
      </c>
      <c r="E81" s="6">
        <f>IFERROR(__xludf.DUMMYFUNCTION("""COMPUTED_VALUE"""),1756.6)</f>
        <v>1756.6</v>
      </c>
      <c r="F81" s="6">
        <f>IFERROR(__xludf.DUMMYFUNCTION("""COMPUTED_VALUE"""),3.6017991E7)</f>
        <v>36017991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IFERROR(__xludf.DUMMYFUNCTION("""COMPUTED_VALUE"""),1808.2)</f>
        <v>1808.2</v>
      </c>
      <c r="C82" s="6">
        <f>IFERROR(__xludf.DUMMYFUNCTION("""COMPUTED_VALUE"""),1897.7)</f>
        <v>1897.7</v>
      </c>
      <c r="D82" s="6">
        <f>IFERROR(__xludf.DUMMYFUNCTION("""COMPUTED_VALUE"""),1781.1)</f>
        <v>1781.1</v>
      </c>
      <c r="E82" s="6">
        <f>IFERROR(__xludf.DUMMYFUNCTION("""COMPUTED_VALUE"""),1889.1)</f>
        <v>1889.1</v>
      </c>
      <c r="F82" s="6">
        <f>IFERROR(__xludf.DUMMYFUNCTION("""COMPUTED_VALUE"""),2.7388694E7)</f>
        <v>27388694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IFERROR(__xludf.DUMMYFUNCTION("""COMPUTED_VALUE"""),1898.4)</f>
        <v>1898.4</v>
      </c>
      <c r="C83" s="6">
        <f>IFERROR(__xludf.DUMMYFUNCTION("""COMPUTED_VALUE"""),1904.3)</f>
        <v>1904.3</v>
      </c>
      <c r="D83" s="6">
        <f>IFERROR(__xludf.DUMMYFUNCTION("""COMPUTED_VALUE"""),1806.0)</f>
        <v>1806</v>
      </c>
      <c r="E83" s="6">
        <f>IFERROR(__xludf.DUMMYFUNCTION("""COMPUTED_VALUE"""),1817.2)</f>
        <v>1817.2</v>
      </c>
      <c r="F83" s="6">
        <f>IFERROR(__xludf.DUMMYFUNCTION("""COMPUTED_VALUE"""),2.6262048E7)</f>
        <v>26262048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IFERROR(__xludf.DUMMYFUNCTION("""COMPUTED_VALUE"""),1836.0)</f>
        <v>1836</v>
      </c>
      <c r="C84" s="6">
        <f>IFERROR(__xludf.DUMMYFUNCTION("""COMPUTED_VALUE"""),1883.6)</f>
        <v>1883.6</v>
      </c>
      <c r="D84" s="6">
        <f>IFERROR(__xludf.DUMMYFUNCTION("""COMPUTED_VALUE"""),1813.4)</f>
        <v>1813.4</v>
      </c>
      <c r="E84" s="6">
        <f>IFERROR(__xludf.DUMMYFUNCTION("""COMPUTED_VALUE"""),1851.9)</f>
        <v>1851.9</v>
      </c>
      <c r="F84" s="6">
        <f>IFERROR(__xludf.DUMMYFUNCTION("""COMPUTED_VALUE"""),2.0992673E7)</f>
        <v>20992673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IFERROR(__xludf.DUMMYFUNCTION("""COMPUTED_VALUE"""),1868.0)</f>
        <v>1868</v>
      </c>
      <c r="C85" s="6">
        <f>IFERROR(__xludf.DUMMYFUNCTION("""COMPUTED_VALUE"""),1917.0)</f>
        <v>1917</v>
      </c>
      <c r="D85" s="6">
        <f>IFERROR(__xludf.DUMMYFUNCTION("""COMPUTED_VALUE"""),1836.5)</f>
        <v>1836.5</v>
      </c>
      <c r="E85" s="6">
        <f>IFERROR(__xludf.DUMMYFUNCTION("""COMPUTED_VALUE"""),1848.4)</f>
        <v>1848.4</v>
      </c>
      <c r="F85" s="6">
        <f>IFERROR(__xludf.DUMMYFUNCTION("""COMPUTED_VALUE"""),2.6888308E7)</f>
        <v>26888308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IFERROR(__xludf.DUMMYFUNCTION("""COMPUTED_VALUE"""),1868.9)</f>
        <v>1868.9</v>
      </c>
      <c r="C86" s="6">
        <f>IFERROR(__xludf.DUMMYFUNCTION("""COMPUTED_VALUE"""),1883.7)</f>
        <v>1883.7</v>
      </c>
      <c r="D86" s="6">
        <f>IFERROR(__xludf.DUMMYFUNCTION("""COMPUTED_VALUE"""),1810.1)</f>
        <v>1810.1</v>
      </c>
      <c r="E86" s="6">
        <f>IFERROR(__xludf.DUMMYFUNCTION("""COMPUTED_VALUE"""),1814.0)</f>
        <v>1814</v>
      </c>
      <c r="F86" s="6">
        <f>IFERROR(__xludf.DUMMYFUNCTION("""COMPUTED_VALUE"""),1.29605794E8)</f>
        <v>129605794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IFERROR(__xludf.DUMMYFUNCTION("""COMPUTED_VALUE"""),1822.0)</f>
        <v>1822</v>
      </c>
      <c r="C87" s="6">
        <f>IFERROR(__xludf.DUMMYFUNCTION("""COMPUTED_VALUE"""),1841.8)</f>
        <v>1841.8</v>
      </c>
      <c r="D87" s="6">
        <f>IFERROR(__xludf.DUMMYFUNCTION("""COMPUTED_VALUE"""),1799.5)</f>
        <v>1799.5</v>
      </c>
      <c r="E87" s="6">
        <f>IFERROR(__xludf.DUMMYFUNCTION("""COMPUTED_VALUE"""),1831.7)</f>
        <v>1831.7</v>
      </c>
      <c r="F87" s="6">
        <f>IFERROR(__xludf.DUMMYFUNCTION("""COMPUTED_VALUE"""),3.511983E7)</f>
        <v>35119830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IFERROR(__xludf.DUMMYFUNCTION("""COMPUTED_VALUE"""),1834.0)</f>
        <v>1834</v>
      </c>
      <c r="C88" s="6">
        <f>IFERROR(__xludf.DUMMYFUNCTION("""COMPUTED_VALUE"""),1867.0)</f>
        <v>1867</v>
      </c>
      <c r="D88" s="6">
        <f>IFERROR(__xludf.DUMMYFUNCTION("""COMPUTED_VALUE"""),1830.9)</f>
        <v>1830.9</v>
      </c>
      <c r="E88" s="6">
        <f>IFERROR(__xludf.DUMMYFUNCTION("""COMPUTED_VALUE"""),1856.2)</f>
        <v>1856.2</v>
      </c>
      <c r="F88" s="6">
        <f>IFERROR(__xludf.DUMMYFUNCTION("""COMPUTED_VALUE"""),3.5315873E7)</f>
        <v>35315873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IFERROR(__xludf.DUMMYFUNCTION("""COMPUTED_VALUE"""),1844.0)</f>
        <v>1844</v>
      </c>
      <c r="C89" s="6">
        <f>IFERROR(__xludf.DUMMYFUNCTION("""COMPUTED_VALUE"""),1889.0)</f>
        <v>1889</v>
      </c>
      <c r="D89" s="6">
        <f>IFERROR(__xludf.DUMMYFUNCTION("""COMPUTED_VALUE"""),1831.5)</f>
        <v>1831.5</v>
      </c>
      <c r="E89" s="6">
        <f>IFERROR(__xludf.DUMMYFUNCTION("""COMPUTED_VALUE"""),1870.2)</f>
        <v>1870.2</v>
      </c>
      <c r="F89" s="6">
        <f>IFERROR(__xludf.DUMMYFUNCTION("""COMPUTED_VALUE"""),2.8332495E7)</f>
        <v>28332495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IFERROR(__xludf.DUMMYFUNCTION("""COMPUTED_VALUE"""),1874.0)</f>
        <v>1874</v>
      </c>
      <c r="C90" s="6">
        <f>IFERROR(__xludf.DUMMYFUNCTION("""COMPUTED_VALUE"""),1883.0)</f>
        <v>1883</v>
      </c>
      <c r="D90" s="6">
        <f>IFERROR(__xludf.DUMMYFUNCTION("""COMPUTED_VALUE"""),1815.0)</f>
        <v>1815</v>
      </c>
      <c r="E90" s="6">
        <f>IFERROR(__xludf.DUMMYFUNCTION("""COMPUTED_VALUE"""),1840.4)</f>
        <v>1840.4</v>
      </c>
      <c r="F90" s="6">
        <f>IFERROR(__xludf.DUMMYFUNCTION("""COMPUTED_VALUE"""),3.2441702E7)</f>
        <v>32441702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IFERROR(__xludf.DUMMYFUNCTION("""COMPUTED_VALUE"""),1842.1)</f>
        <v>1842.1</v>
      </c>
      <c r="C91" s="6">
        <f>IFERROR(__xludf.DUMMYFUNCTION("""COMPUTED_VALUE"""),1949.0)</f>
        <v>1949</v>
      </c>
      <c r="D91" s="6">
        <f>IFERROR(__xludf.DUMMYFUNCTION("""COMPUTED_VALUE"""),1838.8)</f>
        <v>1838.8</v>
      </c>
      <c r="E91" s="6">
        <f>IFERROR(__xludf.DUMMYFUNCTION("""COMPUTED_VALUE"""),1936.7)</f>
        <v>1936.7</v>
      </c>
      <c r="F91" s="6">
        <f>IFERROR(__xludf.DUMMYFUNCTION("""COMPUTED_VALUE"""),3.8294007E7)</f>
        <v>38294007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IFERROR(__xludf.DUMMYFUNCTION("""COMPUTED_VALUE"""),1930.0)</f>
        <v>1930</v>
      </c>
      <c r="C92" s="6">
        <f>IFERROR(__xludf.DUMMYFUNCTION("""COMPUTED_VALUE"""),2039.0)</f>
        <v>2039</v>
      </c>
      <c r="D92" s="6">
        <f>IFERROR(__xludf.DUMMYFUNCTION("""COMPUTED_VALUE"""),1927.1)</f>
        <v>1927.1</v>
      </c>
      <c r="E92" s="6">
        <f>IFERROR(__xludf.DUMMYFUNCTION("""COMPUTED_VALUE"""),2027.1)</f>
        <v>2027.1</v>
      </c>
      <c r="F92" s="6">
        <f>IFERROR(__xludf.DUMMYFUNCTION("""COMPUTED_VALUE"""),2.9755533E7)</f>
        <v>29755533</v>
      </c>
    </row>
    <row r="93">
      <c r="A93" s="7">
        <f>IFERROR(__xludf.DUMMYFUNCTION("""COMPUTED_VALUE"""),45842.64583333333)</f>
        <v>45842.64583</v>
      </c>
      <c r="B93" s="6">
        <f>IFERROR(__xludf.DUMMYFUNCTION("""COMPUTED_VALUE"""),2018.0)</f>
        <v>2018</v>
      </c>
      <c r="C93" s="6">
        <f>IFERROR(__xludf.DUMMYFUNCTION("""COMPUTED_VALUE"""),2045.8)</f>
        <v>2045.8</v>
      </c>
      <c r="D93" s="6">
        <f>IFERROR(__xludf.DUMMYFUNCTION("""COMPUTED_VALUE"""),2000.2)</f>
        <v>2000.2</v>
      </c>
      <c r="E93" s="6">
        <f>IFERROR(__xludf.DUMMYFUNCTION("""COMPUTED_VALUE"""),2017.2)</f>
        <v>2017.2</v>
      </c>
      <c r="F93" s="6">
        <f>IFERROR(__xludf.DUMMYFUNCTION("""COMPUTED_VALUE"""),2.3616899E7)</f>
        <v>23616899</v>
      </c>
    </row>
    <row r="94">
      <c r="A94" s="7">
        <f>IFERROR(__xludf.DUMMYFUNCTION("""COMPUTED_VALUE"""),45849.64583333333)</f>
        <v>45849.64583</v>
      </c>
      <c r="B94" s="6">
        <f>IFERROR(__xludf.DUMMYFUNCTION("""COMPUTED_VALUE"""),2018.0)</f>
        <v>2018</v>
      </c>
      <c r="C94" s="6">
        <f>IFERROR(__xludf.DUMMYFUNCTION("""COMPUTED_VALUE"""),2040.7)</f>
        <v>2040.7</v>
      </c>
      <c r="D94" s="6">
        <f>IFERROR(__xludf.DUMMYFUNCTION("""COMPUTED_VALUE"""),1914.2)</f>
        <v>1914.2</v>
      </c>
      <c r="E94" s="6">
        <f>IFERROR(__xludf.DUMMYFUNCTION("""COMPUTED_VALUE"""),1921.9)</f>
        <v>1921.9</v>
      </c>
      <c r="F94" s="6">
        <f>IFERROR(__xludf.DUMMYFUNCTION("""COMPUTED_VALUE"""),2.952761E7)</f>
        <v>29527610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IFERROR(__xludf.DUMMYFUNCTION("""COMPUTED_VALUE"""),1915.0)</f>
        <v>1915</v>
      </c>
      <c r="C95" s="6">
        <f>IFERROR(__xludf.DUMMYFUNCTION("""COMPUTED_VALUE"""),1944.9)</f>
        <v>1944.9</v>
      </c>
      <c r="D95" s="6">
        <f>IFERROR(__xludf.DUMMYFUNCTION("""COMPUTED_VALUE"""),1891.8)</f>
        <v>1891.8</v>
      </c>
      <c r="E95" s="6">
        <f>IFERROR(__xludf.DUMMYFUNCTION("""COMPUTED_VALUE"""),1901.0)</f>
        <v>1901</v>
      </c>
      <c r="F95" s="6">
        <f>IFERROR(__xludf.DUMMYFUNCTION("""COMPUTED_VALUE"""),2.4544195E7)</f>
        <v>24544195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IFERROR(__xludf.DUMMYFUNCTION("""COMPUTED_VALUE"""),1894.8)</f>
        <v>1894.8</v>
      </c>
      <c r="C96" s="6">
        <f>IFERROR(__xludf.DUMMYFUNCTION("""COMPUTED_VALUE"""),1970.4)</f>
        <v>1970.4</v>
      </c>
      <c r="D96" s="6">
        <f>IFERROR(__xludf.DUMMYFUNCTION("""COMPUTED_VALUE"""),1883.0)</f>
        <v>1883</v>
      </c>
      <c r="E96" s="6">
        <f>IFERROR(__xludf.DUMMYFUNCTION("""COMPUTED_VALUE"""),1937.9)</f>
        <v>1937.9</v>
      </c>
      <c r="F96" s="6">
        <f>IFERROR(__xludf.DUMMYFUNCTION("""COMPUTED_VALUE"""),2.2865046E7)</f>
        <v>22865046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IFERROR(__xludf.DUMMYFUNCTION("""COMPUTED_VALUE"""),1930.0)</f>
        <v>1930</v>
      </c>
      <c r="C97" s="6">
        <f>IFERROR(__xludf.DUMMYFUNCTION("""COMPUTED_VALUE"""),1939.2)</f>
        <v>1939.2</v>
      </c>
      <c r="D97" s="6">
        <f>IFERROR(__xludf.DUMMYFUNCTION("""COMPUTED_VALUE"""),1878.0)</f>
        <v>1878</v>
      </c>
      <c r="E97" s="6">
        <f>IFERROR(__xludf.DUMMYFUNCTION("""COMPUTED_VALUE"""),1884.4)</f>
        <v>1884.4</v>
      </c>
      <c r="F97" s="6">
        <f>IFERROR(__xludf.DUMMYFUNCTION("""COMPUTED_VALUE"""),2.2235327E7)</f>
        <v>22235327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IFERROR(__xludf.DUMMYFUNCTION("""COMPUTED_VALUE"""),1892.0)</f>
        <v>1892</v>
      </c>
      <c r="C98" s="6">
        <f>IFERROR(__xludf.DUMMYFUNCTION("""COMPUTED_VALUE"""),1964.8)</f>
        <v>1964.8</v>
      </c>
      <c r="D98" s="6">
        <f>IFERROR(__xludf.DUMMYFUNCTION("""COMPUTED_VALUE"""),1856.0)</f>
        <v>1856</v>
      </c>
      <c r="E98" s="6">
        <f>IFERROR(__xludf.DUMMYFUNCTION("""COMPUTED_VALUE"""),1858.6)</f>
        <v>1858.6</v>
      </c>
      <c r="F98" s="6">
        <f>IFERROR(__xludf.DUMMYFUNCTION("""COMPUTED_VALUE"""),1.1177304E8)</f>
        <v>111773040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IFERROR(__xludf.DUMMYFUNCTION("""COMPUTED_VALUE"""),1863.0)</f>
        <v>1863</v>
      </c>
      <c r="C99" s="6">
        <f>IFERROR(__xludf.DUMMYFUNCTION("""COMPUTED_VALUE"""),1883.0)</f>
        <v>1883</v>
      </c>
      <c r="D99" s="6">
        <f>IFERROR(__xludf.DUMMYFUNCTION("""COMPUTED_VALUE"""),1845.7)</f>
        <v>1845.7</v>
      </c>
      <c r="E99" s="6">
        <f>IFERROR(__xludf.DUMMYFUNCTION("""COMPUTED_VALUE"""),1873.8)</f>
        <v>1873.8</v>
      </c>
      <c r="F99" s="6">
        <f>IFERROR(__xludf.DUMMYFUNCTION("""COMPUTED_VALUE"""),2.056738E7)</f>
        <v>20567380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IFERROR(__xludf.DUMMYFUNCTION("""COMPUTED_VALUE"""),1892.5)</f>
        <v>1892.5</v>
      </c>
      <c r="C100" s="6">
        <f>IFERROR(__xludf.DUMMYFUNCTION("""COMPUTED_VALUE"""),1952.0)</f>
        <v>1952</v>
      </c>
      <c r="D100" s="6">
        <f>IFERROR(__xludf.DUMMYFUNCTION("""COMPUTED_VALUE"""),1870.3)</f>
        <v>1870.3</v>
      </c>
      <c r="E100" s="6">
        <f>IFERROR(__xludf.DUMMYFUNCTION("""COMPUTED_VALUE"""),1933.3)</f>
        <v>1933.3</v>
      </c>
      <c r="F100" s="6">
        <f>IFERROR(__xludf.DUMMYFUNCTION("""COMPUTED_VALUE"""),2.6464093E7)</f>
        <v>26464093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IFERROR(__xludf.DUMMYFUNCTION("""COMPUTED_VALUE"""),1940.0)</f>
        <v>1940</v>
      </c>
      <c r="C101" s="6">
        <f>IFERROR(__xludf.DUMMYFUNCTION("""COMPUTED_VALUE"""),1940.1)</f>
        <v>1940.1</v>
      </c>
      <c r="D101" s="6">
        <f>IFERROR(__xludf.DUMMYFUNCTION("""COMPUTED_VALUE"""),1896.2)</f>
        <v>1896.2</v>
      </c>
      <c r="E101" s="6">
        <f>IFERROR(__xludf.DUMMYFUNCTION("""COMPUTED_VALUE"""),1904.7)</f>
        <v>1904.7</v>
      </c>
      <c r="F101" s="6">
        <f>IFERROR(__xludf.DUMMYFUNCTION("""COMPUTED_VALUE"""),5.335528E7)</f>
        <v>53355280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IFERROR(__xludf.DUMMYFUNCTION("GOOGLEFINANCE(""NSE:BHARTIHEXA"",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IFERROR(__xludf.DUMMYFUNCTION("""COMPUTED_VALUE"""),45394.64583333333)</f>
        <v>45394.64583</v>
      </c>
      <c r="B2" s="6">
        <f>IFERROR(__xludf.DUMMYFUNCTION("""COMPUTED_VALUE"""),755.0)</f>
        <v>755</v>
      </c>
      <c r="C2" s="6">
        <f>IFERROR(__xludf.DUMMYFUNCTION("""COMPUTED_VALUE"""),880.0)</f>
        <v>880</v>
      </c>
      <c r="D2" s="6">
        <f>IFERROR(__xludf.DUMMYFUNCTION("""COMPUTED_VALUE"""),755.0)</f>
        <v>755</v>
      </c>
      <c r="E2" s="6">
        <f>IFERROR(__xludf.DUMMYFUNCTION("""COMPUTED_VALUE"""),813.3)</f>
        <v>813.3</v>
      </c>
      <c r="F2" s="6">
        <f>IFERROR(__xludf.DUMMYFUNCTION("""COMPUTED_VALUE"""),5.3465498E7)</f>
        <v>53465498</v>
      </c>
    </row>
    <row r="3">
      <c r="A3" s="7">
        <f>IFERROR(__xludf.DUMMYFUNCTION("""COMPUTED_VALUE"""),45401.64583333333)</f>
        <v>45401.64583</v>
      </c>
      <c r="B3" s="6">
        <f>IFERROR(__xludf.DUMMYFUNCTION("""COMPUTED_VALUE"""),785.5)</f>
        <v>785.5</v>
      </c>
      <c r="C3" s="6">
        <f>IFERROR(__xludf.DUMMYFUNCTION("""COMPUTED_VALUE"""),1015.55)</f>
        <v>1015.55</v>
      </c>
      <c r="D3" s="6">
        <f>IFERROR(__xludf.DUMMYFUNCTION("""COMPUTED_VALUE"""),783.0)</f>
        <v>783</v>
      </c>
      <c r="E3" s="6">
        <f>IFERROR(__xludf.DUMMYFUNCTION("""COMPUTED_VALUE"""),947.15)</f>
        <v>947.15</v>
      </c>
      <c r="F3" s="6">
        <f>IFERROR(__xludf.DUMMYFUNCTION("""COMPUTED_VALUE"""),3.6845787E7)</f>
        <v>36845787</v>
      </c>
    </row>
    <row r="4">
      <c r="A4" s="7">
        <f>IFERROR(__xludf.DUMMYFUNCTION("""COMPUTED_VALUE"""),45408.64583333333)</f>
        <v>45408.64583</v>
      </c>
      <c r="B4" s="6">
        <f>IFERROR(__xludf.DUMMYFUNCTION("""COMPUTED_VALUE"""),954.9)</f>
        <v>954.9</v>
      </c>
      <c r="C4" s="6">
        <f>IFERROR(__xludf.DUMMYFUNCTION("""COMPUTED_VALUE"""),993.55)</f>
        <v>993.55</v>
      </c>
      <c r="D4" s="6">
        <f>IFERROR(__xludf.DUMMYFUNCTION("""COMPUTED_VALUE"""),875.4)</f>
        <v>875.4</v>
      </c>
      <c r="E4" s="6">
        <f>IFERROR(__xludf.DUMMYFUNCTION("""COMPUTED_VALUE"""),894.65)</f>
        <v>894.65</v>
      </c>
      <c r="F4" s="6">
        <f>IFERROR(__xludf.DUMMYFUNCTION("""COMPUTED_VALUE"""),9350953.0)</f>
        <v>9350953</v>
      </c>
    </row>
    <row r="5">
      <c r="A5" s="7">
        <f>IFERROR(__xludf.DUMMYFUNCTION("""COMPUTED_VALUE"""),45415.64583333333)</f>
        <v>45415.64583</v>
      </c>
      <c r="B5" s="6">
        <f>IFERROR(__xludf.DUMMYFUNCTION("""COMPUTED_VALUE"""),895.55)</f>
        <v>895.55</v>
      </c>
      <c r="C5" s="6">
        <f>IFERROR(__xludf.DUMMYFUNCTION("""COMPUTED_VALUE"""),898.35)</f>
        <v>898.35</v>
      </c>
      <c r="D5" s="6">
        <f>IFERROR(__xludf.DUMMYFUNCTION("""COMPUTED_VALUE"""),854.15)</f>
        <v>854.15</v>
      </c>
      <c r="E5" s="6">
        <f>IFERROR(__xludf.DUMMYFUNCTION("""COMPUTED_VALUE"""),871.35)</f>
        <v>871.35</v>
      </c>
      <c r="F5" s="6">
        <f>IFERROR(__xludf.DUMMYFUNCTION("""COMPUTED_VALUE"""),2750305.0)</f>
        <v>2750305</v>
      </c>
    </row>
    <row r="6">
      <c r="A6" s="7">
        <f>IFERROR(__xludf.DUMMYFUNCTION("""COMPUTED_VALUE"""),45422.64583333333)</f>
        <v>45422.64583</v>
      </c>
      <c r="B6" s="6">
        <f>IFERROR(__xludf.DUMMYFUNCTION("""COMPUTED_VALUE"""),876.6)</f>
        <v>876.6</v>
      </c>
      <c r="C6" s="6">
        <f>IFERROR(__xludf.DUMMYFUNCTION("""COMPUTED_VALUE"""),930.0)</f>
        <v>930</v>
      </c>
      <c r="D6" s="6">
        <f>IFERROR(__xludf.DUMMYFUNCTION("""COMPUTED_VALUE"""),858.25)</f>
        <v>858.25</v>
      </c>
      <c r="E6" s="6">
        <f>IFERROR(__xludf.DUMMYFUNCTION("""COMPUTED_VALUE"""),902.6)</f>
        <v>902.6</v>
      </c>
      <c r="F6" s="6">
        <f>IFERROR(__xludf.DUMMYFUNCTION("""COMPUTED_VALUE"""),5185613.0)</f>
        <v>5185613</v>
      </c>
    </row>
    <row r="7">
      <c r="A7" s="7">
        <f>IFERROR(__xludf.DUMMYFUNCTION("""COMPUTED_VALUE"""),45436.64583333333)</f>
        <v>45436.64583</v>
      </c>
      <c r="B7" s="6">
        <f>IFERROR(__xludf.DUMMYFUNCTION("""COMPUTED_VALUE"""),967.55)</f>
        <v>967.55</v>
      </c>
      <c r="C7" s="6">
        <f>IFERROR(__xludf.DUMMYFUNCTION("""COMPUTED_VALUE"""),1037.55)</f>
        <v>1037.55</v>
      </c>
      <c r="D7" s="6">
        <f>IFERROR(__xludf.DUMMYFUNCTION("""COMPUTED_VALUE"""),933.95)</f>
        <v>933.95</v>
      </c>
      <c r="E7" s="6">
        <f>IFERROR(__xludf.DUMMYFUNCTION("""COMPUTED_VALUE"""),1022.05)</f>
        <v>1022.05</v>
      </c>
      <c r="F7" s="6">
        <f>IFERROR(__xludf.DUMMYFUNCTION("""COMPUTED_VALUE"""),3939722.0)</f>
        <v>3939722</v>
      </c>
    </row>
    <row r="8">
      <c r="A8" s="7">
        <f>IFERROR(__xludf.DUMMYFUNCTION("""COMPUTED_VALUE"""),45443.64583333333)</f>
        <v>45443.64583</v>
      </c>
      <c r="B8" s="6">
        <f>IFERROR(__xludf.DUMMYFUNCTION("""COMPUTED_VALUE"""),1030.65)</f>
        <v>1030.65</v>
      </c>
      <c r="C8" s="6">
        <f>IFERROR(__xludf.DUMMYFUNCTION("""COMPUTED_VALUE"""),1055.0)</f>
        <v>1055</v>
      </c>
      <c r="D8" s="6">
        <f>IFERROR(__xludf.DUMMYFUNCTION("""COMPUTED_VALUE"""),981.2)</f>
        <v>981.2</v>
      </c>
      <c r="E8" s="6">
        <f>IFERROR(__xludf.DUMMYFUNCTION("""COMPUTED_VALUE"""),1023.4)</f>
        <v>1023.4</v>
      </c>
      <c r="F8" s="6">
        <f>IFERROR(__xludf.DUMMYFUNCTION("""COMPUTED_VALUE"""),2489303.0)</f>
        <v>2489303</v>
      </c>
    </row>
    <row r="9">
      <c r="A9" s="7">
        <f>IFERROR(__xludf.DUMMYFUNCTION("""COMPUTED_VALUE"""),45450.64583333333)</f>
        <v>45450.64583</v>
      </c>
      <c r="B9" s="6">
        <f>IFERROR(__xludf.DUMMYFUNCTION("""COMPUTED_VALUE"""),1075.0)</f>
        <v>1075</v>
      </c>
      <c r="C9" s="6">
        <f>IFERROR(__xludf.DUMMYFUNCTION("""COMPUTED_VALUE"""),1089.95)</f>
        <v>1089.95</v>
      </c>
      <c r="D9" s="6">
        <f>IFERROR(__xludf.DUMMYFUNCTION("""COMPUTED_VALUE"""),909.45)</f>
        <v>909.45</v>
      </c>
      <c r="E9" s="6">
        <f>IFERROR(__xludf.DUMMYFUNCTION("""COMPUTED_VALUE"""),1071.2)</f>
        <v>1071.2</v>
      </c>
      <c r="F9" s="6">
        <f>IFERROR(__xludf.DUMMYFUNCTION("""COMPUTED_VALUE"""),4679782.0)</f>
        <v>4679782</v>
      </c>
    </row>
    <row r="10">
      <c r="A10" s="7">
        <f>IFERROR(__xludf.DUMMYFUNCTION("""COMPUTED_VALUE"""),45457.64583333333)</f>
        <v>45457.64583</v>
      </c>
      <c r="B10" s="6">
        <f>IFERROR(__xludf.DUMMYFUNCTION("""COMPUTED_VALUE"""),1080.0)</f>
        <v>1080</v>
      </c>
      <c r="C10" s="6">
        <f>IFERROR(__xludf.DUMMYFUNCTION("""COMPUTED_VALUE"""),1119.0)</f>
        <v>1119</v>
      </c>
      <c r="D10" s="6">
        <f>IFERROR(__xludf.DUMMYFUNCTION("""COMPUTED_VALUE"""),1058.0)</f>
        <v>1058</v>
      </c>
      <c r="E10" s="6">
        <f>IFERROR(__xludf.DUMMYFUNCTION("""COMPUTED_VALUE"""),1077.3)</f>
        <v>1077.3</v>
      </c>
      <c r="F10" s="6">
        <f>IFERROR(__xludf.DUMMYFUNCTION("""COMPUTED_VALUE"""),2498851.0)</f>
        <v>2498851</v>
      </c>
    </row>
    <row r="11">
      <c r="A11" s="7">
        <f>IFERROR(__xludf.DUMMYFUNCTION("""COMPUTED_VALUE"""),45464.64583333333)</f>
        <v>45464.64583</v>
      </c>
      <c r="B11" s="6">
        <f>IFERROR(__xludf.DUMMYFUNCTION("""COMPUTED_VALUE"""),1083.0)</f>
        <v>1083</v>
      </c>
      <c r="C11" s="6">
        <f>IFERROR(__xludf.DUMMYFUNCTION("""COMPUTED_VALUE"""),1174.5)</f>
        <v>1174.5</v>
      </c>
      <c r="D11" s="6">
        <f>IFERROR(__xludf.DUMMYFUNCTION("""COMPUTED_VALUE"""),1081.5)</f>
        <v>1081.5</v>
      </c>
      <c r="E11" s="6">
        <f>IFERROR(__xludf.DUMMYFUNCTION("""COMPUTED_VALUE"""),1118.3)</f>
        <v>1118.3</v>
      </c>
      <c r="F11" s="6">
        <f>IFERROR(__xludf.DUMMYFUNCTION("""COMPUTED_VALUE"""),2801400.0)</f>
        <v>2801400</v>
      </c>
    </row>
    <row r="12">
      <c r="A12" s="7">
        <f>IFERROR(__xludf.DUMMYFUNCTION("""COMPUTED_VALUE"""),45471.64583333333)</f>
        <v>45471.64583</v>
      </c>
      <c r="B12" s="6">
        <f>IFERROR(__xludf.DUMMYFUNCTION("""COMPUTED_VALUE"""),1113.0)</f>
        <v>1113</v>
      </c>
      <c r="C12" s="6">
        <f>IFERROR(__xludf.DUMMYFUNCTION("""COMPUTED_VALUE"""),1368.6)</f>
        <v>1368.6</v>
      </c>
      <c r="D12" s="6">
        <f>IFERROR(__xludf.DUMMYFUNCTION("""COMPUTED_VALUE"""),1091.0)</f>
        <v>1091</v>
      </c>
      <c r="E12" s="6">
        <f>IFERROR(__xludf.DUMMYFUNCTION("""COMPUTED_VALUE"""),1116.85)</f>
        <v>1116.85</v>
      </c>
      <c r="F12" s="6">
        <f>IFERROR(__xludf.DUMMYFUNCTION("""COMPUTED_VALUE"""),1.0151029E7)</f>
        <v>10151029</v>
      </c>
    </row>
    <row r="13">
      <c r="A13" s="7">
        <f>IFERROR(__xludf.DUMMYFUNCTION("""COMPUTED_VALUE"""),45478.64583333333)</f>
        <v>45478.64583</v>
      </c>
      <c r="B13" s="6">
        <f>IFERROR(__xludf.DUMMYFUNCTION("""COMPUTED_VALUE"""),1126.0)</f>
        <v>1126</v>
      </c>
      <c r="C13" s="6">
        <f>IFERROR(__xludf.DUMMYFUNCTION("""COMPUTED_VALUE"""),1133.8)</f>
        <v>1133.8</v>
      </c>
      <c r="D13" s="6">
        <f>IFERROR(__xludf.DUMMYFUNCTION("""COMPUTED_VALUE"""),1060.25)</f>
        <v>1060.25</v>
      </c>
      <c r="E13" s="6">
        <f>IFERROR(__xludf.DUMMYFUNCTION("""COMPUTED_VALUE"""),1095.2)</f>
        <v>1095.2</v>
      </c>
      <c r="F13" s="6">
        <f>IFERROR(__xludf.DUMMYFUNCTION("""COMPUTED_VALUE"""),3986952.0)</f>
        <v>3986952</v>
      </c>
    </row>
    <row r="14">
      <c r="A14" s="7">
        <f>IFERROR(__xludf.DUMMYFUNCTION("""COMPUTED_VALUE"""),45485.64583333333)</f>
        <v>45485.64583</v>
      </c>
      <c r="B14" s="6">
        <f>IFERROR(__xludf.DUMMYFUNCTION("""COMPUTED_VALUE"""),1100.0)</f>
        <v>1100</v>
      </c>
      <c r="C14" s="6">
        <f>IFERROR(__xludf.DUMMYFUNCTION("""COMPUTED_VALUE"""),1102.95)</f>
        <v>1102.95</v>
      </c>
      <c r="D14" s="6">
        <f>IFERROR(__xludf.DUMMYFUNCTION("""COMPUTED_VALUE"""),1030.0)</f>
        <v>1030</v>
      </c>
      <c r="E14" s="6">
        <f>IFERROR(__xludf.DUMMYFUNCTION("""COMPUTED_VALUE"""),1090.65)</f>
        <v>1090.65</v>
      </c>
      <c r="F14" s="6">
        <f>IFERROR(__xludf.DUMMYFUNCTION("""COMPUTED_VALUE"""),4034783.0)</f>
        <v>4034783</v>
      </c>
    </row>
    <row r="15">
      <c r="A15" s="7">
        <f>IFERROR(__xludf.DUMMYFUNCTION("""COMPUTED_VALUE"""),45492.64583333333)</f>
        <v>45492.64583</v>
      </c>
      <c r="B15" s="6">
        <f>IFERROR(__xludf.DUMMYFUNCTION("""COMPUTED_VALUE"""),1091.0)</f>
        <v>1091</v>
      </c>
      <c r="C15" s="6">
        <f>IFERROR(__xludf.DUMMYFUNCTION("""COMPUTED_VALUE"""),1180.0)</f>
        <v>1180</v>
      </c>
      <c r="D15" s="6">
        <f>IFERROR(__xludf.DUMMYFUNCTION("""COMPUTED_VALUE"""),1062.05)</f>
        <v>1062.05</v>
      </c>
      <c r="E15" s="6">
        <f>IFERROR(__xludf.DUMMYFUNCTION("""COMPUTED_VALUE"""),1138.65)</f>
        <v>1138.65</v>
      </c>
      <c r="F15" s="6">
        <f>IFERROR(__xludf.DUMMYFUNCTION("""COMPUTED_VALUE"""),6678517.0)</f>
        <v>6678517</v>
      </c>
    </row>
    <row r="16">
      <c r="A16" s="7">
        <f>IFERROR(__xludf.DUMMYFUNCTION("""COMPUTED_VALUE"""),45499.64583333333)</f>
        <v>45499.64583</v>
      </c>
      <c r="B16" s="6">
        <f>IFERROR(__xludf.DUMMYFUNCTION("""COMPUTED_VALUE"""),1121.05)</f>
        <v>1121.05</v>
      </c>
      <c r="C16" s="6">
        <f>IFERROR(__xludf.DUMMYFUNCTION("""COMPUTED_VALUE"""),1176.95)</f>
        <v>1176.95</v>
      </c>
      <c r="D16" s="6">
        <f>IFERROR(__xludf.DUMMYFUNCTION("""COMPUTED_VALUE"""),1083.35)</f>
        <v>1083.35</v>
      </c>
      <c r="E16" s="6">
        <f>IFERROR(__xludf.DUMMYFUNCTION("""COMPUTED_VALUE"""),1169.5)</f>
        <v>1169.5</v>
      </c>
      <c r="F16" s="6">
        <f>IFERROR(__xludf.DUMMYFUNCTION("""COMPUTED_VALUE"""),2518029.0)</f>
        <v>2518029</v>
      </c>
    </row>
    <row r="17">
      <c r="A17" s="7">
        <f>IFERROR(__xludf.DUMMYFUNCTION("""COMPUTED_VALUE"""),45506.64583333333)</f>
        <v>45506.64583</v>
      </c>
      <c r="B17" s="6">
        <f>IFERROR(__xludf.DUMMYFUNCTION("""COMPUTED_VALUE"""),1173.95)</f>
        <v>1173.95</v>
      </c>
      <c r="C17" s="6">
        <f>IFERROR(__xludf.DUMMYFUNCTION("""COMPUTED_VALUE"""),1203.7)</f>
        <v>1203.7</v>
      </c>
      <c r="D17" s="6">
        <f>IFERROR(__xludf.DUMMYFUNCTION("""COMPUTED_VALUE"""),1130.1)</f>
        <v>1130.1</v>
      </c>
      <c r="E17" s="6">
        <f>IFERROR(__xludf.DUMMYFUNCTION("""COMPUTED_VALUE"""),1148.35)</f>
        <v>1148.35</v>
      </c>
      <c r="F17" s="6">
        <f>IFERROR(__xludf.DUMMYFUNCTION("""COMPUTED_VALUE"""),1835589.0)</f>
        <v>1835589</v>
      </c>
    </row>
    <row r="18">
      <c r="A18" s="7">
        <f>IFERROR(__xludf.DUMMYFUNCTION("""COMPUTED_VALUE"""),45513.64583333333)</f>
        <v>45513.64583</v>
      </c>
      <c r="B18" s="6">
        <f>IFERROR(__xludf.DUMMYFUNCTION("""COMPUTED_VALUE"""),1133.05)</f>
        <v>1133.05</v>
      </c>
      <c r="C18" s="6">
        <f>IFERROR(__xludf.DUMMYFUNCTION("""COMPUTED_VALUE"""),1150.0)</f>
        <v>1150</v>
      </c>
      <c r="D18" s="6">
        <f>IFERROR(__xludf.DUMMYFUNCTION("""COMPUTED_VALUE"""),1057.95)</f>
        <v>1057.95</v>
      </c>
      <c r="E18" s="6">
        <f>IFERROR(__xludf.DUMMYFUNCTION("""COMPUTED_VALUE"""),1131.65)</f>
        <v>1131.65</v>
      </c>
      <c r="F18" s="6">
        <f>IFERROR(__xludf.DUMMYFUNCTION("""COMPUTED_VALUE"""),2329947.0)</f>
        <v>2329947</v>
      </c>
    </row>
    <row r="19">
      <c r="A19" s="7">
        <f>IFERROR(__xludf.DUMMYFUNCTION("""COMPUTED_VALUE"""),45520.64583333333)</f>
        <v>45520.64583</v>
      </c>
      <c r="B19" s="6">
        <f>IFERROR(__xludf.DUMMYFUNCTION("""COMPUTED_VALUE"""),1128.25)</f>
        <v>1128.25</v>
      </c>
      <c r="C19" s="6">
        <f>IFERROR(__xludf.DUMMYFUNCTION("""COMPUTED_VALUE"""),1175.0)</f>
        <v>1175</v>
      </c>
      <c r="D19" s="6">
        <f>IFERROR(__xludf.DUMMYFUNCTION("""COMPUTED_VALUE"""),1101.0)</f>
        <v>1101</v>
      </c>
      <c r="E19" s="6">
        <f>IFERROR(__xludf.DUMMYFUNCTION("""COMPUTED_VALUE"""),1148.0)</f>
        <v>1148</v>
      </c>
      <c r="F19" s="6">
        <f>IFERROR(__xludf.DUMMYFUNCTION("""COMPUTED_VALUE"""),1039262.0)</f>
        <v>1039262</v>
      </c>
    </row>
    <row r="20">
      <c r="A20" s="7">
        <f>IFERROR(__xludf.DUMMYFUNCTION("""COMPUTED_VALUE"""),45527.64583333333)</f>
        <v>45527.64583</v>
      </c>
      <c r="B20" s="6">
        <f>IFERROR(__xludf.DUMMYFUNCTION("""COMPUTED_VALUE"""),1150.0)</f>
        <v>1150</v>
      </c>
      <c r="C20" s="6">
        <f>IFERROR(__xludf.DUMMYFUNCTION("""COMPUTED_VALUE"""),1159.8)</f>
        <v>1159.8</v>
      </c>
      <c r="D20" s="6">
        <f>IFERROR(__xludf.DUMMYFUNCTION("""COMPUTED_VALUE"""),1114.0)</f>
        <v>1114</v>
      </c>
      <c r="E20" s="6">
        <f>IFERROR(__xludf.DUMMYFUNCTION("""COMPUTED_VALUE"""),1142.75)</f>
        <v>1142.75</v>
      </c>
      <c r="F20" s="6">
        <f>IFERROR(__xludf.DUMMYFUNCTION("""COMPUTED_VALUE"""),1727264.0)</f>
        <v>1727264</v>
      </c>
    </row>
    <row r="21">
      <c r="A21" s="7">
        <f>IFERROR(__xludf.DUMMYFUNCTION("""COMPUTED_VALUE"""),45534.64583333333)</f>
        <v>45534.64583</v>
      </c>
      <c r="B21" s="6">
        <f>IFERROR(__xludf.DUMMYFUNCTION("""COMPUTED_VALUE"""),1144.05)</f>
        <v>1144.05</v>
      </c>
      <c r="C21" s="6">
        <f>IFERROR(__xludf.DUMMYFUNCTION("""COMPUTED_VALUE"""),1259.85)</f>
        <v>1259.85</v>
      </c>
      <c r="D21" s="6">
        <f>IFERROR(__xludf.DUMMYFUNCTION("""COMPUTED_VALUE"""),1144.05)</f>
        <v>1144.05</v>
      </c>
      <c r="E21" s="6">
        <f>IFERROR(__xludf.DUMMYFUNCTION("""COMPUTED_VALUE"""),1252.05)</f>
        <v>1252.05</v>
      </c>
      <c r="F21" s="6">
        <f>IFERROR(__xludf.DUMMYFUNCTION("""COMPUTED_VALUE"""),2033570.0)</f>
        <v>2033570</v>
      </c>
    </row>
    <row r="22">
      <c r="A22" s="7">
        <f>IFERROR(__xludf.DUMMYFUNCTION("""COMPUTED_VALUE"""),45541.64583333333)</f>
        <v>45541.64583</v>
      </c>
      <c r="B22" s="6">
        <f>IFERROR(__xludf.DUMMYFUNCTION("""COMPUTED_VALUE"""),1267.95)</f>
        <v>1267.95</v>
      </c>
      <c r="C22" s="6">
        <f>IFERROR(__xludf.DUMMYFUNCTION("""COMPUTED_VALUE"""),1268.65)</f>
        <v>1268.65</v>
      </c>
      <c r="D22" s="6">
        <f>IFERROR(__xludf.DUMMYFUNCTION("""COMPUTED_VALUE"""),1175.4)</f>
        <v>1175.4</v>
      </c>
      <c r="E22" s="6">
        <f>IFERROR(__xludf.DUMMYFUNCTION("""COMPUTED_VALUE"""),1199.15)</f>
        <v>1199.15</v>
      </c>
      <c r="F22" s="6">
        <f>IFERROR(__xludf.DUMMYFUNCTION("""COMPUTED_VALUE"""),978283.0)</f>
        <v>978283</v>
      </c>
    </row>
    <row r="23">
      <c r="A23" s="7">
        <f>IFERROR(__xludf.DUMMYFUNCTION("""COMPUTED_VALUE"""),45548.64583333333)</f>
        <v>45548.64583</v>
      </c>
      <c r="B23" s="6">
        <f>IFERROR(__xludf.DUMMYFUNCTION("""COMPUTED_VALUE"""),1182.1)</f>
        <v>1182.1</v>
      </c>
      <c r="C23" s="6">
        <f>IFERROR(__xludf.DUMMYFUNCTION("""COMPUTED_VALUE"""),1453.95)</f>
        <v>1453.95</v>
      </c>
      <c r="D23" s="6">
        <f>IFERROR(__xludf.DUMMYFUNCTION("""COMPUTED_VALUE"""),1170.0)</f>
        <v>1170</v>
      </c>
      <c r="E23" s="6">
        <f>IFERROR(__xludf.DUMMYFUNCTION("""COMPUTED_VALUE"""),1360.65)</f>
        <v>1360.65</v>
      </c>
      <c r="F23" s="6">
        <f>IFERROR(__xludf.DUMMYFUNCTION("""COMPUTED_VALUE"""),4362328.0)</f>
        <v>4362328</v>
      </c>
    </row>
    <row r="24">
      <c r="A24" s="7">
        <f>IFERROR(__xludf.DUMMYFUNCTION("""COMPUTED_VALUE"""),45555.64583333333)</f>
        <v>45555.64583</v>
      </c>
      <c r="B24" s="6">
        <f>IFERROR(__xludf.DUMMYFUNCTION("""COMPUTED_VALUE"""),1380.0)</f>
        <v>1380</v>
      </c>
      <c r="C24" s="6">
        <f>IFERROR(__xludf.DUMMYFUNCTION("""COMPUTED_VALUE"""),1470.0)</f>
        <v>1470</v>
      </c>
      <c r="D24" s="6">
        <f>IFERROR(__xludf.DUMMYFUNCTION("""COMPUTED_VALUE"""),1324.8)</f>
        <v>1324.8</v>
      </c>
      <c r="E24" s="6">
        <f>IFERROR(__xludf.DUMMYFUNCTION("""COMPUTED_VALUE"""),1446.95)</f>
        <v>1446.95</v>
      </c>
      <c r="F24" s="6">
        <f>IFERROR(__xludf.DUMMYFUNCTION("""COMPUTED_VALUE"""),2163500.0)</f>
        <v>2163500</v>
      </c>
    </row>
    <row r="25">
      <c r="A25" s="7">
        <f>IFERROR(__xludf.DUMMYFUNCTION("""COMPUTED_VALUE"""),45562.64583333333)</f>
        <v>45562.64583</v>
      </c>
      <c r="B25" s="6">
        <f>IFERROR(__xludf.DUMMYFUNCTION("""COMPUTED_VALUE"""),1439.05)</f>
        <v>1439.05</v>
      </c>
      <c r="C25" s="6">
        <f>IFERROR(__xludf.DUMMYFUNCTION("""COMPUTED_VALUE"""),1568.0)</f>
        <v>1568</v>
      </c>
      <c r="D25" s="6">
        <f>IFERROR(__xludf.DUMMYFUNCTION("""COMPUTED_VALUE"""),1359.65)</f>
        <v>1359.65</v>
      </c>
      <c r="E25" s="6">
        <f>IFERROR(__xludf.DUMMYFUNCTION("""COMPUTED_VALUE"""),1504.1)</f>
        <v>1504.1</v>
      </c>
      <c r="F25" s="6">
        <f>IFERROR(__xludf.DUMMYFUNCTION("""COMPUTED_VALUE"""),2800667.0)</f>
        <v>2800667</v>
      </c>
    </row>
    <row r="26">
      <c r="A26" s="7">
        <f>IFERROR(__xludf.DUMMYFUNCTION("""COMPUTED_VALUE"""),45569.64583333333)</f>
        <v>45569.64583</v>
      </c>
      <c r="B26" s="6">
        <f>IFERROR(__xludf.DUMMYFUNCTION("""COMPUTED_VALUE"""),1477.7)</f>
        <v>1477.7</v>
      </c>
      <c r="C26" s="6">
        <f>IFERROR(__xludf.DUMMYFUNCTION("""COMPUTED_VALUE"""),1482.65)</f>
        <v>1482.65</v>
      </c>
      <c r="D26" s="6">
        <f>IFERROR(__xludf.DUMMYFUNCTION("""COMPUTED_VALUE"""),1348.25)</f>
        <v>1348.25</v>
      </c>
      <c r="E26" s="6">
        <f>IFERROR(__xludf.DUMMYFUNCTION("""COMPUTED_VALUE"""),1407.0)</f>
        <v>1407</v>
      </c>
      <c r="F26" s="6">
        <f>IFERROR(__xludf.DUMMYFUNCTION("""COMPUTED_VALUE"""),2468769.0)</f>
        <v>2468769</v>
      </c>
    </row>
    <row r="27">
      <c r="A27" s="7">
        <f>IFERROR(__xludf.DUMMYFUNCTION("""COMPUTED_VALUE"""),45576.64583333333)</f>
        <v>45576.64583</v>
      </c>
      <c r="B27" s="6">
        <f>IFERROR(__xludf.DUMMYFUNCTION("""COMPUTED_VALUE"""),1418.0)</f>
        <v>1418</v>
      </c>
      <c r="C27" s="6">
        <f>IFERROR(__xludf.DUMMYFUNCTION("""COMPUTED_VALUE"""),1496.0)</f>
        <v>1496</v>
      </c>
      <c r="D27" s="6">
        <f>IFERROR(__xludf.DUMMYFUNCTION("""COMPUTED_VALUE"""),1360.1)</f>
        <v>1360.1</v>
      </c>
      <c r="E27" s="6">
        <f>IFERROR(__xludf.DUMMYFUNCTION("""COMPUTED_VALUE"""),1445.4)</f>
        <v>1445.4</v>
      </c>
      <c r="F27" s="6">
        <f>IFERROR(__xludf.DUMMYFUNCTION("""COMPUTED_VALUE"""),2452787.0)</f>
        <v>2452787</v>
      </c>
    </row>
    <row r="28">
      <c r="A28" s="7">
        <f>IFERROR(__xludf.DUMMYFUNCTION("""COMPUTED_VALUE"""),45583.64583333333)</f>
        <v>45583.64583</v>
      </c>
      <c r="B28" s="6">
        <f>IFERROR(__xludf.DUMMYFUNCTION("""COMPUTED_VALUE"""),1454.0)</f>
        <v>1454</v>
      </c>
      <c r="C28" s="6">
        <f>IFERROR(__xludf.DUMMYFUNCTION("""COMPUTED_VALUE"""),1559.85)</f>
        <v>1559.85</v>
      </c>
      <c r="D28" s="6">
        <f>IFERROR(__xludf.DUMMYFUNCTION("""COMPUTED_VALUE"""),1410.1)</f>
        <v>1410.1</v>
      </c>
      <c r="E28" s="6">
        <f>IFERROR(__xludf.DUMMYFUNCTION("""COMPUTED_VALUE"""),1506.6)</f>
        <v>1506.6</v>
      </c>
      <c r="F28" s="6">
        <f>IFERROR(__xludf.DUMMYFUNCTION("""COMPUTED_VALUE"""),2909588.0)</f>
        <v>2909588</v>
      </c>
    </row>
    <row r="29">
      <c r="A29" s="7">
        <f>IFERROR(__xludf.DUMMYFUNCTION("""COMPUTED_VALUE"""),45590.64583333333)</f>
        <v>45590.64583</v>
      </c>
      <c r="B29" s="6">
        <f>IFERROR(__xludf.DUMMYFUNCTION("""COMPUTED_VALUE"""),1500.0)</f>
        <v>1500</v>
      </c>
      <c r="C29" s="6">
        <f>IFERROR(__xludf.DUMMYFUNCTION("""COMPUTED_VALUE"""),1522.0)</f>
        <v>1522</v>
      </c>
      <c r="D29" s="6">
        <f>IFERROR(__xludf.DUMMYFUNCTION("""COMPUTED_VALUE"""),1404.95)</f>
        <v>1404.95</v>
      </c>
      <c r="E29" s="6">
        <f>IFERROR(__xludf.DUMMYFUNCTION("""COMPUTED_VALUE"""),1426.15)</f>
        <v>1426.15</v>
      </c>
      <c r="F29" s="6">
        <f>IFERROR(__xludf.DUMMYFUNCTION("""COMPUTED_VALUE"""),1771498.0)</f>
        <v>1771498</v>
      </c>
    </row>
    <row r="30">
      <c r="A30" s="7">
        <f>IFERROR(__xludf.DUMMYFUNCTION("""COMPUTED_VALUE"""),45604.64583333333)</f>
        <v>45604.64583</v>
      </c>
      <c r="B30" s="6">
        <f>IFERROR(__xludf.DUMMYFUNCTION("""COMPUTED_VALUE"""),1422.1)</f>
        <v>1422.1</v>
      </c>
      <c r="C30" s="6">
        <f>IFERROR(__xludf.DUMMYFUNCTION("""COMPUTED_VALUE"""),1474.0)</f>
        <v>1474</v>
      </c>
      <c r="D30" s="6">
        <f>IFERROR(__xludf.DUMMYFUNCTION("""COMPUTED_VALUE"""),1356.0)</f>
        <v>1356</v>
      </c>
      <c r="E30" s="6">
        <f>IFERROR(__xludf.DUMMYFUNCTION("""COMPUTED_VALUE"""),1379.35)</f>
        <v>1379.35</v>
      </c>
      <c r="F30" s="6">
        <f>IFERROR(__xludf.DUMMYFUNCTION("""COMPUTED_VALUE"""),1834873.0)</f>
        <v>1834873</v>
      </c>
    </row>
    <row r="31">
      <c r="A31" s="7">
        <f>IFERROR(__xludf.DUMMYFUNCTION("""COMPUTED_VALUE"""),45610.64583333333)</f>
        <v>45610.64583</v>
      </c>
      <c r="B31" s="6">
        <f>IFERROR(__xludf.DUMMYFUNCTION("""COMPUTED_VALUE"""),1386.35)</f>
        <v>1386.35</v>
      </c>
      <c r="C31" s="6">
        <f>IFERROR(__xludf.DUMMYFUNCTION("""COMPUTED_VALUE"""),1443.5)</f>
        <v>1443.5</v>
      </c>
      <c r="D31" s="6">
        <f>IFERROR(__xludf.DUMMYFUNCTION("""COMPUTED_VALUE"""),1355.8)</f>
        <v>1355.8</v>
      </c>
      <c r="E31" s="6">
        <f>IFERROR(__xludf.DUMMYFUNCTION("""COMPUTED_VALUE"""),1421.8)</f>
        <v>1421.8</v>
      </c>
      <c r="F31" s="6">
        <f>IFERROR(__xludf.DUMMYFUNCTION("""COMPUTED_VALUE"""),3339400.0)</f>
        <v>3339400</v>
      </c>
    </row>
    <row r="32">
      <c r="A32" s="7">
        <f>IFERROR(__xludf.DUMMYFUNCTION("""COMPUTED_VALUE"""),45618.64583333333)</f>
        <v>45618.64583</v>
      </c>
      <c r="B32" s="6">
        <f>IFERROR(__xludf.DUMMYFUNCTION("""COMPUTED_VALUE"""),1424.2)</f>
        <v>1424.2</v>
      </c>
      <c r="C32" s="6">
        <f>IFERROR(__xludf.DUMMYFUNCTION("""COMPUTED_VALUE"""),1424.2)</f>
        <v>1424.2</v>
      </c>
      <c r="D32" s="6">
        <f>IFERROR(__xludf.DUMMYFUNCTION("""COMPUTED_VALUE"""),1305.8)</f>
        <v>1305.8</v>
      </c>
      <c r="E32" s="6">
        <f>IFERROR(__xludf.DUMMYFUNCTION("""COMPUTED_VALUE"""),1329.25)</f>
        <v>1329.25</v>
      </c>
      <c r="F32" s="6">
        <f>IFERROR(__xludf.DUMMYFUNCTION("""COMPUTED_VALUE"""),1438248.0)</f>
        <v>1438248</v>
      </c>
    </row>
    <row r="33">
      <c r="A33" s="7">
        <f>IFERROR(__xludf.DUMMYFUNCTION("""COMPUTED_VALUE"""),45625.64583333333)</f>
        <v>45625.64583</v>
      </c>
      <c r="B33" s="6">
        <f>IFERROR(__xludf.DUMMYFUNCTION("""COMPUTED_VALUE"""),1343.15)</f>
        <v>1343.15</v>
      </c>
      <c r="C33" s="6">
        <f>IFERROR(__xludf.DUMMYFUNCTION("""COMPUTED_VALUE"""),1397.0)</f>
        <v>1397</v>
      </c>
      <c r="D33" s="6">
        <f>IFERROR(__xludf.DUMMYFUNCTION("""COMPUTED_VALUE"""),1285.0)</f>
        <v>1285</v>
      </c>
      <c r="E33" s="6">
        <f>IFERROR(__xludf.DUMMYFUNCTION("""COMPUTED_VALUE"""),1376.2)</f>
        <v>1376.2</v>
      </c>
      <c r="F33" s="6">
        <f>IFERROR(__xludf.DUMMYFUNCTION("""COMPUTED_VALUE"""),4298354.0)</f>
        <v>4298354</v>
      </c>
    </row>
    <row r="34">
      <c r="A34" s="7">
        <f>IFERROR(__xludf.DUMMYFUNCTION("""COMPUTED_VALUE"""),45632.64583333333)</f>
        <v>45632.64583</v>
      </c>
      <c r="B34" s="6">
        <f>IFERROR(__xludf.DUMMYFUNCTION("""COMPUTED_VALUE"""),1388.7)</f>
        <v>1388.7</v>
      </c>
      <c r="C34" s="6">
        <f>IFERROR(__xludf.DUMMYFUNCTION("""COMPUTED_VALUE"""),1435.95)</f>
        <v>1435.95</v>
      </c>
      <c r="D34" s="6">
        <f>IFERROR(__xludf.DUMMYFUNCTION("""COMPUTED_VALUE"""),1358.5)</f>
        <v>1358.5</v>
      </c>
      <c r="E34" s="6">
        <f>IFERROR(__xludf.DUMMYFUNCTION("""COMPUTED_VALUE"""),1420.8)</f>
        <v>1420.8</v>
      </c>
      <c r="F34" s="6">
        <f>IFERROR(__xludf.DUMMYFUNCTION("""COMPUTED_VALUE"""),1343095.0)</f>
        <v>1343095</v>
      </c>
    </row>
    <row r="35">
      <c r="A35" s="7">
        <f>IFERROR(__xludf.DUMMYFUNCTION("""COMPUTED_VALUE"""),45639.64583333333)</f>
        <v>45639.64583</v>
      </c>
      <c r="B35" s="6">
        <f>IFERROR(__xludf.DUMMYFUNCTION("""COMPUTED_VALUE"""),1427.75)</f>
        <v>1427.75</v>
      </c>
      <c r="C35" s="6">
        <f>IFERROR(__xludf.DUMMYFUNCTION("""COMPUTED_VALUE"""),1510.0)</f>
        <v>1510</v>
      </c>
      <c r="D35" s="6">
        <f>IFERROR(__xludf.DUMMYFUNCTION("""COMPUTED_VALUE"""),1388.25)</f>
        <v>1388.25</v>
      </c>
      <c r="E35" s="6">
        <f>IFERROR(__xludf.DUMMYFUNCTION("""COMPUTED_VALUE"""),1484.45)</f>
        <v>1484.45</v>
      </c>
      <c r="F35" s="6">
        <f>IFERROR(__xludf.DUMMYFUNCTION("""COMPUTED_VALUE"""),1808430.0)</f>
        <v>1808430</v>
      </c>
    </row>
    <row r="36">
      <c r="A36" s="7">
        <f>IFERROR(__xludf.DUMMYFUNCTION("""COMPUTED_VALUE"""),45646.64583333333)</f>
        <v>45646.64583</v>
      </c>
      <c r="B36" s="6">
        <f>IFERROR(__xludf.DUMMYFUNCTION("""COMPUTED_VALUE"""),1495.8)</f>
        <v>1495.8</v>
      </c>
      <c r="C36" s="6">
        <f>IFERROR(__xludf.DUMMYFUNCTION("""COMPUTED_VALUE"""),1609.3)</f>
        <v>1609.3</v>
      </c>
      <c r="D36" s="6">
        <f>IFERROR(__xludf.DUMMYFUNCTION("""COMPUTED_VALUE"""),1428.85)</f>
        <v>1428.85</v>
      </c>
      <c r="E36" s="6">
        <f>IFERROR(__xludf.DUMMYFUNCTION("""COMPUTED_VALUE"""),1503.6)</f>
        <v>1503.6</v>
      </c>
      <c r="F36" s="6">
        <f>IFERROR(__xludf.DUMMYFUNCTION("""COMPUTED_VALUE"""),1.1984371E7)</f>
        <v>11984371</v>
      </c>
    </row>
    <row r="37">
      <c r="A37" s="7">
        <f>IFERROR(__xludf.DUMMYFUNCTION("""COMPUTED_VALUE"""),45653.64583333333)</f>
        <v>45653.64583</v>
      </c>
      <c r="B37" s="6">
        <f>IFERROR(__xludf.DUMMYFUNCTION("""COMPUTED_VALUE"""),1514.0)</f>
        <v>1514</v>
      </c>
      <c r="C37" s="6">
        <f>IFERROR(__xludf.DUMMYFUNCTION("""COMPUTED_VALUE"""),1521.75)</f>
        <v>1521.75</v>
      </c>
      <c r="D37" s="6">
        <f>IFERROR(__xludf.DUMMYFUNCTION("""COMPUTED_VALUE"""),1445.0)</f>
        <v>1445</v>
      </c>
      <c r="E37" s="6">
        <f>IFERROR(__xludf.DUMMYFUNCTION("""COMPUTED_VALUE"""),1461.35)</f>
        <v>1461.35</v>
      </c>
      <c r="F37" s="6">
        <f>IFERROR(__xludf.DUMMYFUNCTION("""COMPUTED_VALUE"""),925315.0)</f>
        <v>925315</v>
      </c>
    </row>
    <row r="38">
      <c r="A38" s="7">
        <f>IFERROR(__xludf.DUMMYFUNCTION("""COMPUTED_VALUE"""),45660.64583333333)</f>
        <v>45660.64583</v>
      </c>
      <c r="B38" s="6">
        <f>IFERROR(__xludf.DUMMYFUNCTION("""COMPUTED_VALUE"""),1472.05)</f>
        <v>1472.05</v>
      </c>
      <c r="C38" s="6">
        <f>IFERROR(__xludf.DUMMYFUNCTION("""COMPUTED_VALUE"""),1562.7)</f>
        <v>1562.7</v>
      </c>
      <c r="D38" s="6">
        <f>IFERROR(__xludf.DUMMYFUNCTION("""COMPUTED_VALUE"""),1444.05)</f>
        <v>1444.05</v>
      </c>
      <c r="E38" s="6">
        <f>IFERROR(__xludf.DUMMYFUNCTION("""COMPUTED_VALUE"""),1494.7)</f>
        <v>1494.7</v>
      </c>
      <c r="F38" s="6">
        <f>IFERROR(__xludf.DUMMYFUNCTION("""COMPUTED_VALUE"""),1515661.0)</f>
        <v>1515661</v>
      </c>
    </row>
    <row r="39">
      <c r="A39" s="7">
        <f>IFERROR(__xludf.DUMMYFUNCTION("""COMPUTED_VALUE"""),45667.64583333333)</f>
        <v>45667.64583</v>
      </c>
      <c r="B39" s="6">
        <f>IFERROR(__xludf.DUMMYFUNCTION("""COMPUTED_VALUE"""),1465.0)</f>
        <v>1465</v>
      </c>
      <c r="C39" s="6">
        <f>IFERROR(__xludf.DUMMYFUNCTION("""COMPUTED_VALUE"""),1504.2)</f>
        <v>1504.2</v>
      </c>
      <c r="D39" s="6">
        <f>IFERROR(__xludf.DUMMYFUNCTION("""COMPUTED_VALUE"""),1433.45)</f>
        <v>1433.45</v>
      </c>
      <c r="E39" s="6">
        <f>IFERROR(__xludf.DUMMYFUNCTION("""COMPUTED_VALUE"""),1452.75)</f>
        <v>1452.75</v>
      </c>
      <c r="F39" s="6">
        <f>IFERROR(__xludf.DUMMYFUNCTION("""COMPUTED_VALUE"""),1077902.0)</f>
        <v>1077902</v>
      </c>
    </row>
    <row r="40">
      <c r="A40" s="7">
        <f>IFERROR(__xludf.DUMMYFUNCTION("""COMPUTED_VALUE"""),45674.64583333333)</f>
        <v>45674.64583</v>
      </c>
      <c r="B40" s="6">
        <f>IFERROR(__xludf.DUMMYFUNCTION("""COMPUTED_VALUE"""),1405.75)</f>
        <v>1405.75</v>
      </c>
      <c r="C40" s="6">
        <f>IFERROR(__xludf.DUMMYFUNCTION("""COMPUTED_VALUE"""),1441.85)</f>
        <v>1441.85</v>
      </c>
      <c r="D40" s="6">
        <f>IFERROR(__xludf.DUMMYFUNCTION("""COMPUTED_VALUE"""),1320.55)</f>
        <v>1320.55</v>
      </c>
      <c r="E40" s="6">
        <f>IFERROR(__xludf.DUMMYFUNCTION("""COMPUTED_VALUE"""),1324.4)</f>
        <v>1324.4</v>
      </c>
      <c r="F40" s="6">
        <f>IFERROR(__xludf.DUMMYFUNCTION("""COMPUTED_VALUE"""),1133681.0)</f>
        <v>1133681</v>
      </c>
    </row>
    <row r="41">
      <c r="A41" s="7">
        <f>IFERROR(__xludf.DUMMYFUNCTION("""COMPUTED_VALUE"""),45681.64583333333)</f>
        <v>45681.64583</v>
      </c>
      <c r="B41" s="6">
        <f>IFERROR(__xludf.DUMMYFUNCTION("""COMPUTED_VALUE"""),1343.2)</f>
        <v>1343.2</v>
      </c>
      <c r="C41" s="6">
        <f>IFERROR(__xludf.DUMMYFUNCTION("""COMPUTED_VALUE"""),1365.55)</f>
        <v>1365.55</v>
      </c>
      <c r="D41" s="6">
        <f>IFERROR(__xludf.DUMMYFUNCTION("""COMPUTED_VALUE"""),1234.0)</f>
        <v>1234</v>
      </c>
      <c r="E41" s="6">
        <f>IFERROR(__xludf.DUMMYFUNCTION("""COMPUTED_VALUE"""),1314.4)</f>
        <v>1314.4</v>
      </c>
      <c r="F41" s="6">
        <f>IFERROR(__xludf.DUMMYFUNCTION("""COMPUTED_VALUE"""),3039750.0)</f>
        <v>3039750</v>
      </c>
    </row>
    <row r="42">
      <c r="A42" s="7">
        <f>IFERROR(__xludf.DUMMYFUNCTION("""COMPUTED_VALUE"""),45695.64583333333)</f>
        <v>45695.64583</v>
      </c>
      <c r="B42" s="6">
        <f>IFERROR(__xludf.DUMMYFUNCTION("""COMPUTED_VALUE"""),1360.1)</f>
        <v>1360.1</v>
      </c>
      <c r="C42" s="6">
        <f>IFERROR(__xludf.DUMMYFUNCTION("""COMPUTED_VALUE"""),1499.9)</f>
        <v>1499.9</v>
      </c>
      <c r="D42" s="6">
        <f>IFERROR(__xludf.DUMMYFUNCTION("""COMPUTED_VALUE"""),1290.05)</f>
        <v>1290.05</v>
      </c>
      <c r="E42" s="6">
        <f>IFERROR(__xludf.DUMMYFUNCTION("""COMPUTED_VALUE"""),1465.8)</f>
        <v>1465.8</v>
      </c>
      <c r="F42" s="6">
        <f>IFERROR(__xludf.DUMMYFUNCTION("""COMPUTED_VALUE"""),6850616.0)</f>
        <v>6850616</v>
      </c>
    </row>
    <row r="43">
      <c r="A43" s="7">
        <f>IFERROR(__xludf.DUMMYFUNCTION("""COMPUTED_VALUE"""),45702.64583333333)</f>
        <v>45702.64583</v>
      </c>
      <c r="B43" s="6">
        <f>IFERROR(__xludf.DUMMYFUNCTION("""COMPUTED_VALUE"""),1464.05)</f>
        <v>1464.05</v>
      </c>
      <c r="C43" s="6">
        <f>IFERROR(__xludf.DUMMYFUNCTION("""COMPUTED_VALUE"""),1475.0)</f>
        <v>1475</v>
      </c>
      <c r="D43" s="6">
        <f>IFERROR(__xludf.DUMMYFUNCTION("""COMPUTED_VALUE"""),1301.15)</f>
        <v>1301.15</v>
      </c>
      <c r="E43" s="6">
        <f>IFERROR(__xludf.DUMMYFUNCTION("""COMPUTED_VALUE"""),1365.55)</f>
        <v>1365.55</v>
      </c>
      <c r="F43" s="6">
        <f>IFERROR(__xludf.DUMMYFUNCTION("""COMPUTED_VALUE"""),3127298.0)</f>
        <v>3127298</v>
      </c>
    </row>
    <row r="44">
      <c r="A44" s="7">
        <f>IFERROR(__xludf.DUMMYFUNCTION("""COMPUTED_VALUE"""),45709.64583333333)</f>
        <v>45709.64583</v>
      </c>
      <c r="B44" s="6">
        <f>IFERROR(__xludf.DUMMYFUNCTION("""COMPUTED_VALUE"""),1341.9)</f>
        <v>1341.9</v>
      </c>
      <c r="C44" s="6">
        <f>IFERROR(__xludf.DUMMYFUNCTION("""COMPUTED_VALUE"""),1375.95)</f>
        <v>1375.95</v>
      </c>
      <c r="D44" s="6">
        <f>IFERROR(__xludf.DUMMYFUNCTION("""COMPUTED_VALUE"""),1288.0)</f>
        <v>1288</v>
      </c>
      <c r="E44" s="6">
        <f>IFERROR(__xludf.DUMMYFUNCTION("""COMPUTED_VALUE"""),1318.05)</f>
        <v>1318.05</v>
      </c>
      <c r="F44" s="6">
        <f>IFERROR(__xludf.DUMMYFUNCTION("""COMPUTED_VALUE"""),1361795.0)</f>
        <v>1361795</v>
      </c>
    </row>
    <row r="45">
      <c r="A45" s="7">
        <f>IFERROR(__xludf.DUMMYFUNCTION("""COMPUTED_VALUE"""),45716.64583333333)</f>
        <v>45716.64583</v>
      </c>
      <c r="B45" s="6">
        <f>IFERROR(__xludf.DUMMYFUNCTION("""COMPUTED_VALUE"""),1296.05)</f>
        <v>1296.05</v>
      </c>
      <c r="C45" s="6">
        <f>IFERROR(__xludf.DUMMYFUNCTION("""COMPUTED_VALUE"""),1328.85)</f>
        <v>1328.85</v>
      </c>
      <c r="D45" s="6">
        <f>IFERROR(__xludf.DUMMYFUNCTION("""COMPUTED_VALUE"""),1234.0)</f>
        <v>1234</v>
      </c>
      <c r="E45" s="6">
        <f>IFERROR(__xludf.DUMMYFUNCTION("""COMPUTED_VALUE"""),1304.4)</f>
        <v>1304.4</v>
      </c>
      <c r="F45" s="6">
        <f>IFERROR(__xludf.DUMMYFUNCTION("""COMPUTED_VALUE"""),4006230.0)</f>
        <v>4006230</v>
      </c>
    </row>
    <row r="46">
      <c r="A46" s="7">
        <f>IFERROR(__xludf.DUMMYFUNCTION("""COMPUTED_VALUE"""),45723.64583333333)</f>
        <v>45723.64583</v>
      </c>
      <c r="B46" s="6">
        <f>IFERROR(__xludf.DUMMYFUNCTION("""COMPUTED_VALUE"""),1285.05)</f>
        <v>1285.05</v>
      </c>
      <c r="C46" s="6">
        <f>IFERROR(__xludf.DUMMYFUNCTION("""COMPUTED_VALUE"""),1460.0)</f>
        <v>1460</v>
      </c>
      <c r="D46" s="6">
        <f>IFERROR(__xludf.DUMMYFUNCTION("""COMPUTED_VALUE"""),1257.9)</f>
        <v>1257.9</v>
      </c>
      <c r="E46" s="6">
        <f>IFERROR(__xludf.DUMMYFUNCTION("""COMPUTED_VALUE"""),1343.05)</f>
        <v>1343.05</v>
      </c>
      <c r="F46" s="6">
        <f>IFERROR(__xludf.DUMMYFUNCTION("""COMPUTED_VALUE"""),2413708.0)</f>
        <v>2413708</v>
      </c>
    </row>
    <row r="47">
      <c r="A47" s="7">
        <f>IFERROR(__xludf.DUMMYFUNCTION("""COMPUTED_VALUE"""),45729.64583333333)</f>
        <v>45729.64583</v>
      </c>
      <c r="B47" s="6">
        <f>IFERROR(__xludf.DUMMYFUNCTION("""COMPUTED_VALUE"""),1342.95)</f>
        <v>1342.95</v>
      </c>
      <c r="C47" s="6">
        <f>IFERROR(__xludf.DUMMYFUNCTION("""COMPUTED_VALUE"""),1492.4)</f>
        <v>1492.4</v>
      </c>
      <c r="D47" s="6">
        <f>IFERROR(__xludf.DUMMYFUNCTION("""COMPUTED_VALUE"""),1320.05)</f>
        <v>1320.05</v>
      </c>
      <c r="E47" s="6">
        <f>IFERROR(__xludf.DUMMYFUNCTION("""COMPUTED_VALUE"""),1353.7)</f>
        <v>1353.7</v>
      </c>
      <c r="F47" s="6">
        <f>IFERROR(__xludf.DUMMYFUNCTION("""COMPUTED_VALUE"""),2521851.0)</f>
        <v>2521851</v>
      </c>
    </row>
    <row r="48">
      <c r="A48" s="7">
        <f>IFERROR(__xludf.DUMMYFUNCTION("""COMPUTED_VALUE"""),45737.64583333333)</f>
        <v>45737.64583</v>
      </c>
      <c r="B48" s="6">
        <f>IFERROR(__xludf.DUMMYFUNCTION("""COMPUTED_VALUE"""),1350.0)</f>
        <v>1350</v>
      </c>
      <c r="C48" s="6">
        <f>IFERROR(__xludf.DUMMYFUNCTION("""COMPUTED_VALUE"""),1381.9)</f>
        <v>1381.9</v>
      </c>
      <c r="D48" s="6">
        <f>IFERROR(__xludf.DUMMYFUNCTION("""COMPUTED_VALUE"""),1309.3)</f>
        <v>1309.3</v>
      </c>
      <c r="E48" s="6">
        <f>IFERROR(__xludf.DUMMYFUNCTION("""COMPUTED_VALUE"""),1337.1)</f>
        <v>1337.1</v>
      </c>
      <c r="F48" s="6">
        <f>IFERROR(__xludf.DUMMYFUNCTION("""COMPUTED_VALUE"""),2425595.0)</f>
        <v>2425595</v>
      </c>
    </row>
    <row r="49">
      <c r="A49" s="7">
        <f>IFERROR(__xludf.DUMMYFUNCTION("""COMPUTED_VALUE"""),45744.64583333333)</f>
        <v>45744.64583</v>
      </c>
      <c r="B49" s="6">
        <f>IFERROR(__xludf.DUMMYFUNCTION("""COMPUTED_VALUE"""),1344.9)</f>
        <v>1344.9</v>
      </c>
      <c r="C49" s="6">
        <f>IFERROR(__xludf.DUMMYFUNCTION("""COMPUTED_VALUE"""),1509.0)</f>
        <v>1509</v>
      </c>
      <c r="D49" s="6">
        <f>IFERROR(__xludf.DUMMYFUNCTION("""COMPUTED_VALUE"""),1323.25)</f>
        <v>1323.25</v>
      </c>
      <c r="E49" s="6">
        <f>IFERROR(__xludf.DUMMYFUNCTION("""COMPUTED_VALUE"""),1463.8)</f>
        <v>1463.8</v>
      </c>
      <c r="F49" s="6">
        <f>IFERROR(__xludf.DUMMYFUNCTION("""COMPUTED_VALUE"""),3330981.0)</f>
        <v>3330981</v>
      </c>
    </row>
    <row r="50">
      <c r="A50" s="7">
        <f>IFERROR(__xludf.DUMMYFUNCTION("""COMPUTED_VALUE"""),45751.64583333333)</f>
        <v>45751.64583</v>
      </c>
      <c r="B50" s="6">
        <f>IFERROR(__xludf.DUMMYFUNCTION("""COMPUTED_VALUE"""),1463.8)</f>
        <v>1463.8</v>
      </c>
      <c r="C50" s="6">
        <f>IFERROR(__xludf.DUMMYFUNCTION("""COMPUTED_VALUE"""),1485.9)</f>
        <v>1485.9</v>
      </c>
      <c r="D50" s="6">
        <f>IFERROR(__xludf.DUMMYFUNCTION("""COMPUTED_VALUE"""),1433.55)</f>
        <v>1433.55</v>
      </c>
      <c r="E50" s="6">
        <f>IFERROR(__xludf.DUMMYFUNCTION("""COMPUTED_VALUE"""),1465.95)</f>
        <v>1465.95</v>
      </c>
      <c r="F50" s="6">
        <f>IFERROR(__xludf.DUMMYFUNCTION("""COMPUTED_VALUE"""),594171.0)</f>
        <v>594171</v>
      </c>
    </row>
    <row r="51">
      <c r="A51" s="7">
        <f>IFERROR(__xludf.DUMMYFUNCTION("""COMPUTED_VALUE"""),45758.64583333333)</f>
        <v>45758.64583</v>
      </c>
      <c r="B51" s="6">
        <f>IFERROR(__xludf.DUMMYFUNCTION("""COMPUTED_VALUE"""),1260.0)</f>
        <v>1260</v>
      </c>
      <c r="C51" s="6">
        <f>IFERROR(__xludf.DUMMYFUNCTION("""COMPUTED_VALUE"""),1517.0)</f>
        <v>1517</v>
      </c>
      <c r="D51" s="6">
        <f>IFERROR(__xludf.DUMMYFUNCTION("""COMPUTED_VALUE"""),1260.0)</f>
        <v>1260</v>
      </c>
      <c r="E51" s="6">
        <f>IFERROR(__xludf.DUMMYFUNCTION("""COMPUTED_VALUE"""),1504.75)</f>
        <v>1504.75</v>
      </c>
      <c r="F51" s="6">
        <f>IFERROR(__xludf.DUMMYFUNCTION("""COMPUTED_VALUE"""),1985519.0)</f>
        <v>1985519</v>
      </c>
    </row>
    <row r="52">
      <c r="A52" s="7">
        <f>IFERROR(__xludf.DUMMYFUNCTION("""COMPUTED_VALUE"""),45764.64583333333)</f>
        <v>45764.64583</v>
      </c>
      <c r="B52" s="6">
        <f>IFERROR(__xludf.DUMMYFUNCTION("""COMPUTED_VALUE"""),1545.1)</f>
        <v>1545.1</v>
      </c>
      <c r="C52" s="6">
        <f>IFERROR(__xludf.DUMMYFUNCTION("""COMPUTED_VALUE"""),1642.8)</f>
        <v>1642.8</v>
      </c>
      <c r="D52" s="6">
        <f>IFERROR(__xludf.DUMMYFUNCTION("""COMPUTED_VALUE"""),1480.5)</f>
        <v>1480.5</v>
      </c>
      <c r="E52" s="6">
        <f>IFERROR(__xludf.DUMMYFUNCTION("""COMPUTED_VALUE"""),1583.1)</f>
        <v>1583.1</v>
      </c>
      <c r="F52" s="6">
        <f>IFERROR(__xludf.DUMMYFUNCTION("""COMPUTED_VALUE"""),3797401.0)</f>
        <v>3797401</v>
      </c>
    </row>
    <row r="53">
      <c r="A53" s="7">
        <f>IFERROR(__xludf.DUMMYFUNCTION("""COMPUTED_VALUE"""),45772.64583333333)</f>
        <v>45772.64583</v>
      </c>
      <c r="B53" s="6">
        <f>IFERROR(__xludf.DUMMYFUNCTION("""COMPUTED_VALUE"""),1583.1)</f>
        <v>1583.1</v>
      </c>
      <c r="C53" s="6">
        <f>IFERROR(__xludf.DUMMYFUNCTION("""COMPUTED_VALUE"""),1697.9)</f>
        <v>1697.9</v>
      </c>
      <c r="D53" s="6">
        <f>IFERROR(__xludf.DUMMYFUNCTION("""COMPUTED_VALUE"""),1571.0)</f>
        <v>1571</v>
      </c>
      <c r="E53" s="6">
        <f>IFERROR(__xludf.DUMMYFUNCTION("""COMPUTED_VALUE"""),1584.9)</f>
        <v>1584.9</v>
      </c>
      <c r="F53" s="6">
        <f>IFERROR(__xludf.DUMMYFUNCTION("""COMPUTED_VALUE"""),2595879.0)</f>
        <v>2595879</v>
      </c>
    </row>
    <row r="54">
      <c r="A54" s="7">
        <f>IFERROR(__xludf.DUMMYFUNCTION("""COMPUTED_VALUE"""),45779.64583333333)</f>
        <v>45779.64583</v>
      </c>
      <c r="B54" s="6">
        <f>IFERROR(__xludf.DUMMYFUNCTION("""COMPUTED_VALUE"""),1592.7)</f>
        <v>1592.7</v>
      </c>
      <c r="C54" s="6">
        <f>IFERROR(__xludf.DUMMYFUNCTION("""COMPUTED_VALUE"""),1732.0)</f>
        <v>1732</v>
      </c>
      <c r="D54" s="6">
        <f>IFERROR(__xludf.DUMMYFUNCTION("""COMPUTED_VALUE"""),1566.1)</f>
        <v>1566.1</v>
      </c>
      <c r="E54" s="6">
        <f>IFERROR(__xludf.DUMMYFUNCTION("""COMPUTED_VALUE"""),1701.9)</f>
        <v>1701.9</v>
      </c>
      <c r="F54" s="6">
        <f>IFERROR(__xludf.DUMMYFUNCTION("""COMPUTED_VALUE"""),1404430.0)</f>
        <v>1404430</v>
      </c>
    </row>
    <row r="55">
      <c r="A55" s="7">
        <f>IFERROR(__xludf.DUMMYFUNCTION("""COMPUTED_VALUE"""),45786.64583333333)</f>
        <v>45786.64583</v>
      </c>
      <c r="B55" s="6">
        <f>IFERROR(__xludf.DUMMYFUNCTION("""COMPUTED_VALUE"""),1720.0)</f>
        <v>1720</v>
      </c>
      <c r="C55" s="6">
        <f>IFERROR(__xludf.DUMMYFUNCTION("""COMPUTED_VALUE"""),1752.8)</f>
        <v>1752.8</v>
      </c>
      <c r="D55" s="6">
        <f>IFERROR(__xludf.DUMMYFUNCTION("""COMPUTED_VALUE"""),1633.8)</f>
        <v>1633.8</v>
      </c>
      <c r="E55" s="6">
        <f>IFERROR(__xludf.DUMMYFUNCTION("""COMPUTED_VALUE"""),1719.7)</f>
        <v>1719.7</v>
      </c>
      <c r="F55" s="6">
        <f>IFERROR(__xludf.DUMMYFUNCTION("""COMPUTED_VALUE"""),1181980.0)</f>
        <v>1181980</v>
      </c>
    </row>
    <row r="56">
      <c r="A56" s="7">
        <f>IFERROR(__xludf.DUMMYFUNCTION("""COMPUTED_VALUE"""),45793.64583333333)</f>
        <v>45793.64583</v>
      </c>
      <c r="B56" s="6">
        <f>IFERROR(__xludf.DUMMYFUNCTION("""COMPUTED_VALUE"""),1750.0)</f>
        <v>1750</v>
      </c>
      <c r="C56" s="6">
        <f>IFERROR(__xludf.DUMMYFUNCTION("""COMPUTED_VALUE"""),1789.9)</f>
        <v>1789.9</v>
      </c>
      <c r="D56" s="6">
        <f>IFERROR(__xludf.DUMMYFUNCTION("""COMPUTED_VALUE"""),1648.5)</f>
        <v>1648.5</v>
      </c>
      <c r="E56" s="6">
        <f>IFERROR(__xludf.DUMMYFUNCTION("""COMPUTED_VALUE"""),1668.7)</f>
        <v>1668.7</v>
      </c>
      <c r="F56" s="6">
        <f>IFERROR(__xludf.DUMMYFUNCTION("""COMPUTED_VALUE"""),2721385.0)</f>
        <v>2721385</v>
      </c>
    </row>
    <row r="57">
      <c r="A57" s="7">
        <f>IFERROR(__xludf.DUMMYFUNCTION("""COMPUTED_VALUE"""),45800.64583333333)</f>
        <v>45800.64583</v>
      </c>
      <c r="B57" s="6">
        <f>IFERROR(__xludf.DUMMYFUNCTION("""COMPUTED_VALUE"""),1668.7)</f>
        <v>1668.7</v>
      </c>
      <c r="C57" s="6">
        <f>IFERROR(__xludf.DUMMYFUNCTION("""COMPUTED_VALUE"""),1716.6)</f>
        <v>1716.6</v>
      </c>
      <c r="D57" s="6">
        <f>IFERROR(__xludf.DUMMYFUNCTION("""COMPUTED_VALUE"""),1651.1)</f>
        <v>1651.1</v>
      </c>
      <c r="E57" s="6">
        <f>IFERROR(__xludf.DUMMYFUNCTION("""COMPUTED_VALUE"""),1670.5)</f>
        <v>1670.5</v>
      </c>
      <c r="F57" s="6">
        <f>IFERROR(__xludf.DUMMYFUNCTION("""COMPUTED_VALUE"""),1142136.0)</f>
        <v>1142136</v>
      </c>
    </row>
    <row r="58">
      <c r="A58" s="7">
        <f>IFERROR(__xludf.DUMMYFUNCTION("""COMPUTED_VALUE"""),45807.64583333333)</f>
        <v>45807.64583</v>
      </c>
      <c r="B58" s="6">
        <f>IFERROR(__xludf.DUMMYFUNCTION("""COMPUTED_VALUE"""),1672.8)</f>
        <v>1672.8</v>
      </c>
      <c r="C58" s="6">
        <f>IFERROR(__xludf.DUMMYFUNCTION("""COMPUTED_VALUE"""),1858.0)</f>
        <v>1858</v>
      </c>
      <c r="D58" s="6">
        <f>IFERROR(__xludf.DUMMYFUNCTION("""COMPUTED_VALUE"""),1670.6)</f>
        <v>1670.6</v>
      </c>
      <c r="E58" s="6">
        <f>IFERROR(__xludf.DUMMYFUNCTION("""COMPUTED_VALUE"""),1830.7)</f>
        <v>1830.7</v>
      </c>
      <c r="F58" s="6">
        <f>IFERROR(__xludf.DUMMYFUNCTION("""COMPUTED_VALUE"""),2661654.0)</f>
        <v>2661654</v>
      </c>
    </row>
    <row r="59">
      <c r="A59" s="7">
        <f>IFERROR(__xludf.DUMMYFUNCTION("""COMPUTED_VALUE"""),45814.64583333333)</f>
        <v>45814.64583</v>
      </c>
      <c r="B59" s="6">
        <f>IFERROR(__xludf.DUMMYFUNCTION("""COMPUTED_VALUE"""),1829.0)</f>
        <v>1829</v>
      </c>
      <c r="C59" s="6">
        <f>IFERROR(__xludf.DUMMYFUNCTION("""COMPUTED_VALUE"""),1938.5)</f>
        <v>1938.5</v>
      </c>
      <c r="D59" s="6">
        <f>IFERROR(__xludf.DUMMYFUNCTION("""COMPUTED_VALUE"""),1799.4)</f>
        <v>1799.4</v>
      </c>
      <c r="E59" s="6">
        <f>IFERROR(__xludf.DUMMYFUNCTION("""COMPUTED_VALUE"""),1819.2)</f>
        <v>1819.2</v>
      </c>
      <c r="F59" s="6">
        <f>IFERROR(__xludf.DUMMYFUNCTION("""COMPUTED_VALUE"""),2220783.0)</f>
        <v>2220783</v>
      </c>
    </row>
    <row r="60">
      <c r="A60" s="7">
        <f>IFERROR(__xludf.DUMMYFUNCTION("""COMPUTED_VALUE"""),45821.64583333333)</f>
        <v>45821.64583</v>
      </c>
      <c r="B60" s="6">
        <f>IFERROR(__xludf.DUMMYFUNCTION("""COMPUTED_VALUE"""),1823.0)</f>
        <v>1823</v>
      </c>
      <c r="C60" s="6">
        <f>IFERROR(__xludf.DUMMYFUNCTION("""COMPUTED_VALUE"""),1867.0)</f>
        <v>1867</v>
      </c>
      <c r="D60" s="6">
        <f>IFERROR(__xludf.DUMMYFUNCTION("""COMPUTED_VALUE"""),1736.6)</f>
        <v>1736.6</v>
      </c>
      <c r="E60" s="6">
        <f>IFERROR(__xludf.DUMMYFUNCTION("""COMPUTED_VALUE"""),1783.9)</f>
        <v>1783.9</v>
      </c>
      <c r="F60" s="6">
        <f>IFERROR(__xludf.DUMMYFUNCTION("""COMPUTED_VALUE"""),1243936.0)</f>
        <v>1243936</v>
      </c>
    </row>
    <row r="61">
      <c r="A61" s="7">
        <f>IFERROR(__xludf.DUMMYFUNCTION("""COMPUTED_VALUE"""),45828.64583333333)</f>
        <v>45828.64583</v>
      </c>
      <c r="B61" s="6">
        <f>IFERROR(__xludf.DUMMYFUNCTION("""COMPUTED_VALUE"""),1771.0)</f>
        <v>1771</v>
      </c>
      <c r="C61" s="6">
        <f>IFERROR(__xludf.DUMMYFUNCTION("""COMPUTED_VALUE"""),1845.0)</f>
        <v>1845</v>
      </c>
      <c r="D61" s="6">
        <f>IFERROR(__xludf.DUMMYFUNCTION("""COMPUTED_VALUE"""),1726.1)</f>
        <v>1726.1</v>
      </c>
      <c r="E61" s="6">
        <f>IFERROR(__xludf.DUMMYFUNCTION("""COMPUTED_VALUE"""),1819.2)</f>
        <v>1819.2</v>
      </c>
      <c r="F61" s="6">
        <f>IFERROR(__xludf.DUMMYFUNCTION("""COMPUTED_VALUE"""),990004.0)</f>
        <v>990004</v>
      </c>
    </row>
    <row r="62">
      <c r="A62" s="7">
        <f>IFERROR(__xludf.DUMMYFUNCTION("""COMPUTED_VALUE"""),45835.64583333333)</f>
        <v>45835.64583</v>
      </c>
      <c r="B62" s="6">
        <f>IFERROR(__xludf.DUMMYFUNCTION("""COMPUTED_VALUE"""),1816.1)</f>
        <v>1816.1</v>
      </c>
      <c r="C62" s="6">
        <f>IFERROR(__xludf.DUMMYFUNCTION("""COMPUTED_VALUE"""),2026.0)</f>
        <v>2026</v>
      </c>
      <c r="D62" s="6">
        <f>IFERROR(__xludf.DUMMYFUNCTION("""COMPUTED_VALUE"""),1787.9)</f>
        <v>1787.9</v>
      </c>
      <c r="E62" s="6">
        <f>IFERROR(__xludf.DUMMYFUNCTION("""COMPUTED_VALUE"""),1960.1)</f>
        <v>1960.1</v>
      </c>
      <c r="F62" s="6">
        <f>IFERROR(__xludf.DUMMYFUNCTION("""COMPUTED_VALUE"""),3180352.0)</f>
        <v>3180352</v>
      </c>
    </row>
    <row r="63">
      <c r="A63" s="7">
        <f>IFERROR(__xludf.DUMMYFUNCTION("""COMPUTED_VALUE"""),45842.64583333333)</f>
        <v>45842.64583</v>
      </c>
      <c r="B63" s="6">
        <f>IFERROR(__xludf.DUMMYFUNCTION("""COMPUTED_VALUE"""),1909.1)</f>
        <v>1909.1</v>
      </c>
      <c r="C63" s="6">
        <f>IFERROR(__xludf.DUMMYFUNCTION("""COMPUTED_VALUE"""),2052.9)</f>
        <v>2052.9</v>
      </c>
      <c r="D63" s="6">
        <f>IFERROR(__xludf.DUMMYFUNCTION("""COMPUTED_VALUE"""),1886.4)</f>
        <v>1886.4</v>
      </c>
      <c r="E63" s="6">
        <f>IFERROR(__xludf.DUMMYFUNCTION("""COMPUTED_VALUE"""),1906.4)</f>
        <v>1906.4</v>
      </c>
      <c r="F63" s="6">
        <f>IFERROR(__xludf.DUMMYFUNCTION("""COMPUTED_VALUE"""),1783527.0)</f>
        <v>1783527</v>
      </c>
    </row>
    <row r="64">
      <c r="A64" s="7">
        <f>IFERROR(__xludf.DUMMYFUNCTION("""COMPUTED_VALUE"""),45849.64583333333)</f>
        <v>45849.64583</v>
      </c>
      <c r="B64" s="6">
        <f>IFERROR(__xludf.DUMMYFUNCTION("""COMPUTED_VALUE"""),1890.0)</f>
        <v>1890</v>
      </c>
      <c r="C64" s="6">
        <f>IFERROR(__xludf.DUMMYFUNCTION("""COMPUTED_VALUE"""),1900.0)</f>
        <v>1900</v>
      </c>
      <c r="D64" s="6">
        <f>IFERROR(__xludf.DUMMYFUNCTION("""COMPUTED_VALUE"""),1770.1)</f>
        <v>1770.1</v>
      </c>
      <c r="E64" s="6">
        <f>IFERROR(__xludf.DUMMYFUNCTION("""COMPUTED_VALUE"""),1791.1)</f>
        <v>1791.1</v>
      </c>
      <c r="F64" s="6">
        <f>IFERROR(__xludf.DUMMYFUNCTION("""COMPUTED_VALUE"""),2121247.0)</f>
        <v>2121247</v>
      </c>
    </row>
    <row r="65">
      <c r="A65" s="7">
        <f>IFERROR(__xludf.DUMMYFUNCTION("""COMPUTED_VALUE"""),45856.64583333333)</f>
        <v>45856.64583</v>
      </c>
      <c r="B65" s="6">
        <f>IFERROR(__xludf.DUMMYFUNCTION("""COMPUTED_VALUE"""),1795.1)</f>
        <v>1795.1</v>
      </c>
      <c r="C65" s="6">
        <f>IFERROR(__xludf.DUMMYFUNCTION("""COMPUTED_VALUE"""),1850.3)</f>
        <v>1850.3</v>
      </c>
      <c r="D65" s="6">
        <f>IFERROR(__xludf.DUMMYFUNCTION("""COMPUTED_VALUE"""),1731.5)</f>
        <v>1731.5</v>
      </c>
      <c r="E65" s="6">
        <f>IFERROR(__xludf.DUMMYFUNCTION("""COMPUTED_VALUE"""),1792.4)</f>
        <v>1792.4</v>
      </c>
      <c r="F65" s="6">
        <f>IFERROR(__xludf.DUMMYFUNCTION("""COMPUTED_VALUE"""),1544861.0)</f>
        <v>1544861</v>
      </c>
    </row>
    <row r="66">
      <c r="A66" s="7">
        <f>IFERROR(__xludf.DUMMYFUNCTION("""COMPUTED_VALUE"""),45863.64583333333)</f>
        <v>45863.64583</v>
      </c>
      <c r="B66" s="6">
        <f>IFERROR(__xludf.DUMMYFUNCTION("""COMPUTED_VALUE"""),1791.8)</f>
        <v>1791.8</v>
      </c>
      <c r="C66" s="6">
        <f>IFERROR(__xludf.DUMMYFUNCTION("""COMPUTED_VALUE"""),1837.0)</f>
        <v>1837</v>
      </c>
      <c r="D66" s="6">
        <f>IFERROR(__xludf.DUMMYFUNCTION("""COMPUTED_VALUE"""),1770.0)</f>
        <v>1770</v>
      </c>
      <c r="E66" s="6">
        <f>IFERROR(__xludf.DUMMYFUNCTION("""COMPUTED_VALUE"""),1779.0)</f>
        <v>1779</v>
      </c>
      <c r="F66" s="6">
        <f>IFERROR(__xludf.DUMMYFUNCTION("""COMPUTED_VALUE"""),608643.0)</f>
        <v>608643</v>
      </c>
    </row>
    <row r="67">
      <c r="A67" s="7">
        <f>IFERROR(__xludf.DUMMYFUNCTION("""COMPUTED_VALUE"""),45870.64583333333)</f>
        <v>45870.64583</v>
      </c>
      <c r="B67" s="6">
        <f>IFERROR(__xludf.DUMMYFUNCTION("""COMPUTED_VALUE"""),1779.0)</f>
        <v>1779</v>
      </c>
      <c r="C67" s="6">
        <f>IFERROR(__xludf.DUMMYFUNCTION("""COMPUTED_VALUE"""),1883.9)</f>
        <v>1883.9</v>
      </c>
      <c r="D67" s="6">
        <f>IFERROR(__xludf.DUMMYFUNCTION("""COMPUTED_VALUE"""),1719.2)</f>
        <v>1719.2</v>
      </c>
      <c r="E67" s="6">
        <f>IFERROR(__xludf.DUMMYFUNCTION("""COMPUTED_VALUE"""),1844.6)</f>
        <v>1844.6</v>
      </c>
      <c r="F67" s="6">
        <f>IFERROR(__xludf.DUMMYFUNCTION("""COMPUTED_VALUE"""),779459.0)</f>
        <v>779459</v>
      </c>
    </row>
    <row r="68">
      <c r="A68" s="7">
        <f>IFERROR(__xludf.DUMMYFUNCTION("""COMPUTED_VALUE"""),45877.64583333333)</f>
        <v>45877.64583</v>
      </c>
      <c r="B68" s="6">
        <f>IFERROR(__xludf.DUMMYFUNCTION("""COMPUTED_VALUE"""),1838.0)</f>
        <v>1838</v>
      </c>
      <c r="C68" s="6">
        <f>IFERROR(__xludf.DUMMYFUNCTION("""COMPUTED_VALUE"""),1876.9)</f>
        <v>1876.9</v>
      </c>
      <c r="D68" s="6">
        <f>IFERROR(__xludf.DUMMYFUNCTION("""COMPUTED_VALUE"""),1697.1)</f>
        <v>1697.1</v>
      </c>
      <c r="E68" s="6">
        <f>IFERROR(__xludf.DUMMYFUNCTION("""COMPUTED_VALUE"""),1755.0)</f>
        <v>1755</v>
      </c>
      <c r="F68" s="6">
        <f>IFERROR(__xludf.DUMMYFUNCTION("""COMPUTED_VALUE"""),1980749.0)</f>
        <v>1980749</v>
      </c>
    </row>
    <row r="69">
      <c r="A69" s="7">
        <f>IFERROR(__xludf.DUMMYFUNCTION("""COMPUTED_VALUE"""),45883.64583333333)</f>
        <v>45883.64583</v>
      </c>
      <c r="B69" s="6">
        <f>IFERROR(__xludf.DUMMYFUNCTION("""COMPUTED_VALUE"""),1731.6)</f>
        <v>1731.6</v>
      </c>
      <c r="C69" s="6">
        <f>IFERROR(__xludf.DUMMYFUNCTION("""COMPUTED_VALUE"""),1768.4)</f>
        <v>1768.4</v>
      </c>
      <c r="D69" s="6">
        <f>IFERROR(__xludf.DUMMYFUNCTION("""COMPUTED_VALUE"""),1676.5)</f>
        <v>1676.5</v>
      </c>
      <c r="E69" s="6">
        <f>IFERROR(__xludf.DUMMYFUNCTION("""COMPUTED_VALUE"""),1700.9)</f>
        <v>1700.9</v>
      </c>
      <c r="F69" s="6">
        <f>IFERROR(__xludf.DUMMYFUNCTION("""COMPUTED_VALUE"""),742824.0)</f>
        <v>742824</v>
      </c>
    </row>
    <row r="70">
      <c r="A70" s="7">
        <f>IFERROR(__xludf.DUMMYFUNCTION("""COMPUTED_VALUE"""),45891.64583333333)</f>
        <v>45891.64583</v>
      </c>
      <c r="B70" s="6">
        <f>IFERROR(__xludf.DUMMYFUNCTION("""COMPUTED_VALUE"""),1703.2)</f>
        <v>1703.2</v>
      </c>
      <c r="C70" s="6">
        <f>IFERROR(__xludf.DUMMYFUNCTION("""COMPUTED_VALUE"""),1868.5)</f>
        <v>1868.5</v>
      </c>
      <c r="D70" s="6">
        <f>IFERROR(__xludf.DUMMYFUNCTION("""COMPUTED_VALUE"""),1677.0)</f>
        <v>1677</v>
      </c>
      <c r="E70" s="6">
        <f>IFERROR(__xludf.DUMMYFUNCTION("""COMPUTED_VALUE"""),1859.6)</f>
        <v>1859.6</v>
      </c>
      <c r="F70" s="6">
        <f>IFERROR(__xludf.DUMMYFUNCTION("""COMPUTED_VALUE"""),1300009.0)</f>
        <v>1300009</v>
      </c>
    </row>
    <row r="71">
      <c r="A71" s="7">
        <f>IFERROR(__xludf.DUMMYFUNCTION("""COMPUTED_VALUE"""),45895.64583333333)</f>
        <v>45895.64583</v>
      </c>
      <c r="B71" s="6">
        <f>IFERROR(__xludf.DUMMYFUNCTION("""COMPUTED_VALUE"""),1875.0)</f>
        <v>1875</v>
      </c>
      <c r="C71" s="6">
        <f>IFERROR(__xludf.DUMMYFUNCTION("""COMPUTED_VALUE"""),1889.9)</f>
        <v>1889.9</v>
      </c>
      <c r="D71" s="6">
        <f>IFERROR(__xludf.DUMMYFUNCTION("""COMPUTED_VALUE"""),1814.0)</f>
        <v>1814</v>
      </c>
      <c r="E71" s="6">
        <f>IFERROR(__xludf.DUMMYFUNCTION("""COMPUTED_VALUE"""),1839.7)</f>
        <v>1839.7</v>
      </c>
      <c r="F71" s="6">
        <f>IFERROR(__xludf.DUMMYFUNCTION("""COMPUTED_VALUE"""),2223984.0)</f>
        <v>2223984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IFERROR(__xludf.DUMMYFUNCTION("GOOGLEFINANCE(""NSE:BHEL"",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IFERROR(__xludf.DUMMYFUNCTION("""COMPUTED_VALUE"""),106.8)</f>
        <v>106.8</v>
      </c>
      <c r="C2" s="6">
        <f>IFERROR(__xludf.DUMMYFUNCTION("""COMPUTED_VALUE"""),137.1)</f>
        <v>137.1</v>
      </c>
      <c r="D2" s="6">
        <f>IFERROR(__xludf.DUMMYFUNCTION("""COMPUTED_VALUE"""),106.05)</f>
        <v>106.05</v>
      </c>
      <c r="E2" s="6">
        <f>IFERROR(__xludf.DUMMYFUNCTION("""COMPUTED_VALUE"""),136.15)</f>
        <v>136.15</v>
      </c>
      <c r="F2" s="6">
        <f>IFERROR(__xludf.DUMMYFUNCTION("""COMPUTED_VALUE"""),4.4889267E8)</f>
        <v>448892670</v>
      </c>
    </row>
    <row r="3">
      <c r="A3" s="7">
        <f>IFERROR(__xludf.DUMMYFUNCTION("""COMPUTED_VALUE"""),45177.64583333333)</f>
        <v>45177.64583</v>
      </c>
      <c r="B3" s="6">
        <f>IFERROR(__xludf.DUMMYFUNCTION("""COMPUTED_VALUE"""),137.25)</f>
        <v>137.25</v>
      </c>
      <c r="C3" s="6">
        <f>IFERROR(__xludf.DUMMYFUNCTION("""COMPUTED_VALUE"""),146.4)</f>
        <v>146.4</v>
      </c>
      <c r="D3" s="6">
        <f>IFERROR(__xludf.DUMMYFUNCTION("""COMPUTED_VALUE"""),134.5)</f>
        <v>134.5</v>
      </c>
      <c r="E3" s="6">
        <f>IFERROR(__xludf.DUMMYFUNCTION("""COMPUTED_VALUE"""),145.3)</f>
        <v>145.3</v>
      </c>
      <c r="F3" s="6">
        <f>IFERROR(__xludf.DUMMYFUNCTION("""COMPUTED_VALUE"""),2.68772556E8)</f>
        <v>268772556</v>
      </c>
    </row>
    <row r="4">
      <c r="A4" s="7">
        <f>IFERROR(__xludf.DUMMYFUNCTION("""COMPUTED_VALUE"""),45184.64583333333)</f>
        <v>45184.64583</v>
      </c>
      <c r="B4" s="6">
        <f>IFERROR(__xludf.DUMMYFUNCTION("""COMPUTED_VALUE"""),146.4)</f>
        <v>146.4</v>
      </c>
      <c r="C4" s="6">
        <f>IFERROR(__xludf.DUMMYFUNCTION("""COMPUTED_VALUE"""),148.9)</f>
        <v>148.9</v>
      </c>
      <c r="D4" s="6">
        <f>IFERROR(__xludf.DUMMYFUNCTION("""COMPUTED_VALUE"""),121.6)</f>
        <v>121.6</v>
      </c>
      <c r="E4" s="6">
        <f>IFERROR(__xludf.DUMMYFUNCTION("""COMPUTED_VALUE"""),127.6)</f>
        <v>127.6</v>
      </c>
      <c r="F4" s="6">
        <f>IFERROR(__xludf.DUMMYFUNCTION("""COMPUTED_VALUE"""),3.23978695E8)</f>
        <v>323978695</v>
      </c>
    </row>
    <row r="5">
      <c r="A5" s="7">
        <f>IFERROR(__xludf.DUMMYFUNCTION("""COMPUTED_VALUE"""),45191.64583333333)</f>
        <v>45191.64583</v>
      </c>
      <c r="B5" s="6">
        <f>IFERROR(__xludf.DUMMYFUNCTION("""COMPUTED_VALUE"""),128.45)</f>
        <v>128.45</v>
      </c>
      <c r="C5" s="6">
        <f>IFERROR(__xludf.DUMMYFUNCTION("""COMPUTED_VALUE"""),129.7)</f>
        <v>129.7</v>
      </c>
      <c r="D5" s="6">
        <f>IFERROR(__xludf.DUMMYFUNCTION("""COMPUTED_VALUE"""),122.15)</f>
        <v>122.15</v>
      </c>
      <c r="E5" s="6">
        <f>IFERROR(__xludf.DUMMYFUNCTION("""COMPUTED_VALUE"""),124.4)</f>
        <v>124.4</v>
      </c>
      <c r="F5" s="6">
        <f>IFERROR(__xludf.DUMMYFUNCTION("""COMPUTED_VALUE"""),8.7907197E7)</f>
        <v>87907197</v>
      </c>
    </row>
    <row r="6">
      <c r="A6" s="7">
        <f>IFERROR(__xludf.DUMMYFUNCTION("""COMPUTED_VALUE"""),45198.64583333333)</f>
        <v>45198.64583</v>
      </c>
      <c r="B6" s="6">
        <f>IFERROR(__xludf.DUMMYFUNCTION("""COMPUTED_VALUE"""),124.85)</f>
        <v>124.85</v>
      </c>
      <c r="C6" s="6">
        <f>IFERROR(__xludf.DUMMYFUNCTION("""COMPUTED_VALUE"""),131.7)</f>
        <v>131.7</v>
      </c>
      <c r="D6" s="6">
        <f>IFERROR(__xludf.DUMMYFUNCTION("""COMPUTED_VALUE"""),122.85)</f>
        <v>122.85</v>
      </c>
      <c r="E6" s="6">
        <f>IFERROR(__xludf.DUMMYFUNCTION("""COMPUTED_VALUE"""),131.0)</f>
        <v>131</v>
      </c>
      <c r="F6" s="6">
        <f>IFERROR(__xludf.DUMMYFUNCTION("""COMPUTED_VALUE"""),1.66905301E8)</f>
        <v>166905301</v>
      </c>
    </row>
    <row r="7">
      <c r="A7" s="7">
        <f>IFERROR(__xludf.DUMMYFUNCTION("""COMPUTED_VALUE"""),45205.64583333333)</f>
        <v>45205.64583</v>
      </c>
      <c r="B7" s="6">
        <f>IFERROR(__xludf.DUMMYFUNCTION("""COMPUTED_VALUE"""),131.0)</f>
        <v>131</v>
      </c>
      <c r="C7" s="6">
        <f>IFERROR(__xludf.DUMMYFUNCTION("""COMPUTED_VALUE"""),132.4)</f>
        <v>132.4</v>
      </c>
      <c r="D7" s="6">
        <f>IFERROR(__xludf.DUMMYFUNCTION("""COMPUTED_VALUE"""),125.7)</f>
        <v>125.7</v>
      </c>
      <c r="E7" s="6">
        <f>IFERROR(__xludf.DUMMYFUNCTION("""COMPUTED_VALUE"""),128.9)</f>
        <v>128.9</v>
      </c>
      <c r="F7" s="6">
        <f>IFERROR(__xludf.DUMMYFUNCTION("""COMPUTED_VALUE"""),6.893071E7)</f>
        <v>68930710</v>
      </c>
    </row>
    <row r="8">
      <c r="A8" s="7">
        <f>IFERROR(__xludf.DUMMYFUNCTION("""COMPUTED_VALUE"""),45212.64583333333)</f>
        <v>45212.64583</v>
      </c>
      <c r="B8" s="6">
        <f>IFERROR(__xludf.DUMMYFUNCTION("""COMPUTED_VALUE"""),127.05)</f>
        <v>127.05</v>
      </c>
      <c r="C8" s="6">
        <f>IFERROR(__xludf.DUMMYFUNCTION("""COMPUTED_VALUE"""),133.75)</f>
        <v>133.75</v>
      </c>
      <c r="D8" s="6">
        <f>IFERROR(__xludf.DUMMYFUNCTION("""COMPUTED_VALUE"""),124.35)</f>
        <v>124.35</v>
      </c>
      <c r="E8" s="6">
        <f>IFERROR(__xludf.DUMMYFUNCTION("""COMPUTED_VALUE"""),128.35)</f>
        <v>128.35</v>
      </c>
      <c r="F8" s="6">
        <f>IFERROR(__xludf.DUMMYFUNCTION("""COMPUTED_VALUE"""),9.1699812E7)</f>
        <v>91699812</v>
      </c>
    </row>
    <row r="9">
      <c r="A9" s="7">
        <f>IFERROR(__xludf.DUMMYFUNCTION("""COMPUTED_VALUE"""),45219.64583333333)</f>
        <v>45219.64583</v>
      </c>
      <c r="B9" s="6">
        <f>IFERROR(__xludf.DUMMYFUNCTION("""COMPUTED_VALUE"""),128.1)</f>
        <v>128.1</v>
      </c>
      <c r="C9" s="6">
        <f>IFERROR(__xludf.DUMMYFUNCTION("""COMPUTED_VALUE"""),133.7)</f>
        <v>133.7</v>
      </c>
      <c r="D9" s="6">
        <f>IFERROR(__xludf.DUMMYFUNCTION("""COMPUTED_VALUE"""),124.55)</f>
        <v>124.55</v>
      </c>
      <c r="E9" s="6">
        <f>IFERROR(__xludf.DUMMYFUNCTION("""COMPUTED_VALUE"""),125.2)</f>
        <v>125.2</v>
      </c>
      <c r="F9" s="6">
        <f>IFERROR(__xludf.DUMMYFUNCTION("""COMPUTED_VALUE"""),9.9634004E7)</f>
        <v>99634004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IFERROR(__xludf.DUMMYFUNCTION("""COMPUTED_VALUE"""),125.2)</f>
        <v>125.2</v>
      </c>
      <c r="C10" s="6">
        <f>IFERROR(__xludf.DUMMYFUNCTION("""COMPUTED_VALUE"""),125.75)</f>
        <v>125.75</v>
      </c>
      <c r="D10" s="6">
        <f>IFERROR(__xludf.DUMMYFUNCTION("""COMPUTED_VALUE"""),113.5)</f>
        <v>113.5</v>
      </c>
      <c r="E10" s="6">
        <f>IFERROR(__xludf.DUMMYFUNCTION("""COMPUTED_VALUE"""),117.65)</f>
        <v>117.65</v>
      </c>
      <c r="F10" s="6">
        <f>IFERROR(__xludf.DUMMYFUNCTION("""COMPUTED_VALUE"""),7.2237472E7)</f>
        <v>72237472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IFERROR(__xludf.DUMMYFUNCTION("""COMPUTED_VALUE"""),118.2)</f>
        <v>118.2</v>
      </c>
      <c r="C11" s="6">
        <f>IFERROR(__xludf.DUMMYFUNCTION("""COMPUTED_VALUE"""),132.45)</f>
        <v>132.45</v>
      </c>
      <c r="D11" s="6">
        <f>IFERROR(__xludf.DUMMYFUNCTION("""COMPUTED_VALUE"""),117.7)</f>
        <v>117.7</v>
      </c>
      <c r="E11" s="6">
        <f>IFERROR(__xludf.DUMMYFUNCTION("""COMPUTED_VALUE"""),128.6)</f>
        <v>128.6</v>
      </c>
      <c r="F11" s="6">
        <f>IFERROR(__xludf.DUMMYFUNCTION("""COMPUTED_VALUE"""),9.4353386E7)</f>
        <v>94353386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IFERROR(__xludf.DUMMYFUNCTION("""COMPUTED_VALUE"""),129.4)</f>
        <v>129.4</v>
      </c>
      <c r="C12" s="6">
        <f>IFERROR(__xludf.DUMMYFUNCTION("""COMPUTED_VALUE"""),131.2)</f>
        <v>131.2</v>
      </c>
      <c r="D12" s="6">
        <f>IFERROR(__xludf.DUMMYFUNCTION("""COMPUTED_VALUE"""),121.95)</f>
        <v>121.95</v>
      </c>
      <c r="E12" s="6">
        <f>IFERROR(__xludf.DUMMYFUNCTION("""COMPUTED_VALUE"""),129.05)</f>
        <v>129.05</v>
      </c>
      <c r="F12" s="6">
        <f>IFERROR(__xludf.DUMMYFUNCTION("""COMPUTED_VALUE"""),9.7582336E7)</f>
        <v>97582336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IFERROR(__xludf.DUMMYFUNCTION("""COMPUTED_VALUE"""),129.5)</f>
        <v>129.5</v>
      </c>
      <c r="C13" s="6">
        <f>IFERROR(__xludf.DUMMYFUNCTION("""COMPUTED_VALUE"""),143.2)</f>
        <v>143.2</v>
      </c>
      <c r="D13" s="6">
        <f>IFERROR(__xludf.DUMMYFUNCTION("""COMPUTED_VALUE"""),128.45)</f>
        <v>128.45</v>
      </c>
      <c r="E13" s="6">
        <f>IFERROR(__xludf.DUMMYFUNCTION("""COMPUTED_VALUE"""),141.85)</f>
        <v>141.85</v>
      </c>
      <c r="F13" s="6">
        <f>IFERROR(__xludf.DUMMYFUNCTION("""COMPUTED_VALUE"""),1.62301624E8)</f>
        <v>162301624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IFERROR(__xludf.DUMMYFUNCTION("""COMPUTED_VALUE"""),142.6)</f>
        <v>142.6</v>
      </c>
      <c r="C14" s="6">
        <f>IFERROR(__xludf.DUMMYFUNCTION("""COMPUTED_VALUE"""),155.4)</f>
        <v>155.4</v>
      </c>
      <c r="D14" s="6">
        <f>IFERROR(__xludf.DUMMYFUNCTION("""COMPUTED_VALUE"""),136.2)</f>
        <v>136.2</v>
      </c>
      <c r="E14" s="6">
        <f>IFERROR(__xludf.DUMMYFUNCTION("""COMPUTED_VALUE"""),152.25)</f>
        <v>152.25</v>
      </c>
      <c r="F14" s="6">
        <f>IFERROR(__xludf.DUMMYFUNCTION("""COMPUTED_VALUE"""),1.85769816E8)</f>
        <v>185769816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IFERROR(__xludf.DUMMYFUNCTION("""COMPUTED_VALUE"""),152.5)</f>
        <v>152.5</v>
      </c>
      <c r="C15" s="6">
        <f>IFERROR(__xludf.DUMMYFUNCTION("""COMPUTED_VALUE"""),176.5)</f>
        <v>176.5</v>
      </c>
      <c r="D15" s="6">
        <f>IFERROR(__xludf.DUMMYFUNCTION("""COMPUTED_VALUE"""),151.5)</f>
        <v>151.5</v>
      </c>
      <c r="E15" s="6">
        <f>IFERROR(__xludf.DUMMYFUNCTION("""COMPUTED_VALUE"""),170.5)</f>
        <v>170.5</v>
      </c>
      <c r="F15" s="6">
        <f>IFERROR(__xludf.DUMMYFUNCTION("""COMPUTED_VALUE"""),2.78408229E8)</f>
        <v>278408229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IFERROR(__xludf.DUMMYFUNCTION("""COMPUTED_VALUE"""),175.1)</f>
        <v>175.1</v>
      </c>
      <c r="C16" s="6">
        <f>IFERROR(__xludf.DUMMYFUNCTION("""COMPUTED_VALUE"""),184.4)</f>
        <v>184.4</v>
      </c>
      <c r="D16" s="6">
        <f>IFERROR(__xludf.DUMMYFUNCTION("""COMPUTED_VALUE"""),170.8)</f>
        <v>170.8</v>
      </c>
      <c r="E16" s="6">
        <f>IFERROR(__xludf.DUMMYFUNCTION("""COMPUTED_VALUE"""),176.7)</f>
        <v>176.7</v>
      </c>
      <c r="F16" s="6">
        <f>IFERROR(__xludf.DUMMYFUNCTION("""COMPUTED_VALUE"""),1.76665757E8)</f>
        <v>176665757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IFERROR(__xludf.DUMMYFUNCTION("""COMPUTED_VALUE"""),177.45)</f>
        <v>177.45</v>
      </c>
      <c r="C17" s="6">
        <f>IFERROR(__xludf.DUMMYFUNCTION("""COMPUTED_VALUE"""),186.2)</f>
        <v>186.2</v>
      </c>
      <c r="D17" s="6">
        <f>IFERROR(__xludf.DUMMYFUNCTION("""COMPUTED_VALUE"""),176.25)</f>
        <v>176.25</v>
      </c>
      <c r="E17" s="6">
        <f>IFERROR(__xludf.DUMMYFUNCTION("""COMPUTED_VALUE"""),181.55)</f>
        <v>181.55</v>
      </c>
      <c r="F17" s="6">
        <f>IFERROR(__xludf.DUMMYFUNCTION("""COMPUTED_VALUE"""),1.05003476E8)</f>
        <v>105003476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IFERROR(__xludf.DUMMYFUNCTION("""COMPUTED_VALUE"""),181.55)</f>
        <v>181.55</v>
      </c>
      <c r="C18" s="6">
        <f>IFERROR(__xludf.DUMMYFUNCTION("""COMPUTED_VALUE"""),190.45)</f>
        <v>190.45</v>
      </c>
      <c r="D18" s="6">
        <f>IFERROR(__xludf.DUMMYFUNCTION("""COMPUTED_VALUE"""),165.8)</f>
        <v>165.8</v>
      </c>
      <c r="E18" s="6">
        <f>IFERROR(__xludf.DUMMYFUNCTION("""COMPUTED_VALUE"""),178.3)</f>
        <v>178.3</v>
      </c>
      <c r="F18" s="6">
        <f>IFERROR(__xludf.DUMMYFUNCTION("""COMPUTED_VALUE"""),1.35308773E8)</f>
        <v>135308773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IFERROR(__xludf.DUMMYFUNCTION("""COMPUTED_VALUE"""),179.5)</f>
        <v>179.5</v>
      </c>
      <c r="C19" s="6">
        <f>IFERROR(__xludf.DUMMYFUNCTION("""COMPUTED_VALUE"""),199.7)</f>
        <v>199.7</v>
      </c>
      <c r="D19" s="6">
        <f>IFERROR(__xludf.DUMMYFUNCTION("""COMPUTED_VALUE"""),178.65)</f>
        <v>178.65</v>
      </c>
      <c r="E19" s="6">
        <f>IFERROR(__xludf.DUMMYFUNCTION("""COMPUTED_VALUE"""),193.55)</f>
        <v>193.55</v>
      </c>
      <c r="F19" s="6">
        <f>IFERROR(__xludf.DUMMYFUNCTION("""COMPUTED_VALUE"""),1.92058364E8)</f>
        <v>192058364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IFERROR(__xludf.DUMMYFUNCTION("""COMPUTED_VALUE"""),199.0)</f>
        <v>199</v>
      </c>
      <c r="C20" s="6">
        <f>IFERROR(__xludf.DUMMYFUNCTION("""COMPUTED_VALUE"""),204.9)</f>
        <v>204.9</v>
      </c>
      <c r="D20" s="6">
        <f>IFERROR(__xludf.DUMMYFUNCTION("""COMPUTED_VALUE"""),191.85)</f>
        <v>191.85</v>
      </c>
      <c r="E20" s="6">
        <f>IFERROR(__xludf.DUMMYFUNCTION("""COMPUTED_VALUE"""),195.8)</f>
        <v>195.8</v>
      </c>
      <c r="F20" s="6">
        <f>IFERROR(__xludf.DUMMYFUNCTION("""COMPUTED_VALUE"""),2.62236682E8)</f>
        <v>262236682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IFERROR(__xludf.DUMMYFUNCTION("""COMPUTED_VALUE"""),195.9)</f>
        <v>195.9</v>
      </c>
      <c r="C21" s="6">
        <f>IFERROR(__xludf.DUMMYFUNCTION("""COMPUTED_VALUE"""),201.95)</f>
        <v>201.95</v>
      </c>
      <c r="D21" s="6">
        <f>IFERROR(__xludf.DUMMYFUNCTION("""COMPUTED_VALUE"""),192.0)</f>
        <v>192</v>
      </c>
      <c r="E21" s="6">
        <f>IFERROR(__xludf.DUMMYFUNCTION("""COMPUTED_VALUE"""),196.45)</f>
        <v>196.45</v>
      </c>
      <c r="F21" s="6">
        <f>IFERROR(__xludf.DUMMYFUNCTION("""COMPUTED_VALUE"""),1.2538076E8)</f>
        <v>125380760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IFERROR(__xludf.DUMMYFUNCTION("""COMPUTED_VALUE"""),221.5)</f>
        <v>221.5</v>
      </c>
      <c r="C22" s="6">
        <f>IFERROR(__xludf.DUMMYFUNCTION("""COMPUTED_VALUE"""),221.9)</f>
        <v>221.9</v>
      </c>
      <c r="D22" s="6">
        <f>IFERROR(__xludf.DUMMYFUNCTION("""COMPUTED_VALUE"""),200.7)</f>
        <v>200.7</v>
      </c>
      <c r="E22" s="6">
        <f>IFERROR(__xludf.DUMMYFUNCTION("""COMPUTED_VALUE"""),219.9)</f>
        <v>219.9</v>
      </c>
      <c r="F22" s="6">
        <f>IFERROR(__xludf.DUMMYFUNCTION("""COMPUTED_VALUE"""),1.12930991E8)</f>
        <v>112930991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IFERROR(__xludf.DUMMYFUNCTION("""COMPUTED_VALUE"""),221.0)</f>
        <v>221</v>
      </c>
      <c r="C23" s="6">
        <f>IFERROR(__xludf.DUMMYFUNCTION("""COMPUTED_VALUE"""),235.7)</f>
        <v>235.7</v>
      </c>
      <c r="D23" s="6">
        <f>IFERROR(__xludf.DUMMYFUNCTION("""COMPUTED_VALUE"""),219.9)</f>
        <v>219.9</v>
      </c>
      <c r="E23" s="6">
        <f>IFERROR(__xludf.DUMMYFUNCTION("""COMPUTED_VALUE"""),233.8)</f>
        <v>233.8</v>
      </c>
      <c r="F23" s="6">
        <f>IFERROR(__xludf.DUMMYFUNCTION("""COMPUTED_VALUE"""),1.46886478E8)</f>
        <v>146886478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IFERROR(__xludf.DUMMYFUNCTION("""COMPUTED_VALUE"""),234.65)</f>
        <v>234.65</v>
      </c>
      <c r="C24" s="6">
        <f>IFERROR(__xludf.DUMMYFUNCTION("""COMPUTED_VALUE"""),243.25)</f>
        <v>243.25</v>
      </c>
      <c r="D24" s="6">
        <f>IFERROR(__xludf.DUMMYFUNCTION("""COMPUTED_VALUE"""),217.35)</f>
        <v>217.35</v>
      </c>
      <c r="E24" s="6">
        <f>IFERROR(__xludf.DUMMYFUNCTION("""COMPUTED_VALUE"""),227.55)</f>
        <v>227.55</v>
      </c>
      <c r="F24" s="6">
        <f>IFERROR(__xludf.DUMMYFUNCTION("""COMPUTED_VALUE"""),1.43262233E8)</f>
        <v>143262233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IFERROR(__xludf.DUMMYFUNCTION("""COMPUTED_VALUE"""),228.0)</f>
        <v>228</v>
      </c>
      <c r="C25" s="6">
        <f>IFERROR(__xludf.DUMMYFUNCTION("""COMPUTED_VALUE"""),233.15)</f>
        <v>233.15</v>
      </c>
      <c r="D25" s="6">
        <f>IFERROR(__xludf.DUMMYFUNCTION("""COMPUTED_VALUE"""),201.35)</f>
        <v>201.35</v>
      </c>
      <c r="E25" s="6">
        <f>IFERROR(__xludf.DUMMYFUNCTION("""COMPUTED_VALUE"""),225.85)</f>
        <v>225.85</v>
      </c>
      <c r="F25" s="6">
        <f>IFERROR(__xludf.DUMMYFUNCTION("""COMPUTED_VALUE"""),1.86673965E8)</f>
        <v>186673965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IFERROR(__xludf.DUMMYFUNCTION("""COMPUTED_VALUE"""),226.65)</f>
        <v>226.65</v>
      </c>
      <c r="C26" s="6">
        <f>IFERROR(__xludf.DUMMYFUNCTION("""COMPUTED_VALUE"""),233.8)</f>
        <v>233.8</v>
      </c>
      <c r="D26" s="6">
        <f>IFERROR(__xludf.DUMMYFUNCTION("""COMPUTED_VALUE"""),220.05)</f>
        <v>220.05</v>
      </c>
      <c r="E26" s="6">
        <f>IFERROR(__xludf.DUMMYFUNCTION("""COMPUTED_VALUE"""),229.6)</f>
        <v>229.6</v>
      </c>
      <c r="F26" s="6">
        <f>IFERROR(__xludf.DUMMYFUNCTION("""COMPUTED_VALUE"""),1.03858816E8)</f>
        <v>103858816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IFERROR(__xludf.DUMMYFUNCTION("""COMPUTED_VALUE"""),237.1)</f>
        <v>237.1</v>
      </c>
      <c r="C27" s="6">
        <f>IFERROR(__xludf.DUMMYFUNCTION("""COMPUTED_VALUE"""),275.85)</f>
        <v>275.85</v>
      </c>
      <c r="D27" s="6">
        <f>IFERROR(__xludf.DUMMYFUNCTION("""COMPUTED_VALUE"""),237.1)</f>
        <v>237.1</v>
      </c>
      <c r="E27" s="6">
        <f>IFERROR(__xludf.DUMMYFUNCTION("""COMPUTED_VALUE"""),257.5)</f>
        <v>257.5</v>
      </c>
      <c r="F27" s="6">
        <f>IFERROR(__xludf.DUMMYFUNCTION("""COMPUTED_VALUE"""),4.1826283E8)</f>
        <v>418262830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IFERROR(__xludf.DUMMYFUNCTION("""COMPUTED_VALUE"""),259.1)</f>
        <v>259.1</v>
      </c>
      <c r="C28" s="6">
        <f>IFERROR(__xludf.DUMMYFUNCTION("""COMPUTED_VALUE"""),259.55)</f>
        <v>259.55</v>
      </c>
      <c r="D28" s="6">
        <f>IFERROR(__xludf.DUMMYFUNCTION("""COMPUTED_VALUE"""),207.1)</f>
        <v>207.1</v>
      </c>
      <c r="E28" s="6">
        <f>IFERROR(__xludf.DUMMYFUNCTION("""COMPUTED_VALUE"""),216.75)</f>
        <v>216.75</v>
      </c>
      <c r="F28" s="6">
        <f>IFERROR(__xludf.DUMMYFUNCTION("""COMPUTED_VALUE"""),1.81717644E8)</f>
        <v>181717644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IFERROR(__xludf.DUMMYFUNCTION("""COMPUTED_VALUE"""),216.75)</f>
        <v>216.75</v>
      </c>
      <c r="C29" s="6">
        <f>IFERROR(__xludf.DUMMYFUNCTION("""COMPUTED_VALUE"""),240.35)</f>
        <v>240.35</v>
      </c>
      <c r="D29" s="6">
        <f>IFERROR(__xludf.DUMMYFUNCTION("""COMPUTED_VALUE"""),213.4)</f>
        <v>213.4</v>
      </c>
      <c r="E29" s="6">
        <f>IFERROR(__xludf.DUMMYFUNCTION("""COMPUTED_VALUE"""),239.1)</f>
        <v>239.1</v>
      </c>
      <c r="F29" s="6">
        <f>IFERROR(__xludf.DUMMYFUNCTION("""COMPUTED_VALUE"""),1.30074909E8)</f>
        <v>130074909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IFERROR(__xludf.DUMMYFUNCTION("""COMPUTED_VALUE"""),238.5)</f>
        <v>238.5</v>
      </c>
      <c r="C30" s="6">
        <f>IFERROR(__xludf.DUMMYFUNCTION("""COMPUTED_VALUE"""),253.7)</f>
        <v>253.7</v>
      </c>
      <c r="D30" s="6">
        <f>IFERROR(__xludf.DUMMYFUNCTION("""COMPUTED_VALUE"""),236.2)</f>
        <v>236.2</v>
      </c>
      <c r="E30" s="6">
        <f>IFERROR(__xludf.DUMMYFUNCTION("""COMPUTED_VALUE"""),247.3)</f>
        <v>247.3</v>
      </c>
      <c r="F30" s="6">
        <f>IFERROR(__xludf.DUMMYFUNCTION("""COMPUTED_VALUE"""),6.3317085E7)</f>
        <v>63317085</v>
      </c>
    </row>
    <row r="31">
      <c r="A31" s="7">
        <f>IFERROR(__xludf.DUMMYFUNCTION("""COMPUTED_VALUE"""),45387.64583333333)</f>
        <v>45387.64583</v>
      </c>
      <c r="B31" s="6">
        <f>IFERROR(__xludf.DUMMYFUNCTION("""COMPUTED_VALUE"""),249.0)</f>
        <v>249</v>
      </c>
      <c r="C31" s="6">
        <f>IFERROR(__xludf.DUMMYFUNCTION("""COMPUTED_VALUE"""),256.9)</f>
        <v>256.9</v>
      </c>
      <c r="D31" s="6">
        <f>IFERROR(__xludf.DUMMYFUNCTION("""COMPUTED_VALUE"""),247.45)</f>
        <v>247.45</v>
      </c>
      <c r="E31" s="6">
        <f>IFERROR(__xludf.DUMMYFUNCTION("""COMPUTED_VALUE"""),254.95)</f>
        <v>254.95</v>
      </c>
      <c r="F31" s="6">
        <f>IFERROR(__xludf.DUMMYFUNCTION("""COMPUTED_VALUE"""),8.4971797E7)</f>
        <v>84971797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IFERROR(__xludf.DUMMYFUNCTION("""COMPUTED_VALUE"""),255.75)</f>
        <v>255.75</v>
      </c>
      <c r="C32" s="6">
        <f>IFERROR(__xludf.DUMMYFUNCTION("""COMPUTED_VALUE"""),269.2)</f>
        <v>269.2</v>
      </c>
      <c r="D32" s="6">
        <f>IFERROR(__xludf.DUMMYFUNCTION("""COMPUTED_VALUE"""),253.35)</f>
        <v>253.35</v>
      </c>
      <c r="E32" s="6">
        <f>IFERROR(__xludf.DUMMYFUNCTION("""COMPUTED_VALUE"""),262.5)</f>
        <v>262.5</v>
      </c>
      <c r="F32" s="6">
        <f>IFERROR(__xludf.DUMMYFUNCTION("""COMPUTED_VALUE"""),8.4032247E7)</f>
        <v>84032247</v>
      </c>
    </row>
    <row r="33">
      <c r="A33" s="7">
        <f>IFERROR(__xludf.DUMMYFUNCTION("""COMPUTED_VALUE"""),45401.64583333333)</f>
        <v>45401.64583</v>
      </c>
      <c r="B33" s="6">
        <f>IFERROR(__xludf.DUMMYFUNCTION("""COMPUTED_VALUE"""),254.2)</f>
        <v>254.2</v>
      </c>
      <c r="C33" s="6">
        <f>IFERROR(__xludf.DUMMYFUNCTION("""COMPUTED_VALUE"""),263.0)</f>
        <v>263</v>
      </c>
      <c r="D33" s="6">
        <f>IFERROR(__xludf.DUMMYFUNCTION("""COMPUTED_VALUE"""),246.25)</f>
        <v>246.25</v>
      </c>
      <c r="E33" s="6">
        <f>IFERROR(__xludf.DUMMYFUNCTION("""COMPUTED_VALUE"""),254.55)</f>
        <v>254.55</v>
      </c>
      <c r="F33" s="6">
        <f>IFERROR(__xludf.DUMMYFUNCTION("""COMPUTED_VALUE"""),6.9922911E7)</f>
        <v>69922911</v>
      </c>
    </row>
    <row r="34">
      <c r="A34" s="7">
        <f>IFERROR(__xludf.DUMMYFUNCTION("""COMPUTED_VALUE"""),45408.64583333333)</f>
        <v>45408.64583</v>
      </c>
      <c r="B34" s="6">
        <f>IFERROR(__xludf.DUMMYFUNCTION("""COMPUTED_VALUE"""),257.45)</f>
        <v>257.45</v>
      </c>
      <c r="C34" s="6">
        <f>IFERROR(__xludf.DUMMYFUNCTION("""COMPUTED_VALUE"""),281.45)</f>
        <v>281.45</v>
      </c>
      <c r="D34" s="6">
        <f>IFERROR(__xludf.DUMMYFUNCTION("""COMPUTED_VALUE"""),254.5)</f>
        <v>254.5</v>
      </c>
      <c r="E34" s="6">
        <f>IFERROR(__xludf.DUMMYFUNCTION("""COMPUTED_VALUE"""),278.85)</f>
        <v>278.85</v>
      </c>
      <c r="F34" s="6">
        <f>IFERROR(__xludf.DUMMYFUNCTION("""COMPUTED_VALUE"""),1.03023094E8)</f>
        <v>103023094</v>
      </c>
    </row>
    <row r="35">
      <c r="A35" s="7">
        <f>IFERROR(__xludf.DUMMYFUNCTION("""COMPUTED_VALUE"""),45415.64583333333)</f>
        <v>45415.64583</v>
      </c>
      <c r="B35" s="6">
        <f>IFERROR(__xludf.DUMMYFUNCTION("""COMPUTED_VALUE"""),281.9)</f>
        <v>281.9</v>
      </c>
      <c r="C35" s="6">
        <f>IFERROR(__xludf.DUMMYFUNCTION("""COMPUTED_VALUE"""),318.3)</f>
        <v>318.3</v>
      </c>
      <c r="D35" s="6">
        <f>IFERROR(__xludf.DUMMYFUNCTION("""COMPUTED_VALUE"""),274.8)</f>
        <v>274.8</v>
      </c>
      <c r="E35" s="6">
        <f>IFERROR(__xludf.DUMMYFUNCTION("""COMPUTED_VALUE"""),305.0)</f>
        <v>305</v>
      </c>
      <c r="F35" s="6">
        <f>IFERROR(__xludf.DUMMYFUNCTION("""COMPUTED_VALUE"""),2.24685671E8)</f>
        <v>224685671</v>
      </c>
    </row>
    <row r="36">
      <c r="A36" s="7">
        <f>IFERROR(__xludf.DUMMYFUNCTION("""COMPUTED_VALUE"""),45422.64583333333)</f>
        <v>45422.64583</v>
      </c>
      <c r="B36" s="6">
        <f>IFERROR(__xludf.DUMMYFUNCTION("""COMPUTED_VALUE"""),308.15)</f>
        <v>308.15</v>
      </c>
      <c r="C36" s="6">
        <f>IFERROR(__xludf.DUMMYFUNCTION("""COMPUTED_VALUE"""),308.6)</f>
        <v>308.6</v>
      </c>
      <c r="D36" s="6">
        <f>IFERROR(__xludf.DUMMYFUNCTION("""COMPUTED_VALUE"""),267.05)</f>
        <v>267.05</v>
      </c>
      <c r="E36" s="6">
        <f>IFERROR(__xludf.DUMMYFUNCTION("""COMPUTED_VALUE"""),274.3)</f>
        <v>274.3</v>
      </c>
      <c r="F36" s="6">
        <f>IFERROR(__xludf.DUMMYFUNCTION("""COMPUTED_VALUE"""),1.85035149E8)</f>
        <v>185035149</v>
      </c>
    </row>
    <row r="37">
      <c r="A37" s="7">
        <f>IFERROR(__xludf.DUMMYFUNCTION("""COMPUTED_VALUE"""),45436.64583333333)</f>
        <v>45436.64583</v>
      </c>
      <c r="B37" s="6">
        <f>IFERROR(__xludf.DUMMYFUNCTION("""COMPUTED_VALUE"""),311.9)</f>
        <v>311.9</v>
      </c>
      <c r="C37" s="6">
        <f>IFERROR(__xludf.DUMMYFUNCTION("""COMPUTED_VALUE"""),322.5)</f>
        <v>322.5</v>
      </c>
      <c r="D37" s="6">
        <f>IFERROR(__xludf.DUMMYFUNCTION("""COMPUTED_VALUE"""),295.0)</f>
        <v>295</v>
      </c>
      <c r="E37" s="6">
        <f>IFERROR(__xludf.DUMMYFUNCTION("""COMPUTED_VALUE"""),305.65)</f>
        <v>305.65</v>
      </c>
      <c r="F37" s="6">
        <f>IFERROR(__xludf.DUMMYFUNCTION("""COMPUTED_VALUE"""),1.66513103E8)</f>
        <v>166513103</v>
      </c>
    </row>
    <row r="38">
      <c r="A38" s="7">
        <f>IFERROR(__xludf.DUMMYFUNCTION("""COMPUTED_VALUE"""),45443.64583333333)</f>
        <v>45443.64583</v>
      </c>
      <c r="B38" s="6">
        <f>IFERROR(__xludf.DUMMYFUNCTION("""COMPUTED_VALUE"""),307.25)</f>
        <v>307.25</v>
      </c>
      <c r="C38" s="6">
        <f>IFERROR(__xludf.DUMMYFUNCTION("""COMPUTED_VALUE"""),307.45)</f>
        <v>307.45</v>
      </c>
      <c r="D38" s="6">
        <f>IFERROR(__xludf.DUMMYFUNCTION("""COMPUTED_VALUE"""),288.55)</f>
        <v>288.55</v>
      </c>
      <c r="E38" s="6">
        <f>IFERROR(__xludf.DUMMYFUNCTION("""COMPUTED_VALUE"""),298.9)</f>
        <v>298.9</v>
      </c>
      <c r="F38" s="6">
        <f>IFERROR(__xludf.DUMMYFUNCTION("""COMPUTED_VALUE"""),1.04890963E8)</f>
        <v>104890963</v>
      </c>
    </row>
    <row r="39">
      <c r="A39" s="7">
        <f>IFERROR(__xludf.DUMMYFUNCTION("""COMPUTED_VALUE"""),45450.64583333333)</f>
        <v>45450.64583</v>
      </c>
      <c r="B39" s="6">
        <f>IFERROR(__xludf.DUMMYFUNCTION("""COMPUTED_VALUE"""),320.0)</f>
        <v>320</v>
      </c>
      <c r="C39" s="6">
        <f>IFERROR(__xludf.DUMMYFUNCTION("""COMPUTED_VALUE"""),321.0)</f>
        <v>321</v>
      </c>
      <c r="D39" s="6">
        <f>IFERROR(__xludf.DUMMYFUNCTION("""COMPUTED_VALUE"""),224.05)</f>
        <v>224.05</v>
      </c>
      <c r="E39" s="6">
        <f>IFERROR(__xludf.DUMMYFUNCTION("""COMPUTED_VALUE"""),285.5)</f>
        <v>285.5</v>
      </c>
      <c r="F39" s="6">
        <f>IFERROR(__xludf.DUMMYFUNCTION("""COMPUTED_VALUE"""),3.5991045E8)</f>
        <v>359910450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IFERROR(__xludf.DUMMYFUNCTION("""COMPUTED_VALUE"""),288.4)</f>
        <v>288.4</v>
      </c>
      <c r="C40" s="6">
        <f>IFERROR(__xludf.DUMMYFUNCTION("""COMPUTED_VALUE"""),309.45)</f>
        <v>309.45</v>
      </c>
      <c r="D40" s="6">
        <f>IFERROR(__xludf.DUMMYFUNCTION("""COMPUTED_VALUE"""),282.75)</f>
        <v>282.75</v>
      </c>
      <c r="E40" s="6">
        <f>IFERROR(__xludf.DUMMYFUNCTION("""COMPUTED_VALUE"""),305.7)</f>
        <v>305.7</v>
      </c>
      <c r="F40" s="6">
        <f>IFERROR(__xludf.DUMMYFUNCTION("""COMPUTED_VALUE"""),1.16867235E8)</f>
        <v>116867235</v>
      </c>
    </row>
    <row r="41">
      <c r="A41" s="7">
        <f>IFERROR(__xludf.DUMMYFUNCTION("""COMPUTED_VALUE"""),45464.64583333333)</f>
        <v>45464.64583</v>
      </c>
      <c r="B41" s="6">
        <f>IFERROR(__xludf.DUMMYFUNCTION("""COMPUTED_VALUE"""),308.5)</f>
        <v>308.5</v>
      </c>
      <c r="C41" s="6">
        <f>IFERROR(__xludf.DUMMYFUNCTION("""COMPUTED_VALUE"""),310.6)</f>
        <v>310.6</v>
      </c>
      <c r="D41" s="6">
        <f>IFERROR(__xludf.DUMMYFUNCTION("""COMPUTED_VALUE"""),291.5)</f>
        <v>291.5</v>
      </c>
      <c r="E41" s="6">
        <f>IFERROR(__xludf.DUMMYFUNCTION("""COMPUTED_VALUE"""),295.05)</f>
        <v>295.05</v>
      </c>
      <c r="F41" s="6">
        <f>IFERROR(__xludf.DUMMYFUNCTION("""COMPUTED_VALUE"""),9.1397021E7)</f>
        <v>91397021</v>
      </c>
    </row>
    <row r="42">
      <c r="A42" s="7">
        <f>IFERROR(__xludf.DUMMYFUNCTION("""COMPUTED_VALUE"""),45471.64583333333)</f>
        <v>45471.64583</v>
      </c>
      <c r="B42" s="6">
        <f>IFERROR(__xludf.DUMMYFUNCTION("""COMPUTED_VALUE"""),294.0)</f>
        <v>294</v>
      </c>
      <c r="C42" s="6">
        <f>IFERROR(__xludf.DUMMYFUNCTION("""COMPUTED_VALUE"""),307.9)</f>
        <v>307.9</v>
      </c>
      <c r="D42" s="6">
        <f>IFERROR(__xludf.DUMMYFUNCTION("""COMPUTED_VALUE"""),288.5)</f>
        <v>288.5</v>
      </c>
      <c r="E42" s="6">
        <f>IFERROR(__xludf.DUMMYFUNCTION("""COMPUTED_VALUE"""),300.85)</f>
        <v>300.85</v>
      </c>
      <c r="F42" s="6">
        <f>IFERROR(__xludf.DUMMYFUNCTION("""COMPUTED_VALUE"""),1.01090033E8)</f>
        <v>101090033</v>
      </c>
    </row>
    <row r="43">
      <c r="A43" s="7">
        <f>IFERROR(__xludf.DUMMYFUNCTION("""COMPUTED_VALUE"""),45478.64583333333)</f>
        <v>45478.64583</v>
      </c>
      <c r="B43" s="6">
        <f>IFERROR(__xludf.DUMMYFUNCTION("""COMPUTED_VALUE"""),301.95)</f>
        <v>301.95</v>
      </c>
      <c r="C43" s="6">
        <f>IFERROR(__xludf.DUMMYFUNCTION("""COMPUTED_VALUE"""),322.0)</f>
        <v>322</v>
      </c>
      <c r="D43" s="6">
        <f>IFERROR(__xludf.DUMMYFUNCTION("""COMPUTED_VALUE"""),293.75)</f>
        <v>293.75</v>
      </c>
      <c r="E43" s="6">
        <f>IFERROR(__xludf.DUMMYFUNCTION("""COMPUTED_VALUE"""),316.4)</f>
        <v>316.4</v>
      </c>
      <c r="F43" s="6">
        <f>IFERROR(__xludf.DUMMYFUNCTION("""COMPUTED_VALUE"""),1.31781278E8)</f>
        <v>131781278</v>
      </c>
    </row>
    <row r="44">
      <c r="A44" s="7">
        <f>IFERROR(__xludf.DUMMYFUNCTION("""COMPUTED_VALUE"""),45485.64583333333)</f>
        <v>45485.64583</v>
      </c>
      <c r="B44" s="6">
        <f>IFERROR(__xludf.DUMMYFUNCTION("""COMPUTED_VALUE"""),317.3)</f>
        <v>317.3</v>
      </c>
      <c r="C44" s="6">
        <f>IFERROR(__xludf.DUMMYFUNCTION("""COMPUTED_VALUE"""),335.35)</f>
        <v>335.35</v>
      </c>
      <c r="D44" s="6">
        <f>IFERROR(__xludf.DUMMYFUNCTION("""COMPUTED_VALUE"""),314.6)</f>
        <v>314.6</v>
      </c>
      <c r="E44" s="6">
        <f>IFERROR(__xludf.DUMMYFUNCTION("""COMPUTED_VALUE"""),325.9)</f>
        <v>325.9</v>
      </c>
      <c r="F44" s="6">
        <f>IFERROR(__xludf.DUMMYFUNCTION("""COMPUTED_VALUE"""),1.53315668E8)</f>
        <v>153315668</v>
      </c>
    </row>
    <row r="45">
      <c r="A45" s="7">
        <f>IFERROR(__xludf.DUMMYFUNCTION("""COMPUTED_VALUE"""),45492.64583333333)</f>
        <v>45492.64583</v>
      </c>
      <c r="B45" s="6">
        <f>IFERROR(__xludf.DUMMYFUNCTION("""COMPUTED_VALUE"""),327.45)</f>
        <v>327.45</v>
      </c>
      <c r="C45" s="6">
        <f>IFERROR(__xludf.DUMMYFUNCTION("""COMPUTED_VALUE"""),328.4)</f>
        <v>328.4</v>
      </c>
      <c r="D45" s="6">
        <f>IFERROR(__xludf.DUMMYFUNCTION("""COMPUTED_VALUE"""),292.75)</f>
        <v>292.75</v>
      </c>
      <c r="E45" s="6">
        <f>IFERROR(__xludf.DUMMYFUNCTION("""COMPUTED_VALUE"""),294.1)</f>
        <v>294.1</v>
      </c>
      <c r="F45" s="6">
        <f>IFERROR(__xludf.DUMMYFUNCTION("""COMPUTED_VALUE"""),6.8988474E7)</f>
        <v>68988474</v>
      </c>
    </row>
    <row r="46">
      <c r="A46" s="7">
        <f>IFERROR(__xludf.DUMMYFUNCTION("""COMPUTED_VALUE"""),45499.64583333333)</f>
        <v>45499.64583</v>
      </c>
      <c r="B46" s="6">
        <f>IFERROR(__xludf.DUMMYFUNCTION("""COMPUTED_VALUE"""),294.1)</f>
        <v>294.1</v>
      </c>
      <c r="C46" s="6">
        <f>IFERROR(__xludf.DUMMYFUNCTION("""COMPUTED_VALUE"""),318.25)</f>
        <v>318.25</v>
      </c>
      <c r="D46" s="6">
        <f>IFERROR(__xludf.DUMMYFUNCTION("""COMPUTED_VALUE"""),283.0)</f>
        <v>283</v>
      </c>
      <c r="E46" s="6">
        <f>IFERROR(__xludf.DUMMYFUNCTION("""COMPUTED_VALUE"""),317.3)</f>
        <v>317.3</v>
      </c>
      <c r="F46" s="6">
        <f>IFERROR(__xludf.DUMMYFUNCTION("""COMPUTED_VALUE"""),1.30534585E8)</f>
        <v>130534585</v>
      </c>
    </row>
    <row r="47">
      <c r="A47" s="7">
        <f>IFERROR(__xludf.DUMMYFUNCTION("""COMPUTED_VALUE"""),45506.64583333333)</f>
        <v>45506.64583</v>
      </c>
      <c r="B47" s="6">
        <f>IFERROR(__xludf.DUMMYFUNCTION("""COMPUTED_VALUE"""),327.0)</f>
        <v>327</v>
      </c>
      <c r="C47" s="6">
        <f>IFERROR(__xludf.DUMMYFUNCTION("""COMPUTED_VALUE"""),327.0)</f>
        <v>327</v>
      </c>
      <c r="D47" s="6">
        <f>IFERROR(__xludf.DUMMYFUNCTION("""COMPUTED_VALUE"""),300.6)</f>
        <v>300.6</v>
      </c>
      <c r="E47" s="6">
        <f>IFERROR(__xludf.DUMMYFUNCTION("""COMPUTED_VALUE"""),301.65)</f>
        <v>301.65</v>
      </c>
      <c r="F47" s="6">
        <f>IFERROR(__xludf.DUMMYFUNCTION("""COMPUTED_VALUE"""),1.096975E8)</f>
        <v>109697500</v>
      </c>
    </row>
    <row r="48">
      <c r="A48" s="7">
        <f>IFERROR(__xludf.DUMMYFUNCTION("""COMPUTED_VALUE"""),45513.64583333333)</f>
        <v>45513.64583</v>
      </c>
      <c r="B48" s="6">
        <f>IFERROR(__xludf.DUMMYFUNCTION("""COMPUTED_VALUE"""),292.0)</f>
        <v>292</v>
      </c>
      <c r="C48" s="6">
        <f>IFERROR(__xludf.DUMMYFUNCTION("""COMPUTED_VALUE"""),305.8)</f>
        <v>305.8</v>
      </c>
      <c r="D48" s="6">
        <f>IFERROR(__xludf.DUMMYFUNCTION("""COMPUTED_VALUE"""),285.0)</f>
        <v>285</v>
      </c>
      <c r="E48" s="6">
        <f>IFERROR(__xludf.DUMMYFUNCTION("""COMPUTED_VALUE"""),302.2)</f>
        <v>302.2</v>
      </c>
      <c r="F48" s="6">
        <f>IFERROR(__xludf.DUMMYFUNCTION("""COMPUTED_VALUE"""),8.6839706E7)</f>
        <v>86839706</v>
      </c>
    </row>
    <row r="49">
      <c r="A49" s="7">
        <f>IFERROR(__xludf.DUMMYFUNCTION("""COMPUTED_VALUE"""),45520.64583333333)</f>
        <v>45520.64583</v>
      </c>
      <c r="B49" s="6">
        <f>IFERROR(__xludf.DUMMYFUNCTION("""COMPUTED_VALUE"""),300.05)</f>
        <v>300.05</v>
      </c>
      <c r="C49" s="6">
        <f>IFERROR(__xludf.DUMMYFUNCTION("""COMPUTED_VALUE"""),302.65)</f>
        <v>302.65</v>
      </c>
      <c r="D49" s="6">
        <f>IFERROR(__xludf.DUMMYFUNCTION("""COMPUTED_VALUE"""),286.3)</f>
        <v>286.3</v>
      </c>
      <c r="E49" s="6">
        <f>IFERROR(__xludf.DUMMYFUNCTION("""COMPUTED_VALUE"""),296.55)</f>
        <v>296.55</v>
      </c>
      <c r="F49" s="6">
        <f>IFERROR(__xludf.DUMMYFUNCTION("""COMPUTED_VALUE"""),4.4052172E7)</f>
        <v>44052172</v>
      </c>
    </row>
    <row r="50">
      <c r="A50" s="7">
        <f>IFERROR(__xludf.DUMMYFUNCTION("""COMPUTED_VALUE"""),45527.64583333333)</f>
        <v>45527.64583</v>
      </c>
      <c r="B50" s="6">
        <f>IFERROR(__xludf.DUMMYFUNCTION("""COMPUTED_VALUE"""),297.9)</f>
        <v>297.9</v>
      </c>
      <c r="C50" s="6">
        <f>IFERROR(__xludf.DUMMYFUNCTION("""COMPUTED_VALUE"""),302.5)</f>
        <v>302.5</v>
      </c>
      <c r="D50" s="6">
        <f>IFERROR(__xludf.DUMMYFUNCTION("""COMPUTED_VALUE"""),291.65)</f>
        <v>291.65</v>
      </c>
      <c r="E50" s="6">
        <f>IFERROR(__xludf.DUMMYFUNCTION("""COMPUTED_VALUE"""),296.2)</f>
        <v>296.2</v>
      </c>
      <c r="F50" s="6">
        <f>IFERROR(__xludf.DUMMYFUNCTION("""COMPUTED_VALUE"""),4.1737063E7)</f>
        <v>41737063</v>
      </c>
    </row>
    <row r="51">
      <c r="A51" s="7">
        <f>IFERROR(__xludf.DUMMYFUNCTION("""COMPUTED_VALUE"""),45534.64583333333)</f>
        <v>45534.64583</v>
      </c>
      <c r="B51" s="6">
        <f>IFERROR(__xludf.DUMMYFUNCTION("""COMPUTED_VALUE"""),297.75)</f>
        <v>297.75</v>
      </c>
      <c r="C51" s="6">
        <f>IFERROR(__xludf.DUMMYFUNCTION("""COMPUTED_VALUE"""),304.0)</f>
        <v>304</v>
      </c>
      <c r="D51" s="6">
        <f>IFERROR(__xludf.DUMMYFUNCTION("""COMPUTED_VALUE"""),287.1)</f>
        <v>287.1</v>
      </c>
      <c r="E51" s="6">
        <f>IFERROR(__xludf.DUMMYFUNCTION("""COMPUTED_VALUE"""),290.55)</f>
        <v>290.55</v>
      </c>
      <c r="F51" s="6">
        <f>IFERROR(__xludf.DUMMYFUNCTION("""COMPUTED_VALUE"""),4.9664174E7)</f>
        <v>49664174</v>
      </c>
    </row>
    <row r="52">
      <c r="A52" s="7">
        <f>IFERROR(__xludf.DUMMYFUNCTION("""COMPUTED_VALUE"""),45541.64583333333)</f>
        <v>45541.64583</v>
      </c>
      <c r="B52" s="6">
        <f>IFERROR(__xludf.DUMMYFUNCTION("""COMPUTED_VALUE"""),291.0)</f>
        <v>291</v>
      </c>
      <c r="C52" s="6">
        <f>IFERROR(__xludf.DUMMYFUNCTION("""COMPUTED_VALUE"""),292.0)</f>
        <v>292</v>
      </c>
      <c r="D52" s="6">
        <f>IFERROR(__xludf.DUMMYFUNCTION("""COMPUTED_VALUE"""),263.15)</f>
        <v>263.15</v>
      </c>
      <c r="E52" s="6">
        <f>IFERROR(__xludf.DUMMYFUNCTION("""COMPUTED_VALUE"""),263.8)</f>
        <v>263.8</v>
      </c>
      <c r="F52" s="6">
        <f>IFERROR(__xludf.DUMMYFUNCTION("""COMPUTED_VALUE"""),6.5017199E7)</f>
        <v>65017199</v>
      </c>
    </row>
    <row r="53">
      <c r="A53" s="7">
        <f>IFERROR(__xludf.DUMMYFUNCTION("""COMPUTED_VALUE"""),45548.64583333333)</f>
        <v>45548.64583</v>
      </c>
      <c r="B53" s="6">
        <f>IFERROR(__xludf.DUMMYFUNCTION("""COMPUTED_VALUE"""),263.7)</f>
        <v>263.7</v>
      </c>
      <c r="C53" s="6">
        <f>IFERROR(__xludf.DUMMYFUNCTION("""COMPUTED_VALUE"""),267.7)</f>
        <v>267.7</v>
      </c>
      <c r="D53" s="6">
        <f>IFERROR(__xludf.DUMMYFUNCTION("""COMPUTED_VALUE"""),257.35)</f>
        <v>257.35</v>
      </c>
      <c r="E53" s="6">
        <f>IFERROR(__xludf.DUMMYFUNCTION("""COMPUTED_VALUE"""),264.3)</f>
        <v>264.3</v>
      </c>
      <c r="F53" s="6">
        <f>IFERROR(__xludf.DUMMYFUNCTION("""COMPUTED_VALUE"""),5.8978343E7)</f>
        <v>58978343</v>
      </c>
    </row>
    <row r="54">
      <c r="A54" s="7">
        <f>IFERROR(__xludf.DUMMYFUNCTION("""COMPUTED_VALUE"""),45555.64583333333)</f>
        <v>45555.64583</v>
      </c>
      <c r="B54" s="6">
        <f>IFERROR(__xludf.DUMMYFUNCTION("""COMPUTED_VALUE"""),264.3)</f>
        <v>264.3</v>
      </c>
      <c r="C54" s="6">
        <f>IFERROR(__xludf.DUMMYFUNCTION("""COMPUTED_VALUE"""),270.7)</f>
        <v>270.7</v>
      </c>
      <c r="D54" s="6">
        <f>IFERROR(__xludf.DUMMYFUNCTION("""COMPUTED_VALUE"""),249.45)</f>
        <v>249.45</v>
      </c>
      <c r="E54" s="6">
        <f>IFERROR(__xludf.DUMMYFUNCTION("""COMPUTED_VALUE"""),266.15)</f>
        <v>266.15</v>
      </c>
      <c r="F54" s="6">
        <f>IFERROR(__xludf.DUMMYFUNCTION("""COMPUTED_VALUE"""),5.8001209E7)</f>
        <v>58001209</v>
      </c>
    </row>
    <row r="55">
      <c r="A55" s="7">
        <f>IFERROR(__xludf.DUMMYFUNCTION("""COMPUTED_VALUE"""),45562.64583333333)</f>
        <v>45562.64583</v>
      </c>
      <c r="B55" s="6">
        <f>IFERROR(__xludf.DUMMYFUNCTION("""COMPUTED_VALUE"""),274.0)</f>
        <v>274</v>
      </c>
      <c r="C55" s="6">
        <f>IFERROR(__xludf.DUMMYFUNCTION("""COMPUTED_VALUE"""),291.1)</f>
        <v>291.1</v>
      </c>
      <c r="D55" s="6">
        <f>IFERROR(__xludf.DUMMYFUNCTION("""COMPUTED_VALUE"""),269.2)</f>
        <v>269.2</v>
      </c>
      <c r="E55" s="6">
        <f>IFERROR(__xludf.DUMMYFUNCTION("""COMPUTED_VALUE"""),287.55)</f>
        <v>287.55</v>
      </c>
      <c r="F55" s="6">
        <f>IFERROR(__xludf.DUMMYFUNCTION("""COMPUTED_VALUE"""),1.10278286E8)</f>
        <v>110278286</v>
      </c>
    </row>
    <row r="56">
      <c r="A56" s="7">
        <f>IFERROR(__xludf.DUMMYFUNCTION("""COMPUTED_VALUE"""),45569.64583333333)</f>
        <v>45569.64583</v>
      </c>
      <c r="B56" s="6">
        <f>IFERROR(__xludf.DUMMYFUNCTION("""COMPUTED_VALUE"""),284.8)</f>
        <v>284.8</v>
      </c>
      <c r="C56" s="6">
        <f>IFERROR(__xludf.DUMMYFUNCTION("""COMPUTED_VALUE"""),285.5)</f>
        <v>285.5</v>
      </c>
      <c r="D56" s="6">
        <f>IFERROR(__xludf.DUMMYFUNCTION("""COMPUTED_VALUE"""),262.25)</f>
        <v>262.25</v>
      </c>
      <c r="E56" s="6">
        <f>IFERROR(__xludf.DUMMYFUNCTION("""COMPUTED_VALUE"""),267.6)</f>
        <v>267.6</v>
      </c>
      <c r="F56" s="6">
        <f>IFERROR(__xludf.DUMMYFUNCTION("""COMPUTED_VALUE"""),6.3279389E7)</f>
        <v>63279389</v>
      </c>
    </row>
    <row r="57">
      <c r="A57" s="7">
        <f>IFERROR(__xludf.DUMMYFUNCTION("""COMPUTED_VALUE"""),45576.64583333333)</f>
        <v>45576.64583</v>
      </c>
      <c r="B57" s="6">
        <f>IFERROR(__xludf.DUMMYFUNCTION("""COMPUTED_VALUE"""),269.5)</f>
        <v>269.5</v>
      </c>
      <c r="C57" s="6">
        <f>IFERROR(__xludf.DUMMYFUNCTION("""COMPUTED_VALUE"""),273.9)</f>
        <v>273.9</v>
      </c>
      <c r="D57" s="6">
        <f>IFERROR(__xludf.DUMMYFUNCTION("""COMPUTED_VALUE"""),254.15)</f>
        <v>254.15</v>
      </c>
      <c r="E57" s="6">
        <f>IFERROR(__xludf.DUMMYFUNCTION("""COMPUTED_VALUE"""),270.0)</f>
        <v>270</v>
      </c>
      <c r="F57" s="6">
        <f>IFERROR(__xludf.DUMMYFUNCTION("""COMPUTED_VALUE"""),5.5482863E7)</f>
        <v>55482863</v>
      </c>
    </row>
    <row r="58">
      <c r="A58" s="7">
        <f>IFERROR(__xludf.DUMMYFUNCTION("""COMPUTED_VALUE"""),45583.64583333333)</f>
        <v>45583.64583</v>
      </c>
      <c r="B58" s="6">
        <f>IFERROR(__xludf.DUMMYFUNCTION("""COMPUTED_VALUE"""),270.65)</f>
        <v>270.65</v>
      </c>
      <c r="C58" s="6">
        <f>IFERROR(__xludf.DUMMYFUNCTION("""COMPUTED_VALUE"""),275.55)</f>
        <v>275.55</v>
      </c>
      <c r="D58" s="6">
        <f>IFERROR(__xludf.DUMMYFUNCTION("""COMPUTED_VALUE"""),246.5)</f>
        <v>246.5</v>
      </c>
      <c r="E58" s="6">
        <f>IFERROR(__xludf.DUMMYFUNCTION("""COMPUTED_VALUE"""),253.85)</f>
        <v>253.85</v>
      </c>
      <c r="F58" s="6">
        <f>IFERROR(__xludf.DUMMYFUNCTION("""COMPUTED_VALUE"""),5.5202156E7)</f>
        <v>55202156</v>
      </c>
    </row>
    <row r="59">
      <c r="A59" s="7">
        <f>IFERROR(__xludf.DUMMYFUNCTION("""COMPUTED_VALUE"""),45590.64583333333)</f>
        <v>45590.64583</v>
      </c>
      <c r="B59" s="6">
        <f>IFERROR(__xludf.DUMMYFUNCTION("""COMPUTED_VALUE"""),255.5)</f>
        <v>255.5</v>
      </c>
      <c r="C59" s="6">
        <f>IFERROR(__xludf.DUMMYFUNCTION("""COMPUTED_VALUE"""),257.95)</f>
        <v>257.95</v>
      </c>
      <c r="D59" s="6">
        <f>IFERROR(__xludf.DUMMYFUNCTION("""COMPUTED_VALUE"""),210.7)</f>
        <v>210.7</v>
      </c>
      <c r="E59" s="6">
        <f>IFERROR(__xludf.DUMMYFUNCTION("""COMPUTED_VALUE"""),216.85)</f>
        <v>216.85</v>
      </c>
      <c r="F59" s="6">
        <f>IFERROR(__xludf.DUMMYFUNCTION("""COMPUTED_VALUE"""),1.56813682E8)</f>
        <v>156813682</v>
      </c>
    </row>
    <row r="60">
      <c r="A60" s="7">
        <f>IFERROR(__xludf.DUMMYFUNCTION("""COMPUTED_VALUE"""),45604.64583333333)</f>
        <v>45604.64583</v>
      </c>
      <c r="B60" s="6">
        <f>IFERROR(__xludf.DUMMYFUNCTION("""COMPUTED_VALUE"""),242.95)</f>
        <v>242.95</v>
      </c>
      <c r="C60" s="6">
        <f>IFERROR(__xludf.DUMMYFUNCTION("""COMPUTED_VALUE"""),249.4)</f>
        <v>249.4</v>
      </c>
      <c r="D60" s="6">
        <f>IFERROR(__xludf.DUMMYFUNCTION("""COMPUTED_VALUE"""),229.5)</f>
        <v>229.5</v>
      </c>
      <c r="E60" s="6">
        <f>IFERROR(__xludf.DUMMYFUNCTION("""COMPUTED_VALUE"""),239.04)</f>
        <v>239.04</v>
      </c>
      <c r="F60" s="6">
        <f>IFERROR(__xludf.DUMMYFUNCTION("""COMPUTED_VALUE"""),7.0109055E7)</f>
        <v>70109055</v>
      </c>
    </row>
    <row r="61">
      <c r="A61" s="7">
        <f>IFERROR(__xludf.DUMMYFUNCTION("""COMPUTED_VALUE"""),45610.64583333333)</f>
        <v>45610.64583</v>
      </c>
      <c r="B61" s="6">
        <f>IFERROR(__xludf.DUMMYFUNCTION("""COMPUTED_VALUE"""),237.4)</f>
        <v>237.4</v>
      </c>
      <c r="C61" s="6">
        <f>IFERROR(__xludf.DUMMYFUNCTION("""COMPUTED_VALUE"""),242.45)</f>
        <v>242.45</v>
      </c>
      <c r="D61" s="6">
        <f>IFERROR(__xludf.DUMMYFUNCTION("""COMPUTED_VALUE"""),220.71)</f>
        <v>220.71</v>
      </c>
      <c r="E61" s="6">
        <f>IFERROR(__xludf.DUMMYFUNCTION("""COMPUTED_VALUE"""),223.71)</f>
        <v>223.71</v>
      </c>
      <c r="F61" s="6">
        <f>IFERROR(__xludf.DUMMYFUNCTION("""COMPUTED_VALUE"""),3.9846049E7)</f>
        <v>39846049</v>
      </c>
    </row>
    <row r="62">
      <c r="A62" s="7">
        <f>IFERROR(__xludf.DUMMYFUNCTION("""COMPUTED_VALUE"""),45618.64583333333)</f>
        <v>45618.64583</v>
      </c>
      <c r="B62" s="6">
        <f>IFERROR(__xludf.DUMMYFUNCTION("""COMPUTED_VALUE"""),225.11)</f>
        <v>225.11</v>
      </c>
      <c r="C62" s="6">
        <f>IFERROR(__xludf.DUMMYFUNCTION("""COMPUTED_VALUE"""),236.15)</f>
        <v>236.15</v>
      </c>
      <c r="D62" s="6">
        <f>IFERROR(__xludf.DUMMYFUNCTION("""COMPUTED_VALUE"""),218.12)</f>
        <v>218.12</v>
      </c>
      <c r="E62" s="6">
        <f>IFERROR(__xludf.DUMMYFUNCTION("""COMPUTED_VALUE"""),234.39)</f>
        <v>234.39</v>
      </c>
      <c r="F62" s="6">
        <f>IFERROR(__xludf.DUMMYFUNCTION("""COMPUTED_VALUE"""),5.3390624E7)</f>
        <v>53390624</v>
      </c>
    </row>
    <row r="63">
      <c r="A63" s="7">
        <f>IFERROR(__xludf.DUMMYFUNCTION("""COMPUTED_VALUE"""),45625.64583333333)</f>
        <v>45625.64583</v>
      </c>
      <c r="B63" s="6">
        <f>IFERROR(__xludf.DUMMYFUNCTION("""COMPUTED_VALUE"""),241.9)</f>
        <v>241.9</v>
      </c>
      <c r="C63" s="6">
        <f>IFERROR(__xludf.DUMMYFUNCTION("""COMPUTED_VALUE"""),253.8)</f>
        <v>253.8</v>
      </c>
      <c r="D63" s="6">
        <f>IFERROR(__xludf.DUMMYFUNCTION("""COMPUTED_VALUE"""),240.4)</f>
        <v>240.4</v>
      </c>
      <c r="E63" s="6">
        <f>IFERROR(__xludf.DUMMYFUNCTION("""COMPUTED_VALUE"""),251.09)</f>
        <v>251.09</v>
      </c>
      <c r="F63" s="6">
        <f>IFERROR(__xludf.DUMMYFUNCTION("""COMPUTED_VALUE"""),6.5028055E7)</f>
        <v>65028055</v>
      </c>
    </row>
    <row r="64">
      <c r="A64" s="7">
        <f>IFERROR(__xludf.DUMMYFUNCTION("""COMPUTED_VALUE"""),45632.64583333333)</f>
        <v>45632.64583</v>
      </c>
      <c r="B64" s="6">
        <f>IFERROR(__xludf.DUMMYFUNCTION("""COMPUTED_VALUE"""),249.75)</f>
        <v>249.75</v>
      </c>
      <c r="C64" s="6">
        <f>IFERROR(__xludf.DUMMYFUNCTION("""COMPUTED_VALUE"""),256.55)</f>
        <v>256.55</v>
      </c>
      <c r="D64" s="6">
        <f>IFERROR(__xludf.DUMMYFUNCTION("""COMPUTED_VALUE"""),247.75)</f>
        <v>247.75</v>
      </c>
      <c r="E64" s="6">
        <f>IFERROR(__xludf.DUMMYFUNCTION("""COMPUTED_VALUE"""),249.05)</f>
        <v>249.05</v>
      </c>
      <c r="F64" s="6">
        <f>IFERROR(__xludf.DUMMYFUNCTION("""COMPUTED_VALUE"""),3.3211685E7)</f>
        <v>33211685</v>
      </c>
    </row>
    <row r="65">
      <c r="A65" s="7">
        <f>IFERROR(__xludf.DUMMYFUNCTION("""COMPUTED_VALUE"""),45639.64583333333)</f>
        <v>45639.64583</v>
      </c>
      <c r="B65" s="6">
        <f>IFERROR(__xludf.DUMMYFUNCTION("""COMPUTED_VALUE"""),248.4)</f>
        <v>248.4</v>
      </c>
      <c r="C65" s="6">
        <f>IFERROR(__xludf.DUMMYFUNCTION("""COMPUTED_VALUE"""),255.65)</f>
        <v>255.65</v>
      </c>
      <c r="D65" s="6">
        <f>IFERROR(__xludf.DUMMYFUNCTION("""COMPUTED_VALUE"""),237.35)</f>
        <v>237.35</v>
      </c>
      <c r="E65" s="6">
        <f>IFERROR(__xludf.DUMMYFUNCTION("""COMPUTED_VALUE"""),242.75)</f>
        <v>242.75</v>
      </c>
      <c r="F65" s="6">
        <f>IFERROR(__xludf.DUMMYFUNCTION("""COMPUTED_VALUE"""),5.6291469E7)</f>
        <v>56291469</v>
      </c>
    </row>
    <row r="66">
      <c r="A66" s="7">
        <f>IFERROR(__xludf.DUMMYFUNCTION("""COMPUTED_VALUE"""),45646.64583333333)</f>
        <v>45646.64583</v>
      </c>
      <c r="B66" s="6">
        <f>IFERROR(__xludf.DUMMYFUNCTION("""COMPUTED_VALUE"""),242.75)</f>
        <v>242.75</v>
      </c>
      <c r="C66" s="6">
        <f>IFERROR(__xludf.DUMMYFUNCTION("""COMPUTED_VALUE"""),250.5)</f>
        <v>250.5</v>
      </c>
      <c r="D66" s="6">
        <f>IFERROR(__xludf.DUMMYFUNCTION("""COMPUTED_VALUE"""),232.0)</f>
        <v>232</v>
      </c>
      <c r="E66" s="6">
        <f>IFERROR(__xludf.DUMMYFUNCTION("""COMPUTED_VALUE"""),235.3)</f>
        <v>235.3</v>
      </c>
      <c r="F66" s="6">
        <f>IFERROR(__xludf.DUMMYFUNCTION("""COMPUTED_VALUE"""),4.9147069E7)</f>
        <v>49147069</v>
      </c>
    </row>
    <row r="67">
      <c r="A67" s="7">
        <f>IFERROR(__xludf.DUMMYFUNCTION("""COMPUTED_VALUE"""),45653.64583333333)</f>
        <v>45653.64583</v>
      </c>
      <c r="B67" s="6">
        <f>IFERROR(__xludf.DUMMYFUNCTION("""COMPUTED_VALUE"""),238.35)</f>
        <v>238.35</v>
      </c>
      <c r="C67" s="6">
        <f>IFERROR(__xludf.DUMMYFUNCTION("""COMPUTED_VALUE"""),243.85)</f>
        <v>243.85</v>
      </c>
      <c r="D67" s="6">
        <f>IFERROR(__xludf.DUMMYFUNCTION("""COMPUTED_VALUE"""),234.8)</f>
        <v>234.8</v>
      </c>
      <c r="E67" s="6">
        <f>IFERROR(__xludf.DUMMYFUNCTION("""COMPUTED_VALUE"""),235.4)</f>
        <v>235.4</v>
      </c>
      <c r="F67" s="6">
        <f>IFERROR(__xludf.DUMMYFUNCTION("""COMPUTED_VALUE"""),3.4876302E7)</f>
        <v>34876302</v>
      </c>
    </row>
    <row r="68">
      <c r="A68" s="7">
        <f>IFERROR(__xludf.DUMMYFUNCTION("""COMPUTED_VALUE"""),45660.64583333333)</f>
        <v>45660.64583</v>
      </c>
      <c r="B68" s="6">
        <f>IFERROR(__xludf.DUMMYFUNCTION("""COMPUTED_VALUE"""),235.65)</f>
        <v>235.65</v>
      </c>
      <c r="C68" s="6">
        <f>IFERROR(__xludf.DUMMYFUNCTION("""COMPUTED_VALUE"""),236.77)</f>
        <v>236.77</v>
      </c>
      <c r="D68" s="6">
        <f>IFERROR(__xludf.DUMMYFUNCTION("""COMPUTED_VALUE"""),223.6)</f>
        <v>223.6</v>
      </c>
      <c r="E68" s="6">
        <f>IFERROR(__xludf.DUMMYFUNCTION("""COMPUTED_VALUE"""),230.06)</f>
        <v>230.06</v>
      </c>
      <c r="F68" s="6">
        <f>IFERROR(__xludf.DUMMYFUNCTION("""COMPUTED_VALUE"""),7.5738597E7)</f>
        <v>75738597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IFERROR(__xludf.DUMMYFUNCTION("""COMPUTED_VALUE"""),231.5)</f>
        <v>231.5</v>
      </c>
      <c r="C69" s="6">
        <f>IFERROR(__xludf.DUMMYFUNCTION("""COMPUTED_VALUE"""),231.5)</f>
        <v>231.5</v>
      </c>
      <c r="D69" s="6">
        <f>IFERROR(__xludf.DUMMYFUNCTION("""COMPUTED_VALUE"""),203.11)</f>
        <v>203.11</v>
      </c>
      <c r="E69" s="6">
        <f>IFERROR(__xludf.DUMMYFUNCTION("""COMPUTED_VALUE"""),204.49)</f>
        <v>204.49</v>
      </c>
      <c r="F69" s="6">
        <f>IFERROR(__xludf.DUMMYFUNCTION("""COMPUTED_VALUE"""),6.7634094E7)</f>
        <v>67634094</v>
      </c>
    </row>
    <row r="70">
      <c r="A70" s="7">
        <f>IFERROR(__xludf.DUMMYFUNCTION("""COMPUTED_VALUE"""),45674.64583333333)</f>
        <v>45674.64583</v>
      </c>
      <c r="B70" s="6">
        <f>IFERROR(__xludf.DUMMYFUNCTION("""COMPUTED_VALUE"""),200.0)</f>
        <v>200</v>
      </c>
      <c r="C70" s="6">
        <f>IFERROR(__xludf.DUMMYFUNCTION("""COMPUTED_VALUE"""),214.89)</f>
        <v>214.89</v>
      </c>
      <c r="D70" s="6">
        <f>IFERROR(__xludf.DUMMYFUNCTION("""COMPUTED_VALUE"""),191.66)</f>
        <v>191.66</v>
      </c>
      <c r="E70" s="6">
        <f>IFERROR(__xludf.DUMMYFUNCTION("""COMPUTED_VALUE"""),214.08)</f>
        <v>214.08</v>
      </c>
      <c r="F70" s="6">
        <f>IFERROR(__xludf.DUMMYFUNCTION("""COMPUTED_VALUE"""),7.775324E7)</f>
        <v>77753240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IFERROR(__xludf.DUMMYFUNCTION("""COMPUTED_VALUE"""),215.15)</f>
        <v>215.15</v>
      </c>
      <c r="C71" s="6">
        <f>IFERROR(__xludf.DUMMYFUNCTION("""COMPUTED_VALUE"""),218.5)</f>
        <v>218.5</v>
      </c>
      <c r="D71" s="6">
        <f>IFERROR(__xludf.DUMMYFUNCTION("""COMPUTED_VALUE"""),199.37)</f>
        <v>199.37</v>
      </c>
      <c r="E71" s="6">
        <f>IFERROR(__xludf.DUMMYFUNCTION("""COMPUTED_VALUE"""),200.19)</f>
        <v>200.19</v>
      </c>
      <c r="F71" s="6">
        <f>IFERROR(__xludf.DUMMYFUNCTION("""COMPUTED_VALUE"""),4.7916633E7)</f>
        <v>47916633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IFERROR(__xludf.DUMMYFUNCTION("""COMPUTED_VALUE"""),197.82)</f>
        <v>197.82</v>
      </c>
      <c r="C72" s="6">
        <f>IFERROR(__xludf.DUMMYFUNCTION("""COMPUTED_VALUE"""),212.57)</f>
        <v>212.57</v>
      </c>
      <c r="D72" s="6">
        <f>IFERROR(__xludf.DUMMYFUNCTION("""COMPUTED_VALUE"""),189.63)</f>
        <v>189.63</v>
      </c>
      <c r="E72" s="6">
        <f>IFERROR(__xludf.DUMMYFUNCTION("""COMPUTED_VALUE"""),202.84)</f>
        <v>202.84</v>
      </c>
      <c r="F72" s="6">
        <f>IFERROR(__xludf.DUMMYFUNCTION("""COMPUTED_VALUE"""),7.3907215E7)</f>
        <v>73907215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IFERROR(__xludf.DUMMYFUNCTION("""COMPUTED_VALUE"""),209.0)</f>
        <v>209</v>
      </c>
      <c r="C73" s="6">
        <f>IFERROR(__xludf.DUMMYFUNCTION("""COMPUTED_VALUE"""),209.8)</f>
        <v>209.8</v>
      </c>
      <c r="D73" s="6">
        <f>IFERROR(__xludf.DUMMYFUNCTION("""COMPUTED_VALUE"""),190.1)</f>
        <v>190.1</v>
      </c>
      <c r="E73" s="6">
        <f>IFERROR(__xludf.DUMMYFUNCTION("""COMPUTED_VALUE"""),193.31)</f>
        <v>193.31</v>
      </c>
      <c r="F73" s="6">
        <f>IFERROR(__xludf.DUMMYFUNCTION("""COMPUTED_VALUE"""),7.95918E7)</f>
        <v>79591800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IFERROR(__xludf.DUMMYFUNCTION("""COMPUTED_VALUE"""),193.31)</f>
        <v>193.31</v>
      </c>
      <c r="C74" s="6">
        <f>IFERROR(__xludf.DUMMYFUNCTION("""COMPUTED_VALUE"""),202.15)</f>
        <v>202.15</v>
      </c>
      <c r="D74" s="6">
        <f>IFERROR(__xludf.DUMMYFUNCTION("""COMPUTED_VALUE"""),183.19)</f>
        <v>183.19</v>
      </c>
      <c r="E74" s="6">
        <f>IFERROR(__xludf.DUMMYFUNCTION("""COMPUTED_VALUE"""),196.41)</f>
        <v>196.41</v>
      </c>
      <c r="F74" s="6">
        <f>IFERROR(__xludf.DUMMYFUNCTION("""COMPUTED_VALUE"""),7.6707781E7)</f>
        <v>76707781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IFERROR(__xludf.DUMMYFUNCTION("""COMPUTED_VALUE"""),192.25)</f>
        <v>192.25</v>
      </c>
      <c r="C75" s="6">
        <f>IFERROR(__xludf.DUMMYFUNCTION("""COMPUTED_VALUE"""),196.41)</f>
        <v>196.41</v>
      </c>
      <c r="D75" s="6">
        <f>IFERROR(__xludf.DUMMYFUNCTION("""COMPUTED_VALUE"""),177.6)</f>
        <v>177.6</v>
      </c>
      <c r="E75" s="6">
        <f>IFERROR(__xludf.DUMMYFUNCTION("""COMPUTED_VALUE"""),179.17)</f>
        <v>179.17</v>
      </c>
      <c r="F75" s="6">
        <f>IFERROR(__xludf.DUMMYFUNCTION("""COMPUTED_VALUE"""),5.7855936E7)</f>
        <v>57855936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IFERROR(__xludf.DUMMYFUNCTION("""COMPUTED_VALUE"""),180.1)</f>
        <v>180.1</v>
      </c>
      <c r="C76" s="6">
        <f>IFERROR(__xludf.DUMMYFUNCTION("""COMPUTED_VALUE"""),201.5)</f>
        <v>201.5</v>
      </c>
      <c r="D76" s="6">
        <f>IFERROR(__xludf.DUMMYFUNCTION("""COMPUTED_VALUE"""),176.0)</f>
        <v>176</v>
      </c>
      <c r="E76" s="6">
        <f>IFERROR(__xludf.DUMMYFUNCTION("""COMPUTED_VALUE"""),196.95)</f>
        <v>196.95</v>
      </c>
      <c r="F76" s="6">
        <f>IFERROR(__xludf.DUMMYFUNCTION("""COMPUTED_VALUE"""),6.4709151E7)</f>
        <v>64709151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IFERROR(__xludf.DUMMYFUNCTION("""COMPUTED_VALUE"""),197.25)</f>
        <v>197.25</v>
      </c>
      <c r="C77" s="6">
        <f>IFERROR(__xludf.DUMMYFUNCTION("""COMPUTED_VALUE"""),200.38)</f>
        <v>200.38</v>
      </c>
      <c r="D77" s="6">
        <f>IFERROR(__xludf.DUMMYFUNCTION("""COMPUTED_VALUE"""),188.0)</f>
        <v>188</v>
      </c>
      <c r="E77" s="6">
        <f>IFERROR(__xludf.DUMMYFUNCTION("""COMPUTED_VALUE"""),193.33)</f>
        <v>193.33</v>
      </c>
      <c r="F77" s="6">
        <f>IFERROR(__xludf.DUMMYFUNCTION("""COMPUTED_VALUE"""),3.124569E7)</f>
        <v>31245690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IFERROR(__xludf.DUMMYFUNCTION("""COMPUTED_VALUE"""),196.9)</f>
        <v>196.9</v>
      </c>
      <c r="C78" s="6">
        <f>IFERROR(__xludf.DUMMYFUNCTION("""COMPUTED_VALUE"""),213.67)</f>
        <v>213.67</v>
      </c>
      <c r="D78" s="6">
        <f>IFERROR(__xludf.DUMMYFUNCTION("""COMPUTED_VALUE"""),196.16)</f>
        <v>196.16</v>
      </c>
      <c r="E78" s="6">
        <f>IFERROR(__xludf.DUMMYFUNCTION("""COMPUTED_VALUE"""),211.95)</f>
        <v>211.95</v>
      </c>
      <c r="F78" s="6">
        <f>IFERROR(__xludf.DUMMYFUNCTION("""COMPUTED_VALUE"""),4.1826138E7)</f>
        <v>41826138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IFERROR(__xludf.DUMMYFUNCTION("""COMPUTED_VALUE"""),214.0)</f>
        <v>214</v>
      </c>
      <c r="C79" s="6">
        <f>IFERROR(__xludf.DUMMYFUNCTION("""COMPUTED_VALUE"""),221.9)</f>
        <v>221.9</v>
      </c>
      <c r="D79" s="6">
        <f>IFERROR(__xludf.DUMMYFUNCTION("""COMPUTED_VALUE"""),208.76)</f>
        <v>208.76</v>
      </c>
      <c r="E79" s="6">
        <f>IFERROR(__xludf.DUMMYFUNCTION("""COMPUTED_VALUE"""),216.43)</f>
        <v>216.43</v>
      </c>
      <c r="F79" s="6">
        <f>IFERROR(__xludf.DUMMYFUNCTION("""COMPUTED_VALUE"""),1.00530446E8)</f>
        <v>100530446</v>
      </c>
    </row>
    <row r="80">
      <c r="A80" s="7">
        <f>IFERROR(__xludf.DUMMYFUNCTION("""COMPUTED_VALUE"""),45751.64583333333)</f>
        <v>45751.64583</v>
      </c>
      <c r="B80" s="6">
        <f>IFERROR(__xludf.DUMMYFUNCTION("""COMPUTED_VALUE"""),215.15)</f>
        <v>215.15</v>
      </c>
      <c r="C80" s="6">
        <f>IFERROR(__xludf.DUMMYFUNCTION("""COMPUTED_VALUE"""),221.9)</f>
        <v>221.9</v>
      </c>
      <c r="D80" s="6">
        <f>IFERROR(__xludf.DUMMYFUNCTION("""COMPUTED_VALUE"""),207.41)</f>
        <v>207.41</v>
      </c>
      <c r="E80" s="6">
        <f>IFERROR(__xludf.DUMMYFUNCTION("""COMPUTED_VALUE"""),214.45)</f>
        <v>214.45</v>
      </c>
      <c r="F80" s="6">
        <f>IFERROR(__xludf.DUMMYFUNCTION("""COMPUTED_VALUE"""),6.1103565E7)</f>
        <v>61103565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IFERROR(__xludf.DUMMYFUNCTION("""COMPUTED_VALUE"""),194.0)</f>
        <v>194</v>
      </c>
      <c r="C81" s="6">
        <f>IFERROR(__xludf.DUMMYFUNCTION("""COMPUTED_VALUE"""),217.99)</f>
        <v>217.99</v>
      </c>
      <c r="D81" s="6">
        <f>IFERROR(__xludf.DUMMYFUNCTION("""COMPUTED_VALUE"""),193.5)</f>
        <v>193.5</v>
      </c>
      <c r="E81" s="6">
        <f>IFERROR(__xludf.DUMMYFUNCTION("""COMPUTED_VALUE"""),212.97)</f>
        <v>212.97</v>
      </c>
      <c r="F81" s="6">
        <f>IFERROR(__xludf.DUMMYFUNCTION("""COMPUTED_VALUE"""),4.7062565E7)</f>
        <v>47062565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IFERROR(__xludf.DUMMYFUNCTION("""COMPUTED_VALUE"""),216.0)</f>
        <v>216</v>
      </c>
      <c r="C82" s="6">
        <f>IFERROR(__xludf.DUMMYFUNCTION("""COMPUTED_VALUE"""),229.4)</f>
        <v>229.4</v>
      </c>
      <c r="D82" s="6">
        <f>IFERROR(__xludf.DUMMYFUNCTION("""COMPUTED_VALUE"""),214.15)</f>
        <v>214.15</v>
      </c>
      <c r="E82" s="6">
        <f>IFERROR(__xludf.DUMMYFUNCTION("""COMPUTED_VALUE"""),227.39)</f>
        <v>227.39</v>
      </c>
      <c r="F82" s="6">
        <f>IFERROR(__xludf.DUMMYFUNCTION("""COMPUTED_VALUE"""),4.4285608E7)</f>
        <v>44285608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IFERROR(__xludf.DUMMYFUNCTION("""COMPUTED_VALUE"""),226.16)</f>
        <v>226.16</v>
      </c>
      <c r="C83" s="6">
        <f>IFERROR(__xludf.DUMMYFUNCTION("""COMPUTED_VALUE"""),232.45)</f>
        <v>232.45</v>
      </c>
      <c r="D83" s="6">
        <f>IFERROR(__xludf.DUMMYFUNCTION("""COMPUTED_VALUE"""),217.85)</f>
        <v>217.85</v>
      </c>
      <c r="E83" s="6">
        <f>IFERROR(__xludf.DUMMYFUNCTION("""COMPUTED_VALUE"""),222.37)</f>
        <v>222.37</v>
      </c>
      <c r="F83" s="6">
        <f>IFERROR(__xludf.DUMMYFUNCTION("""COMPUTED_VALUE"""),7.8109194E7)</f>
        <v>78109194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IFERROR(__xludf.DUMMYFUNCTION("""COMPUTED_VALUE"""),222.37)</f>
        <v>222.37</v>
      </c>
      <c r="C84" s="6">
        <f>IFERROR(__xludf.DUMMYFUNCTION("""COMPUTED_VALUE"""),235.2)</f>
        <v>235.2</v>
      </c>
      <c r="D84" s="6">
        <f>IFERROR(__xludf.DUMMYFUNCTION("""COMPUTED_VALUE"""),221.56)</f>
        <v>221.56</v>
      </c>
      <c r="E84" s="6">
        <f>IFERROR(__xludf.DUMMYFUNCTION("""COMPUTED_VALUE"""),224.54)</f>
        <v>224.54</v>
      </c>
      <c r="F84" s="6">
        <f>IFERROR(__xludf.DUMMYFUNCTION("""COMPUTED_VALUE"""),4.2459228E7)</f>
        <v>42459228</v>
      </c>
    </row>
    <row r="85">
      <c r="A85" s="7">
        <f>IFERROR(__xludf.DUMMYFUNCTION("""COMPUTED_VALUE"""),45786.64583333333)</f>
        <v>45786.64583</v>
      </c>
      <c r="B85" s="6">
        <f>IFERROR(__xludf.DUMMYFUNCTION("""COMPUTED_VALUE"""),225.0)</f>
        <v>225</v>
      </c>
      <c r="C85" s="6">
        <f>IFERROR(__xludf.DUMMYFUNCTION("""COMPUTED_VALUE"""),229.49)</f>
        <v>229.49</v>
      </c>
      <c r="D85" s="6">
        <f>IFERROR(__xludf.DUMMYFUNCTION("""COMPUTED_VALUE"""),212.1)</f>
        <v>212.1</v>
      </c>
      <c r="E85" s="6">
        <f>IFERROR(__xludf.DUMMYFUNCTION("""COMPUTED_VALUE"""),216.63)</f>
        <v>216.63</v>
      </c>
      <c r="F85" s="6">
        <f>IFERROR(__xludf.DUMMYFUNCTION("""COMPUTED_VALUE"""),4.9097195E7)</f>
        <v>49097195</v>
      </c>
    </row>
    <row r="86">
      <c r="A86" s="7">
        <f>IFERROR(__xludf.DUMMYFUNCTION("""COMPUTED_VALUE"""),45793.64583333333)</f>
        <v>45793.64583</v>
      </c>
      <c r="B86" s="6">
        <f>IFERROR(__xludf.DUMMYFUNCTION("""COMPUTED_VALUE"""),224.0)</f>
        <v>224</v>
      </c>
      <c r="C86" s="6">
        <f>IFERROR(__xludf.DUMMYFUNCTION("""COMPUTED_VALUE"""),259.99)</f>
        <v>259.99</v>
      </c>
      <c r="D86" s="6">
        <f>IFERROR(__xludf.DUMMYFUNCTION("""COMPUTED_VALUE"""),224.0)</f>
        <v>224</v>
      </c>
      <c r="E86" s="6">
        <f>IFERROR(__xludf.DUMMYFUNCTION("""COMPUTED_VALUE"""),250.35)</f>
        <v>250.35</v>
      </c>
      <c r="F86" s="6">
        <f>IFERROR(__xludf.DUMMYFUNCTION("""COMPUTED_VALUE"""),1.28724829E8)</f>
        <v>128724829</v>
      </c>
    </row>
    <row r="87">
      <c r="A87" s="7">
        <f>IFERROR(__xludf.DUMMYFUNCTION("""COMPUTED_VALUE"""),45800.64583333333)</f>
        <v>45800.64583</v>
      </c>
      <c r="B87" s="6">
        <f>IFERROR(__xludf.DUMMYFUNCTION("""COMPUTED_VALUE"""),252.99)</f>
        <v>252.99</v>
      </c>
      <c r="C87" s="6">
        <f>IFERROR(__xludf.DUMMYFUNCTION("""COMPUTED_VALUE"""),255.96)</f>
        <v>255.96</v>
      </c>
      <c r="D87" s="6">
        <f>IFERROR(__xludf.DUMMYFUNCTION("""COMPUTED_VALUE"""),241.8)</f>
        <v>241.8</v>
      </c>
      <c r="E87" s="6">
        <f>IFERROR(__xludf.DUMMYFUNCTION("""COMPUTED_VALUE"""),254.8)</f>
        <v>254.8</v>
      </c>
      <c r="F87" s="6">
        <f>IFERROR(__xludf.DUMMYFUNCTION("""COMPUTED_VALUE"""),7.4709216E7)</f>
        <v>74709216</v>
      </c>
    </row>
    <row r="88">
      <c r="A88" s="7">
        <f>IFERROR(__xludf.DUMMYFUNCTION("""COMPUTED_VALUE"""),45807.64583333333)</f>
        <v>45807.64583</v>
      </c>
      <c r="B88" s="6">
        <f>IFERROR(__xludf.DUMMYFUNCTION("""COMPUTED_VALUE"""),255.85)</f>
        <v>255.85</v>
      </c>
      <c r="C88" s="6">
        <f>IFERROR(__xludf.DUMMYFUNCTION("""COMPUTED_VALUE"""),269.12)</f>
        <v>269.12</v>
      </c>
      <c r="D88" s="6">
        <f>IFERROR(__xludf.DUMMYFUNCTION("""COMPUTED_VALUE"""),255.44)</f>
        <v>255.44</v>
      </c>
      <c r="E88" s="6">
        <f>IFERROR(__xludf.DUMMYFUNCTION("""COMPUTED_VALUE"""),259.83)</f>
        <v>259.83</v>
      </c>
      <c r="F88" s="6">
        <f>IFERROR(__xludf.DUMMYFUNCTION("""COMPUTED_VALUE"""),7.4486349E7)</f>
        <v>74486349</v>
      </c>
    </row>
    <row r="89">
      <c r="A89" s="7">
        <f>IFERROR(__xludf.DUMMYFUNCTION("""COMPUTED_VALUE"""),45814.64583333333)</f>
        <v>45814.64583</v>
      </c>
      <c r="B89" s="6">
        <f>IFERROR(__xludf.DUMMYFUNCTION("""COMPUTED_VALUE"""),261.05)</f>
        <v>261.05</v>
      </c>
      <c r="C89" s="6">
        <f>IFERROR(__xludf.DUMMYFUNCTION("""COMPUTED_VALUE"""),262.9)</f>
        <v>262.9</v>
      </c>
      <c r="D89" s="6">
        <f>IFERROR(__xludf.DUMMYFUNCTION("""COMPUTED_VALUE"""),250.5)</f>
        <v>250.5</v>
      </c>
      <c r="E89" s="6">
        <f>IFERROR(__xludf.DUMMYFUNCTION("""COMPUTED_VALUE"""),255.7)</f>
        <v>255.7</v>
      </c>
      <c r="F89" s="6">
        <f>IFERROR(__xludf.DUMMYFUNCTION("""COMPUTED_VALUE"""),3.4802592E7)</f>
        <v>34802592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IFERROR(__xludf.DUMMYFUNCTION("""COMPUTED_VALUE"""),257.0)</f>
        <v>257</v>
      </c>
      <c r="C90" s="6">
        <f>IFERROR(__xludf.DUMMYFUNCTION("""COMPUTED_VALUE"""),263.4)</f>
        <v>263.4</v>
      </c>
      <c r="D90" s="6">
        <f>IFERROR(__xludf.DUMMYFUNCTION("""COMPUTED_VALUE"""),245.7)</f>
        <v>245.7</v>
      </c>
      <c r="E90" s="6">
        <f>IFERROR(__xludf.DUMMYFUNCTION("""COMPUTED_VALUE"""),253.55)</f>
        <v>253.55</v>
      </c>
      <c r="F90" s="6">
        <f>IFERROR(__xludf.DUMMYFUNCTION("""COMPUTED_VALUE"""),4.2319775E7)</f>
        <v>42319775</v>
      </c>
    </row>
    <row r="91">
      <c r="A91" s="7">
        <f>IFERROR(__xludf.DUMMYFUNCTION("""COMPUTED_VALUE"""),45828.64583333333)</f>
        <v>45828.64583</v>
      </c>
      <c r="B91" s="6">
        <f>IFERROR(__xludf.DUMMYFUNCTION("""COMPUTED_VALUE"""),253.0)</f>
        <v>253</v>
      </c>
      <c r="C91" s="6">
        <f>IFERROR(__xludf.DUMMYFUNCTION("""COMPUTED_VALUE"""),256.5)</f>
        <v>256.5</v>
      </c>
      <c r="D91" s="6">
        <f>IFERROR(__xludf.DUMMYFUNCTION("""COMPUTED_VALUE"""),243.5)</f>
        <v>243.5</v>
      </c>
      <c r="E91" s="6">
        <f>IFERROR(__xludf.DUMMYFUNCTION("""COMPUTED_VALUE"""),250.45)</f>
        <v>250.45</v>
      </c>
      <c r="F91" s="6">
        <f>IFERROR(__xludf.DUMMYFUNCTION("""COMPUTED_VALUE"""),2.7402968E7)</f>
        <v>27402968</v>
      </c>
    </row>
    <row r="92">
      <c r="A92" s="7">
        <f>IFERROR(__xludf.DUMMYFUNCTION("""COMPUTED_VALUE"""),45835.64583333333)</f>
        <v>45835.64583</v>
      </c>
      <c r="B92" s="6">
        <f>IFERROR(__xludf.DUMMYFUNCTION("""COMPUTED_VALUE"""),248.45)</f>
        <v>248.45</v>
      </c>
      <c r="C92" s="6">
        <f>IFERROR(__xludf.DUMMYFUNCTION("""COMPUTED_VALUE"""),268.4)</f>
        <v>268.4</v>
      </c>
      <c r="D92" s="6">
        <f>IFERROR(__xludf.DUMMYFUNCTION("""COMPUTED_VALUE"""),248.15)</f>
        <v>248.15</v>
      </c>
      <c r="E92" s="6">
        <f>IFERROR(__xludf.DUMMYFUNCTION("""COMPUTED_VALUE"""),264.1)</f>
        <v>264.1</v>
      </c>
      <c r="F92" s="6">
        <f>IFERROR(__xludf.DUMMYFUNCTION("""COMPUTED_VALUE"""),4.5159505E7)</f>
        <v>45159505</v>
      </c>
    </row>
    <row r="93">
      <c r="A93" s="7">
        <f>IFERROR(__xludf.DUMMYFUNCTION("""COMPUTED_VALUE"""),45842.64583333333)</f>
        <v>45842.64583</v>
      </c>
      <c r="B93" s="6">
        <f>IFERROR(__xludf.DUMMYFUNCTION("""COMPUTED_VALUE"""),272.0)</f>
        <v>272</v>
      </c>
      <c r="C93" s="6">
        <f>IFERROR(__xludf.DUMMYFUNCTION("""COMPUTED_VALUE"""),272.1)</f>
        <v>272.1</v>
      </c>
      <c r="D93" s="6">
        <f>IFERROR(__xludf.DUMMYFUNCTION("""COMPUTED_VALUE"""),257.1)</f>
        <v>257.1</v>
      </c>
      <c r="E93" s="6">
        <f>IFERROR(__xludf.DUMMYFUNCTION("""COMPUTED_VALUE"""),260.15)</f>
        <v>260.15</v>
      </c>
      <c r="F93" s="6">
        <f>IFERROR(__xludf.DUMMYFUNCTION("""COMPUTED_VALUE"""),4.5619024E7)</f>
        <v>45619024</v>
      </c>
    </row>
    <row r="94">
      <c r="A94" s="7">
        <f>IFERROR(__xludf.DUMMYFUNCTION("""COMPUTED_VALUE"""),45849.64583333333)</f>
        <v>45849.64583</v>
      </c>
      <c r="B94" s="6">
        <f>IFERROR(__xludf.DUMMYFUNCTION("""COMPUTED_VALUE"""),260.5)</f>
        <v>260.5</v>
      </c>
      <c r="C94" s="6">
        <f>IFERROR(__xludf.DUMMYFUNCTION("""COMPUTED_VALUE"""),265.35)</f>
        <v>265.35</v>
      </c>
      <c r="D94" s="6">
        <f>IFERROR(__xludf.DUMMYFUNCTION("""COMPUTED_VALUE"""),255.35)</f>
        <v>255.35</v>
      </c>
      <c r="E94" s="6">
        <f>IFERROR(__xludf.DUMMYFUNCTION("""COMPUTED_VALUE"""),258.7)</f>
        <v>258.7</v>
      </c>
      <c r="F94" s="6">
        <f>IFERROR(__xludf.DUMMYFUNCTION("""COMPUTED_VALUE"""),2.3658133E7)</f>
        <v>23658133</v>
      </c>
    </row>
    <row r="95">
      <c r="A95" s="7">
        <f>IFERROR(__xludf.DUMMYFUNCTION("""COMPUTED_VALUE"""),45856.64583333333)</f>
        <v>45856.64583</v>
      </c>
      <c r="B95" s="6">
        <f>IFERROR(__xludf.DUMMYFUNCTION("""COMPUTED_VALUE"""),258.65)</f>
        <v>258.65</v>
      </c>
      <c r="C95" s="6">
        <f>IFERROR(__xludf.DUMMYFUNCTION("""COMPUTED_VALUE"""),259.75)</f>
        <v>259.75</v>
      </c>
      <c r="D95" s="6">
        <f>IFERROR(__xludf.DUMMYFUNCTION("""COMPUTED_VALUE"""),250.0)</f>
        <v>250</v>
      </c>
      <c r="E95" s="6">
        <f>IFERROR(__xludf.DUMMYFUNCTION("""COMPUTED_VALUE"""),250.5)</f>
        <v>250.5</v>
      </c>
      <c r="F95" s="6">
        <f>IFERROR(__xludf.DUMMYFUNCTION("""COMPUTED_VALUE"""),1.6430855E7)</f>
        <v>16430855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IFERROR(__xludf.DUMMYFUNCTION("""COMPUTED_VALUE"""),251.05)</f>
        <v>251.05</v>
      </c>
      <c r="C96" s="6">
        <f>IFERROR(__xludf.DUMMYFUNCTION("""COMPUTED_VALUE"""),255.6)</f>
        <v>255.6</v>
      </c>
      <c r="D96" s="6">
        <f>IFERROR(__xludf.DUMMYFUNCTION("""COMPUTED_VALUE"""),239.45)</f>
        <v>239.45</v>
      </c>
      <c r="E96" s="6">
        <f>IFERROR(__xludf.DUMMYFUNCTION("""COMPUTED_VALUE"""),240.15)</f>
        <v>240.15</v>
      </c>
      <c r="F96" s="6">
        <f>IFERROR(__xludf.DUMMYFUNCTION("""COMPUTED_VALUE"""),1.8363793E7)</f>
        <v>18363793</v>
      </c>
    </row>
    <row r="97">
      <c r="A97" s="7">
        <f>IFERROR(__xludf.DUMMYFUNCTION("""COMPUTED_VALUE"""),45870.64583333333)</f>
        <v>45870.64583</v>
      </c>
      <c r="B97" s="6">
        <f>IFERROR(__xludf.DUMMYFUNCTION("""COMPUTED_VALUE"""),241.0)</f>
        <v>241</v>
      </c>
      <c r="C97" s="6">
        <f>IFERROR(__xludf.DUMMYFUNCTION("""COMPUTED_VALUE"""),243.4)</f>
        <v>243.4</v>
      </c>
      <c r="D97" s="6">
        <f>IFERROR(__xludf.DUMMYFUNCTION("""COMPUTED_VALUE"""),231.1)</f>
        <v>231.1</v>
      </c>
      <c r="E97" s="6">
        <f>IFERROR(__xludf.DUMMYFUNCTION("""COMPUTED_VALUE"""),231.6)</f>
        <v>231.6</v>
      </c>
      <c r="F97" s="6">
        <f>IFERROR(__xludf.DUMMYFUNCTION("""COMPUTED_VALUE"""),2.0277212E7)</f>
        <v>20277212</v>
      </c>
    </row>
    <row r="98">
      <c r="A98" s="7">
        <f>IFERROR(__xludf.DUMMYFUNCTION("""COMPUTED_VALUE"""),45877.64583333333)</f>
        <v>45877.64583</v>
      </c>
      <c r="B98" s="6">
        <f>IFERROR(__xludf.DUMMYFUNCTION("""COMPUTED_VALUE"""),232.1)</f>
        <v>232.1</v>
      </c>
      <c r="C98" s="6">
        <f>IFERROR(__xludf.DUMMYFUNCTION("""COMPUTED_VALUE"""),249.6)</f>
        <v>249.6</v>
      </c>
      <c r="D98" s="6">
        <f>IFERROR(__xludf.DUMMYFUNCTION("""COMPUTED_VALUE"""),222.24)</f>
        <v>222.24</v>
      </c>
      <c r="E98" s="6">
        <f>IFERROR(__xludf.DUMMYFUNCTION("""COMPUTED_VALUE"""),222.71)</f>
        <v>222.71</v>
      </c>
      <c r="F98" s="6">
        <f>IFERROR(__xludf.DUMMYFUNCTION("""COMPUTED_VALUE"""),7.6041601E7)</f>
        <v>76041601</v>
      </c>
    </row>
    <row r="99">
      <c r="A99" s="7">
        <f>IFERROR(__xludf.DUMMYFUNCTION("""COMPUTED_VALUE"""),45883.64583333333)</f>
        <v>45883.64583</v>
      </c>
      <c r="B99" s="6">
        <f>IFERROR(__xludf.DUMMYFUNCTION("""COMPUTED_VALUE"""),223.0)</f>
        <v>223</v>
      </c>
      <c r="C99" s="6">
        <f>IFERROR(__xludf.DUMMYFUNCTION("""COMPUTED_VALUE"""),226.96)</f>
        <v>226.96</v>
      </c>
      <c r="D99" s="6">
        <f>IFERROR(__xludf.DUMMYFUNCTION("""COMPUTED_VALUE"""),219.9)</f>
        <v>219.9</v>
      </c>
      <c r="E99" s="6">
        <f>IFERROR(__xludf.DUMMYFUNCTION("""COMPUTED_VALUE"""),221.33)</f>
        <v>221.33</v>
      </c>
      <c r="F99" s="6">
        <f>IFERROR(__xludf.DUMMYFUNCTION("""COMPUTED_VALUE"""),2.2401086E7)</f>
        <v>22401086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IFERROR(__xludf.DUMMYFUNCTION("""COMPUTED_VALUE"""),226.0)</f>
        <v>226</v>
      </c>
      <c r="C100" s="6">
        <f>IFERROR(__xludf.DUMMYFUNCTION("""COMPUTED_VALUE"""),226.0)</f>
        <v>226</v>
      </c>
      <c r="D100" s="6">
        <f>IFERROR(__xludf.DUMMYFUNCTION("""COMPUTED_VALUE"""),216.04)</f>
        <v>216.04</v>
      </c>
      <c r="E100" s="6">
        <f>IFERROR(__xludf.DUMMYFUNCTION("""COMPUTED_VALUE"""),218.59)</f>
        <v>218.59</v>
      </c>
      <c r="F100" s="6">
        <f>IFERROR(__xludf.DUMMYFUNCTION("""COMPUTED_VALUE"""),2.5191235E7)</f>
        <v>25191235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IFERROR(__xludf.DUMMYFUNCTION("""COMPUTED_VALUE"""),219.0)</f>
        <v>219</v>
      </c>
      <c r="C101" s="6">
        <f>IFERROR(__xludf.DUMMYFUNCTION("""COMPUTED_VALUE"""),219.6)</f>
        <v>219.6</v>
      </c>
      <c r="D101" s="6">
        <f>IFERROR(__xludf.DUMMYFUNCTION("""COMPUTED_VALUE"""),211.05)</f>
        <v>211.05</v>
      </c>
      <c r="E101" s="6">
        <f>IFERROR(__xludf.DUMMYFUNCTION("""COMPUTED_VALUE"""),211.5)</f>
        <v>211.5</v>
      </c>
      <c r="F101" s="6">
        <f>IFERROR(__xludf.DUMMYFUNCTION("""COMPUTED_VALUE"""),5.0517358E7)</f>
        <v>50517358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IFERROR(__xludf.DUMMYFUNCTION("GOOGLEFINANCE(""NSE:BIOCON"",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IFERROR(__xludf.DUMMYFUNCTION("""COMPUTED_VALUE"""),255.95)</f>
        <v>255.95</v>
      </c>
      <c r="C2" s="6">
        <f>IFERROR(__xludf.DUMMYFUNCTION("""COMPUTED_VALUE"""),263.35)</f>
        <v>263.35</v>
      </c>
      <c r="D2" s="6">
        <f>IFERROR(__xludf.DUMMYFUNCTION("""COMPUTED_VALUE"""),253.85)</f>
        <v>253.85</v>
      </c>
      <c r="E2" s="6">
        <f>IFERROR(__xludf.DUMMYFUNCTION("""COMPUTED_VALUE"""),260.8)</f>
        <v>260.8</v>
      </c>
      <c r="F2" s="6">
        <f>IFERROR(__xludf.DUMMYFUNCTION("""COMPUTED_VALUE"""),8676896.0)</f>
        <v>8676896</v>
      </c>
    </row>
    <row r="3">
      <c r="A3" s="7">
        <f>IFERROR(__xludf.DUMMYFUNCTION("""COMPUTED_VALUE"""),45177.64583333333)</f>
        <v>45177.64583</v>
      </c>
      <c r="B3" s="6">
        <f>IFERROR(__xludf.DUMMYFUNCTION("""COMPUTED_VALUE"""),262.45)</f>
        <v>262.45</v>
      </c>
      <c r="C3" s="6">
        <f>IFERROR(__xludf.DUMMYFUNCTION("""COMPUTED_VALUE"""),273.5)</f>
        <v>273.5</v>
      </c>
      <c r="D3" s="6">
        <f>IFERROR(__xludf.DUMMYFUNCTION("""COMPUTED_VALUE"""),260.7)</f>
        <v>260.7</v>
      </c>
      <c r="E3" s="6">
        <f>IFERROR(__xludf.DUMMYFUNCTION("""COMPUTED_VALUE"""),266.4)</f>
        <v>266.4</v>
      </c>
      <c r="F3" s="6">
        <f>IFERROR(__xludf.DUMMYFUNCTION("""COMPUTED_VALUE"""),1.5443042E7)</f>
        <v>15443042</v>
      </c>
    </row>
    <row r="4">
      <c r="A4" s="7">
        <f>IFERROR(__xludf.DUMMYFUNCTION("""COMPUTED_VALUE"""),45184.64583333333)</f>
        <v>45184.64583</v>
      </c>
      <c r="B4" s="6">
        <f>IFERROR(__xludf.DUMMYFUNCTION("""COMPUTED_VALUE"""),268.35)</f>
        <v>268.35</v>
      </c>
      <c r="C4" s="6">
        <f>IFERROR(__xludf.DUMMYFUNCTION("""COMPUTED_VALUE"""),279.9)</f>
        <v>279.9</v>
      </c>
      <c r="D4" s="6">
        <f>IFERROR(__xludf.DUMMYFUNCTION("""COMPUTED_VALUE"""),265.55)</f>
        <v>265.55</v>
      </c>
      <c r="E4" s="6">
        <f>IFERROR(__xludf.DUMMYFUNCTION("""COMPUTED_VALUE"""),276.75)</f>
        <v>276.75</v>
      </c>
      <c r="F4" s="6">
        <f>IFERROR(__xludf.DUMMYFUNCTION("""COMPUTED_VALUE"""),2.2099254E7)</f>
        <v>22099254</v>
      </c>
    </row>
    <row r="5">
      <c r="A5" s="7">
        <f>IFERROR(__xludf.DUMMYFUNCTION("""COMPUTED_VALUE"""),45191.64583333333)</f>
        <v>45191.64583</v>
      </c>
      <c r="B5" s="6">
        <f>IFERROR(__xludf.DUMMYFUNCTION("""COMPUTED_VALUE"""),277.8)</f>
        <v>277.8</v>
      </c>
      <c r="C5" s="6">
        <f>IFERROR(__xludf.DUMMYFUNCTION("""COMPUTED_VALUE"""),278.4)</f>
        <v>278.4</v>
      </c>
      <c r="D5" s="6">
        <f>IFERROR(__xludf.DUMMYFUNCTION("""COMPUTED_VALUE"""),261.3)</f>
        <v>261.3</v>
      </c>
      <c r="E5" s="6">
        <f>IFERROR(__xludf.DUMMYFUNCTION("""COMPUTED_VALUE"""),264.35)</f>
        <v>264.35</v>
      </c>
      <c r="F5" s="6">
        <f>IFERROR(__xludf.DUMMYFUNCTION("""COMPUTED_VALUE"""),1.4284824E7)</f>
        <v>14284824</v>
      </c>
    </row>
    <row r="6">
      <c r="A6" s="7">
        <f>IFERROR(__xludf.DUMMYFUNCTION("""COMPUTED_VALUE"""),45198.64583333333)</f>
        <v>45198.64583</v>
      </c>
      <c r="B6" s="6">
        <f>IFERROR(__xludf.DUMMYFUNCTION("""COMPUTED_VALUE"""),264.35)</f>
        <v>264.35</v>
      </c>
      <c r="C6" s="6">
        <f>IFERROR(__xludf.DUMMYFUNCTION("""COMPUTED_VALUE"""),274.0)</f>
        <v>274</v>
      </c>
      <c r="D6" s="6">
        <f>IFERROR(__xludf.DUMMYFUNCTION("""COMPUTED_VALUE"""),260.9)</f>
        <v>260.9</v>
      </c>
      <c r="E6" s="6">
        <f>IFERROR(__xludf.DUMMYFUNCTION("""COMPUTED_VALUE"""),272.2)</f>
        <v>272.2</v>
      </c>
      <c r="F6" s="6">
        <f>IFERROR(__xludf.DUMMYFUNCTION("""COMPUTED_VALUE"""),1.1294945E7)</f>
        <v>11294945</v>
      </c>
    </row>
    <row r="7">
      <c r="A7" s="7">
        <f>IFERROR(__xludf.DUMMYFUNCTION("""COMPUTED_VALUE"""),45205.64583333333)</f>
        <v>45205.64583</v>
      </c>
      <c r="B7" s="6">
        <f>IFERROR(__xludf.DUMMYFUNCTION("""COMPUTED_VALUE"""),269.1)</f>
        <v>269.1</v>
      </c>
      <c r="C7" s="6">
        <f>IFERROR(__xludf.DUMMYFUNCTION("""COMPUTED_VALUE"""),274.9)</f>
        <v>274.9</v>
      </c>
      <c r="D7" s="6">
        <f>IFERROR(__xludf.DUMMYFUNCTION("""COMPUTED_VALUE"""),262.6)</f>
        <v>262.6</v>
      </c>
      <c r="E7" s="6">
        <f>IFERROR(__xludf.DUMMYFUNCTION("""COMPUTED_VALUE"""),264.55)</f>
        <v>264.55</v>
      </c>
      <c r="F7" s="6">
        <f>IFERROR(__xludf.DUMMYFUNCTION("""COMPUTED_VALUE"""),6655584.0)</f>
        <v>6655584</v>
      </c>
    </row>
    <row r="8">
      <c r="A8" s="7">
        <f>IFERROR(__xludf.DUMMYFUNCTION("""COMPUTED_VALUE"""),45212.64583333333)</f>
        <v>45212.64583</v>
      </c>
      <c r="B8" s="6">
        <f>IFERROR(__xludf.DUMMYFUNCTION("""COMPUTED_VALUE"""),261.2)</f>
        <v>261.2</v>
      </c>
      <c r="C8" s="6">
        <f>IFERROR(__xludf.DUMMYFUNCTION("""COMPUTED_VALUE"""),263.85)</f>
        <v>263.85</v>
      </c>
      <c r="D8" s="6">
        <f>IFERROR(__xludf.DUMMYFUNCTION("""COMPUTED_VALUE"""),254.0)</f>
        <v>254</v>
      </c>
      <c r="E8" s="6">
        <f>IFERROR(__xludf.DUMMYFUNCTION("""COMPUTED_VALUE"""),254.55)</f>
        <v>254.55</v>
      </c>
      <c r="F8" s="6">
        <f>IFERROR(__xludf.DUMMYFUNCTION("""COMPUTED_VALUE"""),9742745.0)</f>
        <v>9742745</v>
      </c>
    </row>
    <row r="9">
      <c r="A9" s="7">
        <f>IFERROR(__xludf.DUMMYFUNCTION("""COMPUTED_VALUE"""),45219.64583333333)</f>
        <v>45219.64583</v>
      </c>
      <c r="B9" s="6">
        <f>IFERROR(__xludf.DUMMYFUNCTION("""COMPUTED_VALUE"""),254.5)</f>
        <v>254.5</v>
      </c>
      <c r="C9" s="6">
        <f>IFERROR(__xludf.DUMMYFUNCTION("""COMPUTED_VALUE"""),257.5)</f>
        <v>257.5</v>
      </c>
      <c r="D9" s="6">
        <f>IFERROR(__xludf.DUMMYFUNCTION("""COMPUTED_VALUE"""),230.5)</f>
        <v>230.5</v>
      </c>
      <c r="E9" s="6">
        <f>IFERROR(__xludf.DUMMYFUNCTION("""COMPUTED_VALUE"""),230.95)</f>
        <v>230.95</v>
      </c>
      <c r="F9" s="6">
        <f>IFERROR(__xludf.DUMMYFUNCTION("""COMPUTED_VALUE"""),2.7785029E7)</f>
        <v>27785029</v>
      </c>
    </row>
    <row r="10">
      <c r="A10" s="7">
        <f>IFERROR(__xludf.DUMMYFUNCTION("""COMPUTED_VALUE"""),45226.64583333333)</f>
        <v>45226.64583</v>
      </c>
      <c r="B10" s="6">
        <f>IFERROR(__xludf.DUMMYFUNCTION("""COMPUTED_VALUE"""),231.45)</f>
        <v>231.45</v>
      </c>
      <c r="C10" s="6">
        <f>IFERROR(__xludf.DUMMYFUNCTION("""COMPUTED_VALUE"""),233.4)</f>
        <v>233.4</v>
      </c>
      <c r="D10" s="6">
        <f>IFERROR(__xludf.DUMMYFUNCTION("""COMPUTED_VALUE"""),218.0)</f>
        <v>218</v>
      </c>
      <c r="E10" s="6">
        <f>IFERROR(__xludf.DUMMYFUNCTION("""COMPUTED_VALUE"""),222.7)</f>
        <v>222.7</v>
      </c>
      <c r="F10" s="6">
        <f>IFERROR(__xludf.DUMMYFUNCTION("""COMPUTED_VALUE"""),1.3070432E7)</f>
        <v>13070432</v>
      </c>
    </row>
    <row r="11">
      <c r="A11" s="7">
        <f>IFERROR(__xludf.DUMMYFUNCTION("""COMPUTED_VALUE"""),45233.64583333333)</f>
        <v>45233.64583</v>
      </c>
      <c r="B11" s="6">
        <f>IFERROR(__xludf.DUMMYFUNCTION("""COMPUTED_VALUE"""),223.0)</f>
        <v>223</v>
      </c>
      <c r="C11" s="6">
        <f>IFERROR(__xludf.DUMMYFUNCTION("""COMPUTED_VALUE"""),228.0)</f>
        <v>228</v>
      </c>
      <c r="D11" s="6">
        <f>IFERROR(__xludf.DUMMYFUNCTION("""COMPUTED_VALUE"""),217.5)</f>
        <v>217.5</v>
      </c>
      <c r="E11" s="6">
        <f>IFERROR(__xludf.DUMMYFUNCTION("""COMPUTED_VALUE"""),224.5)</f>
        <v>224.5</v>
      </c>
      <c r="F11" s="6">
        <f>IFERROR(__xludf.DUMMYFUNCTION("""COMPUTED_VALUE"""),1.1288351E7)</f>
        <v>11288351</v>
      </c>
    </row>
    <row r="12">
      <c r="A12" s="7">
        <f>IFERROR(__xludf.DUMMYFUNCTION("""COMPUTED_VALUE"""),45240.64583333333)</f>
        <v>45240.64583</v>
      </c>
      <c r="B12" s="6">
        <f>IFERROR(__xludf.DUMMYFUNCTION("""COMPUTED_VALUE"""),225.6)</f>
        <v>225.6</v>
      </c>
      <c r="C12" s="6">
        <f>IFERROR(__xludf.DUMMYFUNCTION("""COMPUTED_VALUE"""),229.5)</f>
        <v>229.5</v>
      </c>
      <c r="D12" s="6">
        <f>IFERROR(__xludf.DUMMYFUNCTION("""COMPUTED_VALUE"""),222.55)</f>
        <v>222.55</v>
      </c>
      <c r="E12" s="6">
        <f>IFERROR(__xludf.DUMMYFUNCTION("""COMPUTED_VALUE"""),227.4)</f>
        <v>227.4</v>
      </c>
      <c r="F12" s="6">
        <f>IFERROR(__xludf.DUMMYFUNCTION("""COMPUTED_VALUE"""),1.3562382E7)</f>
        <v>13562382</v>
      </c>
    </row>
    <row r="13">
      <c r="A13" s="7">
        <f>IFERROR(__xludf.DUMMYFUNCTION("""COMPUTED_VALUE"""),45247.64583333333)</f>
        <v>45247.64583</v>
      </c>
      <c r="B13" s="6">
        <f>IFERROR(__xludf.DUMMYFUNCTION("""COMPUTED_VALUE"""),236.0)</f>
        <v>236</v>
      </c>
      <c r="C13" s="6">
        <f>IFERROR(__xludf.DUMMYFUNCTION("""COMPUTED_VALUE"""),236.0)</f>
        <v>236</v>
      </c>
      <c r="D13" s="6">
        <f>IFERROR(__xludf.DUMMYFUNCTION("""COMPUTED_VALUE"""),224.35)</f>
        <v>224.35</v>
      </c>
      <c r="E13" s="6">
        <f>IFERROR(__xludf.DUMMYFUNCTION("""COMPUTED_VALUE"""),232.75)</f>
        <v>232.75</v>
      </c>
      <c r="F13" s="6">
        <f>IFERROR(__xludf.DUMMYFUNCTION("""COMPUTED_VALUE"""),2.0226503E7)</f>
        <v>20226503</v>
      </c>
    </row>
    <row r="14">
      <c r="A14" s="7">
        <f>IFERROR(__xludf.DUMMYFUNCTION("""COMPUTED_VALUE"""),45254.64583333333)</f>
        <v>45254.64583</v>
      </c>
      <c r="B14" s="6">
        <f>IFERROR(__xludf.DUMMYFUNCTION("""COMPUTED_VALUE"""),233.0)</f>
        <v>233</v>
      </c>
      <c r="C14" s="6">
        <f>IFERROR(__xludf.DUMMYFUNCTION("""COMPUTED_VALUE"""),238.95)</f>
        <v>238.95</v>
      </c>
      <c r="D14" s="6">
        <f>IFERROR(__xludf.DUMMYFUNCTION("""COMPUTED_VALUE"""),232.3)</f>
        <v>232.3</v>
      </c>
      <c r="E14" s="6">
        <f>IFERROR(__xludf.DUMMYFUNCTION("""COMPUTED_VALUE"""),235.35)</f>
        <v>235.35</v>
      </c>
      <c r="F14" s="6">
        <f>IFERROR(__xludf.DUMMYFUNCTION("""COMPUTED_VALUE"""),1.2683754E7)</f>
        <v>12683754</v>
      </c>
    </row>
    <row r="15">
      <c r="A15" s="7">
        <f>IFERROR(__xludf.DUMMYFUNCTION("""COMPUTED_VALUE"""),45261.64583333333)</f>
        <v>45261.64583</v>
      </c>
      <c r="B15" s="6">
        <f>IFERROR(__xludf.DUMMYFUNCTION("""COMPUTED_VALUE"""),235.4)</f>
        <v>235.4</v>
      </c>
      <c r="C15" s="6">
        <f>IFERROR(__xludf.DUMMYFUNCTION("""COMPUTED_VALUE"""),245.1)</f>
        <v>245.1</v>
      </c>
      <c r="D15" s="6">
        <f>IFERROR(__xludf.DUMMYFUNCTION("""COMPUTED_VALUE"""),231.25)</f>
        <v>231.25</v>
      </c>
      <c r="E15" s="6">
        <f>IFERROR(__xludf.DUMMYFUNCTION("""COMPUTED_VALUE"""),240.65)</f>
        <v>240.65</v>
      </c>
      <c r="F15" s="6">
        <f>IFERROR(__xludf.DUMMYFUNCTION("""COMPUTED_VALUE"""),1.1967459E7)</f>
        <v>11967459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IFERROR(__xludf.DUMMYFUNCTION("""COMPUTED_VALUE"""),243.3)</f>
        <v>243.3</v>
      </c>
      <c r="C16" s="6">
        <f>IFERROR(__xludf.DUMMYFUNCTION("""COMPUTED_VALUE"""),244.45)</f>
        <v>244.45</v>
      </c>
      <c r="D16" s="6">
        <f>IFERROR(__xludf.DUMMYFUNCTION("""COMPUTED_VALUE"""),236.9)</f>
        <v>236.9</v>
      </c>
      <c r="E16" s="6">
        <f>IFERROR(__xludf.DUMMYFUNCTION("""COMPUTED_VALUE"""),239.0)</f>
        <v>239</v>
      </c>
      <c r="F16" s="6">
        <f>IFERROR(__xludf.DUMMYFUNCTION("""COMPUTED_VALUE"""),1.062651E7)</f>
        <v>10626510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IFERROR(__xludf.DUMMYFUNCTION("""COMPUTED_VALUE"""),239.8)</f>
        <v>239.8</v>
      </c>
      <c r="C17" s="6">
        <f>IFERROR(__xludf.DUMMYFUNCTION("""COMPUTED_VALUE"""),254.95)</f>
        <v>254.95</v>
      </c>
      <c r="D17" s="6">
        <f>IFERROR(__xludf.DUMMYFUNCTION("""COMPUTED_VALUE"""),237.65)</f>
        <v>237.65</v>
      </c>
      <c r="E17" s="6">
        <f>IFERROR(__xludf.DUMMYFUNCTION("""COMPUTED_VALUE"""),251.7)</f>
        <v>251.7</v>
      </c>
      <c r="F17" s="6">
        <f>IFERROR(__xludf.DUMMYFUNCTION("""COMPUTED_VALUE"""),2.2028003E7)</f>
        <v>22028003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IFERROR(__xludf.DUMMYFUNCTION("""COMPUTED_VALUE"""),251.9)</f>
        <v>251.9</v>
      </c>
      <c r="C18" s="6">
        <f>IFERROR(__xludf.DUMMYFUNCTION("""COMPUTED_VALUE"""),256.9)</f>
        <v>256.9</v>
      </c>
      <c r="D18" s="6">
        <f>IFERROR(__xludf.DUMMYFUNCTION("""COMPUTED_VALUE"""),239.3)</f>
        <v>239.3</v>
      </c>
      <c r="E18" s="6">
        <f>IFERROR(__xludf.DUMMYFUNCTION("""COMPUTED_VALUE"""),246.3)</f>
        <v>246.3</v>
      </c>
      <c r="F18" s="6">
        <f>IFERROR(__xludf.DUMMYFUNCTION("""COMPUTED_VALUE"""),1.7053447E7)</f>
        <v>17053447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IFERROR(__xludf.DUMMYFUNCTION("""COMPUTED_VALUE"""),248.0)</f>
        <v>248</v>
      </c>
      <c r="C19" s="6">
        <f>IFERROR(__xludf.DUMMYFUNCTION("""COMPUTED_VALUE"""),255.7)</f>
        <v>255.7</v>
      </c>
      <c r="D19" s="6">
        <f>IFERROR(__xludf.DUMMYFUNCTION("""COMPUTED_VALUE"""),245.0)</f>
        <v>245</v>
      </c>
      <c r="E19" s="6">
        <f>IFERROR(__xludf.DUMMYFUNCTION("""COMPUTED_VALUE"""),249.65)</f>
        <v>249.65</v>
      </c>
      <c r="F19" s="6">
        <f>IFERROR(__xludf.DUMMYFUNCTION("""COMPUTED_VALUE"""),1.598906E7)</f>
        <v>15989060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IFERROR(__xludf.DUMMYFUNCTION("""COMPUTED_VALUE"""),249.8)</f>
        <v>249.8</v>
      </c>
      <c r="C20" s="6">
        <f>IFERROR(__xludf.DUMMYFUNCTION("""COMPUTED_VALUE"""),294.5)</f>
        <v>294.5</v>
      </c>
      <c r="D20" s="6">
        <f>IFERROR(__xludf.DUMMYFUNCTION("""COMPUTED_VALUE"""),249.65)</f>
        <v>249.65</v>
      </c>
      <c r="E20" s="6">
        <f>IFERROR(__xludf.DUMMYFUNCTION("""COMPUTED_VALUE"""),291.3)</f>
        <v>291.3</v>
      </c>
      <c r="F20" s="6">
        <f>IFERROR(__xludf.DUMMYFUNCTION("""COMPUTED_VALUE"""),7.5059981E7)</f>
        <v>75059981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IFERROR(__xludf.DUMMYFUNCTION("""COMPUTED_VALUE"""),293.2)</f>
        <v>293.2</v>
      </c>
      <c r="C21" s="6">
        <f>IFERROR(__xludf.DUMMYFUNCTION("""COMPUTED_VALUE"""),293.2)</f>
        <v>293.2</v>
      </c>
      <c r="D21" s="6">
        <f>IFERROR(__xludf.DUMMYFUNCTION("""COMPUTED_VALUE"""),269.1)</f>
        <v>269.1</v>
      </c>
      <c r="E21" s="6">
        <f>IFERROR(__xludf.DUMMYFUNCTION("""COMPUTED_VALUE"""),274.2)</f>
        <v>274.2</v>
      </c>
      <c r="F21" s="6">
        <f>IFERROR(__xludf.DUMMYFUNCTION("""COMPUTED_VALUE"""),2.1685759E7)</f>
        <v>21685759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IFERROR(__xludf.DUMMYFUNCTION("""COMPUTED_VALUE"""),274.6)</f>
        <v>274.6</v>
      </c>
      <c r="C22" s="6">
        <f>IFERROR(__xludf.DUMMYFUNCTION("""COMPUTED_VALUE"""),276.45)</f>
        <v>276.45</v>
      </c>
      <c r="D22" s="6">
        <f>IFERROR(__xludf.DUMMYFUNCTION("""COMPUTED_VALUE"""),257.0)</f>
        <v>257</v>
      </c>
      <c r="E22" s="6">
        <f>IFERROR(__xludf.DUMMYFUNCTION("""COMPUTED_VALUE"""),258.7)</f>
        <v>258.7</v>
      </c>
      <c r="F22" s="6">
        <f>IFERROR(__xludf.DUMMYFUNCTION("""COMPUTED_VALUE"""),1.394894E7)</f>
        <v>13948940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IFERROR(__xludf.DUMMYFUNCTION("""COMPUTED_VALUE"""),261.3)</f>
        <v>261.3</v>
      </c>
      <c r="C23" s="6">
        <f>IFERROR(__xludf.DUMMYFUNCTION("""COMPUTED_VALUE"""),280.8)</f>
        <v>280.8</v>
      </c>
      <c r="D23" s="6">
        <f>IFERROR(__xludf.DUMMYFUNCTION("""COMPUTED_VALUE"""),256.4)</f>
        <v>256.4</v>
      </c>
      <c r="E23" s="6">
        <f>IFERROR(__xludf.DUMMYFUNCTION("""COMPUTED_VALUE"""),274.7)</f>
        <v>274.7</v>
      </c>
      <c r="F23" s="6">
        <f>IFERROR(__xludf.DUMMYFUNCTION("""COMPUTED_VALUE"""),2.1542204E7)</f>
        <v>21542204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IFERROR(__xludf.DUMMYFUNCTION("""COMPUTED_VALUE"""),275.95)</f>
        <v>275.95</v>
      </c>
      <c r="C24" s="6">
        <f>IFERROR(__xludf.DUMMYFUNCTION("""COMPUTED_VALUE"""),307.1)</f>
        <v>307.1</v>
      </c>
      <c r="D24" s="6">
        <f>IFERROR(__xludf.DUMMYFUNCTION("""COMPUTED_VALUE"""),271.5)</f>
        <v>271.5</v>
      </c>
      <c r="E24" s="6">
        <f>IFERROR(__xludf.DUMMYFUNCTION("""COMPUTED_VALUE"""),273.4)</f>
        <v>273.4</v>
      </c>
      <c r="F24" s="6">
        <f>IFERROR(__xludf.DUMMYFUNCTION("""COMPUTED_VALUE"""),6.8369538E7)</f>
        <v>68369538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IFERROR(__xludf.DUMMYFUNCTION("""COMPUTED_VALUE"""),275.1)</f>
        <v>275.1</v>
      </c>
      <c r="C25" s="6">
        <f>IFERROR(__xludf.DUMMYFUNCTION("""COMPUTED_VALUE"""),290.0)</f>
        <v>290</v>
      </c>
      <c r="D25" s="6">
        <f>IFERROR(__xludf.DUMMYFUNCTION("""COMPUTED_VALUE"""),261.0)</f>
        <v>261</v>
      </c>
      <c r="E25" s="6">
        <f>IFERROR(__xludf.DUMMYFUNCTION("""COMPUTED_VALUE"""),286.85)</f>
        <v>286.85</v>
      </c>
      <c r="F25" s="6">
        <f>IFERROR(__xludf.DUMMYFUNCTION("""COMPUTED_VALUE"""),3.3470512E7)</f>
        <v>33470512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IFERROR(__xludf.DUMMYFUNCTION("""COMPUTED_VALUE"""),287.0)</f>
        <v>287</v>
      </c>
      <c r="C26" s="6">
        <f>IFERROR(__xludf.DUMMYFUNCTION("""COMPUTED_VALUE"""),303.1)</f>
        <v>303.1</v>
      </c>
      <c r="D26" s="6">
        <f>IFERROR(__xludf.DUMMYFUNCTION("""COMPUTED_VALUE"""),268.0)</f>
        <v>268</v>
      </c>
      <c r="E26" s="6">
        <f>IFERROR(__xludf.DUMMYFUNCTION("""COMPUTED_VALUE"""),273.05)</f>
        <v>273.05</v>
      </c>
      <c r="F26" s="6">
        <f>IFERROR(__xludf.DUMMYFUNCTION("""COMPUTED_VALUE"""),5.3728718E7)</f>
        <v>53728718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IFERROR(__xludf.DUMMYFUNCTION("""COMPUTED_VALUE"""),277.9)</f>
        <v>277.9</v>
      </c>
      <c r="C27" s="6">
        <f>IFERROR(__xludf.DUMMYFUNCTION("""COMPUTED_VALUE"""),287.2)</f>
        <v>287.2</v>
      </c>
      <c r="D27" s="6">
        <f>IFERROR(__xludf.DUMMYFUNCTION("""COMPUTED_VALUE"""),269.25)</f>
        <v>269.25</v>
      </c>
      <c r="E27" s="6">
        <f>IFERROR(__xludf.DUMMYFUNCTION("""COMPUTED_VALUE"""),281.9)</f>
        <v>281.9</v>
      </c>
      <c r="F27" s="6">
        <f>IFERROR(__xludf.DUMMYFUNCTION("""COMPUTED_VALUE"""),3.8415326E7)</f>
        <v>38415326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IFERROR(__xludf.DUMMYFUNCTION("""COMPUTED_VALUE"""),284.0)</f>
        <v>284</v>
      </c>
      <c r="C28" s="6">
        <f>IFERROR(__xludf.DUMMYFUNCTION("""COMPUTED_VALUE"""),286.2)</f>
        <v>286.2</v>
      </c>
      <c r="D28" s="6">
        <f>IFERROR(__xludf.DUMMYFUNCTION("""COMPUTED_VALUE"""),249.9)</f>
        <v>249.9</v>
      </c>
      <c r="E28" s="6">
        <f>IFERROR(__xludf.DUMMYFUNCTION("""COMPUTED_VALUE"""),251.65)</f>
        <v>251.65</v>
      </c>
      <c r="F28" s="6">
        <f>IFERROR(__xludf.DUMMYFUNCTION("""COMPUTED_VALUE"""),3.145597E7)</f>
        <v>31455970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IFERROR(__xludf.DUMMYFUNCTION("""COMPUTED_VALUE"""),252.8)</f>
        <v>252.8</v>
      </c>
      <c r="C29" s="6">
        <f>IFERROR(__xludf.DUMMYFUNCTION("""COMPUTED_VALUE"""),254.7)</f>
        <v>254.7</v>
      </c>
      <c r="D29" s="6">
        <f>IFERROR(__xludf.DUMMYFUNCTION("""COMPUTED_VALUE"""),244.55)</f>
        <v>244.55</v>
      </c>
      <c r="E29" s="6">
        <f>IFERROR(__xludf.DUMMYFUNCTION("""COMPUTED_VALUE"""),252.2)</f>
        <v>252.2</v>
      </c>
      <c r="F29" s="6">
        <f>IFERROR(__xludf.DUMMYFUNCTION("""COMPUTED_VALUE"""),2.1302858E7)</f>
        <v>21302858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IFERROR(__xludf.DUMMYFUNCTION("""COMPUTED_VALUE"""),254.2)</f>
        <v>254.2</v>
      </c>
      <c r="C30" s="6">
        <f>IFERROR(__xludf.DUMMYFUNCTION("""COMPUTED_VALUE"""),266.75)</f>
        <v>266.75</v>
      </c>
      <c r="D30" s="6">
        <f>IFERROR(__xludf.DUMMYFUNCTION("""COMPUTED_VALUE"""),251.0)</f>
        <v>251</v>
      </c>
      <c r="E30" s="6">
        <f>IFERROR(__xludf.DUMMYFUNCTION("""COMPUTED_VALUE"""),264.15)</f>
        <v>264.15</v>
      </c>
      <c r="F30" s="6">
        <f>IFERROR(__xludf.DUMMYFUNCTION("""COMPUTED_VALUE"""),2.2592924E7)</f>
        <v>22592924</v>
      </c>
    </row>
    <row r="31">
      <c r="A31" s="7">
        <f>IFERROR(__xludf.DUMMYFUNCTION("""COMPUTED_VALUE"""),45387.64583333333)</f>
        <v>45387.64583</v>
      </c>
      <c r="B31" s="6">
        <f>IFERROR(__xludf.DUMMYFUNCTION("""COMPUTED_VALUE"""),265.5)</f>
        <v>265.5</v>
      </c>
      <c r="C31" s="6">
        <f>IFERROR(__xludf.DUMMYFUNCTION("""COMPUTED_VALUE"""),274.95)</f>
        <v>274.95</v>
      </c>
      <c r="D31" s="6">
        <f>IFERROR(__xludf.DUMMYFUNCTION("""COMPUTED_VALUE"""),265.5)</f>
        <v>265.5</v>
      </c>
      <c r="E31" s="6">
        <f>IFERROR(__xludf.DUMMYFUNCTION("""COMPUTED_VALUE"""),270.95)</f>
        <v>270.95</v>
      </c>
      <c r="F31" s="6">
        <f>IFERROR(__xludf.DUMMYFUNCTION("""COMPUTED_VALUE"""),1.3980703E7)</f>
        <v>13980703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IFERROR(__xludf.DUMMYFUNCTION("""COMPUTED_VALUE"""),272.8)</f>
        <v>272.8</v>
      </c>
      <c r="C32" s="6">
        <f>IFERROR(__xludf.DUMMYFUNCTION("""COMPUTED_VALUE"""),283.2)</f>
        <v>283.2</v>
      </c>
      <c r="D32" s="6">
        <f>IFERROR(__xludf.DUMMYFUNCTION("""COMPUTED_VALUE"""),267.7)</f>
        <v>267.7</v>
      </c>
      <c r="E32" s="6">
        <f>IFERROR(__xludf.DUMMYFUNCTION("""COMPUTED_VALUE"""),274.0)</f>
        <v>274</v>
      </c>
      <c r="F32" s="6">
        <f>IFERROR(__xludf.DUMMYFUNCTION("""COMPUTED_VALUE"""),2.8542321E7)</f>
        <v>28542321</v>
      </c>
    </row>
    <row r="33">
      <c r="A33" s="7">
        <f>IFERROR(__xludf.DUMMYFUNCTION("""COMPUTED_VALUE"""),45401.64583333333)</f>
        <v>45401.64583</v>
      </c>
      <c r="B33" s="6">
        <f>IFERROR(__xludf.DUMMYFUNCTION("""COMPUTED_VALUE"""),271.75)</f>
        <v>271.75</v>
      </c>
      <c r="C33" s="6">
        <f>IFERROR(__xludf.DUMMYFUNCTION("""COMPUTED_VALUE"""),275.5)</f>
        <v>275.5</v>
      </c>
      <c r="D33" s="6">
        <f>IFERROR(__xludf.DUMMYFUNCTION("""COMPUTED_VALUE"""),259.85)</f>
        <v>259.85</v>
      </c>
      <c r="E33" s="6">
        <f>IFERROR(__xludf.DUMMYFUNCTION("""COMPUTED_VALUE"""),261.65)</f>
        <v>261.65</v>
      </c>
      <c r="F33" s="6">
        <f>IFERROR(__xludf.DUMMYFUNCTION("""COMPUTED_VALUE"""),2.2535355E7)</f>
        <v>22535355</v>
      </c>
    </row>
    <row r="34">
      <c r="A34" s="7">
        <f>IFERROR(__xludf.DUMMYFUNCTION("""COMPUTED_VALUE"""),45408.64583333333)</f>
        <v>45408.64583</v>
      </c>
      <c r="B34" s="6">
        <f>IFERROR(__xludf.DUMMYFUNCTION("""COMPUTED_VALUE"""),264.4)</f>
        <v>264.4</v>
      </c>
      <c r="C34" s="6">
        <f>IFERROR(__xludf.DUMMYFUNCTION("""COMPUTED_VALUE"""),313.4)</f>
        <v>313.4</v>
      </c>
      <c r="D34" s="6">
        <f>IFERROR(__xludf.DUMMYFUNCTION("""COMPUTED_VALUE"""),262.15)</f>
        <v>262.15</v>
      </c>
      <c r="E34" s="6">
        <f>IFERROR(__xludf.DUMMYFUNCTION("""COMPUTED_VALUE"""),306.4)</f>
        <v>306.4</v>
      </c>
      <c r="F34" s="6">
        <f>IFERROR(__xludf.DUMMYFUNCTION("""COMPUTED_VALUE"""),9.7066385E7)</f>
        <v>97066385</v>
      </c>
    </row>
    <row r="35">
      <c r="A35" s="7">
        <f>IFERROR(__xludf.DUMMYFUNCTION("""COMPUTED_VALUE"""),45415.64583333333)</f>
        <v>45415.64583</v>
      </c>
      <c r="B35" s="6">
        <f>IFERROR(__xludf.DUMMYFUNCTION("""COMPUTED_VALUE"""),310.5)</f>
        <v>310.5</v>
      </c>
      <c r="C35" s="6">
        <f>IFERROR(__xludf.DUMMYFUNCTION("""COMPUTED_VALUE"""),315.0)</f>
        <v>315</v>
      </c>
      <c r="D35" s="6">
        <f>IFERROR(__xludf.DUMMYFUNCTION("""COMPUTED_VALUE"""),296.5)</f>
        <v>296.5</v>
      </c>
      <c r="E35" s="6">
        <f>IFERROR(__xludf.DUMMYFUNCTION("""COMPUTED_VALUE"""),305.2)</f>
        <v>305.2</v>
      </c>
      <c r="F35" s="6">
        <f>IFERROR(__xludf.DUMMYFUNCTION("""COMPUTED_VALUE"""),4.7891357E7)</f>
        <v>47891357</v>
      </c>
    </row>
    <row r="36">
      <c r="A36" s="7">
        <f>IFERROR(__xludf.DUMMYFUNCTION("""COMPUTED_VALUE"""),45422.64583333333)</f>
        <v>45422.64583</v>
      </c>
      <c r="B36" s="6">
        <f>IFERROR(__xludf.DUMMYFUNCTION("""COMPUTED_VALUE"""),307.45)</f>
        <v>307.45</v>
      </c>
      <c r="C36" s="6">
        <f>IFERROR(__xludf.DUMMYFUNCTION("""COMPUTED_VALUE"""),312.3)</f>
        <v>312.3</v>
      </c>
      <c r="D36" s="6">
        <f>IFERROR(__xludf.DUMMYFUNCTION("""COMPUTED_VALUE"""),292.2)</f>
        <v>292.2</v>
      </c>
      <c r="E36" s="6">
        <f>IFERROR(__xludf.DUMMYFUNCTION("""COMPUTED_VALUE"""),304.0)</f>
        <v>304</v>
      </c>
      <c r="F36" s="6">
        <f>IFERROR(__xludf.DUMMYFUNCTION("""COMPUTED_VALUE"""),4.372121E7)</f>
        <v>43721210</v>
      </c>
    </row>
    <row r="37">
      <c r="A37" s="7">
        <f>IFERROR(__xludf.DUMMYFUNCTION("""COMPUTED_VALUE"""),45436.64583333333)</f>
        <v>45436.64583</v>
      </c>
      <c r="B37" s="6">
        <f>IFERROR(__xludf.DUMMYFUNCTION("""COMPUTED_VALUE"""),308.0)</f>
        <v>308</v>
      </c>
      <c r="C37" s="6">
        <f>IFERROR(__xludf.DUMMYFUNCTION("""COMPUTED_VALUE"""),331.0)</f>
        <v>331</v>
      </c>
      <c r="D37" s="6">
        <f>IFERROR(__xludf.DUMMYFUNCTION("""COMPUTED_VALUE"""),304.05)</f>
        <v>304.05</v>
      </c>
      <c r="E37" s="6">
        <f>IFERROR(__xludf.DUMMYFUNCTION("""COMPUTED_VALUE"""),319.45)</f>
        <v>319.45</v>
      </c>
      <c r="F37" s="6">
        <f>IFERROR(__xludf.DUMMYFUNCTION("""COMPUTED_VALUE"""),5.023789E7)</f>
        <v>50237890</v>
      </c>
    </row>
    <row r="38">
      <c r="A38" s="7">
        <f>IFERROR(__xludf.DUMMYFUNCTION("""COMPUTED_VALUE"""),45443.64583333333)</f>
        <v>45443.64583</v>
      </c>
      <c r="B38" s="6">
        <f>IFERROR(__xludf.DUMMYFUNCTION("""COMPUTED_VALUE"""),318.95)</f>
        <v>318.95</v>
      </c>
      <c r="C38" s="6">
        <f>IFERROR(__xludf.DUMMYFUNCTION("""COMPUTED_VALUE"""),325.8)</f>
        <v>325.8</v>
      </c>
      <c r="D38" s="6">
        <f>IFERROR(__xludf.DUMMYFUNCTION("""COMPUTED_VALUE"""),305.4)</f>
        <v>305.4</v>
      </c>
      <c r="E38" s="6">
        <f>IFERROR(__xludf.DUMMYFUNCTION("""COMPUTED_VALUE"""),309.25)</f>
        <v>309.25</v>
      </c>
      <c r="F38" s="6">
        <f>IFERROR(__xludf.DUMMYFUNCTION("""COMPUTED_VALUE"""),4.3180851E7)</f>
        <v>43180851</v>
      </c>
    </row>
    <row r="39">
      <c r="A39" s="7">
        <f>IFERROR(__xludf.DUMMYFUNCTION("""COMPUTED_VALUE"""),45450.64583333333)</f>
        <v>45450.64583</v>
      </c>
      <c r="B39" s="6">
        <f>IFERROR(__xludf.DUMMYFUNCTION("""COMPUTED_VALUE"""),314.9)</f>
        <v>314.9</v>
      </c>
      <c r="C39" s="6">
        <f>IFERROR(__xludf.DUMMYFUNCTION("""COMPUTED_VALUE"""),341.25)</f>
        <v>341.25</v>
      </c>
      <c r="D39" s="6">
        <f>IFERROR(__xludf.DUMMYFUNCTION("""COMPUTED_VALUE"""),269.55)</f>
        <v>269.55</v>
      </c>
      <c r="E39" s="6">
        <f>IFERROR(__xludf.DUMMYFUNCTION("""COMPUTED_VALUE"""),336.0)</f>
        <v>336</v>
      </c>
      <c r="F39" s="6">
        <f>IFERROR(__xludf.DUMMYFUNCTION("""COMPUTED_VALUE"""),6.4167628E7)</f>
        <v>64167628</v>
      </c>
    </row>
    <row r="40">
      <c r="A40" s="7">
        <f>IFERROR(__xludf.DUMMYFUNCTION("""COMPUTED_VALUE"""),45457.64583333333)</f>
        <v>45457.64583</v>
      </c>
      <c r="B40" s="6">
        <f>IFERROR(__xludf.DUMMYFUNCTION("""COMPUTED_VALUE"""),338.0)</f>
        <v>338</v>
      </c>
      <c r="C40" s="6">
        <f>IFERROR(__xludf.DUMMYFUNCTION("""COMPUTED_VALUE"""),349.45)</f>
        <v>349.45</v>
      </c>
      <c r="D40" s="6">
        <f>IFERROR(__xludf.DUMMYFUNCTION("""COMPUTED_VALUE"""),330.1)</f>
        <v>330.1</v>
      </c>
      <c r="E40" s="6">
        <f>IFERROR(__xludf.DUMMYFUNCTION("""COMPUTED_VALUE"""),334.8)</f>
        <v>334.8</v>
      </c>
      <c r="F40" s="6">
        <f>IFERROR(__xludf.DUMMYFUNCTION("""COMPUTED_VALUE"""),2.7082022E7)</f>
        <v>27082022</v>
      </c>
    </row>
    <row r="41">
      <c r="A41" s="7">
        <f>IFERROR(__xludf.DUMMYFUNCTION("""COMPUTED_VALUE"""),45464.64583333333)</f>
        <v>45464.64583</v>
      </c>
      <c r="B41" s="6">
        <f>IFERROR(__xludf.DUMMYFUNCTION("""COMPUTED_VALUE"""),330.0)</f>
        <v>330</v>
      </c>
      <c r="C41" s="6">
        <f>IFERROR(__xludf.DUMMYFUNCTION("""COMPUTED_VALUE"""),351.0)</f>
        <v>351</v>
      </c>
      <c r="D41" s="6">
        <f>IFERROR(__xludf.DUMMYFUNCTION("""COMPUTED_VALUE"""),326.5)</f>
        <v>326.5</v>
      </c>
      <c r="E41" s="6">
        <f>IFERROR(__xludf.DUMMYFUNCTION("""COMPUTED_VALUE"""),345.7)</f>
        <v>345.7</v>
      </c>
      <c r="F41" s="6">
        <f>IFERROR(__xludf.DUMMYFUNCTION("""COMPUTED_VALUE"""),3.0985821E7)</f>
        <v>30985821</v>
      </c>
    </row>
    <row r="42">
      <c r="A42" s="7">
        <f>IFERROR(__xludf.DUMMYFUNCTION("""COMPUTED_VALUE"""),45471.64583333333)</f>
        <v>45471.64583</v>
      </c>
      <c r="B42" s="6">
        <f>IFERROR(__xludf.DUMMYFUNCTION("""COMPUTED_VALUE"""),345.4)</f>
        <v>345.4</v>
      </c>
      <c r="C42" s="6">
        <f>IFERROR(__xludf.DUMMYFUNCTION("""COMPUTED_VALUE"""),354.9)</f>
        <v>354.9</v>
      </c>
      <c r="D42" s="6">
        <f>IFERROR(__xludf.DUMMYFUNCTION("""COMPUTED_VALUE"""),336.3)</f>
        <v>336.3</v>
      </c>
      <c r="E42" s="6">
        <f>IFERROR(__xludf.DUMMYFUNCTION("""COMPUTED_VALUE"""),351.1)</f>
        <v>351.1</v>
      </c>
      <c r="F42" s="6">
        <f>IFERROR(__xludf.DUMMYFUNCTION("""COMPUTED_VALUE"""),2.6215087E7)</f>
        <v>26215087</v>
      </c>
    </row>
    <row r="43">
      <c r="A43" s="7">
        <f>IFERROR(__xludf.DUMMYFUNCTION("""COMPUTED_VALUE"""),45478.64583333333)</f>
        <v>45478.64583</v>
      </c>
      <c r="B43" s="6">
        <f>IFERROR(__xludf.DUMMYFUNCTION("""COMPUTED_VALUE"""),352.6)</f>
        <v>352.6</v>
      </c>
      <c r="C43" s="6">
        <f>IFERROR(__xludf.DUMMYFUNCTION("""COMPUTED_VALUE"""),371.4)</f>
        <v>371.4</v>
      </c>
      <c r="D43" s="6">
        <f>IFERROR(__xludf.DUMMYFUNCTION("""COMPUTED_VALUE"""),348.25)</f>
        <v>348.25</v>
      </c>
      <c r="E43" s="6">
        <f>IFERROR(__xludf.DUMMYFUNCTION("""COMPUTED_VALUE"""),370.2)</f>
        <v>370.2</v>
      </c>
      <c r="F43" s="6">
        <f>IFERROR(__xludf.DUMMYFUNCTION("""COMPUTED_VALUE"""),3.5077313E7)</f>
        <v>35077313</v>
      </c>
    </row>
    <row r="44">
      <c r="A44" s="7">
        <f>IFERROR(__xludf.DUMMYFUNCTION("""COMPUTED_VALUE"""),45485.64583333333)</f>
        <v>45485.64583</v>
      </c>
      <c r="B44" s="6">
        <f>IFERROR(__xludf.DUMMYFUNCTION("""COMPUTED_VALUE"""),371.0)</f>
        <v>371</v>
      </c>
      <c r="C44" s="6">
        <f>IFERROR(__xludf.DUMMYFUNCTION("""COMPUTED_VALUE"""),373.85)</f>
        <v>373.85</v>
      </c>
      <c r="D44" s="6">
        <f>IFERROR(__xludf.DUMMYFUNCTION("""COMPUTED_VALUE"""),349.1)</f>
        <v>349.1</v>
      </c>
      <c r="E44" s="6">
        <f>IFERROR(__xludf.DUMMYFUNCTION("""COMPUTED_VALUE"""),350.75)</f>
        <v>350.75</v>
      </c>
      <c r="F44" s="6">
        <f>IFERROR(__xludf.DUMMYFUNCTION("""COMPUTED_VALUE"""),1.8698779E7)</f>
        <v>18698779</v>
      </c>
    </row>
    <row r="45">
      <c r="A45" s="7">
        <f>IFERROR(__xludf.DUMMYFUNCTION("""COMPUTED_VALUE"""),45492.64583333333)</f>
        <v>45492.64583</v>
      </c>
      <c r="B45" s="6">
        <f>IFERROR(__xludf.DUMMYFUNCTION("""COMPUTED_VALUE"""),352.0)</f>
        <v>352</v>
      </c>
      <c r="C45" s="6">
        <f>IFERROR(__xludf.DUMMYFUNCTION("""COMPUTED_VALUE"""),361.5)</f>
        <v>361.5</v>
      </c>
      <c r="D45" s="6">
        <f>IFERROR(__xludf.DUMMYFUNCTION("""COMPUTED_VALUE"""),334.05)</f>
        <v>334.05</v>
      </c>
      <c r="E45" s="6">
        <f>IFERROR(__xludf.DUMMYFUNCTION("""COMPUTED_VALUE"""),335.2)</f>
        <v>335.2</v>
      </c>
      <c r="F45" s="6">
        <f>IFERROR(__xludf.DUMMYFUNCTION("""COMPUTED_VALUE"""),1.3595517E7)</f>
        <v>13595517</v>
      </c>
    </row>
    <row r="46">
      <c r="A46" s="7">
        <f>IFERROR(__xludf.DUMMYFUNCTION("""COMPUTED_VALUE"""),45499.64583333333)</f>
        <v>45499.64583</v>
      </c>
      <c r="B46" s="6">
        <f>IFERROR(__xludf.DUMMYFUNCTION("""COMPUTED_VALUE"""),332.65)</f>
        <v>332.65</v>
      </c>
      <c r="C46" s="6">
        <f>IFERROR(__xludf.DUMMYFUNCTION("""COMPUTED_VALUE"""),376.8)</f>
        <v>376.8</v>
      </c>
      <c r="D46" s="6">
        <f>IFERROR(__xludf.DUMMYFUNCTION("""COMPUTED_VALUE"""),320.4)</f>
        <v>320.4</v>
      </c>
      <c r="E46" s="6">
        <f>IFERROR(__xludf.DUMMYFUNCTION("""COMPUTED_VALUE"""),368.5)</f>
        <v>368.5</v>
      </c>
      <c r="F46" s="6">
        <f>IFERROR(__xludf.DUMMYFUNCTION("""COMPUTED_VALUE"""),2.5608723E7)</f>
        <v>25608723</v>
      </c>
    </row>
    <row r="47">
      <c r="A47" s="7">
        <f>IFERROR(__xludf.DUMMYFUNCTION("""COMPUTED_VALUE"""),45506.64583333333)</f>
        <v>45506.64583</v>
      </c>
      <c r="B47" s="6">
        <f>IFERROR(__xludf.DUMMYFUNCTION("""COMPUTED_VALUE"""),370.8)</f>
        <v>370.8</v>
      </c>
      <c r="C47" s="6">
        <f>IFERROR(__xludf.DUMMYFUNCTION("""COMPUTED_VALUE"""),370.8)</f>
        <v>370.8</v>
      </c>
      <c r="D47" s="6">
        <f>IFERROR(__xludf.DUMMYFUNCTION("""COMPUTED_VALUE"""),348.05)</f>
        <v>348.05</v>
      </c>
      <c r="E47" s="6">
        <f>IFERROR(__xludf.DUMMYFUNCTION("""COMPUTED_VALUE"""),356.1)</f>
        <v>356.1</v>
      </c>
      <c r="F47" s="6">
        <f>IFERROR(__xludf.DUMMYFUNCTION("""COMPUTED_VALUE"""),1.641843E7)</f>
        <v>16418430</v>
      </c>
    </row>
    <row r="48">
      <c r="A48" s="7">
        <f>IFERROR(__xludf.DUMMYFUNCTION("""COMPUTED_VALUE"""),45513.64583333333)</f>
        <v>45513.64583</v>
      </c>
      <c r="B48" s="6">
        <f>IFERROR(__xludf.DUMMYFUNCTION("""COMPUTED_VALUE"""),344.05)</f>
        <v>344.05</v>
      </c>
      <c r="C48" s="6">
        <f>IFERROR(__xludf.DUMMYFUNCTION("""COMPUTED_VALUE"""),352.85)</f>
        <v>352.85</v>
      </c>
      <c r="D48" s="6">
        <f>IFERROR(__xludf.DUMMYFUNCTION("""COMPUTED_VALUE"""),332.25)</f>
        <v>332.25</v>
      </c>
      <c r="E48" s="6">
        <f>IFERROR(__xludf.DUMMYFUNCTION("""COMPUTED_VALUE"""),336.95)</f>
        <v>336.95</v>
      </c>
      <c r="F48" s="6">
        <f>IFERROR(__xludf.DUMMYFUNCTION("""COMPUTED_VALUE"""),2.6256398E7)</f>
        <v>26256398</v>
      </c>
    </row>
    <row r="49">
      <c r="A49" s="7">
        <f>IFERROR(__xludf.DUMMYFUNCTION("""COMPUTED_VALUE"""),45520.64583333333)</f>
        <v>45520.64583</v>
      </c>
      <c r="B49" s="6">
        <f>IFERROR(__xludf.DUMMYFUNCTION("""COMPUTED_VALUE"""),330.25)</f>
        <v>330.25</v>
      </c>
      <c r="C49" s="6">
        <f>IFERROR(__xludf.DUMMYFUNCTION("""COMPUTED_VALUE"""),342.0)</f>
        <v>342</v>
      </c>
      <c r="D49" s="6">
        <f>IFERROR(__xludf.DUMMYFUNCTION("""COMPUTED_VALUE"""),323.35)</f>
        <v>323.35</v>
      </c>
      <c r="E49" s="6">
        <f>IFERROR(__xludf.DUMMYFUNCTION("""COMPUTED_VALUE"""),340.95)</f>
        <v>340.95</v>
      </c>
      <c r="F49" s="6">
        <f>IFERROR(__xludf.DUMMYFUNCTION("""COMPUTED_VALUE"""),1.4395422E7)</f>
        <v>14395422</v>
      </c>
    </row>
    <row r="50">
      <c r="A50" s="7">
        <f>IFERROR(__xludf.DUMMYFUNCTION("""COMPUTED_VALUE"""),45527.64583333333)</f>
        <v>45527.64583</v>
      </c>
      <c r="B50" s="6">
        <f>IFERROR(__xludf.DUMMYFUNCTION("""COMPUTED_VALUE"""),342.0)</f>
        <v>342</v>
      </c>
      <c r="C50" s="6">
        <f>IFERROR(__xludf.DUMMYFUNCTION("""COMPUTED_VALUE"""),359.05)</f>
        <v>359.05</v>
      </c>
      <c r="D50" s="6">
        <f>IFERROR(__xludf.DUMMYFUNCTION("""COMPUTED_VALUE"""),340.65)</f>
        <v>340.65</v>
      </c>
      <c r="E50" s="6">
        <f>IFERROR(__xludf.DUMMYFUNCTION("""COMPUTED_VALUE"""),351.6)</f>
        <v>351.6</v>
      </c>
      <c r="F50" s="6">
        <f>IFERROR(__xludf.DUMMYFUNCTION("""COMPUTED_VALUE"""),1.4979238E7)</f>
        <v>14979238</v>
      </c>
    </row>
    <row r="51">
      <c r="A51" s="7">
        <f>IFERROR(__xludf.DUMMYFUNCTION("""COMPUTED_VALUE"""),45534.64583333333)</f>
        <v>45534.64583</v>
      </c>
      <c r="B51" s="6">
        <f>IFERROR(__xludf.DUMMYFUNCTION("""COMPUTED_VALUE"""),352.0)</f>
        <v>352</v>
      </c>
      <c r="C51" s="6">
        <f>IFERROR(__xludf.DUMMYFUNCTION("""COMPUTED_VALUE"""),364.95)</f>
        <v>364.95</v>
      </c>
      <c r="D51" s="6">
        <f>IFERROR(__xludf.DUMMYFUNCTION("""COMPUTED_VALUE"""),350.05)</f>
        <v>350.05</v>
      </c>
      <c r="E51" s="6">
        <f>IFERROR(__xludf.DUMMYFUNCTION("""COMPUTED_VALUE"""),359.1)</f>
        <v>359.1</v>
      </c>
      <c r="F51" s="6">
        <f>IFERROR(__xludf.DUMMYFUNCTION("""COMPUTED_VALUE"""),1.7158705E7)</f>
        <v>17158705</v>
      </c>
    </row>
    <row r="52">
      <c r="A52" s="7">
        <f>IFERROR(__xludf.DUMMYFUNCTION("""COMPUTED_VALUE"""),45541.64583333333)</f>
        <v>45541.64583</v>
      </c>
      <c r="B52" s="6">
        <f>IFERROR(__xludf.DUMMYFUNCTION("""COMPUTED_VALUE"""),368.0)</f>
        <v>368</v>
      </c>
      <c r="C52" s="6">
        <f>IFERROR(__xludf.DUMMYFUNCTION("""COMPUTED_VALUE"""),394.7)</f>
        <v>394.7</v>
      </c>
      <c r="D52" s="6">
        <f>IFERROR(__xludf.DUMMYFUNCTION("""COMPUTED_VALUE"""),355.25)</f>
        <v>355.25</v>
      </c>
      <c r="E52" s="6">
        <f>IFERROR(__xludf.DUMMYFUNCTION("""COMPUTED_VALUE"""),373.7)</f>
        <v>373.7</v>
      </c>
      <c r="F52" s="6">
        <f>IFERROR(__xludf.DUMMYFUNCTION("""COMPUTED_VALUE"""),4.474691E7)</f>
        <v>44746910</v>
      </c>
    </row>
    <row r="53">
      <c r="A53" s="7">
        <f>IFERROR(__xludf.DUMMYFUNCTION("""COMPUTED_VALUE"""),45548.64583333333)</f>
        <v>45548.64583</v>
      </c>
      <c r="B53" s="6">
        <f>IFERROR(__xludf.DUMMYFUNCTION("""COMPUTED_VALUE"""),373.15)</f>
        <v>373.15</v>
      </c>
      <c r="C53" s="6">
        <f>IFERROR(__xludf.DUMMYFUNCTION("""COMPUTED_VALUE"""),394.9)</f>
        <v>394.9</v>
      </c>
      <c r="D53" s="6">
        <f>IFERROR(__xludf.DUMMYFUNCTION("""COMPUTED_VALUE"""),366.15)</f>
        <v>366.15</v>
      </c>
      <c r="E53" s="6">
        <f>IFERROR(__xludf.DUMMYFUNCTION("""COMPUTED_VALUE"""),378.95)</f>
        <v>378.95</v>
      </c>
      <c r="F53" s="6">
        <f>IFERROR(__xludf.DUMMYFUNCTION("""COMPUTED_VALUE"""),4.1935691E7)</f>
        <v>41935691</v>
      </c>
    </row>
    <row r="54">
      <c r="A54" s="7">
        <f>IFERROR(__xludf.DUMMYFUNCTION("""COMPUTED_VALUE"""),45555.64583333333)</f>
        <v>45555.64583</v>
      </c>
      <c r="B54" s="6">
        <f>IFERROR(__xludf.DUMMYFUNCTION("""COMPUTED_VALUE"""),382.5)</f>
        <v>382.5</v>
      </c>
      <c r="C54" s="6">
        <f>IFERROR(__xludf.DUMMYFUNCTION("""COMPUTED_VALUE"""),395.8)</f>
        <v>395.8</v>
      </c>
      <c r="D54" s="6">
        <f>IFERROR(__xludf.DUMMYFUNCTION("""COMPUTED_VALUE"""),351.0)</f>
        <v>351</v>
      </c>
      <c r="E54" s="6">
        <f>IFERROR(__xludf.DUMMYFUNCTION("""COMPUTED_VALUE"""),365.35)</f>
        <v>365.35</v>
      </c>
      <c r="F54" s="6">
        <f>IFERROR(__xludf.DUMMYFUNCTION("""COMPUTED_VALUE"""),3.5825136E7)</f>
        <v>35825136</v>
      </c>
    </row>
    <row r="55">
      <c r="A55" s="7">
        <f>IFERROR(__xludf.DUMMYFUNCTION("""COMPUTED_VALUE"""),45562.64583333333)</f>
        <v>45562.64583</v>
      </c>
      <c r="B55" s="6">
        <f>IFERROR(__xludf.DUMMYFUNCTION("""COMPUTED_VALUE"""),365.35)</f>
        <v>365.35</v>
      </c>
      <c r="C55" s="6">
        <f>IFERROR(__xludf.DUMMYFUNCTION("""COMPUTED_VALUE"""),381.8)</f>
        <v>381.8</v>
      </c>
      <c r="D55" s="6">
        <f>IFERROR(__xludf.DUMMYFUNCTION("""COMPUTED_VALUE"""),363.6)</f>
        <v>363.6</v>
      </c>
      <c r="E55" s="6">
        <f>IFERROR(__xludf.DUMMYFUNCTION("""COMPUTED_VALUE"""),368.85)</f>
        <v>368.85</v>
      </c>
      <c r="F55" s="6">
        <f>IFERROR(__xludf.DUMMYFUNCTION("""COMPUTED_VALUE"""),2.1571788E7)</f>
        <v>21571788</v>
      </c>
    </row>
    <row r="56">
      <c r="A56" s="7">
        <f>IFERROR(__xludf.DUMMYFUNCTION("""COMPUTED_VALUE"""),45569.64583333333)</f>
        <v>45569.64583</v>
      </c>
      <c r="B56" s="6">
        <f>IFERROR(__xludf.DUMMYFUNCTION("""COMPUTED_VALUE"""),362.0)</f>
        <v>362</v>
      </c>
      <c r="C56" s="6">
        <f>IFERROR(__xludf.DUMMYFUNCTION("""COMPUTED_VALUE"""),371.8)</f>
        <v>371.8</v>
      </c>
      <c r="D56" s="6">
        <f>IFERROR(__xludf.DUMMYFUNCTION("""COMPUTED_VALUE"""),345.1)</f>
        <v>345.1</v>
      </c>
      <c r="E56" s="6">
        <f>IFERROR(__xludf.DUMMYFUNCTION("""COMPUTED_VALUE"""),346.35)</f>
        <v>346.35</v>
      </c>
      <c r="F56" s="6">
        <f>IFERROR(__xludf.DUMMYFUNCTION("""COMPUTED_VALUE"""),1.435535E7)</f>
        <v>14355350</v>
      </c>
    </row>
    <row r="57">
      <c r="A57" s="7">
        <f>IFERROR(__xludf.DUMMYFUNCTION("""COMPUTED_VALUE"""),45576.64583333333)</f>
        <v>45576.64583</v>
      </c>
      <c r="B57" s="6">
        <f>IFERROR(__xludf.DUMMYFUNCTION("""COMPUTED_VALUE"""),346.55)</f>
        <v>346.55</v>
      </c>
      <c r="C57" s="6">
        <f>IFERROR(__xludf.DUMMYFUNCTION("""COMPUTED_VALUE"""),352.7)</f>
        <v>352.7</v>
      </c>
      <c r="D57" s="6">
        <f>IFERROR(__xludf.DUMMYFUNCTION("""COMPUTED_VALUE"""),334.6)</f>
        <v>334.6</v>
      </c>
      <c r="E57" s="6">
        <f>IFERROR(__xludf.DUMMYFUNCTION("""COMPUTED_VALUE"""),346.15)</f>
        <v>346.15</v>
      </c>
      <c r="F57" s="6">
        <f>IFERROR(__xludf.DUMMYFUNCTION("""COMPUTED_VALUE"""),1.3275453E7)</f>
        <v>13275453</v>
      </c>
    </row>
    <row r="58">
      <c r="A58" s="7">
        <f>IFERROR(__xludf.DUMMYFUNCTION("""COMPUTED_VALUE"""),45583.64583333333)</f>
        <v>45583.64583</v>
      </c>
      <c r="B58" s="6">
        <f>IFERROR(__xludf.DUMMYFUNCTION("""COMPUTED_VALUE"""),347.05)</f>
        <v>347.05</v>
      </c>
      <c r="C58" s="6">
        <f>IFERROR(__xludf.DUMMYFUNCTION("""COMPUTED_VALUE"""),353.4)</f>
        <v>353.4</v>
      </c>
      <c r="D58" s="6">
        <f>IFERROR(__xludf.DUMMYFUNCTION("""COMPUTED_VALUE"""),332.5)</f>
        <v>332.5</v>
      </c>
      <c r="E58" s="6">
        <f>IFERROR(__xludf.DUMMYFUNCTION("""COMPUTED_VALUE"""),339.95)</f>
        <v>339.95</v>
      </c>
      <c r="F58" s="6">
        <f>IFERROR(__xludf.DUMMYFUNCTION("""COMPUTED_VALUE"""),8986732.0)</f>
        <v>8986732</v>
      </c>
    </row>
    <row r="59">
      <c r="A59" s="7">
        <f>IFERROR(__xludf.DUMMYFUNCTION("""COMPUTED_VALUE"""),45590.64583333333)</f>
        <v>45590.64583</v>
      </c>
      <c r="B59" s="6">
        <f>IFERROR(__xludf.DUMMYFUNCTION("""COMPUTED_VALUE"""),340.0)</f>
        <v>340</v>
      </c>
      <c r="C59" s="6">
        <f>IFERROR(__xludf.DUMMYFUNCTION("""COMPUTED_VALUE"""),343.15)</f>
        <v>343.15</v>
      </c>
      <c r="D59" s="6">
        <f>IFERROR(__xludf.DUMMYFUNCTION("""COMPUTED_VALUE"""),304.65)</f>
        <v>304.65</v>
      </c>
      <c r="E59" s="6">
        <f>IFERROR(__xludf.DUMMYFUNCTION("""COMPUTED_VALUE"""),312.0)</f>
        <v>312</v>
      </c>
      <c r="F59" s="6">
        <f>IFERROR(__xludf.DUMMYFUNCTION("""COMPUTED_VALUE"""),1.4266552E7)</f>
        <v>14266552</v>
      </c>
    </row>
    <row r="60">
      <c r="A60" s="7">
        <f>IFERROR(__xludf.DUMMYFUNCTION("""COMPUTED_VALUE"""),45604.64583333333)</f>
        <v>45604.64583</v>
      </c>
      <c r="B60" s="6">
        <f>IFERROR(__xludf.DUMMYFUNCTION("""COMPUTED_VALUE"""),317.5)</f>
        <v>317.5</v>
      </c>
      <c r="C60" s="6">
        <f>IFERROR(__xludf.DUMMYFUNCTION("""COMPUTED_VALUE"""),331.9)</f>
        <v>331.9</v>
      </c>
      <c r="D60" s="6">
        <f>IFERROR(__xludf.DUMMYFUNCTION("""COMPUTED_VALUE"""),306.1)</f>
        <v>306.1</v>
      </c>
      <c r="E60" s="6">
        <f>IFERROR(__xludf.DUMMYFUNCTION("""COMPUTED_VALUE"""),321.3)</f>
        <v>321.3</v>
      </c>
      <c r="F60" s="6">
        <f>IFERROR(__xludf.DUMMYFUNCTION("""COMPUTED_VALUE"""),1.5429644E7)</f>
        <v>15429644</v>
      </c>
    </row>
    <row r="61">
      <c r="A61" s="7">
        <f>IFERROR(__xludf.DUMMYFUNCTION("""COMPUTED_VALUE"""),45610.64583333333)</f>
        <v>45610.64583</v>
      </c>
      <c r="B61" s="6">
        <f>IFERROR(__xludf.DUMMYFUNCTION("""COMPUTED_VALUE"""),329.0)</f>
        <v>329</v>
      </c>
      <c r="C61" s="6">
        <f>IFERROR(__xludf.DUMMYFUNCTION("""COMPUTED_VALUE"""),353.55)</f>
        <v>353.55</v>
      </c>
      <c r="D61" s="6">
        <f>IFERROR(__xludf.DUMMYFUNCTION("""COMPUTED_VALUE"""),326.0)</f>
        <v>326</v>
      </c>
      <c r="E61" s="6">
        <f>IFERROR(__xludf.DUMMYFUNCTION("""COMPUTED_VALUE"""),335.8)</f>
        <v>335.8</v>
      </c>
      <c r="F61" s="6">
        <f>IFERROR(__xludf.DUMMYFUNCTION("""COMPUTED_VALUE"""),3.5958857E7)</f>
        <v>35958857</v>
      </c>
    </row>
    <row r="62">
      <c r="A62" s="7">
        <f>IFERROR(__xludf.DUMMYFUNCTION("""COMPUTED_VALUE"""),45618.64583333333)</f>
        <v>45618.64583</v>
      </c>
      <c r="B62" s="6">
        <f>IFERROR(__xludf.DUMMYFUNCTION("""COMPUTED_VALUE"""),336.45)</f>
        <v>336.45</v>
      </c>
      <c r="C62" s="6">
        <f>IFERROR(__xludf.DUMMYFUNCTION("""COMPUTED_VALUE"""),337.65)</f>
        <v>337.65</v>
      </c>
      <c r="D62" s="6">
        <f>IFERROR(__xludf.DUMMYFUNCTION("""COMPUTED_VALUE"""),319.5)</f>
        <v>319.5</v>
      </c>
      <c r="E62" s="6">
        <f>IFERROR(__xludf.DUMMYFUNCTION("""COMPUTED_VALUE"""),331.5)</f>
        <v>331.5</v>
      </c>
      <c r="F62" s="6">
        <f>IFERROR(__xludf.DUMMYFUNCTION("""COMPUTED_VALUE"""),7115269.0)</f>
        <v>7115269</v>
      </c>
    </row>
    <row r="63">
      <c r="A63" s="7">
        <f>IFERROR(__xludf.DUMMYFUNCTION("""COMPUTED_VALUE"""),45625.64583333333)</f>
        <v>45625.64583</v>
      </c>
      <c r="B63" s="6">
        <f>IFERROR(__xludf.DUMMYFUNCTION("""COMPUTED_VALUE"""),335.0)</f>
        <v>335</v>
      </c>
      <c r="C63" s="6">
        <f>IFERROR(__xludf.DUMMYFUNCTION("""COMPUTED_VALUE"""),368.3)</f>
        <v>368.3</v>
      </c>
      <c r="D63" s="6">
        <f>IFERROR(__xludf.DUMMYFUNCTION("""COMPUTED_VALUE"""),333.55)</f>
        <v>333.55</v>
      </c>
      <c r="E63" s="6">
        <f>IFERROR(__xludf.DUMMYFUNCTION("""COMPUTED_VALUE"""),365.15)</f>
        <v>365.15</v>
      </c>
      <c r="F63" s="6">
        <f>IFERROR(__xludf.DUMMYFUNCTION("""COMPUTED_VALUE"""),1.8388419E7)</f>
        <v>18388419</v>
      </c>
    </row>
    <row r="64">
      <c r="A64" s="7">
        <f>IFERROR(__xludf.DUMMYFUNCTION("""COMPUTED_VALUE"""),45632.64583333333)</f>
        <v>45632.64583</v>
      </c>
      <c r="B64" s="6">
        <f>IFERROR(__xludf.DUMMYFUNCTION("""COMPUTED_VALUE"""),375.0)</f>
        <v>375</v>
      </c>
      <c r="C64" s="6">
        <f>IFERROR(__xludf.DUMMYFUNCTION("""COMPUTED_VALUE"""),381.5)</f>
        <v>381.5</v>
      </c>
      <c r="D64" s="6">
        <f>IFERROR(__xludf.DUMMYFUNCTION("""COMPUTED_VALUE"""),368.05)</f>
        <v>368.05</v>
      </c>
      <c r="E64" s="6">
        <f>IFERROR(__xludf.DUMMYFUNCTION("""COMPUTED_VALUE"""),380.05)</f>
        <v>380.05</v>
      </c>
      <c r="F64" s="6">
        <f>IFERROR(__xludf.DUMMYFUNCTION("""COMPUTED_VALUE"""),1.8761443E7)</f>
        <v>18761443</v>
      </c>
    </row>
    <row r="65">
      <c r="A65" s="7">
        <f>IFERROR(__xludf.DUMMYFUNCTION("""COMPUTED_VALUE"""),45639.64583333333)</f>
        <v>45639.64583</v>
      </c>
      <c r="B65" s="6">
        <f>IFERROR(__xludf.DUMMYFUNCTION("""COMPUTED_VALUE"""),378.0)</f>
        <v>378</v>
      </c>
      <c r="C65" s="6">
        <f>IFERROR(__xludf.DUMMYFUNCTION("""COMPUTED_VALUE"""),380.8)</f>
        <v>380.8</v>
      </c>
      <c r="D65" s="6">
        <f>IFERROR(__xludf.DUMMYFUNCTION("""COMPUTED_VALUE"""),346.75)</f>
        <v>346.75</v>
      </c>
      <c r="E65" s="6">
        <f>IFERROR(__xludf.DUMMYFUNCTION("""COMPUTED_VALUE"""),352.8)</f>
        <v>352.8</v>
      </c>
      <c r="F65" s="6">
        <f>IFERROR(__xludf.DUMMYFUNCTION("""COMPUTED_VALUE"""),1.212051E7)</f>
        <v>12120510</v>
      </c>
    </row>
    <row r="66">
      <c r="A66" s="7">
        <f>IFERROR(__xludf.DUMMYFUNCTION("""COMPUTED_VALUE"""),45646.64583333333)</f>
        <v>45646.64583</v>
      </c>
      <c r="B66" s="6">
        <f>IFERROR(__xludf.DUMMYFUNCTION("""COMPUTED_VALUE"""),357.0)</f>
        <v>357</v>
      </c>
      <c r="C66" s="6">
        <f>IFERROR(__xludf.DUMMYFUNCTION("""COMPUTED_VALUE"""),358.65)</f>
        <v>358.65</v>
      </c>
      <c r="D66" s="6">
        <f>IFERROR(__xludf.DUMMYFUNCTION("""COMPUTED_VALUE"""),335.15)</f>
        <v>335.15</v>
      </c>
      <c r="E66" s="6">
        <f>IFERROR(__xludf.DUMMYFUNCTION("""COMPUTED_VALUE"""),335.95)</f>
        <v>335.95</v>
      </c>
      <c r="F66" s="6">
        <f>IFERROR(__xludf.DUMMYFUNCTION("""COMPUTED_VALUE"""),1.1647141E7)</f>
        <v>11647141</v>
      </c>
    </row>
    <row r="67">
      <c r="A67" s="7">
        <f>IFERROR(__xludf.DUMMYFUNCTION("""COMPUTED_VALUE"""),45653.64583333333)</f>
        <v>45653.64583</v>
      </c>
      <c r="B67" s="6">
        <f>IFERROR(__xludf.DUMMYFUNCTION("""COMPUTED_VALUE"""),338.45)</f>
        <v>338.45</v>
      </c>
      <c r="C67" s="6">
        <f>IFERROR(__xludf.DUMMYFUNCTION("""COMPUTED_VALUE"""),353.9)</f>
        <v>353.9</v>
      </c>
      <c r="D67" s="6">
        <f>IFERROR(__xludf.DUMMYFUNCTION("""COMPUTED_VALUE"""),329.0)</f>
        <v>329</v>
      </c>
      <c r="E67" s="6">
        <f>IFERROR(__xludf.DUMMYFUNCTION("""COMPUTED_VALUE"""),352.55)</f>
        <v>352.55</v>
      </c>
      <c r="F67" s="6">
        <f>IFERROR(__xludf.DUMMYFUNCTION("""COMPUTED_VALUE"""),1.4639801E7)</f>
        <v>14639801</v>
      </c>
    </row>
    <row r="68">
      <c r="A68" s="7">
        <f>IFERROR(__xludf.DUMMYFUNCTION("""COMPUTED_VALUE"""),45660.64583333333)</f>
        <v>45660.64583</v>
      </c>
      <c r="B68" s="6">
        <f>IFERROR(__xludf.DUMMYFUNCTION("""COMPUTED_VALUE"""),355.0)</f>
        <v>355</v>
      </c>
      <c r="C68" s="6">
        <f>IFERROR(__xludf.DUMMYFUNCTION("""COMPUTED_VALUE"""),377.0)</f>
        <v>377</v>
      </c>
      <c r="D68" s="6">
        <f>IFERROR(__xludf.DUMMYFUNCTION("""COMPUTED_VALUE"""),352.2)</f>
        <v>352.2</v>
      </c>
      <c r="E68" s="6">
        <f>IFERROR(__xludf.DUMMYFUNCTION("""COMPUTED_VALUE"""),369.25)</f>
        <v>369.25</v>
      </c>
      <c r="F68" s="6">
        <f>IFERROR(__xludf.DUMMYFUNCTION("""COMPUTED_VALUE"""),1.6127995E7)</f>
        <v>16127995</v>
      </c>
    </row>
    <row r="69">
      <c r="A69" s="7">
        <f>IFERROR(__xludf.DUMMYFUNCTION("""COMPUTED_VALUE"""),45667.64583333333)</f>
        <v>45667.64583</v>
      </c>
      <c r="B69" s="6">
        <f>IFERROR(__xludf.DUMMYFUNCTION("""COMPUTED_VALUE"""),369.45)</f>
        <v>369.45</v>
      </c>
      <c r="C69" s="6">
        <f>IFERROR(__xludf.DUMMYFUNCTION("""COMPUTED_VALUE"""),388.95)</f>
        <v>388.95</v>
      </c>
      <c r="D69" s="6">
        <f>IFERROR(__xludf.DUMMYFUNCTION("""COMPUTED_VALUE"""),356.75)</f>
        <v>356.75</v>
      </c>
      <c r="E69" s="6">
        <f>IFERROR(__xludf.DUMMYFUNCTION("""COMPUTED_VALUE"""),360.95)</f>
        <v>360.95</v>
      </c>
      <c r="F69" s="6">
        <f>IFERROR(__xludf.DUMMYFUNCTION("""COMPUTED_VALUE"""),2.9056188E7)</f>
        <v>29056188</v>
      </c>
    </row>
    <row r="70">
      <c r="A70" s="7">
        <f>IFERROR(__xludf.DUMMYFUNCTION("""COMPUTED_VALUE"""),45674.64583333333)</f>
        <v>45674.64583</v>
      </c>
      <c r="B70" s="6">
        <f>IFERROR(__xludf.DUMMYFUNCTION("""COMPUTED_VALUE"""),371.0)</f>
        <v>371</v>
      </c>
      <c r="C70" s="6">
        <f>IFERROR(__xludf.DUMMYFUNCTION("""COMPUTED_VALUE"""),397.8)</f>
        <v>397.8</v>
      </c>
      <c r="D70" s="6">
        <f>IFERROR(__xludf.DUMMYFUNCTION("""COMPUTED_VALUE"""),360.45)</f>
        <v>360.45</v>
      </c>
      <c r="E70" s="6">
        <f>IFERROR(__xludf.DUMMYFUNCTION("""COMPUTED_VALUE"""),393.7)</f>
        <v>393.7</v>
      </c>
      <c r="F70" s="6">
        <f>IFERROR(__xludf.DUMMYFUNCTION("""COMPUTED_VALUE"""),6.3282096E7)</f>
        <v>63282096</v>
      </c>
    </row>
    <row r="71">
      <c r="A71" s="7">
        <f>IFERROR(__xludf.DUMMYFUNCTION("""COMPUTED_VALUE"""),45681.64583333333)</f>
        <v>45681.64583</v>
      </c>
      <c r="B71" s="6">
        <f>IFERROR(__xludf.DUMMYFUNCTION("""COMPUTED_VALUE"""),395.0)</f>
        <v>395</v>
      </c>
      <c r="C71" s="6">
        <f>IFERROR(__xludf.DUMMYFUNCTION("""COMPUTED_VALUE"""),404.7)</f>
        <v>404.7</v>
      </c>
      <c r="D71" s="6">
        <f>IFERROR(__xludf.DUMMYFUNCTION("""COMPUTED_VALUE"""),380.1)</f>
        <v>380.1</v>
      </c>
      <c r="E71" s="6">
        <f>IFERROR(__xludf.DUMMYFUNCTION("""COMPUTED_VALUE"""),388.25)</f>
        <v>388.25</v>
      </c>
      <c r="F71" s="6">
        <f>IFERROR(__xludf.DUMMYFUNCTION("""COMPUTED_VALUE"""),2.1691861E7)</f>
        <v>21691861</v>
      </c>
    </row>
    <row r="72">
      <c r="A72" s="7">
        <f>IFERROR(__xludf.DUMMYFUNCTION("""COMPUTED_VALUE"""),45695.64583333333)</f>
        <v>45695.64583</v>
      </c>
      <c r="B72" s="6">
        <f>IFERROR(__xludf.DUMMYFUNCTION("""COMPUTED_VALUE"""),364.95)</f>
        <v>364.95</v>
      </c>
      <c r="C72" s="6">
        <f>IFERROR(__xludf.DUMMYFUNCTION("""COMPUTED_VALUE"""),399.6)</f>
        <v>399.6</v>
      </c>
      <c r="D72" s="6">
        <f>IFERROR(__xludf.DUMMYFUNCTION("""COMPUTED_VALUE"""),359.4)</f>
        <v>359.4</v>
      </c>
      <c r="E72" s="6">
        <f>IFERROR(__xludf.DUMMYFUNCTION("""COMPUTED_VALUE"""),386.8)</f>
        <v>386.8</v>
      </c>
      <c r="F72" s="6">
        <f>IFERROR(__xludf.DUMMYFUNCTION("""COMPUTED_VALUE"""),2.1212738E7)</f>
        <v>21212738</v>
      </c>
    </row>
    <row r="73">
      <c r="A73" s="7">
        <f>IFERROR(__xludf.DUMMYFUNCTION("""COMPUTED_VALUE"""),45702.64583333333)</f>
        <v>45702.64583</v>
      </c>
      <c r="B73" s="6">
        <f>IFERROR(__xludf.DUMMYFUNCTION("""COMPUTED_VALUE"""),385.95)</f>
        <v>385.95</v>
      </c>
      <c r="C73" s="6">
        <f>IFERROR(__xludf.DUMMYFUNCTION("""COMPUTED_VALUE"""),386.2)</f>
        <v>386.2</v>
      </c>
      <c r="D73" s="6">
        <f>IFERROR(__xludf.DUMMYFUNCTION("""COMPUTED_VALUE"""),342.75)</f>
        <v>342.75</v>
      </c>
      <c r="E73" s="6">
        <f>IFERROR(__xludf.DUMMYFUNCTION("""COMPUTED_VALUE"""),349.35)</f>
        <v>349.35</v>
      </c>
      <c r="F73" s="6">
        <f>IFERROR(__xludf.DUMMYFUNCTION("""COMPUTED_VALUE"""),1.3533474E7)</f>
        <v>13533474</v>
      </c>
    </row>
    <row r="74">
      <c r="A74" s="7">
        <f>IFERROR(__xludf.DUMMYFUNCTION("""COMPUTED_VALUE"""),45709.64583333333)</f>
        <v>45709.64583</v>
      </c>
      <c r="B74" s="6">
        <f>IFERROR(__xludf.DUMMYFUNCTION("""COMPUTED_VALUE"""),349.3)</f>
        <v>349.3</v>
      </c>
      <c r="C74" s="6">
        <f>IFERROR(__xludf.DUMMYFUNCTION("""COMPUTED_VALUE"""),352.85)</f>
        <v>352.85</v>
      </c>
      <c r="D74" s="6">
        <f>IFERROR(__xludf.DUMMYFUNCTION("""COMPUTED_VALUE"""),320.4)</f>
        <v>320.4</v>
      </c>
      <c r="E74" s="6">
        <f>IFERROR(__xludf.DUMMYFUNCTION("""COMPUTED_VALUE"""),322.5)</f>
        <v>322.5</v>
      </c>
      <c r="F74" s="6">
        <f>IFERROR(__xludf.DUMMYFUNCTION("""COMPUTED_VALUE"""),1.8211672E7)</f>
        <v>18211672</v>
      </c>
    </row>
    <row r="75">
      <c r="A75" s="7">
        <f>IFERROR(__xludf.DUMMYFUNCTION("""COMPUTED_VALUE"""),45716.64583333333)</f>
        <v>45716.64583</v>
      </c>
      <c r="B75" s="6">
        <f>IFERROR(__xludf.DUMMYFUNCTION("""COMPUTED_VALUE"""),320.0)</f>
        <v>320</v>
      </c>
      <c r="C75" s="6">
        <f>IFERROR(__xludf.DUMMYFUNCTION("""COMPUTED_VALUE"""),329.0)</f>
        <v>329</v>
      </c>
      <c r="D75" s="6">
        <f>IFERROR(__xludf.DUMMYFUNCTION("""COMPUTED_VALUE"""),298.55)</f>
        <v>298.55</v>
      </c>
      <c r="E75" s="6">
        <f>IFERROR(__xludf.DUMMYFUNCTION("""COMPUTED_VALUE"""),302.45)</f>
        <v>302.45</v>
      </c>
      <c r="F75" s="6">
        <f>IFERROR(__xludf.DUMMYFUNCTION("""COMPUTED_VALUE"""),1.5202978E7)</f>
        <v>15202978</v>
      </c>
    </row>
    <row r="76">
      <c r="A76" s="7">
        <f>IFERROR(__xludf.DUMMYFUNCTION("""COMPUTED_VALUE"""),45723.64583333333)</f>
        <v>45723.64583</v>
      </c>
      <c r="B76" s="6">
        <f>IFERROR(__xludf.DUMMYFUNCTION("""COMPUTED_VALUE"""),304.0)</f>
        <v>304</v>
      </c>
      <c r="C76" s="6">
        <f>IFERROR(__xludf.DUMMYFUNCTION("""COMPUTED_VALUE"""),338.9)</f>
        <v>338.9</v>
      </c>
      <c r="D76" s="6">
        <f>IFERROR(__xludf.DUMMYFUNCTION("""COMPUTED_VALUE"""),291.0)</f>
        <v>291</v>
      </c>
      <c r="E76" s="6">
        <f>IFERROR(__xludf.DUMMYFUNCTION("""COMPUTED_VALUE"""),333.7)</f>
        <v>333.7</v>
      </c>
      <c r="F76" s="6">
        <f>IFERROR(__xludf.DUMMYFUNCTION("""COMPUTED_VALUE"""),1.9503584E7)</f>
        <v>19503584</v>
      </c>
    </row>
    <row r="77">
      <c r="A77" s="7">
        <f>IFERROR(__xludf.DUMMYFUNCTION("""COMPUTED_VALUE"""),45729.64583333333)</f>
        <v>45729.64583</v>
      </c>
      <c r="B77" s="6">
        <f>IFERROR(__xludf.DUMMYFUNCTION("""COMPUTED_VALUE"""),335.0)</f>
        <v>335</v>
      </c>
      <c r="C77" s="6">
        <f>IFERROR(__xludf.DUMMYFUNCTION("""COMPUTED_VALUE"""),337.1)</f>
        <v>337.1</v>
      </c>
      <c r="D77" s="6">
        <f>IFERROR(__xludf.DUMMYFUNCTION("""COMPUTED_VALUE"""),321.5)</f>
        <v>321.5</v>
      </c>
      <c r="E77" s="6">
        <f>IFERROR(__xludf.DUMMYFUNCTION("""COMPUTED_VALUE"""),323.05)</f>
        <v>323.05</v>
      </c>
      <c r="F77" s="6">
        <f>IFERROR(__xludf.DUMMYFUNCTION("""COMPUTED_VALUE"""),6695971.0)</f>
        <v>6695971</v>
      </c>
    </row>
    <row r="78">
      <c r="A78" s="7">
        <f>IFERROR(__xludf.DUMMYFUNCTION("""COMPUTED_VALUE"""),45737.64583333333)</f>
        <v>45737.64583</v>
      </c>
      <c r="B78" s="6">
        <f>IFERROR(__xludf.DUMMYFUNCTION("""COMPUTED_VALUE"""),334.9)</f>
        <v>334.9</v>
      </c>
      <c r="C78" s="6">
        <f>IFERROR(__xludf.DUMMYFUNCTION("""COMPUTED_VALUE"""),346.4)</f>
        <v>346.4</v>
      </c>
      <c r="D78" s="6">
        <f>IFERROR(__xludf.DUMMYFUNCTION("""COMPUTED_VALUE"""),333.7)</f>
        <v>333.7</v>
      </c>
      <c r="E78" s="6">
        <f>IFERROR(__xludf.DUMMYFUNCTION("""COMPUTED_VALUE"""),344.1)</f>
        <v>344.1</v>
      </c>
      <c r="F78" s="6">
        <f>IFERROR(__xludf.DUMMYFUNCTION("""COMPUTED_VALUE"""),5793980.0)</f>
        <v>5793980</v>
      </c>
    </row>
    <row r="79">
      <c r="A79" s="7">
        <f>IFERROR(__xludf.DUMMYFUNCTION("""COMPUTED_VALUE"""),45744.64583333333)</f>
        <v>45744.64583</v>
      </c>
      <c r="B79" s="6">
        <f>IFERROR(__xludf.DUMMYFUNCTION("""COMPUTED_VALUE"""),348.0)</f>
        <v>348</v>
      </c>
      <c r="C79" s="6">
        <f>IFERROR(__xludf.DUMMYFUNCTION("""COMPUTED_VALUE"""),354.75)</f>
        <v>354.75</v>
      </c>
      <c r="D79" s="6">
        <f>IFERROR(__xludf.DUMMYFUNCTION("""COMPUTED_VALUE"""),339.35)</f>
        <v>339.35</v>
      </c>
      <c r="E79" s="6">
        <f>IFERROR(__xludf.DUMMYFUNCTION("""COMPUTED_VALUE"""),341.7)</f>
        <v>341.7</v>
      </c>
      <c r="F79" s="6">
        <f>IFERROR(__xludf.DUMMYFUNCTION("""COMPUTED_VALUE"""),7876625.0)</f>
        <v>7876625</v>
      </c>
    </row>
    <row r="80">
      <c r="A80" s="7">
        <f>IFERROR(__xludf.DUMMYFUNCTION("""COMPUTED_VALUE"""),45751.64583333333)</f>
        <v>45751.64583</v>
      </c>
      <c r="B80" s="6">
        <f>IFERROR(__xludf.DUMMYFUNCTION("""COMPUTED_VALUE"""),338.5)</f>
        <v>338.5</v>
      </c>
      <c r="C80" s="6">
        <f>IFERROR(__xludf.DUMMYFUNCTION("""COMPUTED_VALUE"""),357.4)</f>
        <v>357.4</v>
      </c>
      <c r="D80" s="6">
        <f>IFERROR(__xludf.DUMMYFUNCTION("""COMPUTED_VALUE"""),321.3)</f>
        <v>321.3</v>
      </c>
      <c r="E80" s="6">
        <f>IFERROR(__xludf.DUMMYFUNCTION("""COMPUTED_VALUE"""),327.8)</f>
        <v>327.8</v>
      </c>
      <c r="F80" s="6">
        <f>IFERROR(__xludf.DUMMYFUNCTION("""COMPUTED_VALUE"""),9290476.0)</f>
        <v>9290476</v>
      </c>
    </row>
    <row r="81">
      <c r="A81" s="7">
        <f>IFERROR(__xludf.DUMMYFUNCTION("""COMPUTED_VALUE"""),45758.64583333333)</f>
        <v>45758.64583</v>
      </c>
      <c r="B81" s="6">
        <f>IFERROR(__xludf.DUMMYFUNCTION("""COMPUTED_VALUE"""),299.1)</f>
        <v>299.1</v>
      </c>
      <c r="C81" s="6">
        <f>IFERROR(__xludf.DUMMYFUNCTION("""COMPUTED_VALUE"""),327.4)</f>
        <v>327.4</v>
      </c>
      <c r="D81" s="6">
        <f>IFERROR(__xludf.DUMMYFUNCTION("""COMPUTED_VALUE"""),299.0)</f>
        <v>299</v>
      </c>
      <c r="E81" s="6">
        <f>IFERROR(__xludf.DUMMYFUNCTION("""COMPUTED_VALUE"""),316.55)</f>
        <v>316.55</v>
      </c>
      <c r="F81" s="6">
        <f>IFERROR(__xludf.DUMMYFUNCTION("""COMPUTED_VALUE"""),1.3278311E7)</f>
        <v>13278311</v>
      </c>
    </row>
    <row r="82">
      <c r="A82" s="7">
        <f>IFERROR(__xludf.DUMMYFUNCTION("""COMPUTED_VALUE"""),45764.64583333333)</f>
        <v>45764.64583</v>
      </c>
      <c r="B82" s="6">
        <f>IFERROR(__xludf.DUMMYFUNCTION("""COMPUTED_VALUE"""),321.0)</f>
        <v>321</v>
      </c>
      <c r="C82" s="6">
        <f>IFERROR(__xludf.DUMMYFUNCTION("""COMPUTED_VALUE"""),333.0)</f>
        <v>333</v>
      </c>
      <c r="D82" s="6">
        <f>IFERROR(__xludf.DUMMYFUNCTION("""COMPUTED_VALUE"""),319.7)</f>
        <v>319.7</v>
      </c>
      <c r="E82" s="6">
        <f>IFERROR(__xludf.DUMMYFUNCTION("""COMPUTED_VALUE"""),331.3)</f>
        <v>331.3</v>
      </c>
      <c r="F82" s="6">
        <f>IFERROR(__xludf.DUMMYFUNCTION("""COMPUTED_VALUE"""),5418273.0)</f>
        <v>5418273</v>
      </c>
    </row>
    <row r="83">
      <c r="A83" s="7">
        <f>IFERROR(__xludf.DUMMYFUNCTION("""COMPUTED_VALUE"""),45772.64583333333)</f>
        <v>45772.64583</v>
      </c>
      <c r="B83" s="6">
        <f>IFERROR(__xludf.DUMMYFUNCTION("""COMPUTED_VALUE"""),335.8)</f>
        <v>335.8</v>
      </c>
      <c r="C83" s="6">
        <f>IFERROR(__xludf.DUMMYFUNCTION("""COMPUTED_VALUE"""),339.5)</f>
        <v>339.5</v>
      </c>
      <c r="D83" s="6">
        <f>IFERROR(__xludf.DUMMYFUNCTION("""COMPUTED_VALUE"""),308.45)</f>
        <v>308.45</v>
      </c>
      <c r="E83" s="6">
        <f>IFERROR(__xludf.DUMMYFUNCTION("""COMPUTED_VALUE"""),311.85)</f>
        <v>311.85</v>
      </c>
      <c r="F83" s="6">
        <f>IFERROR(__xludf.DUMMYFUNCTION("""COMPUTED_VALUE"""),1.5945937E7)</f>
        <v>15945937</v>
      </c>
    </row>
    <row r="84">
      <c r="A84" s="7">
        <f>IFERROR(__xludf.DUMMYFUNCTION("""COMPUTED_VALUE"""),45779.64583333333)</f>
        <v>45779.64583</v>
      </c>
      <c r="B84" s="6">
        <f>IFERROR(__xludf.DUMMYFUNCTION("""COMPUTED_VALUE"""),314.85)</f>
        <v>314.85</v>
      </c>
      <c r="C84" s="6">
        <f>IFERROR(__xludf.DUMMYFUNCTION("""COMPUTED_VALUE"""),325.2)</f>
        <v>325.2</v>
      </c>
      <c r="D84" s="6">
        <f>IFERROR(__xludf.DUMMYFUNCTION("""COMPUTED_VALUE"""),313.0)</f>
        <v>313</v>
      </c>
      <c r="E84" s="6">
        <f>IFERROR(__xludf.DUMMYFUNCTION("""COMPUTED_VALUE"""),318.9)</f>
        <v>318.9</v>
      </c>
      <c r="F84" s="6">
        <f>IFERROR(__xludf.DUMMYFUNCTION("""COMPUTED_VALUE"""),7446974.0)</f>
        <v>7446974</v>
      </c>
    </row>
    <row r="85">
      <c r="A85" s="7">
        <f>IFERROR(__xludf.DUMMYFUNCTION("""COMPUTED_VALUE"""),45786.64583333333)</f>
        <v>45786.64583</v>
      </c>
      <c r="B85" s="6">
        <f>IFERROR(__xludf.DUMMYFUNCTION("""COMPUTED_VALUE"""),322.0)</f>
        <v>322</v>
      </c>
      <c r="C85" s="6">
        <f>IFERROR(__xludf.DUMMYFUNCTION("""COMPUTED_VALUE"""),350.0)</f>
        <v>350</v>
      </c>
      <c r="D85" s="6">
        <f>IFERROR(__xludf.DUMMYFUNCTION("""COMPUTED_VALUE"""),322.0)</f>
        <v>322</v>
      </c>
      <c r="E85" s="6">
        <f>IFERROR(__xludf.DUMMYFUNCTION("""COMPUTED_VALUE"""),329.9)</f>
        <v>329.9</v>
      </c>
      <c r="F85" s="6">
        <f>IFERROR(__xludf.DUMMYFUNCTION("""COMPUTED_VALUE"""),2.5675743E7)</f>
        <v>25675743</v>
      </c>
    </row>
    <row r="86">
      <c r="A86" s="7">
        <f>IFERROR(__xludf.DUMMYFUNCTION("""COMPUTED_VALUE"""),45793.64583333333)</f>
        <v>45793.64583</v>
      </c>
      <c r="B86" s="6">
        <f>IFERROR(__xludf.DUMMYFUNCTION("""COMPUTED_VALUE"""),335.0)</f>
        <v>335</v>
      </c>
      <c r="C86" s="6">
        <f>IFERROR(__xludf.DUMMYFUNCTION("""COMPUTED_VALUE"""),344.4)</f>
        <v>344.4</v>
      </c>
      <c r="D86" s="6">
        <f>IFERROR(__xludf.DUMMYFUNCTION("""COMPUTED_VALUE"""),317.9)</f>
        <v>317.9</v>
      </c>
      <c r="E86" s="6">
        <f>IFERROR(__xludf.DUMMYFUNCTION("""COMPUTED_VALUE"""),339.4)</f>
        <v>339.4</v>
      </c>
      <c r="F86" s="6">
        <f>IFERROR(__xludf.DUMMYFUNCTION("""COMPUTED_VALUE"""),2.0483862E7)</f>
        <v>20483862</v>
      </c>
    </row>
    <row r="87">
      <c r="A87" s="7">
        <f>IFERROR(__xludf.DUMMYFUNCTION("""COMPUTED_VALUE"""),45800.64583333333)</f>
        <v>45800.64583</v>
      </c>
      <c r="B87" s="6">
        <f>IFERROR(__xludf.DUMMYFUNCTION("""COMPUTED_VALUE"""),339.85)</f>
        <v>339.85</v>
      </c>
      <c r="C87" s="6">
        <f>IFERROR(__xludf.DUMMYFUNCTION("""COMPUTED_VALUE"""),345.15)</f>
        <v>345.15</v>
      </c>
      <c r="D87" s="6">
        <f>IFERROR(__xludf.DUMMYFUNCTION("""COMPUTED_VALUE"""),329.0)</f>
        <v>329</v>
      </c>
      <c r="E87" s="6">
        <f>IFERROR(__xludf.DUMMYFUNCTION("""COMPUTED_VALUE"""),330.75)</f>
        <v>330.75</v>
      </c>
      <c r="F87" s="6">
        <f>IFERROR(__xludf.DUMMYFUNCTION("""COMPUTED_VALUE"""),9937940.0)</f>
        <v>9937940</v>
      </c>
    </row>
    <row r="88">
      <c r="A88" s="7">
        <f>IFERROR(__xludf.DUMMYFUNCTION("""COMPUTED_VALUE"""),45807.64583333333)</f>
        <v>45807.64583</v>
      </c>
      <c r="B88" s="6">
        <f>IFERROR(__xludf.DUMMYFUNCTION("""COMPUTED_VALUE"""),332.1)</f>
        <v>332.1</v>
      </c>
      <c r="C88" s="6">
        <f>IFERROR(__xludf.DUMMYFUNCTION("""COMPUTED_VALUE"""),338.25)</f>
        <v>338.25</v>
      </c>
      <c r="D88" s="6">
        <f>IFERROR(__xludf.DUMMYFUNCTION("""COMPUTED_VALUE"""),330.05)</f>
        <v>330.05</v>
      </c>
      <c r="E88" s="6">
        <f>IFERROR(__xludf.DUMMYFUNCTION("""COMPUTED_VALUE"""),335.85)</f>
        <v>335.85</v>
      </c>
      <c r="F88" s="6">
        <f>IFERROR(__xludf.DUMMYFUNCTION("""COMPUTED_VALUE"""),7206019.0)</f>
        <v>7206019</v>
      </c>
    </row>
    <row r="89">
      <c r="A89" s="7">
        <f>IFERROR(__xludf.DUMMYFUNCTION("""COMPUTED_VALUE"""),45814.64583333333)</f>
        <v>45814.64583</v>
      </c>
      <c r="B89" s="6">
        <f>IFERROR(__xludf.DUMMYFUNCTION("""COMPUTED_VALUE"""),335.85)</f>
        <v>335.85</v>
      </c>
      <c r="C89" s="6">
        <f>IFERROR(__xludf.DUMMYFUNCTION("""COMPUTED_VALUE"""),340.0)</f>
        <v>340</v>
      </c>
      <c r="D89" s="6">
        <f>IFERROR(__xludf.DUMMYFUNCTION("""COMPUTED_VALUE"""),327.6)</f>
        <v>327.6</v>
      </c>
      <c r="E89" s="6">
        <f>IFERROR(__xludf.DUMMYFUNCTION("""COMPUTED_VALUE"""),330.05)</f>
        <v>330.05</v>
      </c>
      <c r="F89" s="6">
        <f>IFERROR(__xludf.DUMMYFUNCTION("""COMPUTED_VALUE"""),1.0327988E7)</f>
        <v>10327988</v>
      </c>
    </row>
    <row r="90">
      <c r="A90" s="7">
        <f>IFERROR(__xludf.DUMMYFUNCTION("""COMPUTED_VALUE"""),45821.64583333333)</f>
        <v>45821.64583</v>
      </c>
      <c r="B90" s="6">
        <f>IFERROR(__xludf.DUMMYFUNCTION("""COMPUTED_VALUE"""),332.9)</f>
        <v>332.9</v>
      </c>
      <c r="C90" s="6">
        <f>IFERROR(__xludf.DUMMYFUNCTION("""COMPUTED_VALUE"""),357.9)</f>
        <v>357.9</v>
      </c>
      <c r="D90" s="6">
        <f>IFERROR(__xludf.DUMMYFUNCTION("""COMPUTED_VALUE"""),330.9)</f>
        <v>330.9</v>
      </c>
      <c r="E90" s="6">
        <f>IFERROR(__xludf.DUMMYFUNCTION("""COMPUTED_VALUE"""),355.4)</f>
        <v>355.4</v>
      </c>
      <c r="F90" s="6">
        <f>IFERROR(__xludf.DUMMYFUNCTION("""COMPUTED_VALUE"""),2.9995525E7)</f>
        <v>29995525</v>
      </c>
    </row>
    <row r="91">
      <c r="A91" s="7">
        <f>IFERROR(__xludf.DUMMYFUNCTION("""COMPUTED_VALUE"""),45828.64583333333)</f>
        <v>45828.64583</v>
      </c>
      <c r="B91" s="6">
        <f>IFERROR(__xludf.DUMMYFUNCTION("""COMPUTED_VALUE"""),358.3)</f>
        <v>358.3</v>
      </c>
      <c r="C91" s="6">
        <f>IFERROR(__xludf.DUMMYFUNCTION("""COMPUTED_VALUE"""),364.65)</f>
        <v>364.65</v>
      </c>
      <c r="D91" s="6">
        <f>IFERROR(__xludf.DUMMYFUNCTION("""COMPUTED_VALUE"""),340.1)</f>
        <v>340.1</v>
      </c>
      <c r="E91" s="6">
        <f>IFERROR(__xludf.DUMMYFUNCTION("""COMPUTED_VALUE"""),351.35)</f>
        <v>351.35</v>
      </c>
      <c r="F91" s="6">
        <f>IFERROR(__xludf.DUMMYFUNCTION("""COMPUTED_VALUE"""),3.7022878E7)</f>
        <v>37022878</v>
      </c>
    </row>
    <row r="92">
      <c r="A92" s="7">
        <f>IFERROR(__xludf.DUMMYFUNCTION("""COMPUTED_VALUE"""),45835.64583333333)</f>
        <v>45835.64583</v>
      </c>
      <c r="B92" s="6">
        <f>IFERROR(__xludf.DUMMYFUNCTION("""COMPUTED_VALUE"""),347.95)</f>
        <v>347.95</v>
      </c>
      <c r="C92" s="6">
        <f>IFERROR(__xludf.DUMMYFUNCTION("""COMPUTED_VALUE"""),357.0)</f>
        <v>357</v>
      </c>
      <c r="D92" s="6">
        <f>IFERROR(__xludf.DUMMYFUNCTION("""COMPUTED_VALUE"""),343.05)</f>
        <v>343.05</v>
      </c>
      <c r="E92" s="6">
        <f>IFERROR(__xludf.DUMMYFUNCTION("""COMPUTED_VALUE"""),354.4)</f>
        <v>354.4</v>
      </c>
      <c r="F92" s="6">
        <f>IFERROR(__xludf.DUMMYFUNCTION("""COMPUTED_VALUE"""),4.8126207E7)</f>
        <v>48126207</v>
      </c>
    </row>
    <row r="93">
      <c r="A93" s="7">
        <f>IFERROR(__xludf.DUMMYFUNCTION("""COMPUTED_VALUE"""),45842.64583333333)</f>
        <v>45842.64583</v>
      </c>
      <c r="B93" s="6">
        <f>IFERROR(__xludf.DUMMYFUNCTION("""COMPUTED_VALUE"""),355.0)</f>
        <v>355</v>
      </c>
      <c r="C93" s="6">
        <f>IFERROR(__xludf.DUMMYFUNCTION("""COMPUTED_VALUE"""),381.0)</f>
        <v>381</v>
      </c>
      <c r="D93" s="6">
        <f>IFERROR(__xludf.DUMMYFUNCTION("""COMPUTED_VALUE"""),349.55)</f>
        <v>349.55</v>
      </c>
      <c r="E93" s="6">
        <f>IFERROR(__xludf.DUMMYFUNCTION("""COMPUTED_VALUE"""),380.05)</f>
        <v>380.05</v>
      </c>
      <c r="F93" s="6">
        <f>IFERROR(__xludf.DUMMYFUNCTION("""COMPUTED_VALUE"""),2.7954195E7)</f>
        <v>27954195</v>
      </c>
    </row>
    <row r="94">
      <c r="A94" s="7">
        <f>IFERROR(__xludf.DUMMYFUNCTION("""COMPUTED_VALUE"""),45849.64583333333)</f>
        <v>45849.64583</v>
      </c>
      <c r="B94" s="6">
        <f>IFERROR(__xludf.DUMMYFUNCTION("""COMPUTED_VALUE"""),381.95)</f>
        <v>381.95</v>
      </c>
      <c r="C94" s="6">
        <f>IFERROR(__xludf.DUMMYFUNCTION("""COMPUTED_VALUE"""),382.0)</f>
        <v>382</v>
      </c>
      <c r="D94" s="6">
        <f>IFERROR(__xludf.DUMMYFUNCTION("""COMPUTED_VALUE"""),366.55)</f>
        <v>366.55</v>
      </c>
      <c r="E94" s="6">
        <f>IFERROR(__xludf.DUMMYFUNCTION("""COMPUTED_VALUE"""),374.2)</f>
        <v>374.2</v>
      </c>
      <c r="F94" s="6">
        <f>IFERROR(__xludf.DUMMYFUNCTION("""COMPUTED_VALUE"""),1.4948523E7)</f>
        <v>14948523</v>
      </c>
    </row>
    <row r="95">
      <c r="A95" s="7">
        <f>IFERROR(__xludf.DUMMYFUNCTION("""COMPUTED_VALUE"""),45856.64583333333)</f>
        <v>45856.64583</v>
      </c>
      <c r="B95" s="6">
        <f>IFERROR(__xludf.DUMMYFUNCTION("""COMPUTED_VALUE"""),372.85)</f>
        <v>372.85</v>
      </c>
      <c r="C95" s="6">
        <f>IFERROR(__xludf.DUMMYFUNCTION("""COMPUTED_VALUE"""),406.0)</f>
        <v>406</v>
      </c>
      <c r="D95" s="6">
        <f>IFERROR(__xludf.DUMMYFUNCTION("""COMPUTED_VALUE"""),369.0)</f>
        <v>369</v>
      </c>
      <c r="E95" s="6">
        <f>IFERROR(__xludf.DUMMYFUNCTION("""COMPUTED_VALUE"""),398.75)</f>
        <v>398.75</v>
      </c>
      <c r="F95" s="6">
        <f>IFERROR(__xludf.DUMMYFUNCTION("""COMPUTED_VALUE"""),4.1464585E7)</f>
        <v>41464585</v>
      </c>
    </row>
    <row r="96">
      <c r="A96" s="7">
        <f>IFERROR(__xludf.DUMMYFUNCTION("""COMPUTED_VALUE"""),45863.64583333333)</f>
        <v>45863.64583</v>
      </c>
      <c r="B96" s="6">
        <f>IFERROR(__xludf.DUMMYFUNCTION("""COMPUTED_VALUE"""),399.85)</f>
        <v>399.85</v>
      </c>
      <c r="C96" s="6">
        <f>IFERROR(__xludf.DUMMYFUNCTION("""COMPUTED_VALUE"""),404.5)</f>
        <v>404.5</v>
      </c>
      <c r="D96" s="6">
        <f>IFERROR(__xludf.DUMMYFUNCTION("""COMPUTED_VALUE"""),384.6)</f>
        <v>384.6</v>
      </c>
      <c r="E96" s="6">
        <f>IFERROR(__xludf.DUMMYFUNCTION("""COMPUTED_VALUE"""),394.15)</f>
        <v>394.15</v>
      </c>
      <c r="F96" s="6">
        <f>IFERROR(__xludf.DUMMYFUNCTION("""COMPUTED_VALUE"""),1.3892239E7)</f>
        <v>13892239</v>
      </c>
    </row>
    <row r="97">
      <c r="A97" s="7">
        <f>IFERROR(__xludf.DUMMYFUNCTION("""COMPUTED_VALUE"""),45870.64583333333)</f>
        <v>45870.64583</v>
      </c>
      <c r="B97" s="6">
        <f>IFERROR(__xludf.DUMMYFUNCTION("""COMPUTED_VALUE"""),394.1)</f>
        <v>394.1</v>
      </c>
      <c r="C97" s="6">
        <f>IFERROR(__xludf.DUMMYFUNCTION("""COMPUTED_VALUE"""),403.2)</f>
        <v>403.2</v>
      </c>
      <c r="D97" s="6">
        <f>IFERROR(__xludf.DUMMYFUNCTION("""COMPUTED_VALUE"""),381.8)</f>
        <v>381.8</v>
      </c>
      <c r="E97" s="6">
        <f>IFERROR(__xludf.DUMMYFUNCTION("""COMPUTED_VALUE"""),383.1)</f>
        <v>383.1</v>
      </c>
      <c r="F97" s="6">
        <f>IFERROR(__xludf.DUMMYFUNCTION("""COMPUTED_VALUE"""),2.1439991E7)</f>
        <v>21439991</v>
      </c>
    </row>
    <row r="98">
      <c r="A98" s="7">
        <f>IFERROR(__xludf.DUMMYFUNCTION("""COMPUTED_VALUE"""),45877.64583333333)</f>
        <v>45877.64583</v>
      </c>
      <c r="B98" s="6">
        <f>IFERROR(__xludf.DUMMYFUNCTION("""COMPUTED_VALUE"""),383.1)</f>
        <v>383.1</v>
      </c>
      <c r="C98" s="6">
        <f>IFERROR(__xludf.DUMMYFUNCTION("""COMPUTED_VALUE"""),386.8)</f>
        <v>386.8</v>
      </c>
      <c r="D98" s="6">
        <f>IFERROR(__xludf.DUMMYFUNCTION("""COMPUTED_VALUE"""),341.2)</f>
        <v>341.2</v>
      </c>
      <c r="E98" s="6">
        <f>IFERROR(__xludf.DUMMYFUNCTION("""COMPUTED_VALUE"""),343.35)</f>
        <v>343.35</v>
      </c>
      <c r="F98" s="6">
        <f>IFERROR(__xludf.DUMMYFUNCTION("""COMPUTED_VALUE"""),2.3685468E7)</f>
        <v>23685468</v>
      </c>
    </row>
    <row r="99">
      <c r="A99" s="7">
        <f>IFERROR(__xludf.DUMMYFUNCTION("""COMPUTED_VALUE"""),45883.64583333333)</f>
        <v>45883.64583</v>
      </c>
      <c r="B99" s="6">
        <f>IFERROR(__xludf.DUMMYFUNCTION("""COMPUTED_VALUE"""),342.6)</f>
        <v>342.6</v>
      </c>
      <c r="C99" s="6">
        <f>IFERROR(__xludf.DUMMYFUNCTION("""COMPUTED_VALUE"""),368.0)</f>
        <v>368</v>
      </c>
      <c r="D99" s="6">
        <f>IFERROR(__xludf.DUMMYFUNCTION("""COMPUTED_VALUE"""),331.0)</f>
        <v>331</v>
      </c>
      <c r="E99" s="6">
        <f>IFERROR(__xludf.DUMMYFUNCTION("""COMPUTED_VALUE"""),359.25)</f>
        <v>359.25</v>
      </c>
      <c r="F99" s="6">
        <f>IFERROR(__xludf.DUMMYFUNCTION("""COMPUTED_VALUE"""),1.7005342E7)</f>
        <v>17005342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IFERROR(__xludf.DUMMYFUNCTION("""COMPUTED_VALUE"""),363.0)</f>
        <v>363</v>
      </c>
      <c r="C100" s="6">
        <f>IFERROR(__xludf.DUMMYFUNCTION("""COMPUTED_VALUE"""),366.5)</f>
        <v>366.5</v>
      </c>
      <c r="D100" s="6">
        <f>IFERROR(__xludf.DUMMYFUNCTION("""COMPUTED_VALUE"""),354.8)</f>
        <v>354.8</v>
      </c>
      <c r="E100" s="6">
        <f>IFERROR(__xludf.DUMMYFUNCTION("""COMPUTED_VALUE"""),359.5)</f>
        <v>359.5</v>
      </c>
      <c r="F100" s="6">
        <f>IFERROR(__xludf.DUMMYFUNCTION("""COMPUTED_VALUE"""),7447868.0)</f>
        <v>7447868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IFERROR(__xludf.DUMMYFUNCTION("""COMPUTED_VALUE"""),361.15)</f>
        <v>361.15</v>
      </c>
      <c r="C101" s="6">
        <f>IFERROR(__xludf.DUMMYFUNCTION("""COMPUTED_VALUE"""),363.7)</f>
        <v>363.7</v>
      </c>
      <c r="D101" s="6">
        <f>IFERROR(__xludf.DUMMYFUNCTION("""COMPUTED_VALUE"""),355.6)</f>
        <v>355.6</v>
      </c>
      <c r="E101" s="6">
        <f>IFERROR(__xludf.DUMMYFUNCTION("""COMPUTED_VALUE"""),358.3)</f>
        <v>358.3</v>
      </c>
      <c r="F101" s="6">
        <f>IFERROR(__xludf.DUMMYFUNCTION("""COMPUTED_VALUE"""),2.8054622E7)</f>
        <v>28054622</v>
      </c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IFERROR(__xludf.DUMMYFUNCTION("GOOGLEFINANCE(""NSE:BOSCHLTD"",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IFERROR(__xludf.DUMMYFUNCTION("""COMPUTED_VALUE"""),18270.0)</f>
        <v>18270</v>
      </c>
      <c r="C2" s="6">
        <f>IFERROR(__xludf.DUMMYFUNCTION("""COMPUTED_VALUE"""),19048.95)</f>
        <v>19048.95</v>
      </c>
      <c r="D2" s="6">
        <f>IFERROR(__xludf.DUMMYFUNCTION("""COMPUTED_VALUE"""),18270.0)</f>
        <v>18270</v>
      </c>
      <c r="E2" s="6">
        <f>IFERROR(__xludf.DUMMYFUNCTION("""COMPUTED_VALUE"""),18986.8)</f>
        <v>18986.8</v>
      </c>
      <c r="F2" s="6">
        <f>IFERROR(__xludf.DUMMYFUNCTION("""COMPUTED_VALUE"""),117394.0)</f>
        <v>117394</v>
      </c>
    </row>
    <row r="3">
      <c r="A3" s="7">
        <f>IFERROR(__xludf.DUMMYFUNCTION("""COMPUTED_VALUE"""),45177.64583333333)</f>
        <v>45177.64583</v>
      </c>
      <c r="B3" s="6">
        <f>IFERROR(__xludf.DUMMYFUNCTION("""COMPUTED_VALUE"""),18986.8)</f>
        <v>18986.8</v>
      </c>
      <c r="C3" s="6">
        <f>IFERROR(__xludf.DUMMYFUNCTION("""COMPUTED_VALUE"""),19425.0)</f>
        <v>19425</v>
      </c>
      <c r="D3" s="6">
        <f>IFERROR(__xludf.DUMMYFUNCTION("""COMPUTED_VALUE"""),18844.7)</f>
        <v>18844.7</v>
      </c>
      <c r="E3" s="6">
        <f>IFERROR(__xludf.DUMMYFUNCTION("""COMPUTED_VALUE"""),19403.25)</f>
        <v>19403.25</v>
      </c>
      <c r="F3" s="6">
        <f>IFERROR(__xludf.DUMMYFUNCTION("""COMPUTED_VALUE"""),79753.0)</f>
        <v>79753</v>
      </c>
    </row>
    <row r="4">
      <c r="A4" s="7">
        <f>IFERROR(__xludf.DUMMYFUNCTION("""COMPUTED_VALUE"""),45184.64583333333)</f>
        <v>45184.64583</v>
      </c>
      <c r="B4" s="6">
        <f>IFERROR(__xludf.DUMMYFUNCTION("""COMPUTED_VALUE"""),19455.0)</f>
        <v>19455</v>
      </c>
      <c r="C4" s="6">
        <f>IFERROR(__xludf.DUMMYFUNCTION("""COMPUTED_VALUE"""),19749.95)</f>
        <v>19749.95</v>
      </c>
      <c r="D4" s="6">
        <f>IFERROR(__xludf.DUMMYFUNCTION("""COMPUTED_VALUE"""),18901.05)</f>
        <v>18901.05</v>
      </c>
      <c r="E4" s="6">
        <f>IFERROR(__xludf.DUMMYFUNCTION("""COMPUTED_VALUE"""),19664.6)</f>
        <v>19664.6</v>
      </c>
      <c r="F4" s="6">
        <f>IFERROR(__xludf.DUMMYFUNCTION("""COMPUTED_VALUE"""),129785.0)</f>
        <v>129785</v>
      </c>
    </row>
    <row r="5">
      <c r="A5" s="7">
        <f>IFERROR(__xludf.DUMMYFUNCTION("""COMPUTED_VALUE"""),45191.64583333333)</f>
        <v>45191.64583</v>
      </c>
      <c r="B5" s="6">
        <f>IFERROR(__xludf.DUMMYFUNCTION("""COMPUTED_VALUE"""),19700.0)</f>
        <v>19700</v>
      </c>
      <c r="C5" s="6">
        <f>IFERROR(__xludf.DUMMYFUNCTION("""COMPUTED_VALUE"""),19718.0)</f>
        <v>19718</v>
      </c>
      <c r="D5" s="6">
        <f>IFERROR(__xludf.DUMMYFUNCTION("""COMPUTED_VALUE"""),18995.05)</f>
        <v>18995.05</v>
      </c>
      <c r="E5" s="6">
        <f>IFERROR(__xludf.DUMMYFUNCTION("""COMPUTED_VALUE"""),19119.25)</f>
        <v>19119.25</v>
      </c>
      <c r="F5" s="6">
        <f>IFERROR(__xludf.DUMMYFUNCTION("""COMPUTED_VALUE"""),54474.0)</f>
        <v>54474</v>
      </c>
    </row>
    <row r="6">
      <c r="A6" s="7">
        <f>IFERROR(__xludf.DUMMYFUNCTION("""COMPUTED_VALUE"""),45198.64583333333)</f>
        <v>45198.64583</v>
      </c>
      <c r="B6" s="6">
        <f>IFERROR(__xludf.DUMMYFUNCTION("""COMPUTED_VALUE"""),19119.0)</f>
        <v>19119</v>
      </c>
      <c r="C6" s="6">
        <f>IFERROR(__xludf.DUMMYFUNCTION("""COMPUTED_VALUE"""),19700.0)</f>
        <v>19700</v>
      </c>
      <c r="D6" s="6">
        <f>IFERROR(__xludf.DUMMYFUNCTION("""COMPUTED_VALUE"""),18840.0)</f>
        <v>18840</v>
      </c>
      <c r="E6" s="6">
        <f>IFERROR(__xludf.DUMMYFUNCTION("""COMPUTED_VALUE"""),19019.7)</f>
        <v>19019.7</v>
      </c>
      <c r="F6" s="6">
        <f>IFERROR(__xludf.DUMMYFUNCTION("""COMPUTED_VALUE"""),158366.0)</f>
        <v>158366</v>
      </c>
    </row>
    <row r="7">
      <c r="A7" s="7">
        <f>IFERROR(__xludf.DUMMYFUNCTION("""COMPUTED_VALUE"""),45205.64583333333)</f>
        <v>45205.64583</v>
      </c>
      <c r="B7" s="6">
        <f>IFERROR(__xludf.DUMMYFUNCTION("""COMPUTED_VALUE"""),19060.0)</f>
        <v>19060</v>
      </c>
      <c r="C7" s="6">
        <f>IFERROR(__xludf.DUMMYFUNCTION("""COMPUTED_VALUE"""),19342.0)</f>
        <v>19342</v>
      </c>
      <c r="D7" s="6">
        <f>IFERROR(__xludf.DUMMYFUNCTION("""COMPUTED_VALUE"""),18600.0)</f>
        <v>18600</v>
      </c>
      <c r="E7" s="6">
        <f>IFERROR(__xludf.DUMMYFUNCTION("""COMPUTED_VALUE"""),19303.95)</f>
        <v>19303.95</v>
      </c>
      <c r="F7" s="6">
        <f>IFERROR(__xludf.DUMMYFUNCTION("""COMPUTED_VALUE"""),71066.0)</f>
        <v>71066</v>
      </c>
    </row>
    <row r="8">
      <c r="A8" s="7">
        <f>IFERROR(__xludf.DUMMYFUNCTION("""COMPUTED_VALUE"""),45212.64583333333)</f>
        <v>45212.64583</v>
      </c>
      <c r="B8" s="6">
        <f>IFERROR(__xludf.DUMMYFUNCTION("""COMPUTED_VALUE"""),19200.0)</f>
        <v>19200</v>
      </c>
      <c r="C8" s="6">
        <f>IFERROR(__xludf.DUMMYFUNCTION("""COMPUTED_VALUE"""),20932.1)</f>
        <v>20932.1</v>
      </c>
      <c r="D8" s="6">
        <f>IFERROR(__xludf.DUMMYFUNCTION("""COMPUTED_VALUE"""),19051.3)</f>
        <v>19051.3</v>
      </c>
      <c r="E8" s="6">
        <f>IFERROR(__xludf.DUMMYFUNCTION("""COMPUTED_VALUE"""),20529.45)</f>
        <v>20529.45</v>
      </c>
      <c r="F8" s="6">
        <f>IFERROR(__xludf.DUMMYFUNCTION("""COMPUTED_VALUE"""),215700.0)</f>
        <v>215700</v>
      </c>
    </row>
    <row r="9">
      <c r="A9" s="7">
        <f>IFERROR(__xludf.DUMMYFUNCTION("""COMPUTED_VALUE"""),45219.64583333333)</f>
        <v>45219.64583</v>
      </c>
      <c r="B9" s="6">
        <f>IFERROR(__xludf.DUMMYFUNCTION("""COMPUTED_VALUE"""),20552.45)</f>
        <v>20552.45</v>
      </c>
      <c r="C9" s="6">
        <f>IFERROR(__xludf.DUMMYFUNCTION("""COMPUTED_VALUE"""),20775.7)</f>
        <v>20775.7</v>
      </c>
      <c r="D9" s="6">
        <f>IFERROR(__xludf.DUMMYFUNCTION("""COMPUTED_VALUE"""),19933.25)</f>
        <v>19933.25</v>
      </c>
      <c r="E9" s="6">
        <f>IFERROR(__xludf.DUMMYFUNCTION("""COMPUTED_VALUE"""),20088.7)</f>
        <v>20088.7</v>
      </c>
      <c r="F9" s="6">
        <f>IFERROR(__xludf.DUMMYFUNCTION("""COMPUTED_VALUE"""),98086.0)</f>
        <v>98086</v>
      </c>
    </row>
    <row r="10">
      <c r="A10" s="7">
        <f>IFERROR(__xludf.DUMMYFUNCTION("""COMPUTED_VALUE"""),45226.64583333333)</f>
        <v>45226.64583</v>
      </c>
      <c r="B10" s="6">
        <f>IFERROR(__xludf.DUMMYFUNCTION("""COMPUTED_VALUE"""),20099.9)</f>
        <v>20099.9</v>
      </c>
      <c r="C10" s="6">
        <f>IFERROR(__xludf.DUMMYFUNCTION("""COMPUTED_VALUE"""),20136.0)</f>
        <v>20136</v>
      </c>
      <c r="D10" s="6">
        <f>IFERROR(__xludf.DUMMYFUNCTION("""COMPUTED_VALUE"""),19480.0)</f>
        <v>19480</v>
      </c>
      <c r="E10" s="6">
        <f>IFERROR(__xludf.DUMMYFUNCTION("""COMPUTED_VALUE"""),19742.65)</f>
        <v>19742.65</v>
      </c>
      <c r="F10" s="6">
        <f>IFERROR(__xludf.DUMMYFUNCTION("""COMPUTED_VALUE"""),90752.0)</f>
        <v>90752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IFERROR(__xludf.DUMMYFUNCTION("""COMPUTED_VALUE"""),19742.65)</f>
        <v>19742.65</v>
      </c>
      <c r="C11" s="6">
        <f>IFERROR(__xludf.DUMMYFUNCTION("""COMPUTED_VALUE"""),19927.2)</f>
        <v>19927.2</v>
      </c>
      <c r="D11" s="6">
        <f>IFERROR(__xludf.DUMMYFUNCTION("""COMPUTED_VALUE"""),19300.0)</f>
        <v>19300</v>
      </c>
      <c r="E11" s="6">
        <f>IFERROR(__xludf.DUMMYFUNCTION("""COMPUTED_VALUE"""),19519.5)</f>
        <v>19519.5</v>
      </c>
      <c r="F11" s="6">
        <f>IFERROR(__xludf.DUMMYFUNCTION("""COMPUTED_VALUE"""),55435.0)</f>
        <v>55435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IFERROR(__xludf.DUMMYFUNCTION("""COMPUTED_VALUE"""),19608.0)</f>
        <v>19608</v>
      </c>
      <c r="C12" s="6">
        <f>IFERROR(__xludf.DUMMYFUNCTION("""COMPUTED_VALUE"""),19895.55)</f>
        <v>19895.55</v>
      </c>
      <c r="D12" s="6">
        <f>IFERROR(__xludf.DUMMYFUNCTION("""COMPUTED_VALUE"""),19315.2)</f>
        <v>19315.2</v>
      </c>
      <c r="E12" s="6">
        <f>IFERROR(__xludf.DUMMYFUNCTION("""COMPUTED_VALUE"""),19572.45)</f>
        <v>19572.45</v>
      </c>
      <c r="F12" s="6">
        <f>IFERROR(__xludf.DUMMYFUNCTION("""COMPUTED_VALUE"""),123737.0)</f>
        <v>123737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IFERROR(__xludf.DUMMYFUNCTION("""COMPUTED_VALUE"""),19829.7)</f>
        <v>19829.7</v>
      </c>
      <c r="C13" s="6">
        <f>IFERROR(__xludf.DUMMYFUNCTION("""COMPUTED_VALUE"""),20899.95)</f>
        <v>20899.95</v>
      </c>
      <c r="D13" s="6">
        <f>IFERROR(__xludf.DUMMYFUNCTION("""COMPUTED_VALUE"""),19455.0)</f>
        <v>19455</v>
      </c>
      <c r="E13" s="6">
        <f>IFERROR(__xludf.DUMMYFUNCTION("""COMPUTED_VALUE"""),20651.9)</f>
        <v>20651.9</v>
      </c>
      <c r="F13" s="6">
        <f>IFERROR(__xludf.DUMMYFUNCTION("""COMPUTED_VALUE"""),143935.0)</f>
        <v>143935</v>
      </c>
    </row>
    <row r="14">
      <c r="A14" s="7">
        <f>IFERROR(__xludf.DUMMYFUNCTION("""COMPUTED_VALUE"""),45254.64583333333)</f>
        <v>45254.64583</v>
      </c>
      <c r="B14" s="6">
        <f>IFERROR(__xludf.DUMMYFUNCTION("""COMPUTED_VALUE"""),20660.0)</f>
        <v>20660</v>
      </c>
      <c r="C14" s="6">
        <f>IFERROR(__xludf.DUMMYFUNCTION("""COMPUTED_VALUE"""),21333.0)</f>
        <v>21333</v>
      </c>
      <c r="D14" s="6">
        <f>IFERROR(__xludf.DUMMYFUNCTION("""COMPUTED_VALUE"""),20485.0)</f>
        <v>20485</v>
      </c>
      <c r="E14" s="6">
        <f>IFERROR(__xludf.DUMMYFUNCTION("""COMPUTED_VALUE"""),21036.25)</f>
        <v>21036.25</v>
      </c>
      <c r="F14" s="6">
        <f>IFERROR(__xludf.DUMMYFUNCTION("""COMPUTED_VALUE"""),169418.0)</f>
        <v>169418</v>
      </c>
    </row>
    <row r="15">
      <c r="A15" s="7">
        <f>IFERROR(__xludf.DUMMYFUNCTION("""COMPUTED_VALUE"""),45261.64583333333)</f>
        <v>45261.64583</v>
      </c>
      <c r="B15" s="6">
        <f>IFERROR(__xludf.DUMMYFUNCTION("""COMPUTED_VALUE"""),21150.0)</f>
        <v>21150</v>
      </c>
      <c r="C15" s="6">
        <f>IFERROR(__xludf.DUMMYFUNCTION("""COMPUTED_VALUE"""),22125.35)</f>
        <v>22125.35</v>
      </c>
      <c r="D15" s="6">
        <f>IFERROR(__xludf.DUMMYFUNCTION("""COMPUTED_VALUE"""),21000.0)</f>
        <v>21000</v>
      </c>
      <c r="E15" s="6">
        <f>IFERROR(__xludf.DUMMYFUNCTION("""COMPUTED_VALUE"""),22083.55)</f>
        <v>22083.55</v>
      </c>
      <c r="F15" s="6">
        <f>IFERROR(__xludf.DUMMYFUNCTION("""COMPUTED_VALUE"""),143008.0)</f>
        <v>143008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IFERROR(__xludf.DUMMYFUNCTION("""COMPUTED_VALUE"""),22200.0)</f>
        <v>22200</v>
      </c>
      <c r="C16" s="6">
        <f>IFERROR(__xludf.DUMMYFUNCTION("""COMPUTED_VALUE"""),22200.0)</f>
        <v>22200</v>
      </c>
      <c r="D16" s="6">
        <f>IFERROR(__xludf.DUMMYFUNCTION("""COMPUTED_VALUE"""),21459.95)</f>
        <v>21459.95</v>
      </c>
      <c r="E16" s="6">
        <f>IFERROR(__xludf.DUMMYFUNCTION("""COMPUTED_VALUE"""),21626.25)</f>
        <v>21626.25</v>
      </c>
      <c r="F16" s="6">
        <f>IFERROR(__xludf.DUMMYFUNCTION("""COMPUTED_VALUE"""),197398.0)</f>
        <v>197398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IFERROR(__xludf.DUMMYFUNCTION("""COMPUTED_VALUE"""),21626.25)</f>
        <v>21626.25</v>
      </c>
      <c r="C17" s="6">
        <f>IFERROR(__xludf.DUMMYFUNCTION("""COMPUTED_VALUE"""),22244.0)</f>
        <v>22244</v>
      </c>
      <c r="D17" s="6">
        <f>IFERROR(__xludf.DUMMYFUNCTION("""COMPUTED_VALUE"""),21585.95)</f>
        <v>21585.95</v>
      </c>
      <c r="E17" s="6">
        <f>IFERROR(__xludf.DUMMYFUNCTION("""COMPUTED_VALUE"""),21708.15)</f>
        <v>21708.15</v>
      </c>
      <c r="F17" s="6">
        <f>IFERROR(__xludf.DUMMYFUNCTION("""COMPUTED_VALUE"""),130958.0)</f>
        <v>130958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IFERROR(__xludf.DUMMYFUNCTION("""COMPUTED_VALUE"""),21752.15)</f>
        <v>21752.15</v>
      </c>
      <c r="C18" s="6">
        <f>IFERROR(__xludf.DUMMYFUNCTION("""COMPUTED_VALUE"""),22130.0)</f>
        <v>22130</v>
      </c>
      <c r="D18" s="6">
        <f>IFERROR(__xludf.DUMMYFUNCTION("""COMPUTED_VALUE"""),21331.0)</f>
        <v>21331</v>
      </c>
      <c r="E18" s="6">
        <f>IFERROR(__xludf.DUMMYFUNCTION("""COMPUTED_VALUE"""),21633.95)</f>
        <v>21633.95</v>
      </c>
      <c r="F18" s="6">
        <f>IFERROR(__xludf.DUMMYFUNCTION("""COMPUTED_VALUE"""),92450.0)</f>
        <v>92450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IFERROR(__xludf.DUMMYFUNCTION("""COMPUTED_VALUE"""),21644.4)</f>
        <v>21644.4</v>
      </c>
      <c r="C19" s="6">
        <f>IFERROR(__xludf.DUMMYFUNCTION("""COMPUTED_VALUE"""),22300.0)</f>
        <v>22300</v>
      </c>
      <c r="D19" s="6">
        <f>IFERROR(__xludf.DUMMYFUNCTION("""COMPUTED_VALUE"""),21562.95)</f>
        <v>21562.95</v>
      </c>
      <c r="E19" s="6">
        <f>IFERROR(__xludf.DUMMYFUNCTION("""COMPUTED_VALUE"""),22203.8)</f>
        <v>22203.8</v>
      </c>
      <c r="F19" s="6">
        <f>IFERROR(__xludf.DUMMYFUNCTION("""COMPUTED_VALUE"""),73070.0)</f>
        <v>73070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IFERROR(__xludf.DUMMYFUNCTION("""COMPUTED_VALUE"""),22301.0)</f>
        <v>22301</v>
      </c>
      <c r="C20" s="6">
        <f>IFERROR(__xludf.DUMMYFUNCTION("""COMPUTED_VALUE"""),22819.85)</f>
        <v>22819.85</v>
      </c>
      <c r="D20" s="6">
        <f>IFERROR(__xludf.DUMMYFUNCTION("""COMPUTED_VALUE"""),22101.0)</f>
        <v>22101</v>
      </c>
      <c r="E20" s="6">
        <f>IFERROR(__xludf.DUMMYFUNCTION("""COMPUTED_VALUE"""),22691.65)</f>
        <v>22691.65</v>
      </c>
      <c r="F20" s="6">
        <f>IFERROR(__xludf.DUMMYFUNCTION("""COMPUTED_VALUE"""),79891.0)</f>
        <v>79891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IFERROR(__xludf.DUMMYFUNCTION("""COMPUTED_VALUE"""),22800.0)</f>
        <v>22800</v>
      </c>
      <c r="C21" s="6">
        <f>IFERROR(__xludf.DUMMYFUNCTION("""COMPUTED_VALUE"""),23282.7)</f>
        <v>23282.7</v>
      </c>
      <c r="D21" s="6">
        <f>IFERROR(__xludf.DUMMYFUNCTION("""COMPUTED_VALUE"""),22400.0)</f>
        <v>22400</v>
      </c>
      <c r="E21" s="6">
        <f>IFERROR(__xludf.DUMMYFUNCTION("""COMPUTED_VALUE"""),23229.65)</f>
        <v>23229.65</v>
      </c>
      <c r="F21" s="6">
        <f>IFERROR(__xludf.DUMMYFUNCTION("""COMPUTED_VALUE"""),83171.0)</f>
        <v>83171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IFERROR(__xludf.DUMMYFUNCTION("""COMPUTED_VALUE"""),23022.4)</f>
        <v>23022.4</v>
      </c>
      <c r="C22" s="6">
        <f>IFERROR(__xludf.DUMMYFUNCTION("""COMPUTED_VALUE"""),23121.0)</f>
        <v>23121</v>
      </c>
      <c r="D22" s="6">
        <f>IFERROR(__xludf.DUMMYFUNCTION("""COMPUTED_VALUE"""),22315.2)</f>
        <v>22315.2</v>
      </c>
      <c r="E22" s="6">
        <f>IFERROR(__xludf.DUMMYFUNCTION("""COMPUTED_VALUE"""),22779.3)</f>
        <v>22779.3</v>
      </c>
      <c r="F22" s="6">
        <f>IFERROR(__xludf.DUMMYFUNCTION("""COMPUTED_VALUE"""),102396.0)</f>
        <v>102396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IFERROR(__xludf.DUMMYFUNCTION("""COMPUTED_VALUE"""),22800.95)</f>
        <v>22800.95</v>
      </c>
      <c r="C23" s="6">
        <f>IFERROR(__xludf.DUMMYFUNCTION("""COMPUTED_VALUE"""),24272.7)</f>
        <v>24272.7</v>
      </c>
      <c r="D23" s="6">
        <f>IFERROR(__xludf.DUMMYFUNCTION("""COMPUTED_VALUE"""),22775.05)</f>
        <v>22775.05</v>
      </c>
      <c r="E23" s="6">
        <f>IFERROR(__xludf.DUMMYFUNCTION("""COMPUTED_VALUE"""),23956.75)</f>
        <v>23956.75</v>
      </c>
      <c r="F23" s="6">
        <f>IFERROR(__xludf.DUMMYFUNCTION("""COMPUTED_VALUE"""),175857.0)</f>
        <v>175857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IFERROR(__xludf.DUMMYFUNCTION("""COMPUTED_VALUE"""),24180.0)</f>
        <v>24180</v>
      </c>
      <c r="C24" s="6">
        <f>IFERROR(__xludf.DUMMYFUNCTION("""COMPUTED_VALUE"""),25519.0)</f>
        <v>25519</v>
      </c>
      <c r="D24" s="6">
        <f>IFERROR(__xludf.DUMMYFUNCTION("""COMPUTED_VALUE"""),23751.0)</f>
        <v>23751</v>
      </c>
      <c r="E24" s="6">
        <f>IFERROR(__xludf.DUMMYFUNCTION("""COMPUTED_VALUE"""),25457.15)</f>
        <v>25457.15</v>
      </c>
      <c r="F24" s="6">
        <f>IFERROR(__xludf.DUMMYFUNCTION("""COMPUTED_VALUE"""),99784.0)</f>
        <v>99784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IFERROR(__xludf.DUMMYFUNCTION("""COMPUTED_VALUE"""),25388.05)</f>
        <v>25388.05</v>
      </c>
      <c r="C25" s="6">
        <f>IFERROR(__xludf.DUMMYFUNCTION("""COMPUTED_VALUE"""),28635.85)</f>
        <v>28635.85</v>
      </c>
      <c r="D25" s="6">
        <f>IFERROR(__xludf.DUMMYFUNCTION("""COMPUTED_VALUE"""),25107.2)</f>
        <v>25107.2</v>
      </c>
      <c r="E25" s="6">
        <f>IFERROR(__xludf.DUMMYFUNCTION("""COMPUTED_VALUE"""),28329.05)</f>
        <v>28329.05</v>
      </c>
      <c r="F25" s="6">
        <f>IFERROR(__xludf.DUMMYFUNCTION("""COMPUTED_VALUE"""),413013.0)</f>
        <v>413013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IFERROR(__xludf.DUMMYFUNCTION("""COMPUTED_VALUE"""),28400.0)</f>
        <v>28400</v>
      </c>
      <c r="C26" s="6">
        <f>IFERROR(__xludf.DUMMYFUNCTION("""COMPUTED_VALUE"""),29200.0)</f>
        <v>29200</v>
      </c>
      <c r="D26" s="6">
        <f>IFERROR(__xludf.DUMMYFUNCTION("""COMPUTED_VALUE"""),27922.0)</f>
        <v>27922</v>
      </c>
      <c r="E26" s="6">
        <f>IFERROR(__xludf.DUMMYFUNCTION("""COMPUTED_VALUE"""),28279.9)</f>
        <v>28279.9</v>
      </c>
      <c r="F26" s="6">
        <f>IFERROR(__xludf.DUMMYFUNCTION("""COMPUTED_VALUE"""),253361.0)</f>
        <v>253361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IFERROR(__xludf.DUMMYFUNCTION("""COMPUTED_VALUE"""),29038.95)</f>
        <v>29038.95</v>
      </c>
      <c r="C27" s="6">
        <f>IFERROR(__xludf.DUMMYFUNCTION("""COMPUTED_VALUE"""),30468.05)</f>
        <v>30468.05</v>
      </c>
      <c r="D27" s="6">
        <f>IFERROR(__xludf.DUMMYFUNCTION("""COMPUTED_VALUE"""),28550.1)</f>
        <v>28550.1</v>
      </c>
      <c r="E27" s="6">
        <f>IFERROR(__xludf.DUMMYFUNCTION("""COMPUTED_VALUE"""),29501.0)</f>
        <v>29501</v>
      </c>
      <c r="F27" s="6">
        <f>IFERROR(__xludf.DUMMYFUNCTION("""COMPUTED_VALUE"""),215372.0)</f>
        <v>215372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IFERROR(__xludf.DUMMYFUNCTION("""COMPUTED_VALUE"""),29819.95)</f>
        <v>29819.95</v>
      </c>
      <c r="C28" s="6">
        <f>IFERROR(__xludf.DUMMYFUNCTION("""COMPUTED_VALUE"""),30020.0)</f>
        <v>30020</v>
      </c>
      <c r="D28" s="6">
        <f>IFERROR(__xludf.DUMMYFUNCTION("""COMPUTED_VALUE"""),28116.0)</f>
        <v>28116</v>
      </c>
      <c r="E28" s="6">
        <f>IFERROR(__xludf.DUMMYFUNCTION("""COMPUTED_VALUE"""),29571.55)</f>
        <v>29571.55</v>
      </c>
      <c r="F28" s="6">
        <f>IFERROR(__xludf.DUMMYFUNCTION("""COMPUTED_VALUE"""),239799.0)</f>
        <v>239799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IFERROR(__xludf.DUMMYFUNCTION("""COMPUTED_VALUE"""),29500.05)</f>
        <v>29500.05</v>
      </c>
      <c r="C29" s="6">
        <f>IFERROR(__xludf.DUMMYFUNCTION("""COMPUTED_VALUE"""),30450.0)</f>
        <v>30450</v>
      </c>
      <c r="D29" s="6">
        <f>IFERROR(__xludf.DUMMYFUNCTION("""COMPUTED_VALUE"""),29380.4)</f>
        <v>29380.4</v>
      </c>
      <c r="E29" s="6">
        <f>IFERROR(__xludf.DUMMYFUNCTION("""COMPUTED_VALUE"""),30178.7)</f>
        <v>30178.7</v>
      </c>
      <c r="F29" s="6">
        <f>IFERROR(__xludf.DUMMYFUNCTION("""COMPUTED_VALUE"""),182291.0)</f>
        <v>182291</v>
      </c>
    </row>
    <row r="30">
      <c r="A30" s="7">
        <f>IFERROR(__xludf.DUMMYFUNCTION("""COMPUTED_VALUE"""),45379.64583333333)</f>
        <v>45379.64583</v>
      </c>
      <c r="B30" s="6">
        <f>IFERROR(__xludf.DUMMYFUNCTION("""COMPUTED_VALUE"""),30245.0)</f>
        <v>30245</v>
      </c>
      <c r="C30" s="6">
        <f>IFERROR(__xludf.DUMMYFUNCTION("""COMPUTED_VALUE"""),31150.0)</f>
        <v>31150</v>
      </c>
      <c r="D30" s="6">
        <f>IFERROR(__xludf.DUMMYFUNCTION("""COMPUTED_VALUE"""),29730.95)</f>
        <v>29730.95</v>
      </c>
      <c r="E30" s="6">
        <f>IFERROR(__xludf.DUMMYFUNCTION("""COMPUTED_VALUE"""),30031.3)</f>
        <v>30031.3</v>
      </c>
      <c r="F30" s="6">
        <f>IFERROR(__xludf.DUMMYFUNCTION("""COMPUTED_VALUE"""),127747.0)</f>
        <v>127747</v>
      </c>
    </row>
    <row r="31">
      <c r="A31" s="7">
        <f>IFERROR(__xludf.DUMMYFUNCTION("""COMPUTED_VALUE"""),45387.64583333333)</f>
        <v>45387.64583</v>
      </c>
      <c r="B31" s="6">
        <f>IFERROR(__xludf.DUMMYFUNCTION("""COMPUTED_VALUE"""),30050.1)</f>
        <v>30050.1</v>
      </c>
      <c r="C31" s="6">
        <f>IFERROR(__xludf.DUMMYFUNCTION("""COMPUTED_VALUE"""),31145.1)</f>
        <v>31145.1</v>
      </c>
      <c r="D31" s="6">
        <f>IFERROR(__xludf.DUMMYFUNCTION("""COMPUTED_VALUE"""),30050.1)</f>
        <v>30050.1</v>
      </c>
      <c r="E31" s="6">
        <f>IFERROR(__xludf.DUMMYFUNCTION("""COMPUTED_VALUE"""),30792.85)</f>
        <v>30792.85</v>
      </c>
      <c r="F31" s="6">
        <f>IFERROR(__xludf.DUMMYFUNCTION("""COMPUTED_VALUE"""),104151.0)</f>
        <v>104151</v>
      </c>
    </row>
    <row r="32">
      <c r="A32" s="7">
        <f>IFERROR(__xludf.DUMMYFUNCTION("""COMPUTED_VALUE"""),45394.64583333333)</f>
        <v>45394.64583</v>
      </c>
      <c r="B32" s="6">
        <f>IFERROR(__xludf.DUMMYFUNCTION("""COMPUTED_VALUE"""),30980.0)</f>
        <v>30980</v>
      </c>
      <c r="C32" s="6">
        <f>IFERROR(__xludf.DUMMYFUNCTION("""COMPUTED_VALUE"""),31400.15)</f>
        <v>31400.15</v>
      </c>
      <c r="D32" s="6">
        <f>IFERROR(__xludf.DUMMYFUNCTION("""COMPUTED_VALUE"""),29375.05)</f>
        <v>29375.05</v>
      </c>
      <c r="E32" s="6">
        <f>IFERROR(__xludf.DUMMYFUNCTION("""COMPUTED_VALUE"""),29849.4)</f>
        <v>29849.4</v>
      </c>
      <c r="F32" s="6">
        <f>IFERROR(__xludf.DUMMYFUNCTION("""COMPUTED_VALUE"""),314192.0)</f>
        <v>314192</v>
      </c>
    </row>
    <row r="33">
      <c r="A33" s="7">
        <f>IFERROR(__xludf.DUMMYFUNCTION("""COMPUTED_VALUE"""),45401.64583333333)</f>
        <v>45401.64583</v>
      </c>
      <c r="B33" s="6">
        <f>IFERROR(__xludf.DUMMYFUNCTION("""COMPUTED_VALUE"""),29730.0)</f>
        <v>29730</v>
      </c>
      <c r="C33" s="6">
        <f>IFERROR(__xludf.DUMMYFUNCTION("""COMPUTED_VALUE"""),30449.8)</f>
        <v>30449.8</v>
      </c>
      <c r="D33" s="6">
        <f>IFERROR(__xludf.DUMMYFUNCTION("""COMPUTED_VALUE"""),29421.15)</f>
        <v>29421.15</v>
      </c>
      <c r="E33" s="6">
        <f>IFERROR(__xludf.DUMMYFUNCTION("""COMPUTED_VALUE"""),29787.0)</f>
        <v>29787</v>
      </c>
      <c r="F33" s="6">
        <f>IFERROR(__xludf.DUMMYFUNCTION("""COMPUTED_VALUE"""),127916.0)</f>
        <v>127916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IFERROR(__xludf.DUMMYFUNCTION("""COMPUTED_VALUE"""),29985.95)</f>
        <v>29985.95</v>
      </c>
      <c r="C34" s="6">
        <f>IFERROR(__xludf.DUMMYFUNCTION("""COMPUTED_VALUE"""),30127.15)</f>
        <v>30127.15</v>
      </c>
      <c r="D34" s="6">
        <f>IFERROR(__xludf.DUMMYFUNCTION("""COMPUTED_VALUE"""),28538.9)</f>
        <v>28538.9</v>
      </c>
      <c r="E34" s="6">
        <f>IFERROR(__xludf.DUMMYFUNCTION("""COMPUTED_VALUE"""),28877.2)</f>
        <v>28877.2</v>
      </c>
      <c r="F34" s="6">
        <f>IFERROR(__xludf.DUMMYFUNCTION("""COMPUTED_VALUE"""),166295.0)</f>
        <v>166295</v>
      </c>
    </row>
    <row r="35">
      <c r="A35" s="7">
        <f>IFERROR(__xludf.DUMMYFUNCTION("""COMPUTED_VALUE"""),45415.64583333333)</f>
        <v>45415.64583</v>
      </c>
      <c r="B35" s="6">
        <f>IFERROR(__xludf.DUMMYFUNCTION("""COMPUTED_VALUE"""),29100.0)</f>
        <v>29100</v>
      </c>
      <c r="C35" s="6">
        <f>IFERROR(__xludf.DUMMYFUNCTION("""COMPUTED_VALUE"""),30899.95)</f>
        <v>30899.95</v>
      </c>
      <c r="D35" s="6">
        <f>IFERROR(__xludf.DUMMYFUNCTION("""COMPUTED_VALUE"""),29008.8)</f>
        <v>29008.8</v>
      </c>
      <c r="E35" s="6">
        <f>IFERROR(__xludf.DUMMYFUNCTION("""COMPUTED_VALUE"""),30093.45)</f>
        <v>30093.45</v>
      </c>
      <c r="F35" s="6">
        <f>IFERROR(__xludf.DUMMYFUNCTION("""COMPUTED_VALUE"""),187129.0)</f>
        <v>187129</v>
      </c>
    </row>
    <row r="36">
      <c r="A36" s="7">
        <f>IFERROR(__xludf.DUMMYFUNCTION("""COMPUTED_VALUE"""),45422.64583333333)</f>
        <v>45422.64583</v>
      </c>
      <c r="B36" s="6">
        <f>IFERROR(__xludf.DUMMYFUNCTION("""COMPUTED_VALUE"""),30250.0)</f>
        <v>30250</v>
      </c>
      <c r="C36" s="6">
        <f>IFERROR(__xludf.DUMMYFUNCTION("""COMPUTED_VALUE"""),30584.0)</f>
        <v>30584</v>
      </c>
      <c r="D36" s="6">
        <f>IFERROR(__xludf.DUMMYFUNCTION("""COMPUTED_VALUE"""),29160.05)</f>
        <v>29160.05</v>
      </c>
      <c r="E36" s="6">
        <f>IFERROR(__xludf.DUMMYFUNCTION("""COMPUTED_VALUE"""),30431.95)</f>
        <v>30431.95</v>
      </c>
      <c r="F36" s="6">
        <f>IFERROR(__xludf.DUMMYFUNCTION("""COMPUTED_VALUE"""),154826.0)</f>
        <v>154826</v>
      </c>
    </row>
    <row r="37">
      <c r="A37" s="7">
        <f>IFERROR(__xludf.DUMMYFUNCTION("""COMPUTED_VALUE"""),45436.64583333333)</f>
        <v>45436.64583</v>
      </c>
      <c r="B37" s="6">
        <f>IFERROR(__xludf.DUMMYFUNCTION("""COMPUTED_VALUE"""),30813.4)</f>
        <v>30813.4</v>
      </c>
      <c r="C37" s="6">
        <f>IFERROR(__xludf.DUMMYFUNCTION("""COMPUTED_VALUE"""),31344.95)</f>
        <v>31344.95</v>
      </c>
      <c r="D37" s="6">
        <f>IFERROR(__xludf.DUMMYFUNCTION("""COMPUTED_VALUE"""),30580.0)</f>
        <v>30580</v>
      </c>
      <c r="E37" s="6">
        <f>IFERROR(__xludf.DUMMYFUNCTION("""COMPUTED_VALUE"""),30840.15)</f>
        <v>30840.15</v>
      </c>
      <c r="F37" s="6">
        <f>IFERROR(__xludf.DUMMYFUNCTION("""COMPUTED_VALUE"""),263618.0)</f>
        <v>263618</v>
      </c>
    </row>
    <row r="38">
      <c r="A38" s="7">
        <f>IFERROR(__xludf.DUMMYFUNCTION("""COMPUTED_VALUE"""),45443.64583333333)</f>
        <v>45443.64583</v>
      </c>
      <c r="B38" s="6">
        <f>IFERROR(__xludf.DUMMYFUNCTION("""COMPUTED_VALUE"""),30901.0)</f>
        <v>30901</v>
      </c>
      <c r="C38" s="6">
        <f>IFERROR(__xludf.DUMMYFUNCTION("""COMPUTED_VALUE"""),32229.5)</f>
        <v>32229.5</v>
      </c>
      <c r="D38" s="6">
        <f>IFERROR(__xludf.DUMMYFUNCTION("""COMPUTED_VALUE"""),29502.7)</f>
        <v>29502.7</v>
      </c>
      <c r="E38" s="6">
        <f>IFERROR(__xludf.DUMMYFUNCTION("""COMPUTED_VALUE"""),30393.75)</f>
        <v>30393.75</v>
      </c>
      <c r="F38" s="6">
        <f>IFERROR(__xludf.DUMMYFUNCTION("""COMPUTED_VALUE"""),1188432.0)</f>
        <v>1188432</v>
      </c>
    </row>
    <row r="39">
      <c r="A39" s="7">
        <f>IFERROR(__xludf.DUMMYFUNCTION("""COMPUTED_VALUE"""),45450.64583333333)</f>
        <v>45450.64583</v>
      </c>
      <c r="B39" s="6">
        <f>IFERROR(__xludf.DUMMYFUNCTION("""COMPUTED_VALUE"""),30555.0)</f>
        <v>30555</v>
      </c>
      <c r="C39" s="6">
        <f>IFERROR(__xludf.DUMMYFUNCTION("""COMPUTED_VALUE"""),31168.75)</f>
        <v>31168.75</v>
      </c>
      <c r="D39" s="6">
        <f>IFERROR(__xludf.DUMMYFUNCTION("""COMPUTED_VALUE"""),27500.0)</f>
        <v>27500</v>
      </c>
      <c r="E39" s="6">
        <f>IFERROR(__xludf.DUMMYFUNCTION("""COMPUTED_VALUE"""),30596.6)</f>
        <v>30596.6</v>
      </c>
      <c r="F39" s="6">
        <f>IFERROR(__xludf.DUMMYFUNCTION("""COMPUTED_VALUE"""),207414.0)</f>
        <v>207414</v>
      </c>
    </row>
    <row r="40">
      <c r="A40" s="7">
        <f>IFERROR(__xludf.DUMMYFUNCTION("""COMPUTED_VALUE"""),45457.64583333333)</f>
        <v>45457.64583</v>
      </c>
      <c r="B40" s="6">
        <f>IFERROR(__xludf.DUMMYFUNCTION("""COMPUTED_VALUE"""),30599.95)</f>
        <v>30599.95</v>
      </c>
      <c r="C40" s="6">
        <f>IFERROR(__xludf.DUMMYFUNCTION("""COMPUTED_VALUE"""),32927.95)</f>
        <v>32927.95</v>
      </c>
      <c r="D40" s="6">
        <f>IFERROR(__xludf.DUMMYFUNCTION("""COMPUTED_VALUE"""),30563.8)</f>
        <v>30563.8</v>
      </c>
      <c r="E40" s="6">
        <f>IFERROR(__xludf.DUMMYFUNCTION("""COMPUTED_VALUE"""),32327.8)</f>
        <v>32327.8</v>
      </c>
      <c r="F40" s="6">
        <f>IFERROR(__xludf.DUMMYFUNCTION("""COMPUTED_VALUE"""),185239.0)</f>
        <v>185239</v>
      </c>
    </row>
    <row r="41">
      <c r="A41" s="7">
        <f>IFERROR(__xludf.DUMMYFUNCTION("""COMPUTED_VALUE"""),45464.64583333333)</f>
        <v>45464.64583</v>
      </c>
      <c r="B41" s="6">
        <f>IFERROR(__xludf.DUMMYFUNCTION("""COMPUTED_VALUE"""),32355.6)</f>
        <v>32355.6</v>
      </c>
      <c r="C41" s="6">
        <f>IFERROR(__xludf.DUMMYFUNCTION("""COMPUTED_VALUE"""),34350.0)</f>
        <v>34350</v>
      </c>
      <c r="D41" s="6">
        <f>IFERROR(__xludf.DUMMYFUNCTION("""COMPUTED_VALUE"""),32064.95)</f>
        <v>32064.95</v>
      </c>
      <c r="E41" s="6">
        <f>IFERROR(__xludf.DUMMYFUNCTION("""COMPUTED_VALUE"""),32606.35)</f>
        <v>32606.35</v>
      </c>
      <c r="F41" s="6">
        <f>IFERROR(__xludf.DUMMYFUNCTION("""COMPUTED_VALUE"""),289781.0)</f>
        <v>289781</v>
      </c>
    </row>
    <row r="42">
      <c r="A42" s="7">
        <f>IFERROR(__xludf.DUMMYFUNCTION("""COMPUTED_VALUE"""),45471.64583333333)</f>
        <v>45471.64583</v>
      </c>
      <c r="B42" s="6">
        <f>IFERROR(__xludf.DUMMYFUNCTION("""COMPUTED_VALUE"""),32600.0)</f>
        <v>32600</v>
      </c>
      <c r="C42" s="6">
        <f>IFERROR(__xludf.DUMMYFUNCTION("""COMPUTED_VALUE"""),36678.0)</f>
        <v>36678</v>
      </c>
      <c r="D42" s="6">
        <f>IFERROR(__xludf.DUMMYFUNCTION("""COMPUTED_VALUE"""),32200.0)</f>
        <v>32200</v>
      </c>
      <c r="E42" s="6">
        <f>IFERROR(__xludf.DUMMYFUNCTION("""COMPUTED_VALUE"""),34084.4)</f>
        <v>34084.4</v>
      </c>
      <c r="F42" s="6">
        <f>IFERROR(__xludf.DUMMYFUNCTION("""COMPUTED_VALUE"""),284543.0)</f>
        <v>284543</v>
      </c>
    </row>
    <row r="43">
      <c r="A43" s="7">
        <f>IFERROR(__xludf.DUMMYFUNCTION("""COMPUTED_VALUE"""),45478.64583333333)</f>
        <v>45478.64583</v>
      </c>
      <c r="B43" s="6">
        <f>IFERROR(__xludf.DUMMYFUNCTION("""COMPUTED_VALUE"""),34000.05)</f>
        <v>34000.05</v>
      </c>
      <c r="C43" s="6">
        <f>IFERROR(__xludf.DUMMYFUNCTION("""COMPUTED_VALUE"""),35680.0)</f>
        <v>35680</v>
      </c>
      <c r="D43" s="6">
        <f>IFERROR(__xludf.DUMMYFUNCTION("""COMPUTED_VALUE"""),33702.15)</f>
        <v>33702.15</v>
      </c>
      <c r="E43" s="6">
        <f>IFERROR(__xludf.DUMMYFUNCTION("""COMPUTED_VALUE"""),35074.0)</f>
        <v>35074</v>
      </c>
      <c r="F43" s="6">
        <f>IFERROR(__xludf.DUMMYFUNCTION("""COMPUTED_VALUE"""),150069.0)</f>
        <v>150069</v>
      </c>
    </row>
    <row r="44">
      <c r="A44" s="7">
        <f>IFERROR(__xludf.DUMMYFUNCTION("""COMPUTED_VALUE"""),45485.64583333333)</f>
        <v>45485.64583</v>
      </c>
      <c r="B44" s="6">
        <f>IFERROR(__xludf.DUMMYFUNCTION("""COMPUTED_VALUE"""),35172.1)</f>
        <v>35172.1</v>
      </c>
      <c r="C44" s="6">
        <f>IFERROR(__xludf.DUMMYFUNCTION("""COMPUTED_VALUE"""),35777.8)</f>
        <v>35777.8</v>
      </c>
      <c r="D44" s="6">
        <f>IFERROR(__xludf.DUMMYFUNCTION("""COMPUTED_VALUE"""),34342.5)</f>
        <v>34342.5</v>
      </c>
      <c r="E44" s="6">
        <f>IFERROR(__xludf.DUMMYFUNCTION("""COMPUTED_VALUE"""),35139.05)</f>
        <v>35139.05</v>
      </c>
      <c r="F44" s="6">
        <f>IFERROR(__xludf.DUMMYFUNCTION("""COMPUTED_VALUE"""),133835.0)</f>
        <v>133835</v>
      </c>
    </row>
    <row r="45">
      <c r="A45" s="7">
        <f>IFERROR(__xludf.DUMMYFUNCTION("""COMPUTED_VALUE"""),45492.64583333333)</f>
        <v>45492.64583</v>
      </c>
      <c r="B45" s="6">
        <f>IFERROR(__xludf.DUMMYFUNCTION("""COMPUTED_VALUE"""),35239.05)</f>
        <v>35239.05</v>
      </c>
      <c r="C45" s="6">
        <f>IFERROR(__xludf.DUMMYFUNCTION("""COMPUTED_VALUE"""),35399.0)</f>
        <v>35399</v>
      </c>
      <c r="D45" s="6">
        <f>IFERROR(__xludf.DUMMYFUNCTION("""COMPUTED_VALUE"""),33948.0)</f>
        <v>33948</v>
      </c>
      <c r="E45" s="6">
        <f>IFERROR(__xludf.DUMMYFUNCTION("""COMPUTED_VALUE"""),34073.3)</f>
        <v>34073.3</v>
      </c>
      <c r="F45" s="6">
        <f>IFERROR(__xludf.DUMMYFUNCTION("""COMPUTED_VALUE"""),101157.0)</f>
        <v>101157</v>
      </c>
    </row>
    <row r="46">
      <c r="A46" s="7">
        <f>IFERROR(__xludf.DUMMYFUNCTION("""COMPUTED_VALUE"""),45499.64583333333)</f>
        <v>45499.64583</v>
      </c>
      <c r="B46" s="6">
        <f>IFERROR(__xludf.DUMMYFUNCTION("""COMPUTED_VALUE"""),34073.3)</f>
        <v>34073.3</v>
      </c>
      <c r="C46" s="6">
        <f>IFERROR(__xludf.DUMMYFUNCTION("""COMPUTED_VALUE"""),35000.0)</f>
        <v>35000</v>
      </c>
      <c r="D46" s="6">
        <f>IFERROR(__xludf.DUMMYFUNCTION("""COMPUTED_VALUE"""),33100.0)</f>
        <v>33100</v>
      </c>
      <c r="E46" s="6">
        <f>IFERROR(__xludf.DUMMYFUNCTION("""COMPUTED_VALUE"""),34917.05)</f>
        <v>34917.05</v>
      </c>
      <c r="F46" s="6">
        <f>IFERROR(__xludf.DUMMYFUNCTION("""COMPUTED_VALUE"""),115001.0)</f>
        <v>115001</v>
      </c>
    </row>
    <row r="47">
      <c r="A47" s="7">
        <f>IFERROR(__xludf.DUMMYFUNCTION("""COMPUTED_VALUE"""),45506.64583333333)</f>
        <v>45506.64583</v>
      </c>
      <c r="B47" s="6">
        <f>IFERROR(__xludf.DUMMYFUNCTION("""COMPUTED_VALUE"""),34902.0)</f>
        <v>34902</v>
      </c>
      <c r="C47" s="6">
        <f>IFERROR(__xludf.DUMMYFUNCTION("""COMPUTED_VALUE"""),35182.8)</f>
        <v>35182.8</v>
      </c>
      <c r="D47" s="6">
        <f>IFERROR(__xludf.DUMMYFUNCTION("""COMPUTED_VALUE"""),33810.0)</f>
        <v>33810</v>
      </c>
      <c r="E47" s="6">
        <f>IFERROR(__xludf.DUMMYFUNCTION("""COMPUTED_VALUE"""),33909.75)</f>
        <v>33909.75</v>
      </c>
      <c r="F47" s="6">
        <f>IFERROR(__xludf.DUMMYFUNCTION("""COMPUTED_VALUE"""),114408.0)</f>
        <v>114408</v>
      </c>
    </row>
    <row r="48">
      <c r="A48" s="7">
        <f>IFERROR(__xludf.DUMMYFUNCTION("""COMPUTED_VALUE"""),45513.64583333333)</f>
        <v>45513.64583</v>
      </c>
      <c r="B48" s="6">
        <f>IFERROR(__xludf.DUMMYFUNCTION("""COMPUTED_VALUE"""),33500.05)</f>
        <v>33500.05</v>
      </c>
      <c r="C48" s="6">
        <f>IFERROR(__xludf.DUMMYFUNCTION("""COMPUTED_VALUE"""),33789.9)</f>
        <v>33789.9</v>
      </c>
      <c r="D48" s="6">
        <f>IFERROR(__xludf.DUMMYFUNCTION("""COMPUTED_VALUE"""),31619.0)</f>
        <v>31619</v>
      </c>
      <c r="E48" s="6">
        <f>IFERROR(__xludf.DUMMYFUNCTION("""COMPUTED_VALUE"""),32018.7)</f>
        <v>32018.7</v>
      </c>
      <c r="F48" s="6">
        <f>IFERROR(__xludf.DUMMYFUNCTION("""COMPUTED_VALUE"""),203175.0)</f>
        <v>203175</v>
      </c>
    </row>
    <row r="49">
      <c r="A49" s="7">
        <f>IFERROR(__xludf.DUMMYFUNCTION("""COMPUTED_VALUE"""),45520.64583333333)</f>
        <v>45520.64583</v>
      </c>
      <c r="B49" s="6">
        <f>IFERROR(__xludf.DUMMYFUNCTION("""COMPUTED_VALUE"""),31989.95)</f>
        <v>31989.95</v>
      </c>
      <c r="C49" s="6">
        <f>IFERROR(__xludf.DUMMYFUNCTION("""COMPUTED_VALUE"""),32048.4)</f>
        <v>32048.4</v>
      </c>
      <c r="D49" s="6">
        <f>IFERROR(__xludf.DUMMYFUNCTION("""COMPUTED_VALUE"""),30900.0)</f>
        <v>30900</v>
      </c>
      <c r="E49" s="6">
        <f>IFERROR(__xludf.DUMMYFUNCTION("""COMPUTED_VALUE"""),31940.6)</f>
        <v>31940.6</v>
      </c>
      <c r="F49" s="6">
        <f>IFERROR(__xludf.DUMMYFUNCTION("""COMPUTED_VALUE"""),105254.0)</f>
        <v>105254</v>
      </c>
    </row>
    <row r="50">
      <c r="A50" s="7">
        <f>IFERROR(__xludf.DUMMYFUNCTION("""COMPUTED_VALUE"""),45527.64583333333)</f>
        <v>45527.64583</v>
      </c>
      <c r="B50" s="6">
        <f>IFERROR(__xludf.DUMMYFUNCTION("""COMPUTED_VALUE"""),31940.6)</f>
        <v>31940.6</v>
      </c>
      <c r="C50" s="6">
        <f>IFERROR(__xludf.DUMMYFUNCTION("""COMPUTED_VALUE"""),32826.1)</f>
        <v>32826.1</v>
      </c>
      <c r="D50" s="6">
        <f>IFERROR(__xludf.DUMMYFUNCTION("""COMPUTED_VALUE"""),31525.1)</f>
        <v>31525.1</v>
      </c>
      <c r="E50" s="6">
        <f>IFERROR(__xludf.DUMMYFUNCTION("""COMPUTED_VALUE"""),32600.15)</f>
        <v>32600.15</v>
      </c>
      <c r="F50" s="6">
        <f>IFERROR(__xludf.DUMMYFUNCTION("""COMPUTED_VALUE"""),148373.0)</f>
        <v>148373</v>
      </c>
    </row>
    <row r="51">
      <c r="A51" s="7">
        <f>IFERROR(__xludf.DUMMYFUNCTION("""COMPUTED_VALUE"""),45534.64583333333)</f>
        <v>45534.64583</v>
      </c>
      <c r="B51" s="6">
        <f>IFERROR(__xludf.DUMMYFUNCTION("""COMPUTED_VALUE"""),32660.0)</f>
        <v>32660</v>
      </c>
      <c r="C51" s="6">
        <f>IFERROR(__xludf.DUMMYFUNCTION("""COMPUTED_VALUE"""),32921.05)</f>
        <v>32921.05</v>
      </c>
      <c r="D51" s="6">
        <f>IFERROR(__xludf.DUMMYFUNCTION("""COMPUTED_VALUE"""),31500.0)</f>
        <v>31500</v>
      </c>
      <c r="E51" s="6">
        <f>IFERROR(__xludf.DUMMYFUNCTION("""COMPUTED_VALUE"""),32389.6)</f>
        <v>32389.6</v>
      </c>
      <c r="F51" s="6">
        <f>IFERROR(__xludf.DUMMYFUNCTION("""COMPUTED_VALUE"""),171570.0)</f>
        <v>171570</v>
      </c>
    </row>
    <row r="52">
      <c r="A52" s="7">
        <f>IFERROR(__xludf.DUMMYFUNCTION("""COMPUTED_VALUE"""),45541.64583333333)</f>
        <v>45541.64583</v>
      </c>
      <c r="B52" s="6">
        <f>IFERROR(__xludf.DUMMYFUNCTION("""COMPUTED_VALUE"""),32389.6)</f>
        <v>32389.6</v>
      </c>
      <c r="C52" s="6">
        <f>IFERROR(__xludf.DUMMYFUNCTION("""COMPUTED_VALUE"""),34142.95)</f>
        <v>34142.95</v>
      </c>
      <c r="D52" s="6">
        <f>IFERROR(__xludf.DUMMYFUNCTION("""COMPUTED_VALUE"""),31922.35)</f>
        <v>31922.35</v>
      </c>
      <c r="E52" s="6">
        <f>IFERROR(__xludf.DUMMYFUNCTION("""COMPUTED_VALUE"""),32357.3)</f>
        <v>32357.3</v>
      </c>
      <c r="F52" s="6">
        <f>IFERROR(__xludf.DUMMYFUNCTION("""COMPUTED_VALUE"""),230219.0)</f>
        <v>230219</v>
      </c>
    </row>
    <row r="53">
      <c r="A53" s="7">
        <f>IFERROR(__xludf.DUMMYFUNCTION("""COMPUTED_VALUE"""),45548.64583333333)</f>
        <v>45548.64583</v>
      </c>
      <c r="B53" s="6">
        <f>IFERROR(__xludf.DUMMYFUNCTION("""COMPUTED_VALUE"""),32274.0)</f>
        <v>32274</v>
      </c>
      <c r="C53" s="6">
        <f>IFERROR(__xludf.DUMMYFUNCTION("""COMPUTED_VALUE"""),35044.45)</f>
        <v>35044.45</v>
      </c>
      <c r="D53" s="6">
        <f>IFERROR(__xludf.DUMMYFUNCTION("""COMPUTED_VALUE"""),32154.75)</f>
        <v>32154.75</v>
      </c>
      <c r="E53" s="6">
        <f>IFERROR(__xludf.DUMMYFUNCTION("""COMPUTED_VALUE"""),34343.15)</f>
        <v>34343.15</v>
      </c>
      <c r="F53" s="6">
        <f>IFERROR(__xludf.DUMMYFUNCTION("""COMPUTED_VALUE"""),296756.0)</f>
        <v>296756</v>
      </c>
    </row>
    <row r="54">
      <c r="A54" s="7">
        <f>IFERROR(__xludf.DUMMYFUNCTION("""COMPUTED_VALUE"""),45555.64583333333)</f>
        <v>45555.64583</v>
      </c>
      <c r="B54" s="6">
        <f>IFERROR(__xludf.DUMMYFUNCTION("""COMPUTED_VALUE"""),34350.0)</f>
        <v>34350</v>
      </c>
      <c r="C54" s="6">
        <f>IFERROR(__xludf.DUMMYFUNCTION("""COMPUTED_VALUE"""),36000.0)</f>
        <v>36000</v>
      </c>
      <c r="D54" s="6">
        <f>IFERROR(__xludf.DUMMYFUNCTION("""COMPUTED_VALUE"""),33850.0)</f>
        <v>33850</v>
      </c>
      <c r="E54" s="6">
        <f>IFERROR(__xludf.DUMMYFUNCTION("""COMPUTED_VALUE"""),35686.75)</f>
        <v>35686.75</v>
      </c>
      <c r="F54" s="6">
        <f>IFERROR(__xludf.DUMMYFUNCTION("""COMPUTED_VALUE"""),200700.0)</f>
        <v>200700</v>
      </c>
    </row>
    <row r="55">
      <c r="A55" s="7">
        <f>IFERROR(__xludf.DUMMYFUNCTION("""COMPUTED_VALUE"""),45562.64583333333)</f>
        <v>45562.64583</v>
      </c>
      <c r="B55" s="6">
        <f>IFERROR(__xludf.DUMMYFUNCTION("""COMPUTED_VALUE"""),35560.1)</f>
        <v>35560.1</v>
      </c>
      <c r="C55" s="6">
        <f>IFERROR(__xludf.DUMMYFUNCTION("""COMPUTED_VALUE"""),38179.9)</f>
        <v>38179.9</v>
      </c>
      <c r="D55" s="6">
        <f>IFERROR(__xludf.DUMMYFUNCTION("""COMPUTED_VALUE"""),35501.2)</f>
        <v>35501.2</v>
      </c>
      <c r="E55" s="6">
        <f>IFERROR(__xludf.DUMMYFUNCTION("""COMPUTED_VALUE"""),37976.1)</f>
        <v>37976.1</v>
      </c>
      <c r="F55" s="6">
        <f>IFERROR(__xludf.DUMMYFUNCTION("""COMPUTED_VALUE"""),258181.0)</f>
        <v>258181</v>
      </c>
    </row>
    <row r="56">
      <c r="A56" s="7">
        <f>IFERROR(__xludf.DUMMYFUNCTION("""COMPUTED_VALUE"""),45569.64583333333)</f>
        <v>45569.64583</v>
      </c>
      <c r="B56" s="6">
        <f>IFERROR(__xludf.DUMMYFUNCTION("""COMPUTED_VALUE"""),37976.0)</f>
        <v>37976</v>
      </c>
      <c r="C56" s="6">
        <f>IFERROR(__xludf.DUMMYFUNCTION("""COMPUTED_VALUE"""),38124.6)</f>
        <v>38124.6</v>
      </c>
      <c r="D56" s="6">
        <f>IFERROR(__xludf.DUMMYFUNCTION("""COMPUTED_VALUE"""),36420.55)</f>
        <v>36420.55</v>
      </c>
      <c r="E56" s="6">
        <f>IFERROR(__xludf.DUMMYFUNCTION("""COMPUTED_VALUE"""),36734.5)</f>
        <v>36734.5</v>
      </c>
      <c r="F56" s="6">
        <f>IFERROR(__xludf.DUMMYFUNCTION("""COMPUTED_VALUE"""),138055.0)</f>
        <v>138055</v>
      </c>
    </row>
    <row r="57">
      <c r="A57" s="7">
        <f>IFERROR(__xludf.DUMMYFUNCTION("""COMPUTED_VALUE"""),45576.64583333333)</f>
        <v>45576.64583</v>
      </c>
      <c r="B57" s="6">
        <f>IFERROR(__xludf.DUMMYFUNCTION("""COMPUTED_VALUE"""),36734.5)</f>
        <v>36734.5</v>
      </c>
      <c r="C57" s="6">
        <f>IFERROR(__xludf.DUMMYFUNCTION("""COMPUTED_VALUE"""),39088.8)</f>
        <v>39088.8</v>
      </c>
      <c r="D57" s="6">
        <f>IFERROR(__xludf.DUMMYFUNCTION("""COMPUTED_VALUE"""),36220.3)</f>
        <v>36220.3</v>
      </c>
      <c r="E57" s="6">
        <f>IFERROR(__xludf.DUMMYFUNCTION("""COMPUTED_VALUE"""),38486.8)</f>
        <v>38486.8</v>
      </c>
      <c r="F57" s="6">
        <f>IFERROR(__xludf.DUMMYFUNCTION("""COMPUTED_VALUE"""),189616.0)</f>
        <v>189616</v>
      </c>
    </row>
    <row r="58">
      <c r="A58" s="7">
        <f>IFERROR(__xludf.DUMMYFUNCTION("""COMPUTED_VALUE"""),45583.64583333333)</f>
        <v>45583.64583</v>
      </c>
      <c r="B58" s="6">
        <f>IFERROR(__xludf.DUMMYFUNCTION("""COMPUTED_VALUE"""),38486.8)</f>
        <v>38486.8</v>
      </c>
      <c r="C58" s="6">
        <f>IFERROR(__xludf.DUMMYFUNCTION("""COMPUTED_VALUE"""),38936.05)</f>
        <v>38936.05</v>
      </c>
      <c r="D58" s="6">
        <f>IFERROR(__xludf.DUMMYFUNCTION("""COMPUTED_VALUE"""),36060.15)</f>
        <v>36060.15</v>
      </c>
      <c r="E58" s="6">
        <f>IFERROR(__xludf.DUMMYFUNCTION("""COMPUTED_VALUE"""),36800.75)</f>
        <v>36800.75</v>
      </c>
      <c r="F58" s="6">
        <f>IFERROR(__xludf.DUMMYFUNCTION("""COMPUTED_VALUE"""),121700.0)</f>
        <v>121700</v>
      </c>
    </row>
    <row r="59">
      <c r="A59" s="7">
        <f>IFERROR(__xludf.DUMMYFUNCTION("""COMPUTED_VALUE"""),45590.64583333333)</f>
        <v>45590.64583</v>
      </c>
      <c r="B59" s="6">
        <f>IFERROR(__xludf.DUMMYFUNCTION("""COMPUTED_VALUE"""),36810.0)</f>
        <v>36810</v>
      </c>
      <c r="C59" s="6">
        <f>IFERROR(__xludf.DUMMYFUNCTION("""COMPUTED_VALUE"""),37265.5)</f>
        <v>37265.5</v>
      </c>
      <c r="D59" s="6">
        <f>IFERROR(__xludf.DUMMYFUNCTION("""COMPUTED_VALUE"""),35370.3)</f>
        <v>35370.3</v>
      </c>
      <c r="E59" s="6">
        <f>IFERROR(__xludf.DUMMYFUNCTION("""COMPUTED_VALUE"""),35931.95)</f>
        <v>35931.95</v>
      </c>
      <c r="F59" s="6">
        <f>IFERROR(__xludf.DUMMYFUNCTION("""COMPUTED_VALUE"""),81661.0)</f>
        <v>81661</v>
      </c>
    </row>
    <row r="60">
      <c r="A60" s="7">
        <f>IFERROR(__xludf.DUMMYFUNCTION("""COMPUTED_VALUE"""),45604.64583333333)</f>
        <v>45604.64583</v>
      </c>
      <c r="B60" s="6">
        <f>IFERROR(__xludf.DUMMYFUNCTION("""COMPUTED_VALUE"""),35249.95)</f>
        <v>35249.95</v>
      </c>
      <c r="C60" s="6">
        <f>IFERROR(__xludf.DUMMYFUNCTION("""COMPUTED_VALUE"""),36772.7)</f>
        <v>36772.7</v>
      </c>
      <c r="D60" s="6">
        <f>IFERROR(__xludf.DUMMYFUNCTION("""COMPUTED_VALUE"""),34755.15)</f>
        <v>34755.15</v>
      </c>
      <c r="E60" s="6">
        <f>IFERROR(__xludf.DUMMYFUNCTION("""COMPUTED_VALUE"""),35119.4)</f>
        <v>35119.4</v>
      </c>
      <c r="F60" s="6">
        <f>IFERROR(__xludf.DUMMYFUNCTION("""COMPUTED_VALUE"""),111864.0)</f>
        <v>111864</v>
      </c>
    </row>
    <row r="61">
      <c r="A61" s="7">
        <f>IFERROR(__xludf.DUMMYFUNCTION("""COMPUTED_VALUE"""),45610.64583333333)</f>
        <v>45610.64583</v>
      </c>
      <c r="B61" s="6">
        <f>IFERROR(__xludf.DUMMYFUNCTION("""COMPUTED_VALUE"""),35100.0)</f>
        <v>35100</v>
      </c>
      <c r="C61" s="6">
        <f>IFERROR(__xludf.DUMMYFUNCTION("""COMPUTED_VALUE"""),35600.0)</f>
        <v>35600</v>
      </c>
      <c r="D61" s="6">
        <f>IFERROR(__xludf.DUMMYFUNCTION("""COMPUTED_VALUE"""),32830.5)</f>
        <v>32830.5</v>
      </c>
      <c r="E61" s="6">
        <f>IFERROR(__xludf.DUMMYFUNCTION("""COMPUTED_VALUE"""),33862.1)</f>
        <v>33862.1</v>
      </c>
      <c r="F61" s="6">
        <f>IFERROR(__xludf.DUMMYFUNCTION("""COMPUTED_VALUE"""),238867.0)</f>
        <v>238867</v>
      </c>
    </row>
    <row r="62">
      <c r="A62" s="7">
        <f>IFERROR(__xludf.DUMMYFUNCTION("""COMPUTED_VALUE"""),45618.64583333333)</f>
        <v>45618.64583</v>
      </c>
      <c r="B62" s="6">
        <f>IFERROR(__xludf.DUMMYFUNCTION("""COMPUTED_VALUE"""),33862.1)</f>
        <v>33862.1</v>
      </c>
      <c r="C62" s="6">
        <f>IFERROR(__xludf.DUMMYFUNCTION("""COMPUTED_VALUE"""),34829.4)</f>
        <v>34829.4</v>
      </c>
      <c r="D62" s="6">
        <f>IFERROR(__xludf.DUMMYFUNCTION("""COMPUTED_VALUE"""),33610.0)</f>
        <v>33610</v>
      </c>
      <c r="E62" s="6">
        <f>IFERROR(__xludf.DUMMYFUNCTION("""COMPUTED_VALUE"""),34317.55)</f>
        <v>34317.55</v>
      </c>
      <c r="F62" s="6">
        <f>IFERROR(__xludf.DUMMYFUNCTION("""COMPUTED_VALUE"""),67211.0)</f>
        <v>67211</v>
      </c>
    </row>
    <row r="63">
      <c r="A63" s="7">
        <f>IFERROR(__xludf.DUMMYFUNCTION("""COMPUTED_VALUE"""),45625.64583333333)</f>
        <v>45625.64583</v>
      </c>
      <c r="B63" s="6">
        <f>IFERROR(__xludf.DUMMYFUNCTION("""COMPUTED_VALUE"""),34450.0)</f>
        <v>34450</v>
      </c>
      <c r="C63" s="6">
        <f>IFERROR(__xludf.DUMMYFUNCTION("""COMPUTED_VALUE"""),35350.0)</f>
        <v>35350</v>
      </c>
      <c r="D63" s="6">
        <f>IFERROR(__xludf.DUMMYFUNCTION("""COMPUTED_VALUE"""),34400.0)</f>
        <v>34400</v>
      </c>
      <c r="E63" s="6">
        <f>IFERROR(__xludf.DUMMYFUNCTION("""COMPUTED_VALUE"""),34966.2)</f>
        <v>34966.2</v>
      </c>
      <c r="F63" s="6">
        <f>IFERROR(__xludf.DUMMYFUNCTION("""COMPUTED_VALUE"""),151214.0)</f>
        <v>151214</v>
      </c>
    </row>
    <row r="64">
      <c r="A64" s="7">
        <f>IFERROR(__xludf.DUMMYFUNCTION("""COMPUTED_VALUE"""),45632.64583333333)</f>
        <v>45632.64583</v>
      </c>
      <c r="B64" s="6">
        <f>IFERROR(__xludf.DUMMYFUNCTION("""COMPUTED_VALUE"""),34720.1)</f>
        <v>34720.1</v>
      </c>
      <c r="C64" s="6">
        <f>IFERROR(__xludf.DUMMYFUNCTION("""COMPUTED_VALUE"""),36997.35)</f>
        <v>36997.35</v>
      </c>
      <c r="D64" s="6">
        <f>IFERROR(__xludf.DUMMYFUNCTION("""COMPUTED_VALUE"""),34589.1)</f>
        <v>34589.1</v>
      </c>
      <c r="E64" s="6">
        <f>IFERROR(__xludf.DUMMYFUNCTION("""COMPUTED_VALUE"""),36253.65)</f>
        <v>36253.65</v>
      </c>
      <c r="F64" s="6">
        <f>IFERROR(__xludf.DUMMYFUNCTION("""COMPUTED_VALUE"""),123768.0)</f>
        <v>123768</v>
      </c>
    </row>
    <row r="65">
      <c r="A65" s="7">
        <f>IFERROR(__xludf.DUMMYFUNCTION("""COMPUTED_VALUE"""),45639.64583333333)</f>
        <v>45639.64583</v>
      </c>
      <c r="B65" s="6">
        <f>IFERROR(__xludf.DUMMYFUNCTION("""COMPUTED_VALUE"""),36367.8)</f>
        <v>36367.8</v>
      </c>
      <c r="C65" s="6">
        <f>IFERROR(__xludf.DUMMYFUNCTION("""COMPUTED_VALUE"""),36530.95)</f>
        <v>36530.95</v>
      </c>
      <c r="D65" s="6">
        <f>IFERROR(__xludf.DUMMYFUNCTION("""COMPUTED_VALUE"""),35460.0)</f>
        <v>35460</v>
      </c>
      <c r="E65" s="6">
        <f>IFERROR(__xludf.DUMMYFUNCTION("""COMPUTED_VALUE"""),36469.6)</f>
        <v>36469.6</v>
      </c>
      <c r="F65" s="6">
        <f>IFERROR(__xludf.DUMMYFUNCTION("""COMPUTED_VALUE"""),74902.0)</f>
        <v>74902</v>
      </c>
    </row>
    <row r="66">
      <c r="A66" s="7">
        <f>IFERROR(__xludf.DUMMYFUNCTION("""COMPUTED_VALUE"""),45646.64583333333)</f>
        <v>45646.64583</v>
      </c>
      <c r="B66" s="6">
        <f>IFERROR(__xludf.DUMMYFUNCTION("""COMPUTED_VALUE"""),36473.6)</f>
        <v>36473.6</v>
      </c>
      <c r="C66" s="6">
        <f>IFERROR(__xludf.DUMMYFUNCTION("""COMPUTED_VALUE"""),36680.0)</f>
        <v>36680</v>
      </c>
      <c r="D66" s="6">
        <f>IFERROR(__xludf.DUMMYFUNCTION("""COMPUTED_VALUE"""),34465.95)</f>
        <v>34465.95</v>
      </c>
      <c r="E66" s="6">
        <f>IFERROR(__xludf.DUMMYFUNCTION("""COMPUTED_VALUE"""),34576.95)</f>
        <v>34576.95</v>
      </c>
      <c r="F66" s="6">
        <f>IFERROR(__xludf.DUMMYFUNCTION("""COMPUTED_VALUE"""),71992.0)</f>
        <v>71992</v>
      </c>
    </row>
    <row r="67">
      <c r="A67" s="7">
        <f>IFERROR(__xludf.DUMMYFUNCTION("""COMPUTED_VALUE"""),45653.64583333333)</f>
        <v>45653.64583</v>
      </c>
      <c r="B67" s="6">
        <f>IFERROR(__xludf.DUMMYFUNCTION("""COMPUTED_VALUE"""),34775.0)</f>
        <v>34775</v>
      </c>
      <c r="C67" s="6">
        <f>IFERROR(__xludf.DUMMYFUNCTION("""COMPUTED_VALUE"""),34956.05)</f>
        <v>34956.05</v>
      </c>
      <c r="D67" s="6">
        <f>IFERROR(__xludf.DUMMYFUNCTION("""COMPUTED_VALUE"""),34000.0)</f>
        <v>34000</v>
      </c>
      <c r="E67" s="6">
        <f>IFERROR(__xludf.DUMMYFUNCTION("""COMPUTED_VALUE"""),34089.65)</f>
        <v>34089.65</v>
      </c>
      <c r="F67" s="6">
        <f>IFERROR(__xludf.DUMMYFUNCTION("""COMPUTED_VALUE"""),49543.0)</f>
        <v>49543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IFERROR(__xludf.DUMMYFUNCTION("""COMPUTED_VALUE"""),34000.0)</f>
        <v>34000</v>
      </c>
      <c r="C68" s="6">
        <f>IFERROR(__xludf.DUMMYFUNCTION("""COMPUTED_VALUE"""),34919.25)</f>
        <v>34919.25</v>
      </c>
      <c r="D68" s="6">
        <f>IFERROR(__xludf.DUMMYFUNCTION("""COMPUTED_VALUE"""),33539.3)</f>
        <v>33539.3</v>
      </c>
      <c r="E68" s="6">
        <f>IFERROR(__xludf.DUMMYFUNCTION("""COMPUTED_VALUE"""),34253.55)</f>
        <v>34253.55</v>
      </c>
      <c r="F68" s="6">
        <f>IFERROR(__xludf.DUMMYFUNCTION("""COMPUTED_VALUE"""),149626.0)</f>
        <v>149626</v>
      </c>
    </row>
    <row r="69">
      <c r="A69" s="7">
        <f>IFERROR(__xludf.DUMMYFUNCTION("""COMPUTED_VALUE"""),45667.64583333333)</f>
        <v>45667.64583</v>
      </c>
      <c r="B69" s="6">
        <f>IFERROR(__xludf.DUMMYFUNCTION("""COMPUTED_VALUE"""),34264.85)</f>
        <v>34264.85</v>
      </c>
      <c r="C69" s="6">
        <f>IFERROR(__xludf.DUMMYFUNCTION("""COMPUTED_VALUE"""),34402.0)</f>
        <v>34402</v>
      </c>
      <c r="D69" s="6">
        <f>IFERROR(__xludf.DUMMYFUNCTION("""COMPUTED_VALUE"""),31624.75)</f>
        <v>31624.75</v>
      </c>
      <c r="E69" s="6">
        <f>IFERROR(__xludf.DUMMYFUNCTION("""COMPUTED_VALUE"""),31713.85)</f>
        <v>31713.85</v>
      </c>
      <c r="F69" s="6">
        <f>IFERROR(__xludf.DUMMYFUNCTION("""COMPUTED_VALUE"""),95479.0)</f>
        <v>95479</v>
      </c>
    </row>
    <row r="70">
      <c r="A70" s="7">
        <f>IFERROR(__xludf.DUMMYFUNCTION("""COMPUTED_VALUE"""),45674.64583333333)</f>
        <v>45674.64583</v>
      </c>
      <c r="B70" s="6">
        <f>IFERROR(__xludf.DUMMYFUNCTION("""COMPUTED_VALUE"""),31500.0)</f>
        <v>31500</v>
      </c>
      <c r="C70" s="6">
        <f>IFERROR(__xludf.DUMMYFUNCTION("""COMPUTED_VALUE"""),31797.35)</f>
        <v>31797.35</v>
      </c>
      <c r="D70" s="6">
        <f>IFERROR(__xludf.DUMMYFUNCTION("""COMPUTED_VALUE"""),30815.75)</f>
        <v>30815.75</v>
      </c>
      <c r="E70" s="6">
        <f>IFERROR(__xludf.DUMMYFUNCTION("""COMPUTED_VALUE"""),31399.8)</f>
        <v>31399.8</v>
      </c>
      <c r="F70" s="6">
        <f>IFERROR(__xludf.DUMMYFUNCTION("""COMPUTED_VALUE"""),77800.0)</f>
        <v>77800</v>
      </c>
    </row>
    <row r="71">
      <c r="A71" s="7">
        <f>IFERROR(__xludf.DUMMYFUNCTION("""COMPUTED_VALUE"""),45681.64583333333)</f>
        <v>45681.64583</v>
      </c>
      <c r="B71" s="6">
        <f>IFERROR(__xludf.DUMMYFUNCTION("""COMPUTED_VALUE"""),31500.0)</f>
        <v>31500</v>
      </c>
      <c r="C71" s="6">
        <f>IFERROR(__xludf.DUMMYFUNCTION("""COMPUTED_VALUE"""),31550.0)</f>
        <v>31550</v>
      </c>
      <c r="D71" s="6">
        <f>IFERROR(__xludf.DUMMYFUNCTION("""COMPUTED_VALUE"""),30204.1)</f>
        <v>30204.1</v>
      </c>
      <c r="E71" s="6">
        <f>IFERROR(__xludf.DUMMYFUNCTION("""COMPUTED_VALUE"""),30356.5)</f>
        <v>30356.5</v>
      </c>
      <c r="F71" s="6">
        <f>IFERROR(__xludf.DUMMYFUNCTION("""COMPUTED_VALUE"""),79153.0)</f>
        <v>79153</v>
      </c>
    </row>
    <row r="72">
      <c r="A72" s="7">
        <f>IFERROR(__xludf.DUMMYFUNCTION("""COMPUTED_VALUE"""),45695.64583333333)</f>
        <v>45695.64583</v>
      </c>
      <c r="B72" s="6">
        <f>IFERROR(__xludf.DUMMYFUNCTION("""COMPUTED_VALUE"""),28710.0)</f>
        <v>28710</v>
      </c>
      <c r="C72" s="6">
        <f>IFERROR(__xludf.DUMMYFUNCTION("""COMPUTED_VALUE"""),29051.5)</f>
        <v>29051.5</v>
      </c>
      <c r="D72" s="6">
        <f>IFERROR(__xludf.DUMMYFUNCTION("""COMPUTED_VALUE"""),27840.0)</f>
        <v>27840</v>
      </c>
      <c r="E72" s="6">
        <f>IFERROR(__xludf.DUMMYFUNCTION("""COMPUTED_VALUE"""),28045.15)</f>
        <v>28045.15</v>
      </c>
      <c r="F72" s="6">
        <f>IFERROR(__xludf.DUMMYFUNCTION("""COMPUTED_VALUE"""),88710.0)</f>
        <v>88710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IFERROR(__xludf.DUMMYFUNCTION("""COMPUTED_VALUE"""),28220.0)</f>
        <v>28220</v>
      </c>
      <c r="C73" s="6">
        <f>IFERROR(__xludf.DUMMYFUNCTION("""COMPUTED_VALUE"""),28499.0)</f>
        <v>28499</v>
      </c>
      <c r="D73" s="6">
        <f>IFERROR(__xludf.DUMMYFUNCTION("""COMPUTED_VALUE"""),26640.3)</f>
        <v>26640.3</v>
      </c>
      <c r="E73" s="6">
        <f>IFERROR(__xludf.DUMMYFUNCTION("""COMPUTED_VALUE"""),27004.55)</f>
        <v>27004.55</v>
      </c>
      <c r="F73" s="6">
        <f>IFERROR(__xludf.DUMMYFUNCTION("""COMPUTED_VALUE"""),120174.0)</f>
        <v>120174</v>
      </c>
    </row>
    <row r="74">
      <c r="A74" s="7">
        <f>IFERROR(__xludf.DUMMYFUNCTION("""COMPUTED_VALUE"""),45709.64583333333)</f>
        <v>45709.64583</v>
      </c>
      <c r="B74" s="6">
        <f>IFERROR(__xludf.DUMMYFUNCTION("""COMPUTED_VALUE"""),26820.0)</f>
        <v>26820</v>
      </c>
      <c r="C74" s="6">
        <f>IFERROR(__xludf.DUMMYFUNCTION("""COMPUTED_VALUE"""),27594.5)</f>
        <v>27594.5</v>
      </c>
      <c r="D74" s="6">
        <f>IFERROR(__xludf.DUMMYFUNCTION("""COMPUTED_VALUE"""),26501.05)</f>
        <v>26501.05</v>
      </c>
      <c r="E74" s="6">
        <f>IFERROR(__xludf.DUMMYFUNCTION("""COMPUTED_VALUE"""),27334.1)</f>
        <v>27334.1</v>
      </c>
      <c r="F74" s="6">
        <f>IFERROR(__xludf.DUMMYFUNCTION("""COMPUTED_VALUE"""),104047.0)</f>
        <v>104047</v>
      </c>
    </row>
    <row r="75">
      <c r="A75" s="7">
        <f>IFERROR(__xludf.DUMMYFUNCTION("""COMPUTED_VALUE"""),45716.64583333333)</f>
        <v>45716.64583</v>
      </c>
      <c r="B75" s="6">
        <f>IFERROR(__xludf.DUMMYFUNCTION("""COMPUTED_VALUE"""),27234.1)</f>
        <v>27234.1</v>
      </c>
      <c r="C75" s="6">
        <f>IFERROR(__xludf.DUMMYFUNCTION("""COMPUTED_VALUE"""),27341.1)</f>
        <v>27341.1</v>
      </c>
      <c r="D75" s="6">
        <f>IFERROR(__xludf.DUMMYFUNCTION("""COMPUTED_VALUE"""),26310.75)</f>
        <v>26310.75</v>
      </c>
      <c r="E75" s="6">
        <f>IFERROR(__xludf.DUMMYFUNCTION("""COMPUTED_VALUE"""),26544.0)</f>
        <v>26544</v>
      </c>
      <c r="F75" s="6">
        <f>IFERROR(__xludf.DUMMYFUNCTION("""COMPUTED_VALUE"""),102917.0)</f>
        <v>102917</v>
      </c>
    </row>
    <row r="76">
      <c r="A76" s="7">
        <f>IFERROR(__xludf.DUMMYFUNCTION("""COMPUTED_VALUE"""),45723.64583333333)</f>
        <v>45723.64583</v>
      </c>
      <c r="B76" s="6">
        <f>IFERROR(__xludf.DUMMYFUNCTION("""COMPUTED_VALUE"""),26544.0)</f>
        <v>26544</v>
      </c>
      <c r="C76" s="6">
        <f>IFERROR(__xludf.DUMMYFUNCTION("""COMPUTED_VALUE"""),27391.9)</f>
        <v>27391.9</v>
      </c>
      <c r="D76" s="6">
        <f>IFERROR(__xludf.DUMMYFUNCTION("""COMPUTED_VALUE"""),26005.0)</f>
        <v>26005</v>
      </c>
      <c r="E76" s="6">
        <f>IFERROR(__xludf.DUMMYFUNCTION("""COMPUTED_VALUE"""),27033.4)</f>
        <v>27033.4</v>
      </c>
      <c r="F76" s="6">
        <f>IFERROR(__xludf.DUMMYFUNCTION("""COMPUTED_VALUE"""),137104.0)</f>
        <v>137104</v>
      </c>
    </row>
    <row r="77">
      <c r="A77" s="7">
        <f>IFERROR(__xludf.DUMMYFUNCTION("""COMPUTED_VALUE"""),45729.64583333333)</f>
        <v>45729.64583</v>
      </c>
      <c r="B77" s="6">
        <f>IFERROR(__xludf.DUMMYFUNCTION("""COMPUTED_VALUE"""),27005.0)</f>
        <v>27005</v>
      </c>
      <c r="C77" s="6">
        <f>IFERROR(__xludf.DUMMYFUNCTION("""COMPUTED_VALUE"""),27250.0)</f>
        <v>27250</v>
      </c>
      <c r="D77" s="6">
        <f>IFERROR(__xludf.DUMMYFUNCTION("""COMPUTED_VALUE"""),26282.45)</f>
        <v>26282.45</v>
      </c>
      <c r="E77" s="6">
        <f>IFERROR(__xludf.DUMMYFUNCTION("""COMPUTED_VALUE"""),26378.35)</f>
        <v>26378.35</v>
      </c>
      <c r="F77" s="6">
        <f>IFERROR(__xludf.DUMMYFUNCTION("""COMPUTED_VALUE"""),61819.0)</f>
        <v>61819</v>
      </c>
    </row>
    <row r="78">
      <c r="A78" s="7">
        <f>IFERROR(__xludf.DUMMYFUNCTION("""COMPUTED_VALUE"""),45737.64583333333)</f>
        <v>45737.64583</v>
      </c>
      <c r="B78" s="6">
        <f>IFERROR(__xludf.DUMMYFUNCTION("""COMPUTED_VALUE"""),26379.05)</f>
        <v>26379.05</v>
      </c>
      <c r="C78" s="6">
        <f>IFERROR(__xludf.DUMMYFUNCTION("""COMPUTED_VALUE"""),27875.0)</f>
        <v>27875</v>
      </c>
      <c r="D78" s="6">
        <f>IFERROR(__xludf.DUMMYFUNCTION("""COMPUTED_VALUE"""),26210.95)</f>
        <v>26210.95</v>
      </c>
      <c r="E78" s="6">
        <f>IFERROR(__xludf.DUMMYFUNCTION("""COMPUTED_VALUE"""),27432.25)</f>
        <v>27432.25</v>
      </c>
      <c r="F78" s="6">
        <f>IFERROR(__xludf.DUMMYFUNCTION("""COMPUTED_VALUE"""),161394.0)</f>
        <v>161394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IFERROR(__xludf.DUMMYFUNCTION("""COMPUTED_VALUE"""),27528.35)</f>
        <v>27528.35</v>
      </c>
      <c r="C79" s="6">
        <f>IFERROR(__xludf.DUMMYFUNCTION("""COMPUTED_VALUE"""),28560.0)</f>
        <v>28560</v>
      </c>
      <c r="D79" s="6">
        <f>IFERROR(__xludf.DUMMYFUNCTION("""COMPUTED_VALUE"""),27366.55)</f>
        <v>27366.55</v>
      </c>
      <c r="E79" s="6">
        <f>IFERROR(__xludf.DUMMYFUNCTION("""COMPUTED_VALUE"""),28358.45)</f>
        <v>28358.45</v>
      </c>
      <c r="F79" s="6">
        <f>IFERROR(__xludf.DUMMYFUNCTION("""COMPUTED_VALUE"""),152241.0)</f>
        <v>152241</v>
      </c>
    </row>
    <row r="80">
      <c r="A80" s="7">
        <f>IFERROR(__xludf.DUMMYFUNCTION("""COMPUTED_VALUE"""),45751.64583333333)</f>
        <v>45751.64583</v>
      </c>
      <c r="B80" s="6">
        <f>IFERROR(__xludf.DUMMYFUNCTION("""COMPUTED_VALUE"""),28100.15)</f>
        <v>28100.15</v>
      </c>
      <c r="C80" s="6">
        <f>IFERROR(__xludf.DUMMYFUNCTION("""COMPUTED_VALUE"""),28349.95)</f>
        <v>28349.95</v>
      </c>
      <c r="D80" s="6">
        <f>IFERROR(__xludf.DUMMYFUNCTION("""COMPUTED_VALUE"""),27124.6)</f>
        <v>27124.6</v>
      </c>
      <c r="E80" s="6">
        <f>IFERROR(__xludf.DUMMYFUNCTION("""COMPUTED_VALUE"""),27289.1)</f>
        <v>27289.1</v>
      </c>
      <c r="F80" s="6">
        <f>IFERROR(__xludf.DUMMYFUNCTION("""COMPUTED_VALUE"""),102115.0)</f>
        <v>102115</v>
      </c>
    </row>
    <row r="81">
      <c r="A81" s="7">
        <f>IFERROR(__xludf.DUMMYFUNCTION("""COMPUTED_VALUE"""),45758.64583333333)</f>
        <v>45758.64583</v>
      </c>
      <c r="B81" s="6">
        <f>IFERROR(__xludf.DUMMYFUNCTION("""COMPUTED_VALUE"""),26409.5)</f>
        <v>26409.5</v>
      </c>
      <c r="C81" s="6">
        <f>IFERROR(__xludf.DUMMYFUNCTION("""COMPUTED_VALUE"""),27089.95)</f>
        <v>27089.95</v>
      </c>
      <c r="D81" s="6">
        <f>IFERROR(__xludf.DUMMYFUNCTION("""COMPUTED_VALUE"""),25921.6)</f>
        <v>25921.6</v>
      </c>
      <c r="E81" s="6">
        <f>IFERROR(__xludf.DUMMYFUNCTION("""COMPUTED_VALUE"""),26359.25)</f>
        <v>26359.25</v>
      </c>
      <c r="F81" s="6">
        <f>IFERROR(__xludf.DUMMYFUNCTION("""COMPUTED_VALUE"""),83696.0)</f>
        <v>83696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IFERROR(__xludf.DUMMYFUNCTION("""COMPUTED_VALUE"""),27090.0)</f>
        <v>27090</v>
      </c>
      <c r="C82" s="6">
        <f>IFERROR(__xludf.DUMMYFUNCTION("""COMPUTED_VALUE"""),27580.0)</f>
        <v>27580</v>
      </c>
      <c r="D82" s="6">
        <f>IFERROR(__xludf.DUMMYFUNCTION("""COMPUTED_VALUE"""),26580.0)</f>
        <v>26580</v>
      </c>
      <c r="E82" s="6">
        <f>IFERROR(__xludf.DUMMYFUNCTION("""COMPUTED_VALUE"""),27505.0)</f>
        <v>27505</v>
      </c>
      <c r="F82" s="6">
        <f>IFERROR(__xludf.DUMMYFUNCTION("""COMPUTED_VALUE"""),41829.0)</f>
        <v>41829</v>
      </c>
    </row>
    <row r="83">
      <c r="A83" s="7">
        <f>IFERROR(__xludf.DUMMYFUNCTION("""COMPUTED_VALUE"""),45772.64583333333)</f>
        <v>45772.64583</v>
      </c>
      <c r="B83" s="6">
        <f>IFERROR(__xludf.DUMMYFUNCTION("""COMPUTED_VALUE"""),27600.0)</f>
        <v>27600</v>
      </c>
      <c r="C83" s="6">
        <f>IFERROR(__xludf.DUMMYFUNCTION("""COMPUTED_VALUE"""),28625.0)</f>
        <v>28625</v>
      </c>
      <c r="D83" s="6">
        <f>IFERROR(__xludf.DUMMYFUNCTION("""COMPUTED_VALUE"""),27515.0)</f>
        <v>27515</v>
      </c>
      <c r="E83" s="6">
        <f>IFERROR(__xludf.DUMMYFUNCTION("""COMPUTED_VALUE"""),27995.0)</f>
        <v>27995</v>
      </c>
      <c r="F83" s="6">
        <f>IFERROR(__xludf.DUMMYFUNCTION("""COMPUTED_VALUE"""),100663.0)</f>
        <v>100663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IFERROR(__xludf.DUMMYFUNCTION("""COMPUTED_VALUE"""),27860.0)</f>
        <v>27860</v>
      </c>
      <c r="C84" s="6">
        <f>IFERROR(__xludf.DUMMYFUNCTION("""COMPUTED_VALUE"""),29940.0)</f>
        <v>29940</v>
      </c>
      <c r="D84" s="6">
        <f>IFERROR(__xludf.DUMMYFUNCTION("""COMPUTED_VALUE"""),27860.0)</f>
        <v>27860</v>
      </c>
      <c r="E84" s="6">
        <f>IFERROR(__xludf.DUMMYFUNCTION("""COMPUTED_VALUE"""),29580.0)</f>
        <v>29580</v>
      </c>
      <c r="F84" s="6">
        <f>IFERROR(__xludf.DUMMYFUNCTION("""COMPUTED_VALUE"""),88480.0)</f>
        <v>88480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IFERROR(__xludf.DUMMYFUNCTION("""COMPUTED_VALUE"""),29750.0)</f>
        <v>29750</v>
      </c>
      <c r="C85" s="6">
        <f>IFERROR(__xludf.DUMMYFUNCTION("""COMPUTED_VALUE"""),30850.0)</f>
        <v>30850</v>
      </c>
      <c r="D85" s="6">
        <f>IFERROR(__xludf.DUMMYFUNCTION("""COMPUTED_VALUE"""),29425.0)</f>
        <v>29425</v>
      </c>
      <c r="E85" s="6">
        <f>IFERROR(__xludf.DUMMYFUNCTION("""COMPUTED_VALUE"""),30000.0)</f>
        <v>30000</v>
      </c>
      <c r="F85" s="6">
        <f>IFERROR(__xludf.DUMMYFUNCTION("""COMPUTED_VALUE"""),98460.0)</f>
        <v>98460</v>
      </c>
    </row>
    <row r="86">
      <c r="A86" s="7">
        <f>IFERROR(__xludf.DUMMYFUNCTION("""COMPUTED_VALUE"""),45793.64583333333)</f>
        <v>45793.64583</v>
      </c>
      <c r="B86" s="6">
        <f>IFERROR(__xludf.DUMMYFUNCTION("""COMPUTED_VALUE"""),30680.0)</f>
        <v>30680</v>
      </c>
      <c r="C86" s="6">
        <f>IFERROR(__xludf.DUMMYFUNCTION("""COMPUTED_VALUE"""),31885.0)</f>
        <v>31885</v>
      </c>
      <c r="D86" s="6">
        <f>IFERROR(__xludf.DUMMYFUNCTION("""COMPUTED_VALUE"""),30420.0)</f>
        <v>30420</v>
      </c>
      <c r="E86" s="6">
        <f>IFERROR(__xludf.DUMMYFUNCTION("""COMPUTED_VALUE"""),31655.0)</f>
        <v>31655</v>
      </c>
      <c r="F86" s="6">
        <f>IFERROR(__xludf.DUMMYFUNCTION("""COMPUTED_VALUE"""),94990.0)</f>
        <v>94990</v>
      </c>
    </row>
    <row r="87">
      <c r="A87" s="7">
        <f>IFERROR(__xludf.DUMMYFUNCTION("""COMPUTED_VALUE"""),45800.64583333333)</f>
        <v>45800.64583</v>
      </c>
      <c r="B87" s="6">
        <f>IFERROR(__xludf.DUMMYFUNCTION("""COMPUTED_VALUE"""),31635.0)</f>
        <v>31635</v>
      </c>
      <c r="C87" s="6">
        <f>IFERROR(__xludf.DUMMYFUNCTION("""COMPUTED_VALUE"""),32195.0)</f>
        <v>32195</v>
      </c>
      <c r="D87" s="6">
        <f>IFERROR(__xludf.DUMMYFUNCTION("""COMPUTED_VALUE"""),31250.0)</f>
        <v>31250</v>
      </c>
      <c r="E87" s="6">
        <f>IFERROR(__xludf.DUMMYFUNCTION("""COMPUTED_VALUE"""),32130.0)</f>
        <v>32130</v>
      </c>
      <c r="F87" s="6">
        <f>IFERROR(__xludf.DUMMYFUNCTION("""COMPUTED_VALUE"""),79870.0)</f>
        <v>79870</v>
      </c>
    </row>
    <row r="88">
      <c r="A88" s="7">
        <f>IFERROR(__xludf.DUMMYFUNCTION("""COMPUTED_VALUE"""),45807.64583333333)</f>
        <v>45807.64583</v>
      </c>
      <c r="B88" s="6">
        <f>IFERROR(__xludf.DUMMYFUNCTION("""COMPUTED_VALUE"""),32130.0)</f>
        <v>32130</v>
      </c>
      <c r="C88" s="6">
        <f>IFERROR(__xludf.DUMMYFUNCTION("""COMPUTED_VALUE"""),32705.0)</f>
        <v>32705</v>
      </c>
      <c r="D88" s="6">
        <f>IFERROR(__xludf.DUMMYFUNCTION("""COMPUTED_VALUE"""),31010.0)</f>
        <v>31010</v>
      </c>
      <c r="E88" s="6">
        <f>IFERROR(__xludf.DUMMYFUNCTION("""COMPUTED_VALUE"""),31415.0)</f>
        <v>31415</v>
      </c>
      <c r="F88" s="6">
        <f>IFERROR(__xludf.DUMMYFUNCTION("""COMPUTED_VALUE"""),193297.0)</f>
        <v>193297</v>
      </c>
    </row>
    <row r="89">
      <c r="A89" s="7">
        <f>IFERROR(__xludf.DUMMYFUNCTION("""COMPUTED_VALUE"""),45814.64583333333)</f>
        <v>45814.64583</v>
      </c>
      <c r="B89" s="6">
        <f>IFERROR(__xludf.DUMMYFUNCTION("""COMPUTED_VALUE"""),31450.0)</f>
        <v>31450</v>
      </c>
      <c r="C89" s="6">
        <f>IFERROR(__xludf.DUMMYFUNCTION("""COMPUTED_VALUE"""),31840.0)</f>
        <v>31840</v>
      </c>
      <c r="D89" s="6">
        <f>IFERROR(__xludf.DUMMYFUNCTION("""COMPUTED_VALUE"""),31080.0)</f>
        <v>31080</v>
      </c>
      <c r="E89" s="6">
        <f>IFERROR(__xludf.DUMMYFUNCTION("""COMPUTED_VALUE"""),31595.0)</f>
        <v>31595</v>
      </c>
      <c r="F89" s="6">
        <f>IFERROR(__xludf.DUMMYFUNCTION("""COMPUTED_VALUE"""),173004.0)</f>
        <v>173004</v>
      </c>
    </row>
    <row r="90">
      <c r="A90" s="7">
        <f>IFERROR(__xludf.DUMMYFUNCTION("""COMPUTED_VALUE"""),45821.64583333333)</f>
        <v>45821.64583</v>
      </c>
      <c r="B90" s="6">
        <f>IFERROR(__xludf.DUMMYFUNCTION("""COMPUTED_VALUE"""),31605.0)</f>
        <v>31605</v>
      </c>
      <c r="C90" s="6">
        <f>IFERROR(__xludf.DUMMYFUNCTION("""COMPUTED_VALUE"""),31970.0)</f>
        <v>31970</v>
      </c>
      <c r="D90" s="6">
        <f>IFERROR(__xludf.DUMMYFUNCTION("""COMPUTED_VALUE"""),30945.0)</f>
        <v>30945</v>
      </c>
      <c r="E90" s="6">
        <f>IFERROR(__xludf.DUMMYFUNCTION("""COMPUTED_VALUE"""),31585.0)</f>
        <v>31585</v>
      </c>
      <c r="F90" s="6">
        <f>IFERROR(__xludf.DUMMYFUNCTION("""COMPUTED_VALUE"""),71527.0)</f>
        <v>71527</v>
      </c>
    </row>
    <row r="91">
      <c r="A91" s="7">
        <f>IFERROR(__xludf.DUMMYFUNCTION("""COMPUTED_VALUE"""),45828.64583333333)</f>
        <v>45828.64583</v>
      </c>
      <c r="B91" s="6">
        <f>IFERROR(__xludf.DUMMYFUNCTION("""COMPUTED_VALUE"""),31695.0)</f>
        <v>31695</v>
      </c>
      <c r="C91" s="6">
        <f>IFERROR(__xludf.DUMMYFUNCTION("""COMPUTED_VALUE"""),32795.0)</f>
        <v>32795</v>
      </c>
      <c r="D91" s="6">
        <f>IFERROR(__xludf.DUMMYFUNCTION("""COMPUTED_VALUE"""),31405.0)</f>
        <v>31405</v>
      </c>
      <c r="E91" s="6">
        <f>IFERROR(__xludf.DUMMYFUNCTION("""COMPUTED_VALUE"""),32290.0)</f>
        <v>32290</v>
      </c>
      <c r="F91" s="6">
        <f>IFERROR(__xludf.DUMMYFUNCTION("""COMPUTED_VALUE"""),92909.0)</f>
        <v>92909</v>
      </c>
    </row>
    <row r="92">
      <c r="A92" s="7">
        <f>IFERROR(__xludf.DUMMYFUNCTION("""COMPUTED_VALUE"""),45835.64583333333)</f>
        <v>45835.64583</v>
      </c>
      <c r="B92" s="6">
        <f>IFERROR(__xludf.DUMMYFUNCTION("""COMPUTED_VALUE"""),32250.0)</f>
        <v>32250</v>
      </c>
      <c r="C92" s="6">
        <f>IFERROR(__xludf.DUMMYFUNCTION("""COMPUTED_VALUE"""),32495.0)</f>
        <v>32495</v>
      </c>
      <c r="D92" s="6">
        <f>IFERROR(__xludf.DUMMYFUNCTION("""COMPUTED_VALUE"""),31435.0)</f>
        <v>31435</v>
      </c>
      <c r="E92" s="6">
        <f>IFERROR(__xludf.DUMMYFUNCTION("""COMPUTED_VALUE"""),32260.0)</f>
        <v>32260</v>
      </c>
      <c r="F92" s="6">
        <f>IFERROR(__xludf.DUMMYFUNCTION("""COMPUTED_VALUE"""),181498.0)</f>
        <v>181498</v>
      </c>
    </row>
    <row r="93">
      <c r="A93" s="7">
        <f>IFERROR(__xludf.DUMMYFUNCTION("""COMPUTED_VALUE"""),45842.64583333333)</f>
        <v>45842.64583</v>
      </c>
      <c r="B93" s="6">
        <f>IFERROR(__xludf.DUMMYFUNCTION("""COMPUTED_VALUE"""),32660.0)</f>
        <v>32660</v>
      </c>
      <c r="C93" s="6">
        <f>IFERROR(__xludf.DUMMYFUNCTION("""COMPUTED_VALUE"""),36020.0)</f>
        <v>36020</v>
      </c>
      <c r="D93" s="6">
        <f>IFERROR(__xludf.DUMMYFUNCTION("""COMPUTED_VALUE"""),32120.0)</f>
        <v>32120</v>
      </c>
      <c r="E93" s="6">
        <f>IFERROR(__xludf.DUMMYFUNCTION("""COMPUTED_VALUE"""),35930.0)</f>
        <v>35930</v>
      </c>
      <c r="F93" s="6">
        <f>IFERROR(__xludf.DUMMYFUNCTION("""COMPUTED_VALUE"""),358989.0)</f>
        <v>358989</v>
      </c>
    </row>
    <row r="94">
      <c r="A94" s="7">
        <f>IFERROR(__xludf.DUMMYFUNCTION("""COMPUTED_VALUE"""),45849.64583333333)</f>
        <v>45849.64583</v>
      </c>
      <c r="B94" s="6">
        <f>IFERROR(__xludf.DUMMYFUNCTION("""COMPUTED_VALUE"""),35760.0)</f>
        <v>35760</v>
      </c>
      <c r="C94" s="6">
        <f>IFERROR(__xludf.DUMMYFUNCTION("""COMPUTED_VALUE"""),37410.0)</f>
        <v>37410</v>
      </c>
      <c r="D94" s="6">
        <f>IFERROR(__xludf.DUMMYFUNCTION("""COMPUTED_VALUE"""),35265.0)</f>
        <v>35265</v>
      </c>
      <c r="E94" s="6">
        <f>IFERROR(__xludf.DUMMYFUNCTION("""COMPUTED_VALUE"""),36525.0)</f>
        <v>36525</v>
      </c>
      <c r="F94" s="6">
        <f>IFERROR(__xludf.DUMMYFUNCTION("""COMPUTED_VALUE"""),336722.0)</f>
        <v>336722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IFERROR(__xludf.DUMMYFUNCTION("""COMPUTED_VALUE"""),36785.0)</f>
        <v>36785</v>
      </c>
      <c r="C95" s="6">
        <f>IFERROR(__xludf.DUMMYFUNCTION("""COMPUTED_VALUE"""),39055.0)</f>
        <v>39055</v>
      </c>
      <c r="D95" s="6">
        <f>IFERROR(__xludf.DUMMYFUNCTION("""COMPUTED_VALUE"""),36525.0)</f>
        <v>36525</v>
      </c>
      <c r="E95" s="6">
        <f>IFERROR(__xludf.DUMMYFUNCTION("""COMPUTED_VALUE"""),38250.0)</f>
        <v>38250</v>
      </c>
      <c r="F95" s="6">
        <f>IFERROR(__xludf.DUMMYFUNCTION("""COMPUTED_VALUE"""),260800.0)</f>
        <v>260800</v>
      </c>
    </row>
    <row r="96">
      <c r="A96" s="7">
        <f>IFERROR(__xludf.DUMMYFUNCTION("""COMPUTED_VALUE"""),45863.64583333333)</f>
        <v>45863.64583</v>
      </c>
      <c r="B96" s="6">
        <f>IFERROR(__xludf.DUMMYFUNCTION("""COMPUTED_VALUE"""),38495.0)</f>
        <v>38495</v>
      </c>
      <c r="C96" s="6">
        <f>IFERROR(__xludf.DUMMYFUNCTION("""COMPUTED_VALUE"""),38565.0)</f>
        <v>38565</v>
      </c>
      <c r="D96" s="6">
        <f>IFERROR(__xludf.DUMMYFUNCTION("""COMPUTED_VALUE"""),37425.0)</f>
        <v>37425</v>
      </c>
      <c r="E96" s="6">
        <f>IFERROR(__xludf.DUMMYFUNCTION("""COMPUTED_VALUE"""),37830.0)</f>
        <v>37830</v>
      </c>
      <c r="F96" s="6">
        <f>IFERROR(__xludf.DUMMYFUNCTION("""COMPUTED_VALUE"""),108432.0)</f>
        <v>108432</v>
      </c>
    </row>
    <row r="97">
      <c r="A97" s="7">
        <f>IFERROR(__xludf.DUMMYFUNCTION("""COMPUTED_VALUE"""),45870.64583333333)</f>
        <v>45870.64583</v>
      </c>
      <c r="B97" s="6">
        <f>IFERROR(__xludf.DUMMYFUNCTION("""COMPUTED_VALUE"""),38140.0)</f>
        <v>38140</v>
      </c>
      <c r="C97" s="6">
        <f>IFERROR(__xludf.DUMMYFUNCTION("""COMPUTED_VALUE"""),40730.0)</f>
        <v>40730</v>
      </c>
      <c r="D97" s="6">
        <f>IFERROR(__xludf.DUMMYFUNCTION("""COMPUTED_VALUE"""),37615.0)</f>
        <v>37615</v>
      </c>
      <c r="E97" s="6">
        <f>IFERROR(__xludf.DUMMYFUNCTION("""COMPUTED_VALUE"""),40390.0)</f>
        <v>40390</v>
      </c>
      <c r="F97" s="6">
        <f>IFERROR(__xludf.DUMMYFUNCTION("""COMPUTED_VALUE"""),332862.0)</f>
        <v>332862</v>
      </c>
    </row>
    <row r="98">
      <c r="A98" s="7">
        <f>IFERROR(__xludf.DUMMYFUNCTION("""COMPUTED_VALUE"""),45877.64583333333)</f>
        <v>45877.64583</v>
      </c>
      <c r="B98" s="6">
        <f>IFERROR(__xludf.DUMMYFUNCTION("""COMPUTED_VALUE"""),40150.0)</f>
        <v>40150</v>
      </c>
      <c r="C98" s="6">
        <f>IFERROR(__xludf.DUMMYFUNCTION("""COMPUTED_VALUE"""),41290.0)</f>
        <v>41290</v>
      </c>
      <c r="D98" s="6">
        <f>IFERROR(__xludf.DUMMYFUNCTION("""COMPUTED_VALUE"""),37900.0)</f>
        <v>37900</v>
      </c>
      <c r="E98" s="6">
        <f>IFERROR(__xludf.DUMMYFUNCTION("""COMPUTED_VALUE"""),38325.0)</f>
        <v>38325</v>
      </c>
      <c r="F98" s="6">
        <f>IFERROR(__xludf.DUMMYFUNCTION("""COMPUTED_VALUE"""),371023.0)</f>
        <v>371023</v>
      </c>
    </row>
    <row r="99">
      <c r="A99" s="7">
        <f>IFERROR(__xludf.DUMMYFUNCTION("""COMPUTED_VALUE"""),45883.64583333333)</f>
        <v>45883.64583</v>
      </c>
      <c r="B99" s="6">
        <f>IFERROR(__xludf.DUMMYFUNCTION("""COMPUTED_VALUE"""),38540.0)</f>
        <v>38540</v>
      </c>
      <c r="C99" s="6">
        <f>IFERROR(__xludf.DUMMYFUNCTION("""COMPUTED_VALUE"""),39080.0)</f>
        <v>39080</v>
      </c>
      <c r="D99" s="6">
        <f>IFERROR(__xludf.DUMMYFUNCTION("""COMPUTED_VALUE"""),38320.0)</f>
        <v>38320</v>
      </c>
      <c r="E99" s="6">
        <f>IFERROR(__xludf.DUMMYFUNCTION("""COMPUTED_VALUE"""),38585.0)</f>
        <v>38585</v>
      </c>
      <c r="F99" s="6">
        <f>IFERROR(__xludf.DUMMYFUNCTION("""COMPUTED_VALUE"""),88712.0)</f>
        <v>88712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IFERROR(__xludf.DUMMYFUNCTION("""COMPUTED_VALUE"""),39000.0)</f>
        <v>39000</v>
      </c>
      <c r="C100" s="6">
        <f>IFERROR(__xludf.DUMMYFUNCTION("""COMPUTED_VALUE"""),40280.0)</f>
        <v>40280</v>
      </c>
      <c r="D100" s="6">
        <f>IFERROR(__xludf.DUMMYFUNCTION("""COMPUTED_VALUE"""),38870.0)</f>
        <v>38870</v>
      </c>
      <c r="E100" s="6">
        <f>IFERROR(__xludf.DUMMYFUNCTION("""COMPUTED_VALUE"""),39325.0)</f>
        <v>39325</v>
      </c>
      <c r="F100" s="6">
        <f>IFERROR(__xludf.DUMMYFUNCTION("""COMPUTED_VALUE"""),108791.0)</f>
        <v>108791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IFERROR(__xludf.DUMMYFUNCTION("""COMPUTED_VALUE"""),39325.0)</f>
        <v>39325</v>
      </c>
      <c r="C101" s="6">
        <f>IFERROR(__xludf.DUMMYFUNCTION("""COMPUTED_VALUE"""),39655.0)</f>
        <v>39655</v>
      </c>
      <c r="D101" s="6">
        <f>IFERROR(__xludf.DUMMYFUNCTION("""COMPUTED_VALUE"""),38800.0)</f>
        <v>38800</v>
      </c>
      <c r="E101" s="6">
        <f>IFERROR(__xludf.DUMMYFUNCTION("""COMPUTED_VALUE"""),39510.0)</f>
        <v>39510</v>
      </c>
      <c r="F101" s="6">
        <f>IFERROR(__xludf.DUMMYFUNCTION("""COMPUTED_VALUE"""),536544.0)</f>
        <v>536544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IFERROR(__xludf.DUMMYFUNCTION("GOOGLEFINANCE(""NSE:BPCL"",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IFERROR(__xludf.DUMMYFUNCTION("""COMPUTED_VALUE"""),177.63)</f>
        <v>177.63</v>
      </c>
      <c r="C2" s="6">
        <f>IFERROR(__xludf.DUMMYFUNCTION("""COMPUTED_VALUE"""),179.3)</f>
        <v>179.3</v>
      </c>
      <c r="D2" s="6">
        <f>IFERROR(__xludf.DUMMYFUNCTION("""COMPUTED_VALUE"""),169.55)</f>
        <v>169.55</v>
      </c>
      <c r="E2" s="6">
        <f>IFERROR(__xludf.DUMMYFUNCTION("""COMPUTED_VALUE"""),172.1)</f>
        <v>172.1</v>
      </c>
      <c r="F2" s="6">
        <f>IFERROR(__xludf.DUMMYFUNCTION("""COMPUTED_VALUE"""),2.5252571E7)</f>
        <v>25252571</v>
      </c>
    </row>
    <row r="3">
      <c r="A3" s="7">
        <f>IFERROR(__xludf.DUMMYFUNCTION("""COMPUTED_VALUE"""),45177.64583333333)</f>
        <v>45177.64583</v>
      </c>
      <c r="B3" s="6">
        <f>IFERROR(__xludf.DUMMYFUNCTION("""COMPUTED_VALUE"""),172.33)</f>
        <v>172.33</v>
      </c>
      <c r="C3" s="6">
        <f>IFERROR(__xludf.DUMMYFUNCTION("""COMPUTED_VALUE"""),182.25)</f>
        <v>182.25</v>
      </c>
      <c r="D3" s="6">
        <f>IFERROR(__xludf.DUMMYFUNCTION("""COMPUTED_VALUE"""),171.4)</f>
        <v>171.4</v>
      </c>
      <c r="E3" s="6">
        <f>IFERROR(__xludf.DUMMYFUNCTION("""COMPUTED_VALUE"""),180.98)</f>
        <v>180.98</v>
      </c>
      <c r="F3" s="6">
        <f>IFERROR(__xludf.DUMMYFUNCTION("""COMPUTED_VALUE"""),1.980314E7)</f>
        <v>19803140</v>
      </c>
    </row>
    <row r="4">
      <c r="A4" s="7">
        <f>IFERROR(__xludf.DUMMYFUNCTION("""COMPUTED_VALUE"""),45184.64583333333)</f>
        <v>45184.64583</v>
      </c>
      <c r="B4" s="6">
        <f>IFERROR(__xludf.DUMMYFUNCTION("""COMPUTED_VALUE"""),182.6)</f>
        <v>182.6</v>
      </c>
      <c r="C4" s="6">
        <f>IFERROR(__xludf.DUMMYFUNCTION("""COMPUTED_VALUE"""),184.38)</f>
        <v>184.38</v>
      </c>
      <c r="D4" s="6">
        <f>IFERROR(__xludf.DUMMYFUNCTION("""COMPUTED_VALUE"""),173.53)</f>
        <v>173.53</v>
      </c>
      <c r="E4" s="6">
        <f>IFERROR(__xludf.DUMMYFUNCTION("""COMPUTED_VALUE"""),176.13)</f>
        <v>176.13</v>
      </c>
      <c r="F4" s="6">
        <f>IFERROR(__xludf.DUMMYFUNCTION("""COMPUTED_VALUE"""),3.0417468E7)</f>
        <v>30417468</v>
      </c>
    </row>
    <row r="5">
      <c r="A5" s="7">
        <f>IFERROR(__xludf.DUMMYFUNCTION("""COMPUTED_VALUE"""),45191.64583333333)</f>
        <v>45191.64583</v>
      </c>
      <c r="B5" s="6">
        <f>IFERROR(__xludf.DUMMYFUNCTION("""COMPUTED_VALUE"""),176.13)</f>
        <v>176.13</v>
      </c>
      <c r="C5" s="6">
        <f>IFERROR(__xludf.DUMMYFUNCTION("""COMPUTED_VALUE"""),180.55)</f>
        <v>180.55</v>
      </c>
      <c r="D5" s="6">
        <f>IFERROR(__xludf.DUMMYFUNCTION("""COMPUTED_VALUE"""),175.33)</f>
        <v>175.33</v>
      </c>
      <c r="E5" s="6">
        <f>IFERROR(__xludf.DUMMYFUNCTION("""COMPUTED_VALUE"""),175.98)</f>
        <v>175.98</v>
      </c>
      <c r="F5" s="6">
        <f>IFERROR(__xludf.DUMMYFUNCTION("""COMPUTED_VALUE"""),2.1080642E7)</f>
        <v>21080642</v>
      </c>
    </row>
    <row r="6">
      <c r="A6" s="7">
        <f>IFERROR(__xludf.DUMMYFUNCTION("""COMPUTED_VALUE"""),45198.64583333333)</f>
        <v>45198.64583</v>
      </c>
      <c r="B6" s="6">
        <f>IFERROR(__xludf.DUMMYFUNCTION("""COMPUTED_VALUE"""),176.7)</f>
        <v>176.7</v>
      </c>
      <c r="C6" s="6">
        <f>IFERROR(__xludf.DUMMYFUNCTION("""COMPUTED_VALUE"""),177.43)</f>
        <v>177.43</v>
      </c>
      <c r="D6" s="6">
        <f>IFERROR(__xludf.DUMMYFUNCTION("""COMPUTED_VALUE"""),171.0)</f>
        <v>171</v>
      </c>
      <c r="E6" s="6">
        <f>IFERROR(__xludf.DUMMYFUNCTION("""COMPUTED_VALUE"""),173.3)</f>
        <v>173.3</v>
      </c>
      <c r="F6" s="6">
        <f>IFERROR(__xludf.DUMMYFUNCTION("""COMPUTED_VALUE"""),1.3544503E7)</f>
        <v>13544503</v>
      </c>
    </row>
    <row r="7">
      <c r="A7" s="7">
        <f>IFERROR(__xludf.DUMMYFUNCTION("""COMPUTED_VALUE"""),45205.64583333333)</f>
        <v>45205.64583</v>
      </c>
      <c r="B7" s="6">
        <f>IFERROR(__xludf.DUMMYFUNCTION("""COMPUTED_VALUE"""),174.25)</f>
        <v>174.25</v>
      </c>
      <c r="C7" s="6">
        <f>IFERROR(__xludf.DUMMYFUNCTION("""COMPUTED_VALUE"""),174.6)</f>
        <v>174.6</v>
      </c>
      <c r="D7" s="6">
        <f>IFERROR(__xludf.DUMMYFUNCTION("""COMPUTED_VALUE"""),169.78)</f>
        <v>169.78</v>
      </c>
      <c r="E7" s="6">
        <f>IFERROR(__xludf.DUMMYFUNCTION("""COMPUTED_VALUE"""),173.6)</f>
        <v>173.6</v>
      </c>
      <c r="F7" s="6">
        <f>IFERROR(__xludf.DUMMYFUNCTION("""COMPUTED_VALUE"""),1.3698448E7)</f>
        <v>13698448</v>
      </c>
    </row>
    <row r="8">
      <c r="A8" s="7">
        <f>IFERROR(__xludf.DUMMYFUNCTION("""COMPUTED_VALUE"""),45212.64583333333)</f>
        <v>45212.64583</v>
      </c>
      <c r="B8" s="6">
        <f>IFERROR(__xludf.DUMMYFUNCTION("""COMPUTED_VALUE"""),170.5)</f>
        <v>170.5</v>
      </c>
      <c r="C8" s="6">
        <f>IFERROR(__xludf.DUMMYFUNCTION("""COMPUTED_VALUE"""),175.3)</f>
        <v>175.3</v>
      </c>
      <c r="D8" s="6">
        <f>IFERROR(__xludf.DUMMYFUNCTION("""COMPUTED_VALUE"""),168.08)</f>
        <v>168.08</v>
      </c>
      <c r="E8" s="6">
        <f>IFERROR(__xludf.DUMMYFUNCTION("""COMPUTED_VALUE"""),173.85)</f>
        <v>173.85</v>
      </c>
      <c r="F8" s="6">
        <f>IFERROR(__xludf.DUMMYFUNCTION("""COMPUTED_VALUE"""),1.4399088E7)</f>
        <v>14399088</v>
      </c>
    </row>
    <row r="9">
      <c r="A9" s="7">
        <f>IFERROR(__xludf.DUMMYFUNCTION("""COMPUTED_VALUE"""),45219.64583333333)</f>
        <v>45219.64583</v>
      </c>
      <c r="B9" s="6">
        <f>IFERROR(__xludf.DUMMYFUNCTION("""COMPUTED_VALUE"""),172.5)</f>
        <v>172.5</v>
      </c>
      <c r="C9" s="6">
        <f>IFERROR(__xludf.DUMMYFUNCTION("""COMPUTED_VALUE"""),178.85)</f>
        <v>178.85</v>
      </c>
      <c r="D9" s="6">
        <f>IFERROR(__xludf.DUMMYFUNCTION("""COMPUTED_VALUE"""),171.0)</f>
        <v>171</v>
      </c>
      <c r="E9" s="6">
        <f>IFERROR(__xludf.DUMMYFUNCTION("""COMPUTED_VALUE"""),173.2)</f>
        <v>173.2</v>
      </c>
      <c r="F9" s="6">
        <f>IFERROR(__xludf.DUMMYFUNCTION("""COMPUTED_VALUE"""),1.6506152E7)</f>
        <v>16506152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IFERROR(__xludf.DUMMYFUNCTION("""COMPUTED_VALUE"""),172.78)</f>
        <v>172.78</v>
      </c>
      <c r="C10" s="6">
        <f>IFERROR(__xludf.DUMMYFUNCTION("""COMPUTED_VALUE"""),173.65)</f>
        <v>173.65</v>
      </c>
      <c r="D10" s="6">
        <f>IFERROR(__xludf.DUMMYFUNCTION("""COMPUTED_VALUE"""),165.73)</f>
        <v>165.73</v>
      </c>
      <c r="E10" s="6">
        <f>IFERROR(__xludf.DUMMYFUNCTION("""COMPUTED_VALUE"""),167.48)</f>
        <v>167.48</v>
      </c>
      <c r="F10" s="6">
        <f>IFERROR(__xludf.DUMMYFUNCTION("""COMPUTED_VALUE"""),1.199177E7)</f>
        <v>11991770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IFERROR(__xludf.DUMMYFUNCTION("""COMPUTED_VALUE"""),169.0)</f>
        <v>169</v>
      </c>
      <c r="C11" s="6">
        <f>IFERROR(__xludf.DUMMYFUNCTION("""COMPUTED_VALUE"""),181.85)</f>
        <v>181.85</v>
      </c>
      <c r="D11" s="6">
        <f>IFERROR(__xludf.DUMMYFUNCTION("""COMPUTED_VALUE"""),168.55)</f>
        <v>168.55</v>
      </c>
      <c r="E11" s="6">
        <f>IFERROR(__xludf.DUMMYFUNCTION("""COMPUTED_VALUE"""),180.75)</f>
        <v>180.75</v>
      </c>
      <c r="F11" s="6">
        <f>IFERROR(__xludf.DUMMYFUNCTION("""COMPUTED_VALUE"""),3.1117243E7)</f>
        <v>31117243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IFERROR(__xludf.DUMMYFUNCTION("""COMPUTED_VALUE"""),181.4)</f>
        <v>181.4</v>
      </c>
      <c r="C12" s="6">
        <f>IFERROR(__xludf.DUMMYFUNCTION("""COMPUTED_VALUE"""),195.33)</f>
        <v>195.33</v>
      </c>
      <c r="D12" s="6">
        <f>IFERROR(__xludf.DUMMYFUNCTION("""COMPUTED_VALUE"""),180.68)</f>
        <v>180.68</v>
      </c>
      <c r="E12" s="6">
        <f>IFERROR(__xludf.DUMMYFUNCTION("""COMPUTED_VALUE"""),192.03)</f>
        <v>192.03</v>
      </c>
      <c r="F12" s="6">
        <f>IFERROR(__xludf.DUMMYFUNCTION("""COMPUTED_VALUE"""),3.0785745E7)</f>
        <v>30785745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IFERROR(__xludf.DUMMYFUNCTION("""COMPUTED_VALUE"""),192.5)</f>
        <v>192.5</v>
      </c>
      <c r="C13" s="6">
        <f>IFERROR(__xludf.DUMMYFUNCTION("""COMPUTED_VALUE"""),203.55)</f>
        <v>203.55</v>
      </c>
      <c r="D13" s="6">
        <f>IFERROR(__xludf.DUMMYFUNCTION("""COMPUTED_VALUE"""),191.58)</f>
        <v>191.58</v>
      </c>
      <c r="E13" s="6">
        <f>IFERROR(__xludf.DUMMYFUNCTION("""COMPUTED_VALUE"""),195.13)</f>
        <v>195.13</v>
      </c>
      <c r="F13" s="6">
        <f>IFERROR(__xludf.DUMMYFUNCTION("""COMPUTED_VALUE"""),2.4339417E7)</f>
        <v>24339417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IFERROR(__xludf.DUMMYFUNCTION("""COMPUTED_VALUE"""),195.33)</f>
        <v>195.33</v>
      </c>
      <c r="C14" s="6">
        <f>IFERROR(__xludf.DUMMYFUNCTION("""COMPUTED_VALUE"""),206.75)</f>
        <v>206.75</v>
      </c>
      <c r="D14" s="6">
        <f>IFERROR(__xludf.DUMMYFUNCTION("""COMPUTED_VALUE"""),193.3)</f>
        <v>193.3</v>
      </c>
      <c r="E14" s="6">
        <f>IFERROR(__xludf.DUMMYFUNCTION("""COMPUTED_VALUE"""),205.3)</f>
        <v>205.3</v>
      </c>
      <c r="F14" s="6">
        <f>IFERROR(__xludf.DUMMYFUNCTION("""COMPUTED_VALUE"""),3.0964699E7)</f>
        <v>30964699</v>
      </c>
    </row>
    <row r="15">
      <c r="A15" s="7">
        <f>IFERROR(__xludf.DUMMYFUNCTION("""COMPUTED_VALUE"""),45261.64583333333)</f>
        <v>45261.64583</v>
      </c>
      <c r="B15" s="6">
        <f>IFERROR(__xludf.DUMMYFUNCTION("""COMPUTED_VALUE"""),207.03)</f>
        <v>207.03</v>
      </c>
      <c r="C15" s="6">
        <f>IFERROR(__xludf.DUMMYFUNCTION("""COMPUTED_VALUE"""),221.2)</f>
        <v>221.2</v>
      </c>
      <c r="D15" s="6">
        <f>IFERROR(__xludf.DUMMYFUNCTION("""COMPUTED_VALUE"""),206.55)</f>
        <v>206.55</v>
      </c>
      <c r="E15" s="6">
        <f>IFERROR(__xludf.DUMMYFUNCTION("""COMPUTED_VALUE"""),219.0)</f>
        <v>219</v>
      </c>
      <c r="F15" s="6">
        <f>IFERROR(__xludf.DUMMYFUNCTION("""COMPUTED_VALUE"""),5.0197909E7)</f>
        <v>50197909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IFERROR(__xludf.DUMMYFUNCTION("""COMPUTED_VALUE"""),222.5)</f>
        <v>222.5</v>
      </c>
      <c r="C16" s="6">
        <f>IFERROR(__xludf.DUMMYFUNCTION("""COMPUTED_VALUE"""),241.25)</f>
        <v>241.25</v>
      </c>
      <c r="D16" s="6">
        <f>IFERROR(__xludf.DUMMYFUNCTION("""COMPUTED_VALUE"""),222.0)</f>
        <v>222</v>
      </c>
      <c r="E16" s="6">
        <f>IFERROR(__xludf.DUMMYFUNCTION("""COMPUTED_VALUE"""),235.23)</f>
        <v>235.23</v>
      </c>
      <c r="F16" s="6">
        <f>IFERROR(__xludf.DUMMYFUNCTION("""COMPUTED_VALUE"""),7.5029363E7)</f>
        <v>75029363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IFERROR(__xludf.DUMMYFUNCTION("""COMPUTED_VALUE"""),237.43)</f>
        <v>237.43</v>
      </c>
      <c r="C17" s="6">
        <f>IFERROR(__xludf.DUMMYFUNCTION("""COMPUTED_VALUE"""),237.43)</f>
        <v>237.43</v>
      </c>
      <c r="D17" s="6">
        <f>IFERROR(__xludf.DUMMYFUNCTION("""COMPUTED_VALUE"""),221.03)</f>
        <v>221.03</v>
      </c>
      <c r="E17" s="6">
        <f>IFERROR(__xludf.DUMMYFUNCTION("""COMPUTED_VALUE"""),224.5)</f>
        <v>224.5</v>
      </c>
      <c r="F17" s="6">
        <f>IFERROR(__xludf.DUMMYFUNCTION("""COMPUTED_VALUE"""),5.4466081E7)</f>
        <v>54466081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IFERROR(__xludf.DUMMYFUNCTION("""COMPUTED_VALUE"""),224.5)</f>
        <v>224.5</v>
      </c>
      <c r="C18" s="6">
        <f>IFERROR(__xludf.DUMMYFUNCTION("""COMPUTED_VALUE"""),227.68)</f>
        <v>227.68</v>
      </c>
      <c r="D18" s="6">
        <f>IFERROR(__xludf.DUMMYFUNCTION("""COMPUTED_VALUE"""),216.23)</f>
        <v>216.23</v>
      </c>
      <c r="E18" s="6">
        <f>IFERROR(__xludf.DUMMYFUNCTION("""COMPUTED_VALUE"""),223.33)</f>
        <v>223.33</v>
      </c>
      <c r="F18" s="6">
        <f>IFERROR(__xludf.DUMMYFUNCTION("""COMPUTED_VALUE"""),3.8468696E7)</f>
        <v>38468696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IFERROR(__xludf.DUMMYFUNCTION("""COMPUTED_VALUE"""),224.0)</f>
        <v>224</v>
      </c>
      <c r="C19" s="6">
        <f>IFERROR(__xludf.DUMMYFUNCTION("""COMPUTED_VALUE"""),235.43)</f>
        <v>235.43</v>
      </c>
      <c r="D19" s="6">
        <f>IFERROR(__xludf.DUMMYFUNCTION("""COMPUTED_VALUE"""),222.25)</f>
        <v>222.25</v>
      </c>
      <c r="E19" s="6">
        <f>IFERROR(__xludf.DUMMYFUNCTION("""COMPUTED_VALUE"""),225.33)</f>
        <v>225.33</v>
      </c>
      <c r="F19" s="6">
        <f>IFERROR(__xludf.DUMMYFUNCTION("""COMPUTED_VALUE"""),4.8823157E7)</f>
        <v>48823157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IFERROR(__xludf.DUMMYFUNCTION("""COMPUTED_VALUE"""),229.7)</f>
        <v>229.7</v>
      </c>
      <c r="C20" s="6">
        <f>IFERROR(__xludf.DUMMYFUNCTION("""COMPUTED_VALUE"""),232.65)</f>
        <v>232.65</v>
      </c>
      <c r="D20" s="6">
        <f>IFERROR(__xludf.DUMMYFUNCTION("""COMPUTED_VALUE"""),224.05)</f>
        <v>224.05</v>
      </c>
      <c r="E20" s="6">
        <f>IFERROR(__xludf.DUMMYFUNCTION("""COMPUTED_VALUE"""),226.55)</f>
        <v>226.55</v>
      </c>
      <c r="F20" s="6">
        <f>IFERROR(__xludf.DUMMYFUNCTION("""COMPUTED_VALUE"""),2.8754687E7)</f>
        <v>28754687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IFERROR(__xludf.DUMMYFUNCTION("""COMPUTED_VALUE"""),228.48)</f>
        <v>228.48</v>
      </c>
      <c r="C21" s="6">
        <f>IFERROR(__xludf.DUMMYFUNCTION("""COMPUTED_VALUE"""),232.15)</f>
        <v>232.15</v>
      </c>
      <c r="D21" s="6">
        <f>IFERROR(__xludf.DUMMYFUNCTION("""COMPUTED_VALUE"""),222.55)</f>
        <v>222.55</v>
      </c>
      <c r="E21" s="6">
        <f>IFERROR(__xludf.DUMMYFUNCTION("""COMPUTED_VALUE"""),229.13)</f>
        <v>229.13</v>
      </c>
      <c r="F21" s="6">
        <f>IFERROR(__xludf.DUMMYFUNCTION("""COMPUTED_VALUE"""),3.6768978E7)</f>
        <v>36768978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IFERROR(__xludf.DUMMYFUNCTION("""COMPUTED_VALUE"""),244.25)</f>
        <v>244.25</v>
      </c>
      <c r="C22" s="6">
        <f>IFERROR(__xludf.DUMMYFUNCTION("""COMPUTED_VALUE"""),244.25)</f>
        <v>244.25</v>
      </c>
      <c r="D22" s="6">
        <f>IFERROR(__xludf.DUMMYFUNCTION("""COMPUTED_VALUE"""),230.05)</f>
        <v>230.05</v>
      </c>
      <c r="E22" s="6">
        <f>IFERROR(__xludf.DUMMYFUNCTION("""COMPUTED_VALUE"""),237.2)</f>
        <v>237.2</v>
      </c>
      <c r="F22" s="6">
        <f>IFERROR(__xludf.DUMMYFUNCTION("""COMPUTED_VALUE"""),2.7463768E7)</f>
        <v>27463768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IFERROR(__xludf.DUMMYFUNCTION("""COMPUTED_VALUE"""),237.0)</f>
        <v>237</v>
      </c>
      <c r="C23" s="6">
        <f>IFERROR(__xludf.DUMMYFUNCTION("""COMPUTED_VALUE"""),286.2)</f>
        <v>286.2</v>
      </c>
      <c r="D23" s="6">
        <f>IFERROR(__xludf.DUMMYFUNCTION("""COMPUTED_VALUE"""),234.7)</f>
        <v>234.7</v>
      </c>
      <c r="E23" s="6">
        <f>IFERROR(__xludf.DUMMYFUNCTION("""COMPUTED_VALUE"""),279.18)</f>
        <v>279.18</v>
      </c>
      <c r="F23" s="6">
        <f>IFERROR(__xludf.DUMMYFUNCTION("""COMPUTED_VALUE"""),9.2206688E7)</f>
        <v>92206688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IFERROR(__xludf.DUMMYFUNCTION("""COMPUTED_VALUE"""),283.0)</f>
        <v>283</v>
      </c>
      <c r="C24" s="6">
        <f>IFERROR(__xludf.DUMMYFUNCTION("""COMPUTED_VALUE"""),317.68)</f>
        <v>317.68</v>
      </c>
      <c r="D24" s="6">
        <f>IFERROR(__xludf.DUMMYFUNCTION("""COMPUTED_VALUE"""),278.52)</f>
        <v>278.52</v>
      </c>
      <c r="E24" s="6">
        <f>IFERROR(__xludf.DUMMYFUNCTION("""COMPUTED_VALUE"""),307.15)</f>
        <v>307.15</v>
      </c>
      <c r="F24" s="6">
        <f>IFERROR(__xludf.DUMMYFUNCTION("""COMPUTED_VALUE"""),9.3062559E7)</f>
        <v>93062559</v>
      </c>
    </row>
    <row r="25">
      <c r="A25" s="7">
        <f>IFERROR(__xludf.DUMMYFUNCTION("""COMPUTED_VALUE"""),45338.64583333333)</f>
        <v>45338.64583</v>
      </c>
      <c r="B25" s="6">
        <f>IFERROR(__xludf.DUMMYFUNCTION("""COMPUTED_VALUE"""),307.4)</f>
        <v>307.4</v>
      </c>
      <c r="C25" s="6">
        <f>IFERROR(__xludf.DUMMYFUNCTION("""COMPUTED_VALUE"""),343.98)</f>
        <v>343.98</v>
      </c>
      <c r="D25" s="6">
        <f>IFERROR(__xludf.DUMMYFUNCTION("""COMPUTED_VALUE"""),290.18)</f>
        <v>290.18</v>
      </c>
      <c r="E25" s="6">
        <f>IFERROR(__xludf.DUMMYFUNCTION("""COMPUTED_VALUE"""),327.3)</f>
        <v>327.3</v>
      </c>
      <c r="F25" s="6">
        <f>IFERROR(__xludf.DUMMYFUNCTION("""COMPUTED_VALUE"""),9.2339684E7)</f>
        <v>92339684</v>
      </c>
    </row>
    <row r="26">
      <c r="A26" s="7">
        <f>IFERROR(__xludf.DUMMYFUNCTION("""COMPUTED_VALUE"""),45345.64583333333)</f>
        <v>45345.64583</v>
      </c>
      <c r="B26" s="6">
        <f>IFERROR(__xludf.DUMMYFUNCTION("""COMPUTED_VALUE"""),329.95)</f>
        <v>329.95</v>
      </c>
      <c r="C26" s="6">
        <f>IFERROR(__xludf.DUMMYFUNCTION("""COMPUTED_VALUE"""),333.93)</f>
        <v>333.93</v>
      </c>
      <c r="D26" s="6">
        <f>IFERROR(__xludf.DUMMYFUNCTION("""COMPUTED_VALUE"""),305.43)</f>
        <v>305.43</v>
      </c>
      <c r="E26" s="6">
        <f>IFERROR(__xludf.DUMMYFUNCTION("""COMPUTED_VALUE"""),308.98)</f>
        <v>308.98</v>
      </c>
      <c r="F26" s="6">
        <f>IFERROR(__xludf.DUMMYFUNCTION("""COMPUTED_VALUE"""),5.1925657E7)</f>
        <v>51925657</v>
      </c>
    </row>
    <row r="27">
      <c r="A27" s="7">
        <f>IFERROR(__xludf.DUMMYFUNCTION("""COMPUTED_VALUE"""),45358.64583333333)</f>
        <v>45358.64583</v>
      </c>
      <c r="B27" s="6">
        <f>IFERROR(__xludf.DUMMYFUNCTION("""COMPUTED_VALUE"""),312.6)</f>
        <v>312.6</v>
      </c>
      <c r="C27" s="6">
        <f>IFERROR(__xludf.DUMMYFUNCTION("""COMPUTED_VALUE"""),326.5)</f>
        <v>326.5</v>
      </c>
      <c r="D27" s="6">
        <f>IFERROR(__xludf.DUMMYFUNCTION("""COMPUTED_VALUE"""),310.43)</f>
        <v>310.43</v>
      </c>
      <c r="E27" s="6">
        <f>IFERROR(__xludf.DUMMYFUNCTION("""COMPUTED_VALUE"""),312.35)</f>
        <v>312.35</v>
      </c>
      <c r="F27" s="6">
        <f>IFERROR(__xludf.DUMMYFUNCTION("""COMPUTED_VALUE"""),2.8674435E7)</f>
        <v>28674435</v>
      </c>
    </row>
    <row r="28">
      <c r="A28" s="7">
        <f>IFERROR(__xludf.DUMMYFUNCTION("""COMPUTED_VALUE"""),45366.64583333333)</f>
        <v>45366.64583</v>
      </c>
      <c r="B28" s="6">
        <f>IFERROR(__xludf.DUMMYFUNCTION("""COMPUTED_VALUE"""),308.5)</f>
        <v>308.5</v>
      </c>
      <c r="C28" s="6">
        <f>IFERROR(__xludf.DUMMYFUNCTION("""COMPUTED_VALUE"""),319.35)</f>
        <v>319.35</v>
      </c>
      <c r="D28" s="6">
        <f>IFERROR(__xludf.DUMMYFUNCTION("""COMPUTED_VALUE"""),279.5)</f>
        <v>279.5</v>
      </c>
      <c r="E28" s="6">
        <f>IFERROR(__xludf.DUMMYFUNCTION("""COMPUTED_VALUE"""),293.23)</f>
        <v>293.23</v>
      </c>
      <c r="F28" s="6">
        <f>IFERROR(__xludf.DUMMYFUNCTION("""COMPUTED_VALUE"""),6.0374674E7)</f>
        <v>60374674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IFERROR(__xludf.DUMMYFUNCTION("""COMPUTED_VALUE"""),293.23)</f>
        <v>293.23</v>
      </c>
      <c r="C29" s="6">
        <f>IFERROR(__xludf.DUMMYFUNCTION("""COMPUTED_VALUE"""),302.23)</f>
        <v>302.23</v>
      </c>
      <c r="D29" s="6">
        <f>IFERROR(__xludf.DUMMYFUNCTION("""COMPUTED_VALUE"""),278.2)</f>
        <v>278.2</v>
      </c>
      <c r="E29" s="6">
        <f>IFERROR(__xludf.DUMMYFUNCTION("""COMPUTED_VALUE"""),296.4)</f>
        <v>296.4</v>
      </c>
      <c r="F29" s="6">
        <f>IFERROR(__xludf.DUMMYFUNCTION("""COMPUTED_VALUE"""),4.4122783E7)</f>
        <v>44122783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IFERROR(__xludf.DUMMYFUNCTION("""COMPUTED_VALUE"""),293.2)</f>
        <v>293.2</v>
      </c>
      <c r="C30" s="6">
        <f>IFERROR(__xludf.DUMMYFUNCTION("""COMPUTED_VALUE"""),305.88)</f>
        <v>305.88</v>
      </c>
      <c r="D30" s="6">
        <f>IFERROR(__xludf.DUMMYFUNCTION("""COMPUTED_VALUE"""),292.68)</f>
        <v>292.68</v>
      </c>
      <c r="E30" s="6">
        <f>IFERROR(__xludf.DUMMYFUNCTION("""COMPUTED_VALUE"""),301.2)</f>
        <v>301.2</v>
      </c>
      <c r="F30" s="6">
        <f>IFERROR(__xludf.DUMMYFUNCTION("""COMPUTED_VALUE"""),1.8314629E7)</f>
        <v>18314629</v>
      </c>
    </row>
    <row r="31">
      <c r="A31" s="7">
        <f>IFERROR(__xludf.DUMMYFUNCTION("""COMPUTED_VALUE"""),45387.64583333333)</f>
        <v>45387.64583</v>
      </c>
      <c r="B31" s="6">
        <f>IFERROR(__xludf.DUMMYFUNCTION("""COMPUTED_VALUE"""),301.5)</f>
        <v>301.5</v>
      </c>
      <c r="C31" s="6">
        <f>IFERROR(__xludf.DUMMYFUNCTION("""COMPUTED_VALUE"""),310.15)</f>
        <v>310.15</v>
      </c>
      <c r="D31" s="6">
        <f>IFERROR(__xludf.DUMMYFUNCTION("""COMPUTED_VALUE"""),290.13)</f>
        <v>290.13</v>
      </c>
      <c r="E31" s="6">
        <f>IFERROR(__xludf.DUMMYFUNCTION("""COMPUTED_VALUE"""),295.23)</f>
        <v>295.23</v>
      </c>
      <c r="F31" s="6">
        <f>IFERROR(__xludf.DUMMYFUNCTION("""COMPUTED_VALUE"""),3.5197739E7)</f>
        <v>35197739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IFERROR(__xludf.DUMMYFUNCTION("""COMPUTED_VALUE"""),297.98)</f>
        <v>297.98</v>
      </c>
      <c r="C32" s="6">
        <f>IFERROR(__xludf.DUMMYFUNCTION("""COMPUTED_VALUE"""),306.43)</f>
        <v>306.43</v>
      </c>
      <c r="D32" s="6">
        <f>IFERROR(__xludf.DUMMYFUNCTION("""COMPUTED_VALUE"""),291.75)</f>
        <v>291.75</v>
      </c>
      <c r="E32" s="6">
        <f>IFERROR(__xludf.DUMMYFUNCTION("""COMPUTED_VALUE"""),300.6)</f>
        <v>300.6</v>
      </c>
      <c r="F32" s="6">
        <f>IFERROR(__xludf.DUMMYFUNCTION("""COMPUTED_VALUE"""),2.8212202E7)</f>
        <v>28212202</v>
      </c>
    </row>
    <row r="33">
      <c r="A33" s="7">
        <f>IFERROR(__xludf.DUMMYFUNCTION("""COMPUTED_VALUE"""),45401.64583333333)</f>
        <v>45401.64583</v>
      </c>
      <c r="B33" s="6">
        <f>IFERROR(__xludf.DUMMYFUNCTION("""COMPUTED_VALUE"""),295.1)</f>
        <v>295.1</v>
      </c>
      <c r="C33" s="6">
        <f>IFERROR(__xludf.DUMMYFUNCTION("""COMPUTED_VALUE"""),308.8)</f>
        <v>308.8</v>
      </c>
      <c r="D33" s="6">
        <f>IFERROR(__xludf.DUMMYFUNCTION("""COMPUTED_VALUE"""),282.1)</f>
        <v>282.1</v>
      </c>
      <c r="E33" s="6">
        <f>IFERROR(__xludf.DUMMYFUNCTION("""COMPUTED_VALUE"""),292.9)</f>
        <v>292.9</v>
      </c>
      <c r="F33" s="6">
        <f>IFERROR(__xludf.DUMMYFUNCTION("""COMPUTED_VALUE"""),3.7498164E7)</f>
        <v>37498164</v>
      </c>
    </row>
    <row r="34">
      <c r="A34" s="7">
        <f>IFERROR(__xludf.DUMMYFUNCTION("""COMPUTED_VALUE"""),45408.64583333333)</f>
        <v>45408.64583</v>
      </c>
      <c r="B34" s="6">
        <f>IFERROR(__xludf.DUMMYFUNCTION("""COMPUTED_VALUE"""),297.43)</f>
        <v>297.43</v>
      </c>
      <c r="C34" s="6">
        <f>IFERROR(__xludf.DUMMYFUNCTION("""COMPUTED_VALUE"""),307.35)</f>
        <v>307.35</v>
      </c>
      <c r="D34" s="6">
        <f>IFERROR(__xludf.DUMMYFUNCTION("""COMPUTED_VALUE"""),294.02)</f>
        <v>294.02</v>
      </c>
      <c r="E34" s="6">
        <f>IFERROR(__xludf.DUMMYFUNCTION("""COMPUTED_VALUE"""),304.73)</f>
        <v>304.73</v>
      </c>
      <c r="F34" s="6">
        <f>IFERROR(__xludf.DUMMYFUNCTION("""COMPUTED_VALUE"""),3.1498484E7)</f>
        <v>31498484</v>
      </c>
    </row>
    <row r="35">
      <c r="A35" s="7">
        <f>IFERROR(__xludf.DUMMYFUNCTION("""COMPUTED_VALUE"""),45415.64583333333)</f>
        <v>45415.64583</v>
      </c>
      <c r="B35" s="6">
        <f>IFERROR(__xludf.DUMMYFUNCTION("""COMPUTED_VALUE"""),307.48)</f>
        <v>307.48</v>
      </c>
      <c r="C35" s="6">
        <f>IFERROR(__xludf.DUMMYFUNCTION("""COMPUTED_VALUE"""),320.85)</f>
        <v>320.85</v>
      </c>
      <c r="D35" s="6">
        <f>IFERROR(__xludf.DUMMYFUNCTION("""COMPUTED_VALUE"""),301.7)</f>
        <v>301.7</v>
      </c>
      <c r="E35" s="6">
        <f>IFERROR(__xludf.DUMMYFUNCTION("""COMPUTED_VALUE"""),314.93)</f>
        <v>314.93</v>
      </c>
      <c r="F35" s="6">
        <f>IFERROR(__xludf.DUMMYFUNCTION("""COMPUTED_VALUE"""),3.4596508E7)</f>
        <v>34596508</v>
      </c>
    </row>
    <row r="36">
      <c r="A36" s="7">
        <f>IFERROR(__xludf.DUMMYFUNCTION("""COMPUTED_VALUE"""),45422.64583333333)</f>
        <v>45422.64583</v>
      </c>
      <c r="B36" s="6">
        <f>IFERROR(__xludf.DUMMYFUNCTION("""COMPUTED_VALUE"""),317.5)</f>
        <v>317.5</v>
      </c>
      <c r="C36" s="6">
        <f>IFERROR(__xludf.DUMMYFUNCTION("""COMPUTED_VALUE"""),317.6)</f>
        <v>317.6</v>
      </c>
      <c r="D36" s="6">
        <f>IFERROR(__xludf.DUMMYFUNCTION("""COMPUTED_VALUE"""),295.02)</f>
        <v>295.02</v>
      </c>
      <c r="E36" s="6">
        <f>IFERROR(__xludf.DUMMYFUNCTION("""COMPUTED_VALUE"""),309.33)</f>
        <v>309.33</v>
      </c>
      <c r="F36" s="6">
        <f>IFERROR(__xludf.DUMMYFUNCTION("""COMPUTED_VALUE"""),5.3708316E7)</f>
        <v>53708316</v>
      </c>
    </row>
    <row r="37">
      <c r="A37" s="7">
        <f>IFERROR(__xludf.DUMMYFUNCTION("""COMPUTED_VALUE"""),45436.64583333333)</f>
        <v>45436.64583</v>
      </c>
      <c r="B37" s="6">
        <f>IFERROR(__xludf.DUMMYFUNCTION("""COMPUTED_VALUE"""),315.0)</f>
        <v>315</v>
      </c>
      <c r="C37" s="6">
        <f>IFERROR(__xludf.DUMMYFUNCTION("""COMPUTED_VALUE"""),331.68)</f>
        <v>331.68</v>
      </c>
      <c r="D37" s="6">
        <f>IFERROR(__xludf.DUMMYFUNCTION("""COMPUTED_VALUE"""),312.5)</f>
        <v>312.5</v>
      </c>
      <c r="E37" s="6">
        <f>IFERROR(__xludf.DUMMYFUNCTION("""COMPUTED_VALUE"""),327.05)</f>
        <v>327.05</v>
      </c>
      <c r="F37" s="6">
        <f>IFERROR(__xludf.DUMMYFUNCTION("""COMPUTED_VALUE"""),3.3556322E7)</f>
        <v>33556322</v>
      </c>
    </row>
    <row r="38">
      <c r="A38" s="7">
        <f>IFERROR(__xludf.DUMMYFUNCTION("""COMPUTED_VALUE"""),45443.64583333333)</f>
        <v>45443.64583</v>
      </c>
      <c r="B38" s="6">
        <f>IFERROR(__xludf.DUMMYFUNCTION("""COMPUTED_VALUE"""),328.4)</f>
        <v>328.4</v>
      </c>
      <c r="C38" s="6">
        <f>IFERROR(__xludf.DUMMYFUNCTION("""COMPUTED_VALUE"""),330.88)</f>
        <v>330.88</v>
      </c>
      <c r="D38" s="6">
        <f>IFERROR(__xludf.DUMMYFUNCTION("""COMPUTED_VALUE"""),308.8)</f>
        <v>308.8</v>
      </c>
      <c r="E38" s="6">
        <f>IFERROR(__xludf.DUMMYFUNCTION("""COMPUTED_VALUE"""),313.9)</f>
        <v>313.9</v>
      </c>
      <c r="F38" s="6">
        <f>IFERROR(__xludf.DUMMYFUNCTION("""COMPUTED_VALUE"""),3.0163436E7)</f>
        <v>30163436</v>
      </c>
    </row>
    <row r="39">
      <c r="A39" s="7">
        <f>IFERROR(__xludf.DUMMYFUNCTION("""COMPUTED_VALUE"""),45450.64583333333)</f>
        <v>45450.64583</v>
      </c>
      <c r="B39" s="6">
        <f>IFERROR(__xludf.DUMMYFUNCTION("""COMPUTED_VALUE"""),332.5)</f>
        <v>332.5</v>
      </c>
      <c r="C39" s="6">
        <f>IFERROR(__xludf.DUMMYFUNCTION("""COMPUTED_VALUE"""),343.5)</f>
        <v>343.5</v>
      </c>
      <c r="D39" s="6">
        <f>IFERROR(__xludf.DUMMYFUNCTION("""COMPUTED_VALUE"""),267.1)</f>
        <v>267.1</v>
      </c>
      <c r="E39" s="6">
        <f>IFERROR(__xludf.DUMMYFUNCTION("""COMPUTED_VALUE"""),299.9)</f>
        <v>299.9</v>
      </c>
      <c r="F39" s="6">
        <f>IFERROR(__xludf.DUMMYFUNCTION("""COMPUTED_VALUE"""),9.3259898E7)</f>
        <v>93259898</v>
      </c>
    </row>
    <row r="40">
      <c r="A40" s="7">
        <f>IFERROR(__xludf.DUMMYFUNCTION("""COMPUTED_VALUE"""),45457.64583333333)</f>
        <v>45457.64583</v>
      </c>
      <c r="B40" s="6">
        <f>IFERROR(__xludf.DUMMYFUNCTION("""COMPUTED_VALUE"""),302.65)</f>
        <v>302.65</v>
      </c>
      <c r="C40" s="6">
        <f>IFERROR(__xludf.DUMMYFUNCTION("""COMPUTED_VALUE"""),314.65)</f>
        <v>314.65</v>
      </c>
      <c r="D40" s="6">
        <f>IFERROR(__xludf.DUMMYFUNCTION("""COMPUTED_VALUE"""),296.8)</f>
        <v>296.8</v>
      </c>
      <c r="E40" s="6">
        <f>IFERROR(__xludf.DUMMYFUNCTION("""COMPUTED_VALUE"""),313.33)</f>
        <v>313.33</v>
      </c>
      <c r="F40" s="6">
        <f>IFERROR(__xludf.DUMMYFUNCTION("""COMPUTED_VALUE"""),4.6007247E7)</f>
        <v>46007247</v>
      </c>
    </row>
    <row r="41">
      <c r="A41" s="7">
        <f>IFERROR(__xludf.DUMMYFUNCTION("""COMPUTED_VALUE"""),45464.64583333333)</f>
        <v>45464.64583</v>
      </c>
      <c r="B41" s="6">
        <f>IFERROR(__xludf.DUMMYFUNCTION("""COMPUTED_VALUE"""),317.5)</f>
        <v>317.5</v>
      </c>
      <c r="C41" s="6">
        <f>IFERROR(__xludf.DUMMYFUNCTION("""COMPUTED_VALUE"""),319.0)</f>
        <v>319</v>
      </c>
      <c r="D41" s="6">
        <f>IFERROR(__xludf.DUMMYFUNCTION("""COMPUTED_VALUE"""),305.1)</f>
        <v>305.1</v>
      </c>
      <c r="E41" s="6">
        <f>IFERROR(__xludf.DUMMYFUNCTION("""COMPUTED_VALUE"""),307.6)</f>
        <v>307.6</v>
      </c>
      <c r="F41" s="6">
        <f>IFERROR(__xludf.DUMMYFUNCTION("""COMPUTED_VALUE"""),5.6809285E7)</f>
        <v>56809285</v>
      </c>
    </row>
    <row r="42">
      <c r="A42" s="7">
        <f>IFERROR(__xludf.DUMMYFUNCTION("""COMPUTED_VALUE"""),45471.64583333333)</f>
        <v>45471.64583</v>
      </c>
      <c r="B42" s="6">
        <f>IFERROR(__xludf.DUMMYFUNCTION("""COMPUTED_VALUE"""),309.7)</f>
        <v>309.7</v>
      </c>
      <c r="C42" s="6">
        <f>IFERROR(__xludf.DUMMYFUNCTION("""COMPUTED_VALUE"""),309.7)</f>
        <v>309.7</v>
      </c>
      <c r="D42" s="6">
        <f>IFERROR(__xludf.DUMMYFUNCTION("""COMPUTED_VALUE"""),294.8)</f>
        <v>294.8</v>
      </c>
      <c r="E42" s="6">
        <f>IFERROR(__xludf.DUMMYFUNCTION("""COMPUTED_VALUE"""),303.95)</f>
        <v>303.95</v>
      </c>
      <c r="F42" s="6">
        <f>IFERROR(__xludf.DUMMYFUNCTION("""COMPUTED_VALUE"""),5.2726513E7)</f>
        <v>52726513</v>
      </c>
    </row>
    <row r="43">
      <c r="A43" s="7">
        <f>IFERROR(__xludf.DUMMYFUNCTION("""COMPUTED_VALUE"""),45478.64583333333)</f>
        <v>45478.64583</v>
      </c>
      <c r="B43" s="6">
        <f>IFERROR(__xludf.DUMMYFUNCTION("""COMPUTED_VALUE"""),305.7)</f>
        <v>305.7</v>
      </c>
      <c r="C43" s="6">
        <f>IFERROR(__xludf.DUMMYFUNCTION("""COMPUTED_VALUE"""),308.5)</f>
        <v>308.5</v>
      </c>
      <c r="D43" s="6">
        <f>IFERROR(__xludf.DUMMYFUNCTION("""COMPUTED_VALUE"""),301.95)</f>
        <v>301.95</v>
      </c>
      <c r="E43" s="6">
        <f>IFERROR(__xludf.DUMMYFUNCTION("""COMPUTED_VALUE"""),306.65)</f>
        <v>306.65</v>
      </c>
      <c r="F43" s="6">
        <f>IFERROR(__xludf.DUMMYFUNCTION("""COMPUTED_VALUE"""),2.8994214E7)</f>
        <v>28994214</v>
      </c>
    </row>
    <row r="44">
      <c r="A44" s="7">
        <f>IFERROR(__xludf.DUMMYFUNCTION("""COMPUTED_VALUE"""),45485.64583333333)</f>
        <v>45485.64583</v>
      </c>
      <c r="B44" s="6">
        <f>IFERROR(__xludf.DUMMYFUNCTION("""COMPUTED_VALUE"""),304.6)</f>
        <v>304.6</v>
      </c>
      <c r="C44" s="6">
        <f>IFERROR(__xludf.DUMMYFUNCTION("""COMPUTED_VALUE"""),310.95)</f>
        <v>310.95</v>
      </c>
      <c r="D44" s="6">
        <f>IFERROR(__xludf.DUMMYFUNCTION("""COMPUTED_VALUE"""),293.4)</f>
        <v>293.4</v>
      </c>
      <c r="E44" s="6">
        <f>IFERROR(__xludf.DUMMYFUNCTION("""COMPUTED_VALUE"""),304.55)</f>
        <v>304.55</v>
      </c>
      <c r="F44" s="6">
        <f>IFERROR(__xludf.DUMMYFUNCTION("""COMPUTED_VALUE"""),7.1389999E7)</f>
        <v>71389999</v>
      </c>
    </row>
    <row r="45">
      <c r="A45" s="7">
        <f>IFERROR(__xludf.DUMMYFUNCTION("""COMPUTED_VALUE"""),45492.64583333333)</f>
        <v>45492.64583</v>
      </c>
      <c r="B45" s="6">
        <f>IFERROR(__xludf.DUMMYFUNCTION("""COMPUTED_VALUE"""),306.0)</f>
        <v>306</v>
      </c>
      <c r="C45" s="6">
        <f>IFERROR(__xludf.DUMMYFUNCTION("""COMPUTED_VALUE"""),319.25)</f>
        <v>319.25</v>
      </c>
      <c r="D45" s="6">
        <f>IFERROR(__xludf.DUMMYFUNCTION("""COMPUTED_VALUE"""),301.8)</f>
        <v>301.8</v>
      </c>
      <c r="E45" s="6">
        <f>IFERROR(__xludf.DUMMYFUNCTION("""COMPUTED_VALUE"""),303.8)</f>
        <v>303.8</v>
      </c>
      <c r="F45" s="6">
        <f>IFERROR(__xludf.DUMMYFUNCTION("""COMPUTED_VALUE"""),7.6231453E7)</f>
        <v>76231453</v>
      </c>
    </row>
    <row r="46">
      <c r="A46" s="7">
        <f>IFERROR(__xludf.DUMMYFUNCTION("""COMPUTED_VALUE"""),45499.64583333333)</f>
        <v>45499.64583</v>
      </c>
      <c r="B46" s="6">
        <f>IFERROR(__xludf.DUMMYFUNCTION("""COMPUTED_VALUE"""),304.55)</f>
        <v>304.55</v>
      </c>
      <c r="C46" s="6">
        <f>IFERROR(__xludf.DUMMYFUNCTION("""COMPUTED_VALUE"""),329.4)</f>
        <v>329.4</v>
      </c>
      <c r="D46" s="6">
        <f>IFERROR(__xludf.DUMMYFUNCTION("""COMPUTED_VALUE"""),296.1)</f>
        <v>296.1</v>
      </c>
      <c r="E46" s="6">
        <f>IFERROR(__xludf.DUMMYFUNCTION("""COMPUTED_VALUE"""),328.8)</f>
        <v>328.8</v>
      </c>
      <c r="F46" s="6">
        <f>IFERROR(__xludf.DUMMYFUNCTION("""COMPUTED_VALUE"""),1.20717745E8)</f>
        <v>120717745</v>
      </c>
    </row>
    <row r="47">
      <c r="A47" s="7">
        <f>IFERROR(__xludf.DUMMYFUNCTION("""COMPUTED_VALUE"""),45506.64583333333)</f>
        <v>45506.64583</v>
      </c>
      <c r="B47" s="6">
        <f>IFERROR(__xludf.DUMMYFUNCTION("""COMPUTED_VALUE"""),333.4)</f>
        <v>333.4</v>
      </c>
      <c r="C47" s="6">
        <f>IFERROR(__xludf.DUMMYFUNCTION("""COMPUTED_VALUE"""),359.05)</f>
        <v>359.05</v>
      </c>
      <c r="D47" s="6">
        <f>IFERROR(__xludf.DUMMYFUNCTION("""COMPUTED_VALUE"""),331.05)</f>
        <v>331.05</v>
      </c>
      <c r="E47" s="6">
        <f>IFERROR(__xludf.DUMMYFUNCTION("""COMPUTED_VALUE"""),347.1)</f>
        <v>347.1</v>
      </c>
      <c r="F47" s="6">
        <f>IFERROR(__xludf.DUMMYFUNCTION("""COMPUTED_VALUE"""),1.15325192E8)</f>
        <v>115325192</v>
      </c>
    </row>
    <row r="48">
      <c r="A48" s="7">
        <f>IFERROR(__xludf.DUMMYFUNCTION("""COMPUTED_VALUE"""),45513.64583333333)</f>
        <v>45513.64583</v>
      </c>
      <c r="B48" s="6">
        <f>IFERROR(__xludf.DUMMYFUNCTION("""COMPUTED_VALUE"""),342.0)</f>
        <v>342</v>
      </c>
      <c r="C48" s="6">
        <f>IFERROR(__xludf.DUMMYFUNCTION("""COMPUTED_VALUE"""),349.65)</f>
        <v>349.65</v>
      </c>
      <c r="D48" s="6">
        <f>IFERROR(__xludf.DUMMYFUNCTION("""COMPUTED_VALUE"""),329.8)</f>
        <v>329.8</v>
      </c>
      <c r="E48" s="6">
        <f>IFERROR(__xludf.DUMMYFUNCTION("""COMPUTED_VALUE"""),333.4)</f>
        <v>333.4</v>
      </c>
      <c r="F48" s="6">
        <f>IFERROR(__xludf.DUMMYFUNCTION("""COMPUTED_VALUE"""),7.8551198E7)</f>
        <v>78551198</v>
      </c>
    </row>
    <row r="49">
      <c r="A49" s="7">
        <f>IFERROR(__xludf.DUMMYFUNCTION("""COMPUTED_VALUE"""),45520.64583333333)</f>
        <v>45520.64583</v>
      </c>
      <c r="B49" s="6">
        <f>IFERROR(__xludf.DUMMYFUNCTION("""COMPUTED_VALUE"""),331.8)</f>
        <v>331.8</v>
      </c>
      <c r="C49" s="6">
        <f>IFERROR(__xludf.DUMMYFUNCTION("""COMPUTED_VALUE"""),336.8)</f>
        <v>336.8</v>
      </c>
      <c r="D49" s="6">
        <f>IFERROR(__xludf.DUMMYFUNCTION("""COMPUTED_VALUE"""),320.65)</f>
        <v>320.65</v>
      </c>
      <c r="E49" s="6">
        <f>IFERROR(__xludf.DUMMYFUNCTION("""COMPUTED_VALUE"""),332.5)</f>
        <v>332.5</v>
      </c>
      <c r="F49" s="6">
        <f>IFERROR(__xludf.DUMMYFUNCTION("""COMPUTED_VALUE"""),3.8683065E7)</f>
        <v>38683065</v>
      </c>
    </row>
    <row r="50">
      <c r="A50" s="7">
        <f>IFERROR(__xludf.DUMMYFUNCTION("""COMPUTED_VALUE"""),45527.64583333333)</f>
        <v>45527.64583</v>
      </c>
      <c r="B50" s="6">
        <f>IFERROR(__xludf.DUMMYFUNCTION("""COMPUTED_VALUE"""),337.8)</f>
        <v>337.8</v>
      </c>
      <c r="C50" s="6">
        <f>IFERROR(__xludf.DUMMYFUNCTION("""COMPUTED_VALUE"""),358.0)</f>
        <v>358</v>
      </c>
      <c r="D50" s="6">
        <f>IFERROR(__xludf.DUMMYFUNCTION("""COMPUTED_VALUE"""),336.35)</f>
        <v>336.35</v>
      </c>
      <c r="E50" s="6">
        <f>IFERROR(__xludf.DUMMYFUNCTION("""COMPUTED_VALUE"""),352.2)</f>
        <v>352.2</v>
      </c>
      <c r="F50" s="6">
        <f>IFERROR(__xludf.DUMMYFUNCTION("""COMPUTED_VALUE"""),8.1676646E7)</f>
        <v>81676646</v>
      </c>
    </row>
    <row r="51">
      <c r="A51" s="7">
        <f>IFERROR(__xludf.DUMMYFUNCTION("""COMPUTED_VALUE"""),45534.64583333333)</f>
        <v>45534.64583</v>
      </c>
      <c r="B51" s="6">
        <f>IFERROR(__xludf.DUMMYFUNCTION("""COMPUTED_VALUE"""),355.45)</f>
        <v>355.45</v>
      </c>
      <c r="C51" s="6">
        <f>IFERROR(__xludf.DUMMYFUNCTION("""COMPUTED_VALUE"""),365.5)</f>
        <v>365.5</v>
      </c>
      <c r="D51" s="6">
        <f>IFERROR(__xludf.DUMMYFUNCTION("""COMPUTED_VALUE"""),343.5)</f>
        <v>343.5</v>
      </c>
      <c r="E51" s="6">
        <f>IFERROR(__xludf.DUMMYFUNCTION("""COMPUTED_VALUE"""),357.65)</f>
        <v>357.65</v>
      </c>
      <c r="F51" s="6">
        <f>IFERROR(__xludf.DUMMYFUNCTION("""COMPUTED_VALUE"""),5.7018464E7)</f>
        <v>57018464</v>
      </c>
    </row>
    <row r="52">
      <c r="A52" s="7">
        <f>IFERROR(__xludf.DUMMYFUNCTION("""COMPUTED_VALUE"""),45541.64583333333)</f>
        <v>45541.64583</v>
      </c>
      <c r="B52" s="6">
        <f>IFERROR(__xludf.DUMMYFUNCTION("""COMPUTED_VALUE"""),361.0)</f>
        <v>361</v>
      </c>
      <c r="C52" s="6">
        <f>IFERROR(__xludf.DUMMYFUNCTION("""COMPUTED_VALUE"""),367.2)</f>
        <v>367.2</v>
      </c>
      <c r="D52" s="6">
        <f>IFERROR(__xludf.DUMMYFUNCTION("""COMPUTED_VALUE"""),351.05)</f>
        <v>351.05</v>
      </c>
      <c r="E52" s="6">
        <f>IFERROR(__xludf.DUMMYFUNCTION("""COMPUTED_VALUE"""),352.15)</f>
        <v>352.15</v>
      </c>
      <c r="F52" s="6">
        <f>IFERROR(__xludf.DUMMYFUNCTION("""COMPUTED_VALUE"""),7.8022614E7)</f>
        <v>78022614</v>
      </c>
    </row>
    <row r="53">
      <c r="A53" s="7">
        <f>IFERROR(__xludf.DUMMYFUNCTION("""COMPUTED_VALUE"""),45548.64583333333)</f>
        <v>45548.64583</v>
      </c>
      <c r="B53" s="6">
        <f>IFERROR(__xludf.DUMMYFUNCTION("""COMPUTED_VALUE"""),352.1)</f>
        <v>352.1</v>
      </c>
      <c r="C53" s="6">
        <f>IFERROR(__xludf.DUMMYFUNCTION("""COMPUTED_VALUE"""),353.55)</f>
        <v>353.55</v>
      </c>
      <c r="D53" s="6">
        <f>IFERROR(__xludf.DUMMYFUNCTION("""COMPUTED_VALUE"""),338.55)</f>
        <v>338.55</v>
      </c>
      <c r="E53" s="6">
        <f>IFERROR(__xludf.DUMMYFUNCTION("""COMPUTED_VALUE"""),342.3)</f>
        <v>342.3</v>
      </c>
      <c r="F53" s="6">
        <f>IFERROR(__xludf.DUMMYFUNCTION("""COMPUTED_VALUE"""),5.6509071E7)</f>
        <v>56509071</v>
      </c>
    </row>
    <row r="54">
      <c r="A54" s="7">
        <f>IFERROR(__xludf.DUMMYFUNCTION("""COMPUTED_VALUE"""),45555.64583333333)</f>
        <v>45555.64583</v>
      </c>
      <c r="B54" s="6">
        <f>IFERROR(__xludf.DUMMYFUNCTION("""COMPUTED_VALUE"""),344.9)</f>
        <v>344.9</v>
      </c>
      <c r="C54" s="6">
        <f>IFERROR(__xludf.DUMMYFUNCTION("""COMPUTED_VALUE"""),344.9)</f>
        <v>344.9</v>
      </c>
      <c r="D54" s="6">
        <f>IFERROR(__xludf.DUMMYFUNCTION("""COMPUTED_VALUE"""),322.95)</f>
        <v>322.95</v>
      </c>
      <c r="E54" s="6">
        <f>IFERROR(__xludf.DUMMYFUNCTION("""COMPUTED_VALUE"""),331.2)</f>
        <v>331.2</v>
      </c>
      <c r="F54" s="6">
        <f>IFERROR(__xludf.DUMMYFUNCTION("""COMPUTED_VALUE"""),4.3391815E7)</f>
        <v>43391815</v>
      </c>
    </row>
    <row r="55">
      <c r="A55" s="7">
        <f>IFERROR(__xludf.DUMMYFUNCTION("""COMPUTED_VALUE"""),45562.64583333333)</f>
        <v>45562.64583</v>
      </c>
      <c r="B55" s="6">
        <f>IFERROR(__xludf.DUMMYFUNCTION("""COMPUTED_VALUE"""),333.0)</f>
        <v>333</v>
      </c>
      <c r="C55" s="6">
        <f>IFERROR(__xludf.DUMMYFUNCTION("""COMPUTED_VALUE"""),370.5)</f>
        <v>370.5</v>
      </c>
      <c r="D55" s="6">
        <f>IFERROR(__xludf.DUMMYFUNCTION("""COMPUTED_VALUE"""),331.3)</f>
        <v>331.3</v>
      </c>
      <c r="E55" s="6">
        <f>IFERROR(__xludf.DUMMYFUNCTION("""COMPUTED_VALUE"""),367.3)</f>
        <v>367.3</v>
      </c>
      <c r="F55" s="6">
        <f>IFERROR(__xludf.DUMMYFUNCTION("""COMPUTED_VALUE"""),6.9540176E7)</f>
        <v>69540176</v>
      </c>
    </row>
    <row r="56">
      <c r="A56" s="7">
        <f>IFERROR(__xludf.DUMMYFUNCTION("""COMPUTED_VALUE"""),45569.64583333333)</f>
        <v>45569.64583</v>
      </c>
      <c r="B56" s="6">
        <f>IFERROR(__xludf.DUMMYFUNCTION("""COMPUTED_VALUE"""),367.15)</f>
        <v>367.15</v>
      </c>
      <c r="C56" s="6">
        <f>IFERROR(__xludf.DUMMYFUNCTION("""COMPUTED_VALUE"""),376.0)</f>
        <v>376</v>
      </c>
      <c r="D56" s="6">
        <f>IFERROR(__xludf.DUMMYFUNCTION("""COMPUTED_VALUE"""),334.35)</f>
        <v>334.35</v>
      </c>
      <c r="E56" s="6">
        <f>IFERROR(__xludf.DUMMYFUNCTION("""COMPUTED_VALUE"""),340.25)</f>
        <v>340.25</v>
      </c>
      <c r="F56" s="6">
        <f>IFERROR(__xludf.DUMMYFUNCTION("""COMPUTED_VALUE"""),7.2241572E7)</f>
        <v>72241572</v>
      </c>
    </row>
    <row r="57">
      <c r="A57" s="7">
        <f>IFERROR(__xludf.DUMMYFUNCTION("""COMPUTED_VALUE"""),45576.64583333333)</f>
        <v>45576.64583</v>
      </c>
      <c r="B57" s="6">
        <f>IFERROR(__xludf.DUMMYFUNCTION("""COMPUTED_VALUE"""),342.0)</f>
        <v>342</v>
      </c>
      <c r="C57" s="6">
        <f>IFERROR(__xludf.DUMMYFUNCTION("""COMPUTED_VALUE"""),350.0)</f>
        <v>350</v>
      </c>
      <c r="D57" s="6">
        <f>IFERROR(__xludf.DUMMYFUNCTION("""COMPUTED_VALUE"""),328.25)</f>
        <v>328.25</v>
      </c>
      <c r="E57" s="6">
        <f>IFERROR(__xludf.DUMMYFUNCTION("""COMPUTED_VALUE"""),337.65)</f>
        <v>337.65</v>
      </c>
      <c r="F57" s="6">
        <f>IFERROR(__xludf.DUMMYFUNCTION("""COMPUTED_VALUE"""),4.0689958E7)</f>
        <v>40689958</v>
      </c>
    </row>
    <row r="58">
      <c r="A58" s="7">
        <f>IFERROR(__xludf.DUMMYFUNCTION("""COMPUTED_VALUE"""),45583.64583333333)</f>
        <v>45583.64583</v>
      </c>
      <c r="B58" s="6">
        <f>IFERROR(__xludf.DUMMYFUNCTION("""COMPUTED_VALUE"""),340.0)</f>
        <v>340</v>
      </c>
      <c r="C58" s="6">
        <f>IFERROR(__xludf.DUMMYFUNCTION("""COMPUTED_VALUE"""),355.9)</f>
        <v>355.9</v>
      </c>
      <c r="D58" s="6">
        <f>IFERROR(__xludf.DUMMYFUNCTION("""COMPUTED_VALUE"""),334.3)</f>
        <v>334.3</v>
      </c>
      <c r="E58" s="6">
        <f>IFERROR(__xludf.DUMMYFUNCTION("""COMPUTED_VALUE"""),342.5)</f>
        <v>342.5</v>
      </c>
      <c r="F58" s="6">
        <f>IFERROR(__xludf.DUMMYFUNCTION("""COMPUTED_VALUE"""),6.0576583E7)</f>
        <v>60576583</v>
      </c>
    </row>
    <row r="59">
      <c r="A59" s="7">
        <f>IFERROR(__xludf.DUMMYFUNCTION("""COMPUTED_VALUE"""),45590.64583333333)</f>
        <v>45590.64583</v>
      </c>
      <c r="B59" s="6">
        <f>IFERROR(__xludf.DUMMYFUNCTION("""COMPUTED_VALUE"""),342.55)</f>
        <v>342.55</v>
      </c>
      <c r="C59" s="6">
        <f>IFERROR(__xludf.DUMMYFUNCTION("""COMPUTED_VALUE"""),345.5)</f>
        <v>345.5</v>
      </c>
      <c r="D59" s="6">
        <f>IFERROR(__xludf.DUMMYFUNCTION("""COMPUTED_VALUE"""),303.1)</f>
        <v>303.1</v>
      </c>
      <c r="E59" s="6">
        <f>IFERROR(__xludf.DUMMYFUNCTION("""COMPUTED_VALUE"""),306.3)</f>
        <v>306.3</v>
      </c>
      <c r="F59" s="6">
        <f>IFERROR(__xludf.DUMMYFUNCTION("""COMPUTED_VALUE"""),3.8911903E7)</f>
        <v>38911903</v>
      </c>
    </row>
    <row r="60">
      <c r="A60" s="7">
        <f>IFERROR(__xludf.DUMMYFUNCTION("""COMPUTED_VALUE"""),45604.64583333333)</f>
        <v>45604.64583</v>
      </c>
      <c r="B60" s="6">
        <f>IFERROR(__xludf.DUMMYFUNCTION("""COMPUTED_VALUE"""),313.0)</f>
        <v>313</v>
      </c>
      <c r="C60" s="6">
        <f>IFERROR(__xludf.DUMMYFUNCTION("""COMPUTED_VALUE"""),319.0)</f>
        <v>319</v>
      </c>
      <c r="D60" s="6">
        <f>IFERROR(__xludf.DUMMYFUNCTION("""COMPUTED_VALUE"""),298.1)</f>
        <v>298.1</v>
      </c>
      <c r="E60" s="6">
        <f>IFERROR(__xludf.DUMMYFUNCTION("""COMPUTED_VALUE"""),310.45)</f>
        <v>310.45</v>
      </c>
      <c r="F60" s="6">
        <f>IFERROR(__xludf.DUMMYFUNCTION("""COMPUTED_VALUE"""),5.1085189E7)</f>
        <v>51085189</v>
      </c>
    </row>
    <row r="61">
      <c r="A61" s="7">
        <f>IFERROR(__xludf.DUMMYFUNCTION("""COMPUTED_VALUE"""),45610.64583333333)</f>
        <v>45610.64583</v>
      </c>
      <c r="B61" s="6">
        <f>IFERROR(__xludf.DUMMYFUNCTION("""COMPUTED_VALUE"""),308.0)</f>
        <v>308</v>
      </c>
      <c r="C61" s="6">
        <f>IFERROR(__xludf.DUMMYFUNCTION("""COMPUTED_VALUE"""),318.55)</f>
        <v>318.55</v>
      </c>
      <c r="D61" s="6">
        <f>IFERROR(__xludf.DUMMYFUNCTION("""COMPUTED_VALUE"""),296.4)</f>
        <v>296.4</v>
      </c>
      <c r="E61" s="6">
        <f>IFERROR(__xludf.DUMMYFUNCTION("""COMPUTED_VALUE"""),298.2)</f>
        <v>298.2</v>
      </c>
      <c r="F61" s="6">
        <f>IFERROR(__xludf.DUMMYFUNCTION("""COMPUTED_VALUE"""),3.0837997E7)</f>
        <v>30837997</v>
      </c>
    </row>
    <row r="62">
      <c r="A62" s="7">
        <f>IFERROR(__xludf.DUMMYFUNCTION("""COMPUTED_VALUE"""),45618.64583333333)</f>
        <v>45618.64583</v>
      </c>
      <c r="B62" s="6">
        <f>IFERROR(__xludf.DUMMYFUNCTION("""COMPUTED_VALUE"""),298.15)</f>
        <v>298.15</v>
      </c>
      <c r="C62" s="6">
        <f>IFERROR(__xludf.DUMMYFUNCTION("""COMPUTED_VALUE"""),299.65)</f>
        <v>299.65</v>
      </c>
      <c r="D62" s="6">
        <f>IFERROR(__xludf.DUMMYFUNCTION("""COMPUTED_VALUE"""),279.35)</f>
        <v>279.35</v>
      </c>
      <c r="E62" s="6">
        <f>IFERROR(__xludf.DUMMYFUNCTION("""COMPUTED_VALUE"""),285.85)</f>
        <v>285.85</v>
      </c>
      <c r="F62" s="6">
        <f>IFERROR(__xludf.DUMMYFUNCTION("""COMPUTED_VALUE"""),3.2666307E7)</f>
        <v>32666307</v>
      </c>
    </row>
    <row r="63">
      <c r="A63" s="7">
        <f>IFERROR(__xludf.DUMMYFUNCTION("""COMPUTED_VALUE"""),45625.64583333333)</f>
        <v>45625.64583</v>
      </c>
      <c r="B63" s="6">
        <f>IFERROR(__xludf.DUMMYFUNCTION("""COMPUTED_VALUE"""),292.05)</f>
        <v>292.05</v>
      </c>
      <c r="C63" s="6">
        <f>IFERROR(__xludf.DUMMYFUNCTION("""COMPUTED_VALUE"""),304.4)</f>
        <v>304.4</v>
      </c>
      <c r="D63" s="6">
        <f>IFERROR(__xludf.DUMMYFUNCTION("""COMPUTED_VALUE"""),289.4)</f>
        <v>289.4</v>
      </c>
      <c r="E63" s="6">
        <f>IFERROR(__xludf.DUMMYFUNCTION("""COMPUTED_VALUE"""),292.1)</f>
        <v>292.1</v>
      </c>
      <c r="F63" s="6">
        <f>IFERROR(__xludf.DUMMYFUNCTION("""COMPUTED_VALUE"""),4.9314837E7)</f>
        <v>49314837</v>
      </c>
    </row>
    <row r="64">
      <c r="A64" s="7">
        <f>IFERROR(__xludf.DUMMYFUNCTION("""COMPUTED_VALUE"""),45632.64583333333)</f>
        <v>45632.64583</v>
      </c>
      <c r="B64" s="6">
        <f>IFERROR(__xludf.DUMMYFUNCTION("""COMPUTED_VALUE"""),292.65)</f>
        <v>292.65</v>
      </c>
      <c r="C64" s="6">
        <f>IFERROR(__xludf.DUMMYFUNCTION("""COMPUTED_VALUE"""),303.9)</f>
        <v>303.9</v>
      </c>
      <c r="D64" s="6">
        <f>IFERROR(__xludf.DUMMYFUNCTION("""COMPUTED_VALUE"""),290.5)</f>
        <v>290.5</v>
      </c>
      <c r="E64" s="6">
        <f>IFERROR(__xludf.DUMMYFUNCTION("""COMPUTED_VALUE"""),300.35)</f>
        <v>300.35</v>
      </c>
      <c r="F64" s="6">
        <f>IFERROR(__xludf.DUMMYFUNCTION("""COMPUTED_VALUE"""),4.3106139E7)</f>
        <v>43106139</v>
      </c>
    </row>
    <row r="65">
      <c r="A65" s="7">
        <f>IFERROR(__xludf.DUMMYFUNCTION("""COMPUTED_VALUE"""),45639.64583333333)</f>
        <v>45639.64583</v>
      </c>
      <c r="B65" s="6">
        <f>IFERROR(__xludf.DUMMYFUNCTION("""COMPUTED_VALUE"""),300.95)</f>
        <v>300.95</v>
      </c>
      <c r="C65" s="6">
        <f>IFERROR(__xludf.DUMMYFUNCTION("""COMPUTED_VALUE"""),308.95)</f>
        <v>308.95</v>
      </c>
      <c r="D65" s="6">
        <f>IFERROR(__xludf.DUMMYFUNCTION("""COMPUTED_VALUE"""),296.0)</f>
        <v>296</v>
      </c>
      <c r="E65" s="6">
        <f>IFERROR(__xludf.DUMMYFUNCTION("""COMPUTED_VALUE"""),301.7)</f>
        <v>301.7</v>
      </c>
      <c r="F65" s="6">
        <f>IFERROR(__xludf.DUMMYFUNCTION("""COMPUTED_VALUE"""),4.6336022E7)</f>
        <v>46336022</v>
      </c>
    </row>
    <row r="66">
      <c r="A66" s="7">
        <f>IFERROR(__xludf.DUMMYFUNCTION("""COMPUTED_VALUE"""),45646.64583333333)</f>
        <v>45646.64583</v>
      </c>
      <c r="B66" s="6">
        <f>IFERROR(__xludf.DUMMYFUNCTION("""COMPUTED_VALUE"""),300.95)</f>
        <v>300.95</v>
      </c>
      <c r="C66" s="6">
        <f>IFERROR(__xludf.DUMMYFUNCTION("""COMPUTED_VALUE"""),301.7)</f>
        <v>301.7</v>
      </c>
      <c r="D66" s="6">
        <f>IFERROR(__xludf.DUMMYFUNCTION("""COMPUTED_VALUE"""),282.05)</f>
        <v>282.05</v>
      </c>
      <c r="E66" s="6">
        <f>IFERROR(__xludf.DUMMYFUNCTION("""COMPUTED_VALUE"""),289.05)</f>
        <v>289.05</v>
      </c>
      <c r="F66" s="6">
        <f>IFERROR(__xludf.DUMMYFUNCTION("""COMPUTED_VALUE"""),4.5449313E7)</f>
        <v>45449313</v>
      </c>
    </row>
    <row r="67">
      <c r="A67" s="7">
        <f>IFERROR(__xludf.DUMMYFUNCTION("""COMPUTED_VALUE"""),45653.64583333333)</f>
        <v>45653.64583</v>
      </c>
      <c r="B67" s="6">
        <f>IFERROR(__xludf.DUMMYFUNCTION("""COMPUTED_VALUE"""),292.0)</f>
        <v>292</v>
      </c>
      <c r="C67" s="6">
        <f>IFERROR(__xludf.DUMMYFUNCTION("""COMPUTED_VALUE"""),299.3)</f>
        <v>299.3</v>
      </c>
      <c r="D67" s="6">
        <f>IFERROR(__xludf.DUMMYFUNCTION("""COMPUTED_VALUE"""),287.35)</f>
        <v>287.35</v>
      </c>
      <c r="E67" s="6">
        <f>IFERROR(__xludf.DUMMYFUNCTION("""COMPUTED_VALUE"""),293.55)</f>
        <v>293.55</v>
      </c>
      <c r="F67" s="6">
        <f>IFERROR(__xludf.DUMMYFUNCTION("""COMPUTED_VALUE"""),2.9776313E7)</f>
        <v>29776313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IFERROR(__xludf.DUMMYFUNCTION("""COMPUTED_VALUE"""),293.55)</f>
        <v>293.55</v>
      </c>
      <c r="C68" s="6">
        <f>IFERROR(__xludf.DUMMYFUNCTION("""COMPUTED_VALUE"""),299.15)</f>
        <v>299.15</v>
      </c>
      <c r="D68" s="6">
        <f>IFERROR(__xludf.DUMMYFUNCTION("""COMPUTED_VALUE"""),289.75)</f>
        <v>289.75</v>
      </c>
      <c r="E68" s="6">
        <f>IFERROR(__xludf.DUMMYFUNCTION("""COMPUTED_VALUE"""),296.4)</f>
        <v>296.4</v>
      </c>
      <c r="F68" s="6">
        <f>IFERROR(__xludf.DUMMYFUNCTION("""COMPUTED_VALUE"""),2.7596501E7)</f>
        <v>27596501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IFERROR(__xludf.DUMMYFUNCTION("""COMPUTED_VALUE"""),296.4)</f>
        <v>296.4</v>
      </c>
      <c r="C69" s="6">
        <f>IFERROR(__xludf.DUMMYFUNCTION("""COMPUTED_VALUE"""),297.25)</f>
        <v>297.25</v>
      </c>
      <c r="D69" s="6">
        <f>IFERROR(__xludf.DUMMYFUNCTION("""COMPUTED_VALUE"""),275.6)</f>
        <v>275.6</v>
      </c>
      <c r="E69" s="6">
        <f>IFERROR(__xludf.DUMMYFUNCTION("""COMPUTED_VALUE"""),277.65)</f>
        <v>277.65</v>
      </c>
      <c r="F69" s="6">
        <f>IFERROR(__xludf.DUMMYFUNCTION("""COMPUTED_VALUE"""),3.6994304E7)</f>
        <v>36994304</v>
      </c>
    </row>
    <row r="70">
      <c r="A70" s="7">
        <f>IFERROR(__xludf.DUMMYFUNCTION("""COMPUTED_VALUE"""),45674.64583333333)</f>
        <v>45674.64583</v>
      </c>
      <c r="B70" s="6">
        <f>IFERROR(__xludf.DUMMYFUNCTION("""COMPUTED_VALUE"""),271.25)</f>
        <v>271.25</v>
      </c>
      <c r="C70" s="6">
        <f>IFERROR(__xludf.DUMMYFUNCTION("""COMPUTED_VALUE"""),275.9)</f>
        <v>275.9</v>
      </c>
      <c r="D70" s="6">
        <f>IFERROR(__xludf.DUMMYFUNCTION("""COMPUTED_VALUE"""),263.5)</f>
        <v>263.5</v>
      </c>
      <c r="E70" s="6">
        <f>IFERROR(__xludf.DUMMYFUNCTION("""COMPUTED_VALUE"""),273.6)</f>
        <v>273.6</v>
      </c>
      <c r="F70" s="6">
        <f>IFERROR(__xludf.DUMMYFUNCTION("""COMPUTED_VALUE"""),5.370213E7)</f>
        <v>53702130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IFERROR(__xludf.DUMMYFUNCTION("""COMPUTED_VALUE"""),275.0)</f>
        <v>275</v>
      </c>
      <c r="C71" s="6">
        <f>IFERROR(__xludf.DUMMYFUNCTION("""COMPUTED_VALUE"""),287.0)</f>
        <v>287</v>
      </c>
      <c r="D71" s="6">
        <f>IFERROR(__xludf.DUMMYFUNCTION("""COMPUTED_VALUE"""),263.0)</f>
        <v>263</v>
      </c>
      <c r="E71" s="6">
        <f>IFERROR(__xludf.DUMMYFUNCTION("""COMPUTED_VALUE"""),263.8)</f>
        <v>263.8</v>
      </c>
      <c r="F71" s="6">
        <f>IFERROR(__xludf.DUMMYFUNCTION("""COMPUTED_VALUE"""),6.8516251E7)</f>
        <v>68516251</v>
      </c>
    </row>
    <row r="72">
      <c r="A72" s="7">
        <f>IFERROR(__xludf.DUMMYFUNCTION("""COMPUTED_VALUE"""),45695.64583333333)</f>
        <v>45695.64583</v>
      </c>
      <c r="B72" s="6">
        <f>IFERROR(__xludf.DUMMYFUNCTION("""COMPUTED_VALUE"""),250.95)</f>
        <v>250.95</v>
      </c>
      <c r="C72" s="6">
        <f>IFERROR(__xludf.DUMMYFUNCTION("""COMPUTED_VALUE"""),267.2)</f>
        <v>267.2</v>
      </c>
      <c r="D72" s="6">
        <f>IFERROR(__xludf.DUMMYFUNCTION("""COMPUTED_VALUE"""),242.2)</f>
        <v>242.2</v>
      </c>
      <c r="E72" s="6">
        <f>IFERROR(__xludf.DUMMYFUNCTION("""COMPUTED_VALUE"""),264.3)</f>
        <v>264.3</v>
      </c>
      <c r="F72" s="6">
        <f>IFERROR(__xludf.DUMMYFUNCTION("""COMPUTED_VALUE"""),5.922216E7)</f>
        <v>59222160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IFERROR(__xludf.DUMMYFUNCTION("""COMPUTED_VALUE"""),264.55)</f>
        <v>264.55</v>
      </c>
      <c r="C73" s="6">
        <f>IFERROR(__xludf.DUMMYFUNCTION("""COMPUTED_VALUE"""),265.8)</f>
        <v>265.8</v>
      </c>
      <c r="D73" s="6">
        <f>IFERROR(__xludf.DUMMYFUNCTION("""COMPUTED_VALUE"""),247.45)</f>
        <v>247.45</v>
      </c>
      <c r="E73" s="6">
        <f>IFERROR(__xludf.DUMMYFUNCTION("""COMPUTED_VALUE"""),251.0)</f>
        <v>251</v>
      </c>
      <c r="F73" s="6">
        <f>IFERROR(__xludf.DUMMYFUNCTION("""COMPUTED_VALUE"""),3.2160593E7)</f>
        <v>32160593</v>
      </c>
    </row>
    <row r="74">
      <c r="A74" s="7">
        <f>IFERROR(__xludf.DUMMYFUNCTION("""COMPUTED_VALUE"""),45709.64583333333)</f>
        <v>45709.64583</v>
      </c>
      <c r="B74" s="6">
        <f>IFERROR(__xludf.DUMMYFUNCTION("""COMPUTED_VALUE"""),251.0)</f>
        <v>251</v>
      </c>
      <c r="C74" s="6">
        <f>IFERROR(__xludf.DUMMYFUNCTION("""COMPUTED_VALUE"""),259.65)</f>
        <v>259.65</v>
      </c>
      <c r="D74" s="6">
        <f>IFERROR(__xludf.DUMMYFUNCTION("""COMPUTED_VALUE"""),246.35)</f>
        <v>246.35</v>
      </c>
      <c r="E74" s="6">
        <f>IFERROR(__xludf.DUMMYFUNCTION("""COMPUTED_VALUE"""),251.3)</f>
        <v>251.3</v>
      </c>
      <c r="F74" s="6">
        <f>IFERROR(__xludf.DUMMYFUNCTION("""COMPUTED_VALUE"""),3.632224E7)</f>
        <v>36322240</v>
      </c>
    </row>
    <row r="75">
      <c r="A75" s="7">
        <f>IFERROR(__xludf.DUMMYFUNCTION("""COMPUTED_VALUE"""),45716.64583333333)</f>
        <v>45716.64583</v>
      </c>
      <c r="B75" s="6">
        <f>IFERROR(__xludf.DUMMYFUNCTION("""COMPUTED_VALUE"""),251.25)</f>
        <v>251.25</v>
      </c>
      <c r="C75" s="6">
        <f>IFERROR(__xludf.DUMMYFUNCTION("""COMPUTED_VALUE"""),253.5)</f>
        <v>253.5</v>
      </c>
      <c r="D75" s="6">
        <f>IFERROR(__xludf.DUMMYFUNCTION("""COMPUTED_VALUE"""),236.15)</f>
        <v>236.15</v>
      </c>
      <c r="E75" s="6">
        <f>IFERROR(__xludf.DUMMYFUNCTION("""COMPUTED_VALUE"""),237.3)</f>
        <v>237.3</v>
      </c>
      <c r="F75" s="6">
        <f>IFERROR(__xludf.DUMMYFUNCTION("""COMPUTED_VALUE"""),3.2389913E7)</f>
        <v>32389913</v>
      </c>
    </row>
    <row r="76">
      <c r="A76" s="7">
        <f>IFERROR(__xludf.DUMMYFUNCTION("""COMPUTED_VALUE"""),45723.64583333333)</f>
        <v>45723.64583</v>
      </c>
      <c r="B76" s="6">
        <f>IFERROR(__xludf.DUMMYFUNCTION("""COMPUTED_VALUE"""),239.0)</f>
        <v>239</v>
      </c>
      <c r="C76" s="6">
        <f>IFERROR(__xludf.DUMMYFUNCTION("""COMPUTED_VALUE"""),265.95)</f>
        <v>265.95</v>
      </c>
      <c r="D76" s="6">
        <f>IFERROR(__xludf.DUMMYFUNCTION("""COMPUTED_VALUE"""),234.01)</f>
        <v>234.01</v>
      </c>
      <c r="E76" s="6">
        <f>IFERROR(__xludf.DUMMYFUNCTION("""COMPUTED_VALUE"""),261.26)</f>
        <v>261.26</v>
      </c>
      <c r="F76" s="6">
        <f>IFERROR(__xludf.DUMMYFUNCTION("""COMPUTED_VALUE"""),4.1753814E7)</f>
        <v>41753814</v>
      </c>
    </row>
    <row r="77">
      <c r="A77" s="7">
        <f>IFERROR(__xludf.DUMMYFUNCTION("""COMPUTED_VALUE"""),45729.64583333333)</f>
        <v>45729.64583</v>
      </c>
      <c r="B77" s="6">
        <f>IFERROR(__xludf.DUMMYFUNCTION("""COMPUTED_VALUE"""),261.26)</f>
        <v>261.26</v>
      </c>
      <c r="C77" s="6">
        <f>IFERROR(__xludf.DUMMYFUNCTION("""COMPUTED_VALUE"""),272.0)</f>
        <v>272</v>
      </c>
      <c r="D77" s="6">
        <f>IFERROR(__xludf.DUMMYFUNCTION("""COMPUTED_VALUE"""),254.35)</f>
        <v>254.35</v>
      </c>
      <c r="E77" s="6">
        <f>IFERROR(__xludf.DUMMYFUNCTION("""COMPUTED_VALUE"""),264.41)</f>
        <v>264.41</v>
      </c>
      <c r="F77" s="6">
        <f>IFERROR(__xludf.DUMMYFUNCTION("""COMPUTED_VALUE"""),3.5987613E7)</f>
        <v>35987613</v>
      </c>
    </row>
    <row r="78">
      <c r="A78" s="7">
        <f>IFERROR(__xludf.DUMMYFUNCTION("""COMPUTED_VALUE"""),45737.64583333333)</f>
        <v>45737.64583</v>
      </c>
      <c r="B78" s="6">
        <f>IFERROR(__xludf.DUMMYFUNCTION("""COMPUTED_VALUE"""),261.11)</f>
        <v>261.11</v>
      </c>
      <c r="C78" s="6">
        <f>IFERROR(__xludf.DUMMYFUNCTION("""COMPUTED_VALUE"""),285.85)</f>
        <v>285.85</v>
      </c>
      <c r="D78" s="6">
        <f>IFERROR(__xludf.DUMMYFUNCTION("""COMPUTED_VALUE"""),258.31)</f>
        <v>258.31</v>
      </c>
      <c r="E78" s="6">
        <f>IFERROR(__xludf.DUMMYFUNCTION("""COMPUTED_VALUE"""),279.66)</f>
        <v>279.66</v>
      </c>
      <c r="F78" s="6">
        <f>IFERROR(__xludf.DUMMYFUNCTION("""COMPUTED_VALUE"""),5.3949529E7)</f>
        <v>53949529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IFERROR(__xludf.DUMMYFUNCTION("""COMPUTED_VALUE"""),282.0)</f>
        <v>282</v>
      </c>
      <c r="C79" s="6">
        <f>IFERROR(__xludf.DUMMYFUNCTION("""COMPUTED_VALUE"""),285.3)</f>
        <v>285.3</v>
      </c>
      <c r="D79" s="6">
        <f>IFERROR(__xludf.DUMMYFUNCTION("""COMPUTED_VALUE"""),272.13)</f>
        <v>272.13</v>
      </c>
      <c r="E79" s="6">
        <f>IFERROR(__xludf.DUMMYFUNCTION("""COMPUTED_VALUE"""),278.47)</f>
        <v>278.47</v>
      </c>
      <c r="F79" s="6">
        <f>IFERROR(__xludf.DUMMYFUNCTION("""COMPUTED_VALUE"""),1.5320837E8)</f>
        <v>153208370</v>
      </c>
    </row>
    <row r="80">
      <c r="A80" s="7">
        <f>IFERROR(__xludf.DUMMYFUNCTION("""COMPUTED_VALUE"""),45751.64583333333)</f>
        <v>45751.64583</v>
      </c>
      <c r="B80" s="6">
        <f>IFERROR(__xludf.DUMMYFUNCTION("""COMPUTED_VALUE"""),275.0)</f>
        <v>275</v>
      </c>
      <c r="C80" s="6">
        <f>IFERROR(__xludf.DUMMYFUNCTION("""COMPUTED_VALUE"""),295.7)</f>
        <v>295.7</v>
      </c>
      <c r="D80" s="6">
        <f>IFERROR(__xludf.DUMMYFUNCTION("""COMPUTED_VALUE"""),275.0)</f>
        <v>275</v>
      </c>
      <c r="E80" s="6">
        <f>IFERROR(__xludf.DUMMYFUNCTION("""COMPUTED_VALUE"""),279.45)</f>
        <v>279.45</v>
      </c>
      <c r="F80" s="6">
        <f>IFERROR(__xludf.DUMMYFUNCTION("""COMPUTED_VALUE"""),5.8354376E7)</f>
        <v>58354376</v>
      </c>
    </row>
    <row r="81">
      <c r="A81" s="7">
        <f>IFERROR(__xludf.DUMMYFUNCTION("""COMPUTED_VALUE"""),45758.64583333333)</f>
        <v>45758.64583</v>
      </c>
      <c r="B81" s="6">
        <f>IFERROR(__xludf.DUMMYFUNCTION("""COMPUTED_VALUE"""),262.0)</f>
        <v>262</v>
      </c>
      <c r="C81" s="6">
        <f>IFERROR(__xludf.DUMMYFUNCTION("""COMPUTED_VALUE"""),296.45)</f>
        <v>296.45</v>
      </c>
      <c r="D81" s="6">
        <f>IFERROR(__xludf.DUMMYFUNCTION("""COMPUTED_VALUE"""),262.0)</f>
        <v>262</v>
      </c>
      <c r="E81" s="6">
        <f>IFERROR(__xludf.DUMMYFUNCTION("""COMPUTED_VALUE"""),293.2)</f>
        <v>293.2</v>
      </c>
      <c r="F81" s="6">
        <f>IFERROR(__xludf.DUMMYFUNCTION("""COMPUTED_VALUE"""),6.3478624E7)</f>
        <v>63478624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IFERROR(__xludf.DUMMYFUNCTION("""COMPUTED_VALUE"""),296.8)</f>
        <v>296.8</v>
      </c>
      <c r="C82" s="6">
        <f>IFERROR(__xludf.DUMMYFUNCTION("""COMPUTED_VALUE"""),301.75)</f>
        <v>301.75</v>
      </c>
      <c r="D82" s="6">
        <f>IFERROR(__xludf.DUMMYFUNCTION("""COMPUTED_VALUE"""),291.1)</f>
        <v>291.1</v>
      </c>
      <c r="E82" s="6">
        <f>IFERROR(__xludf.DUMMYFUNCTION("""COMPUTED_VALUE"""),298.35)</f>
        <v>298.35</v>
      </c>
      <c r="F82" s="6">
        <f>IFERROR(__xludf.DUMMYFUNCTION("""COMPUTED_VALUE"""),2.5091942E7)</f>
        <v>25091942</v>
      </c>
    </row>
    <row r="83">
      <c r="A83" s="7">
        <f>IFERROR(__xludf.DUMMYFUNCTION("""COMPUTED_VALUE"""),45772.64583333333)</f>
        <v>45772.64583</v>
      </c>
      <c r="B83" s="6">
        <f>IFERROR(__xludf.DUMMYFUNCTION("""COMPUTED_VALUE"""),299.85)</f>
        <v>299.85</v>
      </c>
      <c r="C83" s="6">
        <f>IFERROR(__xludf.DUMMYFUNCTION("""COMPUTED_VALUE"""),308.5)</f>
        <v>308.5</v>
      </c>
      <c r="D83" s="6">
        <f>IFERROR(__xludf.DUMMYFUNCTION("""COMPUTED_VALUE"""),293.3)</f>
        <v>293.3</v>
      </c>
      <c r="E83" s="6">
        <f>IFERROR(__xludf.DUMMYFUNCTION("""COMPUTED_VALUE"""),295.7)</f>
        <v>295.7</v>
      </c>
      <c r="F83" s="6">
        <f>IFERROR(__xludf.DUMMYFUNCTION("""COMPUTED_VALUE"""),3.4499954E7)</f>
        <v>34499954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IFERROR(__xludf.DUMMYFUNCTION("""COMPUTED_VALUE"""),293.1)</f>
        <v>293.1</v>
      </c>
      <c r="C84" s="6">
        <f>IFERROR(__xludf.DUMMYFUNCTION("""COMPUTED_VALUE"""),322.45)</f>
        <v>322.45</v>
      </c>
      <c r="D84" s="6">
        <f>IFERROR(__xludf.DUMMYFUNCTION("""COMPUTED_VALUE"""),293.1)</f>
        <v>293.1</v>
      </c>
      <c r="E84" s="6">
        <f>IFERROR(__xludf.DUMMYFUNCTION("""COMPUTED_VALUE"""),311.15)</f>
        <v>311.15</v>
      </c>
      <c r="F84" s="6">
        <f>IFERROR(__xludf.DUMMYFUNCTION("""COMPUTED_VALUE"""),5.2212429E7)</f>
        <v>52212429</v>
      </c>
    </row>
    <row r="85">
      <c r="A85" s="7">
        <f>IFERROR(__xludf.DUMMYFUNCTION("""COMPUTED_VALUE"""),45786.64583333333)</f>
        <v>45786.64583</v>
      </c>
      <c r="B85" s="6">
        <f>IFERROR(__xludf.DUMMYFUNCTION("""COMPUTED_VALUE"""),317.0)</f>
        <v>317</v>
      </c>
      <c r="C85" s="6">
        <f>IFERROR(__xludf.DUMMYFUNCTION("""COMPUTED_VALUE"""),325.85)</f>
        <v>325.85</v>
      </c>
      <c r="D85" s="6">
        <f>IFERROR(__xludf.DUMMYFUNCTION("""COMPUTED_VALUE"""),301.35)</f>
        <v>301.35</v>
      </c>
      <c r="E85" s="6">
        <f>IFERROR(__xludf.DUMMYFUNCTION("""COMPUTED_VALUE"""),306.85)</f>
        <v>306.85</v>
      </c>
      <c r="F85" s="6">
        <f>IFERROR(__xludf.DUMMYFUNCTION("""COMPUTED_VALUE"""),4.0327541E7)</f>
        <v>40327541</v>
      </c>
    </row>
    <row r="86">
      <c r="A86" s="7">
        <f>IFERROR(__xludf.DUMMYFUNCTION("""COMPUTED_VALUE"""),45793.64583333333)</f>
        <v>45793.64583</v>
      </c>
      <c r="B86" s="6">
        <f>IFERROR(__xludf.DUMMYFUNCTION("""COMPUTED_VALUE"""),315.0)</f>
        <v>315</v>
      </c>
      <c r="C86" s="6">
        <f>IFERROR(__xludf.DUMMYFUNCTION("""COMPUTED_VALUE"""),321.0)</f>
        <v>321</v>
      </c>
      <c r="D86" s="6">
        <f>IFERROR(__xludf.DUMMYFUNCTION("""COMPUTED_VALUE"""),304.5)</f>
        <v>304.5</v>
      </c>
      <c r="E86" s="6">
        <f>IFERROR(__xludf.DUMMYFUNCTION("""COMPUTED_VALUE"""),320.1)</f>
        <v>320.1</v>
      </c>
      <c r="F86" s="6">
        <f>IFERROR(__xludf.DUMMYFUNCTION("""COMPUTED_VALUE"""),3.5735767E7)</f>
        <v>35735767</v>
      </c>
    </row>
    <row r="87">
      <c r="A87" s="7">
        <f>IFERROR(__xludf.DUMMYFUNCTION("""COMPUTED_VALUE"""),45800.64583333333)</f>
        <v>45800.64583</v>
      </c>
      <c r="B87" s="6">
        <f>IFERROR(__xludf.DUMMYFUNCTION("""COMPUTED_VALUE"""),318.55)</f>
        <v>318.55</v>
      </c>
      <c r="C87" s="6">
        <f>IFERROR(__xludf.DUMMYFUNCTION("""COMPUTED_VALUE"""),320.0)</f>
        <v>320</v>
      </c>
      <c r="D87" s="6">
        <f>IFERROR(__xludf.DUMMYFUNCTION("""COMPUTED_VALUE"""),308.7)</f>
        <v>308.7</v>
      </c>
      <c r="E87" s="6">
        <f>IFERROR(__xludf.DUMMYFUNCTION("""COMPUTED_VALUE"""),318.9)</f>
        <v>318.9</v>
      </c>
      <c r="F87" s="6">
        <f>IFERROR(__xludf.DUMMYFUNCTION("""COMPUTED_VALUE"""),2.2339056E7)</f>
        <v>22339056</v>
      </c>
    </row>
    <row r="88">
      <c r="A88" s="7">
        <f>IFERROR(__xludf.DUMMYFUNCTION("""COMPUTED_VALUE"""),45807.64583333333)</f>
        <v>45807.64583</v>
      </c>
      <c r="B88" s="6">
        <f>IFERROR(__xludf.DUMMYFUNCTION("""COMPUTED_VALUE"""),319.0)</f>
        <v>319</v>
      </c>
      <c r="C88" s="6">
        <f>IFERROR(__xludf.DUMMYFUNCTION("""COMPUTED_VALUE"""),323.95)</f>
        <v>323.95</v>
      </c>
      <c r="D88" s="6">
        <f>IFERROR(__xludf.DUMMYFUNCTION("""COMPUTED_VALUE"""),313.75)</f>
        <v>313.75</v>
      </c>
      <c r="E88" s="6">
        <f>IFERROR(__xludf.DUMMYFUNCTION("""COMPUTED_VALUE"""),318.4)</f>
        <v>318.4</v>
      </c>
      <c r="F88" s="6">
        <f>IFERROR(__xludf.DUMMYFUNCTION("""COMPUTED_VALUE"""),3.0029607E7)</f>
        <v>30029607</v>
      </c>
    </row>
    <row r="89">
      <c r="A89" s="7">
        <f>IFERROR(__xludf.DUMMYFUNCTION("""COMPUTED_VALUE"""),45814.64583333333)</f>
        <v>45814.64583</v>
      </c>
      <c r="B89" s="6">
        <f>IFERROR(__xludf.DUMMYFUNCTION("""COMPUTED_VALUE"""),318.4)</f>
        <v>318.4</v>
      </c>
      <c r="C89" s="6">
        <f>IFERROR(__xludf.DUMMYFUNCTION("""COMPUTED_VALUE"""),320.95)</f>
        <v>320.95</v>
      </c>
      <c r="D89" s="6">
        <f>IFERROR(__xludf.DUMMYFUNCTION("""COMPUTED_VALUE"""),308.25)</f>
        <v>308.25</v>
      </c>
      <c r="E89" s="6">
        <f>IFERROR(__xludf.DUMMYFUNCTION("""COMPUTED_VALUE"""),316.7)</f>
        <v>316.7</v>
      </c>
      <c r="F89" s="6">
        <f>IFERROR(__xludf.DUMMYFUNCTION("""COMPUTED_VALUE"""),2.8591374E7)</f>
        <v>28591374</v>
      </c>
    </row>
    <row r="90">
      <c r="A90" s="7">
        <f>IFERROR(__xludf.DUMMYFUNCTION("""COMPUTED_VALUE"""),45821.64583333333)</f>
        <v>45821.64583</v>
      </c>
      <c r="B90" s="6">
        <f>IFERROR(__xludf.DUMMYFUNCTION("""COMPUTED_VALUE"""),317.8)</f>
        <v>317.8</v>
      </c>
      <c r="C90" s="6">
        <f>IFERROR(__xludf.DUMMYFUNCTION("""COMPUTED_VALUE"""),334.5)</f>
        <v>334.5</v>
      </c>
      <c r="D90" s="6">
        <f>IFERROR(__xludf.DUMMYFUNCTION("""COMPUTED_VALUE"""),299.3)</f>
        <v>299.3</v>
      </c>
      <c r="E90" s="6">
        <f>IFERROR(__xludf.DUMMYFUNCTION("""COMPUTED_VALUE"""),312.3)</f>
        <v>312.3</v>
      </c>
      <c r="F90" s="6">
        <f>IFERROR(__xludf.DUMMYFUNCTION("""COMPUTED_VALUE"""),5.9543557E7)</f>
        <v>59543557</v>
      </c>
    </row>
    <row r="91">
      <c r="A91" s="7">
        <f>IFERROR(__xludf.DUMMYFUNCTION("""COMPUTED_VALUE"""),45828.64583333333)</f>
        <v>45828.64583</v>
      </c>
      <c r="B91" s="6">
        <f>IFERROR(__xludf.DUMMYFUNCTION("""COMPUTED_VALUE"""),309.95)</f>
        <v>309.95</v>
      </c>
      <c r="C91" s="6">
        <f>IFERROR(__xludf.DUMMYFUNCTION("""COMPUTED_VALUE"""),320.45)</f>
        <v>320.45</v>
      </c>
      <c r="D91" s="6">
        <f>IFERROR(__xludf.DUMMYFUNCTION("""COMPUTED_VALUE"""),308.5)</f>
        <v>308.5</v>
      </c>
      <c r="E91" s="6">
        <f>IFERROR(__xludf.DUMMYFUNCTION("""COMPUTED_VALUE"""),313.5)</f>
        <v>313.5</v>
      </c>
      <c r="F91" s="6">
        <f>IFERROR(__xludf.DUMMYFUNCTION("""COMPUTED_VALUE"""),3.8046779E7)</f>
        <v>38046779</v>
      </c>
    </row>
    <row r="92">
      <c r="A92" s="7">
        <f>IFERROR(__xludf.DUMMYFUNCTION("""COMPUTED_VALUE"""),45835.64583333333)</f>
        <v>45835.64583</v>
      </c>
      <c r="B92" s="6">
        <f>IFERROR(__xludf.DUMMYFUNCTION("""COMPUTED_VALUE"""),310.0)</f>
        <v>310</v>
      </c>
      <c r="C92" s="6">
        <f>IFERROR(__xludf.DUMMYFUNCTION("""COMPUTED_VALUE"""),334.2)</f>
        <v>334.2</v>
      </c>
      <c r="D92" s="6">
        <f>IFERROR(__xludf.DUMMYFUNCTION("""COMPUTED_VALUE"""),308.2)</f>
        <v>308.2</v>
      </c>
      <c r="E92" s="6">
        <f>IFERROR(__xludf.DUMMYFUNCTION("""COMPUTED_VALUE"""),333.0)</f>
        <v>333</v>
      </c>
      <c r="F92" s="6">
        <f>IFERROR(__xludf.DUMMYFUNCTION("""COMPUTED_VALUE"""),5.0119448E7)</f>
        <v>50119448</v>
      </c>
    </row>
    <row r="93">
      <c r="A93" s="7">
        <f>IFERROR(__xludf.DUMMYFUNCTION("""COMPUTED_VALUE"""),45842.64583333333)</f>
        <v>45842.64583</v>
      </c>
      <c r="B93" s="6">
        <f>IFERROR(__xludf.DUMMYFUNCTION("""COMPUTED_VALUE"""),334.0)</f>
        <v>334</v>
      </c>
      <c r="C93" s="6">
        <f>IFERROR(__xludf.DUMMYFUNCTION("""COMPUTED_VALUE"""),347.7)</f>
        <v>347.7</v>
      </c>
      <c r="D93" s="6">
        <f>IFERROR(__xludf.DUMMYFUNCTION("""COMPUTED_VALUE"""),328.8)</f>
        <v>328.8</v>
      </c>
      <c r="E93" s="6">
        <f>IFERROR(__xludf.DUMMYFUNCTION("""COMPUTED_VALUE"""),346.2)</f>
        <v>346.2</v>
      </c>
      <c r="F93" s="6">
        <f>IFERROR(__xludf.DUMMYFUNCTION("""COMPUTED_VALUE"""),3.2354776E7)</f>
        <v>32354776</v>
      </c>
    </row>
    <row r="94">
      <c r="A94" s="7">
        <f>IFERROR(__xludf.DUMMYFUNCTION("""COMPUTED_VALUE"""),45849.64583333333)</f>
        <v>45849.64583</v>
      </c>
      <c r="B94" s="6">
        <f>IFERROR(__xludf.DUMMYFUNCTION("""COMPUTED_VALUE"""),345.8)</f>
        <v>345.8</v>
      </c>
      <c r="C94" s="6">
        <f>IFERROR(__xludf.DUMMYFUNCTION("""COMPUTED_VALUE"""),358.65)</f>
        <v>358.65</v>
      </c>
      <c r="D94" s="6">
        <f>IFERROR(__xludf.DUMMYFUNCTION("""COMPUTED_VALUE"""),343.3)</f>
        <v>343.3</v>
      </c>
      <c r="E94" s="6">
        <f>IFERROR(__xludf.DUMMYFUNCTION("""COMPUTED_VALUE"""),344.85)</f>
        <v>344.85</v>
      </c>
      <c r="F94" s="6">
        <f>IFERROR(__xludf.DUMMYFUNCTION("""COMPUTED_VALUE"""),4.0932898E7)</f>
        <v>40932898</v>
      </c>
    </row>
    <row r="95">
      <c r="A95" s="7">
        <f>IFERROR(__xludf.DUMMYFUNCTION("""COMPUTED_VALUE"""),45856.64583333333)</f>
        <v>45856.64583</v>
      </c>
      <c r="B95" s="6">
        <f>IFERROR(__xludf.DUMMYFUNCTION("""COMPUTED_VALUE"""),345.85)</f>
        <v>345.85</v>
      </c>
      <c r="C95" s="6">
        <f>IFERROR(__xludf.DUMMYFUNCTION("""COMPUTED_VALUE"""),351.7)</f>
        <v>351.7</v>
      </c>
      <c r="D95" s="6">
        <f>IFERROR(__xludf.DUMMYFUNCTION("""COMPUTED_VALUE"""),342.1)</f>
        <v>342.1</v>
      </c>
      <c r="E95" s="6">
        <f>IFERROR(__xludf.DUMMYFUNCTION("""COMPUTED_VALUE"""),343.5)</f>
        <v>343.5</v>
      </c>
      <c r="F95" s="6">
        <f>IFERROR(__xludf.DUMMYFUNCTION("""COMPUTED_VALUE"""),2.9726364E7)</f>
        <v>29726364</v>
      </c>
    </row>
    <row r="96">
      <c r="A96" s="7">
        <f>IFERROR(__xludf.DUMMYFUNCTION("""COMPUTED_VALUE"""),45863.64583333333)</f>
        <v>45863.64583</v>
      </c>
      <c r="B96" s="6">
        <f>IFERROR(__xludf.DUMMYFUNCTION("""COMPUTED_VALUE"""),343.5)</f>
        <v>343.5</v>
      </c>
      <c r="C96" s="6">
        <f>IFERROR(__xludf.DUMMYFUNCTION("""COMPUTED_VALUE"""),345.0)</f>
        <v>345</v>
      </c>
      <c r="D96" s="6">
        <f>IFERROR(__xludf.DUMMYFUNCTION("""COMPUTED_VALUE"""),331.05)</f>
        <v>331.05</v>
      </c>
      <c r="E96" s="6">
        <f>IFERROR(__xludf.DUMMYFUNCTION("""COMPUTED_VALUE"""),332.9)</f>
        <v>332.9</v>
      </c>
      <c r="F96" s="6">
        <f>IFERROR(__xludf.DUMMYFUNCTION("""COMPUTED_VALUE"""),2.1373233E7)</f>
        <v>21373233</v>
      </c>
    </row>
    <row r="97">
      <c r="A97" s="7">
        <f>IFERROR(__xludf.DUMMYFUNCTION("""COMPUTED_VALUE"""),45870.64583333333)</f>
        <v>45870.64583</v>
      </c>
      <c r="B97" s="6">
        <f>IFERROR(__xludf.DUMMYFUNCTION("""COMPUTED_VALUE"""),332.35)</f>
        <v>332.35</v>
      </c>
      <c r="C97" s="6">
        <f>IFERROR(__xludf.DUMMYFUNCTION("""COMPUTED_VALUE"""),343.55)</f>
        <v>343.55</v>
      </c>
      <c r="D97" s="6">
        <f>IFERROR(__xludf.DUMMYFUNCTION("""COMPUTED_VALUE"""),316.55)</f>
        <v>316.55</v>
      </c>
      <c r="E97" s="6">
        <f>IFERROR(__xludf.DUMMYFUNCTION("""COMPUTED_VALUE"""),317.85)</f>
        <v>317.85</v>
      </c>
      <c r="F97" s="6">
        <f>IFERROR(__xludf.DUMMYFUNCTION("""COMPUTED_VALUE"""),3.5779175E7)</f>
        <v>35779175</v>
      </c>
    </row>
    <row r="98">
      <c r="A98" s="7">
        <f>IFERROR(__xludf.DUMMYFUNCTION("""COMPUTED_VALUE"""),45877.64583333333)</f>
        <v>45877.64583</v>
      </c>
      <c r="B98" s="6">
        <f>IFERROR(__xludf.DUMMYFUNCTION("""COMPUTED_VALUE"""),320.15)</f>
        <v>320.15</v>
      </c>
      <c r="C98" s="6">
        <f>IFERROR(__xludf.DUMMYFUNCTION("""COMPUTED_VALUE"""),321.25)</f>
        <v>321.25</v>
      </c>
      <c r="D98" s="6">
        <f>IFERROR(__xludf.DUMMYFUNCTION("""COMPUTED_VALUE"""),307.15)</f>
        <v>307.15</v>
      </c>
      <c r="E98" s="6">
        <f>IFERROR(__xludf.DUMMYFUNCTION("""COMPUTED_VALUE"""),319.45)</f>
        <v>319.45</v>
      </c>
      <c r="F98" s="6">
        <f>IFERROR(__xludf.DUMMYFUNCTION("""COMPUTED_VALUE"""),2.8914539E7)</f>
        <v>28914539</v>
      </c>
    </row>
    <row r="99">
      <c r="A99" s="7">
        <f>IFERROR(__xludf.DUMMYFUNCTION("""COMPUTED_VALUE"""),45883.64583333333)</f>
        <v>45883.64583</v>
      </c>
      <c r="B99" s="6">
        <f>IFERROR(__xludf.DUMMYFUNCTION("""COMPUTED_VALUE"""),322.25)</f>
        <v>322.25</v>
      </c>
      <c r="C99" s="6">
        <f>IFERROR(__xludf.DUMMYFUNCTION("""COMPUTED_VALUE"""),331.4)</f>
        <v>331.4</v>
      </c>
      <c r="D99" s="6">
        <f>IFERROR(__xludf.DUMMYFUNCTION("""COMPUTED_VALUE"""),317.15)</f>
        <v>317.15</v>
      </c>
      <c r="E99" s="6">
        <f>IFERROR(__xludf.DUMMYFUNCTION("""COMPUTED_VALUE"""),318.05)</f>
        <v>318.05</v>
      </c>
      <c r="F99" s="6">
        <f>IFERROR(__xludf.DUMMYFUNCTION("""COMPUTED_VALUE"""),2.5607837E7)</f>
        <v>25607837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IFERROR(__xludf.DUMMYFUNCTION("""COMPUTED_VALUE"""),321.0)</f>
        <v>321</v>
      </c>
      <c r="C100" s="6">
        <f>IFERROR(__xludf.DUMMYFUNCTION("""COMPUTED_VALUE"""),323.8)</f>
        <v>323.8</v>
      </c>
      <c r="D100" s="6">
        <f>IFERROR(__xludf.DUMMYFUNCTION("""COMPUTED_VALUE"""),312.45)</f>
        <v>312.45</v>
      </c>
      <c r="E100" s="6">
        <f>IFERROR(__xludf.DUMMYFUNCTION("""COMPUTED_VALUE"""),316.45)</f>
        <v>316.45</v>
      </c>
      <c r="F100" s="6">
        <f>IFERROR(__xludf.DUMMYFUNCTION("""COMPUTED_VALUE"""),2.290285E7)</f>
        <v>22902850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IFERROR(__xludf.DUMMYFUNCTION("""COMPUTED_VALUE"""),318.95)</f>
        <v>318.95</v>
      </c>
      <c r="C101" s="6">
        <f>IFERROR(__xludf.DUMMYFUNCTION("""COMPUTED_VALUE"""),318.95)</f>
        <v>318.95</v>
      </c>
      <c r="D101" s="6">
        <f>IFERROR(__xludf.DUMMYFUNCTION("""COMPUTED_VALUE"""),311.05)</f>
        <v>311.05</v>
      </c>
      <c r="E101" s="6">
        <f>IFERROR(__xludf.DUMMYFUNCTION("""COMPUTED_VALUE"""),312.1)</f>
        <v>312.1</v>
      </c>
      <c r="F101" s="6">
        <f>IFERROR(__xludf.DUMMYFUNCTION("""COMPUTED_VALUE"""),7.7372145E7)</f>
        <v>77372145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IFERROR(__xludf.DUMMYFUNCTION("GOOGLEFINANCE(""NSE:BRITANNIA"",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IFERROR(__xludf.DUMMYFUNCTION("""COMPUTED_VALUE"""),4525.0)</f>
        <v>4525</v>
      </c>
      <c r="C2" s="6">
        <f>IFERROR(__xludf.DUMMYFUNCTION("""COMPUTED_VALUE"""),4575.0)</f>
        <v>4575</v>
      </c>
      <c r="D2" s="6">
        <f>IFERROR(__xludf.DUMMYFUNCTION("""COMPUTED_VALUE"""),4426.0)</f>
        <v>4426</v>
      </c>
      <c r="E2" s="6">
        <f>IFERROR(__xludf.DUMMYFUNCTION("""COMPUTED_VALUE"""),4484.35)</f>
        <v>4484.35</v>
      </c>
      <c r="F2" s="6">
        <f>IFERROR(__xludf.DUMMYFUNCTION("""COMPUTED_VALUE"""),2309214.0)</f>
        <v>2309214</v>
      </c>
    </row>
    <row r="3">
      <c r="A3" s="7">
        <f>IFERROR(__xludf.DUMMYFUNCTION("""COMPUTED_VALUE"""),45177.64583333333)</f>
        <v>45177.64583</v>
      </c>
      <c r="B3" s="6">
        <f>IFERROR(__xludf.DUMMYFUNCTION("""COMPUTED_VALUE"""),4484.35)</f>
        <v>4484.35</v>
      </c>
      <c r="C3" s="6">
        <f>IFERROR(__xludf.DUMMYFUNCTION("""COMPUTED_VALUE"""),4590.4)</f>
        <v>4590.4</v>
      </c>
      <c r="D3" s="6">
        <f>IFERROR(__xludf.DUMMYFUNCTION("""COMPUTED_VALUE"""),4449.75)</f>
        <v>4449.75</v>
      </c>
      <c r="E3" s="6">
        <f>IFERROR(__xludf.DUMMYFUNCTION("""COMPUTED_VALUE"""),4540.5)</f>
        <v>4540.5</v>
      </c>
      <c r="F3" s="6">
        <f>IFERROR(__xludf.DUMMYFUNCTION("""COMPUTED_VALUE"""),1905830.0)</f>
        <v>1905830</v>
      </c>
    </row>
    <row r="4">
      <c r="A4" s="7">
        <f>IFERROR(__xludf.DUMMYFUNCTION("""COMPUTED_VALUE"""),45184.64583333333)</f>
        <v>45184.64583</v>
      </c>
      <c r="B4" s="6">
        <f>IFERROR(__xludf.DUMMYFUNCTION("""COMPUTED_VALUE"""),4540.9)</f>
        <v>4540.9</v>
      </c>
      <c r="C4" s="6">
        <f>IFERROR(__xludf.DUMMYFUNCTION("""COMPUTED_VALUE"""),4631.95)</f>
        <v>4631.95</v>
      </c>
      <c r="D4" s="6">
        <f>IFERROR(__xludf.DUMMYFUNCTION("""COMPUTED_VALUE"""),4508.9)</f>
        <v>4508.9</v>
      </c>
      <c r="E4" s="6">
        <f>IFERROR(__xludf.DUMMYFUNCTION("""COMPUTED_VALUE"""),4532.85)</f>
        <v>4532.85</v>
      </c>
      <c r="F4" s="6">
        <f>IFERROR(__xludf.DUMMYFUNCTION("""COMPUTED_VALUE"""),1940780.0)</f>
        <v>1940780</v>
      </c>
    </row>
    <row r="5">
      <c r="A5" s="7">
        <f>IFERROR(__xludf.DUMMYFUNCTION("""COMPUTED_VALUE"""),45191.64583333333)</f>
        <v>45191.64583</v>
      </c>
      <c r="B5" s="6">
        <f>IFERROR(__xludf.DUMMYFUNCTION("""COMPUTED_VALUE"""),4540.0)</f>
        <v>4540</v>
      </c>
      <c r="C5" s="6">
        <f>IFERROR(__xludf.DUMMYFUNCTION("""COMPUTED_VALUE"""),4603.0)</f>
        <v>4603</v>
      </c>
      <c r="D5" s="6">
        <f>IFERROR(__xludf.DUMMYFUNCTION("""COMPUTED_VALUE"""),4478.0)</f>
        <v>4478</v>
      </c>
      <c r="E5" s="6">
        <f>IFERROR(__xludf.DUMMYFUNCTION("""COMPUTED_VALUE"""),4564.65)</f>
        <v>4564.65</v>
      </c>
      <c r="F5" s="6">
        <f>IFERROR(__xludf.DUMMYFUNCTION("""COMPUTED_VALUE"""),1240530.0)</f>
        <v>1240530</v>
      </c>
    </row>
    <row r="6">
      <c r="A6" s="7">
        <f>IFERROR(__xludf.DUMMYFUNCTION("""COMPUTED_VALUE"""),45198.64583333333)</f>
        <v>45198.64583</v>
      </c>
      <c r="B6" s="6">
        <f>IFERROR(__xludf.DUMMYFUNCTION("""COMPUTED_VALUE"""),4574.05)</f>
        <v>4574.05</v>
      </c>
      <c r="C6" s="6">
        <f>IFERROR(__xludf.DUMMYFUNCTION("""COMPUTED_VALUE"""),4634.3)</f>
        <v>4634.3</v>
      </c>
      <c r="D6" s="6">
        <f>IFERROR(__xludf.DUMMYFUNCTION("""COMPUTED_VALUE"""),4501.55)</f>
        <v>4501.55</v>
      </c>
      <c r="E6" s="6">
        <f>IFERROR(__xludf.DUMMYFUNCTION("""COMPUTED_VALUE"""),4537.15)</f>
        <v>4537.15</v>
      </c>
      <c r="F6" s="6">
        <f>IFERROR(__xludf.DUMMYFUNCTION("""COMPUTED_VALUE"""),1807356.0)</f>
        <v>1807356</v>
      </c>
    </row>
    <row r="7">
      <c r="A7" s="7">
        <f>IFERROR(__xludf.DUMMYFUNCTION("""COMPUTED_VALUE"""),45205.64583333333)</f>
        <v>45205.64583</v>
      </c>
      <c r="B7" s="6">
        <f>IFERROR(__xludf.DUMMYFUNCTION("""COMPUTED_VALUE"""),4524.8)</f>
        <v>4524.8</v>
      </c>
      <c r="C7" s="6">
        <f>IFERROR(__xludf.DUMMYFUNCTION("""COMPUTED_VALUE"""),4553.25)</f>
        <v>4553.25</v>
      </c>
      <c r="D7" s="6">
        <f>IFERROR(__xludf.DUMMYFUNCTION("""COMPUTED_VALUE"""),4466.75)</f>
        <v>4466.75</v>
      </c>
      <c r="E7" s="6">
        <f>IFERROR(__xludf.DUMMYFUNCTION("""COMPUTED_VALUE"""),4538.45)</f>
        <v>4538.45</v>
      </c>
      <c r="F7" s="6">
        <f>IFERROR(__xludf.DUMMYFUNCTION("""COMPUTED_VALUE"""),1402192.0)</f>
        <v>1402192</v>
      </c>
    </row>
    <row r="8">
      <c r="A8" s="7">
        <f>IFERROR(__xludf.DUMMYFUNCTION("""COMPUTED_VALUE"""),45212.64583333333)</f>
        <v>45212.64583</v>
      </c>
      <c r="B8" s="6">
        <f>IFERROR(__xludf.DUMMYFUNCTION("""COMPUTED_VALUE"""),4511.0)</f>
        <v>4511</v>
      </c>
      <c r="C8" s="6">
        <f>IFERROR(__xludf.DUMMYFUNCTION("""COMPUTED_VALUE"""),4591.6)</f>
        <v>4591.6</v>
      </c>
      <c r="D8" s="6">
        <f>IFERROR(__xludf.DUMMYFUNCTION("""COMPUTED_VALUE"""),4493.5)</f>
        <v>4493.5</v>
      </c>
      <c r="E8" s="6">
        <f>IFERROR(__xludf.DUMMYFUNCTION("""COMPUTED_VALUE"""),4574.7)</f>
        <v>4574.7</v>
      </c>
      <c r="F8" s="6">
        <f>IFERROR(__xludf.DUMMYFUNCTION("""COMPUTED_VALUE"""),1811110.0)</f>
        <v>1811110</v>
      </c>
    </row>
    <row r="9">
      <c r="A9" s="7">
        <f>IFERROR(__xludf.DUMMYFUNCTION("""COMPUTED_VALUE"""),45219.64583333333)</f>
        <v>45219.64583</v>
      </c>
      <c r="B9" s="6">
        <f>IFERROR(__xludf.DUMMYFUNCTION("""COMPUTED_VALUE"""),4559.95)</f>
        <v>4559.95</v>
      </c>
      <c r="C9" s="6">
        <f>IFERROR(__xludf.DUMMYFUNCTION("""COMPUTED_VALUE"""),4623.0)</f>
        <v>4623</v>
      </c>
      <c r="D9" s="6">
        <f>IFERROR(__xludf.DUMMYFUNCTION("""COMPUTED_VALUE"""),4555.0)</f>
        <v>4555</v>
      </c>
      <c r="E9" s="6">
        <f>IFERROR(__xludf.DUMMYFUNCTION("""COMPUTED_VALUE"""),4580.0)</f>
        <v>4580</v>
      </c>
      <c r="F9" s="6">
        <f>IFERROR(__xludf.DUMMYFUNCTION("""COMPUTED_VALUE"""),1285892.0)</f>
        <v>1285892</v>
      </c>
    </row>
    <row r="10">
      <c r="A10" s="7">
        <f>IFERROR(__xludf.DUMMYFUNCTION("""COMPUTED_VALUE"""),45226.64583333333)</f>
        <v>45226.64583</v>
      </c>
      <c r="B10" s="6">
        <f>IFERROR(__xludf.DUMMYFUNCTION("""COMPUTED_VALUE"""),4572.7)</f>
        <v>4572.7</v>
      </c>
      <c r="C10" s="6">
        <f>IFERROR(__xludf.DUMMYFUNCTION("""COMPUTED_VALUE"""),4600.0)</f>
        <v>4600</v>
      </c>
      <c r="D10" s="6">
        <f>IFERROR(__xludf.DUMMYFUNCTION("""COMPUTED_VALUE"""),4470.0)</f>
        <v>4470</v>
      </c>
      <c r="E10" s="6">
        <f>IFERROR(__xludf.DUMMYFUNCTION("""COMPUTED_VALUE"""),4514.3)</f>
        <v>4514.3</v>
      </c>
      <c r="F10" s="6">
        <f>IFERROR(__xludf.DUMMYFUNCTION("""COMPUTED_VALUE"""),1404789.0)</f>
        <v>1404789</v>
      </c>
    </row>
    <row r="11">
      <c r="A11" s="7">
        <f>IFERROR(__xludf.DUMMYFUNCTION("""COMPUTED_VALUE"""),45233.64583333333)</f>
        <v>45233.64583</v>
      </c>
      <c r="B11" s="6">
        <f>IFERROR(__xludf.DUMMYFUNCTION("""COMPUTED_VALUE"""),4500.0)</f>
        <v>4500</v>
      </c>
      <c r="C11" s="6">
        <f>IFERROR(__xludf.DUMMYFUNCTION("""COMPUTED_VALUE"""),4582.4)</f>
        <v>4582.4</v>
      </c>
      <c r="D11" s="6">
        <f>IFERROR(__xludf.DUMMYFUNCTION("""COMPUTED_VALUE"""),4347.7)</f>
        <v>4347.7</v>
      </c>
      <c r="E11" s="6">
        <f>IFERROR(__xludf.DUMMYFUNCTION("""COMPUTED_VALUE"""),4539.55)</f>
        <v>4539.55</v>
      </c>
      <c r="F11" s="6">
        <f>IFERROR(__xludf.DUMMYFUNCTION("""COMPUTED_VALUE"""),2508367.0)</f>
        <v>2508367</v>
      </c>
    </row>
    <row r="12">
      <c r="A12" s="7">
        <f>IFERROR(__xludf.DUMMYFUNCTION("""COMPUTED_VALUE"""),45240.64583333333)</f>
        <v>45240.64583</v>
      </c>
      <c r="B12" s="6">
        <f>IFERROR(__xludf.DUMMYFUNCTION("""COMPUTED_VALUE"""),4554.9)</f>
        <v>4554.9</v>
      </c>
      <c r="C12" s="6">
        <f>IFERROR(__xludf.DUMMYFUNCTION("""COMPUTED_VALUE"""),4686.5)</f>
        <v>4686.5</v>
      </c>
      <c r="D12" s="6">
        <f>IFERROR(__xludf.DUMMYFUNCTION("""COMPUTED_VALUE"""),4546.05)</f>
        <v>4546.05</v>
      </c>
      <c r="E12" s="6">
        <f>IFERROR(__xludf.DUMMYFUNCTION("""COMPUTED_VALUE"""),4681.95)</f>
        <v>4681.95</v>
      </c>
      <c r="F12" s="6">
        <f>IFERROR(__xludf.DUMMYFUNCTION("""COMPUTED_VALUE"""),1224648.0)</f>
        <v>1224648</v>
      </c>
    </row>
    <row r="13">
      <c r="A13" s="7">
        <f>IFERROR(__xludf.DUMMYFUNCTION("""COMPUTED_VALUE"""),45247.64583333333)</f>
        <v>45247.64583</v>
      </c>
      <c r="B13" s="6">
        <f>IFERROR(__xludf.DUMMYFUNCTION("""COMPUTED_VALUE"""),4694.65)</f>
        <v>4694.65</v>
      </c>
      <c r="C13" s="6">
        <f>IFERROR(__xludf.DUMMYFUNCTION("""COMPUTED_VALUE"""),4745.6)</f>
        <v>4745.6</v>
      </c>
      <c r="D13" s="6">
        <f>IFERROR(__xludf.DUMMYFUNCTION("""COMPUTED_VALUE"""),4644.0)</f>
        <v>4644</v>
      </c>
      <c r="E13" s="6">
        <f>IFERROR(__xludf.DUMMYFUNCTION("""COMPUTED_VALUE"""),4718.3)</f>
        <v>4718.3</v>
      </c>
      <c r="F13" s="6">
        <f>IFERROR(__xludf.DUMMYFUNCTION("""COMPUTED_VALUE"""),870954.0)</f>
        <v>870954</v>
      </c>
    </row>
    <row r="14">
      <c r="A14" s="7">
        <f>IFERROR(__xludf.DUMMYFUNCTION("""COMPUTED_VALUE"""),45254.64583333333)</f>
        <v>45254.64583</v>
      </c>
      <c r="B14" s="6">
        <f>IFERROR(__xludf.DUMMYFUNCTION("""COMPUTED_VALUE"""),4691.25)</f>
        <v>4691.25</v>
      </c>
      <c r="C14" s="6">
        <f>IFERROR(__xludf.DUMMYFUNCTION("""COMPUTED_VALUE"""),4739.45)</f>
        <v>4739.45</v>
      </c>
      <c r="D14" s="6">
        <f>IFERROR(__xludf.DUMMYFUNCTION("""COMPUTED_VALUE"""),4640.5)</f>
        <v>4640.5</v>
      </c>
      <c r="E14" s="6">
        <f>IFERROR(__xludf.DUMMYFUNCTION("""COMPUTED_VALUE"""),4644.15)</f>
        <v>4644.15</v>
      </c>
      <c r="F14" s="6">
        <f>IFERROR(__xludf.DUMMYFUNCTION("""COMPUTED_VALUE"""),561607.0)</f>
        <v>561607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IFERROR(__xludf.DUMMYFUNCTION("""COMPUTED_VALUE"""),4632.25)</f>
        <v>4632.25</v>
      </c>
      <c r="C15" s="6">
        <f>IFERROR(__xludf.DUMMYFUNCTION("""COMPUTED_VALUE"""),4984.0)</f>
        <v>4984</v>
      </c>
      <c r="D15" s="6">
        <f>IFERROR(__xludf.DUMMYFUNCTION("""COMPUTED_VALUE"""),4626.0)</f>
        <v>4626</v>
      </c>
      <c r="E15" s="6">
        <f>IFERROR(__xludf.DUMMYFUNCTION("""COMPUTED_VALUE"""),4970.75)</f>
        <v>4970.75</v>
      </c>
      <c r="F15" s="6">
        <f>IFERROR(__xludf.DUMMYFUNCTION("""COMPUTED_VALUE"""),1993143.0)</f>
        <v>1993143</v>
      </c>
    </row>
    <row r="16">
      <c r="A16" s="7">
        <f>IFERROR(__xludf.DUMMYFUNCTION("""COMPUTED_VALUE"""),45268.64583333333)</f>
        <v>45268.64583</v>
      </c>
      <c r="B16" s="6">
        <f>IFERROR(__xludf.DUMMYFUNCTION("""COMPUTED_VALUE"""),4990.0)</f>
        <v>4990</v>
      </c>
      <c r="C16" s="6">
        <f>IFERROR(__xludf.DUMMYFUNCTION("""COMPUTED_VALUE"""),5060.0)</f>
        <v>5060</v>
      </c>
      <c r="D16" s="6">
        <f>IFERROR(__xludf.DUMMYFUNCTION("""COMPUTED_VALUE"""),4915.0)</f>
        <v>4915</v>
      </c>
      <c r="E16" s="6">
        <f>IFERROR(__xludf.DUMMYFUNCTION("""COMPUTED_VALUE"""),4942.2)</f>
        <v>4942.2</v>
      </c>
      <c r="F16" s="6">
        <f>IFERROR(__xludf.DUMMYFUNCTION("""COMPUTED_VALUE"""),1437143.0)</f>
        <v>1437143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IFERROR(__xludf.DUMMYFUNCTION("""COMPUTED_VALUE"""),4959.9)</f>
        <v>4959.9</v>
      </c>
      <c r="C17" s="6">
        <f>IFERROR(__xludf.DUMMYFUNCTION("""COMPUTED_VALUE"""),4974.5)</f>
        <v>4974.5</v>
      </c>
      <c r="D17" s="6">
        <f>IFERROR(__xludf.DUMMYFUNCTION("""COMPUTED_VALUE"""),4860.0)</f>
        <v>4860</v>
      </c>
      <c r="E17" s="6">
        <f>IFERROR(__xludf.DUMMYFUNCTION("""COMPUTED_VALUE"""),4913.9)</f>
        <v>4913.9</v>
      </c>
      <c r="F17" s="6">
        <f>IFERROR(__xludf.DUMMYFUNCTION("""COMPUTED_VALUE"""),876854.0)</f>
        <v>876854</v>
      </c>
    </row>
    <row r="18">
      <c r="A18" s="7">
        <f>IFERROR(__xludf.DUMMYFUNCTION("""COMPUTED_VALUE"""),45282.64583333333)</f>
        <v>45282.64583</v>
      </c>
      <c r="B18" s="6">
        <f>IFERROR(__xludf.DUMMYFUNCTION("""COMPUTED_VALUE"""),4913.85)</f>
        <v>4913.85</v>
      </c>
      <c r="C18" s="6">
        <f>IFERROR(__xludf.DUMMYFUNCTION("""COMPUTED_VALUE"""),5183.7)</f>
        <v>5183.7</v>
      </c>
      <c r="D18" s="6">
        <f>IFERROR(__xludf.DUMMYFUNCTION("""COMPUTED_VALUE"""),4837.05)</f>
        <v>4837.05</v>
      </c>
      <c r="E18" s="6">
        <f>IFERROR(__xludf.DUMMYFUNCTION("""COMPUTED_VALUE"""),5161.1)</f>
        <v>5161.1</v>
      </c>
      <c r="F18" s="6">
        <f>IFERROR(__xludf.DUMMYFUNCTION("""COMPUTED_VALUE"""),2260707.0)</f>
        <v>2260707</v>
      </c>
    </row>
    <row r="19">
      <c r="A19" s="7">
        <f>IFERROR(__xludf.DUMMYFUNCTION("""COMPUTED_VALUE"""),45289.64583333333)</f>
        <v>45289.64583</v>
      </c>
      <c r="B19" s="6">
        <f>IFERROR(__xludf.DUMMYFUNCTION("""COMPUTED_VALUE"""),5155.0)</f>
        <v>5155</v>
      </c>
      <c r="C19" s="6">
        <f>IFERROR(__xludf.DUMMYFUNCTION("""COMPUTED_VALUE"""),5386.05)</f>
        <v>5386.05</v>
      </c>
      <c r="D19" s="6">
        <f>IFERROR(__xludf.DUMMYFUNCTION("""COMPUTED_VALUE"""),5146.0)</f>
        <v>5146</v>
      </c>
      <c r="E19" s="6">
        <f>IFERROR(__xludf.DUMMYFUNCTION("""COMPUTED_VALUE"""),5338.45)</f>
        <v>5338.45</v>
      </c>
      <c r="F19" s="6">
        <f>IFERROR(__xludf.DUMMYFUNCTION("""COMPUTED_VALUE"""),2007312.0)</f>
        <v>2007312</v>
      </c>
    </row>
    <row r="20">
      <c r="A20" s="7">
        <f>IFERROR(__xludf.DUMMYFUNCTION("""COMPUTED_VALUE"""),45296.64583333333)</f>
        <v>45296.64583</v>
      </c>
      <c r="B20" s="6">
        <f>IFERROR(__xludf.DUMMYFUNCTION("""COMPUTED_VALUE"""),5339.0)</f>
        <v>5339</v>
      </c>
      <c r="C20" s="6">
        <f>IFERROR(__xludf.DUMMYFUNCTION("""COMPUTED_VALUE"""),5375.0)</f>
        <v>5375</v>
      </c>
      <c r="D20" s="6">
        <f>IFERROR(__xludf.DUMMYFUNCTION("""COMPUTED_VALUE"""),5221.0)</f>
        <v>5221</v>
      </c>
      <c r="E20" s="6">
        <f>IFERROR(__xludf.DUMMYFUNCTION("""COMPUTED_VALUE"""),5272.35)</f>
        <v>5272.35</v>
      </c>
      <c r="F20" s="6">
        <f>IFERROR(__xludf.DUMMYFUNCTION("""COMPUTED_VALUE"""),1159260.0)</f>
        <v>1159260</v>
      </c>
    </row>
    <row r="21">
      <c r="A21" s="7">
        <f>IFERROR(__xludf.DUMMYFUNCTION("""COMPUTED_VALUE"""),45303.64583333333)</f>
        <v>45303.64583</v>
      </c>
      <c r="B21" s="6">
        <f>IFERROR(__xludf.DUMMYFUNCTION("""COMPUTED_VALUE"""),5305.0)</f>
        <v>5305</v>
      </c>
      <c r="C21" s="6">
        <f>IFERROR(__xludf.DUMMYFUNCTION("""COMPUTED_VALUE"""),5305.0)</f>
        <v>5305</v>
      </c>
      <c r="D21" s="6">
        <f>IFERROR(__xludf.DUMMYFUNCTION("""COMPUTED_VALUE"""),5051.5)</f>
        <v>5051.5</v>
      </c>
      <c r="E21" s="6">
        <f>IFERROR(__xludf.DUMMYFUNCTION("""COMPUTED_VALUE"""),5151.1)</f>
        <v>5151.1</v>
      </c>
      <c r="F21" s="6">
        <f>IFERROR(__xludf.DUMMYFUNCTION("""COMPUTED_VALUE"""),1362633.0)</f>
        <v>1362633</v>
      </c>
    </row>
    <row r="22">
      <c r="A22" s="7">
        <f>IFERROR(__xludf.DUMMYFUNCTION("""COMPUTED_VALUE"""),45316.64583333333)</f>
        <v>45316.64583</v>
      </c>
      <c r="B22" s="6">
        <f>IFERROR(__xludf.DUMMYFUNCTION("""COMPUTED_VALUE"""),5166.4)</f>
        <v>5166.4</v>
      </c>
      <c r="C22" s="6">
        <f>IFERROR(__xludf.DUMMYFUNCTION("""COMPUTED_VALUE"""),5236.55)</f>
        <v>5236.55</v>
      </c>
      <c r="D22" s="6">
        <f>IFERROR(__xludf.DUMMYFUNCTION("""COMPUTED_VALUE"""),4925.9)</f>
        <v>4925.9</v>
      </c>
      <c r="E22" s="6">
        <f>IFERROR(__xludf.DUMMYFUNCTION("""COMPUTED_VALUE"""),5141.9)</f>
        <v>5141.9</v>
      </c>
      <c r="F22" s="6">
        <f>IFERROR(__xludf.DUMMYFUNCTION("""COMPUTED_VALUE"""),1445005.0)</f>
        <v>1445005</v>
      </c>
    </row>
    <row r="23">
      <c r="A23" s="7">
        <f>IFERROR(__xludf.DUMMYFUNCTION("""COMPUTED_VALUE"""),45324.64583333333)</f>
        <v>45324.64583</v>
      </c>
      <c r="B23" s="6">
        <f>IFERROR(__xludf.DUMMYFUNCTION("""COMPUTED_VALUE"""),5142.0)</f>
        <v>5142</v>
      </c>
      <c r="C23" s="6">
        <f>IFERROR(__xludf.DUMMYFUNCTION("""COMPUTED_VALUE"""),5220.0)</f>
        <v>5220</v>
      </c>
      <c r="D23" s="6">
        <f>IFERROR(__xludf.DUMMYFUNCTION("""COMPUTED_VALUE"""),5031.75)</f>
        <v>5031.75</v>
      </c>
      <c r="E23" s="6">
        <f>IFERROR(__xludf.DUMMYFUNCTION("""COMPUTED_VALUE"""),5148.85)</f>
        <v>5148.85</v>
      </c>
      <c r="F23" s="6">
        <f>IFERROR(__xludf.DUMMYFUNCTION("""COMPUTED_VALUE"""),1491931.0)</f>
        <v>1491931</v>
      </c>
    </row>
    <row r="24">
      <c r="A24" s="7">
        <f>IFERROR(__xludf.DUMMYFUNCTION("""COMPUTED_VALUE"""),45331.64583333333)</f>
        <v>45331.64583</v>
      </c>
      <c r="B24" s="6">
        <f>IFERROR(__xludf.DUMMYFUNCTION("""COMPUTED_VALUE"""),5169.9)</f>
        <v>5169.9</v>
      </c>
      <c r="C24" s="6">
        <f>IFERROR(__xludf.DUMMYFUNCTION("""COMPUTED_VALUE"""),5239.75)</f>
        <v>5239.75</v>
      </c>
      <c r="D24" s="6">
        <f>IFERROR(__xludf.DUMMYFUNCTION("""COMPUTED_VALUE"""),4833.15)</f>
        <v>4833.15</v>
      </c>
      <c r="E24" s="6">
        <f>IFERROR(__xludf.DUMMYFUNCTION("""COMPUTED_VALUE"""),4971.5)</f>
        <v>4971.5</v>
      </c>
      <c r="F24" s="6">
        <f>IFERROR(__xludf.DUMMYFUNCTION("""COMPUTED_VALUE"""),2862692.0)</f>
        <v>2862692</v>
      </c>
    </row>
    <row r="25">
      <c r="A25" s="7">
        <f>IFERROR(__xludf.DUMMYFUNCTION("""COMPUTED_VALUE"""),45338.64583333333)</f>
        <v>45338.64583</v>
      </c>
      <c r="B25" s="6">
        <f>IFERROR(__xludf.DUMMYFUNCTION("""COMPUTED_VALUE"""),4971.5)</f>
        <v>4971.5</v>
      </c>
      <c r="C25" s="6">
        <f>IFERROR(__xludf.DUMMYFUNCTION("""COMPUTED_VALUE"""),5053.4)</f>
        <v>5053.4</v>
      </c>
      <c r="D25" s="6">
        <f>IFERROR(__xludf.DUMMYFUNCTION("""COMPUTED_VALUE"""),4894.75)</f>
        <v>4894.75</v>
      </c>
      <c r="E25" s="6">
        <f>IFERROR(__xludf.DUMMYFUNCTION("""COMPUTED_VALUE"""),4913.7)</f>
        <v>4913.7</v>
      </c>
      <c r="F25" s="6">
        <f>IFERROR(__xludf.DUMMYFUNCTION("""COMPUTED_VALUE"""),1239741.0)</f>
        <v>1239741</v>
      </c>
    </row>
    <row r="26">
      <c r="A26" s="7">
        <f>IFERROR(__xludf.DUMMYFUNCTION("""COMPUTED_VALUE"""),45345.64583333333)</f>
        <v>45345.64583</v>
      </c>
      <c r="B26" s="6">
        <f>IFERROR(__xludf.DUMMYFUNCTION("""COMPUTED_VALUE"""),4919.95)</f>
        <v>4919.95</v>
      </c>
      <c r="C26" s="6">
        <f>IFERROR(__xludf.DUMMYFUNCTION("""COMPUTED_VALUE"""),4988.3)</f>
        <v>4988.3</v>
      </c>
      <c r="D26" s="6">
        <f>IFERROR(__xludf.DUMMYFUNCTION("""COMPUTED_VALUE"""),4860.0)</f>
        <v>4860</v>
      </c>
      <c r="E26" s="6">
        <f>IFERROR(__xludf.DUMMYFUNCTION("""COMPUTED_VALUE"""),4936.35)</f>
        <v>4936.35</v>
      </c>
      <c r="F26" s="6">
        <f>IFERROR(__xludf.DUMMYFUNCTION("""COMPUTED_VALUE"""),918950.0)</f>
        <v>918950</v>
      </c>
    </row>
    <row r="27">
      <c r="A27" s="7">
        <f>IFERROR(__xludf.DUMMYFUNCTION("""COMPUTED_VALUE"""),45358.64583333333)</f>
        <v>45358.64583</v>
      </c>
      <c r="B27" s="6">
        <f>IFERROR(__xludf.DUMMYFUNCTION("""COMPUTED_VALUE"""),4906.0)</f>
        <v>4906</v>
      </c>
      <c r="C27" s="6">
        <f>IFERROR(__xludf.DUMMYFUNCTION("""COMPUTED_VALUE"""),4942.45)</f>
        <v>4942.45</v>
      </c>
      <c r="D27" s="6">
        <f>IFERROR(__xludf.DUMMYFUNCTION("""COMPUTED_VALUE"""),4788.75)</f>
        <v>4788.75</v>
      </c>
      <c r="E27" s="6">
        <f>IFERROR(__xludf.DUMMYFUNCTION("""COMPUTED_VALUE"""),4889.15)</f>
        <v>4889.15</v>
      </c>
      <c r="F27" s="6">
        <f>IFERROR(__xludf.DUMMYFUNCTION("""COMPUTED_VALUE"""),872188.0)</f>
        <v>872188</v>
      </c>
    </row>
    <row r="28">
      <c r="A28" s="7">
        <f>IFERROR(__xludf.DUMMYFUNCTION("""COMPUTED_VALUE"""),45366.64583333333)</f>
        <v>45366.64583</v>
      </c>
      <c r="B28" s="6">
        <f>IFERROR(__xludf.DUMMYFUNCTION("""COMPUTED_VALUE"""),4894.05)</f>
        <v>4894.05</v>
      </c>
      <c r="C28" s="6">
        <f>IFERROR(__xludf.DUMMYFUNCTION("""COMPUTED_VALUE"""),5008.7)</f>
        <v>5008.7</v>
      </c>
      <c r="D28" s="6">
        <f>IFERROR(__xludf.DUMMYFUNCTION("""COMPUTED_VALUE"""),4783.0)</f>
        <v>4783</v>
      </c>
      <c r="E28" s="6">
        <f>IFERROR(__xludf.DUMMYFUNCTION("""COMPUTED_VALUE"""),4974.2)</f>
        <v>4974.2</v>
      </c>
      <c r="F28" s="6">
        <f>IFERROR(__xludf.DUMMYFUNCTION("""COMPUTED_VALUE"""),1578142.0)</f>
        <v>1578142</v>
      </c>
    </row>
    <row r="29">
      <c r="A29" s="7">
        <f>IFERROR(__xludf.DUMMYFUNCTION("""COMPUTED_VALUE"""),45373.64583333333)</f>
        <v>45373.64583</v>
      </c>
      <c r="B29" s="6">
        <f>IFERROR(__xludf.DUMMYFUNCTION("""COMPUTED_VALUE"""),4980.0)</f>
        <v>4980</v>
      </c>
      <c r="C29" s="6">
        <f>IFERROR(__xludf.DUMMYFUNCTION("""COMPUTED_VALUE"""),5014.0)</f>
        <v>5014</v>
      </c>
      <c r="D29" s="6">
        <f>IFERROR(__xludf.DUMMYFUNCTION("""COMPUTED_VALUE"""),4760.0)</f>
        <v>4760</v>
      </c>
      <c r="E29" s="6">
        <f>IFERROR(__xludf.DUMMYFUNCTION("""COMPUTED_VALUE"""),4865.0)</f>
        <v>4865</v>
      </c>
      <c r="F29" s="6">
        <f>IFERROR(__xludf.DUMMYFUNCTION("""COMPUTED_VALUE"""),1423546.0)</f>
        <v>1423546</v>
      </c>
    </row>
    <row r="30">
      <c r="A30" s="7">
        <f>IFERROR(__xludf.DUMMYFUNCTION("""COMPUTED_VALUE"""),45379.64583333333)</f>
        <v>45379.64583</v>
      </c>
      <c r="B30" s="6">
        <f>IFERROR(__xludf.DUMMYFUNCTION("""COMPUTED_VALUE"""),4748.4)</f>
        <v>4748.4</v>
      </c>
      <c r="C30" s="6">
        <f>IFERROR(__xludf.DUMMYFUNCTION("""COMPUTED_VALUE"""),4980.0)</f>
        <v>4980</v>
      </c>
      <c r="D30" s="6">
        <f>IFERROR(__xludf.DUMMYFUNCTION("""COMPUTED_VALUE"""),4740.7)</f>
        <v>4740.7</v>
      </c>
      <c r="E30" s="6">
        <f>IFERROR(__xludf.DUMMYFUNCTION("""COMPUTED_VALUE"""),4911.25)</f>
        <v>4911.25</v>
      </c>
      <c r="F30" s="6">
        <f>IFERROR(__xludf.DUMMYFUNCTION("""COMPUTED_VALUE"""),1530461.0)</f>
        <v>1530461</v>
      </c>
    </row>
    <row r="31">
      <c r="A31" s="7">
        <f>IFERROR(__xludf.DUMMYFUNCTION("""COMPUTED_VALUE"""),45387.64583333333)</f>
        <v>45387.64583</v>
      </c>
      <c r="B31" s="6">
        <f>IFERROR(__xludf.DUMMYFUNCTION("""COMPUTED_VALUE"""),4929.95)</f>
        <v>4929.95</v>
      </c>
      <c r="C31" s="6">
        <f>IFERROR(__xludf.DUMMYFUNCTION("""COMPUTED_VALUE"""),4960.7)</f>
        <v>4960.7</v>
      </c>
      <c r="D31" s="6">
        <f>IFERROR(__xludf.DUMMYFUNCTION("""COMPUTED_VALUE"""),4780.6)</f>
        <v>4780.6</v>
      </c>
      <c r="E31" s="6">
        <f>IFERROR(__xludf.DUMMYFUNCTION("""COMPUTED_VALUE"""),4813.05)</f>
        <v>4813.05</v>
      </c>
      <c r="F31" s="6">
        <f>IFERROR(__xludf.DUMMYFUNCTION("""COMPUTED_VALUE"""),1083272.0)</f>
        <v>1083272</v>
      </c>
    </row>
    <row r="32">
      <c r="A32" s="7">
        <f>IFERROR(__xludf.DUMMYFUNCTION("""COMPUTED_VALUE"""),45394.64583333333)</f>
        <v>45394.64583</v>
      </c>
      <c r="B32" s="6">
        <f>IFERROR(__xludf.DUMMYFUNCTION("""COMPUTED_VALUE"""),4825.05)</f>
        <v>4825.05</v>
      </c>
      <c r="C32" s="6">
        <f>IFERROR(__xludf.DUMMYFUNCTION("""COMPUTED_VALUE"""),4850.0)</f>
        <v>4850</v>
      </c>
      <c r="D32" s="6">
        <f>IFERROR(__xludf.DUMMYFUNCTION("""COMPUTED_VALUE"""),4745.0)</f>
        <v>4745</v>
      </c>
      <c r="E32" s="6">
        <f>IFERROR(__xludf.DUMMYFUNCTION("""COMPUTED_VALUE"""),4751.75)</f>
        <v>4751.75</v>
      </c>
      <c r="F32" s="6">
        <f>IFERROR(__xludf.DUMMYFUNCTION("""COMPUTED_VALUE"""),1545781.0)</f>
        <v>1545781</v>
      </c>
    </row>
    <row r="33">
      <c r="A33" s="7">
        <f>IFERROR(__xludf.DUMMYFUNCTION("""COMPUTED_VALUE"""),45401.64583333333)</f>
        <v>45401.64583</v>
      </c>
      <c r="B33" s="6">
        <f>IFERROR(__xludf.DUMMYFUNCTION("""COMPUTED_VALUE"""),4745.0)</f>
        <v>4745</v>
      </c>
      <c r="C33" s="6">
        <f>IFERROR(__xludf.DUMMYFUNCTION("""COMPUTED_VALUE"""),4777.1)</f>
        <v>4777.1</v>
      </c>
      <c r="D33" s="6">
        <f>IFERROR(__xludf.DUMMYFUNCTION("""COMPUTED_VALUE"""),4641.0)</f>
        <v>4641</v>
      </c>
      <c r="E33" s="6">
        <f>IFERROR(__xludf.DUMMYFUNCTION("""COMPUTED_VALUE"""),4668.3)</f>
        <v>4668.3</v>
      </c>
      <c r="F33" s="6">
        <f>IFERROR(__xludf.DUMMYFUNCTION("""COMPUTED_VALUE"""),2034010.0)</f>
        <v>2034010</v>
      </c>
    </row>
    <row r="34">
      <c r="A34" s="7">
        <f>IFERROR(__xludf.DUMMYFUNCTION("""COMPUTED_VALUE"""),45408.64583333333)</f>
        <v>45408.64583</v>
      </c>
      <c r="B34" s="6">
        <f>IFERROR(__xludf.DUMMYFUNCTION("""COMPUTED_VALUE"""),4673.9)</f>
        <v>4673.9</v>
      </c>
      <c r="C34" s="6">
        <f>IFERROR(__xludf.DUMMYFUNCTION("""COMPUTED_VALUE"""),4861.0)</f>
        <v>4861</v>
      </c>
      <c r="D34" s="6">
        <f>IFERROR(__xludf.DUMMYFUNCTION("""COMPUTED_VALUE"""),4662.3)</f>
        <v>4662.3</v>
      </c>
      <c r="E34" s="6">
        <f>IFERROR(__xludf.DUMMYFUNCTION("""COMPUTED_VALUE"""),4800.45)</f>
        <v>4800.45</v>
      </c>
      <c r="F34" s="6">
        <f>IFERROR(__xludf.DUMMYFUNCTION("""COMPUTED_VALUE"""),1728375.0)</f>
        <v>1728375</v>
      </c>
    </row>
    <row r="35">
      <c r="A35" s="7">
        <f>IFERROR(__xludf.DUMMYFUNCTION("""COMPUTED_VALUE"""),45415.64583333333)</f>
        <v>45415.64583</v>
      </c>
      <c r="B35" s="6">
        <f>IFERROR(__xludf.DUMMYFUNCTION("""COMPUTED_VALUE"""),4815.0)</f>
        <v>4815</v>
      </c>
      <c r="C35" s="6">
        <f>IFERROR(__xludf.DUMMYFUNCTION("""COMPUTED_VALUE"""),4825.6)</f>
        <v>4825.6</v>
      </c>
      <c r="D35" s="6">
        <f>IFERROR(__xludf.DUMMYFUNCTION("""COMPUTED_VALUE"""),4707.9)</f>
        <v>4707.9</v>
      </c>
      <c r="E35" s="6">
        <f>IFERROR(__xludf.DUMMYFUNCTION("""COMPUTED_VALUE"""),4744.6)</f>
        <v>4744.6</v>
      </c>
      <c r="F35" s="6">
        <f>IFERROR(__xludf.DUMMYFUNCTION("""COMPUTED_VALUE"""),1255651.0)</f>
        <v>1255651</v>
      </c>
    </row>
    <row r="36">
      <c r="A36" s="7">
        <f>IFERROR(__xludf.DUMMYFUNCTION("""COMPUTED_VALUE"""),45422.64583333333)</f>
        <v>45422.64583</v>
      </c>
      <c r="B36" s="6">
        <f>IFERROR(__xludf.DUMMYFUNCTION("""COMPUTED_VALUE"""),4818.95)</f>
        <v>4818.95</v>
      </c>
      <c r="C36" s="6">
        <f>IFERROR(__xludf.DUMMYFUNCTION("""COMPUTED_VALUE"""),5248.45)</f>
        <v>5248.45</v>
      </c>
      <c r="D36" s="6">
        <f>IFERROR(__xludf.DUMMYFUNCTION("""COMPUTED_VALUE"""),4802.2)</f>
        <v>4802.2</v>
      </c>
      <c r="E36" s="6">
        <f>IFERROR(__xludf.DUMMYFUNCTION("""COMPUTED_VALUE"""),5066.8)</f>
        <v>5066.8</v>
      </c>
      <c r="F36" s="6">
        <f>IFERROR(__xludf.DUMMYFUNCTION("""COMPUTED_VALUE"""),4920200.0)</f>
        <v>4920200</v>
      </c>
    </row>
    <row r="37">
      <c r="A37" s="7">
        <f>IFERROR(__xludf.DUMMYFUNCTION("""COMPUTED_VALUE"""),45436.64583333333)</f>
        <v>45436.64583</v>
      </c>
      <c r="B37" s="6">
        <f>IFERROR(__xludf.DUMMYFUNCTION("""COMPUTED_VALUE"""),5046.0)</f>
        <v>5046</v>
      </c>
      <c r="C37" s="6">
        <f>IFERROR(__xludf.DUMMYFUNCTION("""COMPUTED_VALUE"""),5302.5)</f>
        <v>5302.5</v>
      </c>
      <c r="D37" s="6">
        <f>IFERROR(__xludf.DUMMYFUNCTION("""COMPUTED_VALUE"""),5045.05)</f>
        <v>5045.05</v>
      </c>
      <c r="E37" s="6">
        <f>IFERROR(__xludf.DUMMYFUNCTION("""COMPUTED_VALUE"""),5240.7)</f>
        <v>5240.7</v>
      </c>
      <c r="F37" s="6">
        <f>IFERROR(__xludf.DUMMYFUNCTION("""COMPUTED_VALUE"""),1816174.0)</f>
        <v>1816174</v>
      </c>
    </row>
    <row r="38">
      <c r="A38" s="7">
        <f>IFERROR(__xludf.DUMMYFUNCTION("""COMPUTED_VALUE"""),45443.64583333333)</f>
        <v>45443.64583</v>
      </c>
      <c r="B38" s="6">
        <f>IFERROR(__xludf.DUMMYFUNCTION("""COMPUTED_VALUE"""),5265.0)</f>
        <v>5265</v>
      </c>
      <c r="C38" s="6">
        <f>IFERROR(__xludf.DUMMYFUNCTION("""COMPUTED_VALUE"""),5285.4)</f>
        <v>5285.4</v>
      </c>
      <c r="D38" s="6">
        <f>IFERROR(__xludf.DUMMYFUNCTION("""COMPUTED_VALUE"""),5110.65)</f>
        <v>5110.65</v>
      </c>
      <c r="E38" s="6">
        <f>IFERROR(__xludf.DUMMYFUNCTION("""COMPUTED_VALUE"""),5179.8)</f>
        <v>5179.8</v>
      </c>
      <c r="F38" s="6">
        <f>IFERROR(__xludf.DUMMYFUNCTION("""COMPUTED_VALUE"""),1884437.0)</f>
        <v>1884437</v>
      </c>
    </row>
    <row r="39">
      <c r="A39" s="7">
        <f>IFERROR(__xludf.DUMMYFUNCTION("""COMPUTED_VALUE"""),45450.64583333333)</f>
        <v>45450.64583</v>
      </c>
      <c r="B39" s="6">
        <f>IFERROR(__xludf.DUMMYFUNCTION("""COMPUTED_VALUE"""),5300.0)</f>
        <v>5300</v>
      </c>
      <c r="C39" s="6">
        <f>IFERROR(__xludf.DUMMYFUNCTION("""COMPUTED_VALUE"""),5725.0)</f>
        <v>5725</v>
      </c>
      <c r="D39" s="6">
        <f>IFERROR(__xludf.DUMMYFUNCTION("""COMPUTED_VALUE"""),5127.05)</f>
        <v>5127.05</v>
      </c>
      <c r="E39" s="6">
        <f>IFERROR(__xludf.DUMMYFUNCTION("""COMPUTED_VALUE"""),5463.55)</f>
        <v>5463.55</v>
      </c>
      <c r="F39" s="6">
        <f>IFERROR(__xludf.DUMMYFUNCTION("""COMPUTED_VALUE"""),3233402.0)</f>
        <v>3233402</v>
      </c>
    </row>
    <row r="40">
      <c r="A40" s="7">
        <f>IFERROR(__xludf.DUMMYFUNCTION("""COMPUTED_VALUE"""),45457.64583333333)</f>
        <v>45457.64583</v>
      </c>
      <c r="B40" s="6">
        <f>IFERROR(__xludf.DUMMYFUNCTION("""COMPUTED_VALUE"""),5465.0)</f>
        <v>5465</v>
      </c>
      <c r="C40" s="6">
        <f>IFERROR(__xludf.DUMMYFUNCTION("""COMPUTED_VALUE"""),5606.75)</f>
        <v>5606.75</v>
      </c>
      <c r="D40" s="6">
        <f>IFERROR(__xludf.DUMMYFUNCTION("""COMPUTED_VALUE"""),5341.7)</f>
        <v>5341.7</v>
      </c>
      <c r="E40" s="6">
        <f>IFERROR(__xludf.DUMMYFUNCTION("""COMPUTED_VALUE"""),5393.65)</f>
        <v>5393.65</v>
      </c>
      <c r="F40" s="6">
        <f>IFERROR(__xludf.DUMMYFUNCTION("""COMPUTED_VALUE"""),1647103.0)</f>
        <v>1647103</v>
      </c>
    </row>
    <row r="41">
      <c r="A41" s="7">
        <f>IFERROR(__xludf.DUMMYFUNCTION("""COMPUTED_VALUE"""),45464.64583333333)</f>
        <v>45464.64583</v>
      </c>
      <c r="B41" s="6">
        <f>IFERROR(__xludf.DUMMYFUNCTION("""COMPUTED_VALUE"""),5419.8)</f>
        <v>5419.8</v>
      </c>
      <c r="C41" s="6">
        <f>IFERROR(__xludf.DUMMYFUNCTION("""COMPUTED_VALUE"""),5435.0)</f>
        <v>5435</v>
      </c>
      <c r="D41" s="6">
        <f>IFERROR(__xludf.DUMMYFUNCTION("""COMPUTED_VALUE"""),5317.5)</f>
        <v>5317.5</v>
      </c>
      <c r="E41" s="6">
        <f>IFERROR(__xludf.DUMMYFUNCTION("""COMPUTED_VALUE"""),5330.3)</f>
        <v>5330.3</v>
      </c>
      <c r="F41" s="6">
        <f>IFERROR(__xludf.DUMMYFUNCTION("""COMPUTED_VALUE"""),830994.0)</f>
        <v>830994</v>
      </c>
    </row>
    <row r="42">
      <c r="A42" s="7">
        <f>IFERROR(__xludf.DUMMYFUNCTION("""COMPUTED_VALUE"""),45471.64583333333)</f>
        <v>45471.64583</v>
      </c>
      <c r="B42" s="6">
        <f>IFERROR(__xludf.DUMMYFUNCTION("""COMPUTED_VALUE"""),5315.0)</f>
        <v>5315</v>
      </c>
      <c r="C42" s="6">
        <f>IFERROR(__xludf.DUMMYFUNCTION("""COMPUTED_VALUE"""),5490.0)</f>
        <v>5490</v>
      </c>
      <c r="D42" s="6">
        <f>IFERROR(__xludf.DUMMYFUNCTION("""COMPUTED_VALUE"""),5250.0)</f>
        <v>5250</v>
      </c>
      <c r="E42" s="6">
        <f>IFERROR(__xludf.DUMMYFUNCTION("""COMPUTED_VALUE"""),5475.55)</f>
        <v>5475.55</v>
      </c>
      <c r="F42" s="6">
        <f>IFERROR(__xludf.DUMMYFUNCTION("""COMPUTED_VALUE"""),1418815.0)</f>
        <v>1418815</v>
      </c>
    </row>
    <row r="43">
      <c r="A43" s="7">
        <f>IFERROR(__xludf.DUMMYFUNCTION("""COMPUTED_VALUE"""),45478.64583333333)</f>
        <v>45478.64583</v>
      </c>
      <c r="B43" s="6">
        <f>IFERROR(__xludf.DUMMYFUNCTION("""COMPUTED_VALUE"""),5475.05)</f>
        <v>5475.05</v>
      </c>
      <c r="C43" s="6">
        <f>IFERROR(__xludf.DUMMYFUNCTION("""COMPUTED_VALUE"""),5554.5)</f>
        <v>5554.5</v>
      </c>
      <c r="D43" s="6">
        <f>IFERROR(__xludf.DUMMYFUNCTION("""COMPUTED_VALUE"""),5384.3)</f>
        <v>5384.3</v>
      </c>
      <c r="E43" s="6">
        <f>IFERROR(__xludf.DUMMYFUNCTION("""COMPUTED_VALUE"""),5546.8)</f>
        <v>5546.8</v>
      </c>
      <c r="F43" s="6">
        <f>IFERROR(__xludf.DUMMYFUNCTION("""COMPUTED_VALUE"""),908754.0)</f>
        <v>908754</v>
      </c>
    </row>
    <row r="44">
      <c r="A44" s="7">
        <f>IFERROR(__xludf.DUMMYFUNCTION("""COMPUTED_VALUE"""),45485.64583333333)</f>
        <v>45485.64583</v>
      </c>
      <c r="B44" s="6">
        <f>IFERROR(__xludf.DUMMYFUNCTION("""COMPUTED_VALUE"""),5555.0)</f>
        <v>5555</v>
      </c>
      <c r="C44" s="6">
        <f>IFERROR(__xludf.DUMMYFUNCTION("""COMPUTED_VALUE"""),5805.0)</f>
        <v>5805</v>
      </c>
      <c r="D44" s="6">
        <f>IFERROR(__xludf.DUMMYFUNCTION("""COMPUTED_VALUE"""),5534.05)</f>
        <v>5534.05</v>
      </c>
      <c r="E44" s="6">
        <f>IFERROR(__xludf.DUMMYFUNCTION("""COMPUTED_VALUE"""),5787.05)</f>
        <v>5787.05</v>
      </c>
      <c r="F44" s="6">
        <f>IFERROR(__xludf.DUMMYFUNCTION("""COMPUTED_VALUE"""),1682230.0)</f>
        <v>1682230</v>
      </c>
    </row>
    <row r="45">
      <c r="A45" s="7">
        <f>IFERROR(__xludf.DUMMYFUNCTION("""COMPUTED_VALUE"""),45492.64583333333)</f>
        <v>45492.64583</v>
      </c>
      <c r="B45" s="6">
        <f>IFERROR(__xludf.DUMMYFUNCTION("""COMPUTED_VALUE"""),5807.0)</f>
        <v>5807</v>
      </c>
      <c r="C45" s="6">
        <f>IFERROR(__xludf.DUMMYFUNCTION("""COMPUTED_VALUE"""),5978.0)</f>
        <v>5978</v>
      </c>
      <c r="D45" s="6">
        <f>IFERROR(__xludf.DUMMYFUNCTION("""COMPUTED_VALUE"""),5770.1)</f>
        <v>5770.1</v>
      </c>
      <c r="E45" s="6">
        <f>IFERROR(__xludf.DUMMYFUNCTION("""COMPUTED_VALUE"""),5877.95)</f>
        <v>5877.95</v>
      </c>
      <c r="F45" s="6">
        <f>IFERROR(__xludf.DUMMYFUNCTION("""COMPUTED_VALUE"""),1272283.0)</f>
        <v>1272283</v>
      </c>
    </row>
    <row r="46">
      <c r="A46" s="7">
        <f>IFERROR(__xludf.DUMMYFUNCTION("""COMPUTED_VALUE"""),45499.64583333333)</f>
        <v>45499.64583</v>
      </c>
      <c r="B46" s="6">
        <f>IFERROR(__xludf.DUMMYFUNCTION("""COMPUTED_VALUE"""),5877.95)</f>
        <v>5877.95</v>
      </c>
      <c r="C46" s="6">
        <f>IFERROR(__xludf.DUMMYFUNCTION("""COMPUTED_VALUE"""),6005.0)</f>
        <v>6005</v>
      </c>
      <c r="D46" s="6">
        <f>IFERROR(__xludf.DUMMYFUNCTION("""COMPUTED_VALUE"""),5801.7)</f>
        <v>5801.7</v>
      </c>
      <c r="E46" s="6">
        <f>IFERROR(__xludf.DUMMYFUNCTION("""COMPUTED_VALUE"""),5872.8)</f>
        <v>5872.8</v>
      </c>
      <c r="F46" s="6">
        <f>IFERROR(__xludf.DUMMYFUNCTION("""COMPUTED_VALUE"""),1368239.0)</f>
        <v>1368239</v>
      </c>
    </row>
    <row r="47">
      <c r="A47" s="7">
        <f>IFERROR(__xludf.DUMMYFUNCTION("""COMPUTED_VALUE"""),45506.64583333333)</f>
        <v>45506.64583</v>
      </c>
      <c r="B47" s="6">
        <f>IFERROR(__xludf.DUMMYFUNCTION("""COMPUTED_VALUE"""),5898.0)</f>
        <v>5898</v>
      </c>
      <c r="C47" s="6">
        <f>IFERROR(__xludf.DUMMYFUNCTION("""COMPUTED_VALUE"""),5989.4)</f>
        <v>5989.4</v>
      </c>
      <c r="D47" s="6">
        <f>IFERROR(__xludf.DUMMYFUNCTION("""COMPUTED_VALUE"""),5630.3)</f>
        <v>5630.3</v>
      </c>
      <c r="E47" s="6">
        <f>IFERROR(__xludf.DUMMYFUNCTION("""COMPUTED_VALUE"""),5720.35)</f>
        <v>5720.35</v>
      </c>
      <c r="F47" s="6">
        <f>IFERROR(__xludf.DUMMYFUNCTION("""COMPUTED_VALUE"""),1304236.0)</f>
        <v>1304236</v>
      </c>
    </row>
    <row r="48">
      <c r="A48" s="7">
        <f>IFERROR(__xludf.DUMMYFUNCTION("""COMPUTED_VALUE"""),45513.64583333333)</f>
        <v>45513.64583</v>
      </c>
      <c r="B48" s="6">
        <f>IFERROR(__xludf.DUMMYFUNCTION("""COMPUTED_VALUE"""),5709.95)</f>
        <v>5709.95</v>
      </c>
      <c r="C48" s="6">
        <f>IFERROR(__xludf.DUMMYFUNCTION("""COMPUTED_VALUE"""),5924.8)</f>
        <v>5924.8</v>
      </c>
      <c r="D48" s="6">
        <f>IFERROR(__xludf.DUMMYFUNCTION("""COMPUTED_VALUE"""),5650.05)</f>
        <v>5650.05</v>
      </c>
      <c r="E48" s="6">
        <f>IFERROR(__xludf.DUMMYFUNCTION("""COMPUTED_VALUE"""),5740.3)</f>
        <v>5740.3</v>
      </c>
      <c r="F48" s="6">
        <f>IFERROR(__xludf.DUMMYFUNCTION("""COMPUTED_VALUE"""),2660945.0)</f>
        <v>2660945</v>
      </c>
    </row>
    <row r="49">
      <c r="A49" s="7">
        <f>IFERROR(__xludf.DUMMYFUNCTION("""COMPUTED_VALUE"""),45520.64583333333)</f>
        <v>45520.64583</v>
      </c>
      <c r="B49" s="6">
        <f>IFERROR(__xludf.DUMMYFUNCTION("""COMPUTED_VALUE"""),5745.0)</f>
        <v>5745</v>
      </c>
      <c r="C49" s="6">
        <f>IFERROR(__xludf.DUMMYFUNCTION("""COMPUTED_VALUE"""),5774.5)</f>
        <v>5774.5</v>
      </c>
      <c r="D49" s="6">
        <f>IFERROR(__xludf.DUMMYFUNCTION("""COMPUTED_VALUE"""),5594.15)</f>
        <v>5594.15</v>
      </c>
      <c r="E49" s="6">
        <f>IFERROR(__xludf.DUMMYFUNCTION("""COMPUTED_VALUE"""),5729.65)</f>
        <v>5729.65</v>
      </c>
      <c r="F49" s="6">
        <f>IFERROR(__xludf.DUMMYFUNCTION("""COMPUTED_VALUE"""),1168242.0)</f>
        <v>1168242</v>
      </c>
    </row>
    <row r="50">
      <c r="A50" s="7">
        <f>IFERROR(__xludf.DUMMYFUNCTION("""COMPUTED_VALUE"""),45527.64583333333)</f>
        <v>45527.64583</v>
      </c>
      <c r="B50" s="6">
        <f>IFERROR(__xludf.DUMMYFUNCTION("""COMPUTED_VALUE"""),5745.0)</f>
        <v>5745</v>
      </c>
      <c r="C50" s="6">
        <f>IFERROR(__xludf.DUMMYFUNCTION("""COMPUTED_VALUE"""),5858.0)</f>
        <v>5858</v>
      </c>
      <c r="D50" s="6">
        <f>IFERROR(__xludf.DUMMYFUNCTION("""COMPUTED_VALUE"""),5718.1)</f>
        <v>5718.1</v>
      </c>
      <c r="E50" s="6">
        <f>IFERROR(__xludf.DUMMYFUNCTION("""COMPUTED_VALUE"""),5792.65)</f>
        <v>5792.65</v>
      </c>
      <c r="F50" s="6">
        <f>IFERROR(__xludf.DUMMYFUNCTION("""COMPUTED_VALUE"""),745291.0)</f>
        <v>745291</v>
      </c>
    </row>
    <row r="51">
      <c r="A51" s="7">
        <f>IFERROR(__xludf.DUMMYFUNCTION("""COMPUTED_VALUE"""),45534.64583333333)</f>
        <v>45534.64583</v>
      </c>
      <c r="B51" s="6">
        <f>IFERROR(__xludf.DUMMYFUNCTION("""COMPUTED_VALUE"""),5800.0)</f>
        <v>5800</v>
      </c>
      <c r="C51" s="6">
        <f>IFERROR(__xludf.DUMMYFUNCTION("""COMPUTED_VALUE"""),5908.9)</f>
        <v>5908.9</v>
      </c>
      <c r="D51" s="6">
        <f>IFERROR(__xludf.DUMMYFUNCTION("""COMPUTED_VALUE"""),5690.05)</f>
        <v>5690.05</v>
      </c>
      <c r="E51" s="6">
        <f>IFERROR(__xludf.DUMMYFUNCTION("""COMPUTED_VALUE"""),5855.25)</f>
        <v>5855.25</v>
      </c>
      <c r="F51" s="6">
        <f>IFERROR(__xludf.DUMMYFUNCTION("""COMPUTED_VALUE"""),1473009.0)</f>
        <v>1473009</v>
      </c>
    </row>
    <row r="52">
      <c r="A52" s="7">
        <f>IFERROR(__xludf.DUMMYFUNCTION("""COMPUTED_VALUE"""),45541.64583333333)</f>
        <v>45541.64583</v>
      </c>
      <c r="B52" s="6">
        <f>IFERROR(__xludf.DUMMYFUNCTION("""COMPUTED_VALUE"""),5882.05)</f>
        <v>5882.05</v>
      </c>
      <c r="C52" s="6">
        <f>IFERROR(__xludf.DUMMYFUNCTION("""COMPUTED_VALUE"""),5944.0)</f>
        <v>5944</v>
      </c>
      <c r="D52" s="6">
        <f>IFERROR(__xludf.DUMMYFUNCTION("""COMPUTED_VALUE"""),5827.1)</f>
        <v>5827.1</v>
      </c>
      <c r="E52" s="6">
        <f>IFERROR(__xludf.DUMMYFUNCTION("""COMPUTED_VALUE"""),5843.55)</f>
        <v>5843.55</v>
      </c>
      <c r="F52" s="6">
        <f>IFERROR(__xludf.DUMMYFUNCTION("""COMPUTED_VALUE"""),1168009.0)</f>
        <v>1168009</v>
      </c>
    </row>
    <row r="53">
      <c r="A53" s="7">
        <f>IFERROR(__xludf.DUMMYFUNCTION("""COMPUTED_VALUE"""),45548.64583333333)</f>
        <v>45548.64583</v>
      </c>
      <c r="B53" s="6">
        <f>IFERROR(__xludf.DUMMYFUNCTION("""COMPUTED_VALUE"""),5859.95)</f>
        <v>5859.95</v>
      </c>
      <c r="C53" s="6">
        <f>IFERROR(__xludf.DUMMYFUNCTION("""COMPUTED_VALUE"""),6148.8)</f>
        <v>6148.8</v>
      </c>
      <c r="D53" s="6">
        <f>IFERROR(__xludf.DUMMYFUNCTION("""COMPUTED_VALUE"""),5846.2)</f>
        <v>5846.2</v>
      </c>
      <c r="E53" s="6">
        <f>IFERROR(__xludf.DUMMYFUNCTION("""COMPUTED_VALUE"""),6133.1)</f>
        <v>6133.1</v>
      </c>
      <c r="F53" s="6">
        <f>IFERROR(__xludf.DUMMYFUNCTION("""COMPUTED_VALUE"""),1919669.0)</f>
        <v>1919669</v>
      </c>
    </row>
    <row r="54">
      <c r="A54" s="7">
        <f>IFERROR(__xludf.DUMMYFUNCTION("""COMPUTED_VALUE"""),45555.64583333333)</f>
        <v>45555.64583</v>
      </c>
      <c r="B54" s="6">
        <f>IFERROR(__xludf.DUMMYFUNCTION("""COMPUTED_VALUE"""),6000.0)</f>
        <v>6000</v>
      </c>
      <c r="C54" s="6">
        <f>IFERROR(__xludf.DUMMYFUNCTION("""COMPUTED_VALUE"""),6258.65)</f>
        <v>6258.65</v>
      </c>
      <c r="D54" s="6">
        <f>IFERROR(__xludf.DUMMYFUNCTION("""COMPUTED_VALUE"""),5936.8)</f>
        <v>5936.8</v>
      </c>
      <c r="E54" s="6">
        <f>IFERROR(__xludf.DUMMYFUNCTION("""COMPUTED_VALUE"""),6210.55)</f>
        <v>6210.55</v>
      </c>
      <c r="F54" s="6">
        <f>IFERROR(__xludf.DUMMYFUNCTION("""COMPUTED_VALUE"""),2124621.0)</f>
        <v>2124621</v>
      </c>
    </row>
    <row r="55">
      <c r="A55" s="7">
        <f>IFERROR(__xludf.DUMMYFUNCTION("""COMPUTED_VALUE"""),45562.64583333333)</f>
        <v>45562.64583</v>
      </c>
      <c r="B55" s="6">
        <f>IFERROR(__xludf.DUMMYFUNCTION("""COMPUTED_VALUE"""),6235.25)</f>
        <v>6235.25</v>
      </c>
      <c r="C55" s="6">
        <f>IFERROR(__xludf.DUMMYFUNCTION("""COMPUTED_VALUE"""),6332.95)</f>
        <v>6332.95</v>
      </c>
      <c r="D55" s="6">
        <f>IFERROR(__xludf.DUMMYFUNCTION("""COMPUTED_VALUE"""),6101.55)</f>
        <v>6101.55</v>
      </c>
      <c r="E55" s="6">
        <f>IFERROR(__xludf.DUMMYFUNCTION("""COMPUTED_VALUE"""),6268.8)</f>
        <v>6268.8</v>
      </c>
      <c r="F55" s="6">
        <f>IFERROR(__xludf.DUMMYFUNCTION("""COMPUTED_VALUE"""),1632254.0)</f>
        <v>1632254</v>
      </c>
    </row>
    <row r="56">
      <c r="A56" s="7">
        <f>IFERROR(__xludf.DUMMYFUNCTION("""COMPUTED_VALUE"""),45569.64583333333)</f>
        <v>45569.64583</v>
      </c>
      <c r="B56" s="6">
        <f>IFERROR(__xludf.DUMMYFUNCTION("""COMPUTED_VALUE"""),6252.65)</f>
        <v>6252.65</v>
      </c>
      <c r="C56" s="6">
        <f>IFERROR(__xludf.DUMMYFUNCTION("""COMPUTED_VALUE"""),6469.9)</f>
        <v>6469.9</v>
      </c>
      <c r="D56" s="6">
        <f>IFERROR(__xludf.DUMMYFUNCTION("""COMPUTED_VALUE"""),6179.85)</f>
        <v>6179.85</v>
      </c>
      <c r="E56" s="6">
        <f>IFERROR(__xludf.DUMMYFUNCTION("""COMPUTED_VALUE"""),6206.0)</f>
        <v>6206</v>
      </c>
      <c r="F56" s="6">
        <f>IFERROR(__xludf.DUMMYFUNCTION("""COMPUTED_VALUE"""),1750800.0)</f>
        <v>1750800</v>
      </c>
    </row>
    <row r="57">
      <c r="A57" s="7">
        <f>IFERROR(__xludf.DUMMYFUNCTION("""COMPUTED_VALUE"""),45576.64583333333)</f>
        <v>45576.64583</v>
      </c>
      <c r="B57" s="6">
        <f>IFERROR(__xludf.DUMMYFUNCTION("""COMPUTED_VALUE"""),6222.65)</f>
        <v>6222.65</v>
      </c>
      <c r="C57" s="6">
        <f>IFERROR(__xludf.DUMMYFUNCTION("""COMPUTED_VALUE"""),6235.0)</f>
        <v>6235</v>
      </c>
      <c r="D57" s="6">
        <f>IFERROR(__xludf.DUMMYFUNCTION("""COMPUTED_VALUE"""),5961.1)</f>
        <v>5961.1</v>
      </c>
      <c r="E57" s="6">
        <f>IFERROR(__xludf.DUMMYFUNCTION("""COMPUTED_VALUE"""),5978.5)</f>
        <v>5978.5</v>
      </c>
      <c r="F57" s="6">
        <f>IFERROR(__xludf.DUMMYFUNCTION("""COMPUTED_VALUE"""),2016586.0)</f>
        <v>2016586</v>
      </c>
    </row>
    <row r="58">
      <c r="A58" s="7">
        <f>IFERROR(__xludf.DUMMYFUNCTION("""COMPUTED_VALUE"""),45583.64583333333)</f>
        <v>45583.64583</v>
      </c>
      <c r="B58" s="6">
        <f>IFERROR(__xludf.DUMMYFUNCTION("""COMPUTED_VALUE"""),6005.1)</f>
        <v>6005.1</v>
      </c>
      <c r="C58" s="6">
        <f>IFERROR(__xludf.DUMMYFUNCTION("""COMPUTED_VALUE"""),6114.0)</f>
        <v>6114</v>
      </c>
      <c r="D58" s="6">
        <f>IFERROR(__xludf.DUMMYFUNCTION("""COMPUTED_VALUE"""),5870.0)</f>
        <v>5870</v>
      </c>
      <c r="E58" s="6">
        <f>IFERROR(__xludf.DUMMYFUNCTION("""COMPUTED_VALUE"""),5887.2)</f>
        <v>5887.2</v>
      </c>
      <c r="F58" s="6">
        <f>IFERROR(__xludf.DUMMYFUNCTION("""COMPUTED_VALUE"""),1465515.0)</f>
        <v>1465515</v>
      </c>
    </row>
    <row r="59">
      <c r="A59" s="7">
        <f>IFERROR(__xludf.DUMMYFUNCTION("""COMPUTED_VALUE"""),45590.64583333333)</f>
        <v>45590.64583</v>
      </c>
      <c r="B59" s="6">
        <f>IFERROR(__xludf.DUMMYFUNCTION("""COMPUTED_VALUE"""),5887.2)</f>
        <v>5887.2</v>
      </c>
      <c r="C59" s="6">
        <f>IFERROR(__xludf.DUMMYFUNCTION("""COMPUTED_VALUE"""),5895.5)</f>
        <v>5895.5</v>
      </c>
      <c r="D59" s="6">
        <f>IFERROR(__xludf.DUMMYFUNCTION("""COMPUTED_VALUE"""),5601.6)</f>
        <v>5601.6</v>
      </c>
      <c r="E59" s="6">
        <f>IFERROR(__xludf.DUMMYFUNCTION("""COMPUTED_VALUE"""),5669.4)</f>
        <v>5669.4</v>
      </c>
      <c r="F59" s="6">
        <f>IFERROR(__xludf.DUMMYFUNCTION("""COMPUTED_VALUE"""),1186918.0)</f>
        <v>1186918</v>
      </c>
    </row>
    <row r="60">
      <c r="A60" s="7">
        <f>IFERROR(__xludf.DUMMYFUNCTION("""COMPUTED_VALUE"""),45604.64583333333)</f>
        <v>45604.64583</v>
      </c>
      <c r="B60" s="6">
        <f>IFERROR(__xludf.DUMMYFUNCTION("""COMPUTED_VALUE"""),5685.0)</f>
        <v>5685</v>
      </c>
      <c r="C60" s="6">
        <f>IFERROR(__xludf.DUMMYFUNCTION("""COMPUTED_VALUE"""),5792.85)</f>
        <v>5792.85</v>
      </c>
      <c r="D60" s="6">
        <f>IFERROR(__xludf.DUMMYFUNCTION("""COMPUTED_VALUE"""),5541.85)</f>
        <v>5541.85</v>
      </c>
      <c r="E60" s="6">
        <f>IFERROR(__xludf.DUMMYFUNCTION("""COMPUTED_VALUE"""),5747.15)</f>
        <v>5747.15</v>
      </c>
      <c r="F60" s="6">
        <f>IFERROR(__xludf.DUMMYFUNCTION("""COMPUTED_VALUE"""),1260268.0)</f>
        <v>1260268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IFERROR(__xludf.DUMMYFUNCTION("""COMPUTED_VALUE"""),5801.65)</f>
        <v>5801.65</v>
      </c>
      <c r="C61" s="6">
        <f>IFERROR(__xludf.DUMMYFUNCTION("""COMPUTED_VALUE"""),5902.15)</f>
        <v>5902.15</v>
      </c>
      <c r="D61" s="6">
        <f>IFERROR(__xludf.DUMMYFUNCTION("""COMPUTED_VALUE"""),4901.0)</f>
        <v>4901</v>
      </c>
      <c r="E61" s="6">
        <f>IFERROR(__xludf.DUMMYFUNCTION("""COMPUTED_VALUE"""),4915.6)</f>
        <v>4915.6</v>
      </c>
      <c r="F61" s="6">
        <f>IFERROR(__xludf.DUMMYFUNCTION("""COMPUTED_VALUE"""),4654256.0)</f>
        <v>4654256</v>
      </c>
    </row>
    <row r="62">
      <c r="A62" s="7">
        <f>IFERROR(__xludf.DUMMYFUNCTION("""COMPUTED_VALUE"""),45618.64583333333)</f>
        <v>45618.64583</v>
      </c>
      <c r="B62" s="6">
        <f>IFERROR(__xludf.DUMMYFUNCTION("""COMPUTED_VALUE"""),4970.0)</f>
        <v>4970</v>
      </c>
      <c r="C62" s="6">
        <f>IFERROR(__xludf.DUMMYFUNCTION("""COMPUTED_VALUE"""),4970.0)</f>
        <v>4970</v>
      </c>
      <c r="D62" s="6">
        <f>IFERROR(__xludf.DUMMYFUNCTION("""COMPUTED_VALUE"""),4746.9)</f>
        <v>4746.9</v>
      </c>
      <c r="E62" s="6">
        <f>IFERROR(__xludf.DUMMYFUNCTION("""COMPUTED_VALUE"""),4848.35)</f>
        <v>4848.35</v>
      </c>
      <c r="F62" s="6">
        <f>IFERROR(__xludf.DUMMYFUNCTION("""COMPUTED_VALUE"""),2322317.0)</f>
        <v>2322317</v>
      </c>
    </row>
    <row r="63">
      <c r="A63" s="7">
        <f>IFERROR(__xludf.DUMMYFUNCTION("""COMPUTED_VALUE"""),45625.64583333333)</f>
        <v>45625.64583</v>
      </c>
      <c r="B63" s="6">
        <f>IFERROR(__xludf.DUMMYFUNCTION("""COMPUTED_VALUE"""),4905.0)</f>
        <v>4905</v>
      </c>
      <c r="C63" s="6">
        <f>IFERROR(__xludf.DUMMYFUNCTION("""COMPUTED_VALUE"""),5030.3)</f>
        <v>5030.3</v>
      </c>
      <c r="D63" s="6">
        <f>IFERROR(__xludf.DUMMYFUNCTION("""COMPUTED_VALUE"""),4874.0)</f>
        <v>4874</v>
      </c>
      <c r="E63" s="6">
        <f>IFERROR(__xludf.DUMMYFUNCTION("""COMPUTED_VALUE"""),4941.15)</f>
        <v>4941.15</v>
      </c>
      <c r="F63" s="6">
        <f>IFERROR(__xludf.DUMMYFUNCTION("""COMPUTED_VALUE"""),1826904.0)</f>
        <v>1826904</v>
      </c>
    </row>
    <row r="64">
      <c r="A64" s="7">
        <f>IFERROR(__xludf.DUMMYFUNCTION("""COMPUTED_VALUE"""),45632.64583333333)</f>
        <v>45632.64583</v>
      </c>
      <c r="B64" s="6">
        <f>IFERROR(__xludf.DUMMYFUNCTION("""COMPUTED_VALUE"""),4930.5)</f>
        <v>4930.5</v>
      </c>
      <c r="C64" s="6">
        <f>IFERROR(__xludf.DUMMYFUNCTION("""COMPUTED_VALUE"""),4973.9)</f>
        <v>4973.9</v>
      </c>
      <c r="D64" s="6">
        <f>IFERROR(__xludf.DUMMYFUNCTION("""COMPUTED_VALUE"""),4805.6)</f>
        <v>4805.6</v>
      </c>
      <c r="E64" s="6">
        <f>IFERROR(__xludf.DUMMYFUNCTION("""COMPUTED_VALUE"""),4870.85)</f>
        <v>4870.85</v>
      </c>
      <c r="F64" s="6">
        <f>IFERROR(__xludf.DUMMYFUNCTION("""COMPUTED_VALUE"""),1759435.0)</f>
        <v>1759435</v>
      </c>
    </row>
    <row r="65">
      <c r="A65" s="7">
        <f>IFERROR(__xludf.DUMMYFUNCTION("""COMPUTED_VALUE"""),45639.64583333333)</f>
        <v>45639.64583</v>
      </c>
      <c r="B65" s="6">
        <f>IFERROR(__xludf.DUMMYFUNCTION("""COMPUTED_VALUE"""),4844.95)</f>
        <v>4844.95</v>
      </c>
      <c r="C65" s="6">
        <f>IFERROR(__xludf.DUMMYFUNCTION("""COMPUTED_VALUE"""),4915.0)</f>
        <v>4915</v>
      </c>
      <c r="D65" s="6">
        <f>IFERROR(__xludf.DUMMYFUNCTION("""COMPUTED_VALUE"""),4750.05)</f>
        <v>4750.05</v>
      </c>
      <c r="E65" s="6">
        <f>IFERROR(__xludf.DUMMYFUNCTION("""COMPUTED_VALUE"""),4850.1)</f>
        <v>4850.1</v>
      </c>
      <c r="F65" s="6">
        <f>IFERROR(__xludf.DUMMYFUNCTION("""COMPUTED_VALUE"""),1780605.0)</f>
        <v>1780605</v>
      </c>
    </row>
    <row r="66">
      <c r="A66" s="7">
        <f>IFERROR(__xludf.DUMMYFUNCTION("""COMPUTED_VALUE"""),45646.64583333333)</f>
        <v>45646.64583</v>
      </c>
      <c r="B66" s="6">
        <f>IFERROR(__xludf.DUMMYFUNCTION("""COMPUTED_VALUE"""),4869.0)</f>
        <v>4869</v>
      </c>
      <c r="C66" s="6">
        <f>IFERROR(__xludf.DUMMYFUNCTION("""COMPUTED_VALUE"""),4869.0)</f>
        <v>4869</v>
      </c>
      <c r="D66" s="6">
        <f>IFERROR(__xludf.DUMMYFUNCTION("""COMPUTED_VALUE"""),4680.5)</f>
        <v>4680.5</v>
      </c>
      <c r="E66" s="6">
        <f>IFERROR(__xludf.DUMMYFUNCTION("""COMPUTED_VALUE"""),4698.1)</f>
        <v>4698.1</v>
      </c>
      <c r="F66" s="6">
        <f>IFERROR(__xludf.DUMMYFUNCTION("""COMPUTED_VALUE"""),1361074.0)</f>
        <v>1361074</v>
      </c>
    </row>
    <row r="67">
      <c r="A67" s="7">
        <f>IFERROR(__xludf.DUMMYFUNCTION("""COMPUTED_VALUE"""),45653.64583333333)</f>
        <v>45653.64583</v>
      </c>
      <c r="B67" s="6">
        <f>IFERROR(__xludf.DUMMYFUNCTION("""COMPUTED_VALUE"""),4705.0)</f>
        <v>4705</v>
      </c>
      <c r="C67" s="6">
        <f>IFERROR(__xludf.DUMMYFUNCTION("""COMPUTED_VALUE"""),4807.35)</f>
        <v>4807.35</v>
      </c>
      <c r="D67" s="6">
        <f>IFERROR(__xludf.DUMMYFUNCTION("""COMPUTED_VALUE"""),4663.8)</f>
        <v>4663.8</v>
      </c>
      <c r="E67" s="6">
        <f>IFERROR(__xludf.DUMMYFUNCTION("""COMPUTED_VALUE"""),4769.3)</f>
        <v>4769.3</v>
      </c>
      <c r="F67" s="6">
        <f>IFERROR(__xludf.DUMMYFUNCTION("""COMPUTED_VALUE"""),1089848.0)</f>
        <v>1089848</v>
      </c>
    </row>
    <row r="68">
      <c r="A68" s="7">
        <f>IFERROR(__xludf.DUMMYFUNCTION("""COMPUTED_VALUE"""),45660.64583333333)</f>
        <v>45660.64583</v>
      </c>
      <c r="B68" s="6">
        <f>IFERROR(__xludf.DUMMYFUNCTION("""COMPUTED_VALUE"""),4759.7)</f>
        <v>4759.7</v>
      </c>
      <c r="C68" s="6">
        <f>IFERROR(__xludf.DUMMYFUNCTION("""COMPUTED_VALUE"""),4859.45)</f>
        <v>4859.45</v>
      </c>
      <c r="D68" s="6">
        <f>IFERROR(__xludf.DUMMYFUNCTION("""COMPUTED_VALUE"""),4723.1)</f>
        <v>4723.1</v>
      </c>
      <c r="E68" s="6">
        <f>IFERROR(__xludf.DUMMYFUNCTION("""COMPUTED_VALUE"""),4834.1)</f>
        <v>4834.1</v>
      </c>
      <c r="F68" s="6">
        <f>IFERROR(__xludf.DUMMYFUNCTION("""COMPUTED_VALUE"""),1359195.0)</f>
        <v>1359195</v>
      </c>
    </row>
    <row r="69">
      <c r="A69" s="7">
        <f>IFERROR(__xludf.DUMMYFUNCTION("""COMPUTED_VALUE"""),45667.64583333333)</f>
        <v>45667.64583</v>
      </c>
      <c r="B69" s="6">
        <f>IFERROR(__xludf.DUMMYFUNCTION("""COMPUTED_VALUE"""),4873.5)</f>
        <v>4873.5</v>
      </c>
      <c r="C69" s="6">
        <f>IFERROR(__xludf.DUMMYFUNCTION("""COMPUTED_VALUE"""),5050.0)</f>
        <v>5050</v>
      </c>
      <c r="D69" s="6">
        <f>IFERROR(__xludf.DUMMYFUNCTION("""COMPUTED_VALUE"""),4760.15)</f>
        <v>4760.15</v>
      </c>
      <c r="E69" s="6">
        <f>IFERROR(__xludf.DUMMYFUNCTION("""COMPUTED_VALUE"""),4939.2)</f>
        <v>4939.2</v>
      </c>
      <c r="F69" s="6">
        <f>IFERROR(__xludf.DUMMYFUNCTION("""COMPUTED_VALUE"""),2579718.0)</f>
        <v>2579718</v>
      </c>
    </row>
    <row r="70">
      <c r="A70" s="7">
        <f>IFERROR(__xludf.DUMMYFUNCTION("""COMPUTED_VALUE"""),45674.64583333333)</f>
        <v>45674.64583</v>
      </c>
      <c r="B70" s="6">
        <f>IFERROR(__xludf.DUMMYFUNCTION("""COMPUTED_VALUE"""),4922.2)</f>
        <v>4922.2</v>
      </c>
      <c r="C70" s="6">
        <f>IFERROR(__xludf.DUMMYFUNCTION("""COMPUTED_VALUE"""),4997.9)</f>
        <v>4997.9</v>
      </c>
      <c r="D70" s="6">
        <f>IFERROR(__xludf.DUMMYFUNCTION("""COMPUTED_VALUE"""),4743.1)</f>
        <v>4743.1</v>
      </c>
      <c r="E70" s="6">
        <f>IFERROR(__xludf.DUMMYFUNCTION("""COMPUTED_VALUE"""),4854.4)</f>
        <v>4854.4</v>
      </c>
      <c r="F70" s="6">
        <f>IFERROR(__xludf.DUMMYFUNCTION("""COMPUTED_VALUE"""),1921603.0)</f>
        <v>1921603</v>
      </c>
    </row>
    <row r="71">
      <c r="A71" s="7">
        <f>IFERROR(__xludf.DUMMYFUNCTION("""COMPUTED_VALUE"""),45681.64583333333)</f>
        <v>45681.64583</v>
      </c>
      <c r="B71" s="6">
        <f>IFERROR(__xludf.DUMMYFUNCTION("""COMPUTED_VALUE"""),4860.0)</f>
        <v>4860</v>
      </c>
      <c r="C71" s="6">
        <f>IFERROR(__xludf.DUMMYFUNCTION("""COMPUTED_VALUE"""),5108.0)</f>
        <v>5108</v>
      </c>
      <c r="D71" s="6">
        <f>IFERROR(__xludf.DUMMYFUNCTION("""COMPUTED_VALUE"""),4836.65)</f>
        <v>4836.65</v>
      </c>
      <c r="E71" s="6">
        <f>IFERROR(__xludf.DUMMYFUNCTION("""COMPUTED_VALUE"""),5101.55)</f>
        <v>5101.55</v>
      </c>
      <c r="F71" s="6">
        <f>IFERROR(__xludf.DUMMYFUNCTION("""COMPUTED_VALUE"""),1864587.0)</f>
        <v>1864587</v>
      </c>
    </row>
    <row r="72">
      <c r="A72" s="7">
        <f>IFERROR(__xludf.DUMMYFUNCTION("""COMPUTED_VALUE"""),45695.64583333333)</f>
        <v>45695.64583</v>
      </c>
      <c r="B72" s="6">
        <f>IFERROR(__xludf.DUMMYFUNCTION("""COMPUTED_VALUE"""),5232.6)</f>
        <v>5232.6</v>
      </c>
      <c r="C72" s="6">
        <f>IFERROR(__xludf.DUMMYFUNCTION("""COMPUTED_VALUE"""),5232.6)</f>
        <v>5232.6</v>
      </c>
      <c r="D72" s="6">
        <f>IFERROR(__xludf.DUMMYFUNCTION("""COMPUTED_VALUE"""),4844.0)</f>
        <v>4844</v>
      </c>
      <c r="E72" s="6">
        <f>IFERROR(__xludf.DUMMYFUNCTION("""COMPUTED_VALUE"""),4870.5)</f>
        <v>4870.5</v>
      </c>
      <c r="F72" s="6">
        <f>IFERROR(__xludf.DUMMYFUNCTION("""COMPUTED_VALUE"""),2505087.0)</f>
        <v>2505087</v>
      </c>
    </row>
    <row r="73">
      <c r="A73" s="7">
        <f>IFERROR(__xludf.DUMMYFUNCTION("""COMPUTED_VALUE"""),45702.64583333333)</f>
        <v>45702.64583</v>
      </c>
      <c r="B73" s="6">
        <f>IFERROR(__xludf.DUMMYFUNCTION("""COMPUTED_VALUE"""),4915.0)</f>
        <v>4915</v>
      </c>
      <c r="C73" s="6">
        <f>IFERROR(__xludf.DUMMYFUNCTION("""COMPUTED_VALUE"""),5009.0)</f>
        <v>5009</v>
      </c>
      <c r="D73" s="6">
        <f>IFERROR(__xludf.DUMMYFUNCTION("""COMPUTED_VALUE"""),4843.55)</f>
        <v>4843.55</v>
      </c>
      <c r="E73" s="6">
        <f>IFERROR(__xludf.DUMMYFUNCTION("""COMPUTED_VALUE"""),4939.65)</f>
        <v>4939.65</v>
      </c>
      <c r="F73" s="6">
        <f>IFERROR(__xludf.DUMMYFUNCTION("""COMPUTED_VALUE"""),2071934.0)</f>
        <v>2071934</v>
      </c>
    </row>
    <row r="74">
      <c r="A74" s="7">
        <f>IFERROR(__xludf.DUMMYFUNCTION("""COMPUTED_VALUE"""),45709.64583333333)</f>
        <v>45709.64583</v>
      </c>
      <c r="B74" s="6">
        <f>IFERROR(__xludf.DUMMYFUNCTION("""COMPUTED_VALUE"""),4934.5)</f>
        <v>4934.5</v>
      </c>
      <c r="C74" s="6">
        <f>IFERROR(__xludf.DUMMYFUNCTION("""COMPUTED_VALUE"""),4969.0)</f>
        <v>4969</v>
      </c>
      <c r="D74" s="6">
        <f>IFERROR(__xludf.DUMMYFUNCTION("""COMPUTED_VALUE"""),4783.55)</f>
        <v>4783.55</v>
      </c>
      <c r="E74" s="6">
        <f>IFERROR(__xludf.DUMMYFUNCTION("""COMPUTED_VALUE"""),4831.9)</f>
        <v>4831.9</v>
      </c>
      <c r="F74" s="6">
        <f>IFERROR(__xludf.DUMMYFUNCTION("""COMPUTED_VALUE"""),1459251.0)</f>
        <v>1459251</v>
      </c>
    </row>
    <row r="75">
      <c r="A75" s="7">
        <f>IFERROR(__xludf.DUMMYFUNCTION("""COMPUTED_VALUE"""),45716.64583333333)</f>
        <v>45716.64583</v>
      </c>
      <c r="B75" s="6">
        <f>IFERROR(__xludf.DUMMYFUNCTION("""COMPUTED_VALUE"""),4750.0)</f>
        <v>4750</v>
      </c>
      <c r="C75" s="6">
        <f>IFERROR(__xludf.DUMMYFUNCTION("""COMPUTED_VALUE"""),4860.7)</f>
        <v>4860.7</v>
      </c>
      <c r="D75" s="6">
        <f>IFERROR(__xludf.DUMMYFUNCTION("""COMPUTED_VALUE"""),4553.8)</f>
        <v>4553.8</v>
      </c>
      <c r="E75" s="6">
        <f>IFERROR(__xludf.DUMMYFUNCTION("""COMPUTED_VALUE"""),4595.45)</f>
        <v>4595.45</v>
      </c>
      <c r="F75" s="6">
        <f>IFERROR(__xludf.DUMMYFUNCTION("""COMPUTED_VALUE"""),1802590.0)</f>
        <v>1802590</v>
      </c>
    </row>
    <row r="76">
      <c r="A76" s="7">
        <f>IFERROR(__xludf.DUMMYFUNCTION("""COMPUTED_VALUE"""),45723.64583333333)</f>
        <v>45723.64583</v>
      </c>
      <c r="B76" s="6">
        <f>IFERROR(__xludf.DUMMYFUNCTION("""COMPUTED_VALUE"""),4595.45)</f>
        <v>4595.45</v>
      </c>
      <c r="C76" s="6">
        <f>IFERROR(__xludf.DUMMYFUNCTION("""COMPUTED_VALUE"""),4799.9)</f>
        <v>4799.9</v>
      </c>
      <c r="D76" s="6">
        <f>IFERROR(__xludf.DUMMYFUNCTION("""COMPUTED_VALUE"""),4506.0)</f>
        <v>4506</v>
      </c>
      <c r="E76" s="6">
        <f>IFERROR(__xludf.DUMMYFUNCTION("""COMPUTED_VALUE"""),4748.25)</f>
        <v>4748.25</v>
      </c>
      <c r="F76" s="6">
        <f>IFERROR(__xludf.DUMMYFUNCTION("""COMPUTED_VALUE"""),1736771.0)</f>
        <v>1736771</v>
      </c>
    </row>
    <row r="77">
      <c r="A77" s="7">
        <f>IFERROR(__xludf.DUMMYFUNCTION("""COMPUTED_VALUE"""),45729.64583333333)</f>
        <v>45729.64583</v>
      </c>
      <c r="B77" s="6">
        <f>IFERROR(__xludf.DUMMYFUNCTION("""COMPUTED_VALUE"""),4749.0)</f>
        <v>4749</v>
      </c>
      <c r="C77" s="6">
        <f>IFERROR(__xludf.DUMMYFUNCTION("""COMPUTED_VALUE"""),4838.0)</f>
        <v>4838</v>
      </c>
      <c r="D77" s="6">
        <f>IFERROR(__xludf.DUMMYFUNCTION("""COMPUTED_VALUE"""),4710.05)</f>
        <v>4710.05</v>
      </c>
      <c r="E77" s="6">
        <f>IFERROR(__xludf.DUMMYFUNCTION("""COMPUTED_VALUE"""),4728.25)</f>
        <v>4728.25</v>
      </c>
      <c r="F77" s="6">
        <f>IFERROR(__xludf.DUMMYFUNCTION("""COMPUTED_VALUE"""),945167.0)</f>
        <v>945167</v>
      </c>
    </row>
    <row r="78">
      <c r="A78" s="7">
        <f>IFERROR(__xludf.DUMMYFUNCTION("""COMPUTED_VALUE"""),45737.64583333333)</f>
        <v>45737.64583</v>
      </c>
      <c r="B78" s="6">
        <f>IFERROR(__xludf.DUMMYFUNCTION("""COMPUTED_VALUE"""),4695.65)</f>
        <v>4695.65</v>
      </c>
      <c r="C78" s="6">
        <f>IFERROR(__xludf.DUMMYFUNCTION("""COMPUTED_VALUE"""),4853.15)</f>
        <v>4853.15</v>
      </c>
      <c r="D78" s="6">
        <f>IFERROR(__xludf.DUMMYFUNCTION("""COMPUTED_VALUE"""),4673.3)</f>
        <v>4673.3</v>
      </c>
      <c r="E78" s="6">
        <f>IFERROR(__xludf.DUMMYFUNCTION("""COMPUTED_VALUE"""),4814.0)</f>
        <v>4814</v>
      </c>
      <c r="F78" s="6">
        <f>IFERROR(__xludf.DUMMYFUNCTION("""COMPUTED_VALUE"""),1281296.0)</f>
        <v>1281296</v>
      </c>
    </row>
    <row r="79">
      <c r="A79" s="7">
        <f>IFERROR(__xludf.DUMMYFUNCTION("""COMPUTED_VALUE"""),45744.64583333333)</f>
        <v>45744.64583</v>
      </c>
      <c r="B79" s="6">
        <f>IFERROR(__xludf.DUMMYFUNCTION("""COMPUTED_VALUE"""),4816.4)</f>
        <v>4816.4</v>
      </c>
      <c r="C79" s="6">
        <f>IFERROR(__xludf.DUMMYFUNCTION("""COMPUTED_VALUE"""),5028.65)</f>
        <v>5028.65</v>
      </c>
      <c r="D79" s="6">
        <f>IFERROR(__xludf.DUMMYFUNCTION("""COMPUTED_VALUE"""),4738.6)</f>
        <v>4738.6</v>
      </c>
      <c r="E79" s="6">
        <f>IFERROR(__xludf.DUMMYFUNCTION("""COMPUTED_VALUE"""),4936.9)</f>
        <v>4936.9</v>
      </c>
      <c r="F79" s="6">
        <f>IFERROR(__xludf.DUMMYFUNCTION("""COMPUTED_VALUE"""),8214956.0)</f>
        <v>8214956</v>
      </c>
    </row>
    <row r="80">
      <c r="A80" s="7">
        <f>IFERROR(__xludf.DUMMYFUNCTION("""COMPUTED_VALUE"""),45751.64583333333)</f>
        <v>45751.64583</v>
      </c>
      <c r="B80" s="6">
        <f>IFERROR(__xludf.DUMMYFUNCTION("""COMPUTED_VALUE"""),4890.1)</f>
        <v>4890.1</v>
      </c>
      <c r="C80" s="6">
        <f>IFERROR(__xludf.DUMMYFUNCTION("""COMPUTED_VALUE"""),5150.0)</f>
        <v>5150</v>
      </c>
      <c r="D80" s="6">
        <f>IFERROR(__xludf.DUMMYFUNCTION("""COMPUTED_VALUE"""),4882.55)</f>
        <v>4882.55</v>
      </c>
      <c r="E80" s="6">
        <f>IFERROR(__xludf.DUMMYFUNCTION("""COMPUTED_VALUE"""),5023.4)</f>
        <v>5023.4</v>
      </c>
      <c r="F80" s="6">
        <f>IFERROR(__xludf.DUMMYFUNCTION("""COMPUTED_VALUE"""),2079477.0)</f>
        <v>2079477</v>
      </c>
    </row>
    <row r="81">
      <c r="A81" s="7">
        <f>IFERROR(__xludf.DUMMYFUNCTION("""COMPUTED_VALUE"""),45758.64583333333)</f>
        <v>45758.64583</v>
      </c>
      <c r="B81" s="6">
        <f>IFERROR(__xludf.DUMMYFUNCTION("""COMPUTED_VALUE"""),4622.0)</f>
        <v>4622</v>
      </c>
      <c r="C81" s="6">
        <f>IFERROR(__xludf.DUMMYFUNCTION("""COMPUTED_VALUE"""),5400.75)</f>
        <v>5400.75</v>
      </c>
      <c r="D81" s="6">
        <f>IFERROR(__xludf.DUMMYFUNCTION("""COMPUTED_VALUE"""),4605.05)</f>
        <v>4605.05</v>
      </c>
      <c r="E81" s="6">
        <f>IFERROR(__xludf.DUMMYFUNCTION("""COMPUTED_VALUE"""),5350.2)</f>
        <v>5350.2</v>
      </c>
      <c r="F81" s="6">
        <f>IFERROR(__xludf.DUMMYFUNCTION("""COMPUTED_VALUE"""),1999044.0)</f>
        <v>1999044</v>
      </c>
    </row>
    <row r="82">
      <c r="A82" s="7">
        <f>IFERROR(__xludf.DUMMYFUNCTION("""COMPUTED_VALUE"""),45764.64583333333)</f>
        <v>45764.64583</v>
      </c>
      <c r="B82" s="6">
        <f>IFERROR(__xludf.DUMMYFUNCTION("""COMPUTED_VALUE"""),5428.9)</f>
        <v>5428.9</v>
      </c>
      <c r="C82" s="6">
        <f>IFERROR(__xludf.DUMMYFUNCTION("""COMPUTED_VALUE"""),5469.3)</f>
        <v>5469.3</v>
      </c>
      <c r="D82" s="6">
        <f>IFERROR(__xludf.DUMMYFUNCTION("""COMPUTED_VALUE"""),5309.0)</f>
        <v>5309</v>
      </c>
      <c r="E82" s="6">
        <f>IFERROR(__xludf.DUMMYFUNCTION("""COMPUTED_VALUE"""),5454.6)</f>
        <v>5454.6</v>
      </c>
      <c r="F82" s="6">
        <f>IFERROR(__xludf.DUMMYFUNCTION("""COMPUTED_VALUE"""),848371.0)</f>
        <v>848371</v>
      </c>
    </row>
    <row r="83">
      <c r="A83" s="7">
        <f>IFERROR(__xludf.DUMMYFUNCTION("""COMPUTED_VALUE"""),45772.64583333333)</f>
        <v>45772.64583</v>
      </c>
      <c r="B83" s="6">
        <f>IFERROR(__xludf.DUMMYFUNCTION("""COMPUTED_VALUE"""),5480.5)</f>
        <v>5480.5</v>
      </c>
      <c r="C83" s="6">
        <f>IFERROR(__xludf.DUMMYFUNCTION("""COMPUTED_VALUE"""),5622.7)</f>
        <v>5622.7</v>
      </c>
      <c r="D83" s="6">
        <f>IFERROR(__xludf.DUMMYFUNCTION("""COMPUTED_VALUE"""),5362.0)</f>
        <v>5362</v>
      </c>
      <c r="E83" s="6">
        <f>IFERROR(__xludf.DUMMYFUNCTION("""COMPUTED_VALUE"""),5420.5)</f>
        <v>5420.5</v>
      </c>
      <c r="F83" s="6">
        <f>IFERROR(__xludf.DUMMYFUNCTION("""COMPUTED_VALUE"""),1340051.0)</f>
        <v>1340051</v>
      </c>
    </row>
    <row r="84">
      <c r="A84" s="7">
        <f>IFERROR(__xludf.DUMMYFUNCTION("""COMPUTED_VALUE"""),45779.64583333333)</f>
        <v>45779.64583</v>
      </c>
      <c r="B84" s="6">
        <f>IFERROR(__xludf.DUMMYFUNCTION("""COMPUTED_VALUE"""),5413.0)</f>
        <v>5413</v>
      </c>
      <c r="C84" s="6">
        <f>IFERROR(__xludf.DUMMYFUNCTION("""COMPUTED_VALUE"""),5546.8)</f>
        <v>5546.8</v>
      </c>
      <c r="D84" s="6">
        <f>IFERROR(__xludf.DUMMYFUNCTION("""COMPUTED_VALUE"""),5276.5)</f>
        <v>5276.5</v>
      </c>
      <c r="E84" s="6">
        <f>IFERROR(__xludf.DUMMYFUNCTION("""COMPUTED_VALUE"""),5307.5)</f>
        <v>5307.5</v>
      </c>
      <c r="F84" s="6">
        <f>IFERROR(__xludf.DUMMYFUNCTION("""COMPUTED_VALUE"""),949153.0)</f>
        <v>949153</v>
      </c>
    </row>
    <row r="85">
      <c r="A85" s="7">
        <f>IFERROR(__xludf.DUMMYFUNCTION("""COMPUTED_VALUE"""),45786.64583333333)</f>
        <v>45786.64583</v>
      </c>
      <c r="B85" s="6">
        <f>IFERROR(__xludf.DUMMYFUNCTION("""COMPUTED_VALUE"""),5319.0)</f>
        <v>5319</v>
      </c>
      <c r="C85" s="6">
        <f>IFERROR(__xludf.DUMMYFUNCTION("""COMPUTED_VALUE"""),5503.5)</f>
        <v>5503.5</v>
      </c>
      <c r="D85" s="6">
        <f>IFERROR(__xludf.DUMMYFUNCTION("""COMPUTED_VALUE"""),5310.0)</f>
        <v>5310</v>
      </c>
      <c r="E85" s="6">
        <f>IFERROR(__xludf.DUMMYFUNCTION("""COMPUTED_VALUE"""),5436.0)</f>
        <v>5436</v>
      </c>
      <c r="F85" s="6">
        <f>IFERROR(__xludf.DUMMYFUNCTION("""COMPUTED_VALUE"""),1183937.0)</f>
        <v>1183937</v>
      </c>
    </row>
    <row r="86">
      <c r="A86" s="7">
        <f>IFERROR(__xludf.DUMMYFUNCTION("""COMPUTED_VALUE"""),45793.64583333333)</f>
        <v>45793.64583</v>
      </c>
      <c r="B86" s="6">
        <f>IFERROR(__xludf.DUMMYFUNCTION("""COMPUTED_VALUE"""),5540.0)</f>
        <v>5540</v>
      </c>
      <c r="C86" s="6">
        <f>IFERROR(__xludf.DUMMYFUNCTION("""COMPUTED_VALUE"""),5640.0)</f>
        <v>5640</v>
      </c>
      <c r="D86" s="6">
        <f>IFERROR(__xludf.DUMMYFUNCTION("""COMPUTED_VALUE"""),5415.0)</f>
        <v>5415</v>
      </c>
      <c r="E86" s="6">
        <f>IFERROR(__xludf.DUMMYFUNCTION("""COMPUTED_VALUE"""),5501.5)</f>
        <v>5501.5</v>
      </c>
      <c r="F86" s="6">
        <f>IFERROR(__xludf.DUMMYFUNCTION("""COMPUTED_VALUE"""),1566033.0)</f>
        <v>1566033</v>
      </c>
    </row>
    <row r="87">
      <c r="A87" s="7">
        <f>IFERROR(__xludf.DUMMYFUNCTION("""COMPUTED_VALUE"""),45800.64583333333)</f>
        <v>45800.64583</v>
      </c>
      <c r="B87" s="6">
        <f>IFERROR(__xludf.DUMMYFUNCTION("""COMPUTED_VALUE"""),5501.5)</f>
        <v>5501.5</v>
      </c>
      <c r="C87" s="6">
        <f>IFERROR(__xludf.DUMMYFUNCTION("""COMPUTED_VALUE"""),5550.0)</f>
        <v>5550</v>
      </c>
      <c r="D87" s="6">
        <f>IFERROR(__xludf.DUMMYFUNCTION("""COMPUTED_VALUE"""),5406.0)</f>
        <v>5406</v>
      </c>
      <c r="E87" s="6">
        <f>IFERROR(__xludf.DUMMYFUNCTION("""COMPUTED_VALUE"""),5486.5)</f>
        <v>5486.5</v>
      </c>
      <c r="F87" s="6">
        <f>IFERROR(__xludf.DUMMYFUNCTION("""COMPUTED_VALUE"""),900852.0)</f>
        <v>900852</v>
      </c>
    </row>
    <row r="88">
      <c r="A88" s="7">
        <f>IFERROR(__xludf.DUMMYFUNCTION("""COMPUTED_VALUE"""),45807.64583333333)</f>
        <v>45807.64583</v>
      </c>
      <c r="B88" s="6">
        <f>IFERROR(__xludf.DUMMYFUNCTION("""COMPUTED_VALUE"""),5500.0)</f>
        <v>5500</v>
      </c>
      <c r="C88" s="6">
        <f>IFERROR(__xludf.DUMMYFUNCTION("""COMPUTED_VALUE"""),5547.5)</f>
        <v>5547.5</v>
      </c>
      <c r="D88" s="6">
        <f>IFERROR(__xludf.DUMMYFUNCTION("""COMPUTED_VALUE"""),5410.0)</f>
        <v>5410</v>
      </c>
      <c r="E88" s="6">
        <f>IFERROR(__xludf.DUMMYFUNCTION("""COMPUTED_VALUE"""),5510.5)</f>
        <v>5510.5</v>
      </c>
      <c r="F88" s="6">
        <f>IFERROR(__xludf.DUMMYFUNCTION("""COMPUTED_VALUE"""),1231403.0)</f>
        <v>1231403</v>
      </c>
    </row>
    <row r="89">
      <c r="A89" s="7">
        <f>IFERROR(__xludf.DUMMYFUNCTION("""COMPUTED_VALUE"""),45814.64583333333)</f>
        <v>45814.64583</v>
      </c>
      <c r="B89" s="6">
        <f>IFERROR(__xludf.DUMMYFUNCTION("""COMPUTED_VALUE"""),5515.0)</f>
        <v>5515</v>
      </c>
      <c r="C89" s="6">
        <f>IFERROR(__xludf.DUMMYFUNCTION("""COMPUTED_VALUE"""),5722.0)</f>
        <v>5722</v>
      </c>
      <c r="D89" s="6">
        <f>IFERROR(__xludf.DUMMYFUNCTION("""COMPUTED_VALUE"""),5511.5)</f>
        <v>5511.5</v>
      </c>
      <c r="E89" s="6">
        <f>IFERROR(__xludf.DUMMYFUNCTION("""COMPUTED_VALUE"""),5607.5)</f>
        <v>5607.5</v>
      </c>
      <c r="F89" s="6">
        <f>IFERROR(__xludf.DUMMYFUNCTION("""COMPUTED_VALUE"""),1496554.0)</f>
        <v>1496554</v>
      </c>
    </row>
    <row r="90">
      <c r="A90" s="7">
        <f>IFERROR(__xludf.DUMMYFUNCTION("""COMPUTED_VALUE"""),45821.64583333333)</f>
        <v>45821.64583</v>
      </c>
      <c r="B90" s="6">
        <f>IFERROR(__xludf.DUMMYFUNCTION("""COMPUTED_VALUE"""),5639.0)</f>
        <v>5639</v>
      </c>
      <c r="C90" s="6">
        <f>IFERROR(__xludf.DUMMYFUNCTION("""COMPUTED_VALUE"""),5731.0)</f>
        <v>5731</v>
      </c>
      <c r="D90" s="6">
        <f>IFERROR(__xludf.DUMMYFUNCTION("""COMPUTED_VALUE"""),5425.0)</f>
        <v>5425</v>
      </c>
      <c r="E90" s="6">
        <f>IFERROR(__xludf.DUMMYFUNCTION("""COMPUTED_VALUE"""),5570.0)</f>
        <v>5570</v>
      </c>
      <c r="F90" s="6">
        <f>IFERROR(__xludf.DUMMYFUNCTION("""COMPUTED_VALUE"""),1400758.0)</f>
        <v>1400758</v>
      </c>
    </row>
    <row r="91">
      <c r="A91" s="7">
        <f>IFERROR(__xludf.DUMMYFUNCTION("""COMPUTED_VALUE"""),45828.64583333333)</f>
        <v>45828.64583</v>
      </c>
      <c r="B91" s="6">
        <f>IFERROR(__xludf.DUMMYFUNCTION("""COMPUTED_VALUE"""),5552.0)</f>
        <v>5552</v>
      </c>
      <c r="C91" s="6">
        <f>IFERROR(__xludf.DUMMYFUNCTION("""COMPUTED_VALUE"""),5619.5)</f>
        <v>5619.5</v>
      </c>
      <c r="D91" s="6">
        <f>IFERROR(__xludf.DUMMYFUNCTION("""COMPUTED_VALUE"""),5511.0)</f>
        <v>5511</v>
      </c>
      <c r="E91" s="6">
        <f>IFERROR(__xludf.DUMMYFUNCTION("""COMPUTED_VALUE"""),5587.0)</f>
        <v>5587</v>
      </c>
      <c r="F91" s="6">
        <f>IFERROR(__xludf.DUMMYFUNCTION("""COMPUTED_VALUE"""),1247813.0)</f>
        <v>1247813</v>
      </c>
    </row>
    <row r="92">
      <c r="A92" s="7">
        <f>IFERROR(__xludf.DUMMYFUNCTION("""COMPUTED_VALUE"""),45835.64583333333)</f>
        <v>45835.64583</v>
      </c>
      <c r="B92" s="6">
        <f>IFERROR(__xludf.DUMMYFUNCTION("""COMPUTED_VALUE"""),5551.0)</f>
        <v>5551</v>
      </c>
      <c r="C92" s="6">
        <f>IFERROR(__xludf.DUMMYFUNCTION("""COMPUTED_VALUE"""),5849.0)</f>
        <v>5849</v>
      </c>
      <c r="D92" s="6">
        <f>IFERROR(__xludf.DUMMYFUNCTION("""COMPUTED_VALUE"""),5450.5)</f>
        <v>5450.5</v>
      </c>
      <c r="E92" s="6">
        <f>IFERROR(__xludf.DUMMYFUNCTION("""COMPUTED_VALUE"""),5794.5)</f>
        <v>5794.5</v>
      </c>
      <c r="F92" s="6">
        <f>IFERROR(__xludf.DUMMYFUNCTION("""COMPUTED_VALUE"""),1493294.0)</f>
        <v>1493294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IFERROR(__xludf.DUMMYFUNCTION("""COMPUTED_VALUE"""),5800.0)</f>
        <v>5800</v>
      </c>
      <c r="C93" s="6">
        <f>IFERROR(__xludf.DUMMYFUNCTION("""COMPUTED_VALUE"""),5887.5)</f>
        <v>5887.5</v>
      </c>
      <c r="D93" s="6">
        <f>IFERROR(__xludf.DUMMYFUNCTION("""COMPUTED_VALUE"""),5677.5)</f>
        <v>5677.5</v>
      </c>
      <c r="E93" s="6">
        <f>IFERROR(__xludf.DUMMYFUNCTION("""COMPUTED_VALUE"""),5771.5)</f>
        <v>5771.5</v>
      </c>
      <c r="F93" s="6">
        <f>IFERROR(__xludf.DUMMYFUNCTION("""COMPUTED_VALUE"""),1106172.0)</f>
        <v>1106172</v>
      </c>
    </row>
    <row r="94">
      <c r="A94" s="7">
        <f>IFERROR(__xludf.DUMMYFUNCTION("""COMPUTED_VALUE"""),45849.64583333333)</f>
        <v>45849.64583</v>
      </c>
      <c r="B94" s="6">
        <f>IFERROR(__xludf.DUMMYFUNCTION("""COMPUTED_VALUE"""),5800.0)</f>
        <v>5800</v>
      </c>
      <c r="C94" s="6">
        <f>IFERROR(__xludf.DUMMYFUNCTION("""COMPUTED_VALUE"""),5930.5)</f>
        <v>5930.5</v>
      </c>
      <c r="D94" s="6">
        <f>IFERROR(__xludf.DUMMYFUNCTION("""COMPUTED_VALUE"""),5717.0)</f>
        <v>5717</v>
      </c>
      <c r="E94" s="6">
        <f>IFERROR(__xludf.DUMMYFUNCTION("""COMPUTED_VALUE"""),5758.5)</f>
        <v>5758.5</v>
      </c>
      <c r="F94" s="6">
        <f>IFERROR(__xludf.DUMMYFUNCTION("""COMPUTED_VALUE"""),1283214.0)</f>
        <v>1283214</v>
      </c>
    </row>
    <row r="95">
      <c r="A95" s="7">
        <f>IFERROR(__xludf.DUMMYFUNCTION("""COMPUTED_VALUE"""),45856.64583333333)</f>
        <v>45856.64583</v>
      </c>
      <c r="B95" s="6">
        <f>IFERROR(__xludf.DUMMYFUNCTION("""COMPUTED_VALUE"""),5767.0)</f>
        <v>5767</v>
      </c>
      <c r="C95" s="6">
        <f>IFERROR(__xludf.DUMMYFUNCTION("""COMPUTED_VALUE"""),5860.0)</f>
        <v>5860</v>
      </c>
      <c r="D95" s="6">
        <f>IFERROR(__xludf.DUMMYFUNCTION("""COMPUTED_VALUE"""),5726.0)</f>
        <v>5726</v>
      </c>
      <c r="E95" s="6">
        <f>IFERROR(__xludf.DUMMYFUNCTION("""COMPUTED_VALUE"""),5735.5)</f>
        <v>5735.5</v>
      </c>
      <c r="F95" s="6">
        <f>IFERROR(__xludf.DUMMYFUNCTION("""COMPUTED_VALUE"""),1037195.0)</f>
        <v>1037195</v>
      </c>
    </row>
    <row r="96">
      <c r="A96" s="7">
        <f>IFERROR(__xludf.DUMMYFUNCTION("""COMPUTED_VALUE"""),45863.64583333333)</f>
        <v>45863.64583</v>
      </c>
      <c r="B96" s="6">
        <f>IFERROR(__xludf.DUMMYFUNCTION("""COMPUTED_VALUE"""),5735.0)</f>
        <v>5735</v>
      </c>
      <c r="C96" s="6">
        <f>IFERROR(__xludf.DUMMYFUNCTION("""COMPUTED_VALUE"""),5757.0)</f>
        <v>5757</v>
      </c>
      <c r="D96" s="6">
        <f>IFERROR(__xludf.DUMMYFUNCTION("""COMPUTED_VALUE"""),5570.0)</f>
        <v>5570</v>
      </c>
      <c r="E96" s="6">
        <f>IFERROR(__xludf.DUMMYFUNCTION("""COMPUTED_VALUE"""),5594.0)</f>
        <v>5594</v>
      </c>
      <c r="F96" s="6">
        <f>IFERROR(__xludf.DUMMYFUNCTION("""COMPUTED_VALUE"""),1273848.0)</f>
        <v>1273848</v>
      </c>
    </row>
    <row r="97">
      <c r="A97" s="7">
        <f>IFERROR(__xludf.DUMMYFUNCTION("""COMPUTED_VALUE"""),45870.64583333333)</f>
        <v>45870.64583</v>
      </c>
      <c r="B97" s="6">
        <f>IFERROR(__xludf.DUMMYFUNCTION("""COMPUTED_VALUE"""),5596.5)</f>
        <v>5596.5</v>
      </c>
      <c r="C97" s="6">
        <f>IFERROR(__xludf.DUMMYFUNCTION("""COMPUTED_VALUE"""),5899.0)</f>
        <v>5899</v>
      </c>
      <c r="D97" s="6">
        <f>IFERROR(__xludf.DUMMYFUNCTION("""COMPUTED_VALUE"""),5571.0)</f>
        <v>5571</v>
      </c>
      <c r="E97" s="6">
        <f>IFERROR(__xludf.DUMMYFUNCTION("""COMPUTED_VALUE"""),5798.0)</f>
        <v>5798</v>
      </c>
      <c r="F97" s="6">
        <f>IFERROR(__xludf.DUMMYFUNCTION("""COMPUTED_VALUE"""),1302785.0)</f>
        <v>1302785</v>
      </c>
    </row>
    <row r="98">
      <c r="A98" s="7">
        <f>IFERROR(__xludf.DUMMYFUNCTION("""COMPUTED_VALUE"""),45877.64583333333)</f>
        <v>45877.64583</v>
      </c>
      <c r="B98" s="6">
        <f>IFERROR(__xludf.DUMMYFUNCTION("""COMPUTED_VALUE"""),5752.5)</f>
        <v>5752.5</v>
      </c>
      <c r="C98" s="6">
        <f>IFERROR(__xludf.DUMMYFUNCTION("""COMPUTED_VALUE"""),5802.0)</f>
        <v>5802</v>
      </c>
      <c r="D98" s="6">
        <f>IFERROR(__xludf.DUMMYFUNCTION("""COMPUTED_VALUE"""),5371.0)</f>
        <v>5371</v>
      </c>
      <c r="E98" s="6">
        <f>IFERROR(__xludf.DUMMYFUNCTION("""COMPUTED_VALUE"""),5387.0)</f>
        <v>5387</v>
      </c>
      <c r="F98" s="6">
        <f>IFERROR(__xludf.DUMMYFUNCTION("""COMPUTED_VALUE"""),3041018.0)</f>
        <v>3041018</v>
      </c>
    </row>
    <row r="99">
      <c r="A99" s="7">
        <f>IFERROR(__xludf.DUMMYFUNCTION("""COMPUTED_VALUE"""),45883.64583333333)</f>
        <v>45883.64583</v>
      </c>
      <c r="B99" s="6">
        <f>IFERROR(__xludf.DUMMYFUNCTION("""COMPUTED_VALUE"""),5361.0)</f>
        <v>5361</v>
      </c>
      <c r="C99" s="6">
        <f>IFERROR(__xludf.DUMMYFUNCTION("""COMPUTED_VALUE"""),5400.0)</f>
        <v>5400</v>
      </c>
      <c r="D99" s="6">
        <f>IFERROR(__xludf.DUMMYFUNCTION("""COMPUTED_VALUE"""),5298.0)</f>
        <v>5298</v>
      </c>
      <c r="E99" s="6">
        <f>IFERROR(__xludf.DUMMYFUNCTION("""COMPUTED_VALUE"""),5302.5)</f>
        <v>5302.5</v>
      </c>
      <c r="F99" s="6">
        <f>IFERROR(__xludf.DUMMYFUNCTION("""COMPUTED_VALUE"""),1526036.0)</f>
        <v>1526036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IFERROR(__xludf.DUMMYFUNCTION("""COMPUTED_VALUE"""),5400.0)</f>
        <v>5400</v>
      </c>
      <c r="C100" s="6">
        <f>IFERROR(__xludf.DUMMYFUNCTION("""COMPUTED_VALUE"""),5734.5)</f>
        <v>5734.5</v>
      </c>
      <c r="D100" s="6">
        <f>IFERROR(__xludf.DUMMYFUNCTION("""COMPUTED_VALUE"""),5399.0)</f>
        <v>5399</v>
      </c>
      <c r="E100" s="6">
        <f>IFERROR(__xludf.DUMMYFUNCTION("""COMPUTED_VALUE"""),5545.5)</f>
        <v>5545.5</v>
      </c>
      <c r="F100" s="6">
        <f>IFERROR(__xludf.DUMMYFUNCTION("""COMPUTED_VALUE"""),1658779.0)</f>
        <v>1658779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IFERROR(__xludf.DUMMYFUNCTION("""COMPUTED_VALUE"""),5565.5)</f>
        <v>5565.5</v>
      </c>
      <c r="C101" s="6">
        <f>IFERROR(__xludf.DUMMYFUNCTION("""COMPUTED_VALUE"""),5794.5)</f>
        <v>5794.5</v>
      </c>
      <c r="D101" s="6">
        <f>IFERROR(__xludf.DUMMYFUNCTION("""COMPUTED_VALUE"""),5545.0)</f>
        <v>5545</v>
      </c>
      <c r="E101" s="6">
        <f>IFERROR(__xludf.DUMMYFUNCTION("""COMPUTED_VALUE"""),5765.5)</f>
        <v>5765.5</v>
      </c>
      <c r="F101" s="6">
        <f>IFERROR(__xludf.DUMMYFUNCTION("""COMPUTED_VALUE"""),6978468.0)</f>
        <v>6978468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IFERROR(__xludf.DUMMYFUNCTION("GOOGLEFINANCE(""NSE:BSE"",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IFERROR(__xludf.DUMMYFUNCTION("""COMPUTED_VALUE"""),302.62)</f>
        <v>302.62</v>
      </c>
      <c r="C2" s="6">
        <f>IFERROR(__xludf.DUMMYFUNCTION("""COMPUTED_VALUE"""),379.6)</f>
        <v>379.6</v>
      </c>
      <c r="D2" s="6">
        <f>IFERROR(__xludf.DUMMYFUNCTION("""COMPUTED_VALUE"""),297.67)</f>
        <v>297.67</v>
      </c>
      <c r="E2" s="6">
        <f>IFERROR(__xludf.DUMMYFUNCTION("""COMPUTED_VALUE"""),375.38)</f>
        <v>375.38</v>
      </c>
      <c r="F2" s="6">
        <f>IFERROR(__xludf.DUMMYFUNCTION("""COMPUTED_VALUE"""),2.8177545E7)</f>
        <v>28177545</v>
      </c>
    </row>
    <row r="3">
      <c r="A3" s="7">
        <f>IFERROR(__xludf.DUMMYFUNCTION("""COMPUTED_VALUE"""),45177.64583333333)</f>
        <v>45177.64583</v>
      </c>
      <c r="B3" s="6">
        <f>IFERROR(__xludf.DUMMYFUNCTION("""COMPUTED_VALUE"""),370.83)</f>
        <v>370.83</v>
      </c>
      <c r="C3" s="6">
        <f>IFERROR(__xludf.DUMMYFUNCTION("""COMPUTED_VALUE"""),449.33)</f>
        <v>449.33</v>
      </c>
      <c r="D3" s="6">
        <f>IFERROR(__xludf.DUMMYFUNCTION("""COMPUTED_VALUE"""),361.87)</f>
        <v>361.87</v>
      </c>
      <c r="E3" s="6">
        <f>IFERROR(__xludf.DUMMYFUNCTION("""COMPUTED_VALUE"""),441.48)</f>
        <v>441.48</v>
      </c>
      <c r="F3" s="6">
        <f>IFERROR(__xludf.DUMMYFUNCTION("""COMPUTED_VALUE"""),2.4706416E7)</f>
        <v>24706416</v>
      </c>
    </row>
    <row r="4">
      <c r="A4" s="7">
        <f>IFERROR(__xludf.DUMMYFUNCTION("""COMPUTED_VALUE"""),45184.64583333333)</f>
        <v>45184.64583</v>
      </c>
      <c r="B4" s="6">
        <f>IFERROR(__xludf.DUMMYFUNCTION("""COMPUTED_VALUE"""),446.67)</f>
        <v>446.67</v>
      </c>
      <c r="C4" s="6">
        <f>IFERROR(__xludf.DUMMYFUNCTION("""COMPUTED_VALUE"""),479.33)</f>
        <v>479.33</v>
      </c>
      <c r="D4" s="6">
        <f>IFERROR(__xludf.DUMMYFUNCTION("""COMPUTED_VALUE"""),406.28)</f>
        <v>406.28</v>
      </c>
      <c r="E4" s="6">
        <f>IFERROR(__xludf.DUMMYFUNCTION("""COMPUTED_VALUE"""),424.32)</f>
        <v>424.32</v>
      </c>
      <c r="F4" s="6">
        <f>IFERROR(__xludf.DUMMYFUNCTION("""COMPUTED_VALUE"""),1.1657544E7)</f>
        <v>11657544</v>
      </c>
    </row>
    <row r="5">
      <c r="A5" s="7">
        <f>IFERROR(__xludf.DUMMYFUNCTION("""COMPUTED_VALUE"""),45191.64583333333)</f>
        <v>45191.64583</v>
      </c>
      <c r="B5" s="6">
        <f>IFERROR(__xludf.DUMMYFUNCTION("""COMPUTED_VALUE"""),415.33)</f>
        <v>415.33</v>
      </c>
      <c r="C5" s="6">
        <f>IFERROR(__xludf.DUMMYFUNCTION("""COMPUTED_VALUE"""),431.28)</f>
        <v>431.28</v>
      </c>
      <c r="D5" s="6">
        <f>IFERROR(__xludf.DUMMYFUNCTION("""COMPUTED_VALUE"""),384.93)</f>
        <v>384.93</v>
      </c>
      <c r="E5" s="6">
        <f>IFERROR(__xludf.DUMMYFUNCTION("""COMPUTED_VALUE"""),398.78)</f>
        <v>398.78</v>
      </c>
      <c r="F5" s="6">
        <f>IFERROR(__xludf.DUMMYFUNCTION("""COMPUTED_VALUE"""),4950344.0)</f>
        <v>4950344</v>
      </c>
    </row>
    <row r="6">
      <c r="A6" s="7">
        <f>IFERROR(__xludf.DUMMYFUNCTION("""COMPUTED_VALUE"""),45198.64583333333)</f>
        <v>45198.64583</v>
      </c>
      <c r="B6" s="6">
        <f>IFERROR(__xludf.DUMMYFUNCTION("""COMPUTED_VALUE"""),411.33)</f>
        <v>411.33</v>
      </c>
      <c r="C6" s="6">
        <f>IFERROR(__xludf.DUMMYFUNCTION("""COMPUTED_VALUE"""),453.33)</f>
        <v>453.33</v>
      </c>
      <c r="D6" s="6">
        <f>IFERROR(__xludf.DUMMYFUNCTION("""COMPUTED_VALUE"""),387.12)</f>
        <v>387.12</v>
      </c>
      <c r="E6" s="6">
        <f>IFERROR(__xludf.DUMMYFUNCTION("""COMPUTED_VALUE"""),432.65)</f>
        <v>432.65</v>
      </c>
      <c r="F6" s="6">
        <f>IFERROR(__xludf.DUMMYFUNCTION("""COMPUTED_VALUE"""),7780439.0)</f>
        <v>7780439</v>
      </c>
    </row>
    <row r="7">
      <c r="A7" s="7">
        <f>IFERROR(__xludf.DUMMYFUNCTION("""COMPUTED_VALUE"""),45205.64583333333)</f>
        <v>45205.64583</v>
      </c>
      <c r="B7" s="6">
        <f>IFERROR(__xludf.DUMMYFUNCTION("""COMPUTED_VALUE"""),433.33)</f>
        <v>433.33</v>
      </c>
      <c r="C7" s="6">
        <f>IFERROR(__xludf.DUMMYFUNCTION("""COMPUTED_VALUE"""),473.0)</f>
        <v>473</v>
      </c>
      <c r="D7" s="6">
        <f>IFERROR(__xludf.DUMMYFUNCTION("""COMPUTED_VALUE"""),417.55)</f>
        <v>417.55</v>
      </c>
      <c r="E7" s="6">
        <f>IFERROR(__xludf.DUMMYFUNCTION("""COMPUTED_VALUE"""),467.17)</f>
        <v>467.17</v>
      </c>
      <c r="F7" s="6">
        <f>IFERROR(__xludf.DUMMYFUNCTION("""COMPUTED_VALUE"""),5320481.0)</f>
        <v>5320481</v>
      </c>
    </row>
    <row r="8">
      <c r="A8" s="7">
        <f>IFERROR(__xludf.DUMMYFUNCTION("""COMPUTED_VALUE"""),45212.64583333333)</f>
        <v>45212.64583</v>
      </c>
      <c r="B8" s="6">
        <f>IFERROR(__xludf.DUMMYFUNCTION("""COMPUTED_VALUE"""),454.67)</f>
        <v>454.67</v>
      </c>
      <c r="C8" s="6">
        <f>IFERROR(__xludf.DUMMYFUNCTION("""COMPUTED_VALUE"""),504.92)</f>
        <v>504.92</v>
      </c>
      <c r="D8" s="6">
        <f>IFERROR(__xludf.DUMMYFUNCTION("""COMPUTED_VALUE"""),453.35)</f>
        <v>453.35</v>
      </c>
      <c r="E8" s="6">
        <f>IFERROR(__xludf.DUMMYFUNCTION("""COMPUTED_VALUE"""),494.45)</f>
        <v>494.45</v>
      </c>
      <c r="F8" s="6">
        <f>IFERROR(__xludf.DUMMYFUNCTION("""COMPUTED_VALUE"""),9490847.0)</f>
        <v>9490847</v>
      </c>
    </row>
    <row r="9">
      <c r="A9" s="7">
        <f>IFERROR(__xludf.DUMMYFUNCTION("""COMPUTED_VALUE"""),45219.64583333333)</f>
        <v>45219.64583</v>
      </c>
      <c r="B9" s="6">
        <f>IFERROR(__xludf.DUMMYFUNCTION("""COMPUTED_VALUE"""),494.5)</f>
        <v>494.5</v>
      </c>
      <c r="C9" s="6">
        <f>IFERROR(__xludf.DUMMYFUNCTION("""COMPUTED_VALUE"""),531.33)</f>
        <v>531.33</v>
      </c>
      <c r="D9" s="6">
        <f>IFERROR(__xludf.DUMMYFUNCTION("""COMPUTED_VALUE"""),488.35)</f>
        <v>488.35</v>
      </c>
      <c r="E9" s="6">
        <f>IFERROR(__xludf.DUMMYFUNCTION("""COMPUTED_VALUE"""),529.27)</f>
        <v>529.27</v>
      </c>
      <c r="F9" s="6">
        <f>IFERROR(__xludf.DUMMYFUNCTION("""COMPUTED_VALUE"""),5670201.0)</f>
        <v>5670201</v>
      </c>
    </row>
    <row r="10">
      <c r="A10" s="7">
        <f>IFERROR(__xludf.DUMMYFUNCTION("""COMPUTED_VALUE"""),45226.64583333333)</f>
        <v>45226.64583</v>
      </c>
      <c r="B10" s="6">
        <f>IFERROR(__xludf.DUMMYFUNCTION("""COMPUTED_VALUE"""),546.67)</f>
        <v>546.67</v>
      </c>
      <c r="C10" s="6">
        <f>IFERROR(__xludf.DUMMYFUNCTION("""COMPUTED_VALUE"""),637.6)</f>
        <v>637.6</v>
      </c>
      <c r="D10" s="6">
        <f>IFERROR(__xludf.DUMMYFUNCTION("""COMPUTED_VALUE"""),528.72)</f>
        <v>528.72</v>
      </c>
      <c r="E10" s="6">
        <f>IFERROR(__xludf.DUMMYFUNCTION("""COMPUTED_VALUE"""),620.98)</f>
        <v>620.98</v>
      </c>
      <c r="F10" s="6">
        <f>IFERROR(__xludf.DUMMYFUNCTION("""COMPUTED_VALUE"""),2.1441649E7)</f>
        <v>21441649</v>
      </c>
    </row>
    <row r="11">
      <c r="A11" s="7">
        <f>IFERROR(__xludf.DUMMYFUNCTION("""COMPUTED_VALUE"""),45233.64583333333)</f>
        <v>45233.64583</v>
      </c>
      <c r="B11" s="6">
        <f>IFERROR(__xludf.DUMMYFUNCTION("""COMPUTED_VALUE"""),620.33)</f>
        <v>620.33</v>
      </c>
      <c r="C11" s="6">
        <f>IFERROR(__xludf.DUMMYFUNCTION("""COMPUTED_VALUE"""),648.63)</f>
        <v>648.63</v>
      </c>
      <c r="D11" s="6">
        <f>IFERROR(__xludf.DUMMYFUNCTION("""COMPUTED_VALUE"""),583.5)</f>
        <v>583.5</v>
      </c>
      <c r="E11" s="6">
        <f>IFERROR(__xludf.DUMMYFUNCTION("""COMPUTED_VALUE"""),599.87)</f>
        <v>599.87</v>
      </c>
      <c r="F11" s="6">
        <f>IFERROR(__xludf.DUMMYFUNCTION("""COMPUTED_VALUE"""),8533305.0)</f>
        <v>8533305</v>
      </c>
    </row>
    <row r="12">
      <c r="A12" s="7">
        <f>IFERROR(__xludf.DUMMYFUNCTION("""COMPUTED_VALUE"""),45240.64583333333)</f>
        <v>45240.64583</v>
      </c>
      <c r="B12" s="6">
        <f>IFERROR(__xludf.DUMMYFUNCTION("""COMPUTED_VALUE"""),606.0)</f>
        <v>606</v>
      </c>
      <c r="C12" s="6">
        <f>IFERROR(__xludf.DUMMYFUNCTION("""COMPUTED_VALUE"""),694.8)</f>
        <v>694.8</v>
      </c>
      <c r="D12" s="6">
        <f>IFERROR(__xludf.DUMMYFUNCTION("""COMPUTED_VALUE"""),591.48)</f>
        <v>591.48</v>
      </c>
      <c r="E12" s="6">
        <f>IFERROR(__xludf.DUMMYFUNCTION("""COMPUTED_VALUE"""),670.25)</f>
        <v>670.25</v>
      </c>
      <c r="F12" s="6">
        <f>IFERROR(__xludf.DUMMYFUNCTION("""COMPUTED_VALUE"""),1.095186E7)</f>
        <v>10951860</v>
      </c>
    </row>
    <row r="13">
      <c r="A13" s="7">
        <f>IFERROR(__xludf.DUMMYFUNCTION("""COMPUTED_VALUE"""),45247.64583333333)</f>
        <v>45247.64583</v>
      </c>
      <c r="B13" s="6">
        <f>IFERROR(__xludf.DUMMYFUNCTION("""COMPUTED_VALUE"""),700.67)</f>
        <v>700.67</v>
      </c>
      <c r="C13" s="6">
        <f>IFERROR(__xludf.DUMMYFUNCTION("""COMPUTED_VALUE"""),815.0)</f>
        <v>815</v>
      </c>
      <c r="D13" s="6">
        <f>IFERROR(__xludf.DUMMYFUNCTION("""COMPUTED_VALUE"""),700.0)</f>
        <v>700</v>
      </c>
      <c r="E13" s="6">
        <f>IFERROR(__xludf.DUMMYFUNCTION("""COMPUTED_VALUE"""),803.77)</f>
        <v>803.77</v>
      </c>
      <c r="F13" s="6">
        <f>IFERROR(__xludf.DUMMYFUNCTION("""COMPUTED_VALUE"""),1.3876842E7)</f>
        <v>13876842</v>
      </c>
    </row>
    <row r="14">
      <c r="A14" s="7">
        <f>IFERROR(__xludf.DUMMYFUNCTION("""COMPUTED_VALUE"""),45254.64583333333)</f>
        <v>45254.64583</v>
      </c>
      <c r="B14" s="6">
        <f>IFERROR(__xludf.DUMMYFUNCTION("""COMPUTED_VALUE"""),816.37)</f>
        <v>816.37</v>
      </c>
      <c r="C14" s="6">
        <f>IFERROR(__xludf.DUMMYFUNCTION("""COMPUTED_VALUE"""),825.0)</f>
        <v>825</v>
      </c>
      <c r="D14" s="6">
        <f>IFERROR(__xludf.DUMMYFUNCTION("""COMPUTED_VALUE"""),690.45)</f>
        <v>690.45</v>
      </c>
      <c r="E14" s="6">
        <f>IFERROR(__xludf.DUMMYFUNCTION("""COMPUTED_VALUE"""),723.57)</f>
        <v>723.57</v>
      </c>
      <c r="F14" s="6">
        <f>IFERROR(__xludf.DUMMYFUNCTION("""COMPUTED_VALUE"""),1.1024427E7)</f>
        <v>11024427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IFERROR(__xludf.DUMMYFUNCTION("""COMPUTED_VALUE"""),748.33)</f>
        <v>748.33</v>
      </c>
      <c r="C15" s="6">
        <f>IFERROR(__xludf.DUMMYFUNCTION("""COMPUTED_VALUE"""),858.33)</f>
        <v>858.33</v>
      </c>
      <c r="D15" s="6">
        <f>IFERROR(__xludf.DUMMYFUNCTION("""COMPUTED_VALUE"""),748.33)</f>
        <v>748.33</v>
      </c>
      <c r="E15" s="6">
        <f>IFERROR(__xludf.DUMMYFUNCTION("""COMPUTED_VALUE"""),832.88)</f>
        <v>832.88</v>
      </c>
      <c r="F15" s="6">
        <f>IFERROR(__xludf.DUMMYFUNCTION("""COMPUTED_VALUE"""),9722258.0)</f>
        <v>9722258</v>
      </c>
    </row>
    <row r="16">
      <c r="A16" s="7">
        <f>IFERROR(__xludf.DUMMYFUNCTION("""COMPUTED_VALUE"""),45268.64583333333)</f>
        <v>45268.64583</v>
      </c>
      <c r="B16" s="6">
        <f>IFERROR(__xludf.DUMMYFUNCTION("""COMPUTED_VALUE"""),857.33)</f>
        <v>857.33</v>
      </c>
      <c r="C16" s="6">
        <f>IFERROR(__xludf.DUMMYFUNCTION("""COMPUTED_VALUE"""),865.0)</f>
        <v>865</v>
      </c>
      <c r="D16" s="6">
        <f>IFERROR(__xludf.DUMMYFUNCTION("""COMPUTED_VALUE"""),798.35)</f>
        <v>798.35</v>
      </c>
      <c r="E16" s="6">
        <f>IFERROR(__xludf.DUMMYFUNCTION("""COMPUTED_VALUE"""),805.88)</f>
        <v>805.88</v>
      </c>
      <c r="F16" s="6">
        <f>IFERROR(__xludf.DUMMYFUNCTION("""COMPUTED_VALUE"""),5234228.0)</f>
        <v>5234228</v>
      </c>
    </row>
    <row r="17">
      <c r="A17" s="7">
        <f>IFERROR(__xludf.DUMMYFUNCTION("""COMPUTED_VALUE"""),45275.64583333333)</f>
        <v>45275.64583</v>
      </c>
      <c r="B17" s="6">
        <f>IFERROR(__xludf.DUMMYFUNCTION("""COMPUTED_VALUE"""),808.47)</f>
        <v>808.47</v>
      </c>
      <c r="C17" s="6">
        <f>IFERROR(__xludf.DUMMYFUNCTION("""COMPUTED_VALUE"""),819.6)</f>
        <v>819.6</v>
      </c>
      <c r="D17" s="6">
        <f>IFERROR(__xludf.DUMMYFUNCTION("""COMPUTED_VALUE"""),762.68)</f>
        <v>762.68</v>
      </c>
      <c r="E17" s="6">
        <f>IFERROR(__xludf.DUMMYFUNCTION("""COMPUTED_VALUE"""),771.23)</f>
        <v>771.23</v>
      </c>
      <c r="F17" s="6">
        <f>IFERROR(__xludf.DUMMYFUNCTION("""COMPUTED_VALUE"""),4432472.0)</f>
        <v>4432472</v>
      </c>
    </row>
    <row r="18">
      <c r="A18" s="7">
        <f>IFERROR(__xludf.DUMMYFUNCTION("""COMPUTED_VALUE"""),45282.64583333333)</f>
        <v>45282.64583</v>
      </c>
      <c r="B18" s="6">
        <f>IFERROR(__xludf.DUMMYFUNCTION("""COMPUTED_VALUE"""),775.9)</f>
        <v>775.9</v>
      </c>
      <c r="C18" s="6">
        <f>IFERROR(__xludf.DUMMYFUNCTION("""COMPUTED_VALUE"""),822.67)</f>
        <v>822.67</v>
      </c>
      <c r="D18" s="6">
        <f>IFERROR(__xludf.DUMMYFUNCTION("""COMPUTED_VALUE"""),740.05)</f>
        <v>740.05</v>
      </c>
      <c r="E18" s="6">
        <f>IFERROR(__xludf.DUMMYFUNCTION("""COMPUTED_VALUE"""),773.3)</f>
        <v>773.3</v>
      </c>
      <c r="F18" s="6">
        <f>IFERROR(__xludf.DUMMYFUNCTION("""COMPUTED_VALUE"""),4825923.0)</f>
        <v>4825923</v>
      </c>
    </row>
    <row r="19">
      <c r="A19" s="7">
        <f>IFERROR(__xludf.DUMMYFUNCTION("""COMPUTED_VALUE"""),45289.64583333333)</f>
        <v>45289.64583</v>
      </c>
      <c r="B19" s="6">
        <f>IFERROR(__xludf.DUMMYFUNCTION("""COMPUTED_VALUE"""),777.67)</f>
        <v>777.67</v>
      </c>
      <c r="C19" s="6">
        <f>IFERROR(__xludf.DUMMYFUNCTION("""COMPUTED_VALUE"""),787.47)</f>
        <v>787.47</v>
      </c>
      <c r="D19" s="6">
        <f>IFERROR(__xludf.DUMMYFUNCTION("""COMPUTED_VALUE"""),734.0)</f>
        <v>734</v>
      </c>
      <c r="E19" s="6">
        <f>IFERROR(__xludf.DUMMYFUNCTION("""COMPUTED_VALUE"""),740.4)</f>
        <v>740.4</v>
      </c>
      <c r="F19" s="6">
        <f>IFERROR(__xludf.DUMMYFUNCTION("""COMPUTED_VALUE"""),2605744.0)</f>
        <v>2605744</v>
      </c>
    </row>
    <row r="20">
      <c r="A20" s="7">
        <f>IFERROR(__xludf.DUMMYFUNCTION("""COMPUTED_VALUE"""),45296.64583333333)</f>
        <v>45296.64583</v>
      </c>
      <c r="B20" s="6">
        <f>IFERROR(__xludf.DUMMYFUNCTION("""COMPUTED_VALUE"""),741.67)</f>
        <v>741.67</v>
      </c>
      <c r="C20" s="6">
        <f>IFERROR(__xludf.DUMMYFUNCTION("""COMPUTED_VALUE"""),770.0)</f>
        <v>770</v>
      </c>
      <c r="D20" s="6">
        <f>IFERROR(__xludf.DUMMYFUNCTION("""COMPUTED_VALUE"""),730.0)</f>
        <v>730</v>
      </c>
      <c r="E20" s="6">
        <f>IFERROR(__xludf.DUMMYFUNCTION("""COMPUTED_VALUE"""),767.92)</f>
        <v>767.92</v>
      </c>
      <c r="F20" s="6">
        <f>IFERROR(__xludf.DUMMYFUNCTION("""COMPUTED_VALUE"""),2968309.0)</f>
        <v>2968309</v>
      </c>
    </row>
    <row r="21">
      <c r="A21" s="7">
        <f>IFERROR(__xludf.DUMMYFUNCTION("""COMPUTED_VALUE"""),45303.64583333333)</f>
        <v>45303.64583</v>
      </c>
      <c r="B21" s="6">
        <f>IFERROR(__xludf.DUMMYFUNCTION("""COMPUTED_VALUE"""),769.98)</f>
        <v>769.98</v>
      </c>
      <c r="C21" s="6">
        <f>IFERROR(__xludf.DUMMYFUNCTION("""COMPUTED_VALUE"""),773.32)</f>
        <v>773.32</v>
      </c>
      <c r="D21" s="6">
        <f>IFERROR(__xludf.DUMMYFUNCTION("""COMPUTED_VALUE"""),741.7)</f>
        <v>741.7</v>
      </c>
      <c r="E21" s="6">
        <f>IFERROR(__xludf.DUMMYFUNCTION("""COMPUTED_VALUE"""),745.7)</f>
        <v>745.7</v>
      </c>
      <c r="F21" s="6">
        <f>IFERROR(__xludf.DUMMYFUNCTION("""COMPUTED_VALUE"""),2621568.0)</f>
        <v>2621568</v>
      </c>
    </row>
    <row r="22">
      <c r="A22" s="7">
        <f>IFERROR(__xludf.DUMMYFUNCTION("""COMPUTED_VALUE"""),45316.64583333333)</f>
        <v>45316.64583</v>
      </c>
      <c r="B22" s="6">
        <f>IFERROR(__xludf.DUMMYFUNCTION("""COMPUTED_VALUE"""),748.0)</f>
        <v>748</v>
      </c>
      <c r="C22" s="6">
        <f>IFERROR(__xludf.DUMMYFUNCTION("""COMPUTED_VALUE"""),751.33)</f>
        <v>751.33</v>
      </c>
      <c r="D22" s="6">
        <f>IFERROR(__xludf.DUMMYFUNCTION("""COMPUTED_VALUE"""),660.2)</f>
        <v>660.2</v>
      </c>
      <c r="E22" s="6">
        <f>IFERROR(__xludf.DUMMYFUNCTION("""COMPUTED_VALUE"""),707.32)</f>
        <v>707.32</v>
      </c>
      <c r="F22" s="6">
        <f>IFERROR(__xludf.DUMMYFUNCTION("""COMPUTED_VALUE"""),3162967.0)</f>
        <v>3162967</v>
      </c>
    </row>
    <row r="23">
      <c r="A23" s="7">
        <f>IFERROR(__xludf.DUMMYFUNCTION("""COMPUTED_VALUE"""),45324.64583333333)</f>
        <v>45324.64583</v>
      </c>
      <c r="B23" s="6">
        <f>IFERROR(__xludf.DUMMYFUNCTION("""COMPUTED_VALUE"""),710.87)</f>
        <v>710.87</v>
      </c>
      <c r="C23" s="6">
        <f>IFERROR(__xludf.DUMMYFUNCTION("""COMPUTED_VALUE"""),839.47)</f>
        <v>839.47</v>
      </c>
      <c r="D23" s="6">
        <f>IFERROR(__xludf.DUMMYFUNCTION("""COMPUTED_VALUE"""),706.7)</f>
        <v>706.7</v>
      </c>
      <c r="E23" s="6">
        <f>IFERROR(__xludf.DUMMYFUNCTION("""COMPUTED_VALUE"""),821.67)</f>
        <v>821.67</v>
      </c>
      <c r="F23" s="6">
        <f>IFERROR(__xludf.DUMMYFUNCTION("""COMPUTED_VALUE"""),5927843.0)</f>
        <v>5927843</v>
      </c>
    </row>
    <row r="24">
      <c r="A24" s="7">
        <f>IFERROR(__xludf.DUMMYFUNCTION("""COMPUTED_VALUE"""),45331.64583333333)</f>
        <v>45331.64583</v>
      </c>
      <c r="B24" s="6">
        <f>IFERROR(__xludf.DUMMYFUNCTION("""COMPUTED_VALUE"""),826.67)</f>
        <v>826.67</v>
      </c>
      <c r="C24" s="6">
        <f>IFERROR(__xludf.DUMMYFUNCTION("""COMPUTED_VALUE"""),866.32)</f>
        <v>866.32</v>
      </c>
      <c r="D24" s="6">
        <f>IFERROR(__xludf.DUMMYFUNCTION("""COMPUTED_VALUE"""),793.47)</f>
        <v>793.47</v>
      </c>
      <c r="E24" s="6">
        <f>IFERROR(__xludf.DUMMYFUNCTION("""COMPUTED_VALUE"""),829.87)</f>
        <v>829.87</v>
      </c>
      <c r="F24" s="6">
        <f>IFERROR(__xludf.DUMMYFUNCTION("""COMPUTED_VALUE"""),5306568.0)</f>
        <v>5306568</v>
      </c>
    </row>
    <row r="25">
      <c r="A25" s="7">
        <f>IFERROR(__xludf.DUMMYFUNCTION("""COMPUTED_VALUE"""),45338.64583333333)</f>
        <v>45338.64583</v>
      </c>
      <c r="B25" s="6">
        <f>IFERROR(__xludf.DUMMYFUNCTION("""COMPUTED_VALUE"""),833.33)</f>
        <v>833.33</v>
      </c>
      <c r="C25" s="6">
        <f>IFERROR(__xludf.DUMMYFUNCTION("""COMPUTED_VALUE"""),835.1)</f>
        <v>835.1</v>
      </c>
      <c r="D25" s="6">
        <f>IFERROR(__xludf.DUMMYFUNCTION("""COMPUTED_VALUE"""),758.33)</f>
        <v>758.33</v>
      </c>
      <c r="E25" s="6">
        <f>IFERROR(__xludf.DUMMYFUNCTION("""COMPUTED_VALUE"""),767.93)</f>
        <v>767.93</v>
      </c>
      <c r="F25" s="6">
        <f>IFERROR(__xludf.DUMMYFUNCTION("""COMPUTED_VALUE"""),1929780.0)</f>
        <v>1929780</v>
      </c>
    </row>
    <row r="26">
      <c r="A26" s="7">
        <f>IFERROR(__xludf.DUMMYFUNCTION("""COMPUTED_VALUE"""),45345.64583333333)</f>
        <v>45345.64583</v>
      </c>
      <c r="B26" s="6">
        <f>IFERROR(__xludf.DUMMYFUNCTION("""COMPUTED_VALUE"""),773.37)</f>
        <v>773.37</v>
      </c>
      <c r="C26" s="6">
        <f>IFERROR(__xludf.DUMMYFUNCTION("""COMPUTED_VALUE"""),784.03)</f>
        <v>784.03</v>
      </c>
      <c r="D26" s="6">
        <f>IFERROR(__xludf.DUMMYFUNCTION("""COMPUTED_VALUE"""),719.95)</f>
        <v>719.95</v>
      </c>
      <c r="E26" s="6">
        <f>IFERROR(__xludf.DUMMYFUNCTION("""COMPUTED_VALUE"""),758.93)</f>
        <v>758.93</v>
      </c>
      <c r="F26" s="6">
        <f>IFERROR(__xludf.DUMMYFUNCTION("""COMPUTED_VALUE"""),2764891.0)</f>
        <v>2764891</v>
      </c>
    </row>
    <row r="27">
      <c r="A27" s="7">
        <f>IFERROR(__xludf.DUMMYFUNCTION("""COMPUTED_VALUE"""),45358.64583333333)</f>
        <v>45358.64583</v>
      </c>
      <c r="B27" s="6">
        <f>IFERROR(__xludf.DUMMYFUNCTION("""COMPUTED_VALUE"""),788.47)</f>
        <v>788.47</v>
      </c>
      <c r="C27" s="6">
        <f>IFERROR(__xludf.DUMMYFUNCTION("""COMPUTED_VALUE"""),788.67)</f>
        <v>788.67</v>
      </c>
      <c r="D27" s="6">
        <f>IFERROR(__xludf.DUMMYFUNCTION("""COMPUTED_VALUE"""),746.67)</f>
        <v>746.67</v>
      </c>
      <c r="E27" s="6">
        <f>IFERROR(__xludf.DUMMYFUNCTION("""COMPUTED_VALUE"""),747.95)</f>
        <v>747.95</v>
      </c>
      <c r="F27" s="6">
        <f>IFERROR(__xludf.DUMMYFUNCTION("""COMPUTED_VALUE"""),1819661.0)</f>
        <v>1819661</v>
      </c>
    </row>
    <row r="28">
      <c r="A28" s="7">
        <f>IFERROR(__xludf.DUMMYFUNCTION("""COMPUTED_VALUE"""),45366.64583333333)</f>
        <v>45366.64583</v>
      </c>
      <c r="B28" s="6">
        <f>IFERROR(__xludf.DUMMYFUNCTION("""COMPUTED_VALUE"""),747.95)</f>
        <v>747.95</v>
      </c>
      <c r="C28" s="6">
        <f>IFERROR(__xludf.DUMMYFUNCTION("""COMPUTED_VALUE"""),756.67)</f>
        <v>756.67</v>
      </c>
      <c r="D28" s="6">
        <f>IFERROR(__xludf.DUMMYFUNCTION("""COMPUTED_VALUE"""),657.48)</f>
        <v>657.48</v>
      </c>
      <c r="E28" s="6">
        <f>IFERROR(__xludf.DUMMYFUNCTION("""COMPUTED_VALUE"""),694.13)</f>
        <v>694.13</v>
      </c>
      <c r="F28" s="6">
        <f>IFERROR(__xludf.DUMMYFUNCTION("""COMPUTED_VALUE"""),4677685.0)</f>
        <v>4677685</v>
      </c>
    </row>
    <row r="29">
      <c r="A29" s="7">
        <f>IFERROR(__xludf.DUMMYFUNCTION("""COMPUTED_VALUE"""),45373.64583333333)</f>
        <v>45373.64583</v>
      </c>
      <c r="B29" s="6">
        <f>IFERROR(__xludf.DUMMYFUNCTION("""COMPUTED_VALUE"""),692.33)</f>
        <v>692.33</v>
      </c>
      <c r="C29" s="6">
        <f>IFERROR(__xludf.DUMMYFUNCTION("""COMPUTED_VALUE"""),758.3)</f>
        <v>758.3</v>
      </c>
      <c r="D29" s="6">
        <f>IFERROR(__xludf.DUMMYFUNCTION("""COMPUTED_VALUE"""),647.02)</f>
        <v>647.02</v>
      </c>
      <c r="E29" s="6">
        <f>IFERROR(__xludf.DUMMYFUNCTION("""COMPUTED_VALUE"""),732.6)</f>
        <v>732.6</v>
      </c>
      <c r="F29" s="6">
        <f>IFERROR(__xludf.DUMMYFUNCTION("""COMPUTED_VALUE"""),4999800.0)</f>
        <v>4999800</v>
      </c>
    </row>
    <row r="30">
      <c r="A30" s="7">
        <f>IFERROR(__xludf.DUMMYFUNCTION("""COMPUTED_VALUE"""),45379.64583333333)</f>
        <v>45379.64583</v>
      </c>
      <c r="B30" s="6">
        <f>IFERROR(__xludf.DUMMYFUNCTION("""COMPUTED_VALUE"""),741.33)</f>
        <v>741.33</v>
      </c>
      <c r="C30" s="6">
        <f>IFERROR(__xludf.DUMMYFUNCTION("""COMPUTED_VALUE"""),856.67)</f>
        <v>856.67</v>
      </c>
      <c r="D30" s="6">
        <f>IFERROR(__xludf.DUMMYFUNCTION("""COMPUTED_VALUE"""),738.33)</f>
        <v>738.33</v>
      </c>
      <c r="E30" s="6">
        <f>IFERROR(__xludf.DUMMYFUNCTION("""COMPUTED_VALUE"""),838.63)</f>
        <v>838.63</v>
      </c>
      <c r="F30" s="6">
        <f>IFERROR(__xludf.DUMMYFUNCTION("""COMPUTED_VALUE"""),5226485.0)</f>
        <v>5226485</v>
      </c>
    </row>
    <row r="31">
      <c r="A31" s="7">
        <f>IFERROR(__xludf.DUMMYFUNCTION("""COMPUTED_VALUE"""),45387.64583333333)</f>
        <v>45387.64583</v>
      </c>
      <c r="B31" s="6">
        <f>IFERROR(__xludf.DUMMYFUNCTION("""COMPUTED_VALUE"""),852.47)</f>
        <v>852.47</v>
      </c>
      <c r="C31" s="6">
        <f>IFERROR(__xludf.DUMMYFUNCTION("""COMPUTED_VALUE"""),978.67)</f>
        <v>978.67</v>
      </c>
      <c r="D31" s="6">
        <f>IFERROR(__xludf.DUMMYFUNCTION("""COMPUTED_VALUE"""),843.33)</f>
        <v>843.33</v>
      </c>
      <c r="E31" s="6">
        <f>IFERROR(__xludf.DUMMYFUNCTION("""COMPUTED_VALUE"""),958.53)</f>
        <v>958.53</v>
      </c>
      <c r="F31" s="6">
        <f>IFERROR(__xludf.DUMMYFUNCTION("""COMPUTED_VALUE"""),8988223.0)</f>
        <v>8988223</v>
      </c>
    </row>
    <row r="32">
      <c r="A32" s="7">
        <f>IFERROR(__xludf.DUMMYFUNCTION("""COMPUTED_VALUE"""),45394.64583333333)</f>
        <v>45394.64583</v>
      </c>
      <c r="B32" s="6">
        <f>IFERROR(__xludf.DUMMYFUNCTION("""COMPUTED_VALUE"""),962.63)</f>
        <v>962.63</v>
      </c>
      <c r="C32" s="6">
        <f>IFERROR(__xludf.DUMMYFUNCTION("""COMPUTED_VALUE"""),984.97)</f>
        <v>984.97</v>
      </c>
      <c r="D32" s="6">
        <f>IFERROR(__xludf.DUMMYFUNCTION("""COMPUTED_VALUE"""),898.57)</f>
        <v>898.57</v>
      </c>
      <c r="E32" s="6">
        <f>IFERROR(__xludf.DUMMYFUNCTION("""COMPUTED_VALUE"""),942.98)</f>
        <v>942.98</v>
      </c>
      <c r="F32" s="6">
        <f>IFERROR(__xludf.DUMMYFUNCTION("""COMPUTED_VALUE"""),3790697.0)</f>
        <v>3790697</v>
      </c>
    </row>
    <row r="33">
      <c r="A33" s="7">
        <f>IFERROR(__xludf.DUMMYFUNCTION("""COMPUTED_VALUE"""),45401.64583333333)</f>
        <v>45401.64583</v>
      </c>
      <c r="B33" s="6">
        <f>IFERROR(__xludf.DUMMYFUNCTION("""COMPUTED_VALUE"""),915.57)</f>
        <v>915.57</v>
      </c>
      <c r="C33" s="6">
        <f>IFERROR(__xludf.DUMMYFUNCTION("""COMPUTED_VALUE"""),965.17)</f>
        <v>965.17</v>
      </c>
      <c r="D33" s="6">
        <f>IFERROR(__xludf.DUMMYFUNCTION("""COMPUTED_VALUE"""),901.08)</f>
        <v>901.08</v>
      </c>
      <c r="E33" s="6">
        <f>IFERROR(__xludf.DUMMYFUNCTION("""COMPUTED_VALUE"""),922.85)</f>
        <v>922.85</v>
      </c>
      <c r="F33" s="6">
        <f>IFERROR(__xludf.DUMMYFUNCTION("""COMPUTED_VALUE"""),3011061.0)</f>
        <v>3011061</v>
      </c>
    </row>
    <row r="34">
      <c r="A34" s="7">
        <f>IFERROR(__xludf.DUMMYFUNCTION("""COMPUTED_VALUE"""),45408.64583333333)</f>
        <v>45408.64583</v>
      </c>
      <c r="B34" s="6">
        <f>IFERROR(__xludf.DUMMYFUNCTION("""COMPUTED_VALUE"""),932.07)</f>
        <v>932.07</v>
      </c>
      <c r="C34" s="6">
        <f>IFERROR(__xludf.DUMMYFUNCTION("""COMPUTED_VALUE"""),1088.23)</f>
        <v>1088.23</v>
      </c>
      <c r="D34" s="6">
        <f>IFERROR(__xludf.DUMMYFUNCTION("""COMPUTED_VALUE"""),932.07)</f>
        <v>932.07</v>
      </c>
      <c r="E34" s="6">
        <f>IFERROR(__xludf.DUMMYFUNCTION("""COMPUTED_VALUE"""),1070.12)</f>
        <v>1070.12</v>
      </c>
      <c r="F34" s="6">
        <f>IFERROR(__xludf.DUMMYFUNCTION("""COMPUTED_VALUE"""),8860685.0)</f>
        <v>8860685</v>
      </c>
    </row>
    <row r="35">
      <c r="A35" s="7">
        <f>IFERROR(__xludf.DUMMYFUNCTION("""COMPUTED_VALUE"""),45415.64583333333)</f>
        <v>45415.64583</v>
      </c>
      <c r="B35" s="6">
        <f>IFERROR(__xludf.DUMMYFUNCTION("""COMPUTED_VALUE"""),909.48)</f>
        <v>909.48</v>
      </c>
      <c r="C35" s="6">
        <f>IFERROR(__xludf.DUMMYFUNCTION("""COMPUTED_VALUE"""),966.67)</f>
        <v>966.67</v>
      </c>
      <c r="D35" s="6">
        <f>IFERROR(__xludf.DUMMYFUNCTION("""COMPUTED_VALUE"""),870.7)</f>
        <v>870.7</v>
      </c>
      <c r="E35" s="6">
        <f>IFERROR(__xludf.DUMMYFUNCTION("""COMPUTED_VALUE"""),950.25)</f>
        <v>950.25</v>
      </c>
      <c r="F35" s="6">
        <f>IFERROR(__xludf.DUMMYFUNCTION("""COMPUTED_VALUE"""),1.6651285E7)</f>
        <v>16651285</v>
      </c>
    </row>
    <row r="36">
      <c r="A36" s="7">
        <f>IFERROR(__xludf.DUMMYFUNCTION("""COMPUTED_VALUE"""),45422.64583333333)</f>
        <v>45422.64583</v>
      </c>
      <c r="B36" s="6">
        <f>IFERROR(__xludf.DUMMYFUNCTION("""COMPUTED_VALUE"""),958.33)</f>
        <v>958.33</v>
      </c>
      <c r="C36" s="6">
        <f>IFERROR(__xludf.DUMMYFUNCTION("""COMPUTED_VALUE"""),961.67)</f>
        <v>961.67</v>
      </c>
      <c r="D36" s="6">
        <f>IFERROR(__xludf.DUMMYFUNCTION("""COMPUTED_VALUE"""),880.02)</f>
        <v>880.02</v>
      </c>
      <c r="E36" s="6">
        <f>IFERROR(__xludf.DUMMYFUNCTION("""COMPUTED_VALUE"""),883.33)</f>
        <v>883.33</v>
      </c>
      <c r="F36" s="6">
        <f>IFERROR(__xludf.DUMMYFUNCTION("""COMPUTED_VALUE"""),4360786.0)</f>
        <v>4360786</v>
      </c>
    </row>
    <row r="37">
      <c r="A37" s="7">
        <f>IFERROR(__xludf.DUMMYFUNCTION("""COMPUTED_VALUE"""),45436.64583333333)</f>
        <v>45436.64583</v>
      </c>
      <c r="B37" s="6">
        <f>IFERROR(__xludf.DUMMYFUNCTION("""COMPUTED_VALUE"""),931.33)</f>
        <v>931.33</v>
      </c>
      <c r="C37" s="6">
        <f>IFERROR(__xludf.DUMMYFUNCTION("""COMPUTED_VALUE"""),931.33)</f>
        <v>931.33</v>
      </c>
      <c r="D37" s="6">
        <f>IFERROR(__xludf.DUMMYFUNCTION("""COMPUTED_VALUE"""),869.0)</f>
        <v>869</v>
      </c>
      <c r="E37" s="6">
        <f>IFERROR(__xludf.DUMMYFUNCTION("""COMPUTED_VALUE"""),910.03)</f>
        <v>910.03</v>
      </c>
      <c r="F37" s="6">
        <f>IFERROR(__xludf.DUMMYFUNCTION("""COMPUTED_VALUE"""),4289413.0)</f>
        <v>4289413</v>
      </c>
    </row>
    <row r="38">
      <c r="A38" s="7">
        <f>IFERROR(__xludf.DUMMYFUNCTION("""COMPUTED_VALUE"""),45443.64583333333)</f>
        <v>45443.64583</v>
      </c>
      <c r="B38" s="6">
        <f>IFERROR(__xludf.DUMMYFUNCTION("""COMPUTED_VALUE"""),912.32)</f>
        <v>912.32</v>
      </c>
      <c r="C38" s="6">
        <f>IFERROR(__xludf.DUMMYFUNCTION("""COMPUTED_VALUE"""),914.6)</f>
        <v>914.6</v>
      </c>
      <c r="D38" s="6">
        <f>IFERROR(__xludf.DUMMYFUNCTION("""COMPUTED_VALUE"""),836.47)</f>
        <v>836.47</v>
      </c>
      <c r="E38" s="6">
        <f>IFERROR(__xludf.DUMMYFUNCTION("""COMPUTED_VALUE"""),897.95)</f>
        <v>897.95</v>
      </c>
      <c r="F38" s="6">
        <f>IFERROR(__xludf.DUMMYFUNCTION("""COMPUTED_VALUE"""),3908928.0)</f>
        <v>3908928</v>
      </c>
    </row>
    <row r="39">
      <c r="A39" s="7">
        <f>IFERROR(__xludf.DUMMYFUNCTION("""COMPUTED_VALUE"""),45450.64583333333)</f>
        <v>45450.64583</v>
      </c>
      <c r="B39" s="6">
        <f>IFERROR(__xludf.DUMMYFUNCTION("""COMPUTED_VALUE"""),933.0)</f>
        <v>933</v>
      </c>
      <c r="C39" s="6">
        <f>IFERROR(__xludf.DUMMYFUNCTION("""COMPUTED_VALUE"""),940.0)</f>
        <v>940</v>
      </c>
      <c r="D39" s="6">
        <f>IFERROR(__xludf.DUMMYFUNCTION("""COMPUTED_VALUE"""),808.33)</f>
        <v>808.33</v>
      </c>
      <c r="E39" s="6">
        <f>IFERROR(__xludf.DUMMYFUNCTION("""COMPUTED_VALUE"""),893.93)</f>
        <v>893.93</v>
      </c>
      <c r="F39" s="6">
        <f>IFERROR(__xludf.DUMMYFUNCTION("""COMPUTED_VALUE"""),5473070.0)</f>
        <v>5473070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IFERROR(__xludf.DUMMYFUNCTION("""COMPUTED_VALUE"""),893.93)</f>
        <v>893.93</v>
      </c>
      <c r="C40" s="6">
        <f>IFERROR(__xludf.DUMMYFUNCTION("""COMPUTED_VALUE"""),925.92)</f>
        <v>925.92</v>
      </c>
      <c r="D40" s="6">
        <f>IFERROR(__xludf.DUMMYFUNCTION("""COMPUTED_VALUE"""),884.72)</f>
        <v>884.72</v>
      </c>
      <c r="E40" s="6">
        <f>IFERROR(__xludf.DUMMYFUNCTION("""COMPUTED_VALUE"""),919.63)</f>
        <v>919.63</v>
      </c>
      <c r="F40" s="6">
        <f>IFERROR(__xludf.DUMMYFUNCTION("""COMPUTED_VALUE"""),3047868.0)</f>
        <v>3047868</v>
      </c>
    </row>
    <row r="41">
      <c r="A41" s="7">
        <f>IFERROR(__xludf.DUMMYFUNCTION("""COMPUTED_VALUE"""),45464.64583333333)</f>
        <v>45464.64583</v>
      </c>
      <c r="B41" s="6">
        <f>IFERROR(__xludf.DUMMYFUNCTION("""COMPUTED_VALUE"""),920.0)</f>
        <v>920</v>
      </c>
      <c r="C41" s="6">
        <f>IFERROR(__xludf.DUMMYFUNCTION("""COMPUTED_VALUE"""),921.53)</f>
        <v>921.53</v>
      </c>
      <c r="D41" s="6">
        <f>IFERROR(__xludf.DUMMYFUNCTION("""COMPUTED_VALUE"""),849.0)</f>
        <v>849</v>
      </c>
      <c r="E41" s="6">
        <f>IFERROR(__xludf.DUMMYFUNCTION("""COMPUTED_VALUE"""),853.4)</f>
        <v>853.4</v>
      </c>
      <c r="F41" s="6">
        <f>IFERROR(__xludf.DUMMYFUNCTION("""COMPUTED_VALUE"""),2467801.0)</f>
        <v>2467801</v>
      </c>
    </row>
    <row r="42">
      <c r="A42" s="7">
        <f>IFERROR(__xludf.DUMMYFUNCTION("""COMPUTED_VALUE"""),45471.64583333333)</f>
        <v>45471.64583</v>
      </c>
      <c r="B42" s="6">
        <f>IFERROR(__xludf.DUMMYFUNCTION("""COMPUTED_VALUE"""),850.0)</f>
        <v>850</v>
      </c>
      <c r="C42" s="6">
        <f>IFERROR(__xludf.DUMMYFUNCTION("""COMPUTED_VALUE"""),880.9)</f>
        <v>880.9</v>
      </c>
      <c r="D42" s="6">
        <f>IFERROR(__xludf.DUMMYFUNCTION("""COMPUTED_VALUE"""),830.67)</f>
        <v>830.67</v>
      </c>
      <c r="E42" s="6">
        <f>IFERROR(__xludf.DUMMYFUNCTION("""COMPUTED_VALUE"""),860.85)</f>
        <v>860.85</v>
      </c>
      <c r="F42" s="6">
        <f>IFERROR(__xludf.DUMMYFUNCTION("""COMPUTED_VALUE"""),3639274.0)</f>
        <v>3639274</v>
      </c>
    </row>
    <row r="43">
      <c r="A43" s="7">
        <f>IFERROR(__xludf.DUMMYFUNCTION("""COMPUTED_VALUE"""),45478.64583333333)</f>
        <v>45478.64583</v>
      </c>
      <c r="B43" s="6">
        <f>IFERROR(__xludf.DUMMYFUNCTION("""COMPUTED_VALUE"""),866.67)</f>
        <v>866.67</v>
      </c>
      <c r="C43" s="6">
        <f>IFERROR(__xludf.DUMMYFUNCTION("""COMPUTED_VALUE"""),873.25)</f>
        <v>873.25</v>
      </c>
      <c r="D43" s="6">
        <f>IFERROR(__xludf.DUMMYFUNCTION("""COMPUTED_VALUE"""),798.33)</f>
        <v>798.33</v>
      </c>
      <c r="E43" s="6">
        <f>IFERROR(__xludf.DUMMYFUNCTION("""COMPUTED_VALUE"""),801.78)</f>
        <v>801.78</v>
      </c>
      <c r="F43" s="6">
        <f>IFERROR(__xludf.DUMMYFUNCTION("""COMPUTED_VALUE"""),3766169.0)</f>
        <v>3766169</v>
      </c>
    </row>
    <row r="44">
      <c r="A44" s="7">
        <f>IFERROR(__xludf.DUMMYFUNCTION("""COMPUTED_VALUE"""),45485.64583333333)</f>
        <v>45485.64583</v>
      </c>
      <c r="B44" s="6">
        <f>IFERROR(__xludf.DUMMYFUNCTION("""COMPUTED_VALUE"""),803.33)</f>
        <v>803.33</v>
      </c>
      <c r="C44" s="6">
        <f>IFERROR(__xludf.DUMMYFUNCTION("""COMPUTED_VALUE"""),817.98)</f>
        <v>817.98</v>
      </c>
      <c r="D44" s="6">
        <f>IFERROR(__xludf.DUMMYFUNCTION("""COMPUTED_VALUE"""),748.33)</f>
        <v>748.33</v>
      </c>
      <c r="E44" s="6">
        <f>IFERROR(__xludf.DUMMYFUNCTION("""COMPUTED_VALUE"""),787.93)</f>
        <v>787.93</v>
      </c>
      <c r="F44" s="6">
        <f>IFERROR(__xludf.DUMMYFUNCTION("""COMPUTED_VALUE"""),7030128.0)</f>
        <v>7030128</v>
      </c>
    </row>
    <row r="45">
      <c r="A45" s="7">
        <f>IFERROR(__xludf.DUMMYFUNCTION("""COMPUTED_VALUE"""),45492.64583333333)</f>
        <v>45492.64583</v>
      </c>
      <c r="B45" s="6">
        <f>IFERROR(__xludf.DUMMYFUNCTION("""COMPUTED_VALUE"""),793.33)</f>
        <v>793.33</v>
      </c>
      <c r="C45" s="6">
        <f>IFERROR(__xludf.DUMMYFUNCTION("""COMPUTED_VALUE"""),801.52)</f>
        <v>801.52</v>
      </c>
      <c r="D45" s="6">
        <f>IFERROR(__xludf.DUMMYFUNCTION("""COMPUTED_VALUE"""),748.6)</f>
        <v>748.6</v>
      </c>
      <c r="E45" s="6">
        <f>IFERROR(__xludf.DUMMYFUNCTION("""COMPUTED_VALUE"""),750.92)</f>
        <v>750.92</v>
      </c>
      <c r="F45" s="6">
        <f>IFERROR(__xludf.DUMMYFUNCTION("""COMPUTED_VALUE"""),2393047.0)</f>
        <v>2393047</v>
      </c>
    </row>
    <row r="46">
      <c r="A46" s="7">
        <f>IFERROR(__xludf.DUMMYFUNCTION("""COMPUTED_VALUE"""),45499.64583333333)</f>
        <v>45499.64583</v>
      </c>
      <c r="B46" s="6">
        <f>IFERROR(__xludf.DUMMYFUNCTION("""COMPUTED_VALUE"""),740.0)</f>
        <v>740</v>
      </c>
      <c r="C46" s="6">
        <f>IFERROR(__xludf.DUMMYFUNCTION("""COMPUTED_VALUE"""),830.17)</f>
        <v>830.17</v>
      </c>
      <c r="D46" s="6">
        <f>IFERROR(__xludf.DUMMYFUNCTION("""COMPUTED_VALUE"""),705.0)</f>
        <v>705</v>
      </c>
      <c r="E46" s="6">
        <f>IFERROR(__xludf.DUMMYFUNCTION("""COMPUTED_VALUE"""),815.83)</f>
        <v>815.83</v>
      </c>
      <c r="F46" s="6">
        <f>IFERROR(__xludf.DUMMYFUNCTION("""COMPUTED_VALUE"""),6090585.0)</f>
        <v>6090585</v>
      </c>
    </row>
    <row r="47">
      <c r="A47" s="7">
        <f>IFERROR(__xludf.DUMMYFUNCTION("""COMPUTED_VALUE"""),45506.64583333333)</f>
        <v>45506.64583</v>
      </c>
      <c r="B47" s="6">
        <f>IFERROR(__xludf.DUMMYFUNCTION("""COMPUTED_VALUE"""),822.1)</f>
        <v>822.1</v>
      </c>
      <c r="C47" s="6">
        <f>IFERROR(__xludf.DUMMYFUNCTION("""COMPUTED_VALUE"""),886.67)</f>
        <v>886.67</v>
      </c>
      <c r="D47" s="6">
        <f>IFERROR(__xludf.DUMMYFUNCTION("""COMPUTED_VALUE"""),791.33)</f>
        <v>791.33</v>
      </c>
      <c r="E47" s="6">
        <f>IFERROR(__xludf.DUMMYFUNCTION("""COMPUTED_VALUE"""),854.57)</f>
        <v>854.57</v>
      </c>
      <c r="F47" s="6">
        <f>IFERROR(__xludf.DUMMYFUNCTION("""COMPUTED_VALUE"""),6732805.0)</f>
        <v>6732805</v>
      </c>
    </row>
    <row r="48">
      <c r="A48" s="7">
        <f>IFERROR(__xludf.DUMMYFUNCTION("""COMPUTED_VALUE"""),45513.64583333333)</f>
        <v>45513.64583</v>
      </c>
      <c r="B48" s="6">
        <f>IFERROR(__xludf.DUMMYFUNCTION("""COMPUTED_VALUE"""),814.67)</f>
        <v>814.67</v>
      </c>
      <c r="C48" s="6">
        <f>IFERROR(__xludf.DUMMYFUNCTION("""COMPUTED_VALUE"""),893.67)</f>
        <v>893.67</v>
      </c>
      <c r="D48" s="6">
        <f>IFERROR(__xludf.DUMMYFUNCTION("""COMPUTED_VALUE"""),768.7)</f>
        <v>768.7</v>
      </c>
      <c r="E48" s="6">
        <f>IFERROR(__xludf.DUMMYFUNCTION("""COMPUTED_VALUE"""),883.5)</f>
        <v>883.5</v>
      </c>
      <c r="F48" s="6">
        <f>IFERROR(__xludf.DUMMYFUNCTION("""COMPUTED_VALUE"""),8448108.0)</f>
        <v>8448108</v>
      </c>
    </row>
    <row r="49">
      <c r="A49" s="7">
        <f>IFERROR(__xludf.DUMMYFUNCTION("""COMPUTED_VALUE"""),45520.64583333333)</f>
        <v>45520.64583</v>
      </c>
      <c r="B49" s="6">
        <f>IFERROR(__xludf.DUMMYFUNCTION("""COMPUTED_VALUE"""),866.67)</f>
        <v>866.67</v>
      </c>
      <c r="C49" s="6">
        <f>IFERROR(__xludf.DUMMYFUNCTION("""COMPUTED_VALUE"""),892.33)</f>
        <v>892.33</v>
      </c>
      <c r="D49" s="6">
        <f>IFERROR(__xludf.DUMMYFUNCTION("""COMPUTED_VALUE"""),841.67)</f>
        <v>841.67</v>
      </c>
      <c r="E49" s="6">
        <f>IFERROR(__xludf.DUMMYFUNCTION("""COMPUTED_VALUE"""),881.98)</f>
        <v>881.98</v>
      </c>
      <c r="F49" s="6">
        <f>IFERROR(__xludf.DUMMYFUNCTION("""COMPUTED_VALUE"""),2978309.0)</f>
        <v>2978309</v>
      </c>
    </row>
    <row r="50">
      <c r="A50" s="7">
        <f>IFERROR(__xludf.DUMMYFUNCTION("""COMPUTED_VALUE"""),45527.64583333333)</f>
        <v>45527.64583</v>
      </c>
      <c r="B50" s="6">
        <f>IFERROR(__xludf.DUMMYFUNCTION("""COMPUTED_VALUE"""),890.65)</f>
        <v>890.65</v>
      </c>
      <c r="C50" s="6">
        <f>IFERROR(__xludf.DUMMYFUNCTION("""COMPUTED_VALUE"""),933.33)</f>
        <v>933.33</v>
      </c>
      <c r="D50" s="6">
        <f>IFERROR(__xludf.DUMMYFUNCTION("""COMPUTED_VALUE"""),882.0)</f>
        <v>882</v>
      </c>
      <c r="E50" s="6">
        <f>IFERROR(__xludf.DUMMYFUNCTION("""COMPUTED_VALUE"""),913.88)</f>
        <v>913.88</v>
      </c>
      <c r="F50" s="6">
        <f>IFERROR(__xludf.DUMMYFUNCTION("""COMPUTED_VALUE"""),4845611.0)</f>
        <v>4845611</v>
      </c>
    </row>
    <row r="51">
      <c r="A51" s="7">
        <f>IFERROR(__xludf.DUMMYFUNCTION("""COMPUTED_VALUE"""),45534.64583333333)</f>
        <v>45534.64583</v>
      </c>
      <c r="B51" s="6">
        <f>IFERROR(__xludf.DUMMYFUNCTION("""COMPUTED_VALUE"""),918.47)</f>
        <v>918.47</v>
      </c>
      <c r="C51" s="6">
        <f>IFERROR(__xludf.DUMMYFUNCTION("""COMPUTED_VALUE"""),950.0)</f>
        <v>950</v>
      </c>
      <c r="D51" s="6">
        <f>IFERROR(__xludf.DUMMYFUNCTION("""COMPUTED_VALUE"""),893.67)</f>
        <v>893.67</v>
      </c>
      <c r="E51" s="6">
        <f>IFERROR(__xludf.DUMMYFUNCTION("""COMPUTED_VALUE"""),944.22)</f>
        <v>944.22</v>
      </c>
      <c r="F51" s="6">
        <f>IFERROR(__xludf.DUMMYFUNCTION("""COMPUTED_VALUE"""),4187378.0)</f>
        <v>4187378</v>
      </c>
    </row>
    <row r="52">
      <c r="A52" s="7">
        <f>IFERROR(__xludf.DUMMYFUNCTION("""COMPUTED_VALUE"""),45541.64583333333)</f>
        <v>45541.64583</v>
      </c>
      <c r="B52" s="6">
        <f>IFERROR(__xludf.DUMMYFUNCTION("""COMPUTED_VALUE"""),946.5)</f>
        <v>946.5</v>
      </c>
      <c r="C52" s="6">
        <f>IFERROR(__xludf.DUMMYFUNCTION("""COMPUTED_VALUE"""),977.48)</f>
        <v>977.48</v>
      </c>
      <c r="D52" s="6">
        <f>IFERROR(__xludf.DUMMYFUNCTION("""COMPUTED_VALUE"""),900.03)</f>
        <v>900.03</v>
      </c>
      <c r="E52" s="6">
        <f>IFERROR(__xludf.DUMMYFUNCTION("""COMPUTED_VALUE"""),941.42)</f>
        <v>941.42</v>
      </c>
      <c r="F52" s="6">
        <f>IFERROR(__xludf.DUMMYFUNCTION("""COMPUTED_VALUE"""),4010477.0)</f>
        <v>4010477</v>
      </c>
    </row>
    <row r="53">
      <c r="A53" s="7">
        <f>IFERROR(__xludf.DUMMYFUNCTION("""COMPUTED_VALUE"""),45548.64583333333)</f>
        <v>45548.64583</v>
      </c>
      <c r="B53" s="6">
        <f>IFERROR(__xludf.DUMMYFUNCTION("""COMPUTED_VALUE"""),939.73)</f>
        <v>939.73</v>
      </c>
      <c r="C53" s="6">
        <f>IFERROR(__xludf.DUMMYFUNCTION("""COMPUTED_VALUE"""),981.97)</f>
        <v>981.97</v>
      </c>
      <c r="D53" s="6">
        <f>IFERROR(__xludf.DUMMYFUNCTION("""COMPUTED_VALUE"""),913.77)</f>
        <v>913.77</v>
      </c>
      <c r="E53" s="6">
        <f>IFERROR(__xludf.DUMMYFUNCTION("""COMPUTED_VALUE"""),967.57)</f>
        <v>967.57</v>
      </c>
      <c r="F53" s="6">
        <f>IFERROR(__xludf.DUMMYFUNCTION("""COMPUTED_VALUE"""),2868984.0)</f>
        <v>2868984</v>
      </c>
    </row>
    <row r="54">
      <c r="A54" s="7">
        <f>IFERROR(__xludf.DUMMYFUNCTION("""COMPUTED_VALUE"""),45555.64583333333)</f>
        <v>45555.64583</v>
      </c>
      <c r="B54" s="6">
        <f>IFERROR(__xludf.DUMMYFUNCTION("""COMPUTED_VALUE"""),986.67)</f>
        <v>986.67</v>
      </c>
      <c r="C54" s="6">
        <f>IFERROR(__xludf.DUMMYFUNCTION("""COMPUTED_VALUE"""),1350.0)</f>
        <v>1350</v>
      </c>
      <c r="D54" s="6">
        <f>IFERROR(__xludf.DUMMYFUNCTION("""COMPUTED_VALUE"""),985.0)</f>
        <v>985</v>
      </c>
      <c r="E54" s="6">
        <f>IFERROR(__xludf.DUMMYFUNCTION("""COMPUTED_VALUE"""),1328.32)</f>
        <v>1328.32</v>
      </c>
      <c r="F54" s="6">
        <f>IFERROR(__xludf.DUMMYFUNCTION("""COMPUTED_VALUE"""),4.3458068E7)</f>
        <v>43458068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IFERROR(__xludf.DUMMYFUNCTION("""COMPUTED_VALUE"""),1333.67)</f>
        <v>1333.67</v>
      </c>
      <c r="C55" s="6">
        <f>IFERROR(__xludf.DUMMYFUNCTION("""COMPUTED_VALUE"""),1400.0)</f>
        <v>1400</v>
      </c>
      <c r="D55" s="6">
        <f>IFERROR(__xludf.DUMMYFUNCTION("""COMPUTED_VALUE"""),1208.33)</f>
        <v>1208.33</v>
      </c>
      <c r="E55" s="6">
        <f>IFERROR(__xludf.DUMMYFUNCTION("""COMPUTED_VALUE"""),1215.32)</f>
        <v>1215.32</v>
      </c>
      <c r="F55" s="6">
        <f>IFERROR(__xludf.DUMMYFUNCTION("""COMPUTED_VALUE"""),1.2118354E7)</f>
        <v>12118354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IFERROR(__xludf.DUMMYFUNCTION("""COMPUTED_VALUE"""),1193.33)</f>
        <v>1193.33</v>
      </c>
      <c r="C56" s="6">
        <f>IFERROR(__xludf.DUMMYFUNCTION("""COMPUTED_VALUE"""),1411.67)</f>
        <v>1411.67</v>
      </c>
      <c r="D56" s="6">
        <f>IFERROR(__xludf.DUMMYFUNCTION("""COMPUTED_VALUE"""),1193.32)</f>
        <v>1193.32</v>
      </c>
      <c r="E56" s="6">
        <f>IFERROR(__xludf.DUMMYFUNCTION("""COMPUTED_VALUE"""),1369.38)</f>
        <v>1369.38</v>
      </c>
      <c r="F56" s="6">
        <f>IFERROR(__xludf.DUMMYFUNCTION("""COMPUTED_VALUE"""),2.5229928E7)</f>
        <v>25229928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IFERROR(__xludf.DUMMYFUNCTION("""COMPUTED_VALUE"""),1396.67)</f>
        <v>1396.67</v>
      </c>
      <c r="C57" s="6">
        <f>IFERROR(__xludf.DUMMYFUNCTION("""COMPUTED_VALUE"""),1516.67)</f>
        <v>1516.67</v>
      </c>
      <c r="D57" s="6">
        <f>IFERROR(__xludf.DUMMYFUNCTION("""COMPUTED_VALUE"""),1260.35)</f>
        <v>1260.35</v>
      </c>
      <c r="E57" s="6">
        <f>IFERROR(__xludf.DUMMYFUNCTION("""COMPUTED_VALUE"""),1498.82)</f>
        <v>1498.82</v>
      </c>
      <c r="F57" s="6">
        <f>IFERROR(__xludf.DUMMYFUNCTION("""COMPUTED_VALUE"""),2.8670657E7)</f>
        <v>28670657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IFERROR(__xludf.DUMMYFUNCTION("""COMPUTED_VALUE"""),1512.0)</f>
        <v>1512</v>
      </c>
      <c r="C58" s="6">
        <f>IFERROR(__xludf.DUMMYFUNCTION("""COMPUTED_VALUE"""),1663.27)</f>
        <v>1663.27</v>
      </c>
      <c r="D58" s="6">
        <f>IFERROR(__xludf.DUMMYFUNCTION("""COMPUTED_VALUE"""),1367.0)</f>
        <v>1367</v>
      </c>
      <c r="E58" s="6">
        <f>IFERROR(__xludf.DUMMYFUNCTION("""COMPUTED_VALUE"""),1424.93)</f>
        <v>1424.93</v>
      </c>
      <c r="F58" s="6">
        <f>IFERROR(__xludf.DUMMYFUNCTION("""COMPUTED_VALUE"""),3.2559232E7)</f>
        <v>32559232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IFERROR(__xludf.DUMMYFUNCTION("""COMPUTED_VALUE"""),1440.33)</f>
        <v>1440.33</v>
      </c>
      <c r="C59" s="6">
        <f>IFERROR(__xludf.DUMMYFUNCTION("""COMPUTED_VALUE"""),1486.33)</f>
        <v>1486.33</v>
      </c>
      <c r="D59" s="6">
        <f>IFERROR(__xludf.DUMMYFUNCTION("""COMPUTED_VALUE"""),1331.22)</f>
        <v>1331.22</v>
      </c>
      <c r="E59" s="6">
        <f>IFERROR(__xludf.DUMMYFUNCTION("""COMPUTED_VALUE"""),1354.25)</f>
        <v>1354.25</v>
      </c>
      <c r="F59" s="6">
        <f>IFERROR(__xludf.DUMMYFUNCTION("""COMPUTED_VALUE"""),1.3382245E7)</f>
        <v>13382245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IFERROR(__xludf.DUMMYFUNCTION("""COMPUTED_VALUE"""),1481.33)</f>
        <v>1481.33</v>
      </c>
      <c r="C60" s="6">
        <f>IFERROR(__xludf.DUMMYFUNCTION("""COMPUTED_VALUE"""),1656.33)</f>
        <v>1656.33</v>
      </c>
      <c r="D60" s="6">
        <f>IFERROR(__xludf.DUMMYFUNCTION("""COMPUTED_VALUE"""),1457.33)</f>
        <v>1457.33</v>
      </c>
      <c r="E60" s="6">
        <f>IFERROR(__xludf.DUMMYFUNCTION("""COMPUTED_VALUE"""),1564.63)</f>
        <v>1564.63</v>
      </c>
      <c r="F60" s="6">
        <f>IFERROR(__xludf.DUMMYFUNCTION("""COMPUTED_VALUE"""),1.4432246E7)</f>
        <v>14432246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IFERROR(__xludf.DUMMYFUNCTION("""COMPUTED_VALUE"""),1558.33)</f>
        <v>1558.33</v>
      </c>
      <c r="C61" s="6">
        <f>IFERROR(__xludf.DUMMYFUNCTION("""COMPUTED_VALUE"""),1596.33)</f>
        <v>1596.33</v>
      </c>
      <c r="D61" s="6">
        <f>IFERROR(__xludf.DUMMYFUNCTION("""COMPUTED_VALUE"""),1483.9)</f>
        <v>1483.9</v>
      </c>
      <c r="E61" s="6">
        <f>IFERROR(__xludf.DUMMYFUNCTION("""COMPUTED_VALUE"""),1515.93)</f>
        <v>1515.93</v>
      </c>
      <c r="F61" s="6">
        <f>IFERROR(__xludf.DUMMYFUNCTION("""COMPUTED_VALUE"""),9324058.0)</f>
        <v>9324058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IFERROR(__xludf.DUMMYFUNCTION("""COMPUTED_VALUE"""),1521.33)</f>
        <v>1521.33</v>
      </c>
      <c r="C62" s="6">
        <f>IFERROR(__xludf.DUMMYFUNCTION("""COMPUTED_VALUE"""),1619.33)</f>
        <v>1619.33</v>
      </c>
      <c r="D62" s="6">
        <f>IFERROR(__xludf.DUMMYFUNCTION("""COMPUTED_VALUE"""),1490.62)</f>
        <v>1490.62</v>
      </c>
      <c r="E62" s="6">
        <f>IFERROR(__xludf.DUMMYFUNCTION("""COMPUTED_VALUE"""),1573.32)</f>
        <v>1573.32</v>
      </c>
      <c r="F62" s="6">
        <f>IFERROR(__xludf.DUMMYFUNCTION("""COMPUTED_VALUE"""),8782091.0)</f>
        <v>8782091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IFERROR(__xludf.DUMMYFUNCTION("""COMPUTED_VALUE"""),1613.33)</f>
        <v>1613.33</v>
      </c>
      <c r="C63" s="6">
        <f>IFERROR(__xludf.DUMMYFUNCTION("""COMPUTED_VALUE"""),1651.67)</f>
        <v>1651.67</v>
      </c>
      <c r="D63" s="6">
        <f>IFERROR(__xludf.DUMMYFUNCTION("""COMPUTED_VALUE"""),1426.67)</f>
        <v>1426.67</v>
      </c>
      <c r="E63" s="6">
        <f>IFERROR(__xludf.DUMMYFUNCTION("""COMPUTED_VALUE"""),1556.92)</f>
        <v>1556.92</v>
      </c>
      <c r="F63" s="6">
        <f>IFERROR(__xludf.DUMMYFUNCTION("""COMPUTED_VALUE"""),2.348629E7)</f>
        <v>23486290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IFERROR(__xludf.DUMMYFUNCTION("""COMPUTED_VALUE"""),1553.33)</f>
        <v>1553.33</v>
      </c>
      <c r="C64" s="6">
        <f>IFERROR(__xludf.DUMMYFUNCTION("""COMPUTED_VALUE"""),1815.0)</f>
        <v>1815</v>
      </c>
      <c r="D64" s="6">
        <f>IFERROR(__xludf.DUMMYFUNCTION("""COMPUTED_VALUE"""),1495.2)</f>
        <v>1495.2</v>
      </c>
      <c r="E64" s="6">
        <f>IFERROR(__xludf.DUMMYFUNCTION("""COMPUTED_VALUE"""),1798.82)</f>
        <v>1798.82</v>
      </c>
      <c r="F64" s="6">
        <f>IFERROR(__xludf.DUMMYFUNCTION("""COMPUTED_VALUE"""),2.2533921E7)</f>
        <v>22533921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IFERROR(__xludf.DUMMYFUNCTION("""COMPUTED_VALUE"""),1792.33)</f>
        <v>1792.33</v>
      </c>
      <c r="C65" s="6">
        <f>IFERROR(__xludf.DUMMYFUNCTION("""COMPUTED_VALUE"""),1905.9)</f>
        <v>1905.9</v>
      </c>
      <c r="D65" s="6">
        <f>IFERROR(__xludf.DUMMYFUNCTION("""COMPUTED_VALUE"""),1769.97)</f>
        <v>1769.97</v>
      </c>
      <c r="E65" s="6">
        <f>IFERROR(__xludf.DUMMYFUNCTION("""COMPUTED_VALUE"""),1878.32)</f>
        <v>1878.32</v>
      </c>
      <c r="F65" s="6">
        <f>IFERROR(__xludf.DUMMYFUNCTION("""COMPUTED_VALUE"""),1.1880998E7)</f>
        <v>11880998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IFERROR(__xludf.DUMMYFUNCTION("""COMPUTED_VALUE"""),1885.0)</f>
        <v>1885</v>
      </c>
      <c r="C66" s="6">
        <f>IFERROR(__xludf.DUMMYFUNCTION("""COMPUTED_VALUE"""),1945.98)</f>
        <v>1945.98</v>
      </c>
      <c r="D66" s="6">
        <f>IFERROR(__xludf.DUMMYFUNCTION("""COMPUTED_VALUE"""),1818.33)</f>
        <v>1818.33</v>
      </c>
      <c r="E66" s="6">
        <f>IFERROR(__xludf.DUMMYFUNCTION("""COMPUTED_VALUE"""),1847.62)</f>
        <v>1847.62</v>
      </c>
      <c r="F66" s="6">
        <f>IFERROR(__xludf.DUMMYFUNCTION("""COMPUTED_VALUE"""),8031020.0)</f>
        <v>8031020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IFERROR(__xludf.DUMMYFUNCTION("""COMPUTED_VALUE"""),1866.67)</f>
        <v>1866.67</v>
      </c>
      <c r="C67" s="6">
        <f>IFERROR(__xludf.DUMMYFUNCTION("""COMPUTED_VALUE"""),1881.33)</f>
        <v>1881.33</v>
      </c>
      <c r="D67" s="6">
        <f>IFERROR(__xludf.DUMMYFUNCTION("""COMPUTED_VALUE"""),1752.38)</f>
        <v>1752.38</v>
      </c>
      <c r="E67" s="6">
        <f>IFERROR(__xludf.DUMMYFUNCTION("""COMPUTED_VALUE"""),1759.5)</f>
        <v>1759.5</v>
      </c>
      <c r="F67" s="6">
        <f>IFERROR(__xludf.DUMMYFUNCTION("""COMPUTED_VALUE"""),4311812.0)</f>
        <v>4311812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IFERROR(__xludf.DUMMYFUNCTION("""COMPUTED_VALUE"""),1750.0)</f>
        <v>1750</v>
      </c>
      <c r="C68" s="6">
        <f>IFERROR(__xludf.DUMMYFUNCTION("""COMPUTED_VALUE"""),1853.8)</f>
        <v>1853.8</v>
      </c>
      <c r="D68" s="6">
        <f>IFERROR(__xludf.DUMMYFUNCTION("""COMPUTED_VALUE"""),1738.47)</f>
        <v>1738.47</v>
      </c>
      <c r="E68" s="6">
        <f>IFERROR(__xludf.DUMMYFUNCTION("""COMPUTED_VALUE"""),1779.92)</f>
        <v>1779.92</v>
      </c>
      <c r="F68" s="6">
        <f>IFERROR(__xludf.DUMMYFUNCTION("""COMPUTED_VALUE"""),5569208.0)</f>
        <v>5569208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IFERROR(__xludf.DUMMYFUNCTION("""COMPUTED_VALUE"""),1783.33)</f>
        <v>1783.33</v>
      </c>
      <c r="C69" s="6">
        <f>IFERROR(__xludf.DUMMYFUNCTION("""COMPUTED_VALUE"""),1821.67)</f>
        <v>1821.67</v>
      </c>
      <c r="D69" s="6">
        <f>IFERROR(__xludf.DUMMYFUNCTION("""COMPUTED_VALUE"""),1684.98)</f>
        <v>1684.98</v>
      </c>
      <c r="E69" s="6">
        <f>IFERROR(__xludf.DUMMYFUNCTION("""COMPUTED_VALUE"""),1707.22)</f>
        <v>1707.22</v>
      </c>
      <c r="F69" s="6">
        <f>IFERROR(__xludf.DUMMYFUNCTION("""COMPUTED_VALUE"""),6819797.0)</f>
        <v>6819797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IFERROR(__xludf.DUMMYFUNCTION("""COMPUTED_VALUE"""),1690.17)</f>
        <v>1690.17</v>
      </c>
      <c r="C70" s="6">
        <f>IFERROR(__xludf.DUMMYFUNCTION("""COMPUTED_VALUE"""),2010.3)</f>
        <v>2010.3</v>
      </c>
      <c r="D70" s="6">
        <f>IFERROR(__xludf.DUMMYFUNCTION("""COMPUTED_VALUE"""),1674.37)</f>
        <v>1674.37</v>
      </c>
      <c r="E70" s="6">
        <f>IFERROR(__xludf.DUMMYFUNCTION("""COMPUTED_VALUE"""),1999.58)</f>
        <v>1999.58</v>
      </c>
      <c r="F70" s="6">
        <f>IFERROR(__xludf.DUMMYFUNCTION("""COMPUTED_VALUE"""),1.2078838E7)</f>
        <v>12078838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IFERROR(__xludf.DUMMYFUNCTION("""COMPUTED_VALUE"""),2023.33)</f>
        <v>2023.33</v>
      </c>
      <c r="C71" s="6">
        <f>IFERROR(__xludf.DUMMYFUNCTION("""COMPUTED_VALUE"""),2044.47)</f>
        <v>2044.47</v>
      </c>
      <c r="D71" s="6">
        <f>IFERROR(__xludf.DUMMYFUNCTION("""COMPUTED_VALUE"""),1867.0)</f>
        <v>1867</v>
      </c>
      <c r="E71" s="6">
        <f>IFERROR(__xludf.DUMMYFUNCTION("""COMPUTED_VALUE"""),1945.2)</f>
        <v>1945.2</v>
      </c>
      <c r="F71" s="6">
        <f>IFERROR(__xludf.DUMMYFUNCTION("""COMPUTED_VALUE"""),6817458.0)</f>
        <v>6817458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IFERROR(__xludf.DUMMYFUNCTION("""COMPUTED_VALUE"""),1777.0)</f>
        <v>1777</v>
      </c>
      <c r="C72" s="6">
        <f>IFERROR(__xludf.DUMMYFUNCTION("""COMPUTED_VALUE"""),1952.67)</f>
        <v>1952.67</v>
      </c>
      <c r="D72" s="6">
        <f>IFERROR(__xludf.DUMMYFUNCTION("""COMPUTED_VALUE"""),1756.67)</f>
        <v>1756.67</v>
      </c>
      <c r="E72" s="6">
        <f>IFERROR(__xludf.DUMMYFUNCTION("""COMPUTED_VALUE"""),1908.7)</f>
        <v>1908.7</v>
      </c>
      <c r="F72" s="6">
        <f>IFERROR(__xludf.DUMMYFUNCTION("""COMPUTED_VALUE"""),9087415.0)</f>
        <v>9087415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IFERROR(__xludf.DUMMYFUNCTION("""COMPUTED_VALUE"""),1910.0)</f>
        <v>1910</v>
      </c>
      <c r="C73" s="6">
        <f>IFERROR(__xludf.DUMMYFUNCTION("""COMPUTED_VALUE"""),1931.65)</f>
        <v>1931.65</v>
      </c>
      <c r="D73" s="6">
        <f>IFERROR(__xludf.DUMMYFUNCTION("""COMPUTED_VALUE"""),1681.37)</f>
        <v>1681.37</v>
      </c>
      <c r="E73" s="6">
        <f>IFERROR(__xludf.DUMMYFUNCTION("""COMPUTED_VALUE"""),1706.85)</f>
        <v>1706.85</v>
      </c>
      <c r="F73" s="6">
        <f>IFERROR(__xludf.DUMMYFUNCTION("""COMPUTED_VALUE"""),1.238465E7)</f>
        <v>12384650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IFERROR(__xludf.DUMMYFUNCTION("""COMPUTED_VALUE"""),1699.83)</f>
        <v>1699.83</v>
      </c>
      <c r="C74" s="6">
        <f>IFERROR(__xludf.DUMMYFUNCTION("""COMPUTED_VALUE"""),2015.82)</f>
        <v>2015.82</v>
      </c>
      <c r="D74" s="6">
        <f>IFERROR(__xludf.DUMMYFUNCTION("""COMPUTED_VALUE"""),1657.0)</f>
        <v>1657</v>
      </c>
      <c r="E74" s="6">
        <f>IFERROR(__xludf.DUMMYFUNCTION("""COMPUTED_VALUE"""),1919.27)</f>
        <v>1919.27</v>
      </c>
      <c r="F74" s="6">
        <f>IFERROR(__xludf.DUMMYFUNCTION("""COMPUTED_VALUE"""),1.5364586E7)</f>
        <v>15364586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IFERROR(__xludf.DUMMYFUNCTION("""COMPUTED_VALUE"""),1883.33)</f>
        <v>1883.33</v>
      </c>
      <c r="C75" s="6">
        <f>IFERROR(__xludf.DUMMYFUNCTION("""COMPUTED_VALUE"""),1914.0)</f>
        <v>1914</v>
      </c>
      <c r="D75" s="6">
        <f>IFERROR(__xludf.DUMMYFUNCTION("""COMPUTED_VALUE"""),1517.07)</f>
        <v>1517.07</v>
      </c>
      <c r="E75" s="6">
        <f>IFERROR(__xludf.DUMMYFUNCTION("""COMPUTED_VALUE"""),1544.57)</f>
        <v>1544.57</v>
      </c>
      <c r="F75" s="6">
        <f>IFERROR(__xludf.DUMMYFUNCTION("""COMPUTED_VALUE"""),1.3147241E7)</f>
        <v>13147241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IFERROR(__xludf.DUMMYFUNCTION("""COMPUTED_VALUE"""),1538.33)</f>
        <v>1538.33</v>
      </c>
      <c r="C76" s="6">
        <f>IFERROR(__xludf.DUMMYFUNCTION("""COMPUTED_VALUE"""),1538.33)</f>
        <v>1538.33</v>
      </c>
      <c r="D76" s="6">
        <f>IFERROR(__xludf.DUMMYFUNCTION("""COMPUTED_VALUE"""),1345.03)</f>
        <v>1345.03</v>
      </c>
      <c r="E76" s="6">
        <f>IFERROR(__xludf.DUMMYFUNCTION("""COMPUTED_VALUE"""),1392.77)</f>
        <v>1392.77</v>
      </c>
      <c r="F76" s="6">
        <f>IFERROR(__xludf.DUMMYFUNCTION("""COMPUTED_VALUE"""),3.2236357E7)</f>
        <v>32236357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IFERROR(__xludf.DUMMYFUNCTION("""COMPUTED_VALUE"""),1390.0)</f>
        <v>1390</v>
      </c>
      <c r="C77" s="6">
        <f>IFERROR(__xludf.DUMMYFUNCTION("""COMPUTED_VALUE"""),1411.27)</f>
        <v>1411.27</v>
      </c>
      <c r="D77" s="6">
        <f>IFERROR(__xludf.DUMMYFUNCTION("""COMPUTED_VALUE"""),1227.33)</f>
        <v>1227.33</v>
      </c>
      <c r="E77" s="6">
        <f>IFERROR(__xludf.DUMMYFUNCTION("""COMPUTED_VALUE"""),1308.75)</f>
        <v>1308.75</v>
      </c>
      <c r="F77" s="6">
        <f>IFERROR(__xludf.DUMMYFUNCTION("""COMPUTED_VALUE"""),2.1533336E7)</f>
        <v>21533336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IFERROR(__xludf.DUMMYFUNCTION("""COMPUTED_VALUE"""),1323.2)</f>
        <v>1323.2</v>
      </c>
      <c r="C78" s="6">
        <f>IFERROR(__xludf.DUMMYFUNCTION("""COMPUTED_VALUE"""),1616.67)</f>
        <v>1616.67</v>
      </c>
      <c r="D78" s="6">
        <f>IFERROR(__xludf.DUMMYFUNCTION("""COMPUTED_VALUE"""),1300.33)</f>
        <v>1300.33</v>
      </c>
      <c r="E78" s="6">
        <f>IFERROR(__xludf.DUMMYFUNCTION("""COMPUTED_VALUE"""),1593.25)</f>
        <v>1593.25</v>
      </c>
      <c r="F78" s="6">
        <f>IFERROR(__xludf.DUMMYFUNCTION("""COMPUTED_VALUE"""),2.3803991E7)</f>
        <v>23803991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IFERROR(__xludf.DUMMYFUNCTION("""COMPUTED_VALUE"""),1613.33)</f>
        <v>1613.33</v>
      </c>
      <c r="C79" s="6">
        <f>IFERROR(__xludf.DUMMYFUNCTION("""COMPUTED_VALUE"""),1844.8)</f>
        <v>1844.8</v>
      </c>
      <c r="D79" s="6">
        <f>IFERROR(__xludf.DUMMYFUNCTION("""COMPUTED_VALUE"""),1484.33)</f>
        <v>1484.33</v>
      </c>
      <c r="E79" s="6">
        <f>IFERROR(__xludf.DUMMYFUNCTION("""COMPUTED_VALUE"""),1826.6)</f>
        <v>1826.6</v>
      </c>
      <c r="F79" s="6">
        <f>IFERROR(__xludf.DUMMYFUNCTION("""COMPUTED_VALUE"""),3.8619174E7)</f>
        <v>38619174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IFERROR(__xludf.DUMMYFUNCTION("""COMPUTED_VALUE"""),1848.0)</f>
        <v>1848</v>
      </c>
      <c r="C80" s="6">
        <f>IFERROR(__xludf.DUMMYFUNCTION("""COMPUTED_VALUE"""),1929.07)</f>
        <v>1929.07</v>
      </c>
      <c r="D80" s="6">
        <f>IFERROR(__xludf.DUMMYFUNCTION("""COMPUTED_VALUE"""),1810.0)</f>
        <v>1810</v>
      </c>
      <c r="E80" s="6">
        <f>IFERROR(__xludf.DUMMYFUNCTION("""COMPUTED_VALUE"""),1839.15)</f>
        <v>1839.15</v>
      </c>
      <c r="F80" s="6">
        <f>IFERROR(__xludf.DUMMYFUNCTION("""COMPUTED_VALUE"""),1.7803944E7)</f>
        <v>17803944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IFERROR(__xludf.DUMMYFUNCTION("""COMPUTED_VALUE"""),1666.68)</f>
        <v>1666.68</v>
      </c>
      <c r="C81" s="6">
        <f>IFERROR(__xludf.DUMMYFUNCTION("""COMPUTED_VALUE"""),1908.0)</f>
        <v>1908</v>
      </c>
      <c r="D81" s="6">
        <f>IFERROR(__xludf.DUMMYFUNCTION("""COMPUTED_VALUE"""),1659.45)</f>
        <v>1659.45</v>
      </c>
      <c r="E81" s="6">
        <f>IFERROR(__xludf.DUMMYFUNCTION("""COMPUTED_VALUE"""),1881.58)</f>
        <v>1881.58</v>
      </c>
      <c r="F81" s="6">
        <f>IFERROR(__xludf.DUMMYFUNCTION("""COMPUTED_VALUE"""),1.3494014E7)</f>
        <v>13494014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IFERROR(__xludf.DUMMYFUNCTION("""COMPUTED_VALUE"""),1917.0)</f>
        <v>1917</v>
      </c>
      <c r="C82" s="6">
        <f>IFERROR(__xludf.DUMMYFUNCTION("""COMPUTED_VALUE"""),2013.33)</f>
        <v>2013.33</v>
      </c>
      <c r="D82" s="6">
        <f>IFERROR(__xludf.DUMMYFUNCTION("""COMPUTED_VALUE"""),1907.0)</f>
        <v>1907</v>
      </c>
      <c r="E82" s="6">
        <f>IFERROR(__xludf.DUMMYFUNCTION("""COMPUTED_VALUE"""),1977.0)</f>
        <v>1977</v>
      </c>
      <c r="F82" s="6">
        <f>IFERROR(__xludf.DUMMYFUNCTION("""COMPUTED_VALUE"""),7443881.0)</f>
        <v>7443881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IFERROR(__xludf.DUMMYFUNCTION("""COMPUTED_VALUE"""),1993.67)</f>
        <v>1993.67</v>
      </c>
      <c r="C83" s="6">
        <f>IFERROR(__xludf.DUMMYFUNCTION("""COMPUTED_VALUE"""),2198.33)</f>
        <v>2198.33</v>
      </c>
      <c r="D83" s="6">
        <f>IFERROR(__xludf.DUMMYFUNCTION("""COMPUTED_VALUE"""),1990.0)</f>
        <v>1990</v>
      </c>
      <c r="E83" s="6">
        <f>IFERROR(__xludf.DUMMYFUNCTION("""COMPUTED_VALUE"""),2101.17)</f>
        <v>2101.17</v>
      </c>
      <c r="F83" s="6">
        <f>IFERROR(__xludf.DUMMYFUNCTION("""COMPUTED_VALUE"""),1.8171206E7)</f>
        <v>18171206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IFERROR(__xludf.DUMMYFUNCTION("""COMPUTED_VALUE"""),2100.0)</f>
        <v>2100</v>
      </c>
      <c r="C84" s="6">
        <f>IFERROR(__xludf.DUMMYFUNCTION("""COMPUTED_VALUE"""),2269.33)</f>
        <v>2269.33</v>
      </c>
      <c r="D84" s="6">
        <f>IFERROR(__xludf.DUMMYFUNCTION("""COMPUTED_VALUE"""),2090.67)</f>
        <v>2090.67</v>
      </c>
      <c r="E84" s="6">
        <f>IFERROR(__xludf.DUMMYFUNCTION("""COMPUTED_VALUE"""),2102.17)</f>
        <v>2102.17</v>
      </c>
      <c r="F84" s="6">
        <f>IFERROR(__xludf.DUMMYFUNCTION("""COMPUTED_VALUE"""),1.1300697E7)</f>
        <v>11300697</v>
      </c>
    </row>
    <row r="85">
      <c r="A85" s="7">
        <f>IFERROR(__xludf.DUMMYFUNCTION("""COMPUTED_VALUE"""),45786.64583333333)</f>
        <v>45786.64583</v>
      </c>
      <c r="B85" s="6">
        <f>IFERROR(__xludf.DUMMYFUNCTION("""COMPUTED_VALUE"""),2116.67)</f>
        <v>2116.67</v>
      </c>
      <c r="C85" s="6">
        <f>IFERROR(__xludf.DUMMYFUNCTION("""COMPUTED_VALUE"""),2298.0)</f>
        <v>2298</v>
      </c>
      <c r="D85" s="6">
        <f>IFERROR(__xludf.DUMMYFUNCTION("""COMPUTED_VALUE"""),2073.33)</f>
        <v>2073.33</v>
      </c>
      <c r="E85" s="6">
        <f>IFERROR(__xludf.DUMMYFUNCTION("""COMPUTED_VALUE"""),2190.67)</f>
        <v>2190.67</v>
      </c>
      <c r="F85" s="6">
        <f>IFERROR(__xludf.DUMMYFUNCTION("""COMPUTED_VALUE"""),2.4373812E7)</f>
        <v>24373812</v>
      </c>
    </row>
    <row r="86">
      <c r="A86" s="7">
        <f>IFERROR(__xludf.DUMMYFUNCTION("""COMPUTED_VALUE"""),45793.64583333333)</f>
        <v>45793.64583</v>
      </c>
      <c r="B86" s="6">
        <f>IFERROR(__xludf.DUMMYFUNCTION("""COMPUTED_VALUE"""),2300.0)</f>
        <v>2300</v>
      </c>
      <c r="C86" s="6">
        <f>IFERROR(__xludf.DUMMYFUNCTION("""COMPUTED_VALUE"""),2474.17)</f>
        <v>2474.17</v>
      </c>
      <c r="D86" s="6">
        <f>IFERROR(__xludf.DUMMYFUNCTION("""COMPUTED_VALUE"""),2288.33)</f>
        <v>2288.33</v>
      </c>
      <c r="E86" s="6">
        <f>IFERROR(__xludf.DUMMYFUNCTION("""COMPUTED_VALUE"""),2426.33)</f>
        <v>2426.33</v>
      </c>
      <c r="F86" s="6">
        <f>IFERROR(__xludf.DUMMYFUNCTION("""COMPUTED_VALUE"""),1.7668132E7)</f>
        <v>17668132</v>
      </c>
    </row>
    <row r="87">
      <c r="A87" s="7">
        <f>IFERROR(__xludf.DUMMYFUNCTION("""COMPUTED_VALUE"""),45800.64583333333)</f>
        <v>45800.64583</v>
      </c>
      <c r="B87" s="6">
        <f>IFERROR(__xludf.DUMMYFUNCTION("""COMPUTED_VALUE"""),2438.33)</f>
        <v>2438.33</v>
      </c>
      <c r="C87" s="6">
        <f>IFERROR(__xludf.DUMMYFUNCTION("""COMPUTED_VALUE"""),2529.33)</f>
        <v>2529.33</v>
      </c>
      <c r="D87" s="6">
        <f>IFERROR(__xludf.DUMMYFUNCTION("""COMPUTED_VALUE"""),2298.33)</f>
        <v>2298.33</v>
      </c>
      <c r="E87" s="6">
        <f>IFERROR(__xludf.DUMMYFUNCTION("""COMPUTED_VALUE"""),2448.0)</f>
        <v>2448</v>
      </c>
      <c r="F87" s="6">
        <f>IFERROR(__xludf.DUMMYFUNCTION("""COMPUTED_VALUE"""),2.9897619E7)</f>
        <v>29897619</v>
      </c>
    </row>
    <row r="88">
      <c r="A88" s="7">
        <f>IFERROR(__xludf.DUMMYFUNCTION("""COMPUTED_VALUE"""),45807.64583333333)</f>
        <v>45807.64583</v>
      </c>
      <c r="B88" s="6">
        <f>IFERROR(__xludf.DUMMYFUNCTION("""COMPUTED_VALUE"""),2480.0)</f>
        <v>2480</v>
      </c>
      <c r="C88" s="6">
        <f>IFERROR(__xludf.DUMMYFUNCTION("""COMPUTED_VALUE"""),2690.0)</f>
        <v>2690</v>
      </c>
      <c r="D88" s="6">
        <f>IFERROR(__xludf.DUMMYFUNCTION("""COMPUTED_VALUE"""),2385.0)</f>
        <v>2385</v>
      </c>
      <c r="E88" s="6">
        <f>IFERROR(__xludf.DUMMYFUNCTION("""COMPUTED_VALUE"""),2674.0)</f>
        <v>2674</v>
      </c>
      <c r="F88" s="6">
        <f>IFERROR(__xludf.DUMMYFUNCTION("""COMPUTED_VALUE"""),4.5564876E7)</f>
        <v>45564876</v>
      </c>
    </row>
    <row r="89">
      <c r="A89" s="7">
        <f>IFERROR(__xludf.DUMMYFUNCTION("""COMPUTED_VALUE"""),45814.64583333333)</f>
        <v>45814.64583</v>
      </c>
      <c r="B89" s="6">
        <f>IFERROR(__xludf.DUMMYFUNCTION("""COMPUTED_VALUE"""),2690.0)</f>
        <v>2690</v>
      </c>
      <c r="C89" s="6">
        <f>IFERROR(__xludf.DUMMYFUNCTION("""COMPUTED_VALUE"""),2985.0)</f>
        <v>2985</v>
      </c>
      <c r="D89" s="6">
        <f>IFERROR(__xludf.DUMMYFUNCTION("""COMPUTED_VALUE"""),2647.0)</f>
        <v>2647</v>
      </c>
      <c r="E89" s="6">
        <f>IFERROR(__xludf.DUMMYFUNCTION("""COMPUTED_VALUE"""),2933.2)</f>
        <v>2933.2</v>
      </c>
      <c r="F89" s="6">
        <f>IFERROR(__xludf.DUMMYFUNCTION("""COMPUTED_VALUE"""),4.7943701E7)</f>
        <v>47943701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IFERROR(__xludf.DUMMYFUNCTION("""COMPUTED_VALUE"""),2970.0)</f>
        <v>2970</v>
      </c>
      <c r="C90" s="6">
        <f>IFERROR(__xludf.DUMMYFUNCTION("""COMPUTED_VALUE"""),3030.0)</f>
        <v>3030</v>
      </c>
      <c r="D90" s="6">
        <f>IFERROR(__xludf.DUMMYFUNCTION("""COMPUTED_VALUE"""),2653.0)</f>
        <v>2653</v>
      </c>
      <c r="E90" s="6">
        <f>IFERROR(__xludf.DUMMYFUNCTION("""COMPUTED_VALUE"""),2711.2)</f>
        <v>2711.2</v>
      </c>
      <c r="F90" s="6">
        <f>IFERROR(__xludf.DUMMYFUNCTION("""COMPUTED_VALUE"""),4.2210323E7)</f>
        <v>42210323</v>
      </c>
    </row>
    <row r="91">
      <c r="A91" s="7">
        <f>IFERROR(__xludf.DUMMYFUNCTION("""COMPUTED_VALUE"""),45828.64583333333)</f>
        <v>45828.64583</v>
      </c>
      <c r="B91" s="6">
        <f>IFERROR(__xludf.DUMMYFUNCTION("""COMPUTED_VALUE"""),2725.0)</f>
        <v>2725</v>
      </c>
      <c r="C91" s="6">
        <f>IFERROR(__xludf.DUMMYFUNCTION("""COMPUTED_VALUE"""),2769.0)</f>
        <v>2769</v>
      </c>
      <c r="D91" s="6">
        <f>IFERROR(__xludf.DUMMYFUNCTION("""COMPUTED_VALUE"""),2500.0)</f>
        <v>2500</v>
      </c>
      <c r="E91" s="6">
        <f>IFERROR(__xludf.DUMMYFUNCTION("""COMPUTED_VALUE"""),2688.1)</f>
        <v>2688.1</v>
      </c>
      <c r="F91" s="6">
        <f>IFERROR(__xludf.DUMMYFUNCTION("""COMPUTED_VALUE"""),3.1841855E7)</f>
        <v>31841855</v>
      </c>
    </row>
    <row r="92">
      <c r="A92" s="7">
        <f>IFERROR(__xludf.DUMMYFUNCTION("""COMPUTED_VALUE"""),45835.64583333333)</f>
        <v>45835.64583</v>
      </c>
      <c r="B92" s="6">
        <f>IFERROR(__xludf.DUMMYFUNCTION("""COMPUTED_VALUE"""),2670.0)</f>
        <v>2670</v>
      </c>
      <c r="C92" s="6">
        <f>IFERROR(__xludf.DUMMYFUNCTION("""COMPUTED_VALUE"""),2865.6)</f>
        <v>2865.6</v>
      </c>
      <c r="D92" s="6">
        <f>IFERROR(__xludf.DUMMYFUNCTION("""COMPUTED_VALUE"""),2648.0)</f>
        <v>2648</v>
      </c>
      <c r="E92" s="6">
        <f>IFERROR(__xludf.DUMMYFUNCTION("""COMPUTED_VALUE"""),2775.6)</f>
        <v>2775.6</v>
      </c>
      <c r="F92" s="6">
        <f>IFERROR(__xludf.DUMMYFUNCTION("""COMPUTED_VALUE"""),2.4791762E7)</f>
        <v>24791762</v>
      </c>
    </row>
    <row r="93">
      <c r="A93" s="7">
        <f>IFERROR(__xludf.DUMMYFUNCTION("""COMPUTED_VALUE"""),45842.64583333333)</f>
        <v>45842.64583</v>
      </c>
      <c r="B93" s="6">
        <f>IFERROR(__xludf.DUMMYFUNCTION("""COMPUTED_VALUE"""),2788.9)</f>
        <v>2788.9</v>
      </c>
      <c r="C93" s="6">
        <f>IFERROR(__xludf.DUMMYFUNCTION("""COMPUTED_VALUE"""),2825.9)</f>
        <v>2825.9</v>
      </c>
      <c r="D93" s="6">
        <f>IFERROR(__xludf.DUMMYFUNCTION("""COMPUTED_VALUE"""),2613.1)</f>
        <v>2613.1</v>
      </c>
      <c r="E93" s="6">
        <f>IFERROR(__xludf.DUMMYFUNCTION("""COMPUTED_VALUE"""),2635.2)</f>
        <v>2635.2</v>
      </c>
      <c r="F93" s="6">
        <f>IFERROR(__xludf.DUMMYFUNCTION("""COMPUTED_VALUE"""),2.4821802E7)</f>
        <v>24821802</v>
      </c>
    </row>
    <row r="94">
      <c r="A94" s="7">
        <f>IFERROR(__xludf.DUMMYFUNCTION("""COMPUTED_VALUE"""),45849.64583333333)</f>
        <v>45849.64583</v>
      </c>
      <c r="B94" s="6">
        <f>IFERROR(__xludf.DUMMYFUNCTION("""COMPUTED_VALUE"""),2635.2)</f>
        <v>2635.2</v>
      </c>
      <c r="C94" s="6">
        <f>IFERROR(__xludf.DUMMYFUNCTION("""COMPUTED_VALUE"""),2680.0)</f>
        <v>2680</v>
      </c>
      <c r="D94" s="6">
        <f>IFERROR(__xludf.DUMMYFUNCTION("""COMPUTED_VALUE"""),2365.3)</f>
        <v>2365.3</v>
      </c>
      <c r="E94" s="6">
        <f>IFERROR(__xludf.DUMMYFUNCTION("""COMPUTED_VALUE"""),2371.1)</f>
        <v>2371.1</v>
      </c>
      <c r="F94" s="6">
        <f>IFERROR(__xludf.DUMMYFUNCTION("""COMPUTED_VALUE"""),4.1734934E7)</f>
        <v>41734934</v>
      </c>
    </row>
    <row r="95">
      <c r="A95" s="7">
        <f>IFERROR(__xludf.DUMMYFUNCTION("""COMPUTED_VALUE"""),45856.64583333333)</f>
        <v>45856.64583</v>
      </c>
      <c r="B95" s="6">
        <f>IFERROR(__xludf.DUMMYFUNCTION("""COMPUTED_VALUE"""),2425.0)</f>
        <v>2425</v>
      </c>
      <c r="C95" s="6">
        <f>IFERROR(__xludf.DUMMYFUNCTION("""COMPUTED_VALUE"""),2585.0)</f>
        <v>2585</v>
      </c>
      <c r="D95" s="6">
        <f>IFERROR(__xludf.DUMMYFUNCTION("""COMPUTED_VALUE"""),2390.8)</f>
        <v>2390.8</v>
      </c>
      <c r="E95" s="6">
        <f>IFERROR(__xludf.DUMMYFUNCTION("""COMPUTED_VALUE"""),2448.5)</f>
        <v>2448.5</v>
      </c>
      <c r="F95" s="6">
        <f>IFERROR(__xludf.DUMMYFUNCTION("""COMPUTED_VALUE"""),2.5379618E7)</f>
        <v>25379618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IFERROR(__xludf.DUMMYFUNCTION("""COMPUTED_VALUE"""),2450.0)</f>
        <v>2450</v>
      </c>
      <c r="C96" s="6">
        <f>IFERROR(__xludf.DUMMYFUNCTION("""COMPUTED_VALUE"""),2570.9)</f>
        <v>2570.9</v>
      </c>
      <c r="D96" s="6">
        <f>IFERROR(__xludf.DUMMYFUNCTION("""COMPUTED_VALUE"""),2433.1)</f>
        <v>2433.1</v>
      </c>
      <c r="E96" s="6">
        <f>IFERROR(__xludf.DUMMYFUNCTION("""COMPUTED_VALUE"""),2454.0)</f>
        <v>2454</v>
      </c>
      <c r="F96" s="6">
        <f>IFERROR(__xludf.DUMMYFUNCTION("""COMPUTED_VALUE"""),1.6860449E7)</f>
        <v>16860449</v>
      </c>
    </row>
    <row r="97">
      <c r="A97" s="7">
        <f>IFERROR(__xludf.DUMMYFUNCTION("""COMPUTED_VALUE"""),45870.64583333333)</f>
        <v>45870.64583</v>
      </c>
      <c r="B97" s="6">
        <f>IFERROR(__xludf.DUMMYFUNCTION("""COMPUTED_VALUE"""),2460.0)</f>
        <v>2460</v>
      </c>
      <c r="C97" s="6">
        <f>IFERROR(__xludf.DUMMYFUNCTION("""COMPUTED_VALUE"""),2524.5)</f>
        <v>2524.5</v>
      </c>
      <c r="D97" s="6">
        <f>IFERROR(__xludf.DUMMYFUNCTION("""COMPUTED_VALUE"""),2383.5)</f>
        <v>2383.5</v>
      </c>
      <c r="E97" s="6">
        <f>IFERROR(__xludf.DUMMYFUNCTION("""COMPUTED_VALUE"""),2411.3)</f>
        <v>2411.3</v>
      </c>
      <c r="F97" s="6">
        <f>IFERROR(__xludf.DUMMYFUNCTION("""COMPUTED_VALUE"""),1.3974742E7)</f>
        <v>13974742</v>
      </c>
    </row>
    <row r="98">
      <c r="A98" s="7">
        <f>IFERROR(__xludf.DUMMYFUNCTION("""COMPUTED_VALUE"""),45877.64583333333)</f>
        <v>45877.64583</v>
      </c>
      <c r="B98" s="6">
        <f>IFERROR(__xludf.DUMMYFUNCTION("""COMPUTED_VALUE"""),2420.0)</f>
        <v>2420</v>
      </c>
      <c r="C98" s="6">
        <f>IFERROR(__xludf.DUMMYFUNCTION("""COMPUTED_VALUE"""),2503.6)</f>
        <v>2503.6</v>
      </c>
      <c r="D98" s="6">
        <f>IFERROR(__xludf.DUMMYFUNCTION("""COMPUTED_VALUE"""),2282.0)</f>
        <v>2282</v>
      </c>
      <c r="E98" s="6">
        <f>IFERROR(__xludf.DUMMYFUNCTION("""COMPUTED_VALUE"""),2392.9)</f>
        <v>2392.9</v>
      </c>
      <c r="F98" s="6">
        <f>IFERROR(__xludf.DUMMYFUNCTION("""COMPUTED_VALUE"""),3.1025721E7)</f>
        <v>31025721</v>
      </c>
    </row>
    <row r="99">
      <c r="A99" s="7">
        <f>IFERROR(__xludf.DUMMYFUNCTION("""COMPUTED_VALUE"""),45883.64583333333)</f>
        <v>45883.64583</v>
      </c>
      <c r="B99" s="6">
        <f>IFERROR(__xludf.DUMMYFUNCTION("""COMPUTED_VALUE"""),2400.0)</f>
        <v>2400</v>
      </c>
      <c r="C99" s="6">
        <f>IFERROR(__xludf.DUMMYFUNCTION("""COMPUTED_VALUE"""),2514.4)</f>
        <v>2514.4</v>
      </c>
      <c r="D99" s="6">
        <f>IFERROR(__xludf.DUMMYFUNCTION("""COMPUTED_VALUE"""),2346.5)</f>
        <v>2346.5</v>
      </c>
      <c r="E99" s="6">
        <f>IFERROR(__xludf.DUMMYFUNCTION("""COMPUTED_VALUE"""),2482.0)</f>
        <v>2482</v>
      </c>
      <c r="F99" s="6">
        <f>IFERROR(__xludf.DUMMYFUNCTION("""COMPUTED_VALUE"""),1.398544E7)</f>
        <v>13985440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IFERROR(__xludf.DUMMYFUNCTION("""COMPUTED_VALUE"""),2520.0)</f>
        <v>2520</v>
      </c>
      <c r="C100" s="6">
        <f>IFERROR(__xludf.DUMMYFUNCTION("""COMPUTED_VALUE"""),2550.0)</f>
        <v>2550</v>
      </c>
      <c r="D100" s="6">
        <f>IFERROR(__xludf.DUMMYFUNCTION("""COMPUTED_VALUE"""),2292.2)</f>
        <v>2292.2</v>
      </c>
      <c r="E100" s="6">
        <f>IFERROR(__xludf.DUMMYFUNCTION("""COMPUTED_VALUE"""),2332.8)</f>
        <v>2332.8</v>
      </c>
      <c r="F100" s="6">
        <f>IFERROR(__xludf.DUMMYFUNCTION("""COMPUTED_VALUE"""),2.7063252E7)</f>
        <v>27063252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IFERROR(__xludf.DUMMYFUNCTION("""COMPUTED_VALUE"""),2335.0)</f>
        <v>2335</v>
      </c>
      <c r="C101" s="6">
        <f>IFERROR(__xludf.DUMMYFUNCTION("""COMPUTED_VALUE"""),2342.9)</f>
        <v>2342.9</v>
      </c>
      <c r="D101" s="6">
        <f>IFERROR(__xludf.DUMMYFUNCTION("""COMPUTED_VALUE"""),2212.0)</f>
        <v>2212</v>
      </c>
      <c r="E101" s="6">
        <f>IFERROR(__xludf.DUMMYFUNCTION("""COMPUTED_VALUE"""),2215.6)</f>
        <v>2215.6</v>
      </c>
      <c r="F101" s="6">
        <f>IFERROR(__xludf.DUMMYFUNCTION("""COMPUTED_VALUE"""),7.0502377E7)</f>
        <v>70502377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IFERROR(__xludf.DUMMYFUNCTION("GOOGLEFINANCE(""NSE:CANBK"",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IFERROR(__xludf.DUMMYFUNCTION("""COMPUTED_VALUE"""),65.45)</f>
        <v>65.45</v>
      </c>
      <c r="C2" s="6">
        <f>IFERROR(__xludf.DUMMYFUNCTION("""COMPUTED_VALUE"""),66.07)</f>
        <v>66.07</v>
      </c>
      <c r="D2" s="6">
        <f>IFERROR(__xludf.DUMMYFUNCTION("""COMPUTED_VALUE"""),63.85)</f>
        <v>63.85</v>
      </c>
      <c r="E2" s="6">
        <f>IFERROR(__xludf.DUMMYFUNCTION("""COMPUTED_VALUE"""),65.68)</f>
        <v>65.68</v>
      </c>
      <c r="F2" s="6">
        <f>IFERROR(__xludf.DUMMYFUNCTION("""COMPUTED_VALUE"""),2.3167367E7)</f>
        <v>23167367</v>
      </c>
    </row>
    <row r="3">
      <c r="A3" s="7">
        <f>IFERROR(__xludf.DUMMYFUNCTION("""COMPUTED_VALUE"""),45177.64583333333)</f>
        <v>45177.64583</v>
      </c>
      <c r="B3" s="6">
        <f>IFERROR(__xludf.DUMMYFUNCTION("""COMPUTED_VALUE"""),65.91)</f>
        <v>65.91</v>
      </c>
      <c r="C3" s="6">
        <f>IFERROR(__xludf.DUMMYFUNCTION("""COMPUTED_VALUE"""),68.7)</f>
        <v>68.7</v>
      </c>
      <c r="D3" s="6">
        <f>IFERROR(__xludf.DUMMYFUNCTION("""COMPUTED_VALUE"""),65.46)</f>
        <v>65.46</v>
      </c>
      <c r="E3" s="6">
        <f>IFERROR(__xludf.DUMMYFUNCTION("""COMPUTED_VALUE"""),67.82)</f>
        <v>67.82</v>
      </c>
      <c r="F3" s="6">
        <f>IFERROR(__xludf.DUMMYFUNCTION("""COMPUTED_VALUE"""),3.3779155E7)</f>
        <v>33779155</v>
      </c>
    </row>
    <row r="4">
      <c r="A4" s="7">
        <f>IFERROR(__xludf.DUMMYFUNCTION("""COMPUTED_VALUE"""),45184.64583333333)</f>
        <v>45184.64583</v>
      </c>
      <c r="B4" s="6">
        <f>IFERROR(__xludf.DUMMYFUNCTION("""COMPUTED_VALUE"""),68.18)</f>
        <v>68.18</v>
      </c>
      <c r="C4" s="6">
        <f>IFERROR(__xludf.DUMMYFUNCTION("""COMPUTED_VALUE"""),73.74)</f>
        <v>73.74</v>
      </c>
      <c r="D4" s="6">
        <f>IFERROR(__xludf.DUMMYFUNCTION("""COMPUTED_VALUE"""),68.06)</f>
        <v>68.06</v>
      </c>
      <c r="E4" s="6">
        <f>IFERROR(__xludf.DUMMYFUNCTION("""COMPUTED_VALUE"""),72.97)</f>
        <v>72.97</v>
      </c>
      <c r="F4" s="6">
        <f>IFERROR(__xludf.DUMMYFUNCTION("""COMPUTED_VALUE"""),7.2256486E7)</f>
        <v>72256486</v>
      </c>
    </row>
    <row r="5">
      <c r="A5" s="7">
        <f>IFERROR(__xludf.DUMMYFUNCTION("""COMPUTED_VALUE"""),45191.64583333333)</f>
        <v>45191.64583</v>
      </c>
      <c r="B5" s="6">
        <f>IFERROR(__xludf.DUMMYFUNCTION("""COMPUTED_VALUE"""),73.18)</f>
        <v>73.18</v>
      </c>
      <c r="C5" s="6">
        <f>IFERROR(__xludf.DUMMYFUNCTION("""COMPUTED_VALUE"""),77.2)</f>
        <v>77.2</v>
      </c>
      <c r="D5" s="6">
        <f>IFERROR(__xludf.DUMMYFUNCTION("""COMPUTED_VALUE"""),72.12)</f>
        <v>72.12</v>
      </c>
      <c r="E5" s="6">
        <f>IFERROR(__xludf.DUMMYFUNCTION("""COMPUTED_VALUE"""),76.59)</f>
        <v>76.59</v>
      </c>
      <c r="F5" s="6">
        <f>IFERROR(__xludf.DUMMYFUNCTION("""COMPUTED_VALUE"""),7.4812323E7)</f>
        <v>74812323</v>
      </c>
    </row>
    <row r="6">
      <c r="A6" s="7">
        <f>IFERROR(__xludf.DUMMYFUNCTION("""COMPUTED_VALUE"""),45198.64583333333)</f>
        <v>45198.64583</v>
      </c>
      <c r="B6" s="6">
        <f>IFERROR(__xludf.DUMMYFUNCTION("""COMPUTED_VALUE"""),76.79)</f>
        <v>76.79</v>
      </c>
      <c r="C6" s="6">
        <f>IFERROR(__xludf.DUMMYFUNCTION("""COMPUTED_VALUE"""),76.79)</f>
        <v>76.79</v>
      </c>
      <c r="D6" s="6">
        <f>IFERROR(__xludf.DUMMYFUNCTION("""COMPUTED_VALUE"""),73.12)</f>
        <v>73.12</v>
      </c>
      <c r="E6" s="6">
        <f>IFERROR(__xludf.DUMMYFUNCTION("""COMPUTED_VALUE"""),75.25)</f>
        <v>75.25</v>
      </c>
      <c r="F6" s="6">
        <f>IFERROR(__xludf.DUMMYFUNCTION("""COMPUTED_VALUE"""),5.9726755E7)</f>
        <v>59726755</v>
      </c>
    </row>
    <row r="7">
      <c r="A7" s="7">
        <f>IFERROR(__xludf.DUMMYFUNCTION("""COMPUTED_VALUE"""),45205.64583333333)</f>
        <v>45205.64583</v>
      </c>
      <c r="B7" s="6">
        <f>IFERROR(__xludf.DUMMYFUNCTION("""COMPUTED_VALUE"""),75.25)</f>
        <v>75.25</v>
      </c>
      <c r="C7" s="6">
        <f>IFERROR(__xludf.DUMMYFUNCTION("""COMPUTED_VALUE"""),77.3)</f>
        <v>77.3</v>
      </c>
      <c r="D7" s="6">
        <f>IFERROR(__xludf.DUMMYFUNCTION("""COMPUTED_VALUE"""),74.08)</f>
        <v>74.08</v>
      </c>
      <c r="E7" s="6">
        <f>IFERROR(__xludf.DUMMYFUNCTION("""COMPUTED_VALUE"""),75.06)</f>
        <v>75.06</v>
      </c>
      <c r="F7" s="6">
        <f>IFERROR(__xludf.DUMMYFUNCTION("""COMPUTED_VALUE"""),3.3547793E7)</f>
        <v>33547793</v>
      </c>
    </row>
    <row r="8">
      <c r="A8" s="7">
        <f>IFERROR(__xludf.DUMMYFUNCTION("""COMPUTED_VALUE"""),45212.64583333333)</f>
        <v>45212.64583</v>
      </c>
      <c r="B8" s="6">
        <f>IFERROR(__xludf.DUMMYFUNCTION("""COMPUTED_VALUE"""),74.0)</f>
        <v>74</v>
      </c>
      <c r="C8" s="6">
        <f>IFERROR(__xludf.DUMMYFUNCTION("""COMPUTED_VALUE"""),75.0)</f>
        <v>75</v>
      </c>
      <c r="D8" s="6">
        <f>IFERROR(__xludf.DUMMYFUNCTION("""COMPUTED_VALUE"""),71.96)</f>
        <v>71.96</v>
      </c>
      <c r="E8" s="6">
        <f>IFERROR(__xludf.DUMMYFUNCTION("""COMPUTED_VALUE"""),73.31)</f>
        <v>73.31</v>
      </c>
      <c r="F8" s="6">
        <f>IFERROR(__xludf.DUMMYFUNCTION("""COMPUTED_VALUE"""),2.8566975E7)</f>
        <v>28566975</v>
      </c>
    </row>
    <row r="9">
      <c r="A9" s="7">
        <f>IFERROR(__xludf.DUMMYFUNCTION("""COMPUTED_VALUE"""),45219.64583333333)</f>
        <v>45219.64583</v>
      </c>
      <c r="B9" s="6">
        <f>IFERROR(__xludf.DUMMYFUNCTION("""COMPUTED_VALUE"""),73.2)</f>
        <v>73.2</v>
      </c>
      <c r="C9" s="6">
        <f>IFERROR(__xludf.DUMMYFUNCTION("""COMPUTED_VALUE"""),75.68)</f>
        <v>75.68</v>
      </c>
      <c r="D9" s="6">
        <f>IFERROR(__xludf.DUMMYFUNCTION("""COMPUTED_VALUE"""),73.0)</f>
        <v>73</v>
      </c>
      <c r="E9" s="6">
        <f>IFERROR(__xludf.DUMMYFUNCTION("""COMPUTED_VALUE"""),73.86)</f>
        <v>73.86</v>
      </c>
      <c r="F9" s="6">
        <f>IFERROR(__xludf.DUMMYFUNCTION("""COMPUTED_VALUE"""),2.9485564E7)</f>
        <v>29485564</v>
      </c>
    </row>
    <row r="10">
      <c r="A10" s="7">
        <f>IFERROR(__xludf.DUMMYFUNCTION("""COMPUTED_VALUE"""),45226.64583333333)</f>
        <v>45226.64583</v>
      </c>
      <c r="B10" s="6">
        <f>IFERROR(__xludf.DUMMYFUNCTION("""COMPUTED_VALUE"""),73.86)</f>
        <v>73.86</v>
      </c>
      <c r="C10" s="6">
        <f>IFERROR(__xludf.DUMMYFUNCTION("""COMPUTED_VALUE"""),77.56)</f>
        <v>77.56</v>
      </c>
      <c r="D10" s="6">
        <f>IFERROR(__xludf.DUMMYFUNCTION("""COMPUTED_VALUE"""),68.42)</f>
        <v>68.42</v>
      </c>
      <c r="E10" s="6">
        <f>IFERROR(__xludf.DUMMYFUNCTION("""COMPUTED_VALUE"""),76.16)</f>
        <v>76.16</v>
      </c>
      <c r="F10" s="6">
        <f>IFERROR(__xludf.DUMMYFUNCTION("""COMPUTED_VALUE"""),5.5214362E7)</f>
        <v>55214362</v>
      </c>
    </row>
    <row r="11">
      <c r="A11" s="7">
        <f>IFERROR(__xludf.DUMMYFUNCTION("""COMPUTED_VALUE"""),45233.64583333333)</f>
        <v>45233.64583</v>
      </c>
      <c r="B11" s="6">
        <f>IFERROR(__xludf.DUMMYFUNCTION("""COMPUTED_VALUE"""),76.4)</f>
        <v>76.4</v>
      </c>
      <c r="C11" s="6">
        <f>IFERROR(__xludf.DUMMYFUNCTION("""COMPUTED_VALUE"""),78.56)</f>
        <v>78.56</v>
      </c>
      <c r="D11" s="6">
        <f>IFERROR(__xludf.DUMMYFUNCTION("""COMPUTED_VALUE"""),75.6)</f>
        <v>75.6</v>
      </c>
      <c r="E11" s="6">
        <f>IFERROR(__xludf.DUMMYFUNCTION("""COMPUTED_VALUE"""),77.5)</f>
        <v>77.5</v>
      </c>
      <c r="F11" s="6">
        <f>IFERROR(__xludf.DUMMYFUNCTION("""COMPUTED_VALUE"""),3.5270043E7)</f>
        <v>35270043</v>
      </c>
    </row>
    <row r="12">
      <c r="A12" s="7">
        <f>IFERROR(__xludf.DUMMYFUNCTION("""COMPUTED_VALUE"""),45240.64583333333)</f>
        <v>45240.64583</v>
      </c>
      <c r="B12" s="6">
        <f>IFERROR(__xludf.DUMMYFUNCTION("""COMPUTED_VALUE"""),77.8)</f>
        <v>77.8</v>
      </c>
      <c r="C12" s="6">
        <f>IFERROR(__xludf.DUMMYFUNCTION("""COMPUTED_VALUE"""),78.22)</f>
        <v>78.22</v>
      </c>
      <c r="D12" s="6">
        <f>IFERROR(__xludf.DUMMYFUNCTION("""COMPUTED_VALUE"""),76.2)</f>
        <v>76.2</v>
      </c>
      <c r="E12" s="6">
        <f>IFERROR(__xludf.DUMMYFUNCTION("""COMPUTED_VALUE"""),77.48)</f>
        <v>77.48</v>
      </c>
      <c r="F12" s="6">
        <f>IFERROR(__xludf.DUMMYFUNCTION("""COMPUTED_VALUE"""),2.1901335E7)</f>
        <v>21901335</v>
      </c>
    </row>
    <row r="13">
      <c r="A13" s="7">
        <f>IFERROR(__xludf.DUMMYFUNCTION("""COMPUTED_VALUE"""),45247.64583333333)</f>
        <v>45247.64583</v>
      </c>
      <c r="B13" s="6">
        <f>IFERROR(__xludf.DUMMYFUNCTION("""COMPUTED_VALUE"""),78.08)</f>
        <v>78.08</v>
      </c>
      <c r="C13" s="6">
        <f>IFERROR(__xludf.DUMMYFUNCTION("""COMPUTED_VALUE"""),82.2)</f>
        <v>82.2</v>
      </c>
      <c r="D13" s="6">
        <f>IFERROR(__xludf.DUMMYFUNCTION("""COMPUTED_VALUE"""),77.39)</f>
        <v>77.39</v>
      </c>
      <c r="E13" s="6">
        <f>IFERROR(__xludf.DUMMYFUNCTION("""COMPUTED_VALUE"""),79.56)</f>
        <v>79.56</v>
      </c>
      <c r="F13" s="6">
        <f>IFERROR(__xludf.DUMMYFUNCTION("""COMPUTED_VALUE"""),3.1278533E7)</f>
        <v>31278533</v>
      </c>
    </row>
    <row r="14">
      <c r="A14" s="7">
        <f>IFERROR(__xludf.DUMMYFUNCTION("""COMPUTED_VALUE"""),45254.64583333333)</f>
        <v>45254.64583</v>
      </c>
      <c r="B14" s="6">
        <f>IFERROR(__xludf.DUMMYFUNCTION("""COMPUTED_VALUE"""),79.88)</f>
        <v>79.88</v>
      </c>
      <c r="C14" s="6">
        <f>IFERROR(__xludf.DUMMYFUNCTION("""COMPUTED_VALUE"""),80.99)</f>
        <v>80.99</v>
      </c>
      <c r="D14" s="6">
        <f>IFERROR(__xludf.DUMMYFUNCTION("""COMPUTED_VALUE"""),77.8)</f>
        <v>77.8</v>
      </c>
      <c r="E14" s="6">
        <f>IFERROR(__xludf.DUMMYFUNCTION("""COMPUTED_VALUE"""),77.96)</f>
        <v>77.96</v>
      </c>
      <c r="F14" s="6">
        <f>IFERROR(__xludf.DUMMYFUNCTION("""COMPUTED_VALUE"""),1.6732344E7)</f>
        <v>16732344</v>
      </c>
    </row>
    <row r="15">
      <c r="A15" s="7">
        <f>IFERROR(__xludf.DUMMYFUNCTION("""COMPUTED_VALUE"""),45261.64583333333)</f>
        <v>45261.64583</v>
      </c>
      <c r="B15" s="6">
        <f>IFERROR(__xludf.DUMMYFUNCTION("""COMPUTED_VALUE"""),78.0)</f>
        <v>78</v>
      </c>
      <c r="C15" s="6">
        <f>IFERROR(__xludf.DUMMYFUNCTION("""COMPUTED_VALUE"""),83.81)</f>
        <v>83.81</v>
      </c>
      <c r="D15" s="6">
        <f>IFERROR(__xludf.DUMMYFUNCTION("""COMPUTED_VALUE"""),78.0)</f>
        <v>78</v>
      </c>
      <c r="E15" s="6">
        <f>IFERROR(__xludf.DUMMYFUNCTION("""COMPUTED_VALUE"""),82.06)</f>
        <v>82.06</v>
      </c>
      <c r="F15" s="6">
        <f>IFERROR(__xludf.DUMMYFUNCTION("""COMPUTED_VALUE"""),2.7963637E7)</f>
        <v>27963637</v>
      </c>
    </row>
    <row r="16">
      <c r="A16" s="7">
        <f>IFERROR(__xludf.DUMMYFUNCTION("""COMPUTED_VALUE"""),45268.64583333333)</f>
        <v>45268.64583</v>
      </c>
      <c r="B16" s="6">
        <f>IFERROR(__xludf.DUMMYFUNCTION("""COMPUTED_VALUE"""),83.9)</f>
        <v>83.9</v>
      </c>
      <c r="C16" s="6">
        <f>IFERROR(__xludf.DUMMYFUNCTION("""COMPUTED_VALUE"""),88.26)</f>
        <v>88.26</v>
      </c>
      <c r="D16" s="6">
        <f>IFERROR(__xludf.DUMMYFUNCTION("""COMPUTED_VALUE"""),83.71)</f>
        <v>83.71</v>
      </c>
      <c r="E16" s="6">
        <f>IFERROR(__xludf.DUMMYFUNCTION("""COMPUTED_VALUE"""),87.71)</f>
        <v>87.71</v>
      </c>
      <c r="F16" s="6">
        <f>IFERROR(__xludf.DUMMYFUNCTION("""COMPUTED_VALUE"""),4.2363603E7)</f>
        <v>42363603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IFERROR(__xludf.DUMMYFUNCTION("""COMPUTED_VALUE"""),88.0)</f>
        <v>88</v>
      </c>
      <c r="C17" s="6">
        <f>IFERROR(__xludf.DUMMYFUNCTION("""COMPUTED_VALUE"""),90.94)</f>
        <v>90.94</v>
      </c>
      <c r="D17" s="6">
        <f>IFERROR(__xludf.DUMMYFUNCTION("""COMPUTED_VALUE"""),87.67)</f>
        <v>87.67</v>
      </c>
      <c r="E17" s="6">
        <f>IFERROR(__xludf.DUMMYFUNCTION("""COMPUTED_VALUE"""),89.83)</f>
        <v>89.83</v>
      </c>
      <c r="F17" s="6">
        <f>IFERROR(__xludf.DUMMYFUNCTION("""COMPUTED_VALUE"""),3.4160622E7)</f>
        <v>34160622</v>
      </c>
    </row>
    <row r="18">
      <c r="A18" s="7">
        <f>IFERROR(__xludf.DUMMYFUNCTION("""COMPUTED_VALUE"""),45282.64583333333)</f>
        <v>45282.64583</v>
      </c>
      <c r="B18" s="6">
        <f>IFERROR(__xludf.DUMMYFUNCTION("""COMPUTED_VALUE"""),89.84)</f>
        <v>89.84</v>
      </c>
      <c r="C18" s="6">
        <f>IFERROR(__xludf.DUMMYFUNCTION("""COMPUTED_VALUE"""),90.19)</f>
        <v>90.19</v>
      </c>
      <c r="D18" s="6">
        <f>IFERROR(__xludf.DUMMYFUNCTION("""COMPUTED_VALUE"""),82.69)</f>
        <v>82.69</v>
      </c>
      <c r="E18" s="6">
        <f>IFERROR(__xludf.DUMMYFUNCTION("""COMPUTED_VALUE"""),85.21)</f>
        <v>85.21</v>
      </c>
      <c r="F18" s="6">
        <f>IFERROR(__xludf.DUMMYFUNCTION("""COMPUTED_VALUE"""),3.4285926E7)</f>
        <v>34285926</v>
      </c>
    </row>
    <row r="19">
      <c r="A19" s="7">
        <f>IFERROR(__xludf.DUMMYFUNCTION("""COMPUTED_VALUE"""),45289.64583333333)</f>
        <v>45289.64583</v>
      </c>
      <c r="B19" s="6">
        <f>IFERROR(__xludf.DUMMYFUNCTION("""COMPUTED_VALUE"""),85.6)</f>
        <v>85.6</v>
      </c>
      <c r="C19" s="6">
        <f>IFERROR(__xludf.DUMMYFUNCTION("""COMPUTED_VALUE"""),89.34)</f>
        <v>89.34</v>
      </c>
      <c r="D19" s="6">
        <f>IFERROR(__xludf.DUMMYFUNCTION("""COMPUTED_VALUE"""),84.92)</f>
        <v>84.92</v>
      </c>
      <c r="E19" s="6">
        <f>IFERROR(__xludf.DUMMYFUNCTION("""COMPUTED_VALUE"""),87.5)</f>
        <v>87.5</v>
      </c>
      <c r="F19" s="6">
        <f>IFERROR(__xludf.DUMMYFUNCTION("""COMPUTED_VALUE"""),2.7171146E7)</f>
        <v>27171146</v>
      </c>
    </row>
    <row r="20">
      <c r="A20" s="7">
        <f>IFERROR(__xludf.DUMMYFUNCTION("""COMPUTED_VALUE"""),45296.64583333333)</f>
        <v>45296.64583</v>
      </c>
      <c r="B20" s="6">
        <f>IFERROR(__xludf.DUMMYFUNCTION("""COMPUTED_VALUE"""),88.1)</f>
        <v>88.1</v>
      </c>
      <c r="C20" s="6">
        <f>IFERROR(__xludf.DUMMYFUNCTION("""COMPUTED_VALUE"""),93.85)</f>
        <v>93.85</v>
      </c>
      <c r="D20" s="6">
        <f>IFERROR(__xludf.DUMMYFUNCTION("""COMPUTED_VALUE"""),87.6)</f>
        <v>87.6</v>
      </c>
      <c r="E20" s="6">
        <f>IFERROR(__xludf.DUMMYFUNCTION("""COMPUTED_VALUE"""),92.39)</f>
        <v>92.39</v>
      </c>
      <c r="F20" s="6">
        <f>IFERROR(__xludf.DUMMYFUNCTION("""COMPUTED_VALUE"""),4.608228E7)</f>
        <v>46082280</v>
      </c>
    </row>
    <row r="21">
      <c r="A21" s="7">
        <f>IFERROR(__xludf.DUMMYFUNCTION("""COMPUTED_VALUE"""),45303.64583333333)</f>
        <v>45303.64583</v>
      </c>
      <c r="B21" s="6">
        <f>IFERROR(__xludf.DUMMYFUNCTION("""COMPUTED_VALUE"""),92.3)</f>
        <v>92.3</v>
      </c>
      <c r="C21" s="6">
        <f>IFERROR(__xludf.DUMMYFUNCTION("""COMPUTED_VALUE"""),93.2)</f>
        <v>93.2</v>
      </c>
      <c r="D21" s="6">
        <f>IFERROR(__xludf.DUMMYFUNCTION("""COMPUTED_VALUE"""),88.61)</f>
        <v>88.61</v>
      </c>
      <c r="E21" s="6">
        <f>IFERROR(__xludf.DUMMYFUNCTION("""COMPUTED_VALUE"""),92.45)</f>
        <v>92.45</v>
      </c>
      <c r="F21" s="6">
        <f>IFERROR(__xludf.DUMMYFUNCTION("""COMPUTED_VALUE"""),3.0153463E7)</f>
        <v>30153463</v>
      </c>
    </row>
    <row r="22">
      <c r="A22" s="7">
        <f>IFERROR(__xludf.DUMMYFUNCTION("""COMPUTED_VALUE"""),45316.64583333333)</f>
        <v>45316.64583</v>
      </c>
      <c r="B22" s="6">
        <f>IFERROR(__xludf.DUMMYFUNCTION("""COMPUTED_VALUE"""),96.48)</f>
        <v>96.48</v>
      </c>
      <c r="C22" s="6">
        <f>IFERROR(__xludf.DUMMYFUNCTION("""COMPUTED_VALUE"""),96.98)</f>
        <v>96.98</v>
      </c>
      <c r="D22" s="6">
        <f>IFERROR(__xludf.DUMMYFUNCTION("""COMPUTED_VALUE"""),88.6)</f>
        <v>88.6</v>
      </c>
      <c r="E22" s="6">
        <f>IFERROR(__xludf.DUMMYFUNCTION("""COMPUTED_VALUE"""),93.06)</f>
        <v>93.06</v>
      </c>
      <c r="F22" s="6">
        <f>IFERROR(__xludf.DUMMYFUNCTION("""COMPUTED_VALUE"""),4.6719309E7)</f>
        <v>46719309</v>
      </c>
    </row>
    <row r="23">
      <c r="A23" s="7">
        <f>IFERROR(__xludf.DUMMYFUNCTION("""COMPUTED_VALUE"""),45324.64583333333)</f>
        <v>45324.64583</v>
      </c>
      <c r="B23" s="6">
        <f>IFERROR(__xludf.DUMMYFUNCTION("""COMPUTED_VALUE"""),93.98)</f>
        <v>93.98</v>
      </c>
      <c r="C23" s="6">
        <f>IFERROR(__xludf.DUMMYFUNCTION("""COMPUTED_VALUE"""),104.46)</f>
        <v>104.46</v>
      </c>
      <c r="D23" s="6">
        <f>IFERROR(__xludf.DUMMYFUNCTION("""COMPUTED_VALUE"""),93.62)</f>
        <v>93.62</v>
      </c>
      <c r="E23" s="6">
        <f>IFERROR(__xludf.DUMMYFUNCTION("""COMPUTED_VALUE"""),102.87)</f>
        <v>102.87</v>
      </c>
      <c r="F23" s="6">
        <f>IFERROR(__xludf.DUMMYFUNCTION("""COMPUTED_VALUE"""),5.0971087E7)</f>
        <v>50971087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IFERROR(__xludf.DUMMYFUNCTION("""COMPUTED_VALUE"""),103.74)</f>
        <v>103.74</v>
      </c>
      <c r="C24" s="6">
        <f>IFERROR(__xludf.DUMMYFUNCTION("""COMPUTED_VALUE"""),115.98)</f>
        <v>115.98</v>
      </c>
      <c r="D24" s="6">
        <f>IFERROR(__xludf.DUMMYFUNCTION("""COMPUTED_VALUE"""),102.29)</f>
        <v>102.29</v>
      </c>
      <c r="E24" s="6">
        <f>IFERROR(__xludf.DUMMYFUNCTION("""COMPUTED_VALUE"""),114.2)</f>
        <v>114.2</v>
      </c>
      <c r="F24" s="6">
        <f>IFERROR(__xludf.DUMMYFUNCTION("""COMPUTED_VALUE"""),7.0626981E7)</f>
        <v>70626981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IFERROR(__xludf.DUMMYFUNCTION("""COMPUTED_VALUE"""),114.8)</f>
        <v>114.8</v>
      </c>
      <c r="C25" s="6">
        <f>IFERROR(__xludf.DUMMYFUNCTION("""COMPUTED_VALUE"""),118.94)</f>
        <v>118.94</v>
      </c>
      <c r="D25" s="6">
        <f>IFERROR(__xludf.DUMMYFUNCTION("""COMPUTED_VALUE"""),106.92)</f>
        <v>106.92</v>
      </c>
      <c r="E25" s="6">
        <f>IFERROR(__xludf.DUMMYFUNCTION("""COMPUTED_VALUE"""),117.17)</f>
        <v>117.17</v>
      </c>
      <c r="F25" s="6">
        <f>IFERROR(__xludf.DUMMYFUNCTION("""COMPUTED_VALUE"""),5.2458428E7)</f>
        <v>52458428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IFERROR(__xludf.DUMMYFUNCTION("""COMPUTED_VALUE"""),117.46)</f>
        <v>117.46</v>
      </c>
      <c r="C26" s="6">
        <f>IFERROR(__xludf.DUMMYFUNCTION("""COMPUTED_VALUE"""),119.76)</f>
        <v>119.76</v>
      </c>
      <c r="D26" s="6">
        <f>IFERROR(__xludf.DUMMYFUNCTION("""COMPUTED_VALUE"""),112.69)</f>
        <v>112.69</v>
      </c>
      <c r="E26" s="6">
        <f>IFERROR(__xludf.DUMMYFUNCTION("""COMPUTED_VALUE"""),116.09)</f>
        <v>116.09</v>
      </c>
      <c r="F26" s="6">
        <f>IFERROR(__xludf.DUMMYFUNCTION("""COMPUTED_VALUE"""),4.6421552E7)</f>
        <v>46421552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IFERROR(__xludf.DUMMYFUNCTION("""COMPUTED_VALUE"""),117.76)</f>
        <v>117.76</v>
      </c>
      <c r="C27" s="6">
        <f>IFERROR(__xludf.DUMMYFUNCTION("""COMPUTED_VALUE"""),121.26)</f>
        <v>121.26</v>
      </c>
      <c r="D27" s="6">
        <f>IFERROR(__xludf.DUMMYFUNCTION("""COMPUTED_VALUE"""),116.8)</f>
        <v>116.8</v>
      </c>
      <c r="E27" s="6">
        <f>IFERROR(__xludf.DUMMYFUNCTION("""COMPUTED_VALUE"""),119.59)</f>
        <v>119.59</v>
      </c>
      <c r="F27" s="6">
        <f>IFERROR(__xludf.DUMMYFUNCTION("""COMPUTED_VALUE"""),3.2812374E7)</f>
        <v>32812374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IFERROR(__xludf.DUMMYFUNCTION("""COMPUTED_VALUE"""),119.59)</f>
        <v>119.59</v>
      </c>
      <c r="C28" s="6">
        <f>IFERROR(__xludf.DUMMYFUNCTION("""COMPUTED_VALUE"""),120.48)</f>
        <v>120.48</v>
      </c>
      <c r="D28" s="6">
        <f>IFERROR(__xludf.DUMMYFUNCTION("""COMPUTED_VALUE"""),105.82)</f>
        <v>105.82</v>
      </c>
      <c r="E28" s="6">
        <f>IFERROR(__xludf.DUMMYFUNCTION("""COMPUTED_VALUE"""),109.83)</f>
        <v>109.83</v>
      </c>
      <c r="F28" s="6">
        <f>IFERROR(__xludf.DUMMYFUNCTION("""COMPUTED_VALUE"""),4.5929393E7)</f>
        <v>45929393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IFERROR(__xludf.DUMMYFUNCTION("""COMPUTED_VALUE"""),110.0)</f>
        <v>110</v>
      </c>
      <c r="C29" s="6">
        <f>IFERROR(__xludf.DUMMYFUNCTION("""COMPUTED_VALUE"""),115.5)</f>
        <v>115.5</v>
      </c>
      <c r="D29" s="6">
        <f>IFERROR(__xludf.DUMMYFUNCTION("""COMPUTED_VALUE"""),107.11)</f>
        <v>107.11</v>
      </c>
      <c r="E29" s="6">
        <f>IFERROR(__xludf.DUMMYFUNCTION("""COMPUTED_VALUE"""),114.63)</f>
        <v>114.63</v>
      </c>
      <c r="F29" s="6">
        <f>IFERROR(__xludf.DUMMYFUNCTION("""COMPUTED_VALUE"""),2.6715008E7)</f>
        <v>26715008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IFERROR(__xludf.DUMMYFUNCTION("""COMPUTED_VALUE"""),114.39)</f>
        <v>114.39</v>
      </c>
      <c r="C30" s="6">
        <f>IFERROR(__xludf.DUMMYFUNCTION("""COMPUTED_VALUE"""),117.56)</f>
        <v>117.56</v>
      </c>
      <c r="D30" s="6">
        <f>IFERROR(__xludf.DUMMYFUNCTION("""COMPUTED_VALUE"""),112.47)</f>
        <v>112.47</v>
      </c>
      <c r="E30" s="6">
        <f>IFERROR(__xludf.DUMMYFUNCTION("""COMPUTED_VALUE"""),116.21)</f>
        <v>116.21</v>
      </c>
      <c r="F30" s="6">
        <f>IFERROR(__xludf.DUMMYFUNCTION("""COMPUTED_VALUE"""),1.9737677E7)</f>
        <v>19737677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IFERROR(__xludf.DUMMYFUNCTION("""COMPUTED_VALUE"""),117.09)</f>
        <v>117.09</v>
      </c>
      <c r="C31" s="6">
        <f>IFERROR(__xludf.DUMMYFUNCTION("""COMPUTED_VALUE"""),123.76)</f>
        <v>123.76</v>
      </c>
      <c r="D31" s="6">
        <f>IFERROR(__xludf.DUMMYFUNCTION("""COMPUTED_VALUE"""),116.66)</f>
        <v>116.66</v>
      </c>
      <c r="E31" s="6">
        <f>IFERROR(__xludf.DUMMYFUNCTION("""COMPUTED_VALUE"""),123.0)</f>
        <v>123</v>
      </c>
      <c r="F31" s="6">
        <f>IFERROR(__xludf.DUMMYFUNCTION("""COMPUTED_VALUE"""),3.2198539E7)</f>
        <v>32198539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IFERROR(__xludf.DUMMYFUNCTION("""COMPUTED_VALUE"""),123.79)</f>
        <v>123.79</v>
      </c>
      <c r="C32" s="6">
        <f>IFERROR(__xludf.DUMMYFUNCTION("""COMPUTED_VALUE"""),123.79)</f>
        <v>123.79</v>
      </c>
      <c r="D32" s="6">
        <f>IFERROR(__xludf.DUMMYFUNCTION("""COMPUTED_VALUE"""),120.74)</f>
        <v>120.74</v>
      </c>
      <c r="E32" s="6">
        <f>IFERROR(__xludf.DUMMYFUNCTION("""COMPUTED_VALUE"""),121.17)</f>
        <v>121.17</v>
      </c>
      <c r="F32" s="6">
        <f>IFERROR(__xludf.DUMMYFUNCTION("""COMPUTED_VALUE"""),1.6756393E7)</f>
        <v>16756393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IFERROR(__xludf.DUMMYFUNCTION("""COMPUTED_VALUE"""),119.6)</f>
        <v>119.6</v>
      </c>
      <c r="C33" s="6">
        <f>IFERROR(__xludf.DUMMYFUNCTION("""COMPUTED_VALUE"""),121.19)</f>
        <v>121.19</v>
      </c>
      <c r="D33" s="6">
        <f>IFERROR(__xludf.DUMMYFUNCTION("""COMPUTED_VALUE"""),112.54)</f>
        <v>112.54</v>
      </c>
      <c r="E33" s="6">
        <f>IFERROR(__xludf.DUMMYFUNCTION("""COMPUTED_VALUE"""),115.75)</f>
        <v>115.75</v>
      </c>
      <c r="F33" s="6">
        <f>IFERROR(__xludf.DUMMYFUNCTION("""COMPUTED_VALUE"""),2.6998844E7)</f>
        <v>26998844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IFERROR(__xludf.DUMMYFUNCTION("""COMPUTED_VALUE"""),117.01)</f>
        <v>117.01</v>
      </c>
      <c r="C34" s="6">
        <f>IFERROR(__xludf.DUMMYFUNCTION("""COMPUTED_VALUE"""),124.88)</f>
        <v>124.88</v>
      </c>
      <c r="D34" s="6">
        <f>IFERROR(__xludf.DUMMYFUNCTION("""COMPUTED_VALUE"""),116.89)</f>
        <v>116.89</v>
      </c>
      <c r="E34" s="6">
        <f>IFERROR(__xludf.DUMMYFUNCTION("""COMPUTED_VALUE"""),123.52)</f>
        <v>123.52</v>
      </c>
      <c r="F34" s="6">
        <f>IFERROR(__xludf.DUMMYFUNCTION("""COMPUTED_VALUE"""),3.826164E7)</f>
        <v>38261640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IFERROR(__xludf.DUMMYFUNCTION("""COMPUTED_VALUE"""),124.49)</f>
        <v>124.49</v>
      </c>
      <c r="C35" s="6">
        <f>IFERROR(__xludf.DUMMYFUNCTION("""COMPUTED_VALUE"""),126.58)</f>
        <v>126.58</v>
      </c>
      <c r="D35" s="6">
        <f>IFERROR(__xludf.DUMMYFUNCTION("""COMPUTED_VALUE"""),122.84)</f>
        <v>122.84</v>
      </c>
      <c r="E35" s="6">
        <f>IFERROR(__xludf.DUMMYFUNCTION("""COMPUTED_VALUE"""),125.13)</f>
        <v>125.13</v>
      </c>
      <c r="F35" s="6">
        <f>IFERROR(__xludf.DUMMYFUNCTION("""COMPUTED_VALUE"""),2.4379596E7)</f>
        <v>24379596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IFERROR(__xludf.DUMMYFUNCTION("""COMPUTED_VALUE"""),125.43)</f>
        <v>125.43</v>
      </c>
      <c r="C36" s="6">
        <f>IFERROR(__xludf.DUMMYFUNCTION("""COMPUTED_VALUE"""),125.79)</f>
        <v>125.79</v>
      </c>
      <c r="D36" s="6">
        <f>IFERROR(__xludf.DUMMYFUNCTION("""COMPUTED_VALUE"""),108.14)</f>
        <v>108.14</v>
      </c>
      <c r="E36" s="6">
        <f>IFERROR(__xludf.DUMMYFUNCTION("""COMPUTED_VALUE"""),109.63)</f>
        <v>109.63</v>
      </c>
      <c r="F36" s="6">
        <f>IFERROR(__xludf.DUMMYFUNCTION("""COMPUTED_VALUE"""),6.5481363E7)</f>
        <v>65481363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IFERROR(__xludf.DUMMYFUNCTION("""COMPUTED_VALUE"""),115.4)</f>
        <v>115.4</v>
      </c>
      <c r="C37" s="6">
        <f>IFERROR(__xludf.DUMMYFUNCTION("""COMPUTED_VALUE"""),118.75)</f>
        <v>118.75</v>
      </c>
      <c r="D37" s="6">
        <f>IFERROR(__xludf.DUMMYFUNCTION("""COMPUTED_VALUE"""),113.6)</f>
        <v>113.6</v>
      </c>
      <c r="E37" s="6">
        <f>IFERROR(__xludf.DUMMYFUNCTION("""COMPUTED_VALUE"""),117.2)</f>
        <v>117.2</v>
      </c>
      <c r="F37" s="6">
        <f>IFERROR(__xludf.DUMMYFUNCTION("""COMPUTED_VALUE"""),1.32949547E8)</f>
        <v>132949547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IFERROR(__xludf.DUMMYFUNCTION("""COMPUTED_VALUE"""),118.0)</f>
        <v>118</v>
      </c>
      <c r="C38" s="6">
        <f>IFERROR(__xludf.DUMMYFUNCTION("""COMPUTED_VALUE"""),119.35)</f>
        <v>119.35</v>
      </c>
      <c r="D38" s="6">
        <f>IFERROR(__xludf.DUMMYFUNCTION("""COMPUTED_VALUE"""),114.4)</f>
        <v>114.4</v>
      </c>
      <c r="E38" s="6">
        <f>IFERROR(__xludf.DUMMYFUNCTION("""COMPUTED_VALUE"""),118.0)</f>
        <v>118</v>
      </c>
      <c r="F38" s="6">
        <f>IFERROR(__xludf.DUMMYFUNCTION("""COMPUTED_VALUE"""),4.2476104E8)</f>
        <v>424761040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IFERROR(__xludf.DUMMYFUNCTION("""COMPUTED_VALUE"""),124.8)</f>
        <v>124.8</v>
      </c>
      <c r="C39" s="6">
        <f>IFERROR(__xludf.DUMMYFUNCTION("""COMPUTED_VALUE"""),128.9)</f>
        <v>128.9</v>
      </c>
      <c r="D39" s="6">
        <f>IFERROR(__xludf.DUMMYFUNCTION("""COMPUTED_VALUE"""),96.2)</f>
        <v>96.2</v>
      </c>
      <c r="E39" s="6">
        <f>IFERROR(__xludf.DUMMYFUNCTION("""COMPUTED_VALUE"""),118.9)</f>
        <v>118.9</v>
      </c>
      <c r="F39" s="6">
        <f>IFERROR(__xludf.DUMMYFUNCTION("""COMPUTED_VALUE"""),4.924063E8)</f>
        <v>492406300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IFERROR(__xludf.DUMMYFUNCTION("""COMPUTED_VALUE"""),120.0)</f>
        <v>120</v>
      </c>
      <c r="C40" s="6">
        <f>IFERROR(__xludf.DUMMYFUNCTION("""COMPUTED_VALUE"""),125.0)</f>
        <v>125</v>
      </c>
      <c r="D40" s="6">
        <f>IFERROR(__xludf.DUMMYFUNCTION("""COMPUTED_VALUE"""),119.3)</f>
        <v>119.3</v>
      </c>
      <c r="E40" s="6">
        <f>IFERROR(__xludf.DUMMYFUNCTION("""COMPUTED_VALUE"""),120.81)</f>
        <v>120.81</v>
      </c>
      <c r="F40" s="6">
        <f>IFERROR(__xludf.DUMMYFUNCTION("""COMPUTED_VALUE"""),2.15560718E8)</f>
        <v>215560718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IFERROR(__xludf.DUMMYFUNCTION("""COMPUTED_VALUE"""),121.85)</f>
        <v>121.85</v>
      </c>
      <c r="C41" s="6">
        <f>IFERROR(__xludf.DUMMYFUNCTION("""COMPUTED_VALUE"""),122.85)</f>
        <v>122.85</v>
      </c>
      <c r="D41" s="6">
        <f>IFERROR(__xludf.DUMMYFUNCTION("""COMPUTED_VALUE"""),118.5)</f>
        <v>118.5</v>
      </c>
      <c r="E41" s="6">
        <f>IFERROR(__xludf.DUMMYFUNCTION("""COMPUTED_VALUE"""),119.12)</f>
        <v>119.12</v>
      </c>
      <c r="F41" s="6">
        <f>IFERROR(__xludf.DUMMYFUNCTION("""COMPUTED_VALUE"""),1.3088998E8)</f>
        <v>130889980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IFERROR(__xludf.DUMMYFUNCTION("""COMPUTED_VALUE"""),118.0)</f>
        <v>118</v>
      </c>
      <c r="C42" s="6">
        <f>IFERROR(__xludf.DUMMYFUNCTION("""COMPUTED_VALUE"""),121.89)</f>
        <v>121.89</v>
      </c>
      <c r="D42" s="6">
        <f>IFERROR(__xludf.DUMMYFUNCTION("""COMPUTED_VALUE"""),116.21)</f>
        <v>116.21</v>
      </c>
      <c r="E42" s="6">
        <f>IFERROR(__xludf.DUMMYFUNCTION("""COMPUTED_VALUE"""),119.47)</f>
        <v>119.47</v>
      </c>
      <c r="F42" s="6">
        <f>IFERROR(__xludf.DUMMYFUNCTION("""COMPUTED_VALUE"""),1.74645868E8)</f>
        <v>174645868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IFERROR(__xludf.DUMMYFUNCTION("""COMPUTED_VALUE"""),119.35)</f>
        <v>119.35</v>
      </c>
      <c r="C43" s="6">
        <f>IFERROR(__xludf.DUMMYFUNCTION("""COMPUTED_VALUE"""),120.19)</f>
        <v>120.19</v>
      </c>
      <c r="D43" s="6">
        <f>IFERROR(__xludf.DUMMYFUNCTION("""COMPUTED_VALUE"""),115.5)</f>
        <v>115.5</v>
      </c>
      <c r="E43" s="6">
        <f>IFERROR(__xludf.DUMMYFUNCTION("""COMPUTED_VALUE"""),117.76)</f>
        <v>117.76</v>
      </c>
      <c r="F43" s="6">
        <f>IFERROR(__xludf.DUMMYFUNCTION("""COMPUTED_VALUE"""),1.00131698E8)</f>
        <v>100131698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IFERROR(__xludf.DUMMYFUNCTION("""COMPUTED_VALUE"""),117.5)</f>
        <v>117.5</v>
      </c>
      <c r="C44" s="6">
        <f>IFERROR(__xludf.DUMMYFUNCTION("""COMPUTED_VALUE"""),118.08)</f>
        <v>118.08</v>
      </c>
      <c r="D44" s="6">
        <f>IFERROR(__xludf.DUMMYFUNCTION("""COMPUTED_VALUE"""),112.3)</f>
        <v>112.3</v>
      </c>
      <c r="E44" s="6">
        <f>IFERROR(__xludf.DUMMYFUNCTION("""COMPUTED_VALUE"""),112.72)</f>
        <v>112.72</v>
      </c>
      <c r="F44" s="6">
        <f>IFERROR(__xludf.DUMMYFUNCTION("""COMPUTED_VALUE"""),1.25834974E8)</f>
        <v>125834974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IFERROR(__xludf.DUMMYFUNCTION("""COMPUTED_VALUE"""),113.25)</f>
        <v>113.25</v>
      </c>
      <c r="C45" s="6">
        <f>IFERROR(__xludf.DUMMYFUNCTION("""COMPUTED_VALUE"""),118.11)</f>
        <v>118.11</v>
      </c>
      <c r="D45" s="6">
        <f>IFERROR(__xludf.DUMMYFUNCTION("""COMPUTED_VALUE"""),112.33)</f>
        <v>112.33</v>
      </c>
      <c r="E45" s="6">
        <f>IFERROR(__xludf.DUMMYFUNCTION("""COMPUTED_VALUE"""),112.89)</f>
        <v>112.89</v>
      </c>
      <c r="F45" s="6">
        <f>IFERROR(__xludf.DUMMYFUNCTION("""COMPUTED_VALUE"""),1.41782015E8)</f>
        <v>141782015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IFERROR(__xludf.DUMMYFUNCTION("""COMPUTED_VALUE"""),112.8)</f>
        <v>112.8</v>
      </c>
      <c r="C46" s="6">
        <f>IFERROR(__xludf.DUMMYFUNCTION("""COMPUTED_VALUE"""),115.49)</f>
        <v>115.49</v>
      </c>
      <c r="D46" s="6">
        <f>IFERROR(__xludf.DUMMYFUNCTION("""COMPUTED_VALUE"""),109.0)</f>
        <v>109</v>
      </c>
      <c r="E46" s="6">
        <f>IFERROR(__xludf.DUMMYFUNCTION("""COMPUTED_VALUE"""),113.86)</f>
        <v>113.86</v>
      </c>
      <c r="F46" s="6">
        <f>IFERROR(__xludf.DUMMYFUNCTION("""COMPUTED_VALUE"""),2.03853368E8)</f>
        <v>203853368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IFERROR(__xludf.DUMMYFUNCTION("""COMPUTED_VALUE"""),115.2)</f>
        <v>115.2</v>
      </c>
      <c r="C47" s="6">
        <f>IFERROR(__xludf.DUMMYFUNCTION("""COMPUTED_VALUE"""),117.82)</f>
        <v>117.82</v>
      </c>
      <c r="D47" s="6">
        <f>IFERROR(__xludf.DUMMYFUNCTION("""COMPUTED_VALUE"""),110.05)</f>
        <v>110.05</v>
      </c>
      <c r="E47" s="6">
        <f>IFERROR(__xludf.DUMMYFUNCTION("""COMPUTED_VALUE"""),110.49)</f>
        <v>110.49</v>
      </c>
      <c r="F47" s="6">
        <f>IFERROR(__xludf.DUMMYFUNCTION("""COMPUTED_VALUE"""),1.39329247E8)</f>
        <v>139329247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IFERROR(__xludf.DUMMYFUNCTION("""COMPUTED_VALUE"""),108.44)</f>
        <v>108.44</v>
      </c>
      <c r="C48" s="6">
        <f>IFERROR(__xludf.DUMMYFUNCTION("""COMPUTED_VALUE"""),112.54)</f>
        <v>112.54</v>
      </c>
      <c r="D48" s="6">
        <f>IFERROR(__xludf.DUMMYFUNCTION("""COMPUTED_VALUE"""),104.04)</f>
        <v>104.04</v>
      </c>
      <c r="E48" s="6">
        <f>IFERROR(__xludf.DUMMYFUNCTION("""COMPUTED_VALUE"""),110.65)</f>
        <v>110.65</v>
      </c>
      <c r="F48" s="6">
        <f>IFERROR(__xludf.DUMMYFUNCTION("""COMPUTED_VALUE"""),1.47956939E8)</f>
        <v>147956939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IFERROR(__xludf.DUMMYFUNCTION("""COMPUTED_VALUE"""),109.9)</f>
        <v>109.9</v>
      </c>
      <c r="C49" s="6">
        <f>IFERROR(__xludf.DUMMYFUNCTION("""COMPUTED_VALUE"""),110.76)</f>
        <v>110.76</v>
      </c>
      <c r="D49" s="6">
        <f>IFERROR(__xludf.DUMMYFUNCTION("""COMPUTED_VALUE"""),105.5)</f>
        <v>105.5</v>
      </c>
      <c r="E49" s="6">
        <f>IFERROR(__xludf.DUMMYFUNCTION("""COMPUTED_VALUE"""),107.62)</f>
        <v>107.62</v>
      </c>
      <c r="F49" s="6">
        <f>IFERROR(__xludf.DUMMYFUNCTION("""COMPUTED_VALUE"""),8.5508591E7)</f>
        <v>85508591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IFERROR(__xludf.DUMMYFUNCTION("""COMPUTED_VALUE"""),108.3)</f>
        <v>108.3</v>
      </c>
      <c r="C50" s="6">
        <f>IFERROR(__xludf.DUMMYFUNCTION("""COMPUTED_VALUE"""),112.99)</f>
        <v>112.99</v>
      </c>
      <c r="D50" s="6">
        <f>IFERROR(__xludf.DUMMYFUNCTION("""COMPUTED_VALUE"""),108.08)</f>
        <v>108.08</v>
      </c>
      <c r="E50" s="6">
        <f>IFERROR(__xludf.DUMMYFUNCTION("""COMPUTED_VALUE"""),112.1)</f>
        <v>112.1</v>
      </c>
      <c r="F50" s="6">
        <f>IFERROR(__xludf.DUMMYFUNCTION("""COMPUTED_VALUE"""),9.461084E7)</f>
        <v>94610840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IFERROR(__xludf.DUMMYFUNCTION("""COMPUTED_VALUE"""),113.16)</f>
        <v>113.16</v>
      </c>
      <c r="C51" s="6">
        <f>IFERROR(__xludf.DUMMYFUNCTION("""COMPUTED_VALUE"""),113.19)</f>
        <v>113.19</v>
      </c>
      <c r="D51" s="6">
        <f>IFERROR(__xludf.DUMMYFUNCTION("""COMPUTED_VALUE"""),108.85)</f>
        <v>108.85</v>
      </c>
      <c r="E51" s="6">
        <f>IFERROR(__xludf.DUMMYFUNCTION("""COMPUTED_VALUE"""),111.53)</f>
        <v>111.53</v>
      </c>
      <c r="F51" s="6">
        <f>IFERROR(__xludf.DUMMYFUNCTION("""COMPUTED_VALUE"""),7.401425E7)</f>
        <v>74014250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IFERROR(__xludf.DUMMYFUNCTION("""COMPUTED_VALUE"""),111.86)</f>
        <v>111.86</v>
      </c>
      <c r="C52" s="6">
        <f>IFERROR(__xludf.DUMMYFUNCTION("""COMPUTED_VALUE"""),113.46)</f>
        <v>113.46</v>
      </c>
      <c r="D52" s="6">
        <f>IFERROR(__xludf.DUMMYFUNCTION("""COMPUTED_VALUE"""),102.95)</f>
        <v>102.95</v>
      </c>
      <c r="E52" s="6">
        <f>IFERROR(__xludf.DUMMYFUNCTION("""COMPUTED_VALUE"""),103.38)</f>
        <v>103.38</v>
      </c>
      <c r="F52" s="6">
        <f>IFERROR(__xludf.DUMMYFUNCTION("""COMPUTED_VALUE"""),1.62619891E8)</f>
        <v>162619891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IFERROR(__xludf.DUMMYFUNCTION("""COMPUTED_VALUE"""),103.6)</f>
        <v>103.6</v>
      </c>
      <c r="C53" s="6">
        <f>IFERROR(__xludf.DUMMYFUNCTION("""COMPUTED_VALUE"""),107.25)</f>
        <v>107.25</v>
      </c>
      <c r="D53" s="6">
        <f>IFERROR(__xludf.DUMMYFUNCTION("""COMPUTED_VALUE"""),100.69)</f>
        <v>100.69</v>
      </c>
      <c r="E53" s="6">
        <f>IFERROR(__xludf.DUMMYFUNCTION("""COMPUTED_VALUE"""),106.39)</f>
        <v>106.39</v>
      </c>
      <c r="F53" s="6">
        <f>IFERROR(__xludf.DUMMYFUNCTION("""COMPUTED_VALUE"""),1.42400116E8)</f>
        <v>142400116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IFERROR(__xludf.DUMMYFUNCTION("""COMPUTED_VALUE"""),106.9)</f>
        <v>106.9</v>
      </c>
      <c r="C54" s="6">
        <f>IFERROR(__xludf.DUMMYFUNCTION("""COMPUTED_VALUE"""),108.18)</f>
        <v>108.18</v>
      </c>
      <c r="D54" s="6">
        <f>IFERROR(__xludf.DUMMYFUNCTION("""COMPUTED_VALUE"""),102.72)</f>
        <v>102.72</v>
      </c>
      <c r="E54" s="6">
        <f>IFERROR(__xludf.DUMMYFUNCTION("""COMPUTED_VALUE"""),104.96)</f>
        <v>104.96</v>
      </c>
      <c r="F54" s="6">
        <f>IFERROR(__xludf.DUMMYFUNCTION("""COMPUTED_VALUE"""),8.6000137E7)</f>
        <v>86000137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IFERROR(__xludf.DUMMYFUNCTION("""COMPUTED_VALUE"""),105.8)</f>
        <v>105.8</v>
      </c>
      <c r="C55" s="6">
        <f>IFERROR(__xludf.DUMMYFUNCTION("""COMPUTED_VALUE"""),113.3)</f>
        <v>113.3</v>
      </c>
      <c r="D55" s="6">
        <f>IFERROR(__xludf.DUMMYFUNCTION("""COMPUTED_VALUE"""),105.05)</f>
        <v>105.05</v>
      </c>
      <c r="E55" s="6">
        <f>IFERROR(__xludf.DUMMYFUNCTION("""COMPUTED_VALUE"""),113.1)</f>
        <v>113.1</v>
      </c>
      <c r="F55" s="6">
        <f>IFERROR(__xludf.DUMMYFUNCTION("""COMPUTED_VALUE"""),2.40494416E8)</f>
        <v>240494416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IFERROR(__xludf.DUMMYFUNCTION("""COMPUTED_VALUE"""),113.0)</f>
        <v>113</v>
      </c>
      <c r="C56" s="6">
        <f>IFERROR(__xludf.DUMMYFUNCTION("""COMPUTED_VALUE"""),113.5)</f>
        <v>113.5</v>
      </c>
      <c r="D56" s="6">
        <f>IFERROR(__xludf.DUMMYFUNCTION("""COMPUTED_VALUE"""),106.51)</f>
        <v>106.51</v>
      </c>
      <c r="E56" s="6">
        <f>IFERROR(__xludf.DUMMYFUNCTION("""COMPUTED_VALUE"""),107.62)</f>
        <v>107.62</v>
      </c>
      <c r="F56" s="6">
        <f>IFERROR(__xludf.DUMMYFUNCTION("""COMPUTED_VALUE"""),8.7128675E7)</f>
        <v>87128675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IFERROR(__xludf.DUMMYFUNCTION("""COMPUTED_VALUE"""),108.24)</f>
        <v>108.24</v>
      </c>
      <c r="C57" s="6">
        <f>IFERROR(__xludf.DUMMYFUNCTION("""COMPUTED_VALUE"""),109.05)</f>
        <v>109.05</v>
      </c>
      <c r="D57" s="6">
        <f>IFERROR(__xludf.DUMMYFUNCTION("""COMPUTED_VALUE"""),102.34)</f>
        <v>102.34</v>
      </c>
      <c r="E57" s="6">
        <f>IFERROR(__xludf.DUMMYFUNCTION("""COMPUTED_VALUE"""),104.06)</f>
        <v>104.06</v>
      </c>
      <c r="F57" s="6">
        <f>IFERROR(__xludf.DUMMYFUNCTION("""COMPUTED_VALUE"""),1.0848422E8)</f>
        <v>108484220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IFERROR(__xludf.DUMMYFUNCTION("""COMPUTED_VALUE"""),104.5)</f>
        <v>104.5</v>
      </c>
      <c r="C58" s="6">
        <f>IFERROR(__xludf.DUMMYFUNCTION("""COMPUTED_VALUE"""),105.44)</f>
        <v>105.44</v>
      </c>
      <c r="D58" s="6">
        <f>IFERROR(__xludf.DUMMYFUNCTION("""COMPUTED_VALUE"""),100.77)</f>
        <v>100.77</v>
      </c>
      <c r="E58" s="6">
        <f>IFERROR(__xludf.DUMMYFUNCTION("""COMPUTED_VALUE"""),104.67)</f>
        <v>104.67</v>
      </c>
      <c r="F58" s="6">
        <f>IFERROR(__xludf.DUMMYFUNCTION("""COMPUTED_VALUE"""),6.5742712E7)</f>
        <v>65742712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IFERROR(__xludf.DUMMYFUNCTION("""COMPUTED_VALUE"""),104.9)</f>
        <v>104.9</v>
      </c>
      <c r="C59" s="6">
        <f>IFERROR(__xludf.DUMMYFUNCTION("""COMPUTED_VALUE"""),105.6)</f>
        <v>105.6</v>
      </c>
      <c r="D59" s="6">
        <f>IFERROR(__xludf.DUMMYFUNCTION("""COMPUTED_VALUE"""),92.98)</f>
        <v>92.98</v>
      </c>
      <c r="E59" s="6">
        <f>IFERROR(__xludf.DUMMYFUNCTION("""COMPUTED_VALUE"""),94.24)</f>
        <v>94.24</v>
      </c>
      <c r="F59" s="6">
        <f>IFERROR(__xludf.DUMMYFUNCTION("""COMPUTED_VALUE"""),1.23275682E8)</f>
        <v>123275682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IFERROR(__xludf.DUMMYFUNCTION("""COMPUTED_VALUE"""),104.5)</f>
        <v>104.5</v>
      </c>
      <c r="C60" s="6">
        <f>IFERROR(__xludf.DUMMYFUNCTION("""COMPUTED_VALUE"""),106.49)</f>
        <v>106.49</v>
      </c>
      <c r="D60" s="6">
        <f>IFERROR(__xludf.DUMMYFUNCTION("""COMPUTED_VALUE"""),99.5)</f>
        <v>99.5</v>
      </c>
      <c r="E60" s="6">
        <f>IFERROR(__xludf.DUMMYFUNCTION("""COMPUTED_VALUE"""),103.69)</f>
        <v>103.69</v>
      </c>
      <c r="F60" s="6">
        <f>IFERROR(__xludf.DUMMYFUNCTION("""COMPUTED_VALUE"""),1.21580108E8)</f>
        <v>121580108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IFERROR(__xludf.DUMMYFUNCTION("""COMPUTED_VALUE"""),103.0)</f>
        <v>103</v>
      </c>
      <c r="C61" s="6">
        <f>IFERROR(__xludf.DUMMYFUNCTION("""COMPUTED_VALUE"""),105.14)</f>
        <v>105.14</v>
      </c>
      <c r="D61" s="6">
        <f>IFERROR(__xludf.DUMMYFUNCTION("""COMPUTED_VALUE"""),97.22)</f>
        <v>97.22</v>
      </c>
      <c r="E61" s="6">
        <f>IFERROR(__xludf.DUMMYFUNCTION("""COMPUTED_VALUE"""),97.49)</f>
        <v>97.49</v>
      </c>
      <c r="F61" s="6">
        <f>IFERROR(__xludf.DUMMYFUNCTION("""COMPUTED_VALUE"""),7.7718698E7)</f>
        <v>77718698</v>
      </c>
    </row>
    <row r="62">
      <c r="A62" s="7">
        <f>IFERROR(__xludf.DUMMYFUNCTION("""COMPUTED_VALUE"""),45618.64583333333)</f>
        <v>45618.64583</v>
      </c>
      <c r="B62" s="6">
        <f>IFERROR(__xludf.DUMMYFUNCTION("""COMPUTED_VALUE"""),97.5)</f>
        <v>97.5</v>
      </c>
      <c r="C62" s="6">
        <f>IFERROR(__xludf.DUMMYFUNCTION("""COMPUTED_VALUE"""),101.27)</f>
        <v>101.27</v>
      </c>
      <c r="D62" s="6">
        <f>IFERROR(__xludf.DUMMYFUNCTION("""COMPUTED_VALUE"""),92.52)</f>
        <v>92.52</v>
      </c>
      <c r="E62" s="6">
        <f>IFERROR(__xludf.DUMMYFUNCTION("""COMPUTED_VALUE"""),97.01)</f>
        <v>97.01</v>
      </c>
      <c r="F62" s="6">
        <f>IFERROR(__xludf.DUMMYFUNCTION("""COMPUTED_VALUE"""),1.06127016E8)</f>
        <v>106127016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IFERROR(__xludf.DUMMYFUNCTION("""COMPUTED_VALUE"""),100.0)</f>
        <v>100</v>
      </c>
      <c r="C63" s="6">
        <f>IFERROR(__xludf.DUMMYFUNCTION("""COMPUTED_VALUE"""),103.75)</f>
        <v>103.75</v>
      </c>
      <c r="D63" s="6">
        <f>IFERROR(__xludf.DUMMYFUNCTION("""COMPUTED_VALUE"""),99.38)</f>
        <v>99.38</v>
      </c>
      <c r="E63" s="6">
        <f>IFERROR(__xludf.DUMMYFUNCTION("""COMPUTED_VALUE"""),102.01)</f>
        <v>102.01</v>
      </c>
      <c r="F63" s="6">
        <f>IFERROR(__xludf.DUMMYFUNCTION("""COMPUTED_VALUE"""),1.16928931E8)</f>
        <v>116928931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IFERROR(__xludf.DUMMYFUNCTION("""COMPUTED_VALUE"""),101.69)</f>
        <v>101.69</v>
      </c>
      <c r="C64" s="6">
        <f>IFERROR(__xludf.DUMMYFUNCTION("""COMPUTED_VALUE"""),110.8)</f>
        <v>110.8</v>
      </c>
      <c r="D64" s="6">
        <f>IFERROR(__xludf.DUMMYFUNCTION("""COMPUTED_VALUE"""),101.15)</f>
        <v>101.15</v>
      </c>
      <c r="E64" s="6">
        <f>IFERROR(__xludf.DUMMYFUNCTION("""COMPUTED_VALUE"""),109.32)</f>
        <v>109.32</v>
      </c>
      <c r="F64" s="6">
        <f>IFERROR(__xludf.DUMMYFUNCTION("""COMPUTED_VALUE"""),1.83293563E8)</f>
        <v>183293563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IFERROR(__xludf.DUMMYFUNCTION("""COMPUTED_VALUE"""),109.6)</f>
        <v>109.6</v>
      </c>
      <c r="C65" s="6">
        <f>IFERROR(__xludf.DUMMYFUNCTION("""COMPUTED_VALUE"""),110.25)</f>
        <v>110.25</v>
      </c>
      <c r="D65" s="6">
        <f>IFERROR(__xludf.DUMMYFUNCTION("""COMPUTED_VALUE"""),104.0)</f>
        <v>104</v>
      </c>
      <c r="E65" s="6">
        <f>IFERROR(__xludf.DUMMYFUNCTION("""COMPUTED_VALUE"""),106.58)</f>
        <v>106.58</v>
      </c>
      <c r="F65" s="6">
        <f>IFERROR(__xludf.DUMMYFUNCTION("""COMPUTED_VALUE"""),7.8850029E7)</f>
        <v>78850029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IFERROR(__xludf.DUMMYFUNCTION("""COMPUTED_VALUE"""),106.5)</f>
        <v>106.5</v>
      </c>
      <c r="C66" s="6">
        <f>IFERROR(__xludf.DUMMYFUNCTION("""COMPUTED_VALUE"""),108.41)</f>
        <v>108.41</v>
      </c>
      <c r="D66" s="6">
        <f>IFERROR(__xludf.DUMMYFUNCTION("""COMPUTED_VALUE"""),99.37)</f>
        <v>99.37</v>
      </c>
      <c r="E66" s="6">
        <f>IFERROR(__xludf.DUMMYFUNCTION("""COMPUTED_VALUE"""),99.61)</f>
        <v>99.61</v>
      </c>
      <c r="F66" s="6">
        <f>IFERROR(__xludf.DUMMYFUNCTION("""COMPUTED_VALUE"""),8.278329E7)</f>
        <v>82783290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IFERROR(__xludf.DUMMYFUNCTION("""COMPUTED_VALUE"""),101.1)</f>
        <v>101.1</v>
      </c>
      <c r="C67" s="6">
        <f>IFERROR(__xludf.DUMMYFUNCTION("""COMPUTED_VALUE"""),102.63)</f>
        <v>102.63</v>
      </c>
      <c r="D67" s="6">
        <f>IFERROR(__xludf.DUMMYFUNCTION("""COMPUTED_VALUE"""),99.1)</f>
        <v>99.1</v>
      </c>
      <c r="E67" s="6">
        <f>IFERROR(__xludf.DUMMYFUNCTION("""COMPUTED_VALUE"""),100.36)</f>
        <v>100.36</v>
      </c>
      <c r="F67" s="6">
        <f>IFERROR(__xludf.DUMMYFUNCTION("""COMPUTED_VALUE"""),5.8180062E7)</f>
        <v>58180062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IFERROR(__xludf.DUMMYFUNCTION("""COMPUTED_VALUE"""),100.36)</f>
        <v>100.36</v>
      </c>
      <c r="C68" s="6">
        <f>IFERROR(__xludf.DUMMYFUNCTION("""COMPUTED_VALUE"""),103.14)</f>
        <v>103.14</v>
      </c>
      <c r="D68" s="6">
        <f>IFERROR(__xludf.DUMMYFUNCTION("""COMPUTED_VALUE"""),98.7)</f>
        <v>98.7</v>
      </c>
      <c r="E68" s="6">
        <f>IFERROR(__xludf.DUMMYFUNCTION("""COMPUTED_VALUE"""),101.45)</f>
        <v>101.45</v>
      </c>
      <c r="F68" s="6">
        <f>IFERROR(__xludf.DUMMYFUNCTION("""COMPUTED_VALUE"""),9.8702452E7)</f>
        <v>98702452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IFERROR(__xludf.DUMMYFUNCTION("""COMPUTED_VALUE"""),101.45)</f>
        <v>101.45</v>
      </c>
      <c r="C69" s="6">
        <f>IFERROR(__xludf.DUMMYFUNCTION("""COMPUTED_VALUE"""),101.77)</f>
        <v>101.77</v>
      </c>
      <c r="D69" s="6">
        <f>IFERROR(__xludf.DUMMYFUNCTION("""COMPUTED_VALUE"""),92.65)</f>
        <v>92.65</v>
      </c>
      <c r="E69" s="6">
        <f>IFERROR(__xludf.DUMMYFUNCTION("""COMPUTED_VALUE"""),92.83)</f>
        <v>92.83</v>
      </c>
      <c r="F69" s="6">
        <f>IFERROR(__xludf.DUMMYFUNCTION("""COMPUTED_VALUE"""),1.05780308E8)</f>
        <v>105780308</v>
      </c>
    </row>
    <row r="70">
      <c r="A70" s="7">
        <f>IFERROR(__xludf.DUMMYFUNCTION("""COMPUTED_VALUE"""),45674.64583333333)</f>
        <v>45674.64583</v>
      </c>
      <c r="B70" s="6">
        <f>IFERROR(__xludf.DUMMYFUNCTION("""COMPUTED_VALUE"""),92.15)</f>
        <v>92.15</v>
      </c>
      <c r="C70" s="6">
        <f>IFERROR(__xludf.DUMMYFUNCTION("""COMPUTED_VALUE"""),98.37)</f>
        <v>98.37</v>
      </c>
      <c r="D70" s="6">
        <f>IFERROR(__xludf.DUMMYFUNCTION("""COMPUTED_VALUE"""),87.79)</f>
        <v>87.79</v>
      </c>
      <c r="E70" s="6">
        <f>IFERROR(__xludf.DUMMYFUNCTION("""COMPUTED_VALUE"""),97.88)</f>
        <v>97.88</v>
      </c>
      <c r="F70" s="6">
        <f>IFERROR(__xludf.DUMMYFUNCTION("""COMPUTED_VALUE"""),1.44958332E8)</f>
        <v>144958332</v>
      </c>
    </row>
    <row r="71">
      <c r="A71" s="7">
        <f>IFERROR(__xludf.DUMMYFUNCTION("""COMPUTED_VALUE"""),45681.64583333333)</f>
        <v>45681.64583</v>
      </c>
      <c r="B71" s="6">
        <f>IFERROR(__xludf.DUMMYFUNCTION("""COMPUTED_VALUE"""),98.11)</f>
        <v>98.11</v>
      </c>
      <c r="C71" s="6">
        <f>IFERROR(__xludf.DUMMYFUNCTION("""COMPUTED_VALUE"""),102.0)</f>
        <v>102</v>
      </c>
      <c r="D71" s="6">
        <f>IFERROR(__xludf.DUMMYFUNCTION("""COMPUTED_VALUE"""),95.72)</f>
        <v>95.72</v>
      </c>
      <c r="E71" s="6">
        <f>IFERROR(__xludf.DUMMYFUNCTION("""COMPUTED_VALUE"""),96.75)</f>
        <v>96.75</v>
      </c>
      <c r="F71" s="6">
        <f>IFERROR(__xludf.DUMMYFUNCTION("""COMPUTED_VALUE"""),8.3867019E7)</f>
        <v>83867019</v>
      </c>
    </row>
    <row r="72">
      <c r="A72" s="7">
        <f>IFERROR(__xludf.DUMMYFUNCTION("""COMPUTED_VALUE"""),45695.64583333333)</f>
        <v>45695.64583</v>
      </c>
      <c r="B72" s="6">
        <f>IFERROR(__xludf.DUMMYFUNCTION("""COMPUTED_VALUE"""),91.91)</f>
        <v>91.91</v>
      </c>
      <c r="C72" s="6">
        <f>IFERROR(__xludf.DUMMYFUNCTION("""COMPUTED_VALUE"""),96.9)</f>
        <v>96.9</v>
      </c>
      <c r="D72" s="6">
        <f>IFERROR(__xludf.DUMMYFUNCTION("""COMPUTED_VALUE"""),89.47)</f>
        <v>89.47</v>
      </c>
      <c r="E72" s="6">
        <f>IFERROR(__xludf.DUMMYFUNCTION("""COMPUTED_VALUE"""),94.06)</f>
        <v>94.06</v>
      </c>
      <c r="F72" s="6">
        <f>IFERROR(__xludf.DUMMYFUNCTION("""COMPUTED_VALUE"""),1.02541383E8)</f>
        <v>102541383</v>
      </c>
    </row>
    <row r="73">
      <c r="A73" s="7">
        <f>IFERROR(__xludf.DUMMYFUNCTION("""COMPUTED_VALUE"""),45702.64583333333)</f>
        <v>45702.64583</v>
      </c>
      <c r="B73" s="6">
        <f>IFERROR(__xludf.DUMMYFUNCTION("""COMPUTED_VALUE"""),94.06)</f>
        <v>94.06</v>
      </c>
      <c r="C73" s="6">
        <f>IFERROR(__xludf.DUMMYFUNCTION("""COMPUTED_VALUE"""),94.45)</f>
        <v>94.45</v>
      </c>
      <c r="D73" s="6">
        <f>IFERROR(__xludf.DUMMYFUNCTION("""COMPUTED_VALUE"""),84.72)</f>
        <v>84.72</v>
      </c>
      <c r="E73" s="6">
        <f>IFERROR(__xludf.DUMMYFUNCTION("""COMPUTED_VALUE"""),85.62)</f>
        <v>85.62</v>
      </c>
      <c r="F73" s="6">
        <f>IFERROR(__xludf.DUMMYFUNCTION("""COMPUTED_VALUE"""),1.1327341E8)</f>
        <v>113273410</v>
      </c>
    </row>
    <row r="74">
      <c r="A74" s="7">
        <f>IFERROR(__xludf.DUMMYFUNCTION("""COMPUTED_VALUE"""),45709.64583333333)</f>
        <v>45709.64583</v>
      </c>
      <c r="B74" s="6">
        <f>IFERROR(__xludf.DUMMYFUNCTION("""COMPUTED_VALUE"""),85.61)</f>
        <v>85.61</v>
      </c>
      <c r="C74" s="6">
        <f>IFERROR(__xludf.DUMMYFUNCTION("""COMPUTED_VALUE"""),89.25)</f>
        <v>89.25</v>
      </c>
      <c r="D74" s="6">
        <f>IFERROR(__xludf.DUMMYFUNCTION("""COMPUTED_VALUE"""),83.52)</f>
        <v>83.52</v>
      </c>
      <c r="E74" s="6">
        <f>IFERROR(__xludf.DUMMYFUNCTION("""COMPUTED_VALUE"""),87.33)</f>
        <v>87.33</v>
      </c>
      <c r="F74" s="6">
        <f>IFERROR(__xludf.DUMMYFUNCTION("""COMPUTED_VALUE"""),1.1819609E8)</f>
        <v>118196090</v>
      </c>
    </row>
    <row r="75">
      <c r="A75" s="7">
        <f>IFERROR(__xludf.DUMMYFUNCTION("""COMPUTED_VALUE"""),45716.64583333333)</f>
        <v>45716.64583</v>
      </c>
      <c r="B75" s="6">
        <f>IFERROR(__xludf.DUMMYFUNCTION("""COMPUTED_VALUE"""),87.0)</f>
        <v>87</v>
      </c>
      <c r="C75" s="6">
        <f>IFERROR(__xludf.DUMMYFUNCTION("""COMPUTED_VALUE"""),87.75)</f>
        <v>87.75</v>
      </c>
      <c r="D75" s="6">
        <f>IFERROR(__xludf.DUMMYFUNCTION("""COMPUTED_VALUE"""),80.25)</f>
        <v>80.25</v>
      </c>
      <c r="E75" s="6">
        <f>IFERROR(__xludf.DUMMYFUNCTION("""COMPUTED_VALUE"""),80.9)</f>
        <v>80.9</v>
      </c>
      <c r="F75" s="6">
        <f>IFERROR(__xludf.DUMMYFUNCTION("""COMPUTED_VALUE"""),8.6327543E7)</f>
        <v>86327543</v>
      </c>
    </row>
    <row r="76">
      <c r="A76" s="7">
        <f>IFERROR(__xludf.DUMMYFUNCTION("""COMPUTED_VALUE"""),45723.64583333333)</f>
        <v>45723.64583</v>
      </c>
      <c r="B76" s="6">
        <f>IFERROR(__xludf.DUMMYFUNCTION("""COMPUTED_VALUE"""),81.25)</f>
        <v>81.25</v>
      </c>
      <c r="C76" s="6">
        <f>IFERROR(__xludf.DUMMYFUNCTION("""COMPUTED_VALUE"""),86.77)</f>
        <v>86.77</v>
      </c>
      <c r="D76" s="6">
        <f>IFERROR(__xludf.DUMMYFUNCTION("""COMPUTED_VALUE"""),78.6)</f>
        <v>78.6</v>
      </c>
      <c r="E76" s="6">
        <f>IFERROR(__xludf.DUMMYFUNCTION("""COMPUTED_VALUE"""),85.02)</f>
        <v>85.02</v>
      </c>
      <c r="F76" s="6">
        <f>IFERROR(__xludf.DUMMYFUNCTION("""COMPUTED_VALUE"""),1.0591415E8)</f>
        <v>105914150</v>
      </c>
    </row>
    <row r="77">
      <c r="A77" s="7">
        <f>IFERROR(__xludf.DUMMYFUNCTION("""COMPUTED_VALUE"""),45729.64583333333)</f>
        <v>45729.64583</v>
      </c>
      <c r="B77" s="6">
        <f>IFERROR(__xludf.DUMMYFUNCTION("""COMPUTED_VALUE"""),85.0)</f>
        <v>85</v>
      </c>
      <c r="C77" s="6">
        <f>IFERROR(__xludf.DUMMYFUNCTION("""COMPUTED_VALUE"""),85.43)</f>
        <v>85.43</v>
      </c>
      <c r="D77" s="6">
        <f>IFERROR(__xludf.DUMMYFUNCTION("""COMPUTED_VALUE"""),81.4)</f>
        <v>81.4</v>
      </c>
      <c r="E77" s="6">
        <f>IFERROR(__xludf.DUMMYFUNCTION("""COMPUTED_VALUE"""),82.9)</f>
        <v>82.9</v>
      </c>
      <c r="F77" s="6">
        <f>IFERROR(__xludf.DUMMYFUNCTION("""COMPUTED_VALUE"""),7.6790081E7)</f>
        <v>76790081</v>
      </c>
    </row>
    <row r="78">
      <c r="A78" s="7">
        <f>IFERROR(__xludf.DUMMYFUNCTION("""COMPUTED_VALUE"""),45737.64583333333)</f>
        <v>45737.64583</v>
      </c>
      <c r="B78" s="6">
        <f>IFERROR(__xludf.DUMMYFUNCTION("""COMPUTED_VALUE"""),82.86)</f>
        <v>82.86</v>
      </c>
      <c r="C78" s="6">
        <f>IFERROR(__xludf.DUMMYFUNCTION("""COMPUTED_VALUE"""),88.25)</f>
        <v>88.25</v>
      </c>
      <c r="D78" s="6">
        <f>IFERROR(__xludf.DUMMYFUNCTION("""COMPUTED_VALUE"""),82.61)</f>
        <v>82.61</v>
      </c>
      <c r="E78" s="6">
        <f>IFERROR(__xludf.DUMMYFUNCTION("""COMPUTED_VALUE"""),87.54)</f>
        <v>87.54</v>
      </c>
      <c r="F78" s="6">
        <f>IFERROR(__xludf.DUMMYFUNCTION("""COMPUTED_VALUE"""),8.6879432E7)</f>
        <v>86879432</v>
      </c>
    </row>
    <row r="79">
      <c r="A79" s="7">
        <f>IFERROR(__xludf.DUMMYFUNCTION("""COMPUTED_VALUE"""),45744.64583333333)</f>
        <v>45744.64583</v>
      </c>
      <c r="B79" s="6">
        <f>IFERROR(__xludf.DUMMYFUNCTION("""COMPUTED_VALUE"""),88.5)</f>
        <v>88.5</v>
      </c>
      <c r="C79" s="6">
        <f>IFERROR(__xludf.DUMMYFUNCTION("""COMPUTED_VALUE"""),92.25)</f>
        <v>92.25</v>
      </c>
      <c r="D79" s="6">
        <f>IFERROR(__xludf.DUMMYFUNCTION("""COMPUTED_VALUE"""),86.8)</f>
        <v>86.8</v>
      </c>
      <c r="E79" s="6">
        <f>IFERROR(__xludf.DUMMYFUNCTION("""COMPUTED_VALUE"""),89.0)</f>
        <v>89</v>
      </c>
      <c r="F79" s="6">
        <f>IFERROR(__xludf.DUMMYFUNCTION("""COMPUTED_VALUE"""),1.70293255E8)</f>
        <v>170293255</v>
      </c>
    </row>
    <row r="80">
      <c r="A80" s="7">
        <f>IFERROR(__xludf.DUMMYFUNCTION("""COMPUTED_VALUE"""),45751.64583333333)</f>
        <v>45751.64583</v>
      </c>
      <c r="B80" s="6">
        <f>IFERROR(__xludf.DUMMYFUNCTION("""COMPUTED_VALUE"""),88.53)</f>
        <v>88.53</v>
      </c>
      <c r="C80" s="6">
        <f>IFERROR(__xludf.DUMMYFUNCTION("""COMPUTED_VALUE"""),95.19)</f>
        <v>95.19</v>
      </c>
      <c r="D80" s="6">
        <f>IFERROR(__xludf.DUMMYFUNCTION("""COMPUTED_VALUE"""),88.1)</f>
        <v>88.1</v>
      </c>
      <c r="E80" s="6">
        <f>IFERROR(__xludf.DUMMYFUNCTION("""COMPUTED_VALUE"""),90.39)</f>
        <v>90.39</v>
      </c>
      <c r="F80" s="6">
        <f>IFERROR(__xludf.DUMMYFUNCTION("""COMPUTED_VALUE"""),1.05143133E8)</f>
        <v>105143133</v>
      </c>
    </row>
    <row r="81">
      <c r="A81" s="7">
        <f>IFERROR(__xludf.DUMMYFUNCTION("""COMPUTED_VALUE"""),45758.64583333333)</f>
        <v>45758.64583</v>
      </c>
      <c r="B81" s="6">
        <f>IFERROR(__xludf.DUMMYFUNCTION("""COMPUTED_VALUE"""),83.7)</f>
        <v>83.7</v>
      </c>
      <c r="C81" s="6">
        <f>IFERROR(__xludf.DUMMYFUNCTION("""COMPUTED_VALUE"""),91.4)</f>
        <v>91.4</v>
      </c>
      <c r="D81" s="6">
        <f>IFERROR(__xludf.DUMMYFUNCTION("""COMPUTED_VALUE"""),83.7)</f>
        <v>83.7</v>
      </c>
      <c r="E81" s="6">
        <f>IFERROR(__xludf.DUMMYFUNCTION("""COMPUTED_VALUE"""),90.54)</f>
        <v>90.54</v>
      </c>
      <c r="F81" s="6">
        <f>IFERROR(__xludf.DUMMYFUNCTION("""COMPUTED_VALUE"""),9.4763452E7)</f>
        <v>94763452</v>
      </c>
    </row>
    <row r="82">
      <c r="A82" s="7">
        <f>IFERROR(__xludf.DUMMYFUNCTION("""COMPUTED_VALUE"""),45764.64583333333)</f>
        <v>45764.64583</v>
      </c>
      <c r="B82" s="6">
        <f>IFERROR(__xludf.DUMMYFUNCTION("""COMPUTED_VALUE"""),92.83)</f>
        <v>92.83</v>
      </c>
      <c r="C82" s="6">
        <f>IFERROR(__xludf.DUMMYFUNCTION("""COMPUTED_VALUE"""),96.6)</f>
        <v>96.6</v>
      </c>
      <c r="D82" s="6">
        <f>IFERROR(__xludf.DUMMYFUNCTION("""COMPUTED_VALUE"""),91.28)</f>
        <v>91.28</v>
      </c>
      <c r="E82" s="6">
        <f>IFERROR(__xludf.DUMMYFUNCTION("""COMPUTED_VALUE"""),96.02)</f>
        <v>96.02</v>
      </c>
      <c r="F82" s="6">
        <f>IFERROR(__xludf.DUMMYFUNCTION("""COMPUTED_VALUE"""),9.0969722E7)</f>
        <v>90969722</v>
      </c>
    </row>
    <row r="83">
      <c r="A83" s="7">
        <f>IFERROR(__xludf.DUMMYFUNCTION("""COMPUTED_VALUE"""),45772.64583333333)</f>
        <v>45772.64583</v>
      </c>
      <c r="B83" s="6">
        <f>IFERROR(__xludf.DUMMYFUNCTION("""COMPUTED_VALUE"""),96.8)</f>
        <v>96.8</v>
      </c>
      <c r="C83" s="6">
        <f>IFERROR(__xludf.DUMMYFUNCTION("""COMPUTED_VALUE"""),102.63)</f>
        <v>102.63</v>
      </c>
      <c r="D83" s="6">
        <f>IFERROR(__xludf.DUMMYFUNCTION("""COMPUTED_VALUE"""),96.02)</f>
        <v>96.02</v>
      </c>
      <c r="E83" s="6">
        <f>IFERROR(__xludf.DUMMYFUNCTION("""COMPUTED_VALUE"""),96.53)</f>
        <v>96.53</v>
      </c>
      <c r="F83" s="6">
        <f>IFERROR(__xludf.DUMMYFUNCTION("""COMPUTED_VALUE"""),1.87715192E8)</f>
        <v>187715192</v>
      </c>
    </row>
    <row r="84">
      <c r="A84" s="7">
        <f>IFERROR(__xludf.DUMMYFUNCTION("""COMPUTED_VALUE"""),45779.64583333333)</f>
        <v>45779.64583</v>
      </c>
      <c r="B84" s="6">
        <f>IFERROR(__xludf.DUMMYFUNCTION("""COMPUTED_VALUE"""),96.26)</f>
        <v>96.26</v>
      </c>
      <c r="C84" s="6">
        <f>IFERROR(__xludf.DUMMYFUNCTION("""COMPUTED_VALUE"""),101.39)</f>
        <v>101.39</v>
      </c>
      <c r="D84" s="6">
        <f>IFERROR(__xludf.DUMMYFUNCTION("""COMPUTED_VALUE"""),95.87)</f>
        <v>95.87</v>
      </c>
      <c r="E84" s="6">
        <f>IFERROR(__xludf.DUMMYFUNCTION("""COMPUTED_VALUE"""),96.85)</f>
        <v>96.85</v>
      </c>
      <c r="F84" s="6">
        <f>IFERROR(__xludf.DUMMYFUNCTION("""COMPUTED_VALUE"""),1.11700619E8)</f>
        <v>111700619</v>
      </c>
    </row>
    <row r="85">
      <c r="A85" s="7">
        <f>IFERROR(__xludf.DUMMYFUNCTION("""COMPUTED_VALUE"""),45786.64583333333)</f>
        <v>45786.64583</v>
      </c>
      <c r="B85" s="6">
        <f>IFERROR(__xludf.DUMMYFUNCTION("""COMPUTED_VALUE"""),97.0)</f>
        <v>97</v>
      </c>
      <c r="C85" s="6">
        <f>IFERROR(__xludf.DUMMYFUNCTION("""COMPUTED_VALUE"""),98.44)</f>
        <v>98.44</v>
      </c>
      <c r="D85" s="6">
        <f>IFERROR(__xludf.DUMMYFUNCTION("""COMPUTED_VALUE"""),90.95)</f>
        <v>90.95</v>
      </c>
      <c r="E85" s="6">
        <f>IFERROR(__xludf.DUMMYFUNCTION("""COMPUTED_VALUE"""),97.64)</f>
        <v>97.64</v>
      </c>
      <c r="F85" s="6">
        <f>IFERROR(__xludf.DUMMYFUNCTION("""COMPUTED_VALUE"""),1.85865575E8)</f>
        <v>185865575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IFERROR(__xludf.DUMMYFUNCTION("""COMPUTED_VALUE"""),100.5)</f>
        <v>100.5</v>
      </c>
      <c r="C86" s="6">
        <f>IFERROR(__xludf.DUMMYFUNCTION("""COMPUTED_VALUE"""),108.59)</f>
        <v>108.59</v>
      </c>
      <c r="D86" s="6">
        <f>IFERROR(__xludf.DUMMYFUNCTION("""COMPUTED_VALUE"""),99.85)</f>
        <v>99.85</v>
      </c>
      <c r="E86" s="6">
        <f>IFERROR(__xludf.DUMMYFUNCTION("""COMPUTED_VALUE"""),107.76)</f>
        <v>107.76</v>
      </c>
      <c r="F86" s="6">
        <f>IFERROR(__xludf.DUMMYFUNCTION("""COMPUTED_VALUE"""),2.11395791E8)</f>
        <v>211395791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IFERROR(__xludf.DUMMYFUNCTION("""COMPUTED_VALUE"""),108.7)</f>
        <v>108.7</v>
      </c>
      <c r="C87" s="6">
        <f>IFERROR(__xludf.DUMMYFUNCTION("""COMPUTED_VALUE"""),109.5)</f>
        <v>109.5</v>
      </c>
      <c r="D87" s="6">
        <f>IFERROR(__xludf.DUMMYFUNCTION("""COMPUTED_VALUE"""),105.82)</f>
        <v>105.82</v>
      </c>
      <c r="E87" s="6">
        <f>IFERROR(__xludf.DUMMYFUNCTION("""COMPUTED_VALUE"""),107.21)</f>
        <v>107.21</v>
      </c>
      <c r="F87" s="6">
        <f>IFERROR(__xludf.DUMMYFUNCTION("""COMPUTED_VALUE"""),1.06111807E8)</f>
        <v>106111807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IFERROR(__xludf.DUMMYFUNCTION("""COMPUTED_VALUE"""),107.4)</f>
        <v>107.4</v>
      </c>
      <c r="C88" s="6">
        <f>IFERROR(__xludf.DUMMYFUNCTION("""COMPUTED_VALUE"""),115.32)</f>
        <v>115.32</v>
      </c>
      <c r="D88" s="6">
        <f>IFERROR(__xludf.DUMMYFUNCTION("""COMPUTED_VALUE"""),106.6)</f>
        <v>106.6</v>
      </c>
      <c r="E88" s="6">
        <f>IFERROR(__xludf.DUMMYFUNCTION("""COMPUTED_VALUE"""),114.76)</f>
        <v>114.76</v>
      </c>
      <c r="F88" s="6">
        <f>IFERROR(__xludf.DUMMYFUNCTION("""COMPUTED_VALUE"""),1.66338763E8)</f>
        <v>166338763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IFERROR(__xludf.DUMMYFUNCTION("""COMPUTED_VALUE"""),114.76)</f>
        <v>114.76</v>
      </c>
      <c r="C89" s="6">
        <f>IFERROR(__xludf.DUMMYFUNCTION("""COMPUTED_VALUE"""),118.1)</f>
        <v>118.1</v>
      </c>
      <c r="D89" s="6">
        <f>IFERROR(__xludf.DUMMYFUNCTION("""COMPUTED_VALUE"""),114.05)</f>
        <v>114.05</v>
      </c>
      <c r="E89" s="6">
        <f>IFERROR(__xludf.DUMMYFUNCTION("""COMPUTED_VALUE"""),115.71)</f>
        <v>115.71</v>
      </c>
      <c r="F89" s="6">
        <f>IFERROR(__xludf.DUMMYFUNCTION("""COMPUTED_VALUE"""),1.61681861E8)</f>
        <v>161681861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IFERROR(__xludf.DUMMYFUNCTION("""COMPUTED_VALUE"""),116.9)</f>
        <v>116.9</v>
      </c>
      <c r="C90" s="6">
        <f>IFERROR(__xludf.DUMMYFUNCTION("""COMPUTED_VALUE"""),119.3)</f>
        <v>119.3</v>
      </c>
      <c r="D90" s="6">
        <f>IFERROR(__xludf.DUMMYFUNCTION("""COMPUTED_VALUE"""),107.52)</f>
        <v>107.52</v>
      </c>
      <c r="E90" s="6">
        <f>IFERROR(__xludf.DUMMYFUNCTION("""COMPUTED_VALUE"""),111.46)</f>
        <v>111.46</v>
      </c>
      <c r="F90" s="6">
        <f>IFERROR(__xludf.DUMMYFUNCTION("""COMPUTED_VALUE"""),1.74941391E8)</f>
        <v>174941391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IFERROR(__xludf.DUMMYFUNCTION("""COMPUTED_VALUE"""),110.45)</f>
        <v>110.45</v>
      </c>
      <c r="C91" s="6">
        <f>IFERROR(__xludf.DUMMYFUNCTION("""COMPUTED_VALUE"""),112.1)</f>
        <v>112.1</v>
      </c>
      <c r="D91" s="6">
        <f>IFERROR(__xludf.DUMMYFUNCTION("""COMPUTED_VALUE"""),104.6)</f>
        <v>104.6</v>
      </c>
      <c r="E91" s="6">
        <f>IFERROR(__xludf.DUMMYFUNCTION("""COMPUTED_VALUE"""),107.22)</f>
        <v>107.22</v>
      </c>
      <c r="F91" s="6">
        <f>IFERROR(__xludf.DUMMYFUNCTION("""COMPUTED_VALUE"""),1.00114651E8)</f>
        <v>100114651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IFERROR(__xludf.DUMMYFUNCTION("""COMPUTED_VALUE"""),106.0)</f>
        <v>106</v>
      </c>
      <c r="C92" s="6">
        <f>IFERROR(__xludf.DUMMYFUNCTION("""COMPUTED_VALUE"""),113.0)</f>
        <v>113</v>
      </c>
      <c r="D92" s="6">
        <f>IFERROR(__xludf.DUMMYFUNCTION("""COMPUTED_VALUE"""),105.98)</f>
        <v>105.98</v>
      </c>
      <c r="E92" s="6">
        <f>IFERROR(__xludf.DUMMYFUNCTION("""COMPUTED_VALUE"""),110.98)</f>
        <v>110.98</v>
      </c>
      <c r="F92" s="6">
        <f>IFERROR(__xludf.DUMMYFUNCTION("""COMPUTED_VALUE"""),1.14659506E8)</f>
        <v>114659506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IFERROR(__xludf.DUMMYFUNCTION("""COMPUTED_VALUE"""),111.56)</f>
        <v>111.56</v>
      </c>
      <c r="C93" s="6">
        <f>IFERROR(__xludf.DUMMYFUNCTION("""COMPUTED_VALUE"""),116.0)</f>
        <v>116</v>
      </c>
      <c r="D93" s="6">
        <f>IFERROR(__xludf.DUMMYFUNCTION("""COMPUTED_VALUE"""),111.47)</f>
        <v>111.47</v>
      </c>
      <c r="E93" s="6">
        <f>IFERROR(__xludf.DUMMYFUNCTION("""COMPUTED_VALUE"""),114.37)</f>
        <v>114.37</v>
      </c>
      <c r="F93" s="6">
        <f>IFERROR(__xludf.DUMMYFUNCTION("""COMPUTED_VALUE"""),1.09838796E8)</f>
        <v>109838796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IFERROR(__xludf.DUMMYFUNCTION("""COMPUTED_VALUE"""),114.37)</f>
        <v>114.37</v>
      </c>
      <c r="C94" s="6">
        <f>IFERROR(__xludf.DUMMYFUNCTION("""COMPUTED_VALUE"""),115.8)</f>
        <v>115.8</v>
      </c>
      <c r="D94" s="6">
        <f>IFERROR(__xludf.DUMMYFUNCTION("""COMPUTED_VALUE"""),111.21)</f>
        <v>111.21</v>
      </c>
      <c r="E94" s="6">
        <f>IFERROR(__xludf.DUMMYFUNCTION("""COMPUTED_VALUE"""),111.92)</f>
        <v>111.92</v>
      </c>
      <c r="F94" s="6">
        <f>IFERROR(__xludf.DUMMYFUNCTION("""COMPUTED_VALUE"""),7.1532433E7)</f>
        <v>71532433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IFERROR(__xludf.DUMMYFUNCTION("""COMPUTED_VALUE"""),111.99)</f>
        <v>111.99</v>
      </c>
      <c r="C95" s="6">
        <f>IFERROR(__xludf.DUMMYFUNCTION("""COMPUTED_VALUE"""),117.5)</f>
        <v>117.5</v>
      </c>
      <c r="D95" s="6">
        <f>IFERROR(__xludf.DUMMYFUNCTION("""COMPUTED_VALUE"""),111.9)</f>
        <v>111.9</v>
      </c>
      <c r="E95" s="6">
        <f>IFERROR(__xludf.DUMMYFUNCTION("""COMPUTED_VALUE"""),114.45)</f>
        <v>114.45</v>
      </c>
      <c r="F95" s="6">
        <f>IFERROR(__xludf.DUMMYFUNCTION("""COMPUTED_VALUE"""),1.26921019E8)</f>
        <v>126921019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IFERROR(__xludf.DUMMYFUNCTION("""COMPUTED_VALUE"""),114.67)</f>
        <v>114.67</v>
      </c>
      <c r="C96" s="6">
        <f>IFERROR(__xludf.DUMMYFUNCTION("""COMPUTED_VALUE"""),115.7)</f>
        <v>115.7</v>
      </c>
      <c r="D96" s="6">
        <f>IFERROR(__xludf.DUMMYFUNCTION("""COMPUTED_VALUE"""),106.3)</f>
        <v>106.3</v>
      </c>
      <c r="E96" s="6">
        <f>IFERROR(__xludf.DUMMYFUNCTION("""COMPUTED_VALUE"""),110.76)</f>
        <v>110.76</v>
      </c>
      <c r="F96" s="6">
        <f>IFERROR(__xludf.DUMMYFUNCTION("""COMPUTED_VALUE"""),2.32410466E8)</f>
        <v>232410466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IFERROR(__xludf.DUMMYFUNCTION("""COMPUTED_VALUE"""),110.7)</f>
        <v>110.7</v>
      </c>
      <c r="C97" s="6">
        <f>IFERROR(__xludf.DUMMYFUNCTION("""COMPUTED_VALUE"""),112.84)</f>
        <v>112.84</v>
      </c>
      <c r="D97" s="6">
        <f>IFERROR(__xludf.DUMMYFUNCTION("""COMPUTED_VALUE"""),105.75)</f>
        <v>105.75</v>
      </c>
      <c r="E97" s="6">
        <f>IFERROR(__xludf.DUMMYFUNCTION("""COMPUTED_VALUE"""),105.89)</f>
        <v>105.89</v>
      </c>
      <c r="F97" s="6">
        <f>IFERROR(__xludf.DUMMYFUNCTION("""COMPUTED_VALUE"""),1.40298369E8)</f>
        <v>140298369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IFERROR(__xludf.DUMMYFUNCTION("""COMPUTED_VALUE"""),106.0)</f>
        <v>106</v>
      </c>
      <c r="C98" s="6">
        <f>IFERROR(__xludf.DUMMYFUNCTION("""COMPUTED_VALUE"""),110.0)</f>
        <v>110</v>
      </c>
      <c r="D98" s="6">
        <f>IFERROR(__xludf.DUMMYFUNCTION("""COMPUTED_VALUE"""),106.0)</f>
        <v>106</v>
      </c>
      <c r="E98" s="6">
        <f>IFERROR(__xludf.DUMMYFUNCTION("""COMPUTED_VALUE"""),107.89)</f>
        <v>107.89</v>
      </c>
      <c r="F98" s="6">
        <f>IFERROR(__xludf.DUMMYFUNCTION("""COMPUTED_VALUE"""),9.9663137E7)</f>
        <v>99663137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IFERROR(__xludf.DUMMYFUNCTION("""COMPUTED_VALUE"""),107.8)</f>
        <v>107.8</v>
      </c>
      <c r="C99" s="6">
        <f>IFERROR(__xludf.DUMMYFUNCTION("""COMPUTED_VALUE"""),110.49)</f>
        <v>110.49</v>
      </c>
      <c r="D99" s="6">
        <f>IFERROR(__xludf.DUMMYFUNCTION("""COMPUTED_VALUE"""),107.3)</f>
        <v>107.3</v>
      </c>
      <c r="E99" s="6">
        <f>IFERROR(__xludf.DUMMYFUNCTION("""COMPUTED_VALUE"""),109.26)</f>
        <v>109.26</v>
      </c>
      <c r="F99" s="6">
        <f>IFERROR(__xludf.DUMMYFUNCTION("""COMPUTED_VALUE"""),5.0356059E7)</f>
        <v>50356059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IFERROR(__xludf.DUMMYFUNCTION("""COMPUTED_VALUE"""),110.0)</f>
        <v>110</v>
      </c>
      <c r="C100" s="6">
        <f>IFERROR(__xludf.DUMMYFUNCTION("""COMPUTED_VALUE"""),113.0)</f>
        <v>113</v>
      </c>
      <c r="D100" s="6">
        <f>IFERROR(__xludf.DUMMYFUNCTION("""COMPUTED_VALUE"""),108.9)</f>
        <v>108.9</v>
      </c>
      <c r="E100" s="6">
        <f>IFERROR(__xludf.DUMMYFUNCTION("""COMPUTED_VALUE"""),109.93)</f>
        <v>109.93</v>
      </c>
      <c r="F100" s="6">
        <f>IFERROR(__xludf.DUMMYFUNCTION("""COMPUTED_VALUE"""),7.6321488E7)</f>
        <v>76321488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IFERROR(__xludf.DUMMYFUNCTION("""COMPUTED_VALUE"""),110.0)</f>
        <v>110</v>
      </c>
      <c r="C101" s="6">
        <f>IFERROR(__xludf.DUMMYFUNCTION("""COMPUTED_VALUE"""),110.98)</f>
        <v>110.98</v>
      </c>
      <c r="D101" s="6">
        <f>IFERROR(__xludf.DUMMYFUNCTION("""COMPUTED_VALUE"""),105.83)</f>
        <v>105.83</v>
      </c>
      <c r="E101" s="6">
        <f>IFERROR(__xludf.DUMMYFUNCTION("""COMPUTED_VALUE"""),106.01)</f>
        <v>106.01</v>
      </c>
      <c r="F101" s="6">
        <f>IFERROR(__xludf.DUMMYFUNCTION("""COMPUTED_VALUE"""),3.01668619E8)</f>
        <v>301668619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IFERROR(__xludf.DUMMYFUNCTION("GOOGLEFINANCE(""NSE:CGPOWER"",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IFERROR(__xludf.DUMMYFUNCTION("""COMPUTED_VALUE"""),420.0)</f>
        <v>420</v>
      </c>
      <c r="C2" s="6">
        <f>IFERROR(__xludf.DUMMYFUNCTION("""COMPUTED_VALUE"""),435.0)</f>
        <v>435</v>
      </c>
      <c r="D2" s="6">
        <f>IFERROR(__xludf.DUMMYFUNCTION("""COMPUTED_VALUE"""),405.1)</f>
        <v>405.1</v>
      </c>
      <c r="E2" s="6">
        <f>IFERROR(__xludf.DUMMYFUNCTION("""COMPUTED_VALUE"""),423.95)</f>
        <v>423.95</v>
      </c>
      <c r="F2" s="6">
        <f>IFERROR(__xludf.DUMMYFUNCTION("""COMPUTED_VALUE"""),1.3206198E7)</f>
        <v>13206198</v>
      </c>
    </row>
    <row r="3">
      <c r="A3" s="7">
        <f>IFERROR(__xludf.DUMMYFUNCTION("""COMPUTED_VALUE"""),45177.64583333333)</f>
        <v>45177.64583</v>
      </c>
      <c r="B3" s="6">
        <f>IFERROR(__xludf.DUMMYFUNCTION("""COMPUTED_VALUE"""),426.6)</f>
        <v>426.6</v>
      </c>
      <c r="C3" s="6">
        <f>IFERROR(__xludf.DUMMYFUNCTION("""COMPUTED_VALUE"""),459.7)</f>
        <v>459.7</v>
      </c>
      <c r="D3" s="6">
        <f>IFERROR(__xludf.DUMMYFUNCTION("""COMPUTED_VALUE"""),420.55)</f>
        <v>420.55</v>
      </c>
      <c r="E3" s="6">
        <f>IFERROR(__xludf.DUMMYFUNCTION("""COMPUTED_VALUE"""),455.25)</f>
        <v>455.25</v>
      </c>
      <c r="F3" s="6">
        <f>IFERROR(__xludf.DUMMYFUNCTION("""COMPUTED_VALUE"""),1.2763265E7)</f>
        <v>12763265</v>
      </c>
    </row>
    <row r="4">
      <c r="A4" s="7">
        <f>IFERROR(__xludf.DUMMYFUNCTION("""COMPUTED_VALUE"""),45184.64583333333)</f>
        <v>45184.64583</v>
      </c>
      <c r="B4" s="6">
        <f>IFERROR(__xludf.DUMMYFUNCTION("""COMPUTED_VALUE"""),458.2)</f>
        <v>458.2</v>
      </c>
      <c r="C4" s="6">
        <f>IFERROR(__xludf.DUMMYFUNCTION("""COMPUTED_VALUE"""),458.4)</f>
        <v>458.4</v>
      </c>
      <c r="D4" s="6">
        <f>IFERROR(__xludf.DUMMYFUNCTION("""COMPUTED_VALUE"""),420.0)</f>
        <v>420</v>
      </c>
      <c r="E4" s="6">
        <f>IFERROR(__xludf.DUMMYFUNCTION("""COMPUTED_VALUE"""),436.2)</f>
        <v>436.2</v>
      </c>
      <c r="F4" s="6">
        <f>IFERROR(__xludf.DUMMYFUNCTION("""COMPUTED_VALUE"""),1.0772314E7)</f>
        <v>10772314</v>
      </c>
    </row>
    <row r="5">
      <c r="A5" s="7">
        <f>IFERROR(__xludf.DUMMYFUNCTION("""COMPUTED_VALUE"""),45191.64583333333)</f>
        <v>45191.64583</v>
      </c>
      <c r="B5" s="6">
        <f>IFERROR(__xludf.DUMMYFUNCTION("""COMPUTED_VALUE"""),439.7)</f>
        <v>439.7</v>
      </c>
      <c r="C5" s="6">
        <f>IFERROR(__xludf.DUMMYFUNCTION("""COMPUTED_VALUE"""),443.0)</f>
        <v>443</v>
      </c>
      <c r="D5" s="6">
        <f>IFERROR(__xludf.DUMMYFUNCTION("""COMPUTED_VALUE"""),422.6)</f>
        <v>422.6</v>
      </c>
      <c r="E5" s="6">
        <f>IFERROR(__xludf.DUMMYFUNCTION("""COMPUTED_VALUE"""),440.5)</f>
        <v>440.5</v>
      </c>
      <c r="F5" s="6">
        <f>IFERROR(__xludf.DUMMYFUNCTION("""COMPUTED_VALUE"""),5166285.0)</f>
        <v>5166285</v>
      </c>
    </row>
    <row r="6">
      <c r="A6" s="7">
        <f>IFERROR(__xludf.DUMMYFUNCTION("""COMPUTED_VALUE"""),45198.64583333333)</f>
        <v>45198.64583</v>
      </c>
      <c r="B6" s="6">
        <f>IFERROR(__xludf.DUMMYFUNCTION("""COMPUTED_VALUE"""),441.7)</f>
        <v>441.7</v>
      </c>
      <c r="C6" s="6">
        <f>IFERROR(__xludf.DUMMYFUNCTION("""COMPUTED_VALUE"""),448.6)</f>
        <v>448.6</v>
      </c>
      <c r="D6" s="6">
        <f>IFERROR(__xludf.DUMMYFUNCTION("""COMPUTED_VALUE"""),431.4)</f>
        <v>431.4</v>
      </c>
      <c r="E6" s="6">
        <f>IFERROR(__xludf.DUMMYFUNCTION("""COMPUTED_VALUE"""),442.2)</f>
        <v>442.2</v>
      </c>
      <c r="F6" s="6">
        <f>IFERROR(__xludf.DUMMYFUNCTION("""COMPUTED_VALUE"""),6171287.0)</f>
        <v>6171287</v>
      </c>
    </row>
    <row r="7">
      <c r="A7" s="7">
        <f>IFERROR(__xludf.DUMMYFUNCTION("""COMPUTED_VALUE"""),45205.64583333333)</f>
        <v>45205.64583</v>
      </c>
      <c r="B7" s="6">
        <f>IFERROR(__xludf.DUMMYFUNCTION("""COMPUTED_VALUE"""),442.2)</f>
        <v>442.2</v>
      </c>
      <c r="C7" s="6">
        <f>IFERROR(__xludf.DUMMYFUNCTION("""COMPUTED_VALUE"""),446.9)</f>
        <v>446.9</v>
      </c>
      <c r="D7" s="6">
        <f>IFERROR(__xludf.DUMMYFUNCTION("""COMPUTED_VALUE"""),417.05)</f>
        <v>417.05</v>
      </c>
      <c r="E7" s="6">
        <f>IFERROR(__xludf.DUMMYFUNCTION("""COMPUTED_VALUE"""),418.75)</f>
        <v>418.75</v>
      </c>
      <c r="F7" s="6">
        <f>IFERROR(__xludf.DUMMYFUNCTION("""COMPUTED_VALUE"""),4535839.0)</f>
        <v>4535839</v>
      </c>
    </row>
    <row r="8">
      <c r="A8" s="7">
        <f>IFERROR(__xludf.DUMMYFUNCTION("""COMPUTED_VALUE"""),45212.64583333333)</f>
        <v>45212.64583</v>
      </c>
      <c r="B8" s="6">
        <f>IFERROR(__xludf.DUMMYFUNCTION("""COMPUTED_VALUE"""),417.95)</f>
        <v>417.95</v>
      </c>
      <c r="C8" s="6">
        <f>IFERROR(__xludf.DUMMYFUNCTION("""COMPUTED_VALUE"""),419.55)</f>
        <v>419.55</v>
      </c>
      <c r="D8" s="6">
        <f>IFERROR(__xludf.DUMMYFUNCTION("""COMPUTED_VALUE"""),393.05)</f>
        <v>393.05</v>
      </c>
      <c r="E8" s="6">
        <f>IFERROR(__xludf.DUMMYFUNCTION("""COMPUTED_VALUE"""),396.25)</f>
        <v>396.25</v>
      </c>
      <c r="F8" s="6">
        <f>IFERROR(__xludf.DUMMYFUNCTION("""COMPUTED_VALUE"""),1.0317103E7)</f>
        <v>10317103</v>
      </c>
    </row>
    <row r="9">
      <c r="A9" s="7">
        <f>IFERROR(__xludf.DUMMYFUNCTION("""COMPUTED_VALUE"""),45219.64583333333)</f>
        <v>45219.64583</v>
      </c>
      <c r="B9" s="6">
        <f>IFERROR(__xludf.DUMMYFUNCTION("""COMPUTED_VALUE"""),396.25)</f>
        <v>396.25</v>
      </c>
      <c r="C9" s="6">
        <f>IFERROR(__xludf.DUMMYFUNCTION("""COMPUTED_VALUE"""),399.8)</f>
        <v>399.8</v>
      </c>
      <c r="D9" s="6">
        <f>IFERROR(__xludf.DUMMYFUNCTION("""COMPUTED_VALUE"""),371.0)</f>
        <v>371</v>
      </c>
      <c r="E9" s="6">
        <f>IFERROR(__xludf.DUMMYFUNCTION("""COMPUTED_VALUE"""),394.25)</f>
        <v>394.25</v>
      </c>
      <c r="F9" s="6">
        <f>IFERROR(__xludf.DUMMYFUNCTION("""COMPUTED_VALUE"""),1.2655474E7)</f>
        <v>12655474</v>
      </c>
    </row>
    <row r="10">
      <c r="A10" s="7">
        <f>IFERROR(__xludf.DUMMYFUNCTION("""COMPUTED_VALUE"""),45226.64583333333)</f>
        <v>45226.64583</v>
      </c>
      <c r="B10" s="6">
        <f>IFERROR(__xludf.DUMMYFUNCTION("""COMPUTED_VALUE"""),400.0)</f>
        <v>400</v>
      </c>
      <c r="C10" s="6">
        <f>IFERROR(__xludf.DUMMYFUNCTION("""COMPUTED_VALUE"""),406.9)</f>
        <v>406.9</v>
      </c>
      <c r="D10" s="6">
        <f>IFERROR(__xludf.DUMMYFUNCTION("""COMPUTED_VALUE"""),359.2)</f>
        <v>359.2</v>
      </c>
      <c r="E10" s="6">
        <f>IFERROR(__xludf.DUMMYFUNCTION("""COMPUTED_VALUE"""),384.4)</f>
        <v>384.4</v>
      </c>
      <c r="F10" s="6">
        <f>IFERROR(__xludf.DUMMYFUNCTION("""COMPUTED_VALUE"""),9737248.0)</f>
        <v>9737248</v>
      </c>
    </row>
    <row r="11">
      <c r="A11" s="7">
        <f>IFERROR(__xludf.DUMMYFUNCTION("""COMPUTED_VALUE"""),45233.64583333333)</f>
        <v>45233.64583</v>
      </c>
      <c r="B11" s="6">
        <f>IFERROR(__xludf.DUMMYFUNCTION("""COMPUTED_VALUE"""),387.8)</f>
        <v>387.8</v>
      </c>
      <c r="C11" s="6">
        <f>IFERROR(__xludf.DUMMYFUNCTION("""COMPUTED_VALUE"""),397.5)</f>
        <v>397.5</v>
      </c>
      <c r="D11" s="6">
        <f>IFERROR(__xludf.DUMMYFUNCTION("""COMPUTED_VALUE"""),376.2)</f>
        <v>376.2</v>
      </c>
      <c r="E11" s="6">
        <f>IFERROR(__xludf.DUMMYFUNCTION("""COMPUTED_VALUE"""),380.2)</f>
        <v>380.2</v>
      </c>
      <c r="F11" s="6">
        <f>IFERROR(__xludf.DUMMYFUNCTION("""COMPUTED_VALUE"""),6107461.0)</f>
        <v>6107461</v>
      </c>
    </row>
    <row r="12">
      <c r="A12" s="7">
        <f>IFERROR(__xludf.DUMMYFUNCTION("""COMPUTED_VALUE"""),45240.64583333333)</f>
        <v>45240.64583</v>
      </c>
      <c r="B12" s="6">
        <f>IFERROR(__xludf.DUMMYFUNCTION("""COMPUTED_VALUE"""),381.85)</f>
        <v>381.85</v>
      </c>
      <c r="C12" s="6">
        <f>IFERROR(__xludf.DUMMYFUNCTION("""COMPUTED_VALUE"""),398.8)</f>
        <v>398.8</v>
      </c>
      <c r="D12" s="6">
        <f>IFERROR(__xludf.DUMMYFUNCTION("""COMPUTED_VALUE"""),370.95)</f>
        <v>370.95</v>
      </c>
      <c r="E12" s="6">
        <f>IFERROR(__xludf.DUMMYFUNCTION("""COMPUTED_VALUE"""),388.55)</f>
        <v>388.55</v>
      </c>
      <c r="F12" s="6">
        <f>IFERROR(__xludf.DUMMYFUNCTION("""COMPUTED_VALUE"""),7444671.0)</f>
        <v>7444671</v>
      </c>
    </row>
    <row r="13">
      <c r="A13" s="7">
        <f>IFERROR(__xludf.DUMMYFUNCTION("""COMPUTED_VALUE"""),45247.64583333333)</f>
        <v>45247.64583</v>
      </c>
      <c r="B13" s="6">
        <f>IFERROR(__xludf.DUMMYFUNCTION("""COMPUTED_VALUE"""),392.0)</f>
        <v>392</v>
      </c>
      <c r="C13" s="6">
        <f>IFERROR(__xludf.DUMMYFUNCTION("""COMPUTED_VALUE"""),401.2)</f>
        <v>401.2</v>
      </c>
      <c r="D13" s="6">
        <f>IFERROR(__xludf.DUMMYFUNCTION("""COMPUTED_VALUE"""),379.0)</f>
        <v>379</v>
      </c>
      <c r="E13" s="6">
        <f>IFERROR(__xludf.DUMMYFUNCTION("""COMPUTED_VALUE"""),389.15)</f>
        <v>389.15</v>
      </c>
      <c r="F13" s="6">
        <f>IFERROR(__xludf.DUMMYFUNCTION("""COMPUTED_VALUE"""),7334665.0)</f>
        <v>7334665</v>
      </c>
    </row>
    <row r="14">
      <c r="A14" s="7">
        <f>IFERROR(__xludf.DUMMYFUNCTION("""COMPUTED_VALUE"""),45254.64583333333)</f>
        <v>45254.64583</v>
      </c>
      <c r="B14" s="6">
        <f>IFERROR(__xludf.DUMMYFUNCTION("""COMPUTED_VALUE"""),389.65)</f>
        <v>389.65</v>
      </c>
      <c r="C14" s="6">
        <f>IFERROR(__xludf.DUMMYFUNCTION("""COMPUTED_VALUE"""),503.45)</f>
        <v>503.45</v>
      </c>
      <c r="D14" s="6">
        <f>IFERROR(__xludf.DUMMYFUNCTION("""COMPUTED_VALUE"""),382.55)</f>
        <v>382.55</v>
      </c>
      <c r="E14" s="6">
        <f>IFERROR(__xludf.DUMMYFUNCTION("""COMPUTED_VALUE"""),429.15)</f>
        <v>429.15</v>
      </c>
      <c r="F14" s="6">
        <f>IFERROR(__xludf.DUMMYFUNCTION("""COMPUTED_VALUE"""),4.8231553E7)</f>
        <v>48231553</v>
      </c>
    </row>
    <row r="15">
      <c r="A15" s="7">
        <f>IFERROR(__xludf.DUMMYFUNCTION("""COMPUTED_VALUE"""),45261.64583333333)</f>
        <v>45261.64583</v>
      </c>
      <c r="B15" s="6">
        <f>IFERROR(__xludf.DUMMYFUNCTION("""COMPUTED_VALUE"""),433.0)</f>
        <v>433</v>
      </c>
      <c r="C15" s="6">
        <f>IFERROR(__xludf.DUMMYFUNCTION("""COMPUTED_VALUE"""),458.9)</f>
        <v>458.9</v>
      </c>
      <c r="D15" s="6">
        <f>IFERROR(__xludf.DUMMYFUNCTION("""COMPUTED_VALUE"""),410.1)</f>
        <v>410.1</v>
      </c>
      <c r="E15" s="6">
        <f>IFERROR(__xludf.DUMMYFUNCTION("""COMPUTED_VALUE"""),455.95)</f>
        <v>455.95</v>
      </c>
      <c r="F15" s="6">
        <f>IFERROR(__xludf.DUMMYFUNCTION("""COMPUTED_VALUE"""),2.1977663E7)</f>
        <v>21977663</v>
      </c>
    </row>
    <row r="16">
      <c r="A16" s="7">
        <f>IFERROR(__xludf.DUMMYFUNCTION("""COMPUTED_VALUE"""),45268.64583333333)</f>
        <v>45268.64583</v>
      </c>
      <c r="B16" s="6">
        <f>IFERROR(__xludf.DUMMYFUNCTION("""COMPUTED_VALUE"""),459.95)</f>
        <v>459.95</v>
      </c>
      <c r="C16" s="6">
        <f>IFERROR(__xludf.DUMMYFUNCTION("""COMPUTED_VALUE"""),476.3)</f>
        <v>476.3</v>
      </c>
      <c r="D16" s="6">
        <f>IFERROR(__xludf.DUMMYFUNCTION("""COMPUTED_VALUE"""),446.5)</f>
        <v>446.5</v>
      </c>
      <c r="E16" s="6">
        <f>IFERROR(__xludf.DUMMYFUNCTION("""COMPUTED_VALUE"""),454.85)</f>
        <v>454.85</v>
      </c>
      <c r="F16" s="6">
        <f>IFERROR(__xludf.DUMMYFUNCTION("""COMPUTED_VALUE"""),1.2013973E7)</f>
        <v>12013973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IFERROR(__xludf.DUMMYFUNCTION("""COMPUTED_VALUE"""),454.85)</f>
        <v>454.85</v>
      </c>
      <c r="C17" s="6">
        <f>IFERROR(__xludf.DUMMYFUNCTION("""COMPUTED_VALUE"""),475.35)</f>
        <v>475.35</v>
      </c>
      <c r="D17" s="6">
        <f>IFERROR(__xludf.DUMMYFUNCTION("""COMPUTED_VALUE"""),440.0)</f>
        <v>440</v>
      </c>
      <c r="E17" s="6">
        <f>IFERROR(__xludf.DUMMYFUNCTION("""COMPUTED_VALUE"""),459.65)</f>
        <v>459.65</v>
      </c>
      <c r="F17" s="6">
        <f>IFERROR(__xludf.DUMMYFUNCTION("""COMPUTED_VALUE"""),1.1676672E7)</f>
        <v>11676672</v>
      </c>
    </row>
    <row r="18">
      <c r="A18" s="7">
        <f>IFERROR(__xludf.DUMMYFUNCTION("""COMPUTED_VALUE"""),45282.64583333333)</f>
        <v>45282.64583</v>
      </c>
      <c r="B18" s="6">
        <f>IFERROR(__xludf.DUMMYFUNCTION("""COMPUTED_VALUE"""),463.75)</f>
        <v>463.75</v>
      </c>
      <c r="C18" s="6">
        <f>IFERROR(__xludf.DUMMYFUNCTION("""COMPUTED_VALUE"""),469.75)</f>
        <v>469.75</v>
      </c>
      <c r="D18" s="6">
        <f>IFERROR(__xludf.DUMMYFUNCTION("""COMPUTED_VALUE"""),436.05)</f>
        <v>436.05</v>
      </c>
      <c r="E18" s="6">
        <f>IFERROR(__xludf.DUMMYFUNCTION("""COMPUTED_VALUE"""),466.7)</f>
        <v>466.7</v>
      </c>
      <c r="F18" s="6">
        <f>IFERROR(__xludf.DUMMYFUNCTION("""COMPUTED_VALUE"""),1.0841219E7)</f>
        <v>10841219</v>
      </c>
    </row>
    <row r="19">
      <c r="A19" s="7">
        <f>IFERROR(__xludf.DUMMYFUNCTION("""COMPUTED_VALUE"""),45289.64583333333)</f>
        <v>45289.64583</v>
      </c>
      <c r="B19" s="6">
        <f>IFERROR(__xludf.DUMMYFUNCTION("""COMPUTED_VALUE"""),470.0)</f>
        <v>470</v>
      </c>
      <c r="C19" s="6">
        <f>IFERROR(__xludf.DUMMYFUNCTION("""COMPUTED_VALUE"""),473.0)</f>
        <v>473</v>
      </c>
      <c r="D19" s="6">
        <f>IFERROR(__xludf.DUMMYFUNCTION("""COMPUTED_VALUE"""),448.35)</f>
        <v>448.35</v>
      </c>
      <c r="E19" s="6">
        <f>IFERROR(__xludf.DUMMYFUNCTION("""COMPUTED_VALUE"""),454.4)</f>
        <v>454.4</v>
      </c>
      <c r="F19" s="6">
        <f>IFERROR(__xludf.DUMMYFUNCTION("""COMPUTED_VALUE"""),4511586.0)</f>
        <v>4511586</v>
      </c>
    </row>
    <row r="20">
      <c r="A20" s="7">
        <f>IFERROR(__xludf.DUMMYFUNCTION("""COMPUTED_VALUE"""),45296.64583333333)</f>
        <v>45296.64583</v>
      </c>
      <c r="B20" s="6">
        <f>IFERROR(__xludf.DUMMYFUNCTION("""COMPUTED_VALUE"""),458.7)</f>
        <v>458.7</v>
      </c>
      <c r="C20" s="6">
        <f>IFERROR(__xludf.DUMMYFUNCTION("""COMPUTED_VALUE"""),488.0)</f>
        <v>488</v>
      </c>
      <c r="D20" s="6">
        <f>IFERROR(__xludf.DUMMYFUNCTION("""COMPUTED_VALUE"""),445.0)</f>
        <v>445</v>
      </c>
      <c r="E20" s="6">
        <f>IFERROR(__xludf.DUMMYFUNCTION("""COMPUTED_VALUE"""),468.45)</f>
        <v>468.45</v>
      </c>
      <c r="F20" s="6">
        <f>IFERROR(__xludf.DUMMYFUNCTION("""COMPUTED_VALUE"""),1.169881E7)</f>
        <v>11698810</v>
      </c>
    </row>
    <row r="21">
      <c r="A21" s="7">
        <f>IFERROR(__xludf.DUMMYFUNCTION("""COMPUTED_VALUE"""),45303.64583333333)</f>
        <v>45303.64583</v>
      </c>
      <c r="B21" s="6">
        <f>IFERROR(__xludf.DUMMYFUNCTION("""COMPUTED_VALUE"""),471.0)</f>
        <v>471</v>
      </c>
      <c r="C21" s="6">
        <f>IFERROR(__xludf.DUMMYFUNCTION("""COMPUTED_VALUE"""),480.9)</f>
        <v>480.9</v>
      </c>
      <c r="D21" s="6">
        <f>IFERROR(__xludf.DUMMYFUNCTION("""COMPUTED_VALUE"""),459.0)</f>
        <v>459</v>
      </c>
      <c r="E21" s="6">
        <f>IFERROR(__xludf.DUMMYFUNCTION("""COMPUTED_VALUE"""),460.65)</f>
        <v>460.65</v>
      </c>
      <c r="F21" s="6">
        <f>IFERROR(__xludf.DUMMYFUNCTION("""COMPUTED_VALUE"""),6083264.0)</f>
        <v>6083264</v>
      </c>
    </row>
    <row r="22">
      <c r="A22" s="7">
        <f>IFERROR(__xludf.DUMMYFUNCTION("""COMPUTED_VALUE"""),45316.64583333333)</f>
        <v>45316.64583</v>
      </c>
      <c r="B22" s="6">
        <f>IFERROR(__xludf.DUMMYFUNCTION("""COMPUTED_VALUE"""),457.4)</f>
        <v>457.4</v>
      </c>
      <c r="C22" s="6">
        <f>IFERROR(__xludf.DUMMYFUNCTION("""COMPUTED_VALUE"""),472.0)</f>
        <v>472</v>
      </c>
      <c r="D22" s="6">
        <f>IFERROR(__xludf.DUMMYFUNCTION("""COMPUTED_VALUE"""),414.3)</f>
        <v>414.3</v>
      </c>
      <c r="E22" s="6">
        <f>IFERROR(__xludf.DUMMYFUNCTION("""COMPUTED_VALUE"""),463.1)</f>
        <v>463.1</v>
      </c>
      <c r="F22" s="6">
        <f>IFERROR(__xludf.DUMMYFUNCTION("""COMPUTED_VALUE"""),1.8861669E7)</f>
        <v>18861669</v>
      </c>
    </row>
    <row r="23">
      <c r="A23" s="7">
        <f>IFERROR(__xludf.DUMMYFUNCTION("""COMPUTED_VALUE"""),45324.64583333333)</f>
        <v>45324.64583</v>
      </c>
      <c r="B23" s="6">
        <f>IFERROR(__xludf.DUMMYFUNCTION("""COMPUTED_VALUE"""),470.0)</f>
        <v>470</v>
      </c>
      <c r="C23" s="6">
        <f>IFERROR(__xludf.DUMMYFUNCTION("""COMPUTED_VALUE"""),477.0)</f>
        <v>477</v>
      </c>
      <c r="D23" s="6">
        <f>IFERROR(__xludf.DUMMYFUNCTION("""COMPUTED_VALUE"""),447.0)</f>
        <v>447</v>
      </c>
      <c r="E23" s="6">
        <f>IFERROR(__xludf.DUMMYFUNCTION("""COMPUTED_VALUE"""),448.0)</f>
        <v>448</v>
      </c>
      <c r="F23" s="6">
        <f>IFERROR(__xludf.DUMMYFUNCTION("""COMPUTED_VALUE"""),9025001.0)</f>
        <v>9025001</v>
      </c>
    </row>
    <row r="24">
      <c r="A24" s="7">
        <f>IFERROR(__xludf.DUMMYFUNCTION("""COMPUTED_VALUE"""),45331.64583333333)</f>
        <v>45331.64583</v>
      </c>
      <c r="B24" s="6">
        <f>IFERROR(__xludf.DUMMYFUNCTION("""COMPUTED_VALUE"""),450.0)</f>
        <v>450</v>
      </c>
      <c r="C24" s="6">
        <f>IFERROR(__xludf.DUMMYFUNCTION("""COMPUTED_VALUE"""),450.0)</f>
        <v>450</v>
      </c>
      <c r="D24" s="6">
        <f>IFERROR(__xludf.DUMMYFUNCTION("""COMPUTED_VALUE"""),420.25)</f>
        <v>420.25</v>
      </c>
      <c r="E24" s="6">
        <f>IFERROR(__xludf.DUMMYFUNCTION("""COMPUTED_VALUE"""),432.45)</f>
        <v>432.45</v>
      </c>
      <c r="F24" s="6">
        <f>IFERROR(__xludf.DUMMYFUNCTION("""COMPUTED_VALUE"""),1.0585614E7)</f>
        <v>10585614</v>
      </c>
    </row>
    <row r="25">
      <c r="A25" s="7">
        <f>IFERROR(__xludf.DUMMYFUNCTION("""COMPUTED_VALUE"""),45338.64583333333)</f>
        <v>45338.64583</v>
      </c>
      <c r="B25" s="6">
        <f>IFERROR(__xludf.DUMMYFUNCTION("""COMPUTED_VALUE"""),439.0)</f>
        <v>439</v>
      </c>
      <c r="C25" s="6">
        <f>IFERROR(__xludf.DUMMYFUNCTION("""COMPUTED_VALUE"""),448.4)</f>
        <v>448.4</v>
      </c>
      <c r="D25" s="6">
        <f>IFERROR(__xludf.DUMMYFUNCTION("""COMPUTED_VALUE"""),423.3)</f>
        <v>423.3</v>
      </c>
      <c r="E25" s="6">
        <f>IFERROR(__xludf.DUMMYFUNCTION("""COMPUTED_VALUE"""),430.1)</f>
        <v>430.1</v>
      </c>
      <c r="F25" s="6">
        <f>IFERROR(__xludf.DUMMYFUNCTION("""COMPUTED_VALUE"""),1.240572E7)</f>
        <v>12405720</v>
      </c>
    </row>
    <row r="26">
      <c r="A26" s="7">
        <f>IFERROR(__xludf.DUMMYFUNCTION("""COMPUTED_VALUE"""),45345.64583333333)</f>
        <v>45345.64583</v>
      </c>
      <c r="B26" s="6">
        <f>IFERROR(__xludf.DUMMYFUNCTION("""COMPUTED_VALUE"""),430.9)</f>
        <v>430.9</v>
      </c>
      <c r="C26" s="6">
        <f>IFERROR(__xludf.DUMMYFUNCTION("""COMPUTED_VALUE"""),446.0)</f>
        <v>446</v>
      </c>
      <c r="D26" s="6">
        <f>IFERROR(__xludf.DUMMYFUNCTION("""COMPUTED_VALUE"""),421.95)</f>
        <v>421.95</v>
      </c>
      <c r="E26" s="6">
        <f>IFERROR(__xludf.DUMMYFUNCTION("""COMPUTED_VALUE"""),433.7)</f>
        <v>433.7</v>
      </c>
      <c r="F26" s="6">
        <f>IFERROR(__xludf.DUMMYFUNCTION("""COMPUTED_VALUE"""),9068333.0)</f>
        <v>9068333</v>
      </c>
    </row>
    <row r="27">
      <c r="A27" s="7">
        <f>IFERROR(__xludf.DUMMYFUNCTION("""COMPUTED_VALUE"""),45358.64583333333)</f>
        <v>45358.64583</v>
      </c>
      <c r="B27" s="6">
        <f>IFERROR(__xludf.DUMMYFUNCTION("""COMPUTED_VALUE"""),476.05)</f>
        <v>476.05</v>
      </c>
      <c r="C27" s="6">
        <f>IFERROR(__xludf.DUMMYFUNCTION("""COMPUTED_VALUE"""),479.8)</f>
        <v>479.8</v>
      </c>
      <c r="D27" s="6">
        <f>IFERROR(__xludf.DUMMYFUNCTION("""COMPUTED_VALUE"""),450.35)</f>
        <v>450.35</v>
      </c>
      <c r="E27" s="6">
        <f>IFERROR(__xludf.DUMMYFUNCTION("""COMPUTED_VALUE"""),457.65)</f>
        <v>457.65</v>
      </c>
      <c r="F27" s="6">
        <f>IFERROR(__xludf.DUMMYFUNCTION("""COMPUTED_VALUE"""),8505703.0)</f>
        <v>8505703</v>
      </c>
    </row>
    <row r="28">
      <c r="A28" s="7">
        <f>IFERROR(__xludf.DUMMYFUNCTION("""COMPUTED_VALUE"""),45366.64583333333)</f>
        <v>45366.64583</v>
      </c>
      <c r="B28" s="6">
        <f>IFERROR(__xludf.DUMMYFUNCTION("""COMPUTED_VALUE"""),465.85)</f>
        <v>465.85</v>
      </c>
      <c r="C28" s="6">
        <f>IFERROR(__xludf.DUMMYFUNCTION("""COMPUTED_VALUE"""),485.0)</f>
        <v>485</v>
      </c>
      <c r="D28" s="6">
        <f>IFERROR(__xludf.DUMMYFUNCTION("""COMPUTED_VALUE"""),449.4)</f>
        <v>449.4</v>
      </c>
      <c r="E28" s="6">
        <f>IFERROR(__xludf.DUMMYFUNCTION("""COMPUTED_VALUE"""),469.7)</f>
        <v>469.7</v>
      </c>
      <c r="F28" s="6">
        <f>IFERROR(__xludf.DUMMYFUNCTION("""COMPUTED_VALUE"""),2.3274747E7)</f>
        <v>23274747</v>
      </c>
    </row>
    <row r="29">
      <c r="A29" s="7">
        <f>IFERROR(__xludf.DUMMYFUNCTION("""COMPUTED_VALUE"""),45373.64583333333)</f>
        <v>45373.64583</v>
      </c>
      <c r="B29" s="6">
        <f>IFERROR(__xludf.DUMMYFUNCTION("""COMPUTED_VALUE"""),476.0)</f>
        <v>476</v>
      </c>
      <c r="C29" s="6">
        <f>IFERROR(__xludf.DUMMYFUNCTION("""COMPUTED_VALUE"""),549.95)</f>
        <v>549.95</v>
      </c>
      <c r="D29" s="6">
        <f>IFERROR(__xludf.DUMMYFUNCTION("""COMPUTED_VALUE"""),462.05)</f>
        <v>462.05</v>
      </c>
      <c r="E29" s="6">
        <f>IFERROR(__xludf.DUMMYFUNCTION("""COMPUTED_VALUE"""),535.95)</f>
        <v>535.95</v>
      </c>
      <c r="F29" s="6">
        <f>IFERROR(__xludf.DUMMYFUNCTION("""COMPUTED_VALUE"""),5.1626315E7)</f>
        <v>51626315</v>
      </c>
    </row>
    <row r="30">
      <c r="A30" s="7">
        <f>IFERROR(__xludf.DUMMYFUNCTION("""COMPUTED_VALUE"""),45379.64583333333)</f>
        <v>45379.64583</v>
      </c>
      <c r="B30" s="6">
        <f>IFERROR(__xludf.DUMMYFUNCTION("""COMPUTED_VALUE"""),528.0)</f>
        <v>528</v>
      </c>
      <c r="C30" s="6">
        <f>IFERROR(__xludf.DUMMYFUNCTION("""COMPUTED_VALUE"""),556.4)</f>
        <v>556.4</v>
      </c>
      <c r="D30" s="6">
        <f>IFERROR(__xludf.DUMMYFUNCTION("""COMPUTED_VALUE"""),526.5)</f>
        <v>526.5</v>
      </c>
      <c r="E30" s="6">
        <f>IFERROR(__xludf.DUMMYFUNCTION("""COMPUTED_VALUE"""),540.9)</f>
        <v>540.9</v>
      </c>
      <c r="F30" s="6">
        <f>IFERROR(__xludf.DUMMYFUNCTION("""COMPUTED_VALUE"""),1.4381115E7)</f>
        <v>14381115</v>
      </c>
    </row>
    <row r="31">
      <c r="A31" s="7">
        <f>IFERROR(__xludf.DUMMYFUNCTION("""COMPUTED_VALUE"""),45387.64583333333)</f>
        <v>45387.64583</v>
      </c>
      <c r="B31" s="6">
        <f>IFERROR(__xludf.DUMMYFUNCTION("""COMPUTED_VALUE"""),546.05)</f>
        <v>546.05</v>
      </c>
      <c r="C31" s="6">
        <f>IFERROR(__xludf.DUMMYFUNCTION("""COMPUTED_VALUE"""),555.3)</f>
        <v>555.3</v>
      </c>
      <c r="D31" s="6">
        <f>IFERROR(__xludf.DUMMYFUNCTION("""COMPUTED_VALUE"""),505.55)</f>
        <v>505.55</v>
      </c>
      <c r="E31" s="6">
        <f>IFERROR(__xludf.DUMMYFUNCTION("""COMPUTED_VALUE"""),514.45)</f>
        <v>514.45</v>
      </c>
      <c r="F31" s="6">
        <f>IFERROR(__xludf.DUMMYFUNCTION("""COMPUTED_VALUE"""),1.882588E7)</f>
        <v>18825880</v>
      </c>
    </row>
    <row r="32">
      <c r="A32" s="7">
        <f>IFERROR(__xludf.DUMMYFUNCTION("""COMPUTED_VALUE"""),45394.64583333333)</f>
        <v>45394.64583</v>
      </c>
      <c r="B32" s="6">
        <f>IFERROR(__xludf.DUMMYFUNCTION("""COMPUTED_VALUE"""),518.05)</f>
        <v>518.05</v>
      </c>
      <c r="C32" s="6">
        <f>IFERROR(__xludf.DUMMYFUNCTION("""COMPUTED_VALUE"""),518.7)</f>
        <v>518.7</v>
      </c>
      <c r="D32" s="6">
        <f>IFERROR(__xludf.DUMMYFUNCTION("""COMPUTED_VALUE"""),492.0)</f>
        <v>492</v>
      </c>
      <c r="E32" s="6">
        <f>IFERROR(__xludf.DUMMYFUNCTION("""COMPUTED_VALUE"""),494.25)</f>
        <v>494.25</v>
      </c>
      <c r="F32" s="6">
        <f>IFERROR(__xludf.DUMMYFUNCTION("""COMPUTED_VALUE"""),1.0329551E7)</f>
        <v>10329551</v>
      </c>
    </row>
    <row r="33">
      <c r="A33" s="7">
        <f>IFERROR(__xludf.DUMMYFUNCTION("""COMPUTED_VALUE"""),45401.64583333333)</f>
        <v>45401.64583</v>
      </c>
      <c r="B33" s="6">
        <f>IFERROR(__xludf.DUMMYFUNCTION("""COMPUTED_VALUE"""),482.0)</f>
        <v>482</v>
      </c>
      <c r="C33" s="6">
        <f>IFERROR(__xludf.DUMMYFUNCTION("""COMPUTED_VALUE"""),536.4)</f>
        <v>536.4</v>
      </c>
      <c r="D33" s="6">
        <f>IFERROR(__xludf.DUMMYFUNCTION("""COMPUTED_VALUE"""),479.25)</f>
        <v>479.25</v>
      </c>
      <c r="E33" s="6">
        <f>IFERROR(__xludf.DUMMYFUNCTION("""COMPUTED_VALUE"""),533.9)</f>
        <v>533.9</v>
      </c>
      <c r="F33" s="6">
        <f>IFERROR(__xludf.DUMMYFUNCTION("""COMPUTED_VALUE"""),1.5643648E7)</f>
        <v>15643648</v>
      </c>
    </row>
    <row r="34">
      <c r="A34" s="7">
        <f>IFERROR(__xludf.DUMMYFUNCTION("""COMPUTED_VALUE"""),45408.64583333333)</f>
        <v>45408.64583</v>
      </c>
      <c r="B34" s="6">
        <f>IFERROR(__xludf.DUMMYFUNCTION("""COMPUTED_VALUE"""),538.0)</f>
        <v>538</v>
      </c>
      <c r="C34" s="6">
        <f>IFERROR(__xludf.DUMMYFUNCTION("""COMPUTED_VALUE"""),564.0)</f>
        <v>564</v>
      </c>
      <c r="D34" s="6">
        <f>IFERROR(__xludf.DUMMYFUNCTION("""COMPUTED_VALUE"""),530.0)</f>
        <v>530</v>
      </c>
      <c r="E34" s="6">
        <f>IFERROR(__xludf.DUMMYFUNCTION("""COMPUTED_VALUE"""),557.6)</f>
        <v>557.6</v>
      </c>
      <c r="F34" s="6">
        <f>IFERROR(__xludf.DUMMYFUNCTION("""COMPUTED_VALUE"""),1.230289E7)</f>
        <v>12302890</v>
      </c>
    </row>
    <row r="35">
      <c r="A35" s="7">
        <f>IFERROR(__xludf.DUMMYFUNCTION("""COMPUTED_VALUE"""),45415.64583333333)</f>
        <v>45415.64583</v>
      </c>
      <c r="B35" s="6">
        <f>IFERROR(__xludf.DUMMYFUNCTION("""COMPUTED_VALUE"""),563.35)</f>
        <v>563.35</v>
      </c>
      <c r="C35" s="6">
        <f>IFERROR(__xludf.DUMMYFUNCTION("""COMPUTED_VALUE"""),565.5)</f>
        <v>565.5</v>
      </c>
      <c r="D35" s="6">
        <f>IFERROR(__xludf.DUMMYFUNCTION("""COMPUTED_VALUE"""),546.05)</f>
        <v>546.05</v>
      </c>
      <c r="E35" s="6">
        <f>IFERROR(__xludf.DUMMYFUNCTION("""COMPUTED_VALUE"""),548.2)</f>
        <v>548.2</v>
      </c>
      <c r="F35" s="6">
        <f>IFERROR(__xludf.DUMMYFUNCTION("""COMPUTED_VALUE"""),6825811.0)</f>
        <v>6825811</v>
      </c>
    </row>
    <row r="36">
      <c r="A36" s="7">
        <f>IFERROR(__xludf.DUMMYFUNCTION("""COMPUTED_VALUE"""),45422.64583333333)</f>
        <v>45422.64583</v>
      </c>
      <c r="B36" s="6">
        <f>IFERROR(__xludf.DUMMYFUNCTION("""COMPUTED_VALUE"""),553.0)</f>
        <v>553</v>
      </c>
      <c r="C36" s="6">
        <f>IFERROR(__xludf.DUMMYFUNCTION("""COMPUTED_VALUE"""),585.0)</f>
        <v>585</v>
      </c>
      <c r="D36" s="6">
        <f>IFERROR(__xludf.DUMMYFUNCTION("""COMPUTED_VALUE"""),530.65)</f>
        <v>530.65</v>
      </c>
      <c r="E36" s="6">
        <f>IFERROR(__xludf.DUMMYFUNCTION("""COMPUTED_VALUE"""),580.0)</f>
        <v>580</v>
      </c>
      <c r="F36" s="6">
        <f>IFERROR(__xludf.DUMMYFUNCTION("""COMPUTED_VALUE"""),2.8128374E7)</f>
        <v>28128374</v>
      </c>
    </row>
    <row r="37">
      <c r="A37" s="7">
        <f>IFERROR(__xludf.DUMMYFUNCTION("""COMPUTED_VALUE"""),45436.64583333333)</f>
        <v>45436.64583</v>
      </c>
      <c r="B37" s="6">
        <f>IFERROR(__xludf.DUMMYFUNCTION("""COMPUTED_VALUE"""),665.0)</f>
        <v>665</v>
      </c>
      <c r="C37" s="6">
        <f>IFERROR(__xludf.DUMMYFUNCTION("""COMPUTED_VALUE"""),668.0)</f>
        <v>668</v>
      </c>
      <c r="D37" s="6">
        <f>IFERROR(__xludf.DUMMYFUNCTION("""COMPUTED_VALUE"""),622.05)</f>
        <v>622.05</v>
      </c>
      <c r="E37" s="6">
        <f>IFERROR(__xludf.DUMMYFUNCTION("""COMPUTED_VALUE"""),647.2)</f>
        <v>647.2</v>
      </c>
      <c r="F37" s="6">
        <f>IFERROR(__xludf.DUMMYFUNCTION("""COMPUTED_VALUE"""),1.7308413E7)</f>
        <v>17308413</v>
      </c>
    </row>
    <row r="38">
      <c r="A38" s="7">
        <f>IFERROR(__xludf.DUMMYFUNCTION("""COMPUTED_VALUE"""),45443.64583333333)</f>
        <v>45443.64583</v>
      </c>
      <c r="B38" s="6">
        <f>IFERROR(__xludf.DUMMYFUNCTION("""COMPUTED_VALUE"""),654.45)</f>
        <v>654.45</v>
      </c>
      <c r="C38" s="6">
        <f>IFERROR(__xludf.DUMMYFUNCTION("""COMPUTED_VALUE"""),664.2)</f>
        <v>664.2</v>
      </c>
      <c r="D38" s="6">
        <f>IFERROR(__xludf.DUMMYFUNCTION("""COMPUTED_VALUE"""),618.2)</f>
        <v>618.2</v>
      </c>
      <c r="E38" s="6">
        <f>IFERROR(__xludf.DUMMYFUNCTION("""COMPUTED_VALUE"""),643.45)</f>
        <v>643.45</v>
      </c>
      <c r="F38" s="6">
        <f>IFERROR(__xludf.DUMMYFUNCTION("""COMPUTED_VALUE"""),1.9014714E7)</f>
        <v>19014714</v>
      </c>
    </row>
    <row r="39">
      <c r="A39" s="7">
        <f>IFERROR(__xludf.DUMMYFUNCTION("""COMPUTED_VALUE"""),45450.64583333333)</f>
        <v>45450.64583</v>
      </c>
      <c r="B39" s="6">
        <f>IFERROR(__xludf.DUMMYFUNCTION("""COMPUTED_VALUE"""),700.0)</f>
        <v>700</v>
      </c>
      <c r="C39" s="6">
        <f>IFERROR(__xludf.DUMMYFUNCTION("""COMPUTED_VALUE"""),700.0)</f>
        <v>700</v>
      </c>
      <c r="D39" s="6">
        <f>IFERROR(__xludf.DUMMYFUNCTION("""COMPUTED_VALUE"""),549.0)</f>
        <v>549</v>
      </c>
      <c r="E39" s="6">
        <f>IFERROR(__xludf.DUMMYFUNCTION("""COMPUTED_VALUE"""),663.55)</f>
        <v>663.55</v>
      </c>
      <c r="F39" s="6">
        <f>IFERROR(__xludf.DUMMYFUNCTION("""COMPUTED_VALUE"""),3.2590411E7)</f>
        <v>32590411</v>
      </c>
    </row>
    <row r="40">
      <c r="A40" s="7">
        <f>IFERROR(__xludf.DUMMYFUNCTION("""COMPUTED_VALUE"""),45457.64583333333)</f>
        <v>45457.64583</v>
      </c>
      <c r="B40" s="6">
        <f>IFERROR(__xludf.DUMMYFUNCTION("""COMPUTED_VALUE"""),667.0)</f>
        <v>667</v>
      </c>
      <c r="C40" s="6">
        <f>IFERROR(__xludf.DUMMYFUNCTION("""COMPUTED_VALUE"""),694.7)</f>
        <v>694.7</v>
      </c>
      <c r="D40" s="6">
        <f>IFERROR(__xludf.DUMMYFUNCTION("""COMPUTED_VALUE"""),652.0)</f>
        <v>652</v>
      </c>
      <c r="E40" s="6">
        <f>IFERROR(__xludf.DUMMYFUNCTION("""COMPUTED_VALUE"""),688.8)</f>
        <v>688.8</v>
      </c>
      <c r="F40" s="6">
        <f>IFERROR(__xludf.DUMMYFUNCTION("""COMPUTED_VALUE"""),1.1399199E7)</f>
        <v>11399199</v>
      </c>
    </row>
    <row r="41">
      <c r="A41" s="7">
        <f>IFERROR(__xludf.DUMMYFUNCTION("""COMPUTED_VALUE"""),45464.64583333333)</f>
        <v>45464.64583</v>
      </c>
      <c r="B41" s="6">
        <f>IFERROR(__xludf.DUMMYFUNCTION("""COMPUTED_VALUE"""),694.0)</f>
        <v>694</v>
      </c>
      <c r="C41" s="6">
        <f>IFERROR(__xludf.DUMMYFUNCTION("""COMPUTED_VALUE"""),698.4)</f>
        <v>698.4</v>
      </c>
      <c r="D41" s="6">
        <f>IFERROR(__xludf.DUMMYFUNCTION("""COMPUTED_VALUE"""),668.05)</f>
        <v>668.05</v>
      </c>
      <c r="E41" s="6">
        <f>IFERROR(__xludf.DUMMYFUNCTION("""COMPUTED_VALUE"""),680.3)</f>
        <v>680.3</v>
      </c>
      <c r="F41" s="6">
        <f>IFERROR(__xludf.DUMMYFUNCTION("""COMPUTED_VALUE"""),8216062.0)</f>
        <v>8216062</v>
      </c>
    </row>
    <row r="42">
      <c r="A42" s="7">
        <f>IFERROR(__xludf.DUMMYFUNCTION("""COMPUTED_VALUE"""),45471.64583333333)</f>
        <v>45471.64583</v>
      </c>
      <c r="B42" s="6">
        <f>IFERROR(__xludf.DUMMYFUNCTION("""COMPUTED_VALUE"""),675.15)</f>
        <v>675.15</v>
      </c>
      <c r="C42" s="6">
        <f>IFERROR(__xludf.DUMMYFUNCTION("""COMPUTED_VALUE"""),735.0)</f>
        <v>735</v>
      </c>
      <c r="D42" s="6">
        <f>IFERROR(__xludf.DUMMYFUNCTION("""COMPUTED_VALUE"""),671.7)</f>
        <v>671.7</v>
      </c>
      <c r="E42" s="6">
        <f>IFERROR(__xludf.DUMMYFUNCTION("""COMPUTED_VALUE"""),704.7)</f>
        <v>704.7</v>
      </c>
      <c r="F42" s="6">
        <f>IFERROR(__xludf.DUMMYFUNCTION("""COMPUTED_VALUE"""),2.0294045E7)</f>
        <v>20294045</v>
      </c>
    </row>
    <row r="43">
      <c r="A43" s="7">
        <f>IFERROR(__xludf.DUMMYFUNCTION("""COMPUTED_VALUE"""),45478.64583333333)</f>
        <v>45478.64583</v>
      </c>
      <c r="B43" s="6">
        <f>IFERROR(__xludf.DUMMYFUNCTION("""COMPUTED_VALUE"""),708.0)</f>
        <v>708</v>
      </c>
      <c r="C43" s="6">
        <f>IFERROR(__xludf.DUMMYFUNCTION("""COMPUTED_VALUE"""),782.35)</f>
        <v>782.35</v>
      </c>
      <c r="D43" s="6">
        <f>IFERROR(__xludf.DUMMYFUNCTION("""COMPUTED_VALUE"""),696.3)</f>
        <v>696.3</v>
      </c>
      <c r="E43" s="6">
        <f>IFERROR(__xludf.DUMMYFUNCTION("""COMPUTED_VALUE"""),772.2)</f>
        <v>772.2</v>
      </c>
      <c r="F43" s="6">
        <f>IFERROR(__xludf.DUMMYFUNCTION("""COMPUTED_VALUE"""),1.4122184E7)</f>
        <v>14122184</v>
      </c>
    </row>
    <row r="44">
      <c r="A44" s="7">
        <f>IFERROR(__xludf.DUMMYFUNCTION("""COMPUTED_VALUE"""),45485.64583333333)</f>
        <v>45485.64583</v>
      </c>
      <c r="B44" s="6">
        <f>IFERROR(__xludf.DUMMYFUNCTION("""COMPUTED_VALUE"""),782.4)</f>
        <v>782.4</v>
      </c>
      <c r="C44" s="6">
        <f>IFERROR(__xludf.DUMMYFUNCTION("""COMPUTED_VALUE"""),783.75)</f>
        <v>783.75</v>
      </c>
      <c r="D44" s="6">
        <f>IFERROR(__xludf.DUMMYFUNCTION("""COMPUTED_VALUE"""),716.9)</f>
        <v>716.9</v>
      </c>
      <c r="E44" s="6">
        <f>IFERROR(__xludf.DUMMYFUNCTION("""COMPUTED_VALUE"""),726.65)</f>
        <v>726.65</v>
      </c>
      <c r="F44" s="6">
        <f>IFERROR(__xludf.DUMMYFUNCTION("""COMPUTED_VALUE"""),1.1796057E7)</f>
        <v>11796057</v>
      </c>
    </row>
    <row r="45">
      <c r="A45" s="7">
        <f>IFERROR(__xludf.DUMMYFUNCTION("""COMPUTED_VALUE"""),45492.64583333333)</f>
        <v>45492.64583</v>
      </c>
      <c r="B45" s="6">
        <f>IFERROR(__xludf.DUMMYFUNCTION("""COMPUTED_VALUE"""),732.0)</f>
        <v>732</v>
      </c>
      <c r="C45" s="6">
        <f>IFERROR(__xludf.DUMMYFUNCTION("""COMPUTED_VALUE"""),737.8)</f>
        <v>737.8</v>
      </c>
      <c r="D45" s="6">
        <f>IFERROR(__xludf.DUMMYFUNCTION("""COMPUTED_VALUE"""),651.35)</f>
        <v>651.35</v>
      </c>
      <c r="E45" s="6">
        <f>IFERROR(__xludf.DUMMYFUNCTION("""COMPUTED_VALUE"""),675.65)</f>
        <v>675.65</v>
      </c>
      <c r="F45" s="6">
        <f>IFERROR(__xludf.DUMMYFUNCTION("""COMPUTED_VALUE"""),1.4597503E7)</f>
        <v>14597503</v>
      </c>
    </row>
    <row r="46">
      <c r="A46" s="7">
        <f>IFERROR(__xludf.DUMMYFUNCTION("""COMPUTED_VALUE"""),45499.64583333333)</f>
        <v>45499.64583</v>
      </c>
      <c r="B46" s="6">
        <f>IFERROR(__xludf.DUMMYFUNCTION("""COMPUTED_VALUE"""),675.0)</f>
        <v>675</v>
      </c>
      <c r="C46" s="6">
        <f>IFERROR(__xludf.DUMMYFUNCTION("""COMPUTED_VALUE"""),742.0)</f>
        <v>742</v>
      </c>
      <c r="D46" s="6">
        <f>IFERROR(__xludf.DUMMYFUNCTION("""COMPUTED_VALUE"""),645.0)</f>
        <v>645</v>
      </c>
      <c r="E46" s="6">
        <f>IFERROR(__xludf.DUMMYFUNCTION("""COMPUTED_VALUE"""),732.35)</f>
        <v>732.35</v>
      </c>
      <c r="F46" s="6">
        <f>IFERROR(__xludf.DUMMYFUNCTION("""COMPUTED_VALUE"""),2.3462112E7)</f>
        <v>23462112</v>
      </c>
    </row>
    <row r="47">
      <c r="A47" s="7">
        <f>IFERROR(__xludf.DUMMYFUNCTION("""COMPUTED_VALUE"""),45506.64583333333)</f>
        <v>45506.64583</v>
      </c>
      <c r="B47" s="6">
        <f>IFERROR(__xludf.DUMMYFUNCTION("""COMPUTED_VALUE"""),736.1)</f>
        <v>736.1</v>
      </c>
      <c r="C47" s="6">
        <f>IFERROR(__xludf.DUMMYFUNCTION("""COMPUTED_VALUE"""),750.7)</f>
        <v>750.7</v>
      </c>
      <c r="D47" s="6">
        <f>IFERROR(__xludf.DUMMYFUNCTION("""COMPUTED_VALUE"""),706.2)</f>
        <v>706.2</v>
      </c>
      <c r="E47" s="6">
        <f>IFERROR(__xludf.DUMMYFUNCTION("""COMPUTED_VALUE"""),731.65)</f>
        <v>731.65</v>
      </c>
      <c r="F47" s="6">
        <f>IFERROR(__xludf.DUMMYFUNCTION("""COMPUTED_VALUE"""),8130552.0)</f>
        <v>8130552</v>
      </c>
    </row>
    <row r="48">
      <c r="A48" s="7">
        <f>IFERROR(__xludf.DUMMYFUNCTION("""COMPUTED_VALUE"""),45513.64583333333)</f>
        <v>45513.64583</v>
      </c>
      <c r="B48" s="6">
        <f>IFERROR(__xludf.DUMMYFUNCTION("""COMPUTED_VALUE"""),690.75)</f>
        <v>690.75</v>
      </c>
      <c r="C48" s="6">
        <f>IFERROR(__xludf.DUMMYFUNCTION("""COMPUTED_VALUE"""),724.0)</f>
        <v>724</v>
      </c>
      <c r="D48" s="6">
        <f>IFERROR(__xludf.DUMMYFUNCTION("""COMPUTED_VALUE"""),665.55)</f>
        <v>665.55</v>
      </c>
      <c r="E48" s="6">
        <f>IFERROR(__xludf.DUMMYFUNCTION("""COMPUTED_VALUE"""),713.2)</f>
        <v>713.2</v>
      </c>
      <c r="F48" s="6">
        <f>IFERROR(__xludf.DUMMYFUNCTION("""COMPUTED_VALUE"""),1.3910662E7)</f>
        <v>13910662</v>
      </c>
    </row>
    <row r="49">
      <c r="A49" s="7">
        <f>IFERROR(__xludf.DUMMYFUNCTION("""COMPUTED_VALUE"""),45520.64583333333)</f>
        <v>45520.64583</v>
      </c>
      <c r="B49" s="6">
        <f>IFERROR(__xludf.DUMMYFUNCTION("""COMPUTED_VALUE"""),711.0)</f>
        <v>711</v>
      </c>
      <c r="C49" s="6">
        <f>IFERROR(__xludf.DUMMYFUNCTION("""COMPUTED_VALUE"""),717.5)</f>
        <v>717.5</v>
      </c>
      <c r="D49" s="6">
        <f>IFERROR(__xludf.DUMMYFUNCTION("""COMPUTED_VALUE"""),685.5)</f>
        <v>685.5</v>
      </c>
      <c r="E49" s="6">
        <f>IFERROR(__xludf.DUMMYFUNCTION("""COMPUTED_VALUE"""),715.45)</f>
        <v>715.45</v>
      </c>
      <c r="F49" s="6">
        <f>IFERROR(__xludf.DUMMYFUNCTION("""COMPUTED_VALUE"""),5537145.0)</f>
        <v>5537145</v>
      </c>
    </row>
    <row r="50">
      <c r="A50" s="7">
        <f>IFERROR(__xludf.DUMMYFUNCTION("""COMPUTED_VALUE"""),45527.64583333333)</f>
        <v>45527.64583</v>
      </c>
      <c r="B50" s="6">
        <f>IFERROR(__xludf.DUMMYFUNCTION("""COMPUTED_VALUE"""),722.0)</f>
        <v>722</v>
      </c>
      <c r="C50" s="6">
        <f>IFERROR(__xludf.DUMMYFUNCTION("""COMPUTED_VALUE"""),758.8)</f>
        <v>758.8</v>
      </c>
      <c r="D50" s="6">
        <f>IFERROR(__xludf.DUMMYFUNCTION("""COMPUTED_VALUE"""),705.65)</f>
        <v>705.65</v>
      </c>
      <c r="E50" s="6">
        <f>IFERROR(__xludf.DUMMYFUNCTION("""COMPUTED_VALUE"""),750.2)</f>
        <v>750.2</v>
      </c>
      <c r="F50" s="6">
        <f>IFERROR(__xludf.DUMMYFUNCTION("""COMPUTED_VALUE"""),1.0589607E7)</f>
        <v>10589607</v>
      </c>
    </row>
    <row r="51">
      <c r="A51" s="7">
        <f>IFERROR(__xludf.DUMMYFUNCTION("""COMPUTED_VALUE"""),45534.64583333333)</f>
        <v>45534.64583</v>
      </c>
      <c r="B51" s="6">
        <f>IFERROR(__xludf.DUMMYFUNCTION("""COMPUTED_VALUE"""),755.45)</f>
        <v>755.45</v>
      </c>
      <c r="C51" s="6">
        <f>IFERROR(__xludf.DUMMYFUNCTION("""COMPUTED_VALUE"""),764.9)</f>
        <v>764.9</v>
      </c>
      <c r="D51" s="6">
        <f>IFERROR(__xludf.DUMMYFUNCTION("""COMPUTED_VALUE"""),691.5)</f>
        <v>691.5</v>
      </c>
      <c r="E51" s="6">
        <f>IFERROR(__xludf.DUMMYFUNCTION("""COMPUTED_VALUE"""),696.1)</f>
        <v>696.1</v>
      </c>
      <c r="F51" s="6">
        <f>IFERROR(__xludf.DUMMYFUNCTION("""COMPUTED_VALUE"""),8733391.0)</f>
        <v>8733391</v>
      </c>
    </row>
    <row r="52">
      <c r="A52" s="7">
        <f>IFERROR(__xludf.DUMMYFUNCTION("""COMPUTED_VALUE"""),45541.64583333333)</f>
        <v>45541.64583</v>
      </c>
      <c r="B52" s="6">
        <f>IFERROR(__xludf.DUMMYFUNCTION("""COMPUTED_VALUE"""),699.0)</f>
        <v>699</v>
      </c>
      <c r="C52" s="6">
        <f>IFERROR(__xludf.DUMMYFUNCTION("""COMPUTED_VALUE"""),705.0)</f>
        <v>705</v>
      </c>
      <c r="D52" s="6">
        <f>IFERROR(__xludf.DUMMYFUNCTION("""COMPUTED_VALUE"""),671.05)</f>
        <v>671.05</v>
      </c>
      <c r="E52" s="6">
        <f>IFERROR(__xludf.DUMMYFUNCTION("""COMPUTED_VALUE"""),673.55)</f>
        <v>673.55</v>
      </c>
      <c r="F52" s="6">
        <f>IFERROR(__xludf.DUMMYFUNCTION("""COMPUTED_VALUE"""),8155858.0)</f>
        <v>8155858</v>
      </c>
    </row>
    <row r="53">
      <c r="A53" s="7">
        <f>IFERROR(__xludf.DUMMYFUNCTION("""COMPUTED_VALUE"""),45548.64583333333)</f>
        <v>45548.64583</v>
      </c>
      <c r="B53" s="6">
        <f>IFERROR(__xludf.DUMMYFUNCTION("""COMPUTED_VALUE"""),675.9)</f>
        <v>675.9</v>
      </c>
      <c r="C53" s="6">
        <f>IFERROR(__xludf.DUMMYFUNCTION("""COMPUTED_VALUE"""),739.0)</f>
        <v>739</v>
      </c>
      <c r="D53" s="6">
        <f>IFERROR(__xludf.DUMMYFUNCTION("""COMPUTED_VALUE"""),658.75)</f>
        <v>658.75</v>
      </c>
      <c r="E53" s="6">
        <f>IFERROR(__xludf.DUMMYFUNCTION("""COMPUTED_VALUE"""),713.7)</f>
        <v>713.7</v>
      </c>
      <c r="F53" s="6">
        <f>IFERROR(__xludf.DUMMYFUNCTION("""COMPUTED_VALUE"""),1.9700278E7)</f>
        <v>19700278</v>
      </c>
    </row>
    <row r="54">
      <c r="A54" s="7">
        <f>IFERROR(__xludf.DUMMYFUNCTION("""COMPUTED_VALUE"""),45555.64583333333)</f>
        <v>45555.64583</v>
      </c>
      <c r="B54" s="6">
        <f>IFERROR(__xludf.DUMMYFUNCTION("""COMPUTED_VALUE"""),717.95)</f>
        <v>717.95</v>
      </c>
      <c r="C54" s="6">
        <f>IFERROR(__xludf.DUMMYFUNCTION("""COMPUTED_VALUE"""),752.0)</f>
        <v>752</v>
      </c>
      <c r="D54" s="6">
        <f>IFERROR(__xludf.DUMMYFUNCTION("""COMPUTED_VALUE"""),711.55)</f>
        <v>711.55</v>
      </c>
      <c r="E54" s="6">
        <f>IFERROR(__xludf.DUMMYFUNCTION("""COMPUTED_VALUE"""),746.5)</f>
        <v>746.5</v>
      </c>
      <c r="F54" s="6">
        <f>IFERROR(__xludf.DUMMYFUNCTION("""COMPUTED_VALUE"""),1.2615075E7)</f>
        <v>12615075</v>
      </c>
    </row>
    <row r="55">
      <c r="A55" s="7">
        <f>IFERROR(__xludf.DUMMYFUNCTION("""COMPUTED_VALUE"""),45562.64583333333)</f>
        <v>45562.64583</v>
      </c>
      <c r="B55" s="6">
        <f>IFERROR(__xludf.DUMMYFUNCTION("""COMPUTED_VALUE"""),749.25)</f>
        <v>749.25</v>
      </c>
      <c r="C55" s="6">
        <f>IFERROR(__xludf.DUMMYFUNCTION("""COMPUTED_VALUE"""),814.4)</f>
        <v>814.4</v>
      </c>
      <c r="D55" s="6">
        <f>IFERROR(__xludf.DUMMYFUNCTION("""COMPUTED_VALUE"""),743.1)</f>
        <v>743.1</v>
      </c>
      <c r="E55" s="6">
        <f>IFERROR(__xludf.DUMMYFUNCTION("""COMPUTED_VALUE"""),761.75)</f>
        <v>761.75</v>
      </c>
      <c r="F55" s="6">
        <f>IFERROR(__xludf.DUMMYFUNCTION("""COMPUTED_VALUE"""),1.7364164E7)</f>
        <v>17364164</v>
      </c>
    </row>
    <row r="56">
      <c r="A56" s="7">
        <f>IFERROR(__xludf.DUMMYFUNCTION("""COMPUTED_VALUE"""),45569.64583333333)</f>
        <v>45569.64583</v>
      </c>
      <c r="B56" s="6">
        <f>IFERROR(__xludf.DUMMYFUNCTION("""COMPUTED_VALUE"""),765.9)</f>
        <v>765.9</v>
      </c>
      <c r="C56" s="6">
        <f>IFERROR(__xludf.DUMMYFUNCTION("""COMPUTED_VALUE"""),771.95)</f>
        <v>771.95</v>
      </c>
      <c r="D56" s="6">
        <f>IFERROR(__xludf.DUMMYFUNCTION("""COMPUTED_VALUE"""),715.75)</f>
        <v>715.75</v>
      </c>
      <c r="E56" s="6">
        <f>IFERROR(__xludf.DUMMYFUNCTION("""COMPUTED_VALUE"""),718.75)</f>
        <v>718.75</v>
      </c>
      <c r="F56" s="6">
        <f>IFERROR(__xludf.DUMMYFUNCTION("""COMPUTED_VALUE"""),7596049.0)</f>
        <v>7596049</v>
      </c>
    </row>
    <row r="57">
      <c r="A57" s="7">
        <f>IFERROR(__xludf.DUMMYFUNCTION("""COMPUTED_VALUE"""),45576.64583333333)</f>
        <v>45576.64583</v>
      </c>
      <c r="B57" s="6">
        <f>IFERROR(__xludf.DUMMYFUNCTION("""COMPUTED_VALUE"""),718.0)</f>
        <v>718</v>
      </c>
      <c r="C57" s="6">
        <f>IFERROR(__xludf.DUMMYFUNCTION("""COMPUTED_VALUE"""),874.7)</f>
        <v>874.7</v>
      </c>
      <c r="D57" s="6">
        <f>IFERROR(__xludf.DUMMYFUNCTION("""COMPUTED_VALUE"""),709.05)</f>
        <v>709.05</v>
      </c>
      <c r="E57" s="6">
        <f>IFERROR(__xludf.DUMMYFUNCTION("""COMPUTED_VALUE"""),858.15)</f>
        <v>858.15</v>
      </c>
      <c r="F57" s="6">
        <f>IFERROR(__xludf.DUMMYFUNCTION("""COMPUTED_VALUE"""),3.1275509E7)</f>
        <v>31275509</v>
      </c>
    </row>
    <row r="58">
      <c r="A58" s="7">
        <f>IFERROR(__xludf.DUMMYFUNCTION("""COMPUTED_VALUE"""),45583.64583333333)</f>
        <v>45583.64583</v>
      </c>
      <c r="B58" s="6">
        <f>IFERROR(__xludf.DUMMYFUNCTION("""COMPUTED_VALUE"""),858.15)</f>
        <v>858.15</v>
      </c>
      <c r="C58" s="6">
        <f>IFERROR(__xludf.DUMMYFUNCTION("""COMPUTED_VALUE"""),866.15)</f>
        <v>866.15</v>
      </c>
      <c r="D58" s="6">
        <f>IFERROR(__xludf.DUMMYFUNCTION("""COMPUTED_VALUE"""),815.0)</f>
        <v>815</v>
      </c>
      <c r="E58" s="6">
        <f>IFERROR(__xludf.DUMMYFUNCTION("""COMPUTED_VALUE"""),819.0)</f>
        <v>819</v>
      </c>
      <c r="F58" s="6">
        <f>IFERROR(__xludf.DUMMYFUNCTION("""COMPUTED_VALUE"""),1.509541E7)</f>
        <v>15095410</v>
      </c>
    </row>
    <row r="59">
      <c r="A59" s="7">
        <f>IFERROR(__xludf.DUMMYFUNCTION("""COMPUTED_VALUE"""),45590.64583333333)</f>
        <v>45590.64583</v>
      </c>
      <c r="B59" s="6">
        <f>IFERROR(__xludf.DUMMYFUNCTION("""COMPUTED_VALUE"""),825.0)</f>
        <v>825</v>
      </c>
      <c r="C59" s="6">
        <f>IFERROR(__xludf.DUMMYFUNCTION("""COMPUTED_VALUE"""),857.7)</f>
        <v>857.7</v>
      </c>
      <c r="D59" s="6">
        <f>IFERROR(__xludf.DUMMYFUNCTION("""COMPUTED_VALUE"""),714.3)</f>
        <v>714.3</v>
      </c>
      <c r="E59" s="6">
        <f>IFERROR(__xludf.DUMMYFUNCTION("""COMPUTED_VALUE"""),743.5)</f>
        <v>743.5</v>
      </c>
      <c r="F59" s="6">
        <f>IFERROR(__xludf.DUMMYFUNCTION("""COMPUTED_VALUE"""),3.0406116E7)</f>
        <v>30406116</v>
      </c>
    </row>
    <row r="60">
      <c r="A60" s="7">
        <f>IFERROR(__xludf.DUMMYFUNCTION("""COMPUTED_VALUE"""),45604.64583333333)</f>
        <v>45604.64583</v>
      </c>
      <c r="B60" s="6">
        <f>IFERROR(__xludf.DUMMYFUNCTION("""COMPUTED_VALUE"""),721.0)</f>
        <v>721</v>
      </c>
      <c r="C60" s="6">
        <f>IFERROR(__xludf.DUMMYFUNCTION("""COMPUTED_VALUE"""),750.0)</f>
        <v>750</v>
      </c>
      <c r="D60" s="6">
        <f>IFERROR(__xludf.DUMMYFUNCTION("""COMPUTED_VALUE"""),702.65)</f>
        <v>702.65</v>
      </c>
      <c r="E60" s="6">
        <f>IFERROR(__xludf.DUMMYFUNCTION("""COMPUTED_VALUE"""),716.25)</f>
        <v>716.25</v>
      </c>
      <c r="F60" s="6">
        <f>IFERROR(__xludf.DUMMYFUNCTION("""COMPUTED_VALUE"""),1.1369563E7)</f>
        <v>11369563</v>
      </c>
    </row>
    <row r="61">
      <c r="A61" s="7">
        <f>IFERROR(__xludf.DUMMYFUNCTION("""COMPUTED_VALUE"""),45610.64583333333)</f>
        <v>45610.64583</v>
      </c>
      <c r="B61" s="6">
        <f>IFERROR(__xludf.DUMMYFUNCTION("""COMPUTED_VALUE"""),711.0)</f>
        <v>711</v>
      </c>
      <c r="C61" s="6">
        <f>IFERROR(__xludf.DUMMYFUNCTION("""COMPUTED_VALUE"""),734.4)</f>
        <v>734.4</v>
      </c>
      <c r="D61" s="6">
        <f>IFERROR(__xludf.DUMMYFUNCTION("""COMPUTED_VALUE"""),681.1)</f>
        <v>681.1</v>
      </c>
      <c r="E61" s="6">
        <f>IFERROR(__xludf.DUMMYFUNCTION("""COMPUTED_VALUE"""),695.1)</f>
        <v>695.1</v>
      </c>
      <c r="F61" s="6">
        <f>IFERROR(__xludf.DUMMYFUNCTION("""COMPUTED_VALUE"""),6581039.0)</f>
        <v>6581039</v>
      </c>
    </row>
    <row r="62">
      <c r="A62" s="7">
        <f>IFERROR(__xludf.DUMMYFUNCTION("""COMPUTED_VALUE"""),45618.64583333333)</f>
        <v>45618.64583</v>
      </c>
      <c r="B62" s="6">
        <f>IFERROR(__xludf.DUMMYFUNCTION("""COMPUTED_VALUE"""),700.0)</f>
        <v>700</v>
      </c>
      <c r="C62" s="6">
        <f>IFERROR(__xludf.DUMMYFUNCTION("""COMPUTED_VALUE"""),735.0)</f>
        <v>735</v>
      </c>
      <c r="D62" s="6">
        <f>IFERROR(__xludf.DUMMYFUNCTION("""COMPUTED_VALUE"""),693.05)</f>
        <v>693.05</v>
      </c>
      <c r="E62" s="6">
        <f>IFERROR(__xludf.DUMMYFUNCTION("""COMPUTED_VALUE"""),730.05)</f>
        <v>730.05</v>
      </c>
      <c r="F62" s="6">
        <f>IFERROR(__xludf.DUMMYFUNCTION("""COMPUTED_VALUE"""),8138165.0)</f>
        <v>8138165</v>
      </c>
    </row>
    <row r="63">
      <c r="A63" s="7">
        <f>IFERROR(__xludf.DUMMYFUNCTION("""COMPUTED_VALUE"""),45625.64583333333)</f>
        <v>45625.64583</v>
      </c>
      <c r="B63" s="6">
        <f>IFERROR(__xludf.DUMMYFUNCTION("""COMPUTED_VALUE"""),746.6)</f>
        <v>746.6</v>
      </c>
      <c r="C63" s="6">
        <f>IFERROR(__xludf.DUMMYFUNCTION("""COMPUTED_VALUE"""),771.0)</f>
        <v>771</v>
      </c>
      <c r="D63" s="6">
        <f>IFERROR(__xludf.DUMMYFUNCTION("""COMPUTED_VALUE"""),725.7)</f>
        <v>725.7</v>
      </c>
      <c r="E63" s="6">
        <f>IFERROR(__xludf.DUMMYFUNCTION("""COMPUTED_VALUE"""),732.25)</f>
        <v>732.25</v>
      </c>
      <c r="F63" s="6">
        <f>IFERROR(__xludf.DUMMYFUNCTION("""COMPUTED_VALUE"""),1.4955765E7)</f>
        <v>14955765</v>
      </c>
    </row>
    <row r="64">
      <c r="A64" s="7">
        <f>IFERROR(__xludf.DUMMYFUNCTION("""COMPUTED_VALUE"""),45632.64583333333)</f>
        <v>45632.64583</v>
      </c>
      <c r="B64" s="6">
        <f>IFERROR(__xludf.DUMMYFUNCTION("""COMPUTED_VALUE"""),736.6)</f>
        <v>736.6</v>
      </c>
      <c r="C64" s="6">
        <f>IFERROR(__xludf.DUMMYFUNCTION("""COMPUTED_VALUE"""),785.5)</f>
        <v>785.5</v>
      </c>
      <c r="D64" s="6">
        <f>IFERROR(__xludf.DUMMYFUNCTION("""COMPUTED_VALUE"""),730.05)</f>
        <v>730.05</v>
      </c>
      <c r="E64" s="6">
        <f>IFERROR(__xludf.DUMMYFUNCTION("""COMPUTED_VALUE"""),782.5)</f>
        <v>782.5</v>
      </c>
      <c r="F64" s="6">
        <f>IFERROR(__xludf.DUMMYFUNCTION("""COMPUTED_VALUE"""),1.2069659E7)</f>
        <v>12069659</v>
      </c>
    </row>
    <row r="65">
      <c r="A65" s="7">
        <f>IFERROR(__xludf.DUMMYFUNCTION("""COMPUTED_VALUE"""),45639.64583333333)</f>
        <v>45639.64583</v>
      </c>
      <c r="B65" s="6">
        <f>IFERROR(__xludf.DUMMYFUNCTION("""COMPUTED_VALUE"""),787.95)</f>
        <v>787.95</v>
      </c>
      <c r="C65" s="6">
        <f>IFERROR(__xludf.DUMMYFUNCTION("""COMPUTED_VALUE"""),811.4)</f>
        <v>811.4</v>
      </c>
      <c r="D65" s="6">
        <f>IFERROR(__xludf.DUMMYFUNCTION("""COMPUTED_VALUE"""),761.0)</f>
        <v>761</v>
      </c>
      <c r="E65" s="6">
        <f>IFERROR(__xludf.DUMMYFUNCTION("""COMPUTED_VALUE"""),769.0)</f>
        <v>769</v>
      </c>
      <c r="F65" s="6">
        <f>IFERROR(__xludf.DUMMYFUNCTION("""COMPUTED_VALUE"""),1.273034E7)</f>
        <v>12730340</v>
      </c>
    </row>
    <row r="66">
      <c r="A66" s="7">
        <f>IFERROR(__xludf.DUMMYFUNCTION("""COMPUTED_VALUE"""),45646.64583333333)</f>
        <v>45646.64583</v>
      </c>
      <c r="B66" s="6">
        <f>IFERROR(__xludf.DUMMYFUNCTION("""COMPUTED_VALUE"""),769.65)</f>
        <v>769.65</v>
      </c>
      <c r="C66" s="6">
        <f>IFERROR(__xludf.DUMMYFUNCTION("""COMPUTED_VALUE"""),783.0)</f>
        <v>783</v>
      </c>
      <c r="D66" s="6">
        <f>IFERROR(__xludf.DUMMYFUNCTION("""COMPUTED_VALUE"""),724.75)</f>
        <v>724.75</v>
      </c>
      <c r="E66" s="6">
        <f>IFERROR(__xludf.DUMMYFUNCTION("""COMPUTED_VALUE"""),730.05)</f>
        <v>730.05</v>
      </c>
      <c r="F66" s="6">
        <f>IFERROR(__xludf.DUMMYFUNCTION("""COMPUTED_VALUE"""),1.0423946E7)</f>
        <v>10423946</v>
      </c>
    </row>
    <row r="67">
      <c r="A67" s="7">
        <f>IFERROR(__xludf.DUMMYFUNCTION("""COMPUTED_VALUE"""),45653.64583333333)</f>
        <v>45653.64583</v>
      </c>
      <c r="B67" s="6">
        <f>IFERROR(__xludf.DUMMYFUNCTION("""COMPUTED_VALUE"""),731.0)</f>
        <v>731</v>
      </c>
      <c r="C67" s="6">
        <f>IFERROR(__xludf.DUMMYFUNCTION("""COMPUTED_VALUE"""),752.9)</f>
        <v>752.9</v>
      </c>
      <c r="D67" s="6">
        <f>IFERROR(__xludf.DUMMYFUNCTION("""COMPUTED_VALUE"""),709.2)</f>
        <v>709.2</v>
      </c>
      <c r="E67" s="6">
        <f>IFERROR(__xludf.DUMMYFUNCTION("""COMPUTED_VALUE"""),748.25)</f>
        <v>748.25</v>
      </c>
      <c r="F67" s="6">
        <f>IFERROR(__xludf.DUMMYFUNCTION("""COMPUTED_VALUE"""),9468443.0)</f>
        <v>9468443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IFERROR(__xludf.DUMMYFUNCTION("""COMPUTED_VALUE"""),748.3)</f>
        <v>748.3</v>
      </c>
      <c r="C68" s="6">
        <f>IFERROR(__xludf.DUMMYFUNCTION("""COMPUTED_VALUE"""),753.7)</f>
        <v>753.7</v>
      </c>
      <c r="D68" s="6">
        <f>IFERROR(__xludf.DUMMYFUNCTION("""COMPUTED_VALUE"""),721.65)</f>
        <v>721.65</v>
      </c>
      <c r="E68" s="6">
        <f>IFERROR(__xludf.DUMMYFUNCTION("""COMPUTED_VALUE"""),736.75)</f>
        <v>736.75</v>
      </c>
      <c r="F68" s="6">
        <f>IFERROR(__xludf.DUMMYFUNCTION("""COMPUTED_VALUE"""),7940291.0)</f>
        <v>7940291</v>
      </c>
    </row>
    <row r="69">
      <c r="A69" s="7">
        <f>IFERROR(__xludf.DUMMYFUNCTION("""COMPUTED_VALUE"""),45667.64583333333)</f>
        <v>45667.64583</v>
      </c>
      <c r="B69" s="6">
        <f>IFERROR(__xludf.DUMMYFUNCTION("""COMPUTED_VALUE"""),737.0)</f>
        <v>737</v>
      </c>
      <c r="C69" s="6">
        <f>IFERROR(__xludf.DUMMYFUNCTION("""COMPUTED_VALUE"""),740.6)</f>
        <v>740.6</v>
      </c>
      <c r="D69" s="6">
        <f>IFERROR(__xludf.DUMMYFUNCTION("""COMPUTED_VALUE"""),648.0)</f>
        <v>648</v>
      </c>
      <c r="E69" s="6">
        <f>IFERROR(__xludf.DUMMYFUNCTION("""COMPUTED_VALUE"""),650.2)</f>
        <v>650.2</v>
      </c>
      <c r="F69" s="6">
        <f>IFERROR(__xludf.DUMMYFUNCTION("""COMPUTED_VALUE"""),9844095.0)</f>
        <v>9844095</v>
      </c>
    </row>
    <row r="70">
      <c r="A70" s="7">
        <f>IFERROR(__xludf.DUMMYFUNCTION("""COMPUTED_VALUE"""),45674.64583333333)</f>
        <v>45674.64583</v>
      </c>
      <c r="B70" s="6">
        <f>IFERROR(__xludf.DUMMYFUNCTION("""COMPUTED_VALUE"""),635.0)</f>
        <v>635</v>
      </c>
      <c r="C70" s="6">
        <f>IFERROR(__xludf.DUMMYFUNCTION("""COMPUTED_VALUE"""),652.2)</f>
        <v>652.2</v>
      </c>
      <c r="D70" s="6">
        <f>IFERROR(__xludf.DUMMYFUNCTION("""COMPUTED_VALUE"""),606.0)</f>
        <v>606</v>
      </c>
      <c r="E70" s="6">
        <f>IFERROR(__xludf.DUMMYFUNCTION("""COMPUTED_VALUE"""),649.15)</f>
        <v>649.15</v>
      </c>
      <c r="F70" s="6">
        <f>IFERROR(__xludf.DUMMYFUNCTION("""COMPUTED_VALUE"""),2.8749268E7)</f>
        <v>28749268</v>
      </c>
    </row>
    <row r="71">
      <c r="A71" s="7">
        <f>IFERROR(__xludf.DUMMYFUNCTION("""COMPUTED_VALUE"""),45681.64583333333)</f>
        <v>45681.64583</v>
      </c>
      <c r="B71" s="6">
        <f>IFERROR(__xludf.DUMMYFUNCTION("""COMPUTED_VALUE"""),650.5)</f>
        <v>650.5</v>
      </c>
      <c r="C71" s="6">
        <f>IFERROR(__xludf.DUMMYFUNCTION("""COMPUTED_VALUE"""),686.75)</f>
        <v>686.75</v>
      </c>
      <c r="D71" s="6">
        <f>IFERROR(__xludf.DUMMYFUNCTION("""COMPUTED_VALUE"""),614.95)</f>
        <v>614.95</v>
      </c>
      <c r="E71" s="6">
        <f>IFERROR(__xludf.DUMMYFUNCTION("""COMPUTED_VALUE"""),620.55)</f>
        <v>620.55</v>
      </c>
      <c r="F71" s="6">
        <f>IFERROR(__xludf.DUMMYFUNCTION("""COMPUTED_VALUE"""),2.2145786E7)</f>
        <v>22145786</v>
      </c>
    </row>
    <row r="72">
      <c r="A72" s="7">
        <f>IFERROR(__xludf.DUMMYFUNCTION("""COMPUTED_VALUE"""),45695.64583333333)</f>
        <v>45695.64583</v>
      </c>
      <c r="B72" s="6">
        <f>IFERROR(__xludf.DUMMYFUNCTION("""COMPUTED_VALUE"""),609.95)</f>
        <v>609.95</v>
      </c>
      <c r="C72" s="6">
        <f>IFERROR(__xludf.DUMMYFUNCTION("""COMPUTED_VALUE"""),632.8)</f>
        <v>632.8</v>
      </c>
      <c r="D72" s="6">
        <f>IFERROR(__xludf.DUMMYFUNCTION("""COMPUTED_VALUE"""),575.5)</f>
        <v>575.5</v>
      </c>
      <c r="E72" s="6">
        <f>IFERROR(__xludf.DUMMYFUNCTION("""COMPUTED_VALUE"""),617.45)</f>
        <v>617.45</v>
      </c>
      <c r="F72" s="6">
        <f>IFERROR(__xludf.DUMMYFUNCTION("""COMPUTED_VALUE"""),1.4777583E7)</f>
        <v>14777583</v>
      </c>
    </row>
    <row r="73">
      <c r="A73" s="7">
        <f>IFERROR(__xludf.DUMMYFUNCTION("""COMPUTED_VALUE"""),45702.64583333333)</f>
        <v>45702.64583</v>
      </c>
      <c r="B73" s="6">
        <f>IFERROR(__xludf.DUMMYFUNCTION("""COMPUTED_VALUE"""),616.5)</f>
        <v>616.5</v>
      </c>
      <c r="C73" s="6">
        <f>IFERROR(__xludf.DUMMYFUNCTION("""COMPUTED_VALUE"""),616.5)</f>
        <v>616.5</v>
      </c>
      <c r="D73" s="6">
        <f>IFERROR(__xludf.DUMMYFUNCTION("""COMPUTED_VALUE"""),548.65)</f>
        <v>548.65</v>
      </c>
      <c r="E73" s="6">
        <f>IFERROR(__xludf.DUMMYFUNCTION("""COMPUTED_VALUE"""),552.35)</f>
        <v>552.35</v>
      </c>
      <c r="F73" s="6">
        <f>IFERROR(__xludf.DUMMYFUNCTION("""COMPUTED_VALUE"""),1.4802004E7)</f>
        <v>14802004</v>
      </c>
    </row>
    <row r="74">
      <c r="A74" s="7">
        <f>IFERROR(__xludf.DUMMYFUNCTION("""COMPUTED_VALUE"""),45709.64583333333)</f>
        <v>45709.64583</v>
      </c>
      <c r="B74" s="6">
        <f>IFERROR(__xludf.DUMMYFUNCTION("""COMPUTED_VALUE"""),545.05)</f>
        <v>545.05</v>
      </c>
      <c r="C74" s="6">
        <f>IFERROR(__xludf.DUMMYFUNCTION("""COMPUTED_VALUE"""),600.1)</f>
        <v>600.1</v>
      </c>
      <c r="D74" s="6">
        <f>IFERROR(__xludf.DUMMYFUNCTION("""COMPUTED_VALUE"""),537.1)</f>
        <v>537.1</v>
      </c>
      <c r="E74" s="6">
        <f>IFERROR(__xludf.DUMMYFUNCTION("""COMPUTED_VALUE"""),589.95)</f>
        <v>589.95</v>
      </c>
      <c r="F74" s="6">
        <f>IFERROR(__xludf.DUMMYFUNCTION("""COMPUTED_VALUE"""),1.2660431E7)</f>
        <v>12660431</v>
      </c>
    </row>
    <row r="75">
      <c r="A75" s="7">
        <f>IFERROR(__xludf.DUMMYFUNCTION("""COMPUTED_VALUE"""),45716.64583333333)</f>
        <v>45716.64583</v>
      </c>
      <c r="B75" s="6">
        <f>IFERROR(__xludf.DUMMYFUNCTION("""COMPUTED_VALUE"""),577.0)</f>
        <v>577</v>
      </c>
      <c r="C75" s="6">
        <f>IFERROR(__xludf.DUMMYFUNCTION("""COMPUTED_VALUE"""),611.65)</f>
        <v>611.65</v>
      </c>
      <c r="D75" s="6">
        <f>IFERROR(__xludf.DUMMYFUNCTION("""COMPUTED_VALUE"""),563.25)</f>
        <v>563.25</v>
      </c>
      <c r="E75" s="6">
        <f>IFERROR(__xludf.DUMMYFUNCTION("""COMPUTED_VALUE"""),572.6)</f>
        <v>572.6</v>
      </c>
      <c r="F75" s="6">
        <f>IFERROR(__xludf.DUMMYFUNCTION("""COMPUTED_VALUE"""),2.5388954E7)</f>
        <v>25388954</v>
      </c>
    </row>
    <row r="76">
      <c r="A76" s="7">
        <f>IFERROR(__xludf.DUMMYFUNCTION("""COMPUTED_VALUE"""),45723.64583333333)</f>
        <v>45723.64583</v>
      </c>
      <c r="B76" s="6">
        <f>IFERROR(__xludf.DUMMYFUNCTION("""COMPUTED_VALUE"""),570.1)</f>
        <v>570.1</v>
      </c>
      <c r="C76" s="6">
        <f>IFERROR(__xludf.DUMMYFUNCTION("""COMPUTED_VALUE"""),632.75)</f>
        <v>632.75</v>
      </c>
      <c r="D76" s="6">
        <f>IFERROR(__xludf.DUMMYFUNCTION("""COMPUTED_VALUE"""),548.15)</f>
        <v>548.15</v>
      </c>
      <c r="E76" s="6">
        <f>IFERROR(__xludf.DUMMYFUNCTION("""COMPUTED_VALUE"""),630.05)</f>
        <v>630.05</v>
      </c>
      <c r="F76" s="6">
        <f>IFERROR(__xludf.DUMMYFUNCTION("""COMPUTED_VALUE"""),1.9298005E7)</f>
        <v>19298005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IFERROR(__xludf.DUMMYFUNCTION("""COMPUTED_VALUE"""),635.0)</f>
        <v>635</v>
      </c>
      <c r="C77" s="6">
        <f>IFERROR(__xludf.DUMMYFUNCTION("""COMPUTED_VALUE"""),645.0)</f>
        <v>645</v>
      </c>
      <c r="D77" s="6">
        <f>IFERROR(__xludf.DUMMYFUNCTION("""COMPUTED_VALUE"""),583.05)</f>
        <v>583.05</v>
      </c>
      <c r="E77" s="6">
        <f>IFERROR(__xludf.DUMMYFUNCTION("""COMPUTED_VALUE"""),599.1)</f>
        <v>599.1</v>
      </c>
      <c r="F77" s="6">
        <f>IFERROR(__xludf.DUMMYFUNCTION("""COMPUTED_VALUE"""),9763132.0)</f>
        <v>9763132</v>
      </c>
    </row>
    <row r="78">
      <c r="A78" s="7">
        <f>IFERROR(__xludf.DUMMYFUNCTION("""COMPUTED_VALUE"""),45737.64583333333)</f>
        <v>45737.64583</v>
      </c>
      <c r="B78" s="6">
        <f>IFERROR(__xludf.DUMMYFUNCTION("""COMPUTED_VALUE"""),601.0)</f>
        <v>601</v>
      </c>
      <c r="C78" s="6">
        <f>IFERROR(__xludf.DUMMYFUNCTION("""COMPUTED_VALUE"""),669.8)</f>
        <v>669.8</v>
      </c>
      <c r="D78" s="6">
        <f>IFERROR(__xludf.DUMMYFUNCTION("""COMPUTED_VALUE"""),594.1)</f>
        <v>594.1</v>
      </c>
      <c r="E78" s="6">
        <f>IFERROR(__xludf.DUMMYFUNCTION("""COMPUTED_VALUE"""),641.25)</f>
        <v>641.25</v>
      </c>
      <c r="F78" s="6">
        <f>IFERROR(__xludf.DUMMYFUNCTION("""COMPUTED_VALUE"""),1.588699E7)</f>
        <v>15886990</v>
      </c>
    </row>
    <row r="79">
      <c r="A79" s="7">
        <f>IFERROR(__xludf.DUMMYFUNCTION("""COMPUTED_VALUE"""),45744.64583333333)</f>
        <v>45744.64583</v>
      </c>
      <c r="B79" s="6">
        <f>IFERROR(__xludf.DUMMYFUNCTION("""COMPUTED_VALUE"""),644.05)</f>
        <v>644.05</v>
      </c>
      <c r="C79" s="6">
        <f>IFERROR(__xludf.DUMMYFUNCTION("""COMPUTED_VALUE"""),653.0)</f>
        <v>653</v>
      </c>
      <c r="D79" s="6">
        <f>IFERROR(__xludf.DUMMYFUNCTION("""COMPUTED_VALUE"""),625.05)</f>
        <v>625.05</v>
      </c>
      <c r="E79" s="6">
        <f>IFERROR(__xludf.DUMMYFUNCTION("""COMPUTED_VALUE"""),638.5)</f>
        <v>638.5</v>
      </c>
      <c r="F79" s="6">
        <f>IFERROR(__xludf.DUMMYFUNCTION("""COMPUTED_VALUE"""),2.9011866E7)</f>
        <v>29011866</v>
      </c>
    </row>
    <row r="80">
      <c r="A80" s="7">
        <f>IFERROR(__xludf.DUMMYFUNCTION("""COMPUTED_VALUE"""),45751.64583333333)</f>
        <v>45751.64583</v>
      </c>
      <c r="B80" s="6">
        <f>IFERROR(__xludf.DUMMYFUNCTION("""COMPUTED_VALUE"""),636.65)</f>
        <v>636.65</v>
      </c>
      <c r="C80" s="6">
        <f>IFERROR(__xludf.DUMMYFUNCTION("""COMPUTED_VALUE"""),646.0)</f>
        <v>646</v>
      </c>
      <c r="D80" s="6">
        <f>IFERROR(__xludf.DUMMYFUNCTION("""COMPUTED_VALUE"""),570.75)</f>
        <v>570.75</v>
      </c>
      <c r="E80" s="6">
        <f>IFERROR(__xludf.DUMMYFUNCTION("""COMPUTED_VALUE"""),575.2)</f>
        <v>575.2</v>
      </c>
      <c r="F80" s="6">
        <f>IFERROR(__xludf.DUMMYFUNCTION("""COMPUTED_VALUE"""),1.2414176E7)</f>
        <v>12414176</v>
      </c>
    </row>
    <row r="81">
      <c r="A81" s="7">
        <f>IFERROR(__xludf.DUMMYFUNCTION("""COMPUTED_VALUE"""),45758.64583333333)</f>
        <v>45758.64583</v>
      </c>
      <c r="B81" s="6">
        <f>IFERROR(__xludf.DUMMYFUNCTION("""COMPUTED_VALUE"""),520.0)</f>
        <v>520</v>
      </c>
      <c r="C81" s="6">
        <f>IFERROR(__xludf.DUMMYFUNCTION("""COMPUTED_VALUE"""),575.0)</f>
        <v>575</v>
      </c>
      <c r="D81" s="6">
        <f>IFERROR(__xludf.DUMMYFUNCTION("""COMPUTED_VALUE"""),517.7)</f>
        <v>517.7</v>
      </c>
      <c r="E81" s="6">
        <f>IFERROR(__xludf.DUMMYFUNCTION("""COMPUTED_VALUE"""),572.4)</f>
        <v>572.4</v>
      </c>
      <c r="F81" s="6">
        <f>IFERROR(__xludf.DUMMYFUNCTION("""COMPUTED_VALUE"""),1.2759369E7)</f>
        <v>12759369</v>
      </c>
    </row>
    <row r="82">
      <c r="A82" s="7">
        <f>IFERROR(__xludf.DUMMYFUNCTION("""COMPUTED_VALUE"""),45764.64583333333)</f>
        <v>45764.64583</v>
      </c>
      <c r="B82" s="6">
        <f>IFERROR(__xludf.DUMMYFUNCTION("""COMPUTED_VALUE"""),589.9)</f>
        <v>589.9</v>
      </c>
      <c r="C82" s="6">
        <f>IFERROR(__xludf.DUMMYFUNCTION("""COMPUTED_VALUE"""),622.95)</f>
        <v>622.95</v>
      </c>
      <c r="D82" s="6">
        <f>IFERROR(__xludf.DUMMYFUNCTION("""COMPUTED_VALUE"""),580.0)</f>
        <v>580</v>
      </c>
      <c r="E82" s="6">
        <f>IFERROR(__xludf.DUMMYFUNCTION("""COMPUTED_VALUE"""),619.85)</f>
        <v>619.85</v>
      </c>
      <c r="F82" s="6">
        <f>IFERROR(__xludf.DUMMYFUNCTION("""COMPUTED_VALUE"""),7298336.0)</f>
        <v>7298336</v>
      </c>
    </row>
    <row r="83">
      <c r="A83" s="7">
        <f>IFERROR(__xludf.DUMMYFUNCTION("""COMPUTED_VALUE"""),45772.64583333333)</f>
        <v>45772.64583</v>
      </c>
      <c r="B83" s="6">
        <f>IFERROR(__xludf.DUMMYFUNCTION("""COMPUTED_VALUE"""),628.45)</f>
        <v>628.45</v>
      </c>
      <c r="C83" s="6">
        <f>IFERROR(__xludf.DUMMYFUNCTION("""COMPUTED_VALUE"""),663.15)</f>
        <v>663.15</v>
      </c>
      <c r="D83" s="6">
        <f>IFERROR(__xludf.DUMMYFUNCTION("""COMPUTED_VALUE"""),617.7)</f>
        <v>617.7</v>
      </c>
      <c r="E83" s="6">
        <f>IFERROR(__xludf.DUMMYFUNCTION("""COMPUTED_VALUE"""),633.1)</f>
        <v>633.1</v>
      </c>
      <c r="F83" s="6">
        <f>IFERROR(__xludf.DUMMYFUNCTION("""COMPUTED_VALUE"""),1.3045451E7)</f>
        <v>13045451</v>
      </c>
    </row>
    <row r="84">
      <c r="A84" s="7">
        <f>IFERROR(__xludf.DUMMYFUNCTION("""COMPUTED_VALUE"""),45779.64583333333)</f>
        <v>45779.64583</v>
      </c>
      <c r="B84" s="6">
        <f>IFERROR(__xludf.DUMMYFUNCTION("""COMPUTED_VALUE"""),626.0)</f>
        <v>626</v>
      </c>
      <c r="C84" s="6">
        <f>IFERROR(__xludf.DUMMYFUNCTION("""COMPUTED_VALUE"""),645.0)</f>
        <v>645</v>
      </c>
      <c r="D84" s="6">
        <f>IFERROR(__xludf.DUMMYFUNCTION("""COMPUTED_VALUE"""),614.95)</f>
        <v>614.95</v>
      </c>
      <c r="E84" s="6">
        <f>IFERROR(__xludf.DUMMYFUNCTION("""COMPUTED_VALUE"""),622.15)</f>
        <v>622.15</v>
      </c>
      <c r="F84" s="6">
        <f>IFERROR(__xludf.DUMMYFUNCTION("""COMPUTED_VALUE"""),7829340.0)</f>
        <v>7829340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IFERROR(__xludf.DUMMYFUNCTION("""COMPUTED_VALUE"""),622.05)</f>
        <v>622.05</v>
      </c>
      <c r="C85" s="6">
        <f>IFERROR(__xludf.DUMMYFUNCTION("""COMPUTED_VALUE"""),649.0)</f>
        <v>649</v>
      </c>
      <c r="D85" s="6">
        <f>IFERROR(__xludf.DUMMYFUNCTION("""COMPUTED_VALUE"""),578.0)</f>
        <v>578</v>
      </c>
      <c r="E85" s="6">
        <f>IFERROR(__xludf.DUMMYFUNCTION("""COMPUTED_VALUE"""),609.6)</f>
        <v>609.6</v>
      </c>
      <c r="F85" s="6">
        <f>IFERROR(__xludf.DUMMYFUNCTION("""COMPUTED_VALUE"""),2.2413263E7)</f>
        <v>22413263</v>
      </c>
    </row>
    <row r="86">
      <c r="A86" s="7">
        <f>IFERROR(__xludf.DUMMYFUNCTION("""COMPUTED_VALUE"""),45793.64583333333)</f>
        <v>45793.64583</v>
      </c>
      <c r="B86" s="6">
        <f>IFERROR(__xludf.DUMMYFUNCTION("""COMPUTED_VALUE"""),629.9)</f>
        <v>629.9</v>
      </c>
      <c r="C86" s="6">
        <f>IFERROR(__xludf.DUMMYFUNCTION("""COMPUTED_VALUE"""),703.7)</f>
        <v>703.7</v>
      </c>
      <c r="D86" s="6">
        <f>IFERROR(__xludf.DUMMYFUNCTION("""COMPUTED_VALUE"""),624.5)</f>
        <v>624.5</v>
      </c>
      <c r="E86" s="6">
        <f>IFERROR(__xludf.DUMMYFUNCTION("""COMPUTED_VALUE"""),696.45)</f>
        <v>696.45</v>
      </c>
      <c r="F86" s="6">
        <f>IFERROR(__xludf.DUMMYFUNCTION("""COMPUTED_VALUE"""),1.5329058E7)</f>
        <v>15329058</v>
      </c>
    </row>
    <row r="87">
      <c r="A87" s="7">
        <f>IFERROR(__xludf.DUMMYFUNCTION("""COMPUTED_VALUE"""),45800.64583333333)</f>
        <v>45800.64583</v>
      </c>
      <c r="B87" s="6">
        <f>IFERROR(__xludf.DUMMYFUNCTION("""COMPUTED_VALUE"""),702.0)</f>
        <v>702</v>
      </c>
      <c r="C87" s="6">
        <f>IFERROR(__xludf.DUMMYFUNCTION("""COMPUTED_VALUE"""),706.55)</f>
        <v>706.55</v>
      </c>
      <c r="D87" s="6">
        <f>IFERROR(__xludf.DUMMYFUNCTION("""COMPUTED_VALUE"""),673.0)</f>
        <v>673</v>
      </c>
      <c r="E87" s="6">
        <f>IFERROR(__xludf.DUMMYFUNCTION("""COMPUTED_VALUE"""),696.45)</f>
        <v>696.45</v>
      </c>
      <c r="F87" s="6">
        <f>IFERROR(__xludf.DUMMYFUNCTION("""COMPUTED_VALUE"""),1.1184166E7)</f>
        <v>11184166</v>
      </c>
    </row>
    <row r="88">
      <c r="A88" s="7">
        <f>IFERROR(__xludf.DUMMYFUNCTION("""COMPUTED_VALUE"""),45807.64583333333)</f>
        <v>45807.64583</v>
      </c>
      <c r="B88" s="6">
        <f>IFERROR(__xludf.DUMMYFUNCTION("""COMPUTED_VALUE"""),698.0)</f>
        <v>698</v>
      </c>
      <c r="C88" s="6">
        <f>IFERROR(__xludf.DUMMYFUNCTION("""COMPUTED_VALUE"""),708.9)</f>
        <v>708.9</v>
      </c>
      <c r="D88" s="6">
        <f>IFERROR(__xludf.DUMMYFUNCTION("""COMPUTED_VALUE"""),679.2)</f>
        <v>679.2</v>
      </c>
      <c r="E88" s="6">
        <f>IFERROR(__xludf.DUMMYFUNCTION("""COMPUTED_VALUE"""),686.7)</f>
        <v>686.7</v>
      </c>
      <c r="F88" s="6">
        <f>IFERROR(__xludf.DUMMYFUNCTION("""COMPUTED_VALUE"""),1.0160469E7)</f>
        <v>10160469</v>
      </c>
    </row>
    <row r="89">
      <c r="A89" s="7">
        <f>IFERROR(__xludf.DUMMYFUNCTION("""COMPUTED_VALUE"""),45814.64583333333)</f>
        <v>45814.64583</v>
      </c>
      <c r="B89" s="6">
        <f>IFERROR(__xludf.DUMMYFUNCTION("""COMPUTED_VALUE"""),686.75)</f>
        <v>686.75</v>
      </c>
      <c r="C89" s="6">
        <f>IFERROR(__xludf.DUMMYFUNCTION("""COMPUTED_VALUE"""),703.45)</f>
        <v>703.45</v>
      </c>
      <c r="D89" s="6">
        <f>IFERROR(__xludf.DUMMYFUNCTION("""COMPUTED_VALUE"""),675.5)</f>
        <v>675.5</v>
      </c>
      <c r="E89" s="6">
        <f>IFERROR(__xludf.DUMMYFUNCTION("""COMPUTED_VALUE"""),681.6)</f>
        <v>681.6</v>
      </c>
      <c r="F89" s="6">
        <f>IFERROR(__xludf.DUMMYFUNCTION("""COMPUTED_VALUE"""),1.0716782E7)</f>
        <v>10716782</v>
      </c>
    </row>
    <row r="90">
      <c r="A90" s="7">
        <f>IFERROR(__xludf.DUMMYFUNCTION("""COMPUTED_VALUE"""),45821.64583333333)</f>
        <v>45821.64583</v>
      </c>
      <c r="B90" s="6">
        <f>IFERROR(__xludf.DUMMYFUNCTION("""COMPUTED_VALUE"""),682.5)</f>
        <v>682.5</v>
      </c>
      <c r="C90" s="6">
        <f>IFERROR(__xludf.DUMMYFUNCTION("""COMPUTED_VALUE"""),700.45)</f>
        <v>700.45</v>
      </c>
      <c r="D90" s="6">
        <f>IFERROR(__xludf.DUMMYFUNCTION("""COMPUTED_VALUE"""),650.0)</f>
        <v>650</v>
      </c>
      <c r="E90" s="6">
        <f>IFERROR(__xludf.DUMMYFUNCTION("""COMPUTED_VALUE"""),672.2)</f>
        <v>672.2</v>
      </c>
      <c r="F90" s="6">
        <f>IFERROR(__xludf.DUMMYFUNCTION("""COMPUTED_VALUE"""),1.1765185E7)</f>
        <v>11765185</v>
      </c>
    </row>
    <row r="91">
      <c r="A91" s="7">
        <f>IFERROR(__xludf.DUMMYFUNCTION("""COMPUTED_VALUE"""),45828.64583333333)</f>
        <v>45828.64583</v>
      </c>
      <c r="B91" s="6">
        <f>IFERROR(__xludf.DUMMYFUNCTION("""COMPUTED_VALUE"""),672.45)</f>
        <v>672.45</v>
      </c>
      <c r="C91" s="6">
        <f>IFERROR(__xludf.DUMMYFUNCTION("""COMPUTED_VALUE"""),698.1)</f>
        <v>698.1</v>
      </c>
      <c r="D91" s="6">
        <f>IFERROR(__xludf.DUMMYFUNCTION("""COMPUTED_VALUE"""),664.2)</f>
        <v>664.2</v>
      </c>
      <c r="E91" s="6">
        <f>IFERROR(__xludf.DUMMYFUNCTION("""COMPUTED_VALUE"""),688.25)</f>
        <v>688.25</v>
      </c>
      <c r="F91" s="6">
        <f>IFERROR(__xludf.DUMMYFUNCTION("""COMPUTED_VALUE"""),1.2792824E7)</f>
        <v>12792824</v>
      </c>
    </row>
    <row r="92">
      <c r="A92" s="7">
        <f>IFERROR(__xludf.DUMMYFUNCTION("""COMPUTED_VALUE"""),45835.64583333333)</f>
        <v>45835.64583</v>
      </c>
      <c r="B92" s="6">
        <f>IFERROR(__xludf.DUMMYFUNCTION("""COMPUTED_VALUE"""),681.75)</f>
        <v>681.75</v>
      </c>
      <c r="C92" s="6">
        <f>IFERROR(__xludf.DUMMYFUNCTION("""COMPUTED_VALUE"""),689.9)</f>
        <v>689.9</v>
      </c>
      <c r="D92" s="6">
        <f>IFERROR(__xludf.DUMMYFUNCTION("""COMPUTED_VALUE"""),669.45)</f>
        <v>669.45</v>
      </c>
      <c r="E92" s="6">
        <f>IFERROR(__xludf.DUMMYFUNCTION("""COMPUTED_VALUE"""),672.2)</f>
        <v>672.2</v>
      </c>
      <c r="F92" s="6">
        <f>IFERROR(__xludf.DUMMYFUNCTION("""COMPUTED_VALUE"""),9867561.0)</f>
        <v>9867561</v>
      </c>
    </row>
    <row r="93">
      <c r="A93" s="7">
        <f>IFERROR(__xludf.DUMMYFUNCTION("""COMPUTED_VALUE"""),45842.64583333333)</f>
        <v>45842.64583</v>
      </c>
      <c r="B93" s="6">
        <f>IFERROR(__xludf.DUMMYFUNCTION("""COMPUTED_VALUE"""),674.4)</f>
        <v>674.4</v>
      </c>
      <c r="C93" s="6">
        <f>IFERROR(__xludf.DUMMYFUNCTION("""COMPUTED_VALUE"""),693.7)</f>
        <v>693.7</v>
      </c>
      <c r="D93" s="6">
        <f>IFERROR(__xludf.DUMMYFUNCTION("""COMPUTED_VALUE"""),661.5)</f>
        <v>661.5</v>
      </c>
      <c r="E93" s="6">
        <f>IFERROR(__xludf.DUMMYFUNCTION("""COMPUTED_VALUE"""),676.6)</f>
        <v>676.6</v>
      </c>
      <c r="F93" s="6">
        <f>IFERROR(__xludf.DUMMYFUNCTION("""COMPUTED_VALUE"""),1.5528523E7)</f>
        <v>15528523</v>
      </c>
    </row>
    <row r="94">
      <c r="A94" s="7">
        <f>IFERROR(__xludf.DUMMYFUNCTION("""COMPUTED_VALUE"""),45849.64583333333)</f>
        <v>45849.64583</v>
      </c>
      <c r="B94" s="6">
        <f>IFERROR(__xludf.DUMMYFUNCTION("""COMPUTED_VALUE"""),676.6)</f>
        <v>676.6</v>
      </c>
      <c r="C94" s="6">
        <f>IFERROR(__xludf.DUMMYFUNCTION("""COMPUTED_VALUE"""),682.0)</f>
        <v>682</v>
      </c>
      <c r="D94" s="6">
        <f>IFERROR(__xludf.DUMMYFUNCTION("""COMPUTED_VALUE"""),665.05)</f>
        <v>665.05</v>
      </c>
      <c r="E94" s="6">
        <f>IFERROR(__xludf.DUMMYFUNCTION("""COMPUTED_VALUE"""),667.75)</f>
        <v>667.75</v>
      </c>
      <c r="F94" s="6">
        <f>IFERROR(__xludf.DUMMYFUNCTION("""COMPUTED_VALUE"""),1.3715288E7)</f>
        <v>13715288</v>
      </c>
    </row>
    <row r="95">
      <c r="A95" s="7">
        <f>IFERROR(__xludf.DUMMYFUNCTION("""COMPUTED_VALUE"""),45856.64583333333)</f>
        <v>45856.64583</v>
      </c>
      <c r="B95" s="6">
        <f>IFERROR(__xludf.DUMMYFUNCTION("""COMPUTED_VALUE"""),667.75)</f>
        <v>667.75</v>
      </c>
      <c r="C95" s="6">
        <f>IFERROR(__xludf.DUMMYFUNCTION("""COMPUTED_VALUE"""),695.5)</f>
        <v>695.5</v>
      </c>
      <c r="D95" s="6">
        <f>IFERROR(__xludf.DUMMYFUNCTION("""COMPUTED_VALUE"""),666.1)</f>
        <v>666.1</v>
      </c>
      <c r="E95" s="6">
        <f>IFERROR(__xludf.DUMMYFUNCTION("""COMPUTED_VALUE"""),667.6)</f>
        <v>667.6</v>
      </c>
      <c r="F95" s="6">
        <f>IFERROR(__xludf.DUMMYFUNCTION("""COMPUTED_VALUE"""),1.5884512E7)</f>
        <v>15884512</v>
      </c>
    </row>
    <row r="96">
      <c r="A96" s="7">
        <f>IFERROR(__xludf.DUMMYFUNCTION("""COMPUTED_VALUE"""),45863.64583333333)</f>
        <v>45863.64583</v>
      </c>
      <c r="B96" s="6">
        <f>IFERROR(__xludf.DUMMYFUNCTION("""COMPUTED_VALUE"""),669.0)</f>
        <v>669</v>
      </c>
      <c r="C96" s="6">
        <f>IFERROR(__xludf.DUMMYFUNCTION("""COMPUTED_VALUE"""),692.65)</f>
        <v>692.65</v>
      </c>
      <c r="D96" s="6">
        <f>IFERROR(__xludf.DUMMYFUNCTION("""COMPUTED_VALUE"""),653.6)</f>
        <v>653.6</v>
      </c>
      <c r="E96" s="6">
        <f>IFERROR(__xludf.DUMMYFUNCTION("""COMPUTED_VALUE"""),662.55)</f>
        <v>662.55</v>
      </c>
      <c r="F96" s="6">
        <f>IFERROR(__xludf.DUMMYFUNCTION("""COMPUTED_VALUE"""),1.8112409E7)</f>
        <v>18112409</v>
      </c>
    </row>
    <row r="97">
      <c r="A97" s="7">
        <f>IFERROR(__xludf.DUMMYFUNCTION("""COMPUTED_VALUE"""),45870.64583333333)</f>
        <v>45870.64583</v>
      </c>
      <c r="B97" s="6">
        <f>IFERROR(__xludf.DUMMYFUNCTION("""COMPUTED_VALUE"""),663.0)</f>
        <v>663</v>
      </c>
      <c r="C97" s="6">
        <f>IFERROR(__xludf.DUMMYFUNCTION("""COMPUTED_VALUE"""),669.8)</f>
        <v>669.8</v>
      </c>
      <c r="D97" s="6">
        <f>IFERROR(__xludf.DUMMYFUNCTION("""COMPUTED_VALUE"""),645.5)</f>
        <v>645.5</v>
      </c>
      <c r="E97" s="6">
        <f>IFERROR(__xludf.DUMMYFUNCTION("""COMPUTED_VALUE"""),651.3)</f>
        <v>651.3</v>
      </c>
      <c r="F97" s="6">
        <f>IFERROR(__xludf.DUMMYFUNCTION("""COMPUTED_VALUE"""),1.1290771E7)</f>
        <v>11290771</v>
      </c>
    </row>
    <row r="98">
      <c r="A98" s="7">
        <f>IFERROR(__xludf.DUMMYFUNCTION("""COMPUTED_VALUE"""),45877.64583333333)</f>
        <v>45877.64583</v>
      </c>
      <c r="B98" s="6">
        <f>IFERROR(__xludf.DUMMYFUNCTION("""COMPUTED_VALUE"""),655.05)</f>
        <v>655.05</v>
      </c>
      <c r="C98" s="6">
        <f>IFERROR(__xludf.DUMMYFUNCTION("""COMPUTED_VALUE"""),685.5)</f>
        <v>685.5</v>
      </c>
      <c r="D98" s="6">
        <f>IFERROR(__xludf.DUMMYFUNCTION("""COMPUTED_VALUE"""),646.0)</f>
        <v>646</v>
      </c>
      <c r="E98" s="6">
        <f>IFERROR(__xludf.DUMMYFUNCTION("""COMPUTED_VALUE"""),666.4)</f>
        <v>666.4</v>
      </c>
      <c r="F98" s="6">
        <f>IFERROR(__xludf.DUMMYFUNCTION("""COMPUTED_VALUE"""),1.2871591E7)</f>
        <v>12871591</v>
      </c>
    </row>
    <row r="99">
      <c r="A99" s="7">
        <f>IFERROR(__xludf.DUMMYFUNCTION("""COMPUTED_VALUE"""),45883.64583333333)</f>
        <v>45883.64583</v>
      </c>
      <c r="B99" s="6">
        <f>IFERROR(__xludf.DUMMYFUNCTION("""COMPUTED_VALUE"""),666.0)</f>
        <v>666</v>
      </c>
      <c r="C99" s="6">
        <f>IFERROR(__xludf.DUMMYFUNCTION("""COMPUTED_VALUE"""),676.0)</f>
        <v>676</v>
      </c>
      <c r="D99" s="6">
        <f>IFERROR(__xludf.DUMMYFUNCTION("""COMPUTED_VALUE"""),655.5)</f>
        <v>655.5</v>
      </c>
      <c r="E99" s="6">
        <f>IFERROR(__xludf.DUMMYFUNCTION("""COMPUTED_VALUE"""),665.95)</f>
        <v>665.95</v>
      </c>
      <c r="F99" s="6">
        <f>IFERROR(__xludf.DUMMYFUNCTION("""COMPUTED_VALUE"""),8007102.0)</f>
        <v>8007102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IFERROR(__xludf.DUMMYFUNCTION("""COMPUTED_VALUE"""),676.2)</f>
        <v>676.2</v>
      </c>
      <c r="C100" s="6">
        <f>IFERROR(__xludf.DUMMYFUNCTION("""COMPUTED_VALUE"""),687.6)</f>
        <v>687.6</v>
      </c>
      <c r="D100" s="6">
        <f>IFERROR(__xludf.DUMMYFUNCTION("""COMPUTED_VALUE"""),667.5)</f>
        <v>667.5</v>
      </c>
      <c r="E100" s="6">
        <f>IFERROR(__xludf.DUMMYFUNCTION("""COMPUTED_VALUE"""),679.85)</f>
        <v>679.85</v>
      </c>
      <c r="F100" s="6">
        <f>IFERROR(__xludf.DUMMYFUNCTION("""COMPUTED_VALUE"""),9466205.0)</f>
        <v>9466205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IFERROR(__xludf.DUMMYFUNCTION("""COMPUTED_VALUE"""),682.0)</f>
        <v>682</v>
      </c>
      <c r="C101" s="6">
        <f>IFERROR(__xludf.DUMMYFUNCTION("""COMPUTED_VALUE"""),685.5)</f>
        <v>685.5</v>
      </c>
      <c r="D101" s="6">
        <f>IFERROR(__xludf.DUMMYFUNCTION("""COMPUTED_VALUE"""),668.5)</f>
        <v>668.5</v>
      </c>
      <c r="E101" s="6">
        <f>IFERROR(__xludf.DUMMYFUNCTION("""COMPUTED_VALUE"""),671.3)</f>
        <v>671.3</v>
      </c>
      <c r="F101" s="6">
        <f>IFERROR(__xludf.DUMMYFUNCTION("""COMPUTED_VALUE"""),6.6852336E7)</f>
        <v>66852336</v>
      </c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IFERROR(__xludf.DUMMYFUNCTION("GOOGLEFINANCE(""NSE:CHOLAFIN"",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IFERROR(__xludf.DUMMYFUNCTION("""COMPUTED_VALUE"""),1082.55)</f>
        <v>1082.55</v>
      </c>
      <c r="C2" s="6">
        <f>IFERROR(__xludf.DUMMYFUNCTION("""COMPUTED_VALUE"""),1134.0)</f>
        <v>1134</v>
      </c>
      <c r="D2" s="6">
        <f>IFERROR(__xludf.DUMMYFUNCTION("""COMPUTED_VALUE"""),1075.1)</f>
        <v>1075.1</v>
      </c>
      <c r="E2" s="6">
        <f>IFERROR(__xludf.DUMMYFUNCTION("""COMPUTED_VALUE"""),1128.85)</f>
        <v>1128.85</v>
      </c>
      <c r="F2" s="6">
        <f>IFERROR(__xludf.DUMMYFUNCTION("""COMPUTED_VALUE"""),8315000.0)</f>
        <v>8315000</v>
      </c>
    </row>
    <row r="3">
      <c r="A3" s="7">
        <f>IFERROR(__xludf.DUMMYFUNCTION("""COMPUTED_VALUE"""),45177.64583333333)</f>
        <v>45177.64583</v>
      </c>
      <c r="B3" s="6">
        <f>IFERROR(__xludf.DUMMYFUNCTION("""COMPUTED_VALUE"""),1131.1)</f>
        <v>1131.1</v>
      </c>
      <c r="C3" s="6">
        <f>IFERROR(__xludf.DUMMYFUNCTION("""COMPUTED_VALUE"""),1186.7)</f>
        <v>1186.7</v>
      </c>
      <c r="D3" s="6">
        <f>IFERROR(__xludf.DUMMYFUNCTION("""COMPUTED_VALUE"""),1084.35)</f>
        <v>1084.35</v>
      </c>
      <c r="E3" s="6">
        <f>IFERROR(__xludf.DUMMYFUNCTION("""COMPUTED_VALUE"""),1175.95)</f>
        <v>1175.95</v>
      </c>
      <c r="F3" s="6">
        <f>IFERROR(__xludf.DUMMYFUNCTION("""COMPUTED_VALUE"""),1.1542066E7)</f>
        <v>11542066</v>
      </c>
    </row>
    <row r="4">
      <c r="A4" s="7">
        <f>IFERROR(__xludf.DUMMYFUNCTION("""COMPUTED_VALUE"""),45184.64583333333)</f>
        <v>45184.64583</v>
      </c>
      <c r="B4" s="6">
        <f>IFERROR(__xludf.DUMMYFUNCTION("""COMPUTED_VALUE"""),1185.0)</f>
        <v>1185</v>
      </c>
      <c r="C4" s="6">
        <f>IFERROR(__xludf.DUMMYFUNCTION("""COMPUTED_VALUE"""),1240.0)</f>
        <v>1240</v>
      </c>
      <c r="D4" s="6">
        <f>IFERROR(__xludf.DUMMYFUNCTION("""COMPUTED_VALUE"""),1124.45)</f>
        <v>1124.45</v>
      </c>
      <c r="E4" s="6">
        <f>IFERROR(__xludf.DUMMYFUNCTION("""COMPUTED_VALUE"""),1227.1)</f>
        <v>1227.1</v>
      </c>
      <c r="F4" s="6">
        <f>IFERROR(__xludf.DUMMYFUNCTION("""COMPUTED_VALUE"""),1.7222458E7)</f>
        <v>17222458</v>
      </c>
    </row>
    <row r="5">
      <c r="A5" s="7">
        <f>IFERROR(__xludf.DUMMYFUNCTION("""COMPUTED_VALUE"""),45191.64583333333)</f>
        <v>45191.64583</v>
      </c>
      <c r="B5" s="6">
        <f>IFERROR(__xludf.DUMMYFUNCTION("""COMPUTED_VALUE"""),1230.0)</f>
        <v>1230</v>
      </c>
      <c r="C5" s="6">
        <f>IFERROR(__xludf.DUMMYFUNCTION("""COMPUTED_VALUE"""),1230.0)</f>
        <v>1230</v>
      </c>
      <c r="D5" s="6">
        <f>IFERROR(__xludf.DUMMYFUNCTION("""COMPUTED_VALUE"""),1172.55)</f>
        <v>1172.55</v>
      </c>
      <c r="E5" s="6">
        <f>IFERROR(__xludf.DUMMYFUNCTION("""COMPUTED_VALUE"""),1188.2)</f>
        <v>1188.2</v>
      </c>
      <c r="F5" s="6">
        <f>IFERROR(__xludf.DUMMYFUNCTION("""COMPUTED_VALUE"""),8863307.0)</f>
        <v>8863307</v>
      </c>
    </row>
    <row r="6">
      <c r="A6" s="7">
        <f>IFERROR(__xludf.DUMMYFUNCTION("""COMPUTED_VALUE"""),45198.64583333333)</f>
        <v>45198.64583</v>
      </c>
      <c r="B6" s="6">
        <f>IFERROR(__xludf.DUMMYFUNCTION("""COMPUTED_VALUE"""),1185.2)</f>
        <v>1185.2</v>
      </c>
      <c r="C6" s="6">
        <f>IFERROR(__xludf.DUMMYFUNCTION("""COMPUTED_VALUE"""),1249.45)</f>
        <v>1249.45</v>
      </c>
      <c r="D6" s="6">
        <f>IFERROR(__xludf.DUMMYFUNCTION("""COMPUTED_VALUE"""),1170.2)</f>
        <v>1170.2</v>
      </c>
      <c r="E6" s="6">
        <f>IFERROR(__xludf.DUMMYFUNCTION("""COMPUTED_VALUE"""),1217.55)</f>
        <v>1217.55</v>
      </c>
      <c r="F6" s="6">
        <f>IFERROR(__xludf.DUMMYFUNCTION("""COMPUTED_VALUE"""),9597335.0)</f>
        <v>9597335</v>
      </c>
    </row>
    <row r="7">
      <c r="A7" s="7">
        <f>IFERROR(__xludf.DUMMYFUNCTION("""COMPUTED_VALUE"""),45205.64583333333)</f>
        <v>45205.64583</v>
      </c>
      <c r="B7" s="6">
        <f>IFERROR(__xludf.DUMMYFUNCTION("""COMPUTED_VALUE"""),1218.45)</f>
        <v>1218.45</v>
      </c>
      <c r="C7" s="6">
        <f>IFERROR(__xludf.DUMMYFUNCTION("""COMPUTED_VALUE"""),1257.85)</f>
        <v>1257.85</v>
      </c>
      <c r="D7" s="6">
        <f>IFERROR(__xludf.DUMMYFUNCTION("""COMPUTED_VALUE"""),1185.35)</f>
        <v>1185.35</v>
      </c>
      <c r="E7" s="6">
        <f>IFERROR(__xludf.DUMMYFUNCTION("""COMPUTED_VALUE"""),1219.55)</f>
        <v>1219.55</v>
      </c>
      <c r="F7" s="6">
        <f>IFERROR(__xludf.DUMMYFUNCTION("""COMPUTED_VALUE"""),1.3294023E7)</f>
        <v>13294023</v>
      </c>
    </row>
    <row r="8">
      <c r="A8" s="7">
        <f>IFERROR(__xludf.DUMMYFUNCTION("""COMPUTED_VALUE"""),45212.64583333333)</f>
        <v>45212.64583</v>
      </c>
      <c r="B8" s="6">
        <f>IFERROR(__xludf.DUMMYFUNCTION("""COMPUTED_VALUE"""),1209.95)</f>
        <v>1209.95</v>
      </c>
      <c r="C8" s="6">
        <f>IFERROR(__xludf.DUMMYFUNCTION("""COMPUTED_VALUE"""),1272.9)</f>
        <v>1272.9</v>
      </c>
      <c r="D8" s="6">
        <f>IFERROR(__xludf.DUMMYFUNCTION("""COMPUTED_VALUE"""),1204.9)</f>
        <v>1204.9</v>
      </c>
      <c r="E8" s="6">
        <f>IFERROR(__xludf.DUMMYFUNCTION("""COMPUTED_VALUE"""),1257.8)</f>
        <v>1257.8</v>
      </c>
      <c r="F8" s="6">
        <f>IFERROR(__xludf.DUMMYFUNCTION("""COMPUTED_VALUE"""),7185757.0)</f>
        <v>7185757</v>
      </c>
    </row>
    <row r="9">
      <c r="A9" s="7">
        <f>IFERROR(__xludf.DUMMYFUNCTION("""COMPUTED_VALUE"""),45219.64583333333)</f>
        <v>45219.64583</v>
      </c>
      <c r="B9" s="6">
        <f>IFERROR(__xludf.DUMMYFUNCTION("""COMPUTED_VALUE"""),1257.8)</f>
        <v>1257.8</v>
      </c>
      <c r="C9" s="6">
        <f>IFERROR(__xludf.DUMMYFUNCTION("""COMPUTED_VALUE"""),1257.8)</f>
        <v>1257.8</v>
      </c>
      <c r="D9" s="6">
        <f>IFERROR(__xludf.DUMMYFUNCTION("""COMPUTED_VALUE"""),1184.1)</f>
        <v>1184.1</v>
      </c>
      <c r="E9" s="6">
        <f>IFERROR(__xludf.DUMMYFUNCTION("""COMPUTED_VALUE"""),1187.15)</f>
        <v>1187.15</v>
      </c>
      <c r="F9" s="6">
        <f>IFERROR(__xludf.DUMMYFUNCTION("""COMPUTED_VALUE"""),8781213.0)</f>
        <v>8781213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IFERROR(__xludf.DUMMYFUNCTION("""COMPUTED_VALUE"""),1186.0)</f>
        <v>1186</v>
      </c>
      <c r="C10" s="6">
        <f>IFERROR(__xludf.DUMMYFUNCTION("""COMPUTED_VALUE"""),1198.75)</f>
        <v>1198.75</v>
      </c>
      <c r="D10" s="6">
        <f>IFERROR(__xludf.DUMMYFUNCTION("""COMPUTED_VALUE"""),1114.65)</f>
        <v>1114.65</v>
      </c>
      <c r="E10" s="6">
        <f>IFERROR(__xludf.DUMMYFUNCTION("""COMPUTED_VALUE"""),1168.05)</f>
        <v>1168.05</v>
      </c>
      <c r="F10" s="6">
        <f>IFERROR(__xludf.DUMMYFUNCTION("""COMPUTED_VALUE"""),6494089.0)</f>
        <v>6494089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IFERROR(__xludf.DUMMYFUNCTION("""COMPUTED_VALUE"""),1166.0)</f>
        <v>1166</v>
      </c>
      <c r="C11" s="6">
        <f>IFERROR(__xludf.DUMMYFUNCTION("""COMPUTED_VALUE"""),1217.5)</f>
        <v>1217.5</v>
      </c>
      <c r="D11" s="6">
        <f>IFERROR(__xludf.DUMMYFUNCTION("""COMPUTED_VALUE"""),1126.2)</f>
        <v>1126.2</v>
      </c>
      <c r="E11" s="6">
        <f>IFERROR(__xludf.DUMMYFUNCTION("""COMPUTED_VALUE"""),1134.3)</f>
        <v>1134.3</v>
      </c>
      <c r="F11" s="6">
        <f>IFERROR(__xludf.DUMMYFUNCTION("""COMPUTED_VALUE"""),9261064.0)</f>
        <v>9261064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IFERROR(__xludf.DUMMYFUNCTION("""COMPUTED_VALUE"""),1142.0)</f>
        <v>1142</v>
      </c>
      <c r="C12" s="6">
        <f>IFERROR(__xludf.DUMMYFUNCTION("""COMPUTED_VALUE"""),1156.0)</f>
        <v>1156</v>
      </c>
      <c r="D12" s="6">
        <f>IFERROR(__xludf.DUMMYFUNCTION("""COMPUTED_VALUE"""),1113.0)</f>
        <v>1113</v>
      </c>
      <c r="E12" s="6">
        <f>IFERROR(__xludf.DUMMYFUNCTION("""COMPUTED_VALUE"""),1148.25)</f>
        <v>1148.25</v>
      </c>
      <c r="F12" s="6">
        <f>IFERROR(__xludf.DUMMYFUNCTION("""COMPUTED_VALUE"""),6387068.0)</f>
        <v>6387068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IFERROR(__xludf.DUMMYFUNCTION("""COMPUTED_VALUE"""),1157.8)</f>
        <v>1157.8</v>
      </c>
      <c r="C13" s="6">
        <f>IFERROR(__xludf.DUMMYFUNCTION("""COMPUTED_VALUE"""),1176.1)</f>
        <v>1176.1</v>
      </c>
      <c r="D13" s="6">
        <f>IFERROR(__xludf.DUMMYFUNCTION("""COMPUTED_VALUE"""),1115.85)</f>
        <v>1115.85</v>
      </c>
      <c r="E13" s="6">
        <f>IFERROR(__xludf.DUMMYFUNCTION("""COMPUTED_VALUE"""),1126.4)</f>
        <v>1126.4</v>
      </c>
      <c r="F13" s="6">
        <f>IFERROR(__xludf.DUMMYFUNCTION("""COMPUTED_VALUE"""),5422738.0)</f>
        <v>5422738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IFERROR(__xludf.DUMMYFUNCTION("""COMPUTED_VALUE"""),1129.9)</f>
        <v>1129.9</v>
      </c>
      <c r="C14" s="6">
        <f>IFERROR(__xludf.DUMMYFUNCTION("""COMPUTED_VALUE"""),1138.6)</f>
        <v>1138.6</v>
      </c>
      <c r="D14" s="6">
        <f>IFERROR(__xludf.DUMMYFUNCTION("""COMPUTED_VALUE"""),1091.3)</f>
        <v>1091.3</v>
      </c>
      <c r="E14" s="6">
        <f>IFERROR(__xludf.DUMMYFUNCTION("""COMPUTED_VALUE"""),1094.5)</f>
        <v>1094.5</v>
      </c>
      <c r="F14" s="6">
        <f>IFERROR(__xludf.DUMMYFUNCTION("""COMPUTED_VALUE"""),9042983.0)</f>
        <v>9042983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IFERROR(__xludf.DUMMYFUNCTION("""COMPUTED_VALUE"""),1092.05)</f>
        <v>1092.05</v>
      </c>
      <c r="C15" s="6">
        <f>IFERROR(__xludf.DUMMYFUNCTION("""COMPUTED_VALUE"""),1139.0)</f>
        <v>1139</v>
      </c>
      <c r="D15" s="6">
        <f>IFERROR(__xludf.DUMMYFUNCTION("""COMPUTED_VALUE"""),1085.4)</f>
        <v>1085.4</v>
      </c>
      <c r="E15" s="6">
        <f>IFERROR(__xludf.DUMMYFUNCTION("""COMPUTED_VALUE"""),1128.2)</f>
        <v>1128.2</v>
      </c>
      <c r="F15" s="6">
        <f>IFERROR(__xludf.DUMMYFUNCTION("""COMPUTED_VALUE"""),8605748.0)</f>
        <v>8605748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IFERROR(__xludf.DUMMYFUNCTION("""COMPUTED_VALUE"""),1136.5)</f>
        <v>1136.5</v>
      </c>
      <c r="C16" s="6">
        <f>IFERROR(__xludf.DUMMYFUNCTION("""COMPUTED_VALUE"""),1174.95)</f>
        <v>1174.95</v>
      </c>
      <c r="D16" s="6">
        <f>IFERROR(__xludf.DUMMYFUNCTION("""COMPUTED_VALUE"""),1128.25)</f>
        <v>1128.25</v>
      </c>
      <c r="E16" s="6">
        <f>IFERROR(__xludf.DUMMYFUNCTION("""COMPUTED_VALUE"""),1166.65)</f>
        <v>1166.65</v>
      </c>
      <c r="F16" s="6">
        <f>IFERROR(__xludf.DUMMYFUNCTION("""COMPUTED_VALUE"""),9599583.0)</f>
        <v>9599583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IFERROR(__xludf.DUMMYFUNCTION("""COMPUTED_VALUE"""),1171.0)</f>
        <v>1171</v>
      </c>
      <c r="C17" s="6">
        <f>IFERROR(__xludf.DUMMYFUNCTION("""COMPUTED_VALUE"""),1247.0)</f>
        <v>1247</v>
      </c>
      <c r="D17" s="6">
        <f>IFERROR(__xludf.DUMMYFUNCTION("""COMPUTED_VALUE"""),1163.5)</f>
        <v>1163.5</v>
      </c>
      <c r="E17" s="6">
        <f>IFERROR(__xludf.DUMMYFUNCTION("""COMPUTED_VALUE"""),1243.8)</f>
        <v>1243.8</v>
      </c>
      <c r="F17" s="6">
        <f>IFERROR(__xludf.DUMMYFUNCTION("""COMPUTED_VALUE"""),1.1293687E7)</f>
        <v>11293687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IFERROR(__xludf.DUMMYFUNCTION("""COMPUTED_VALUE"""),1253.25)</f>
        <v>1253.25</v>
      </c>
      <c r="C18" s="6">
        <f>IFERROR(__xludf.DUMMYFUNCTION("""COMPUTED_VALUE"""),1263.3)</f>
        <v>1263.3</v>
      </c>
      <c r="D18" s="6">
        <f>IFERROR(__xludf.DUMMYFUNCTION("""COMPUTED_VALUE"""),1210.6)</f>
        <v>1210.6</v>
      </c>
      <c r="E18" s="6">
        <f>IFERROR(__xludf.DUMMYFUNCTION("""COMPUTED_VALUE"""),1250.8)</f>
        <v>1250.8</v>
      </c>
      <c r="F18" s="6">
        <f>IFERROR(__xludf.DUMMYFUNCTION("""COMPUTED_VALUE"""),9490974.0)</f>
        <v>9490974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IFERROR(__xludf.DUMMYFUNCTION("""COMPUTED_VALUE"""),1250.0)</f>
        <v>1250</v>
      </c>
      <c r="C19" s="6">
        <f>IFERROR(__xludf.DUMMYFUNCTION("""COMPUTED_VALUE"""),1278.9)</f>
        <v>1278.9</v>
      </c>
      <c r="D19" s="6">
        <f>IFERROR(__xludf.DUMMYFUNCTION("""COMPUTED_VALUE"""),1228.3)</f>
        <v>1228.3</v>
      </c>
      <c r="E19" s="6">
        <f>IFERROR(__xludf.DUMMYFUNCTION("""COMPUTED_VALUE"""),1259.8)</f>
        <v>1259.8</v>
      </c>
      <c r="F19" s="6">
        <f>IFERROR(__xludf.DUMMYFUNCTION("""COMPUTED_VALUE"""),7419330.0)</f>
        <v>7419330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IFERROR(__xludf.DUMMYFUNCTION("""COMPUTED_VALUE"""),1259.7)</f>
        <v>1259.7</v>
      </c>
      <c r="C20" s="6">
        <f>IFERROR(__xludf.DUMMYFUNCTION("""COMPUTED_VALUE"""),1305.3)</f>
        <v>1305.3</v>
      </c>
      <c r="D20" s="6">
        <f>IFERROR(__xludf.DUMMYFUNCTION("""COMPUTED_VALUE"""),1214.55)</f>
        <v>1214.55</v>
      </c>
      <c r="E20" s="6">
        <f>IFERROR(__xludf.DUMMYFUNCTION("""COMPUTED_VALUE"""),1257.85)</f>
        <v>1257.85</v>
      </c>
      <c r="F20" s="6">
        <f>IFERROR(__xludf.DUMMYFUNCTION("""COMPUTED_VALUE"""),8343633.0)</f>
        <v>8343633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IFERROR(__xludf.DUMMYFUNCTION("""COMPUTED_VALUE"""),1267.0)</f>
        <v>1267</v>
      </c>
      <c r="C21" s="6">
        <f>IFERROR(__xludf.DUMMYFUNCTION("""COMPUTED_VALUE"""),1267.65)</f>
        <v>1267.65</v>
      </c>
      <c r="D21" s="6">
        <f>IFERROR(__xludf.DUMMYFUNCTION("""COMPUTED_VALUE"""),1207.65)</f>
        <v>1207.65</v>
      </c>
      <c r="E21" s="6">
        <f>IFERROR(__xludf.DUMMYFUNCTION("""COMPUTED_VALUE"""),1246.5)</f>
        <v>1246.5</v>
      </c>
      <c r="F21" s="6">
        <f>IFERROR(__xludf.DUMMYFUNCTION("""COMPUTED_VALUE"""),5557041.0)</f>
        <v>5557041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IFERROR(__xludf.DUMMYFUNCTION("""COMPUTED_VALUE"""),1267.0)</f>
        <v>1267</v>
      </c>
      <c r="C22" s="6">
        <f>IFERROR(__xludf.DUMMYFUNCTION("""COMPUTED_VALUE"""),1296.35)</f>
        <v>1296.35</v>
      </c>
      <c r="D22" s="6">
        <f>IFERROR(__xludf.DUMMYFUNCTION("""COMPUTED_VALUE"""),1201.5)</f>
        <v>1201.5</v>
      </c>
      <c r="E22" s="6">
        <f>IFERROR(__xludf.DUMMYFUNCTION("""COMPUTED_VALUE"""),1244.7)</f>
        <v>1244.7</v>
      </c>
      <c r="F22" s="6">
        <f>IFERROR(__xludf.DUMMYFUNCTION("""COMPUTED_VALUE"""),5971268.0)</f>
        <v>5971268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IFERROR(__xludf.DUMMYFUNCTION("""COMPUTED_VALUE"""),1270.0)</f>
        <v>1270</v>
      </c>
      <c r="C23" s="6">
        <f>IFERROR(__xludf.DUMMYFUNCTION("""COMPUTED_VALUE"""),1277.85)</f>
        <v>1277.85</v>
      </c>
      <c r="D23" s="6">
        <f>IFERROR(__xludf.DUMMYFUNCTION("""COMPUTED_VALUE"""),1133.85)</f>
        <v>1133.85</v>
      </c>
      <c r="E23" s="6">
        <f>IFERROR(__xludf.DUMMYFUNCTION("""COMPUTED_VALUE"""),1160.85)</f>
        <v>1160.85</v>
      </c>
      <c r="F23" s="6">
        <f>IFERROR(__xludf.DUMMYFUNCTION("""COMPUTED_VALUE"""),1.2837393E7)</f>
        <v>12837393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IFERROR(__xludf.DUMMYFUNCTION("""COMPUTED_VALUE"""),1162.0)</f>
        <v>1162</v>
      </c>
      <c r="C24" s="6">
        <f>IFERROR(__xludf.DUMMYFUNCTION("""COMPUTED_VALUE"""),1172.75)</f>
        <v>1172.75</v>
      </c>
      <c r="D24" s="6">
        <f>IFERROR(__xludf.DUMMYFUNCTION("""COMPUTED_VALUE"""),1100.2)</f>
        <v>1100.2</v>
      </c>
      <c r="E24" s="6">
        <f>IFERROR(__xludf.DUMMYFUNCTION("""COMPUTED_VALUE"""),1122.3)</f>
        <v>1122.3</v>
      </c>
      <c r="F24" s="6">
        <f>IFERROR(__xludf.DUMMYFUNCTION("""COMPUTED_VALUE"""),1.1752788E7)</f>
        <v>11752788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IFERROR(__xludf.DUMMYFUNCTION("""COMPUTED_VALUE"""),1130.0)</f>
        <v>1130</v>
      </c>
      <c r="C25" s="6">
        <f>IFERROR(__xludf.DUMMYFUNCTION("""COMPUTED_VALUE"""),1151.7)</f>
        <v>1151.7</v>
      </c>
      <c r="D25" s="6">
        <f>IFERROR(__xludf.DUMMYFUNCTION("""COMPUTED_VALUE"""),1098.0)</f>
        <v>1098</v>
      </c>
      <c r="E25" s="6">
        <f>IFERROR(__xludf.DUMMYFUNCTION("""COMPUTED_VALUE"""),1144.0)</f>
        <v>1144</v>
      </c>
      <c r="F25" s="6">
        <f>IFERROR(__xludf.DUMMYFUNCTION("""COMPUTED_VALUE"""),7770064.0)</f>
        <v>7770064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IFERROR(__xludf.DUMMYFUNCTION("""COMPUTED_VALUE"""),1152.45)</f>
        <v>1152.45</v>
      </c>
      <c r="C26" s="6">
        <f>IFERROR(__xludf.DUMMYFUNCTION("""COMPUTED_VALUE"""),1155.55)</f>
        <v>1155.55</v>
      </c>
      <c r="D26" s="6">
        <f>IFERROR(__xludf.DUMMYFUNCTION("""COMPUTED_VALUE"""),1067.4)</f>
        <v>1067.4</v>
      </c>
      <c r="E26" s="6">
        <f>IFERROR(__xludf.DUMMYFUNCTION("""COMPUTED_VALUE"""),1105.4)</f>
        <v>1105.4</v>
      </c>
      <c r="F26" s="6">
        <f>IFERROR(__xludf.DUMMYFUNCTION("""COMPUTED_VALUE"""),8850914.0)</f>
        <v>8850914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IFERROR(__xludf.DUMMYFUNCTION("""COMPUTED_VALUE"""),1085.0)</f>
        <v>1085</v>
      </c>
      <c r="C27" s="6">
        <f>IFERROR(__xludf.DUMMYFUNCTION("""COMPUTED_VALUE"""),1094.95)</f>
        <v>1094.95</v>
      </c>
      <c r="D27" s="6">
        <f>IFERROR(__xludf.DUMMYFUNCTION("""COMPUTED_VALUE"""),1011.2)</f>
        <v>1011.2</v>
      </c>
      <c r="E27" s="6">
        <f>IFERROR(__xludf.DUMMYFUNCTION("""COMPUTED_VALUE"""),1083.25)</f>
        <v>1083.25</v>
      </c>
      <c r="F27" s="6">
        <f>IFERROR(__xludf.DUMMYFUNCTION("""COMPUTED_VALUE"""),1.0852696E7)</f>
        <v>10852696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IFERROR(__xludf.DUMMYFUNCTION("""COMPUTED_VALUE"""),1092.0)</f>
        <v>1092</v>
      </c>
      <c r="C28" s="6">
        <f>IFERROR(__xludf.DUMMYFUNCTION("""COMPUTED_VALUE"""),1107.9)</f>
        <v>1107.9</v>
      </c>
      <c r="D28" s="6">
        <f>IFERROR(__xludf.DUMMYFUNCTION("""COMPUTED_VALUE"""),1034.3)</f>
        <v>1034.3</v>
      </c>
      <c r="E28" s="6">
        <f>IFERROR(__xludf.DUMMYFUNCTION("""COMPUTED_VALUE"""),1067.85)</f>
        <v>1067.85</v>
      </c>
      <c r="F28" s="6">
        <f>IFERROR(__xludf.DUMMYFUNCTION("""COMPUTED_VALUE"""),9697732.0)</f>
        <v>9697732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IFERROR(__xludf.DUMMYFUNCTION("""COMPUTED_VALUE"""),1071.0)</f>
        <v>1071</v>
      </c>
      <c r="C29" s="6">
        <f>IFERROR(__xludf.DUMMYFUNCTION("""COMPUTED_VALUE"""),1093.5)</f>
        <v>1093.5</v>
      </c>
      <c r="D29" s="6">
        <f>IFERROR(__xludf.DUMMYFUNCTION("""COMPUTED_VALUE"""),1026.65)</f>
        <v>1026.65</v>
      </c>
      <c r="E29" s="6">
        <f>IFERROR(__xludf.DUMMYFUNCTION("""COMPUTED_VALUE"""),1089.4)</f>
        <v>1089.4</v>
      </c>
      <c r="F29" s="6">
        <f>IFERROR(__xludf.DUMMYFUNCTION("""COMPUTED_VALUE"""),1.1044835E7)</f>
        <v>11044835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IFERROR(__xludf.DUMMYFUNCTION("""COMPUTED_VALUE"""),1080.4)</f>
        <v>1080.4</v>
      </c>
      <c r="C30" s="6">
        <f>IFERROR(__xludf.DUMMYFUNCTION("""COMPUTED_VALUE"""),1168.6)</f>
        <v>1168.6</v>
      </c>
      <c r="D30" s="6">
        <f>IFERROR(__xludf.DUMMYFUNCTION("""COMPUTED_VALUE"""),1077.5)</f>
        <v>1077.5</v>
      </c>
      <c r="E30" s="6">
        <f>IFERROR(__xludf.DUMMYFUNCTION("""COMPUTED_VALUE"""),1156.6)</f>
        <v>1156.6</v>
      </c>
      <c r="F30" s="6">
        <f>IFERROR(__xludf.DUMMYFUNCTION("""COMPUTED_VALUE"""),6383487.0)</f>
        <v>6383487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IFERROR(__xludf.DUMMYFUNCTION("""COMPUTED_VALUE"""),1162.0)</f>
        <v>1162</v>
      </c>
      <c r="C31" s="6">
        <f>IFERROR(__xludf.DUMMYFUNCTION("""COMPUTED_VALUE"""),1220.55)</f>
        <v>1220.55</v>
      </c>
      <c r="D31" s="6">
        <f>IFERROR(__xludf.DUMMYFUNCTION("""COMPUTED_VALUE"""),1160.0)</f>
        <v>1160</v>
      </c>
      <c r="E31" s="6">
        <f>IFERROR(__xludf.DUMMYFUNCTION("""COMPUTED_VALUE"""),1217.65)</f>
        <v>1217.65</v>
      </c>
      <c r="F31" s="6">
        <f>IFERROR(__xludf.DUMMYFUNCTION("""COMPUTED_VALUE"""),7290085.0)</f>
        <v>7290085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IFERROR(__xludf.DUMMYFUNCTION("""COMPUTED_VALUE"""),1236.0)</f>
        <v>1236</v>
      </c>
      <c r="C32" s="6">
        <f>IFERROR(__xludf.DUMMYFUNCTION("""COMPUTED_VALUE"""),1236.0)</f>
        <v>1236</v>
      </c>
      <c r="D32" s="6">
        <f>IFERROR(__xludf.DUMMYFUNCTION("""COMPUTED_VALUE"""),1174.1)</f>
        <v>1174.1</v>
      </c>
      <c r="E32" s="6">
        <f>IFERROR(__xludf.DUMMYFUNCTION("""COMPUTED_VALUE"""),1177.6)</f>
        <v>1177.6</v>
      </c>
      <c r="F32" s="6">
        <f>IFERROR(__xludf.DUMMYFUNCTION("""COMPUTED_VALUE"""),3807944.0)</f>
        <v>3807944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IFERROR(__xludf.DUMMYFUNCTION("""COMPUTED_VALUE"""),1150.0)</f>
        <v>1150</v>
      </c>
      <c r="C33" s="6">
        <f>IFERROR(__xludf.DUMMYFUNCTION("""COMPUTED_VALUE"""),1180.0)</f>
        <v>1180</v>
      </c>
      <c r="D33" s="6">
        <f>IFERROR(__xludf.DUMMYFUNCTION("""COMPUTED_VALUE"""),1100.5)</f>
        <v>1100.5</v>
      </c>
      <c r="E33" s="6">
        <f>IFERROR(__xludf.DUMMYFUNCTION("""COMPUTED_VALUE"""),1128.15)</f>
        <v>1128.15</v>
      </c>
      <c r="F33" s="6">
        <f>IFERROR(__xludf.DUMMYFUNCTION("""COMPUTED_VALUE"""),3498527.0)</f>
        <v>3498527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IFERROR(__xludf.DUMMYFUNCTION("""COMPUTED_VALUE"""),1139.0)</f>
        <v>1139</v>
      </c>
      <c r="C34" s="6">
        <f>IFERROR(__xludf.DUMMYFUNCTION("""COMPUTED_VALUE"""),1184.7)</f>
        <v>1184.7</v>
      </c>
      <c r="D34" s="6">
        <f>IFERROR(__xludf.DUMMYFUNCTION("""COMPUTED_VALUE"""),1125.5)</f>
        <v>1125.5</v>
      </c>
      <c r="E34" s="6">
        <f>IFERROR(__xludf.DUMMYFUNCTION("""COMPUTED_VALUE"""),1171.7)</f>
        <v>1171.7</v>
      </c>
      <c r="F34" s="6">
        <f>IFERROR(__xludf.DUMMYFUNCTION("""COMPUTED_VALUE"""),4468378.0)</f>
        <v>4468378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IFERROR(__xludf.DUMMYFUNCTION("""COMPUTED_VALUE"""),1173.0)</f>
        <v>1173</v>
      </c>
      <c r="C35" s="6">
        <f>IFERROR(__xludf.DUMMYFUNCTION("""COMPUTED_VALUE"""),1352.6)</f>
        <v>1352.6</v>
      </c>
      <c r="D35" s="6">
        <f>IFERROR(__xludf.DUMMYFUNCTION("""COMPUTED_VALUE"""),1161.15)</f>
        <v>1161.15</v>
      </c>
      <c r="E35" s="6">
        <f>IFERROR(__xludf.DUMMYFUNCTION("""COMPUTED_VALUE"""),1309.7)</f>
        <v>1309.7</v>
      </c>
      <c r="F35" s="6">
        <f>IFERROR(__xludf.DUMMYFUNCTION("""COMPUTED_VALUE"""),1.3239855E7)</f>
        <v>13239855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IFERROR(__xludf.DUMMYFUNCTION("""COMPUTED_VALUE"""),1315.0)</f>
        <v>1315</v>
      </c>
      <c r="C36" s="6">
        <f>IFERROR(__xludf.DUMMYFUNCTION("""COMPUTED_VALUE"""),1349.9)</f>
        <v>1349.9</v>
      </c>
      <c r="D36" s="6">
        <f>IFERROR(__xludf.DUMMYFUNCTION("""COMPUTED_VALUE"""),1216.4)</f>
        <v>1216.4</v>
      </c>
      <c r="E36" s="6">
        <f>IFERROR(__xludf.DUMMYFUNCTION("""COMPUTED_VALUE"""),1272.65)</f>
        <v>1272.65</v>
      </c>
      <c r="F36" s="6">
        <f>IFERROR(__xludf.DUMMYFUNCTION("""COMPUTED_VALUE"""),8907730.0)</f>
        <v>8907730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IFERROR(__xludf.DUMMYFUNCTION("""COMPUTED_VALUE"""),1285.3)</f>
        <v>1285.3</v>
      </c>
      <c r="C37" s="6">
        <f>IFERROR(__xludf.DUMMYFUNCTION("""COMPUTED_VALUE"""),1308.7)</f>
        <v>1308.7</v>
      </c>
      <c r="D37" s="6">
        <f>IFERROR(__xludf.DUMMYFUNCTION("""COMPUTED_VALUE"""),1245.0)</f>
        <v>1245</v>
      </c>
      <c r="E37" s="6">
        <f>IFERROR(__xludf.DUMMYFUNCTION("""COMPUTED_VALUE"""),1260.95)</f>
        <v>1260.95</v>
      </c>
      <c r="F37" s="6">
        <f>IFERROR(__xludf.DUMMYFUNCTION("""COMPUTED_VALUE"""),4145555.0)</f>
        <v>4145555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IFERROR(__xludf.DUMMYFUNCTION("""COMPUTED_VALUE"""),1261.95)</f>
        <v>1261.95</v>
      </c>
      <c r="C38" s="6">
        <f>IFERROR(__xludf.DUMMYFUNCTION("""COMPUTED_VALUE"""),1274.95)</f>
        <v>1274.95</v>
      </c>
      <c r="D38" s="6">
        <f>IFERROR(__xludf.DUMMYFUNCTION("""COMPUTED_VALUE"""),1205.55)</f>
        <v>1205.55</v>
      </c>
      <c r="E38" s="6">
        <f>IFERROR(__xludf.DUMMYFUNCTION("""COMPUTED_VALUE"""),1241.1)</f>
        <v>1241.1</v>
      </c>
      <c r="F38" s="6">
        <f>IFERROR(__xludf.DUMMYFUNCTION("""COMPUTED_VALUE"""),6749525.0)</f>
        <v>6749525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IFERROR(__xludf.DUMMYFUNCTION("""COMPUTED_VALUE"""),1270.0)</f>
        <v>1270</v>
      </c>
      <c r="C39" s="6">
        <f>IFERROR(__xludf.DUMMYFUNCTION("""COMPUTED_VALUE"""),1351.0)</f>
        <v>1351</v>
      </c>
      <c r="D39" s="6">
        <f>IFERROR(__xludf.DUMMYFUNCTION("""COMPUTED_VALUE"""),1197.6)</f>
        <v>1197.6</v>
      </c>
      <c r="E39" s="6">
        <f>IFERROR(__xludf.DUMMYFUNCTION("""COMPUTED_VALUE"""),1337.85)</f>
        <v>1337.85</v>
      </c>
      <c r="F39" s="6">
        <f>IFERROR(__xludf.DUMMYFUNCTION("""COMPUTED_VALUE"""),9965962.0)</f>
        <v>9965962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IFERROR(__xludf.DUMMYFUNCTION("""COMPUTED_VALUE"""),1343.0)</f>
        <v>1343</v>
      </c>
      <c r="C40" s="6">
        <f>IFERROR(__xludf.DUMMYFUNCTION("""COMPUTED_VALUE"""),1455.85)</f>
        <v>1455.85</v>
      </c>
      <c r="D40" s="6">
        <f>IFERROR(__xludf.DUMMYFUNCTION("""COMPUTED_VALUE"""),1326.65)</f>
        <v>1326.65</v>
      </c>
      <c r="E40" s="6">
        <f>IFERROR(__xludf.DUMMYFUNCTION("""COMPUTED_VALUE"""),1447.0)</f>
        <v>1447</v>
      </c>
      <c r="F40" s="6">
        <f>IFERROR(__xludf.DUMMYFUNCTION("""COMPUTED_VALUE"""),9647109.0)</f>
        <v>9647109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IFERROR(__xludf.DUMMYFUNCTION("""COMPUTED_VALUE"""),1447.05)</f>
        <v>1447.05</v>
      </c>
      <c r="C41" s="6">
        <f>IFERROR(__xludf.DUMMYFUNCTION("""COMPUTED_VALUE"""),1476.2)</f>
        <v>1476.2</v>
      </c>
      <c r="D41" s="6">
        <f>IFERROR(__xludf.DUMMYFUNCTION("""COMPUTED_VALUE"""),1393.8)</f>
        <v>1393.8</v>
      </c>
      <c r="E41" s="6">
        <f>IFERROR(__xludf.DUMMYFUNCTION("""COMPUTED_VALUE"""),1401.55)</f>
        <v>1401.55</v>
      </c>
      <c r="F41" s="6">
        <f>IFERROR(__xludf.DUMMYFUNCTION("""COMPUTED_VALUE"""),5226806.0)</f>
        <v>5226806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IFERROR(__xludf.DUMMYFUNCTION("""COMPUTED_VALUE"""),1404.0)</f>
        <v>1404</v>
      </c>
      <c r="C42" s="6">
        <f>IFERROR(__xludf.DUMMYFUNCTION("""COMPUTED_VALUE"""),1448.0)</f>
        <v>1448</v>
      </c>
      <c r="D42" s="6">
        <f>IFERROR(__xludf.DUMMYFUNCTION("""COMPUTED_VALUE"""),1386.35)</f>
        <v>1386.35</v>
      </c>
      <c r="E42" s="6">
        <f>IFERROR(__xludf.DUMMYFUNCTION("""COMPUTED_VALUE"""),1423.5)</f>
        <v>1423.5</v>
      </c>
      <c r="F42" s="6">
        <f>IFERROR(__xludf.DUMMYFUNCTION("""COMPUTED_VALUE"""),5169381.0)</f>
        <v>5169381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IFERROR(__xludf.DUMMYFUNCTION("""COMPUTED_VALUE"""),1424.0)</f>
        <v>1424</v>
      </c>
      <c r="C43" s="6">
        <f>IFERROR(__xludf.DUMMYFUNCTION("""COMPUTED_VALUE"""),1450.0)</f>
        <v>1450</v>
      </c>
      <c r="D43" s="6">
        <f>IFERROR(__xludf.DUMMYFUNCTION("""COMPUTED_VALUE"""),1394.0)</f>
        <v>1394</v>
      </c>
      <c r="E43" s="6">
        <f>IFERROR(__xludf.DUMMYFUNCTION("""COMPUTED_VALUE"""),1431.6)</f>
        <v>1431.6</v>
      </c>
      <c r="F43" s="6">
        <f>IFERROR(__xludf.DUMMYFUNCTION("""COMPUTED_VALUE"""),3498745.0)</f>
        <v>3498745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IFERROR(__xludf.DUMMYFUNCTION("""COMPUTED_VALUE"""),1433.05)</f>
        <v>1433.05</v>
      </c>
      <c r="C44" s="6">
        <f>IFERROR(__xludf.DUMMYFUNCTION("""COMPUTED_VALUE"""),1433.05)</f>
        <v>1433.05</v>
      </c>
      <c r="D44" s="6">
        <f>IFERROR(__xludf.DUMMYFUNCTION("""COMPUTED_VALUE"""),1377.75)</f>
        <v>1377.75</v>
      </c>
      <c r="E44" s="6">
        <f>IFERROR(__xludf.DUMMYFUNCTION("""COMPUTED_VALUE"""),1380.7)</f>
        <v>1380.7</v>
      </c>
      <c r="F44" s="6">
        <f>IFERROR(__xludf.DUMMYFUNCTION("""COMPUTED_VALUE"""),5803505.0)</f>
        <v>5803505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IFERROR(__xludf.DUMMYFUNCTION("""COMPUTED_VALUE"""),1382.0)</f>
        <v>1382</v>
      </c>
      <c r="C45" s="6">
        <f>IFERROR(__xludf.DUMMYFUNCTION("""COMPUTED_VALUE"""),1456.85)</f>
        <v>1456.85</v>
      </c>
      <c r="D45" s="6">
        <f>IFERROR(__xludf.DUMMYFUNCTION("""COMPUTED_VALUE"""),1373.9)</f>
        <v>1373.9</v>
      </c>
      <c r="E45" s="6">
        <f>IFERROR(__xludf.DUMMYFUNCTION("""COMPUTED_VALUE"""),1426.7)</f>
        <v>1426.7</v>
      </c>
      <c r="F45" s="6">
        <f>IFERROR(__xludf.DUMMYFUNCTION("""COMPUTED_VALUE"""),4346826.0)</f>
        <v>4346826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IFERROR(__xludf.DUMMYFUNCTION("""COMPUTED_VALUE"""),1408.9)</f>
        <v>1408.9</v>
      </c>
      <c r="C46" s="6">
        <f>IFERROR(__xludf.DUMMYFUNCTION("""COMPUTED_VALUE"""),1437.15)</f>
        <v>1437.15</v>
      </c>
      <c r="D46" s="6">
        <f>IFERROR(__xludf.DUMMYFUNCTION("""COMPUTED_VALUE"""),1341.55)</f>
        <v>1341.55</v>
      </c>
      <c r="E46" s="6">
        <f>IFERROR(__xludf.DUMMYFUNCTION("""COMPUTED_VALUE"""),1410.95)</f>
        <v>1410.95</v>
      </c>
      <c r="F46" s="6">
        <f>IFERROR(__xludf.DUMMYFUNCTION("""COMPUTED_VALUE"""),6852471.0)</f>
        <v>6852471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IFERROR(__xludf.DUMMYFUNCTION("""COMPUTED_VALUE"""),1415.0)</f>
        <v>1415</v>
      </c>
      <c r="C47" s="6">
        <f>IFERROR(__xludf.DUMMYFUNCTION("""COMPUTED_VALUE"""),1477.0)</f>
        <v>1477</v>
      </c>
      <c r="D47" s="6">
        <f>IFERROR(__xludf.DUMMYFUNCTION("""COMPUTED_VALUE"""),1364.1)</f>
        <v>1364.1</v>
      </c>
      <c r="E47" s="6">
        <f>IFERROR(__xludf.DUMMYFUNCTION("""COMPUTED_VALUE"""),1385.1)</f>
        <v>1385.1</v>
      </c>
      <c r="F47" s="6">
        <f>IFERROR(__xludf.DUMMYFUNCTION("""COMPUTED_VALUE"""),1.0020737E7)</f>
        <v>10020737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IFERROR(__xludf.DUMMYFUNCTION("""COMPUTED_VALUE"""),1370.0)</f>
        <v>1370</v>
      </c>
      <c r="C48" s="6">
        <f>IFERROR(__xludf.DUMMYFUNCTION("""COMPUTED_VALUE"""),1388.9)</f>
        <v>1388.9</v>
      </c>
      <c r="D48" s="6">
        <f>IFERROR(__xludf.DUMMYFUNCTION("""COMPUTED_VALUE"""),1329.05)</f>
        <v>1329.05</v>
      </c>
      <c r="E48" s="6">
        <f>IFERROR(__xludf.DUMMYFUNCTION("""COMPUTED_VALUE"""),1348.65)</f>
        <v>1348.65</v>
      </c>
      <c r="F48" s="6">
        <f>IFERROR(__xludf.DUMMYFUNCTION("""COMPUTED_VALUE"""),5669332.0)</f>
        <v>5669332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IFERROR(__xludf.DUMMYFUNCTION("""COMPUTED_VALUE"""),1340.0)</f>
        <v>1340</v>
      </c>
      <c r="C49" s="6">
        <f>IFERROR(__xludf.DUMMYFUNCTION("""COMPUTED_VALUE"""),1372.75)</f>
        <v>1372.75</v>
      </c>
      <c r="D49" s="6">
        <f>IFERROR(__xludf.DUMMYFUNCTION("""COMPUTED_VALUE"""),1302.5)</f>
        <v>1302.5</v>
      </c>
      <c r="E49" s="6">
        <f>IFERROR(__xludf.DUMMYFUNCTION("""COMPUTED_VALUE"""),1369.15)</f>
        <v>1369.15</v>
      </c>
      <c r="F49" s="6">
        <f>IFERROR(__xludf.DUMMYFUNCTION("""COMPUTED_VALUE"""),5904097.0)</f>
        <v>5904097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IFERROR(__xludf.DUMMYFUNCTION("""COMPUTED_VALUE"""),1369.15)</f>
        <v>1369.15</v>
      </c>
      <c r="C50" s="6">
        <f>IFERROR(__xludf.DUMMYFUNCTION("""COMPUTED_VALUE"""),1410.0)</f>
        <v>1410</v>
      </c>
      <c r="D50" s="6">
        <f>IFERROR(__xludf.DUMMYFUNCTION("""COMPUTED_VALUE"""),1344.2)</f>
        <v>1344.2</v>
      </c>
      <c r="E50" s="6">
        <f>IFERROR(__xludf.DUMMYFUNCTION("""COMPUTED_VALUE"""),1348.8)</f>
        <v>1348.8</v>
      </c>
      <c r="F50" s="6">
        <f>IFERROR(__xludf.DUMMYFUNCTION("""COMPUTED_VALUE"""),6140324.0)</f>
        <v>6140324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IFERROR(__xludf.DUMMYFUNCTION("""COMPUTED_VALUE"""),1357.0)</f>
        <v>1357</v>
      </c>
      <c r="C51" s="6">
        <f>IFERROR(__xludf.DUMMYFUNCTION("""COMPUTED_VALUE"""),1478.9)</f>
        <v>1478.9</v>
      </c>
      <c r="D51" s="6">
        <f>IFERROR(__xludf.DUMMYFUNCTION("""COMPUTED_VALUE"""),1350.0)</f>
        <v>1350</v>
      </c>
      <c r="E51" s="6">
        <f>IFERROR(__xludf.DUMMYFUNCTION("""COMPUTED_VALUE"""),1455.6)</f>
        <v>1455.6</v>
      </c>
      <c r="F51" s="6">
        <f>IFERROR(__xludf.DUMMYFUNCTION("""COMPUTED_VALUE"""),9006858.0)</f>
        <v>9006858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IFERROR(__xludf.DUMMYFUNCTION("""COMPUTED_VALUE"""),1460.0)</f>
        <v>1460</v>
      </c>
      <c r="C52" s="6">
        <f>IFERROR(__xludf.DUMMYFUNCTION("""COMPUTED_VALUE"""),1556.8)</f>
        <v>1556.8</v>
      </c>
      <c r="D52" s="6">
        <f>IFERROR(__xludf.DUMMYFUNCTION("""COMPUTED_VALUE"""),1452.55)</f>
        <v>1452.55</v>
      </c>
      <c r="E52" s="6">
        <f>IFERROR(__xludf.DUMMYFUNCTION("""COMPUTED_VALUE"""),1511.35)</f>
        <v>1511.35</v>
      </c>
      <c r="F52" s="6">
        <f>IFERROR(__xludf.DUMMYFUNCTION("""COMPUTED_VALUE"""),1.1208539E7)</f>
        <v>11208539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IFERROR(__xludf.DUMMYFUNCTION("""COMPUTED_VALUE"""),1511.35)</f>
        <v>1511.35</v>
      </c>
      <c r="C53" s="6">
        <f>IFERROR(__xludf.DUMMYFUNCTION("""COMPUTED_VALUE"""),1594.0)</f>
        <v>1594</v>
      </c>
      <c r="D53" s="6">
        <f>IFERROR(__xludf.DUMMYFUNCTION("""COMPUTED_VALUE"""),1500.6)</f>
        <v>1500.6</v>
      </c>
      <c r="E53" s="6">
        <f>IFERROR(__xludf.DUMMYFUNCTION("""COMPUTED_VALUE"""),1574.5)</f>
        <v>1574.5</v>
      </c>
      <c r="F53" s="6">
        <f>IFERROR(__xludf.DUMMYFUNCTION("""COMPUTED_VALUE"""),7339872.0)</f>
        <v>7339872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IFERROR(__xludf.DUMMYFUNCTION("""COMPUTED_VALUE"""),1580.85)</f>
        <v>1580.85</v>
      </c>
      <c r="C54" s="6">
        <f>IFERROR(__xludf.DUMMYFUNCTION("""COMPUTED_VALUE"""),1614.0)</f>
        <v>1614</v>
      </c>
      <c r="D54" s="6">
        <f>IFERROR(__xludf.DUMMYFUNCTION("""COMPUTED_VALUE"""),1557.4)</f>
        <v>1557.4</v>
      </c>
      <c r="E54" s="6">
        <f>IFERROR(__xludf.DUMMYFUNCTION("""COMPUTED_VALUE"""),1604.3)</f>
        <v>1604.3</v>
      </c>
      <c r="F54" s="6">
        <f>IFERROR(__xludf.DUMMYFUNCTION("""COMPUTED_VALUE"""),6496757.0)</f>
        <v>6496757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IFERROR(__xludf.DUMMYFUNCTION("""COMPUTED_VALUE"""),1620.0)</f>
        <v>1620</v>
      </c>
      <c r="C55" s="6">
        <f>IFERROR(__xludf.DUMMYFUNCTION("""COMPUTED_VALUE"""),1652.0)</f>
        <v>1652</v>
      </c>
      <c r="D55" s="6">
        <f>IFERROR(__xludf.DUMMYFUNCTION("""COMPUTED_VALUE"""),1590.5)</f>
        <v>1590.5</v>
      </c>
      <c r="E55" s="6">
        <f>IFERROR(__xludf.DUMMYFUNCTION("""COMPUTED_VALUE"""),1609.0)</f>
        <v>1609</v>
      </c>
      <c r="F55" s="6">
        <f>IFERROR(__xludf.DUMMYFUNCTION("""COMPUTED_VALUE"""),5980889.0)</f>
        <v>5980889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IFERROR(__xludf.DUMMYFUNCTION("""COMPUTED_VALUE"""),1609.0)</f>
        <v>1609</v>
      </c>
      <c r="C56" s="6">
        <f>IFERROR(__xludf.DUMMYFUNCTION("""COMPUTED_VALUE"""),1623.85)</f>
        <v>1623.85</v>
      </c>
      <c r="D56" s="6">
        <f>IFERROR(__xludf.DUMMYFUNCTION("""COMPUTED_VALUE"""),1489.15)</f>
        <v>1489.15</v>
      </c>
      <c r="E56" s="6">
        <f>IFERROR(__xludf.DUMMYFUNCTION("""COMPUTED_VALUE"""),1497.4)</f>
        <v>1497.4</v>
      </c>
      <c r="F56" s="6">
        <f>IFERROR(__xludf.DUMMYFUNCTION("""COMPUTED_VALUE"""),3721142.0)</f>
        <v>3721142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IFERROR(__xludf.DUMMYFUNCTION("""COMPUTED_VALUE"""),1504.8)</f>
        <v>1504.8</v>
      </c>
      <c r="C57" s="6">
        <f>IFERROR(__xludf.DUMMYFUNCTION("""COMPUTED_VALUE"""),1587.45)</f>
        <v>1587.45</v>
      </c>
      <c r="D57" s="6">
        <f>IFERROR(__xludf.DUMMYFUNCTION("""COMPUTED_VALUE"""),1462.0)</f>
        <v>1462</v>
      </c>
      <c r="E57" s="6">
        <f>IFERROR(__xludf.DUMMYFUNCTION("""COMPUTED_VALUE"""),1501.05)</f>
        <v>1501.05</v>
      </c>
      <c r="F57" s="6">
        <f>IFERROR(__xludf.DUMMYFUNCTION("""COMPUTED_VALUE"""),6889048.0)</f>
        <v>6889048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IFERROR(__xludf.DUMMYFUNCTION("""COMPUTED_VALUE"""),1525.0)</f>
        <v>1525</v>
      </c>
      <c r="C58" s="6">
        <f>IFERROR(__xludf.DUMMYFUNCTION("""COMPUTED_VALUE"""),1533.55)</f>
        <v>1533.55</v>
      </c>
      <c r="D58" s="6">
        <f>IFERROR(__xludf.DUMMYFUNCTION("""COMPUTED_VALUE"""),1427.5)</f>
        <v>1427.5</v>
      </c>
      <c r="E58" s="6">
        <f>IFERROR(__xludf.DUMMYFUNCTION("""COMPUTED_VALUE"""),1460.3)</f>
        <v>1460.3</v>
      </c>
      <c r="F58" s="6">
        <f>IFERROR(__xludf.DUMMYFUNCTION("""COMPUTED_VALUE"""),5256359.0)</f>
        <v>5256359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IFERROR(__xludf.DUMMYFUNCTION("""COMPUTED_VALUE"""),1461.0)</f>
        <v>1461</v>
      </c>
      <c r="C59" s="6">
        <f>IFERROR(__xludf.DUMMYFUNCTION("""COMPUTED_VALUE"""),1476.7)</f>
        <v>1476.7</v>
      </c>
      <c r="D59" s="6">
        <f>IFERROR(__xludf.DUMMYFUNCTION("""COMPUTED_VALUE"""),1342.05)</f>
        <v>1342.05</v>
      </c>
      <c r="E59" s="6">
        <f>IFERROR(__xludf.DUMMYFUNCTION("""COMPUTED_VALUE"""),1372.2)</f>
        <v>1372.2</v>
      </c>
      <c r="F59" s="6">
        <f>IFERROR(__xludf.DUMMYFUNCTION("""COMPUTED_VALUE"""),5681556.0)</f>
        <v>5681556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IFERROR(__xludf.DUMMYFUNCTION("""COMPUTED_VALUE"""),1291.0)</f>
        <v>1291</v>
      </c>
      <c r="C60" s="6">
        <f>IFERROR(__xludf.DUMMYFUNCTION("""COMPUTED_VALUE"""),1320.0)</f>
        <v>1320</v>
      </c>
      <c r="D60" s="6">
        <f>IFERROR(__xludf.DUMMYFUNCTION("""COMPUTED_VALUE"""),1221.1)</f>
        <v>1221.1</v>
      </c>
      <c r="E60" s="6">
        <f>IFERROR(__xludf.DUMMYFUNCTION("""COMPUTED_VALUE"""),1260.7)</f>
        <v>1260.7</v>
      </c>
      <c r="F60" s="6">
        <f>IFERROR(__xludf.DUMMYFUNCTION("""COMPUTED_VALUE"""),6738831.0)</f>
        <v>6738831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IFERROR(__xludf.DUMMYFUNCTION("""COMPUTED_VALUE"""),1263.0)</f>
        <v>1263</v>
      </c>
      <c r="C61" s="6">
        <f>IFERROR(__xludf.DUMMYFUNCTION("""COMPUTED_VALUE"""),1278.35)</f>
        <v>1278.35</v>
      </c>
      <c r="D61" s="6">
        <f>IFERROR(__xludf.DUMMYFUNCTION("""COMPUTED_VALUE"""),1181.15)</f>
        <v>1181.15</v>
      </c>
      <c r="E61" s="6">
        <f>IFERROR(__xludf.DUMMYFUNCTION("""COMPUTED_VALUE"""),1205.7)</f>
        <v>1205.7</v>
      </c>
      <c r="F61" s="6">
        <f>IFERROR(__xludf.DUMMYFUNCTION("""COMPUTED_VALUE"""),4967216.0)</f>
        <v>4967216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IFERROR(__xludf.DUMMYFUNCTION("""COMPUTED_VALUE"""),1211.75)</f>
        <v>1211.75</v>
      </c>
      <c r="C62" s="6">
        <f>IFERROR(__xludf.DUMMYFUNCTION("""COMPUTED_VALUE"""),1254.25)</f>
        <v>1254.25</v>
      </c>
      <c r="D62" s="6">
        <f>IFERROR(__xludf.DUMMYFUNCTION("""COMPUTED_VALUE"""),1185.0)</f>
        <v>1185</v>
      </c>
      <c r="E62" s="6">
        <f>IFERROR(__xludf.DUMMYFUNCTION("""COMPUTED_VALUE"""),1208.4)</f>
        <v>1208.4</v>
      </c>
      <c r="F62" s="6">
        <f>IFERROR(__xludf.DUMMYFUNCTION("""COMPUTED_VALUE"""),8465765.0)</f>
        <v>8465765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IFERROR(__xludf.DUMMYFUNCTION("""COMPUTED_VALUE"""),1252.0)</f>
        <v>1252</v>
      </c>
      <c r="C63" s="6">
        <f>IFERROR(__xludf.DUMMYFUNCTION("""COMPUTED_VALUE"""),1292.0)</f>
        <v>1292</v>
      </c>
      <c r="D63" s="6">
        <f>IFERROR(__xludf.DUMMYFUNCTION("""COMPUTED_VALUE"""),1229.05)</f>
        <v>1229.05</v>
      </c>
      <c r="E63" s="6">
        <f>IFERROR(__xludf.DUMMYFUNCTION("""COMPUTED_VALUE"""),1233.95)</f>
        <v>1233.95</v>
      </c>
      <c r="F63" s="6">
        <f>IFERROR(__xludf.DUMMYFUNCTION("""COMPUTED_VALUE"""),8693281.0)</f>
        <v>8693281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IFERROR(__xludf.DUMMYFUNCTION("""COMPUTED_VALUE"""),1234.0)</f>
        <v>1234</v>
      </c>
      <c r="C64" s="6">
        <f>IFERROR(__xludf.DUMMYFUNCTION("""COMPUTED_VALUE"""),1302.65)</f>
        <v>1302.65</v>
      </c>
      <c r="D64" s="6">
        <f>IFERROR(__xludf.DUMMYFUNCTION("""COMPUTED_VALUE"""),1233.15)</f>
        <v>1233.15</v>
      </c>
      <c r="E64" s="6">
        <f>IFERROR(__xludf.DUMMYFUNCTION("""COMPUTED_VALUE"""),1275.1)</f>
        <v>1275.1</v>
      </c>
      <c r="F64" s="6">
        <f>IFERROR(__xludf.DUMMYFUNCTION("""COMPUTED_VALUE"""),1.379891E7)</f>
        <v>13798910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IFERROR(__xludf.DUMMYFUNCTION("""COMPUTED_VALUE"""),1275.1)</f>
        <v>1275.1</v>
      </c>
      <c r="C65" s="6">
        <f>IFERROR(__xludf.DUMMYFUNCTION("""COMPUTED_VALUE"""),1364.0)</f>
        <v>1364</v>
      </c>
      <c r="D65" s="6">
        <f>IFERROR(__xludf.DUMMYFUNCTION("""COMPUTED_VALUE"""),1272.65)</f>
        <v>1272.65</v>
      </c>
      <c r="E65" s="6">
        <f>IFERROR(__xludf.DUMMYFUNCTION("""COMPUTED_VALUE"""),1304.85)</f>
        <v>1304.85</v>
      </c>
      <c r="F65" s="6">
        <f>IFERROR(__xludf.DUMMYFUNCTION("""COMPUTED_VALUE"""),1.0292286E7)</f>
        <v>10292286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IFERROR(__xludf.DUMMYFUNCTION("""COMPUTED_VALUE"""),1305.7)</f>
        <v>1305.7</v>
      </c>
      <c r="C66" s="6">
        <f>IFERROR(__xludf.DUMMYFUNCTION("""COMPUTED_VALUE"""),1312.2)</f>
        <v>1312.2</v>
      </c>
      <c r="D66" s="6">
        <f>IFERROR(__xludf.DUMMYFUNCTION("""COMPUTED_VALUE"""),1182.8)</f>
        <v>1182.8</v>
      </c>
      <c r="E66" s="6">
        <f>IFERROR(__xludf.DUMMYFUNCTION("""COMPUTED_VALUE"""),1189.55)</f>
        <v>1189.55</v>
      </c>
      <c r="F66" s="6">
        <f>IFERROR(__xludf.DUMMYFUNCTION("""COMPUTED_VALUE"""),1.049175E7)</f>
        <v>10491750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IFERROR(__xludf.DUMMYFUNCTION("""COMPUTED_VALUE"""),1192.5)</f>
        <v>1192.5</v>
      </c>
      <c r="C67" s="6">
        <f>IFERROR(__xludf.DUMMYFUNCTION("""COMPUTED_VALUE"""),1216.6)</f>
        <v>1216.6</v>
      </c>
      <c r="D67" s="6">
        <f>IFERROR(__xludf.DUMMYFUNCTION("""COMPUTED_VALUE"""),1168.0)</f>
        <v>1168</v>
      </c>
      <c r="E67" s="6">
        <f>IFERROR(__xludf.DUMMYFUNCTION("""COMPUTED_VALUE"""),1193.85)</f>
        <v>1193.85</v>
      </c>
      <c r="F67" s="6">
        <f>IFERROR(__xludf.DUMMYFUNCTION("""COMPUTED_VALUE"""),3829043.0)</f>
        <v>3829043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IFERROR(__xludf.DUMMYFUNCTION("""COMPUTED_VALUE"""),1217.0)</f>
        <v>1217</v>
      </c>
      <c r="C68" s="6">
        <f>IFERROR(__xludf.DUMMYFUNCTION("""COMPUTED_VALUE"""),1330.6)</f>
        <v>1330.6</v>
      </c>
      <c r="D68" s="6">
        <f>IFERROR(__xludf.DUMMYFUNCTION("""COMPUTED_VALUE"""),1175.1)</f>
        <v>1175.1</v>
      </c>
      <c r="E68" s="6">
        <f>IFERROR(__xludf.DUMMYFUNCTION("""COMPUTED_VALUE"""),1320.25)</f>
        <v>1320.25</v>
      </c>
      <c r="F68" s="6">
        <f>IFERROR(__xludf.DUMMYFUNCTION("""COMPUTED_VALUE"""),1.5948803E7)</f>
        <v>15948803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IFERROR(__xludf.DUMMYFUNCTION("""COMPUTED_VALUE"""),1324.0)</f>
        <v>1324</v>
      </c>
      <c r="C69" s="6">
        <f>IFERROR(__xludf.DUMMYFUNCTION("""COMPUTED_VALUE"""),1343.15)</f>
        <v>1343.15</v>
      </c>
      <c r="D69" s="6">
        <f>IFERROR(__xludf.DUMMYFUNCTION("""COMPUTED_VALUE"""),1238.55)</f>
        <v>1238.55</v>
      </c>
      <c r="E69" s="6">
        <f>IFERROR(__xludf.DUMMYFUNCTION("""COMPUTED_VALUE"""),1255.05)</f>
        <v>1255.05</v>
      </c>
      <c r="F69" s="6">
        <f>IFERROR(__xludf.DUMMYFUNCTION("""COMPUTED_VALUE"""),8702885.0)</f>
        <v>8702885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IFERROR(__xludf.DUMMYFUNCTION("""COMPUTED_VALUE"""),1230.0)</f>
        <v>1230</v>
      </c>
      <c r="C70" s="6">
        <f>IFERROR(__xludf.DUMMYFUNCTION("""COMPUTED_VALUE"""),1297.95)</f>
        <v>1297.95</v>
      </c>
      <c r="D70" s="6">
        <f>IFERROR(__xludf.DUMMYFUNCTION("""COMPUTED_VALUE"""),1215.25)</f>
        <v>1215.25</v>
      </c>
      <c r="E70" s="6">
        <f>IFERROR(__xludf.DUMMYFUNCTION("""COMPUTED_VALUE"""),1257.4)</f>
        <v>1257.4</v>
      </c>
      <c r="F70" s="6">
        <f>IFERROR(__xludf.DUMMYFUNCTION("""COMPUTED_VALUE"""),9221540.0)</f>
        <v>9221540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IFERROR(__xludf.DUMMYFUNCTION("""COMPUTED_VALUE"""),1259.5)</f>
        <v>1259.5</v>
      </c>
      <c r="C71" s="6">
        <f>IFERROR(__xludf.DUMMYFUNCTION("""COMPUTED_VALUE"""),1278.0)</f>
        <v>1278</v>
      </c>
      <c r="D71" s="6">
        <f>IFERROR(__xludf.DUMMYFUNCTION("""COMPUTED_VALUE"""),1215.65)</f>
        <v>1215.65</v>
      </c>
      <c r="E71" s="6">
        <f>IFERROR(__xludf.DUMMYFUNCTION("""COMPUTED_VALUE"""),1223.05)</f>
        <v>1223.05</v>
      </c>
      <c r="F71" s="6">
        <f>IFERROR(__xludf.DUMMYFUNCTION("""COMPUTED_VALUE"""),5887895.0)</f>
        <v>5887895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IFERROR(__xludf.DUMMYFUNCTION("""COMPUTED_VALUE"""),1269.0)</f>
        <v>1269</v>
      </c>
      <c r="C72" s="6">
        <f>IFERROR(__xludf.DUMMYFUNCTION("""COMPUTED_VALUE"""),1401.45)</f>
        <v>1401.45</v>
      </c>
      <c r="D72" s="6">
        <f>IFERROR(__xludf.DUMMYFUNCTION("""COMPUTED_VALUE"""),1239.1)</f>
        <v>1239.1</v>
      </c>
      <c r="E72" s="6">
        <f>IFERROR(__xludf.DUMMYFUNCTION("""COMPUTED_VALUE"""),1380.15)</f>
        <v>1380.15</v>
      </c>
      <c r="F72" s="6">
        <f>IFERROR(__xludf.DUMMYFUNCTION("""COMPUTED_VALUE"""),1.307789E7)</f>
        <v>13077890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IFERROR(__xludf.DUMMYFUNCTION("""COMPUTED_VALUE"""),1374.1)</f>
        <v>1374.1</v>
      </c>
      <c r="C73" s="6">
        <f>IFERROR(__xludf.DUMMYFUNCTION("""COMPUTED_VALUE"""),1414.5)</f>
        <v>1414.5</v>
      </c>
      <c r="D73" s="6">
        <f>IFERROR(__xludf.DUMMYFUNCTION("""COMPUTED_VALUE"""),1300.6)</f>
        <v>1300.6</v>
      </c>
      <c r="E73" s="6">
        <f>IFERROR(__xludf.DUMMYFUNCTION("""COMPUTED_VALUE"""),1376.0)</f>
        <v>1376</v>
      </c>
      <c r="F73" s="6">
        <f>IFERROR(__xludf.DUMMYFUNCTION("""COMPUTED_VALUE"""),7877779.0)</f>
        <v>7877779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IFERROR(__xludf.DUMMYFUNCTION("""COMPUTED_VALUE"""),1365.05)</f>
        <v>1365.05</v>
      </c>
      <c r="C74" s="6">
        <f>IFERROR(__xludf.DUMMYFUNCTION("""COMPUTED_VALUE"""),1406.75)</f>
        <v>1406.75</v>
      </c>
      <c r="D74" s="6">
        <f>IFERROR(__xludf.DUMMYFUNCTION("""COMPUTED_VALUE"""),1333.05)</f>
        <v>1333.05</v>
      </c>
      <c r="E74" s="6">
        <f>IFERROR(__xludf.DUMMYFUNCTION("""COMPUTED_VALUE"""),1384.15)</f>
        <v>1384.15</v>
      </c>
      <c r="F74" s="6">
        <f>IFERROR(__xludf.DUMMYFUNCTION("""COMPUTED_VALUE"""),6227243.0)</f>
        <v>6227243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IFERROR(__xludf.DUMMYFUNCTION("""COMPUTED_VALUE"""),1375.0)</f>
        <v>1375</v>
      </c>
      <c r="C75" s="6">
        <f>IFERROR(__xludf.DUMMYFUNCTION("""COMPUTED_VALUE"""),1443.5)</f>
        <v>1443.5</v>
      </c>
      <c r="D75" s="6">
        <f>IFERROR(__xludf.DUMMYFUNCTION("""COMPUTED_VALUE"""),1338.0)</f>
        <v>1338</v>
      </c>
      <c r="E75" s="6">
        <f>IFERROR(__xludf.DUMMYFUNCTION("""COMPUTED_VALUE"""),1400.75)</f>
        <v>1400.75</v>
      </c>
      <c r="F75" s="6">
        <f>IFERROR(__xludf.DUMMYFUNCTION("""COMPUTED_VALUE"""),9708731.0)</f>
        <v>9708731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IFERROR(__xludf.DUMMYFUNCTION("""COMPUTED_VALUE"""),1408.0)</f>
        <v>1408</v>
      </c>
      <c r="C76" s="6">
        <f>IFERROR(__xludf.DUMMYFUNCTION("""COMPUTED_VALUE"""),1500.0)</f>
        <v>1500</v>
      </c>
      <c r="D76" s="6">
        <f>IFERROR(__xludf.DUMMYFUNCTION("""COMPUTED_VALUE"""),1387.3)</f>
        <v>1387.3</v>
      </c>
      <c r="E76" s="6">
        <f>IFERROR(__xludf.DUMMYFUNCTION("""COMPUTED_VALUE"""),1457.35)</f>
        <v>1457.35</v>
      </c>
      <c r="F76" s="6">
        <f>IFERROR(__xludf.DUMMYFUNCTION("""COMPUTED_VALUE"""),9056353.0)</f>
        <v>9056353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IFERROR(__xludf.DUMMYFUNCTION("""COMPUTED_VALUE"""),1460.0)</f>
        <v>1460</v>
      </c>
      <c r="C77" s="6">
        <f>IFERROR(__xludf.DUMMYFUNCTION("""COMPUTED_VALUE"""),1476.35)</f>
        <v>1476.35</v>
      </c>
      <c r="D77" s="6">
        <f>IFERROR(__xludf.DUMMYFUNCTION("""COMPUTED_VALUE"""),1408.75)</f>
        <v>1408.75</v>
      </c>
      <c r="E77" s="6">
        <f>IFERROR(__xludf.DUMMYFUNCTION("""COMPUTED_VALUE"""),1444.7)</f>
        <v>1444.7</v>
      </c>
      <c r="F77" s="6">
        <f>IFERROR(__xludf.DUMMYFUNCTION("""COMPUTED_VALUE"""),4636007.0)</f>
        <v>4636007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IFERROR(__xludf.DUMMYFUNCTION("""COMPUTED_VALUE"""),1438.1)</f>
        <v>1438.1</v>
      </c>
      <c r="C78" s="6">
        <f>IFERROR(__xludf.DUMMYFUNCTION("""COMPUTED_VALUE"""),1550.0)</f>
        <v>1550</v>
      </c>
      <c r="D78" s="6">
        <f>IFERROR(__xludf.DUMMYFUNCTION("""COMPUTED_VALUE"""),1433.1)</f>
        <v>1433.1</v>
      </c>
      <c r="E78" s="6">
        <f>IFERROR(__xludf.DUMMYFUNCTION("""COMPUTED_VALUE"""),1538.5)</f>
        <v>1538.5</v>
      </c>
      <c r="F78" s="6">
        <f>IFERROR(__xludf.DUMMYFUNCTION("""COMPUTED_VALUE"""),9771920.0)</f>
        <v>9771920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IFERROR(__xludf.DUMMYFUNCTION("""COMPUTED_VALUE"""),1554.85)</f>
        <v>1554.85</v>
      </c>
      <c r="C79" s="6">
        <f>IFERROR(__xludf.DUMMYFUNCTION("""COMPUTED_VALUE"""),1580.0)</f>
        <v>1580</v>
      </c>
      <c r="D79" s="6">
        <f>IFERROR(__xludf.DUMMYFUNCTION("""COMPUTED_VALUE"""),1507.2)</f>
        <v>1507.2</v>
      </c>
      <c r="E79" s="6">
        <f>IFERROR(__xludf.DUMMYFUNCTION("""COMPUTED_VALUE"""),1519.95)</f>
        <v>1519.95</v>
      </c>
      <c r="F79" s="6">
        <f>IFERROR(__xludf.DUMMYFUNCTION("""COMPUTED_VALUE"""),1.2096599E7)</f>
        <v>12096599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IFERROR(__xludf.DUMMYFUNCTION("""COMPUTED_VALUE"""),1523.0)</f>
        <v>1523</v>
      </c>
      <c r="C80" s="6">
        <f>IFERROR(__xludf.DUMMYFUNCTION("""COMPUTED_VALUE"""),1523.9)</f>
        <v>1523.9</v>
      </c>
      <c r="D80" s="6">
        <f>IFERROR(__xludf.DUMMYFUNCTION("""COMPUTED_VALUE"""),1426.25)</f>
        <v>1426.25</v>
      </c>
      <c r="E80" s="6">
        <f>IFERROR(__xludf.DUMMYFUNCTION("""COMPUTED_VALUE"""),1453.3)</f>
        <v>1453.3</v>
      </c>
      <c r="F80" s="6">
        <f>IFERROR(__xludf.DUMMYFUNCTION("""COMPUTED_VALUE"""),5275183.0)</f>
        <v>5275183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IFERROR(__xludf.DUMMYFUNCTION("""COMPUTED_VALUE"""),1445.0)</f>
        <v>1445</v>
      </c>
      <c r="C81" s="6">
        <f>IFERROR(__xludf.DUMMYFUNCTION("""COMPUTED_VALUE"""),1498.6)</f>
        <v>1498.6</v>
      </c>
      <c r="D81" s="6">
        <f>IFERROR(__xludf.DUMMYFUNCTION("""COMPUTED_VALUE"""),1358.65)</f>
        <v>1358.65</v>
      </c>
      <c r="E81" s="6">
        <f>IFERROR(__xludf.DUMMYFUNCTION("""COMPUTED_VALUE"""),1475.7)</f>
        <v>1475.7</v>
      </c>
      <c r="F81" s="6">
        <f>IFERROR(__xludf.DUMMYFUNCTION("""COMPUTED_VALUE"""),9524612.0)</f>
        <v>9524612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IFERROR(__xludf.DUMMYFUNCTION("""COMPUTED_VALUE"""),1520.0)</f>
        <v>1520</v>
      </c>
      <c r="C82" s="6">
        <f>IFERROR(__xludf.DUMMYFUNCTION("""COMPUTED_VALUE"""),1629.9)</f>
        <v>1629.9</v>
      </c>
      <c r="D82" s="6">
        <f>IFERROR(__xludf.DUMMYFUNCTION("""COMPUTED_VALUE"""),1487.9)</f>
        <v>1487.9</v>
      </c>
      <c r="E82" s="6">
        <f>IFERROR(__xludf.DUMMYFUNCTION("""COMPUTED_VALUE"""),1587.3)</f>
        <v>1587.3</v>
      </c>
      <c r="F82" s="6">
        <f>IFERROR(__xludf.DUMMYFUNCTION("""COMPUTED_VALUE"""),6366968.0)</f>
        <v>6366968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IFERROR(__xludf.DUMMYFUNCTION("""COMPUTED_VALUE"""),1609.3)</f>
        <v>1609.3</v>
      </c>
      <c r="C83" s="6">
        <f>IFERROR(__xludf.DUMMYFUNCTION("""COMPUTED_VALUE"""),1682.0)</f>
        <v>1682</v>
      </c>
      <c r="D83" s="6">
        <f>IFERROR(__xludf.DUMMYFUNCTION("""COMPUTED_VALUE"""),1517.7)</f>
        <v>1517.7</v>
      </c>
      <c r="E83" s="6">
        <f>IFERROR(__xludf.DUMMYFUNCTION("""COMPUTED_VALUE"""),1543.5)</f>
        <v>1543.5</v>
      </c>
      <c r="F83" s="6">
        <f>IFERROR(__xludf.DUMMYFUNCTION("""COMPUTED_VALUE"""),1.6281157E7)</f>
        <v>16281157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IFERROR(__xludf.DUMMYFUNCTION("""COMPUTED_VALUE"""),1522.1)</f>
        <v>1522.1</v>
      </c>
      <c r="C84" s="6">
        <f>IFERROR(__xludf.DUMMYFUNCTION("""COMPUTED_VALUE"""),1563.0)</f>
        <v>1563</v>
      </c>
      <c r="D84" s="6">
        <f>IFERROR(__xludf.DUMMYFUNCTION("""COMPUTED_VALUE"""),1465.6)</f>
        <v>1465.6</v>
      </c>
      <c r="E84" s="6">
        <f>IFERROR(__xludf.DUMMYFUNCTION("""COMPUTED_VALUE"""),1487.8)</f>
        <v>1487.8</v>
      </c>
      <c r="F84" s="6">
        <f>IFERROR(__xludf.DUMMYFUNCTION("""COMPUTED_VALUE"""),8779365.0)</f>
        <v>8779365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IFERROR(__xludf.DUMMYFUNCTION("""COMPUTED_VALUE"""),1494.0)</f>
        <v>1494</v>
      </c>
      <c r="C85" s="6">
        <f>IFERROR(__xludf.DUMMYFUNCTION("""COMPUTED_VALUE"""),1590.9)</f>
        <v>1590.9</v>
      </c>
      <c r="D85" s="6">
        <f>IFERROR(__xludf.DUMMYFUNCTION("""COMPUTED_VALUE"""),1487.4)</f>
        <v>1487.4</v>
      </c>
      <c r="E85" s="6">
        <f>IFERROR(__xludf.DUMMYFUNCTION("""COMPUTED_VALUE"""),1513.6)</f>
        <v>1513.6</v>
      </c>
      <c r="F85" s="6">
        <f>IFERROR(__xludf.DUMMYFUNCTION("""COMPUTED_VALUE"""),9242451.0)</f>
        <v>9242451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IFERROR(__xludf.DUMMYFUNCTION("""COMPUTED_VALUE"""),1550.0)</f>
        <v>1550</v>
      </c>
      <c r="C86" s="6">
        <f>IFERROR(__xludf.DUMMYFUNCTION("""COMPUTED_VALUE"""),1630.0)</f>
        <v>1630</v>
      </c>
      <c r="D86" s="6">
        <f>IFERROR(__xludf.DUMMYFUNCTION("""COMPUTED_VALUE"""),1543.9)</f>
        <v>1543.9</v>
      </c>
      <c r="E86" s="6">
        <f>IFERROR(__xludf.DUMMYFUNCTION("""COMPUTED_VALUE"""),1619.3)</f>
        <v>1619.3</v>
      </c>
      <c r="F86" s="6">
        <f>IFERROR(__xludf.DUMMYFUNCTION("""COMPUTED_VALUE"""),4742613.0)</f>
        <v>4742613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IFERROR(__xludf.DUMMYFUNCTION("""COMPUTED_VALUE"""),1620.0)</f>
        <v>1620</v>
      </c>
      <c r="C87" s="6">
        <f>IFERROR(__xludf.DUMMYFUNCTION("""COMPUTED_VALUE"""),1661.0)</f>
        <v>1661</v>
      </c>
      <c r="D87" s="6">
        <f>IFERROR(__xludf.DUMMYFUNCTION("""COMPUTED_VALUE"""),1600.4)</f>
        <v>1600.4</v>
      </c>
      <c r="E87" s="6">
        <f>IFERROR(__xludf.DUMMYFUNCTION("""COMPUTED_VALUE"""),1628.0)</f>
        <v>1628</v>
      </c>
      <c r="F87" s="6">
        <f>IFERROR(__xludf.DUMMYFUNCTION("""COMPUTED_VALUE"""),6415414.0)</f>
        <v>6415414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IFERROR(__xludf.DUMMYFUNCTION("""COMPUTED_VALUE"""),1628.0)</f>
        <v>1628</v>
      </c>
      <c r="C88" s="6">
        <f>IFERROR(__xludf.DUMMYFUNCTION("""COMPUTED_VALUE"""),1684.4)</f>
        <v>1684.4</v>
      </c>
      <c r="D88" s="6">
        <f>IFERROR(__xludf.DUMMYFUNCTION("""COMPUTED_VALUE"""),1593.0)</f>
        <v>1593</v>
      </c>
      <c r="E88" s="6">
        <f>IFERROR(__xludf.DUMMYFUNCTION("""COMPUTED_VALUE"""),1601.0)</f>
        <v>1601</v>
      </c>
      <c r="F88" s="6">
        <f>IFERROR(__xludf.DUMMYFUNCTION("""COMPUTED_VALUE"""),5654772.0)</f>
        <v>5654772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IFERROR(__xludf.DUMMYFUNCTION("""COMPUTED_VALUE"""),1570.0)</f>
        <v>1570</v>
      </c>
      <c r="C89" s="6">
        <f>IFERROR(__xludf.DUMMYFUNCTION("""COMPUTED_VALUE"""),1623.7)</f>
        <v>1623.7</v>
      </c>
      <c r="D89" s="6">
        <f>IFERROR(__xludf.DUMMYFUNCTION("""COMPUTED_VALUE"""),1494.4)</f>
        <v>1494.4</v>
      </c>
      <c r="E89" s="6">
        <f>IFERROR(__xludf.DUMMYFUNCTION("""COMPUTED_VALUE"""),1593.2)</f>
        <v>1593.2</v>
      </c>
      <c r="F89" s="6">
        <f>IFERROR(__xludf.DUMMYFUNCTION("""COMPUTED_VALUE"""),1.669164E7)</f>
        <v>16691640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IFERROR(__xludf.DUMMYFUNCTION("""COMPUTED_VALUE"""),1620.0)</f>
        <v>1620</v>
      </c>
      <c r="C90" s="6">
        <f>IFERROR(__xludf.DUMMYFUNCTION("""COMPUTED_VALUE"""),1660.0)</f>
        <v>1660</v>
      </c>
      <c r="D90" s="6">
        <f>IFERROR(__xludf.DUMMYFUNCTION("""COMPUTED_VALUE"""),1540.5)</f>
        <v>1540.5</v>
      </c>
      <c r="E90" s="6">
        <f>IFERROR(__xludf.DUMMYFUNCTION("""COMPUTED_VALUE"""),1553.8)</f>
        <v>1553.8</v>
      </c>
      <c r="F90" s="6">
        <f>IFERROR(__xludf.DUMMYFUNCTION("""COMPUTED_VALUE"""),1.0857593E7)</f>
        <v>10857593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IFERROR(__xludf.DUMMYFUNCTION("""COMPUTED_VALUE"""),1555.0)</f>
        <v>1555</v>
      </c>
      <c r="C91" s="6">
        <f>IFERROR(__xludf.DUMMYFUNCTION("""COMPUTED_VALUE"""),1599.8)</f>
        <v>1599.8</v>
      </c>
      <c r="D91" s="6">
        <f>IFERROR(__xludf.DUMMYFUNCTION("""COMPUTED_VALUE"""),1535.3)</f>
        <v>1535.3</v>
      </c>
      <c r="E91" s="6">
        <f>IFERROR(__xludf.DUMMYFUNCTION("""COMPUTED_VALUE"""),1557.5)</f>
        <v>1557.5</v>
      </c>
      <c r="F91" s="6">
        <f>IFERROR(__xludf.DUMMYFUNCTION("""COMPUTED_VALUE"""),7176291.0)</f>
        <v>7176291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IFERROR(__xludf.DUMMYFUNCTION("""COMPUTED_VALUE"""),1549.8)</f>
        <v>1549.8</v>
      </c>
      <c r="C92" s="6">
        <f>IFERROR(__xludf.DUMMYFUNCTION("""COMPUTED_VALUE"""),1666.6)</f>
        <v>1666.6</v>
      </c>
      <c r="D92" s="6">
        <f>IFERROR(__xludf.DUMMYFUNCTION("""COMPUTED_VALUE"""),1543.2)</f>
        <v>1543.2</v>
      </c>
      <c r="E92" s="6">
        <f>IFERROR(__xludf.DUMMYFUNCTION("""COMPUTED_VALUE"""),1654.1)</f>
        <v>1654.1</v>
      </c>
      <c r="F92" s="6">
        <f>IFERROR(__xludf.DUMMYFUNCTION("""COMPUTED_VALUE"""),1.1201819E7)</f>
        <v>11201819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IFERROR(__xludf.DUMMYFUNCTION("""COMPUTED_VALUE"""),1656.0)</f>
        <v>1656</v>
      </c>
      <c r="C93" s="6">
        <f>IFERROR(__xludf.DUMMYFUNCTION("""COMPUTED_VALUE"""),1658.2)</f>
        <v>1658.2</v>
      </c>
      <c r="D93" s="6">
        <f>IFERROR(__xludf.DUMMYFUNCTION("""COMPUTED_VALUE"""),1515.0)</f>
        <v>1515</v>
      </c>
      <c r="E93" s="6">
        <f>IFERROR(__xludf.DUMMYFUNCTION("""COMPUTED_VALUE"""),1526.7)</f>
        <v>1526.7</v>
      </c>
      <c r="F93" s="6">
        <f>IFERROR(__xludf.DUMMYFUNCTION("""COMPUTED_VALUE"""),1.2991706E7)</f>
        <v>12991706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IFERROR(__xludf.DUMMYFUNCTION("""COMPUTED_VALUE"""),1526.7)</f>
        <v>1526.7</v>
      </c>
      <c r="C94" s="6">
        <f>IFERROR(__xludf.DUMMYFUNCTION("""COMPUTED_VALUE"""),1576.0)</f>
        <v>1576</v>
      </c>
      <c r="D94" s="6">
        <f>IFERROR(__xludf.DUMMYFUNCTION("""COMPUTED_VALUE"""),1506.5)</f>
        <v>1506.5</v>
      </c>
      <c r="E94" s="6">
        <f>IFERROR(__xludf.DUMMYFUNCTION("""COMPUTED_VALUE"""),1532.5)</f>
        <v>1532.5</v>
      </c>
      <c r="F94" s="6">
        <f>IFERROR(__xludf.DUMMYFUNCTION("""COMPUTED_VALUE"""),9749469.0)</f>
        <v>9749469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IFERROR(__xludf.DUMMYFUNCTION("""COMPUTED_VALUE"""),1533.0)</f>
        <v>1533</v>
      </c>
      <c r="C95" s="6">
        <f>IFERROR(__xludf.DUMMYFUNCTION("""COMPUTED_VALUE"""),1571.4)</f>
        <v>1571.4</v>
      </c>
      <c r="D95" s="6">
        <f>IFERROR(__xludf.DUMMYFUNCTION("""COMPUTED_VALUE"""),1489.6)</f>
        <v>1489.6</v>
      </c>
      <c r="E95" s="6">
        <f>IFERROR(__xludf.DUMMYFUNCTION("""COMPUTED_VALUE"""),1554.6)</f>
        <v>1554.6</v>
      </c>
      <c r="F95" s="6">
        <f>IFERROR(__xludf.DUMMYFUNCTION("""COMPUTED_VALUE"""),9161450.0)</f>
        <v>9161450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IFERROR(__xludf.DUMMYFUNCTION("""COMPUTED_VALUE"""),1554.0)</f>
        <v>1554</v>
      </c>
      <c r="C96" s="6">
        <f>IFERROR(__xludf.DUMMYFUNCTION("""COMPUTED_VALUE"""),1587.8)</f>
        <v>1587.8</v>
      </c>
      <c r="D96" s="6">
        <f>IFERROR(__xludf.DUMMYFUNCTION("""COMPUTED_VALUE"""),1465.7)</f>
        <v>1465.7</v>
      </c>
      <c r="E96" s="6">
        <f>IFERROR(__xludf.DUMMYFUNCTION("""COMPUTED_VALUE"""),1503.8)</f>
        <v>1503.8</v>
      </c>
      <c r="F96" s="6">
        <f>IFERROR(__xludf.DUMMYFUNCTION("""COMPUTED_VALUE"""),9603761.0)</f>
        <v>9603761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IFERROR(__xludf.DUMMYFUNCTION("""COMPUTED_VALUE"""),1488.0)</f>
        <v>1488</v>
      </c>
      <c r="C97" s="6">
        <f>IFERROR(__xludf.DUMMYFUNCTION("""COMPUTED_VALUE"""),1506.4)</f>
        <v>1506.4</v>
      </c>
      <c r="D97" s="6">
        <f>IFERROR(__xludf.DUMMYFUNCTION("""COMPUTED_VALUE"""),1404.0)</f>
        <v>1404</v>
      </c>
      <c r="E97" s="6">
        <f>IFERROR(__xludf.DUMMYFUNCTION("""COMPUTED_VALUE"""),1422.5)</f>
        <v>1422.5</v>
      </c>
      <c r="F97" s="6">
        <f>IFERROR(__xludf.DUMMYFUNCTION("""COMPUTED_VALUE"""),1.445745E7)</f>
        <v>14457450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IFERROR(__xludf.DUMMYFUNCTION("""COMPUTED_VALUE"""),1422.8)</f>
        <v>1422.8</v>
      </c>
      <c r="C98" s="6">
        <f>IFERROR(__xludf.DUMMYFUNCTION("""COMPUTED_VALUE"""),1499.8)</f>
        <v>1499.8</v>
      </c>
      <c r="D98" s="6">
        <f>IFERROR(__xludf.DUMMYFUNCTION("""COMPUTED_VALUE"""),1422.8)</f>
        <v>1422.8</v>
      </c>
      <c r="E98" s="6">
        <f>IFERROR(__xludf.DUMMYFUNCTION("""COMPUTED_VALUE"""),1451.1)</f>
        <v>1451.1</v>
      </c>
      <c r="F98" s="6">
        <f>IFERROR(__xludf.DUMMYFUNCTION("""COMPUTED_VALUE"""),7377285.0)</f>
        <v>7377285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IFERROR(__xludf.DUMMYFUNCTION("""COMPUTED_VALUE"""),1452.0)</f>
        <v>1452</v>
      </c>
      <c r="C99" s="6">
        <f>IFERROR(__xludf.DUMMYFUNCTION("""COMPUTED_VALUE"""),1493.6)</f>
        <v>1493.6</v>
      </c>
      <c r="D99" s="6">
        <f>IFERROR(__xludf.DUMMYFUNCTION("""COMPUTED_VALUE"""),1445.5)</f>
        <v>1445.5</v>
      </c>
      <c r="E99" s="6">
        <f>IFERROR(__xludf.DUMMYFUNCTION("""COMPUTED_VALUE"""),1461.5)</f>
        <v>1461.5</v>
      </c>
      <c r="F99" s="6">
        <f>IFERROR(__xludf.DUMMYFUNCTION("""COMPUTED_VALUE"""),3881874.0)</f>
        <v>3881874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IFERROR(__xludf.DUMMYFUNCTION("""COMPUTED_VALUE"""),1500.0)</f>
        <v>1500</v>
      </c>
      <c r="C100" s="6">
        <f>IFERROR(__xludf.DUMMYFUNCTION("""COMPUTED_VALUE"""),1536.3)</f>
        <v>1536.3</v>
      </c>
      <c r="D100" s="6">
        <f>IFERROR(__xludf.DUMMYFUNCTION("""COMPUTED_VALUE"""),1495.8)</f>
        <v>1495.8</v>
      </c>
      <c r="E100" s="6">
        <f>IFERROR(__xludf.DUMMYFUNCTION("""COMPUTED_VALUE"""),1524.1)</f>
        <v>1524.1</v>
      </c>
      <c r="F100" s="6">
        <f>IFERROR(__xludf.DUMMYFUNCTION("""COMPUTED_VALUE"""),4868639.0)</f>
        <v>4868639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IFERROR(__xludf.DUMMYFUNCTION("""COMPUTED_VALUE"""),1524.9)</f>
        <v>1524.9</v>
      </c>
      <c r="C101" s="6">
        <f>IFERROR(__xludf.DUMMYFUNCTION("""COMPUTED_VALUE"""),1530.0)</f>
        <v>1530</v>
      </c>
      <c r="D101" s="6">
        <f>IFERROR(__xludf.DUMMYFUNCTION("""COMPUTED_VALUE"""),1470.1)</f>
        <v>1470.1</v>
      </c>
      <c r="E101" s="6">
        <f>IFERROR(__xludf.DUMMYFUNCTION("""COMPUTED_VALUE"""),1476.2)</f>
        <v>1476.2</v>
      </c>
      <c r="F101" s="6">
        <f>IFERROR(__xludf.DUMMYFUNCTION("""COMPUTED_VALUE"""),1.656086E7)</f>
        <v>16560860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IFERROR(__xludf.DUMMYFUNCTION("GOOGLEFINANCE(""NSE:CIPLA"",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IFERROR(__xludf.DUMMYFUNCTION("""COMPUTED_VALUE"""),1212.0)</f>
        <v>1212</v>
      </c>
      <c r="C2" s="6">
        <f>IFERROR(__xludf.DUMMYFUNCTION("""COMPUTED_VALUE"""),1268.9)</f>
        <v>1268.9</v>
      </c>
      <c r="D2" s="6">
        <f>IFERROR(__xludf.DUMMYFUNCTION("""COMPUTED_VALUE"""),1211.0)</f>
        <v>1211</v>
      </c>
      <c r="E2" s="6">
        <f>IFERROR(__xludf.DUMMYFUNCTION("""COMPUTED_VALUE"""),1245.4)</f>
        <v>1245.4</v>
      </c>
      <c r="F2" s="6">
        <f>IFERROR(__xludf.DUMMYFUNCTION("""COMPUTED_VALUE"""),8428433.0)</f>
        <v>8428433</v>
      </c>
    </row>
    <row r="3">
      <c r="A3" s="7">
        <f>IFERROR(__xludf.DUMMYFUNCTION("""COMPUTED_VALUE"""),45177.64583333333)</f>
        <v>45177.64583</v>
      </c>
      <c r="B3" s="6">
        <f>IFERROR(__xludf.DUMMYFUNCTION("""COMPUTED_VALUE"""),1250.3)</f>
        <v>1250.3</v>
      </c>
      <c r="C3" s="6">
        <f>IFERROR(__xludf.DUMMYFUNCTION("""COMPUTED_VALUE"""),1267.0)</f>
        <v>1267</v>
      </c>
      <c r="D3" s="6">
        <f>IFERROR(__xludf.DUMMYFUNCTION("""COMPUTED_VALUE"""),1232.55)</f>
        <v>1232.55</v>
      </c>
      <c r="E3" s="6">
        <f>IFERROR(__xludf.DUMMYFUNCTION("""COMPUTED_VALUE"""),1244.6)</f>
        <v>1244.6</v>
      </c>
      <c r="F3" s="6">
        <f>IFERROR(__xludf.DUMMYFUNCTION("""COMPUTED_VALUE"""),7665174.0)</f>
        <v>7665174</v>
      </c>
    </row>
    <row r="4">
      <c r="A4" s="7">
        <f>IFERROR(__xludf.DUMMYFUNCTION("""COMPUTED_VALUE"""),45184.64583333333)</f>
        <v>45184.64583</v>
      </c>
      <c r="B4" s="6">
        <f>IFERROR(__xludf.DUMMYFUNCTION("""COMPUTED_VALUE"""),1244.6)</f>
        <v>1244.6</v>
      </c>
      <c r="C4" s="6">
        <f>IFERROR(__xludf.DUMMYFUNCTION("""COMPUTED_VALUE"""),1259.9)</f>
        <v>1259.9</v>
      </c>
      <c r="D4" s="6">
        <f>IFERROR(__xludf.DUMMYFUNCTION("""COMPUTED_VALUE"""),1223.3)</f>
        <v>1223.3</v>
      </c>
      <c r="E4" s="6">
        <f>IFERROR(__xludf.DUMMYFUNCTION("""COMPUTED_VALUE"""),1235.5)</f>
        <v>1235.5</v>
      </c>
      <c r="F4" s="6">
        <f>IFERROR(__xludf.DUMMYFUNCTION("""COMPUTED_VALUE"""),7573434.0)</f>
        <v>7573434</v>
      </c>
    </row>
    <row r="5">
      <c r="A5" s="7">
        <f>IFERROR(__xludf.DUMMYFUNCTION("""COMPUTED_VALUE"""),45191.64583333333)</f>
        <v>45191.64583</v>
      </c>
      <c r="B5" s="6">
        <f>IFERROR(__xludf.DUMMYFUNCTION("""COMPUTED_VALUE"""),1240.95)</f>
        <v>1240.95</v>
      </c>
      <c r="C5" s="6">
        <f>IFERROR(__xludf.DUMMYFUNCTION("""COMPUTED_VALUE"""),1257.6)</f>
        <v>1257.6</v>
      </c>
      <c r="D5" s="6">
        <f>IFERROR(__xludf.DUMMYFUNCTION("""COMPUTED_VALUE"""),1168.55)</f>
        <v>1168.55</v>
      </c>
      <c r="E5" s="6">
        <f>IFERROR(__xludf.DUMMYFUNCTION("""COMPUTED_VALUE"""),1185.9)</f>
        <v>1185.9</v>
      </c>
      <c r="F5" s="6">
        <f>IFERROR(__xludf.DUMMYFUNCTION("""COMPUTED_VALUE"""),8257919.0)</f>
        <v>8257919</v>
      </c>
    </row>
    <row r="6">
      <c r="A6" s="7">
        <f>IFERROR(__xludf.DUMMYFUNCTION("""COMPUTED_VALUE"""),45198.64583333333)</f>
        <v>45198.64583</v>
      </c>
      <c r="B6" s="6">
        <f>IFERROR(__xludf.DUMMYFUNCTION("""COMPUTED_VALUE"""),1186.0)</f>
        <v>1186</v>
      </c>
      <c r="C6" s="6">
        <f>IFERROR(__xludf.DUMMYFUNCTION("""COMPUTED_VALUE"""),1199.2)</f>
        <v>1199.2</v>
      </c>
      <c r="D6" s="6">
        <f>IFERROR(__xludf.DUMMYFUNCTION("""COMPUTED_VALUE"""),1158.9)</f>
        <v>1158.9</v>
      </c>
      <c r="E6" s="6">
        <f>IFERROR(__xludf.DUMMYFUNCTION("""COMPUTED_VALUE"""),1186.15)</f>
        <v>1186.15</v>
      </c>
      <c r="F6" s="6">
        <f>IFERROR(__xludf.DUMMYFUNCTION("""COMPUTED_VALUE"""),7671194.0)</f>
        <v>7671194</v>
      </c>
    </row>
    <row r="7">
      <c r="A7" s="7">
        <f>IFERROR(__xludf.DUMMYFUNCTION("""COMPUTED_VALUE"""),45205.64583333333)</f>
        <v>45205.64583</v>
      </c>
      <c r="B7" s="6">
        <f>IFERROR(__xludf.DUMMYFUNCTION("""COMPUTED_VALUE"""),1184.0)</f>
        <v>1184</v>
      </c>
      <c r="C7" s="6">
        <f>IFERROR(__xludf.DUMMYFUNCTION("""COMPUTED_VALUE"""),1185.7)</f>
        <v>1185.7</v>
      </c>
      <c r="D7" s="6">
        <f>IFERROR(__xludf.DUMMYFUNCTION("""COMPUTED_VALUE"""),1155.25)</f>
        <v>1155.25</v>
      </c>
      <c r="E7" s="6">
        <f>IFERROR(__xludf.DUMMYFUNCTION("""COMPUTED_VALUE"""),1163.0)</f>
        <v>1163</v>
      </c>
      <c r="F7" s="6">
        <f>IFERROR(__xludf.DUMMYFUNCTION("""COMPUTED_VALUE"""),4955942.0)</f>
        <v>4955942</v>
      </c>
    </row>
    <row r="8">
      <c r="A8" s="7">
        <f>IFERROR(__xludf.DUMMYFUNCTION("""COMPUTED_VALUE"""),45212.64583333333)</f>
        <v>45212.64583</v>
      </c>
      <c r="B8" s="6">
        <f>IFERROR(__xludf.DUMMYFUNCTION("""COMPUTED_VALUE"""),1159.0)</f>
        <v>1159</v>
      </c>
      <c r="C8" s="6">
        <f>IFERROR(__xludf.DUMMYFUNCTION("""COMPUTED_VALUE"""),1186.35)</f>
        <v>1186.35</v>
      </c>
      <c r="D8" s="6">
        <f>IFERROR(__xludf.DUMMYFUNCTION("""COMPUTED_VALUE"""),1146.5)</f>
        <v>1146.5</v>
      </c>
      <c r="E8" s="6">
        <f>IFERROR(__xludf.DUMMYFUNCTION("""COMPUTED_VALUE"""),1167.75)</f>
        <v>1167.75</v>
      </c>
      <c r="F8" s="6">
        <f>IFERROR(__xludf.DUMMYFUNCTION("""COMPUTED_VALUE"""),6584025.0)</f>
        <v>6584025</v>
      </c>
    </row>
    <row r="9">
      <c r="A9" s="7">
        <f>IFERROR(__xludf.DUMMYFUNCTION("""COMPUTED_VALUE"""),45219.64583333333)</f>
        <v>45219.64583</v>
      </c>
      <c r="B9" s="6">
        <f>IFERROR(__xludf.DUMMYFUNCTION("""COMPUTED_VALUE"""),1166.3)</f>
        <v>1166.3</v>
      </c>
      <c r="C9" s="6">
        <f>IFERROR(__xludf.DUMMYFUNCTION("""COMPUTED_VALUE"""),1225.0)</f>
        <v>1225</v>
      </c>
      <c r="D9" s="6">
        <f>IFERROR(__xludf.DUMMYFUNCTION("""COMPUTED_VALUE"""),1158.8)</f>
        <v>1158.8</v>
      </c>
      <c r="E9" s="6">
        <f>IFERROR(__xludf.DUMMYFUNCTION("""COMPUTED_VALUE"""),1200.2)</f>
        <v>1200.2</v>
      </c>
      <c r="F9" s="6">
        <f>IFERROR(__xludf.DUMMYFUNCTION("""COMPUTED_VALUE"""),1.1897353E7)</f>
        <v>11897353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IFERROR(__xludf.DUMMYFUNCTION("""COMPUTED_VALUE"""),1200.0)</f>
        <v>1200</v>
      </c>
      <c r="C10" s="6">
        <f>IFERROR(__xludf.DUMMYFUNCTION("""COMPUTED_VALUE"""),1210.2)</f>
        <v>1210.2</v>
      </c>
      <c r="D10" s="6">
        <f>IFERROR(__xludf.DUMMYFUNCTION("""COMPUTED_VALUE"""),1132.0)</f>
        <v>1132</v>
      </c>
      <c r="E10" s="6">
        <f>IFERROR(__xludf.DUMMYFUNCTION("""COMPUTED_VALUE"""),1174.25)</f>
        <v>1174.25</v>
      </c>
      <c r="F10" s="6">
        <f>IFERROR(__xludf.DUMMYFUNCTION("""COMPUTED_VALUE"""),6183320.0)</f>
        <v>6183320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IFERROR(__xludf.DUMMYFUNCTION("""COMPUTED_VALUE"""),1186.0)</f>
        <v>1186</v>
      </c>
      <c r="C11" s="6">
        <f>IFERROR(__xludf.DUMMYFUNCTION("""COMPUTED_VALUE"""),1219.75)</f>
        <v>1219.75</v>
      </c>
      <c r="D11" s="6">
        <f>IFERROR(__xludf.DUMMYFUNCTION("""COMPUTED_VALUE"""),1177.5)</f>
        <v>1177.5</v>
      </c>
      <c r="E11" s="6">
        <f>IFERROR(__xludf.DUMMYFUNCTION("""COMPUTED_VALUE"""),1206.35)</f>
        <v>1206.35</v>
      </c>
      <c r="F11" s="6">
        <f>IFERROR(__xludf.DUMMYFUNCTION("""COMPUTED_VALUE"""),7954837.0)</f>
        <v>7954837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IFERROR(__xludf.DUMMYFUNCTION("""COMPUTED_VALUE"""),1211.95)</f>
        <v>1211.95</v>
      </c>
      <c r="C12" s="6">
        <f>IFERROR(__xludf.DUMMYFUNCTION("""COMPUTED_VALUE"""),1245.0)</f>
        <v>1245</v>
      </c>
      <c r="D12" s="6">
        <f>IFERROR(__xludf.DUMMYFUNCTION("""COMPUTED_VALUE"""),1197.25)</f>
        <v>1197.25</v>
      </c>
      <c r="E12" s="6">
        <f>IFERROR(__xludf.DUMMYFUNCTION("""COMPUTED_VALUE"""),1240.1)</f>
        <v>1240.1</v>
      </c>
      <c r="F12" s="6">
        <f>IFERROR(__xludf.DUMMYFUNCTION("""COMPUTED_VALUE"""),4908694.0)</f>
        <v>4908694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IFERROR(__xludf.DUMMYFUNCTION("""COMPUTED_VALUE"""),1246.0)</f>
        <v>1246</v>
      </c>
      <c r="C13" s="6">
        <f>IFERROR(__xludf.DUMMYFUNCTION("""COMPUTED_VALUE"""),1260.0)</f>
        <v>1260</v>
      </c>
      <c r="D13" s="6">
        <f>IFERROR(__xludf.DUMMYFUNCTION("""COMPUTED_VALUE"""),1230.65)</f>
        <v>1230.65</v>
      </c>
      <c r="E13" s="6">
        <f>IFERROR(__xludf.DUMMYFUNCTION("""COMPUTED_VALUE"""),1249.4)</f>
        <v>1249.4</v>
      </c>
      <c r="F13" s="6">
        <f>IFERROR(__xludf.DUMMYFUNCTION("""COMPUTED_VALUE"""),4375932.0)</f>
        <v>4375932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IFERROR(__xludf.DUMMYFUNCTION("""COMPUTED_VALUE"""),1241.5)</f>
        <v>1241.5</v>
      </c>
      <c r="C14" s="6">
        <f>IFERROR(__xludf.DUMMYFUNCTION("""COMPUTED_VALUE"""),1283.55)</f>
        <v>1283.55</v>
      </c>
      <c r="D14" s="6">
        <f>IFERROR(__xludf.DUMMYFUNCTION("""COMPUTED_VALUE"""),1164.55)</f>
        <v>1164.55</v>
      </c>
      <c r="E14" s="6">
        <f>IFERROR(__xludf.DUMMYFUNCTION("""COMPUTED_VALUE"""),1198.65)</f>
        <v>1198.65</v>
      </c>
      <c r="F14" s="6">
        <f>IFERROR(__xludf.DUMMYFUNCTION("""COMPUTED_VALUE"""),1.6153728E7)</f>
        <v>16153728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IFERROR(__xludf.DUMMYFUNCTION("""COMPUTED_VALUE"""),1200.0)</f>
        <v>1200</v>
      </c>
      <c r="C15" s="6">
        <f>IFERROR(__xludf.DUMMYFUNCTION("""COMPUTED_VALUE"""),1217.85)</f>
        <v>1217.85</v>
      </c>
      <c r="D15" s="6">
        <f>IFERROR(__xludf.DUMMYFUNCTION("""COMPUTED_VALUE"""),1188.0)</f>
        <v>1188</v>
      </c>
      <c r="E15" s="6">
        <f>IFERROR(__xludf.DUMMYFUNCTION("""COMPUTED_VALUE"""),1205.7)</f>
        <v>1205.7</v>
      </c>
      <c r="F15" s="6">
        <f>IFERROR(__xludf.DUMMYFUNCTION("""COMPUTED_VALUE"""),8163449.0)</f>
        <v>8163449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IFERROR(__xludf.DUMMYFUNCTION("""COMPUTED_VALUE"""),1212.3)</f>
        <v>1212.3</v>
      </c>
      <c r="C16" s="6">
        <f>IFERROR(__xludf.DUMMYFUNCTION("""COMPUTED_VALUE"""),1231.2)</f>
        <v>1231.2</v>
      </c>
      <c r="D16" s="6">
        <f>IFERROR(__xludf.DUMMYFUNCTION("""COMPUTED_VALUE"""),1197.0)</f>
        <v>1197</v>
      </c>
      <c r="E16" s="6">
        <f>IFERROR(__xludf.DUMMYFUNCTION("""COMPUTED_VALUE"""),1219.1)</f>
        <v>1219.1</v>
      </c>
      <c r="F16" s="6">
        <f>IFERROR(__xludf.DUMMYFUNCTION("""COMPUTED_VALUE"""),8369573.0)</f>
        <v>8369573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IFERROR(__xludf.DUMMYFUNCTION("""COMPUTED_VALUE"""),1217.6)</f>
        <v>1217.6</v>
      </c>
      <c r="C17" s="6">
        <f>IFERROR(__xludf.DUMMYFUNCTION("""COMPUTED_VALUE"""),1222.55)</f>
        <v>1222.55</v>
      </c>
      <c r="D17" s="6">
        <f>IFERROR(__xludf.DUMMYFUNCTION("""COMPUTED_VALUE"""),1195.05)</f>
        <v>1195.05</v>
      </c>
      <c r="E17" s="6">
        <f>IFERROR(__xludf.DUMMYFUNCTION("""COMPUTED_VALUE"""),1207.1)</f>
        <v>1207.1</v>
      </c>
      <c r="F17" s="6">
        <f>IFERROR(__xludf.DUMMYFUNCTION("""COMPUTED_VALUE"""),8060289.0)</f>
        <v>8060289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IFERROR(__xludf.DUMMYFUNCTION("""COMPUTED_VALUE"""),1205.6)</f>
        <v>1205.6</v>
      </c>
      <c r="C18" s="6">
        <f>IFERROR(__xludf.DUMMYFUNCTION("""COMPUTED_VALUE"""),1248.0)</f>
        <v>1248</v>
      </c>
      <c r="D18" s="6">
        <f>IFERROR(__xludf.DUMMYFUNCTION("""COMPUTED_VALUE"""),1192.1)</f>
        <v>1192.1</v>
      </c>
      <c r="E18" s="6">
        <f>IFERROR(__xludf.DUMMYFUNCTION("""COMPUTED_VALUE"""),1235.6)</f>
        <v>1235.6</v>
      </c>
      <c r="F18" s="6">
        <f>IFERROR(__xludf.DUMMYFUNCTION("""COMPUTED_VALUE"""),9768077.0)</f>
        <v>9768077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IFERROR(__xludf.DUMMYFUNCTION("""COMPUTED_VALUE"""),1240.0)</f>
        <v>1240</v>
      </c>
      <c r="C19" s="6">
        <f>IFERROR(__xludf.DUMMYFUNCTION("""COMPUTED_VALUE"""),1267.6)</f>
        <v>1267.6</v>
      </c>
      <c r="D19" s="6">
        <f>IFERROR(__xludf.DUMMYFUNCTION("""COMPUTED_VALUE"""),1231.85)</f>
        <v>1231.85</v>
      </c>
      <c r="E19" s="6">
        <f>IFERROR(__xludf.DUMMYFUNCTION("""COMPUTED_VALUE"""),1246.3)</f>
        <v>1246.3</v>
      </c>
      <c r="F19" s="6">
        <f>IFERROR(__xludf.DUMMYFUNCTION("""COMPUTED_VALUE"""),7735689.0)</f>
        <v>7735689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IFERROR(__xludf.DUMMYFUNCTION("""COMPUTED_VALUE"""),1252.45)</f>
        <v>1252.45</v>
      </c>
      <c r="C20" s="6">
        <f>IFERROR(__xludf.DUMMYFUNCTION("""COMPUTED_VALUE"""),1308.0)</f>
        <v>1308</v>
      </c>
      <c r="D20" s="6">
        <f>IFERROR(__xludf.DUMMYFUNCTION("""COMPUTED_VALUE"""),1246.7)</f>
        <v>1246.7</v>
      </c>
      <c r="E20" s="6">
        <f>IFERROR(__xludf.DUMMYFUNCTION("""COMPUTED_VALUE"""),1286.9)</f>
        <v>1286.9</v>
      </c>
      <c r="F20" s="6">
        <f>IFERROR(__xludf.DUMMYFUNCTION("""COMPUTED_VALUE"""),7551500.0)</f>
        <v>7551500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IFERROR(__xludf.DUMMYFUNCTION("""COMPUTED_VALUE"""),1296.65)</f>
        <v>1296.65</v>
      </c>
      <c r="C21" s="6">
        <f>IFERROR(__xludf.DUMMYFUNCTION("""COMPUTED_VALUE"""),1340.0)</f>
        <v>1340</v>
      </c>
      <c r="D21" s="6">
        <f>IFERROR(__xludf.DUMMYFUNCTION("""COMPUTED_VALUE"""),1266.2)</f>
        <v>1266.2</v>
      </c>
      <c r="E21" s="6">
        <f>IFERROR(__xludf.DUMMYFUNCTION("""COMPUTED_VALUE"""),1308.0)</f>
        <v>1308</v>
      </c>
      <c r="F21" s="6">
        <f>IFERROR(__xludf.DUMMYFUNCTION("""COMPUTED_VALUE"""),8648386.0)</f>
        <v>8648386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IFERROR(__xludf.DUMMYFUNCTION("""COMPUTED_VALUE"""),1385.0)</f>
        <v>1385</v>
      </c>
      <c r="C22" s="6">
        <f>IFERROR(__xludf.DUMMYFUNCTION("""COMPUTED_VALUE"""),1425.0)</f>
        <v>1425</v>
      </c>
      <c r="D22" s="6">
        <f>IFERROR(__xludf.DUMMYFUNCTION("""COMPUTED_VALUE"""),1353.5)</f>
        <v>1353.5</v>
      </c>
      <c r="E22" s="6">
        <f>IFERROR(__xludf.DUMMYFUNCTION("""COMPUTED_VALUE"""),1369.65)</f>
        <v>1369.65</v>
      </c>
      <c r="F22" s="6">
        <f>IFERROR(__xludf.DUMMYFUNCTION("""COMPUTED_VALUE"""),1.1166996E7)</f>
        <v>11166996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IFERROR(__xludf.DUMMYFUNCTION("""COMPUTED_VALUE"""),1365.0)</f>
        <v>1365</v>
      </c>
      <c r="C23" s="6">
        <f>IFERROR(__xludf.DUMMYFUNCTION("""COMPUTED_VALUE"""),1404.7)</f>
        <v>1404.7</v>
      </c>
      <c r="D23" s="6">
        <f>IFERROR(__xludf.DUMMYFUNCTION("""COMPUTED_VALUE"""),1312.0)</f>
        <v>1312</v>
      </c>
      <c r="E23" s="6">
        <f>IFERROR(__xludf.DUMMYFUNCTION("""COMPUTED_VALUE"""),1392.65)</f>
        <v>1392.65</v>
      </c>
      <c r="F23" s="6">
        <f>IFERROR(__xludf.DUMMYFUNCTION("""COMPUTED_VALUE"""),1.0059025E7)</f>
        <v>10059025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IFERROR(__xludf.DUMMYFUNCTION("""COMPUTED_VALUE"""),1400.65)</f>
        <v>1400.65</v>
      </c>
      <c r="C24" s="6">
        <f>IFERROR(__xludf.DUMMYFUNCTION("""COMPUTED_VALUE"""),1457.7)</f>
        <v>1457.7</v>
      </c>
      <c r="D24" s="6">
        <f>IFERROR(__xludf.DUMMYFUNCTION("""COMPUTED_VALUE"""),1394.3)</f>
        <v>1394.3</v>
      </c>
      <c r="E24" s="6">
        <f>IFERROR(__xludf.DUMMYFUNCTION("""COMPUTED_VALUE"""),1439.75)</f>
        <v>1439.75</v>
      </c>
      <c r="F24" s="6">
        <f>IFERROR(__xludf.DUMMYFUNCTION("""COMPUTED_VALUE"""),6902918.0)</f>
        <v>6902918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IFERROR(__xludf.DUMMYFUNCTION("""COMPUTED_VALUE"""),1440.0)</f>
        <v>1440</v>
      </c>
      <c r="C25" s="6">
        <f>IFERROR(__xludf.DUMMYFUNCTION("""COMPUTED_VALUE"""),1463.55)</f>
        <v>1463.55</v>
      </c>
      <c r="D25" s="6">
        <f>IFERROR(__xludf.DUMMYFUNCTION("""COMPUTED_VALUE"""),1410.45)</f>
        <v>1410.45</v>
      </c>
      <c r="E25" s="6">
        <f>IFERROR(__xludf.DUMMYFUNCTION("""COMPUTED_VALUE"""),1440.7)</f>
        <v>1440.7</v>
      </c>
      <c r="F25" s="6">
        <f>IFERROR(__xludf.DUMMYFUNCTION("""COMPUTED_VALUE"""),4807712.0)</f>
        <v>4807712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IFERROR(__xludf.DUMMYFUNCTION("""COMPUTED_VALUE"""),1444.95)</f>
        <v>1444.95</v>
      </c>
      <c r="C26" s="6">
        <f>IFERROR(__xludf.DUMMYFUNCTION("""COMPUTED_VALUE"""),1482.35)</f>
        <v>1482.35</v>
      </c>
      <c r="D26" s="6">
        <f>IFERROR(__xludf.DUMMYFUNCTION("""COMPUTED_VALUE"""),1420.55)</f>
        <v>1420.55</v>
      </c>
      <c r="E26" s="6">
        <f>IFERROR(__xludf.DUMMYFUNCTION("""COMPUTED_VALUE"""),1466.4)</f>
        <v>1466.4</v>
      </c>
      <c r="F26" s="6">
        <f>IFERROR(__xludf.DUMMYFUNCTION("""COMPUTED_VALUE"""),6404314.0)</f>
        <v>6404314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IFERROR(__xludf.DUMMYFUNCTION("""COMPUTED_VALUE"""),1483.0)</f>
        <v>1483</v>
      </c>
      <c r="C27" s="6">
        <f>IFERROR(__xludf.DUMMYFUNCTION("""COMPUTED_VALUE"""),1495.3)</f>
        <v>1495.3</v>
      </c>
      <c r="D27" s="6">
        <f>IFERROR(__xludf.DUMMYFUNCTION("""COMPUTED_VALUE"""),1448.15)</f>
        <v>1448.15</v>
      </c>
      <c r="E27" s="6">
        <f>IFERROR(__xludf.DUMMYFUNCTION("""COMPUTED_VALUE"""),1483.15)</f>
        <v>1483.15</v>
      </c>
      <c r="F27" s="6">
        <f>IFERROR(__xludf.DUMMYFUNCTION("""COMPUTED_VALUE"""),5180501.0)</f>
        <v>5180501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IFERROR(__xludf.DUMMYFUNCTION("""COMPUTED_VALUE"""),1493.0)</f>
        <v>1493</v>
      </c>
      <c r="C28" s="6">
        <f>IFERROR(__xludf.DUMMYFUNCTION("""COMPUTED_VALUE"""),1519.0)</f>
        <v>1519</v>
      </c>
      <c r="D28" s="6">
        <f>IFERROR(__xludf.DUMMYFUNCTION("""COMPUTED_VALUE"""),1449.0)</f>
        <v>1449</v>
      </c>
      <c r="E28" s="6">
        <f>IFERROR(__xludf.DUMMYFUNCTION("""COMPUTED_VALUE"""),1488.05)</f>
        <v>1488.05</v>
      </c>
      <c r="F28" s="6">
        <f>IFERROR(__xludf.DUMMYFUNCTION("""COMPUTED_VALUE"""),9046062.0)</f>
        <v>9046062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IFERROR(__xludf.DUMMYFUNCTION("""COMPUTED_VALUE"""),1489.0)</f>
        <v>1489</v>
      </c>
      <c r="C29" s="6">
        <f>IFERROR(__xludf.DUMMYFUNCTION("""COMPUTED_VALUE"""),1495.85)</f>
        <v>1495.85</v>
      </c>
      <c r="D29" s="6">
        <f>IFERROR(__xludf.DUMMYFUNCTION("""COMPUTED_VALUE"""),1415.6)</f>
        <v>1415.6</v>
      </c>
      <c r="E29" s="6">
        <f>IFERROR(__xludf.DUMMYFUNCTION("""COMPUTED_VALUE"""),1481.25)</f>
        <v>1481.25</v>
      </c>
      <c r="F29" s="6">
        <f>IFERROR(__xludf.DUMMYFUNCTION("""COMPUTED_VALUE"""),7819534.0)</f>
        <v>7819534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IFERROR(__xludf.DUMMYFUNCTION("""COMPUTED_VALUE"""),1473.0)</f>
        <v>1473</v>
      </c>
      <c r="C30" s="6">
        <f>IFERROR(__xludf.DUMMYFUNCTION("""COMPUTED_VALUE"""),1514.2)</f>
        <v>1514.2</v>
      </c>
      <c r="D30" s="6">
        <f>IFERROR(__xludf.DUMMYFUNCTION("""COMPUTED_VALUE"""),1458.0)</f>
        <v>1458</v>
      </c>
      <c r="E30" s="6">
        <f>IFERROR(__xludf.DUMMYFUNCTION("""COMPUTED_VALUE"""),1496.95)</f>
        <v>1496.95</v>
      </c>
      <c r="F30" s="6">
        <f>IFERROR(__xludf.DUMMYFUNCTION("""COMPUTED_VALUE"""),5388368.0)</f>
        <v>5388368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IFERROR(__xludf.DUMMYFUNCTION("""COMPUTED_VALUE"""),1510.0)</f>
        <v>1510</v>
      </c>
      <c r="C31" s="6">
        <f>IFERROR(__xludf.DUMMYFUNCTION("""COMPUTED_VALUE"""),1510.0)</f>
        <v>1510</v>
      </c>
      <c r="D31" s="6">
        <f>IFERROR(__xludf.DUMMYFUNCTION("""COMPUTED_VALUE"""),1437.5)</f>
        <v>1437.5</v>
      </c>
      <c r="E31" s="6">
        <f>IFERROR(__xludf.DUMMYFUNCTION("""COMPUTED_VALUE"""),1449.4)</f>
        <v>1449.4</v>
      </c>
      <c r="F31" s="6">
        <f>IFERROR(__xludf.DUMMYFUNCTION("""COMPUTED_VALUE"""),5330092.0)</f>
        <v>5330092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IFERROR(__xludf.DUMMYFUNCTION("""COMPUTED_VALUE"""),1457.15)</f>
        <v>1457.15</v>
      </c>
      <c r="C32" s="6">
        <f>IFERROR(__xludf.DUMMYFUNCTION("""COMPUTED_VALUE"""),1472.85)</f>
        <v>1472.85</v>
      </c>
      <c r="D32" s="6">
        <f>IFERROR(__xludf.DUMMYFUNCTION("""COMPUTED_VALUE"""),1388.0)</f>
        <v>1388</v>
      </c>
      <c r="E32" s="6">
        <f>IFERROR(__xludf.DUMMYFUNCTION("""COMPUTED_VALUE"""),1396.8)</f>
        <v>1396.8</v>
      </c>
      <c r="F32" s="6">
        <f>IFERROR(__xludf.DUMMYFUNCTION("""COMPUTED_VALUE"""),6948326.0)</f>
        <v>6948326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IFERROR(__xludf.DUMMYFUNCTION("""COMPUTED_VALUE"""),1389.95)</f>
        <v>1389.95</v>
      </c>
      <c r="C33" s="6">
        <f>IFERROR(__xludf.DUMMYFUNCTION("""COMPUTED_VALUE"""),1399.0)</f>
        <v>1399</v>
      </c>
      <c r="D33" s="6">
        <f>IFERROR(__xludf.DUMMYFUNCTION("""COMPUTED_VALUE"""),1335.0)</f>
        <v>1335</v>
      </c>
      <c r="E33" s="6">
        <f>IFERROR(__xludf.DUMMYFUNCTION("""COMPUTED_VALUE"""),1345.75)</f>
        <v>1345.75</v>
      </c>
      <c r="F33" s="6">
        <f>IFERROR(__xludf.DUMMYFUNCTION("""COMPUTED_VALUE"""),6706053.0)</f>
        <v>6706053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IFERROR(__xludf.DUMMYFUNCTION("""COMPUTED_VALUE"""),1350.25)</f>
        <v>1350.25</v>
      </c>
      <c r="C34" s="6">
        <f>IFERROR(__xludf.DUMMYFUNCTION("""COMPUTED_VALUE"""),1417.2)</f>
        <v>1417.2</v>
      </c>
      <c r="D34" s="6">
        <f>IFERROR(__xludf.DUMMYFUNCTION("""COMPUTED_VALUE"""),1344.5)</f>
        <v>1344.5</v>
      </c>
      <c r="E34" s="6">
        <f>IFERROR(__xludf.DUMMYFUNCTION("""COMPUTED_VALUE"""),1409.15)</f>
        <v>1409.15</v>
      </c>
      <c r="F34" s="6">
        <f>IFERROR(__xludf.DUMMYFUNCTION("""COMPUTED_VALUE"""),9143658.0)</f>
        <v>9143658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IFERROR(__xludf.DUMMYFUNCTION("""COMPUTED_VALUE"""),1419.0)</f>
        <v>1419</v>
      </c>
      <c r="C35" s="6">
        <f>IFERROR(__xludf.DUMMYFUNCTION("""COMPUTED_VALUE"""),1434.0)</f>
        <v>1434</v>
      </c>
      <c r="D35" s="6">
        <f>IFERROR(__xludf.DUMMYFUNCTION("""COMPUTED_VALUE"""),1392.4)</f>
        <v>1392.4</v>
      </c>
      <c r="E35" s="6">
        <f>IFERROR(__xludf.DUMMYFUNCTION("""COMPUTED_VALUE"""),1424.75)</f>
        <v>1424.75</v>
      </c>
      <c r="F35" s="6">
        <f>IFERROR(__xludf.DUMMYFUNCTION("""COMPUTED_VALUE"""),4754816.0)</f>
        <v>4754816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IFERROR(__xludf.DUMMYFUNCTION("""COMPUTED_VALUE"""),1431.0)</f>
        <v>1431</v>
      </c>
      <c r="C36" s="6">
        <f>IFERROR(__xludf.DUMMYFUNCTION("""COMPUTED_VALUE"""),1431.85)</f>
        <v>1431.85</v>
      </c>
      <c r="D36" s="6">
        <f>IFERROR(__xludf.DUMMYFUNCTION("""COMPUTED_VALUE"""),1317.25)</f>
        <v>1317.25</v>
      </c>
      <c r="E36" s="6">
        <f>IFERROR(__xludf.DUMMYFUNCTION("""COMPUTED_VALUE"""),1339.55)</f>
        <v>1339.55</v>
      </c>
      <c r="F36" s="6">
        <f>IFERROR(__xludf.DUMMYFUNCTION("""COMPUTED_VALUE"""),9745497.0)</f>
        <v>9745497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IFERROR(__xludf.DUMMYFUNCTION("""COMPUTED_VALUE"""),1410.0)</f>
        <v>1410</v>
      </c>
      <c r="C37" s="6">
        <f>IFERROR(__xludf.DUMMYFUNCTION("""COMPUTED_VALUE"""),1504.55)</f>
        <v>1504.55</v>
      </c>
      <c r="D37" s="6">
        <f>IFERROR(__xludf.DUMMYFUNCTION("""COMPUTED_VALUE"""),1396.4)</f>
        <v>1396.4</v>
      </c>
      <c r="E37" s="6">
        <f>IFERROR(__xludf.DUMMYFUNCTION("""COMPUTED_VALUE"""),1486.45)</f>
        <v>1486.45</v>
      </c>
      <c r="F37" s="6">
        <f>IFERROR(__xludf.DUMMYFUNCTION("""COMPUTED_VALUE"""),1.2303414E7)</f>
        <v>12303414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IFERROR(__xludf.DUMMYFUNCTION("""COMPUTED_VALUE"""),1491.0)</f>
        <v>1491</v>
      </c>
      <c r="C38" s="6">
        <f>IFERROR(__xludf.DUMMYFUNCTION("""COMPUTED_VALUE"""),1497.6)</f>
        <v>1497.6</v>
      </c>
      <c r="D38" s="6">
        <f>IFERROR(__xludf.DUMMYFUNCTION("""COMPUTED_VALUE"""),1440.0)</f>
        <v>1440</v>
      </c>
      <c r="E38" s="6">
        <f>IFERROR(__xludf.DUMMYFUNCTION("""COMPUTED_VALUE"""),1447.2)</f>
        <v>1447.2</v>
      </c>
      <c r="F38" s="6">
        <f>IFERROR(__xludf.DUMMYFUNCTION("""COMPUTED_VALUE"""),8788404.0)</f>
        <v>8788404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IFERROR(__xludf.DUMMYFUNCTION("""COMPUTED_VALUE"""),1482.0)</f>
        <v>1482</v>
      </c>
      <c r="C39" s="6">
        <f>IFERROR(__xludf.DUMMYFUNCTION("""COMPUTED_VALUE"""),1514.0)</f>
        <v>1514</v>
      </c>
      <c r="D39" s="6">
        <f>IFERROR(__xludf.DUMMYFUNCTION("""COMPUTED_VALUE"""),1418.55)</f>
        <v>1418.55</v>
      </c>
      <c r="E39" s="6">
        <f>IFERROR(__xludf.DUMMYFUNCTION("""COMPUTED_VALUE"""),1497.25)</f>
        <v>1497.25</v>
      </c>
      <c r="F39" s="6">
        <f>IFERROR(__xludf.DUMMYFUNCTION("""COMPUTED_VALUE"""),8415648.0)</f>
        <v>8415648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IFERROR(__xludf.DUMMYFUNCTION("""COMPUTED_VALUE"""),1506.9)</f>
        <v>1506.9</v>
      </c>
      <c r="C40" s="6">
        <f>IFERROR(__xludf.DUMMYFUNCTION("""COMPUTED_VALUE"""),1567.0)</f>
        <v>1567</v>
      </c>
      <c r="D40" s="6">
        <f>IFERROR(__xludf.DUMMYFUNCTION("""COMPUTED_VALUE"""),1502.0)</f>
        <v>1502</v>
      </c>
      <c r="E40" s="6">
        <f>IFERROR(__xludf.DUMMYFUNCTION("""COMPUTED_VALUE"""),1564.75)</f>
        <v>1564.75</v>
      </c>
      <c r="F40" s="6">
        <f>IFERROR(__xludf.DUMMYFUNCTION("""COMPUTED_VALUE"""),9400677.0)</f>
        <v>9400677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IFERROR(__xludf.DUMMYFUNCTION("""COMPUTED_VALUE"""),1570.0)</f>
        <v>1570</v>
      </c>
      <c r="C41" s="6">
        <f>IFERROR(__xludf.DUMMYFUNCTION("""COMPUTED_VALUE"""),1582.0)</f>
        <v>1582</v>
      </c>
      <c r="D41" s="6">
        <f>IFERROR(__xludf.DUMMYFUNCTION("""COMPUTED_VALUE"""),1533.5)</f>
        <v>1533.5</v>
      </c>
      <c r="E41" s="6">
        <f>IFERROR(__xludf.DUMMYFUNCTION("""COMPUTED_VALUE"""),1541.55)</f>
        <v>1541.55</v>
      </c>
      <c r="F41" s="6">
        <f>IFERROR(__xludf.DUMMYFUNCTION("""COMPUTED_VALUE"""),8269326.0)</f>
        <v>8269326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IFERROR(__xludf.DUMMYFUNCTION("""COMPUTED_VALUE"""),1528.0)</f>
        <v>1528</v>
      </c>
      <c r="C42" s="6">
        <f>IFERROR(__xludf.DUMMYFUNCTION("""COMPUTED_VALUE"""),1528.0)</f>
        <v>1528</v>
      </c>
      <c r="D42" s="6">
        <f>IFERROR(__xludf.DUMMYFUNCTION("""COMPUTED_VALUE"""),1465.3)</f>
        <v>1465.3</v>
      </c>
      <c r="E42" s="6">
        <f>IFERROR(__xludf.DUMMYFUNCTION("""COMPUTED_VALUE"""),1480.8)</f>
        <v>1480.8</v>
      </c>
      <c r="F42" s="6">
        <f>IFERROR(__xludf.DUMMYFUNCTION("""COMPUTED_VALUE"""),9294411.0)</f>
        <v>9294411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IFERROR(__xludf.DUMMYFUNCTION("""COMPUTED_VALUE"""),1484.95)</f>
        <v>1484.95</v>
      </c>
      <c r="C43" s="6">
        <f>IFERROR(__xludf.DUMMYFUNCTION("""COMPUTED_VALUE"""),1516.0)</f>
        <v>1516</v>
      </c>
      <c r="D43" s="6">
        <f>IFERROR(__xludf.DUMMYFUNCTION("""COMPUTED_VALUE"""),1467.0)</f>
        <v>1467</v>
      </c>
      <c r="E43" s="6">
        <f>IFERROR(__xludf.DUMMYFUNCTION("""COMPUTED_VALUE"""),1509.9)</f>
        <v>1509.9</v>
      </c>
      <c r="F43" s="6">
        <f>IFERROR(__xludf.DUMMYFUNCTION("""COMPUTED_VALUE"""),7253948.0)</f>
        <v>7253948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IFERROR(__xludf.DUMMYFUNCTION("""COMPUTED_VALUE"""),1516.0)</f>
        <v>1516</v>
      </c>
      <c r="C44" s="6">
        <f>IFERROR(__xludf.DUMMYFUNCTION("""COMPUTED_VALUE"""),1524.65)</f>
        <v>1524.65</v>
      </c>
      <c r="D44" s="6">
        <f>IFERROR(__xludf.DUMMYFUNCTION("""COMPUTED_VALUE"""),1483.2)</f>
        <v>1483.2</v>
      </c>
      <c r="E44" s="6">
        <f>IFERROR(__xludf.DUMMYFUNCTION("""COMPUTED_VALUE"""),1512.05)</f>
        <v>1512.05</v>
      </c>
      <c r="F44" s="6">
        <f>IFERROR(__xludf.DUMMYFUNCTION("""COMPUTED_VALUE"""),6493934.0)</f>
        <v>6493934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IFERROR(__xludf.DUMMYFUNCTION("""COMPUTED_VALUE"""),1516.6)</f>
        <v>1516.6</v>
      </c>
      <c r="C45" s="6">
        <f>IFERROR(__xludf.DUMMYFUNCTION("""COMPUTED_VALUE"""),1531.95)</f>
        <v>1531.95</v>
      </c>
      <c r="D45" s="6">
        <f>IFERROR(__xludf.DUMMYFUNCTION("""COMPUTED_VALUE"""),1480.2)</f>
        <v>1480.2</v>
      </c>
      <c r="E45" s="6">
        <f>IFERROR(__xludf.DUMMYFUNCTION("""COMPUTED_VALUE"""),1485.5)</f>
        <v>1485.5</v>
      </c>
      <c r="F45" s="6">
        <f>IFERROR(__xludf.DUMMYFUNCTION("""COMPUTED_VALUE"""),5826714.0)</f>
        <v>5826714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IFERROR(__xludf.DUMMYFUNCTION("""COMPUTED_VALUE"""),1475.05)</f>
        <v>1475.05</v>
      </c>
      <c r="C46" s="6">
        <f>IFERROR(__xludf.DUMMYFUNCTION("""COMPUTED_VALUE"""),1600.0)</f>
        <v>1600</v>
      </c>
      <c r="D46" s="6">
        <f>IFERROR(__xludf.DUMMYFUNCTION("""COMPUTED_VALUE"""),1470.65)</f>
        <v>1470.65</v>
      </c>
      <c r="E46" s="6">
        <f>IFERROR(__xludf.DUMMYFUNCTION("""COMPUTED_VALUE"""),1575.0)</f>
        <v>1575</v>
      </c>
      <c r="F46" s="6">
        <f>IFERROR(__xludf.DUMMYFUNCTION("""COMPUTED_VALUE"""),1.1725125E7)</f>
        <v>11725125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IFERROR(__xludf.DUMMYFUNCTION("""COMPUTED_VALUE"""),1588.0)</f>
        <v>1588</v>
      </c>
      <c r="C47" s="6">
        <f>IFERROR(__xludf.DUMMYFUNCTION("""COMPUTED_VALUE"""),1589.0)</f>
        <v>1589</v>
      </c>
      <c r="D47" s="6">
        <f>IFERROR(__xludf.DUMMYFUNCTION("""COMPUTED_VALUE"""),1523.55)</f>
        <v>1523.55</v>
      </c>
      <c r="E47" s="6">
        <f>IFERROR(__xludf.DUMMYFUNCTION("""COMPUTED_VALUE"""),1528.8)</f>
        <v>1528.8</v>
      </c>
      <c r="F47" s="6">
        <f>IFERROR(__xludf.DUMMYFUNCTION("""COMPUTED_VALUE"""),1.150013E7)</f>
        <v>11500130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IFERROR(__xludf.DUMMYFUNCTION("""COMPUTED_VALUE"""),1472.0)</f>
        <v>1472</v>
      </c>
      <c r="C48" s="6">
        <f>IFERROR(__xludf.DUMMYFUNCTION("""COMPUTED_VALUE"""),1589.65)</f>
        <v>1589.65</v>
      </c>
      <c r="D48" s="6">
        <f>IFERROR(__xludf.DUMMYFUNCTION("""COMPUTED_VALUE"""),1472.0)</f>
        <v>1472</v>
      </c>
      <c r="E48" s="6">
        <f>IFERROR(__xludf.DUMMYFUNCTION("""COMPUTED_VALUE"""),1574.75)</f>
        <v>1574.75</v>
      </c>
      <c r="F48" s="6">
        <f>IFERROR(__xludf.DUMMYFUNCTION("""COMPUTED_VALUE"""),9352708.0)</f>
        <v>9352708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IFERROR(__xludf.DUMMYFUNCTION("""COMPUTED_VALUE"""),1574.7)</f>
        <v>1574.7</v>
      </c>
      <c r="C49" s="6">
        <f>IFERROR(__xludf.DUMMYFUNCTION("""COMPUTED_VALUE"""),1606.7)</f>
        <v>1606.7</v>
      </c>
      <c r="D49" s="6">
        <f>IFERROR(__xludf.DUMMYFUNCTION("""COMPUTED_VALUE"""),1555.0)</f>
        <v>1555</v>
      </c>
      <c r="E49" s="6">
        <f>IFERROR(__xludf.DUMMYFUNCTION("""COMPUTED_VALUE"""),1576.1)</f>
        <v>1576.1</v>
      </c>
      <c r="F49" s="6">
        <f>IFERROR(__xludf.DUMMYFUNCTION("""COMPUTED_VALUE"""),5819526.0)</f>
        <v>5819526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IFERROR(__xludf.DUMMYFUNCTION("""COMPUTED_VALUE"""),1578.45)</f>
        <v>1578.45</v>
      </c>
      <c r="C50" s="6">
        <f>IFERROR(__xludf.DUMMYFUNCTION("""COMPUTED_VALUE"""),1599.0)</f>
        <v>1599</v>
      </c>
      <c r="D50" s="6">
        <f>IFERROR(__xludf.DUMMYFUNCTION("""COMPUTED_VALUE"""),1558.2)</f>
        <v>1558.2</v>
      </c>
      <c r="E50" s="6">
        <f>IFERROR(__xludf.DUMMYFUNCTION("""COMPUTED_VALUE"""),1574.55)</f>
        <v>1574.55</v>
      </c>
      <c r="F50" s="6">
        <f>IFERROR(__xludf.DUMMYFUNCTION("""COMPUTED_VALUE"""),4908777.0)</f>
        <v>4908777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IFERROR(__xludf.DUMMYFUNCTION("""COMPUTED_VALUE"""),1570.0)</f>
        <v>1570</v>
      </c>
      <c r="C51" s="6">
        <f>IFERROR(__xludf.DUMMYFUNCTION("""COMPUTED_VALUE"""),1663.7)</f>
        <v>1663.7</v>
      </c>
      <c r="D51" s="6">
        <f>IFERROR(__xludf.DUMMYFUNCTION("""COMPUTED_VALUE"""),1566.55)</f>
        <v>1566.55</v>
      </c>
      <c r="E51" s="6">
        <f>IFERROR(__xludf.DUMMYFUNCTION("""COMPUTED_VALUE"""),1654.9)</f>
        <v>1654.9</v>
      </c>
      <c r="F51" s="6">
        <f>IFERROR(__xludf.DUMMYFUNCTION("""COMPUTED_VALUE"""),9708448.0)</f>
        <v>9708448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IFERROR(__xludf.DUMMYFUNCTION("""COMPUTED_VALUE"""),1669.0)</f>
        <v>1669</v>
      </c>
      <c r="C52" s="6">
        <f>IFERROR(__xludf.DUMMYFUNCTION("""COMPUTED_VALUE"""),1681.6)</f>
        <v>1681.6</v>
      </c>
      <c r="D52" s="6">
        <f>IFERROR(__xludf.DUMMYFUNCTION("""COMPUTED_VALUE"""),1608.05)</f>
        <v>1608.05</v>
      </c>
      <c r="E52" s="6">
        <f>IFERROR(__xludf.DUMMYFUNCTION("""COMPUTED_VALUE"""),1611.05)</f>
        <v>1611.05</v>
      </c>
      <c r="F52" s="6">
        <f>IFERROR(__xludf.DUMMYFUNCTION("""COMPUTED_VALUE"""),5585820.0)</f>
        <v>5585820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IFERROR(__xludf.DUMMYFUNCTION("""COMPUTED_VALUE"""),1611.05)</f>
        <v>1611.05</v>
      </c>
      <c r="C53" s="6">
        <f>IFERROR(__xludf.DUMMYFUNCTION("""COMPUTED_VALUE"""),1669.2)</f>
        <v>1669.2</v>
      </c>
      <c r="D53" s="6">
        <f>IFERROR(__xludf.DUMMYFUNCTION("""COMPUTED_VALUE"""),1610.0)</f>
        <v>1610</v>
      </c>
      <c r="E53" s="6">
        <f>IFERROR(__xludf.DUMMYFUNCTION("""COMPUTED_VALUE"""),1659.7)</f>
        <v>1659.7</v>
      </c>
      <c r="F53" s="6">
        <f>IFERROR(__xludf.DUMMYFUNCTION("""COMPUTED_VALUE"""),5970867.0)</f>
        <v>5970867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IFERROR(__xludf.DUMMYFUNCTION("""COMPUTED_VALUE"""),1661.2)</f>
        <v>1661.2</v>
      </c>
      <c r="C54" s="6">
        <f>IFERROR(__xludf.DUMMYFUNCTION("""COMPUTED_VALUE"""),1683.0)</f>
        <v>1683</v>
      </c>
      <c r="D54" s="6">
        <f>IFERROR(__xludf.DUMMYFUNCTION("""COMPUTED_VALUE"""),1609.8)</f>
        <v>1609.8</v>
      </c>
      <c r="E54" s="6">
        <f>IFERROR(__xludf.DUMMYFUNCTION("""COMPUTED_VALUE"""),1638.65)</f>
        <v>1638.65</v>
      </c>
      <c r="F54" s="6">
        <f>IFERROR(__xludf.DUMMYFUNCTION("""COMPUTED_VALUE"""),7278832.0)</f>
        <v>7278832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IFERROR(__xludf.DUMMYFUNCTION("""COMPUTED_VALUE"""),1646.85)</f>
        <v>1646.85</v>
      </c>
      <c r="C55" s="6">
        <f>IFERROR(__xludf.DUMMYFUNCTION("""COMPUTED_VALUE"""),1679.05)</f>
        <v>1679.05</v>
      </c>
      <c r="D55" s="6">
        <f>IFERROR(__xludf.DUMMYFUNCTION("""COMPUTED_VALUE"""),1602.3)</f>
        <v>1602.3</v>
      </c>
      <c r="E55" s="6">
        <f>IFERROR(__xludf.DUMMYFUNCTION("""COMPUTED_VALUE"""),1672.5)</f>
        <v>1672.5</v>
      </c>
      <c r="F55" s="6">
        <f>IFERROR(__xludf.DUMMYFUNCTION("""COMPUTED_VALUE"""),9845516.0)</f>
        <v>9845516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IFERROR(__xludf.DUMMYFUNCTION("""COMPUTED_VALUE"""),1675.0)</f>
        <v>1675</v>
      </c>
      <c r="C56" s="6">
        <f>IFERROR(__xludf.DUMMYFUNCTION("""COMPUTED_VALUE"""),1678.9)</f>
        <v>1678.9</v>
      </c>
      <c r="D56" s="6">
        <f>IFERROR(__xludf.DUMMYFUNCTION("""COMPUTED_VALUE"""),1577.3)</f>
        <v>1577.3</v>
      </c>
      <c r="E56" s="6">
        <f>IFERROR(__xludf.DUMMYFUNCTION("""COMPUTED_VALUE"""),1623.3)</f>
        <v>1623.3</v>
      </c>
      <c r="F56" s="6">
        <f>IFERROR(__xludf.DUMMYFUNCTION("""COMPUTED_VALUE"""),6163869.0)</f>
        <v>6163869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IFERROR(__xludf.DUMMYFUNCTION("""COMPUTED_VALUE"""),1623.0)</f>
        <v>1623</v>
      </c>
      <c r="C57" s="6">
        <f>IFERROR(__xludf.DUMMYFUNCTION("""COMPUTED_VALUE"""),1702.05)</f>
        <v>1702.05</v>
      </c>
      <c r="D57" s="6">
        <f>IFERROR(__xludf.DUMMYFUNCTION("""COMPUTED_VALUE"""),1573.75)</f>
        <v>1573.75</v>
      </c>
      <c r="E57" s="6">
        <f>IFERROR(__xludf.DUMMYFUNCTION("""COMPUTED_VALUE"""),1595.75)</f>
        <v>1595.75</v>
      </c>
      <c r="F57" s="6">
        <f>IFERROR(__xludf.DUMMYFUNCTION("""COMPUTED_VALUE"""),8647323.0)</f>
        <v>8647323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IFERROR(__xludf.DUMMYFUNCTION("""COMPUTED_VALUE"""),1600.0)</f>
        <v>1600</v>
      </c>
      <c r="C58" s="6">
        <f>IFERROR(__xludf.DUMMYFUNCTION("""COMPUTED_VALUE"""),1605.95)</f>
        <v>1605.95</v>
      </c>
      <c r="D58" s="6">
        <f>IFERROR(__xludf.DUMMYFUNCTION("""COMPUTED_VALUE"""),1536.35)</f>
        <v>1536.35</v>
      </c>
      <c r="E58" s="6">
        <f>IFERROR(__xludf.DUMMYFUNCTION("""COMPUTED_VALUE"""),1551.7)</f>
        <v>1551.7</v>
      </c>
      <c r="F58" s="6">
        <f>IFERROR(__xludf.DUMMYFUNCTION("""COMPUTED_VALUE"""),1.0404508E7)</f>
        <v>10404508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IFERROR(__xludf.DUMMYFUNCTION("""COMPUTED_VALUE"""),1552.0)</f>
        <v>1552</v>
      </c>
      <c r="C59" s="6">
        <f>IFERROR(__xludf.DUMMYFUNCTION("""COMPUTED_VALUE"""),1561.25)</f>
        <v>1561.25</v>
      </c>
      <c r="D59" s="6">
        <f>IFERROR(__xludf.DUMMYFUNCTION("""COMPUTED_VALUE"""),1478.8)</f>
        <v>1478.8</v>
      </c>
      <c r="E59" s="6">
        <f>IFERROR(__xludf.DUMMYFUNCTION("""COMPUTED_VALUE"""),1488.9)</f>
        <v>1488.9</v>
      </c>
      <c r="F59" s="6">
        <f>IFERROR(__xludf.DUMMYFUNCTION("""COMPUTED_VALUE"""),7334426.0)</f>
        <v>7334426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IFERROR(__xludf.DUMMYFUNCTION("""COMPUTED_VALUE"""),1584.0)</f>
        <v>1584</v>
      </c>
      <c r="C60" s="6">
        <f>IFERROR(__xludf.DUMMYFUNCTION("""COMPUTED_VALUE"""),1612.35)</f>
        <v>1612.35</v>
      </c>
      <c r="D60" s="6">
        <f>IFERROR(__xludf.DUMMYFUNCTION("""COMPUTED_VALUE"""),1558.55)</f>
        <v>1558.55</v>
      </c>
      <c r="E60" s="6">
        <f>IFERROR(__xludf.DUMMYFUNCTION("""COMPUTED_VALUE"""),1592.6)</f>
        <v>1592.6</v>
      </c>
      <c r="F60" s="6">
        <f>IFERROR(__xludf.DUMMYFUNCTION("""COMPUTED_VALUE"""),1.1734078E7)</f>
        <v>11734078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IFERROR(__xludf.DUMMYFUNCTION("""COMPUTED_VALUE"""),1590.1)</f>
        <v>1590.1</v>
      </c>
      <c r="C61" s="6">
        <f>IFERROR(__xludf.DUMMYFUNCTION("""COMPUTED_VALUE"""),1599.75)</f>
        <v>1599.75</v>
      </c>
      <c r="D61" s="6">
        <f>IFERROR(__xludf.DUMMYFUNCTION("""COMPUTED_VALUE"""),1490.25)</f>
        <v>1490.25</v>
      </c>
      <c r="E61" s="6">
        <f>IFERROR(__xludf.DUMMYFUNCTION("""COMPUTED_VALUE"""),1499.75)</f>
        <v>1499.75</v>
      </c>
      <c r="F61" s="6">
        <f>IFERROR(__xludf.DUMMYFUNCTION("""COMPUTED_VALUE"""),7529776.0)</f>
        <v>7529776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IFERROR(__xludf.DUMMYFUNCTION("""COMPUTED_VALUE"""),1497.5)</f>
        <v>1497.5</v>
      </c>
      <c r="C62" s="6">
        <f>IFERROR(__xludf.DUMMYFUNCTION("""COMPUTED_VALUE"""),1505.15)</f>
        <v>1505.15</v>
      </c>
      <c r="D62" s="6">
        <f>IFERROR(__xludf.DUMMYFUNCTION("""COMPUTED_VALUE"""),1453.85)</f>
        <v>1453.85</v>
      </c>
      <c r="E62" s="6">
        <f>IFERROR(__xludf.DUMMYFUNCTION("""COMPUTED_VALUE"""),1486.5)</f>
        <v>1486.5</v>
      </c>
      <c r="F62" s="6">
        <f>IFERROR(__xludf.DUMMYFUNCTION("""COMPUTED_VALUE"""),4944911.0)</f>
        <v>4944911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IFERROR(__xludf.DUMMYFUNCTION("""COMPUTED_VALUE"""),1495.9)</f>
        <v>1495.9</v>
      </c>
      <c r="C63" s="6">
        <f>IFERROR(__xludf.DUMMYFUNCTION("""COMPUTED_VALUE"""),1547.7)</f>
        <v>1547.7</v>
      </c>
      <c r="D63" s="6">
        <f>IFERROR(__xludf.DUMMYFUNCTION("""COMPUTED_VALUE"""),1468.5)</f>
        <v>1468.5</v>
      </c>
      <c r="E63" s="6">
        <f>IFERROR(__xludf.DUMMYFUNCTION("""COMPUTED_VALUE"""),1533.9)</f>
        <v>1533.9</v>
      </c>
      <c r="F63" s="6">
        <f>IFERROR(__xludf.DUMMYFUNCTION("""COMPUTED_VALUE"""),1.2618695E7)</f>
        <v>12618695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IFERROR(__xludf.DUMMYFUNCTION("""COMPUTED_VALUE"""),1532.0)</f>
        <v>1532</v>
      </c>
      <c r="C64" s="6">
        <f>IFERROR(__xludf.DUMMYFUNCTION("""COMPUTED_VALUE"""),1549.4)</f>
        <v>1549.4</v>
      </c>
      <c r="D64" s="6">
        <f>IFERROR(__xludf.DUMMYFUNCTION("""COMPUTED_VALUE"""),1470.1)</f>
        <v>1470.1</v>
      </c>
      <c r="E64" s="6">
        <f>IFERROR(__xludf.DUMMYFUNCTION("""COMPUTED_VALUE"""),1477.4)</f>
        <v>1477.4</v>
      </c>
      <c r="F64" s="6">
        <f>IFERROR(__xludf.DUMMYFUNCTION("""COMPUTED_VALUE"""),1.8104244E7)</f>
        <v>18104244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IFERROR(__xludf.DUMMYFUNCTION("""COMPUTED_VALUE"""),1480.0)</f>
        <v>1480</v>
      </c>
      <c r="C65" s="6">
        <f>IFERROR(__xludf.DUMMYFUNCTION("""COMPUTED_VALUE"""),1484.75)</f>
        <v>1484.75</v>
      </c>
      <c r="D65" s="6">
        <f>IFERROR(__xludf.DUMMYFUNCTION("""COMPUTED_VALUE"""),1423.8)</f>
        <v>1423.8</v>
      </c>
      <c r="E65" s="6">
        <f>IFERROR(__xludf.DUMMYFUNCTION("""COMPUTED_VALUE"""),1447.3)</f>
        <v>1447.3</v>
      </c>
      <c r="F65" s="6">
        <f>IFERROR(__xludf.DUMMYFUNCTION("""COMPUTED_VALUE"""),1.1960909E7)</f>
        <v>11960909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IFERROR(__xludf.DUMMYFUNCTION("""COMPUTED_VALUE"""),1448.0)</f>
        <v>1448</v>
      </c>
      <c r="C66" s="6">
        <f>IFERROR(__xludf.DUMMYFUNCTION("""COMPUTED_VALUE"""),1510.05)</f>
        <v>1510.05</v>
      </c>
      <c r="D66" s="6">
        <f>IFERROR(__xludf.DUMMYFUNCTION("""COMPUTED_VALUE"""),1436.1)</f>
        <v>1436.1</v>
      </c>
      <c r="E66" s="6">
        <f>IFERROR(__xludf.DUMMYFUNCTION("""COMPUTED_VALUE"""),1472.05)</f>
        <v>1472.05</v>
      </c>
      <c r="F66" s="6">
        <f>IFERROR(__xludf.DUMMYFUNCTION("""COMPUTED_VALUE"""),1.3700412E7)</f>
        <v>13700412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IFERROR(__xludf.DUMMYFUNCTION("""COMPUTED_VALUE"""),1473.95)</f>
        <v>1473.95</v>
      </c>
      <c r="C67" s="6">
        <f>IFERROR(__xludf.DUMMYFUNCTION("""COMPUTED_VALUE"""),1512.75)</f>
        <v>1512.75</v>
      </c>
      <c r="D67" s="6">
        <f>IFERROR(__xludf.DUMMYFUNCTION("""COMPUTED_VALUE"""),1458.8)</f>
        <v>1458.8</v>
      </c>
      <c r="E67" s="6">
        <f>IFERROR(__xludf.DUMMYFUNCTION("""COMPUTED_VALUE"""),1506.6)</f>
        <v>1506.6</v>
      </c>
      <c r="F67" s="6">
        <f>IFERROR(__xludf.DUMMYFUNCTION("""COMPUTED_VALUE"""),4371489.0)</f>
        <v>4371489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IFERROR(__xludf.DUMMYFUNCTION("""COMPUTED_VALUE"""),1509.0)</f>
        <v>1509</v>
      </c>
      <c r="C68" s="6">
        <f>IFERROR(__xludf.DUMMYFUNCTION("""COMPUTED_VALUE"""),1547.85)</f>
        <v>1547.85</v>
      </c>
      <c r="D68" s="6">
        <f>IFERROR(__xludf.DUMMYFUNCTION("""COMPUTED_VALUE"""),1495.1)</f>
        <v>1495.1</v>
      </c>
      <c r="E68" s="6">
        <f>IFERROR(__xludf.DUMMYFUNCTION("""COMPUTED_VALUE"""),1511.25)</f>
        <v>1511.25</v>
      </c>
      <c r="F68" s="6">
        <f>IFERROR(__xludf.DUMMYFUNCTION("""COMPUTED_VALUE"""),7773809.0)</f>
        <v>7773809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IFERROR(__xludf.DUMMYFUNCTION("""COMPUTED_VALUE"""),1500.0)</f>
        <v>1500</v>
      </c>
      <c r="C69" s="6">
        <f>IFERROR(__xludf.DUMMYFUNCTION("""COMPUTED_VALUE"""),1513.0)</f>
        <v>1513</v>
      </c>
      <c r="D69" s="6">
        <f>IFERROR(__xludf.DUMMYFUNCTION("""COMPUTED_VALUE"""),1465.15)</f>
        <v>1465.15</v>
      </c>
      <c r="E69" s="6">
        <f>IFERROR(__xludf.DUMMYFUNCTION("""COMPUTED_VALUE"""),1468.8)</f>
        <v>1468.8</v>
      </c>
      <c r="F69" s="6">
        <f>IFERROR(__xludf.DUMMYFUNCTION("""COMPUTED_VALUE"""),5231374.0)</f>
        <v>5231374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IFERROR(__xludf.DUMMYFUNCTION("""COMPUTED_VALUE"""),1460.0)</f>
        <v>1460</v>
      </c>
      <c r="C70" s="6">
        <f>IFERROR(__xludf.DUMMYFUNCTION("""COMPUTED_VALUE"""),1463.95)</f>
        <v>1463.95</v>
      </c>
      <c r="D70" s="6">
        <f>IFERROR(__xludf.DUMMYFUNCTION("""COMPUTED_VALUE"""),1429.85)</f>
        <v>1429.85</v>
      </c>
      <c r="E70" s="6">
        <f>IFERROR(__xludf.DUMMYFUNCTION("""COMPUTED_VALUE"""),1442.3)</f>
        <v>1442.3</v>
      </c>
      <c r="F70" s="6">
        <f>IFERROR(__xludf.DUMMYFUNCTION("""COMPUTED_VALUE"""),4768064.0)</f>
        <v>4768064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IFERROR(__xludf.DUMMYFUNCTION("""COMPUTED_VALUE"""),1442.3)</f>
        <v>1442.3</v>
      </c>
      <c r="C71" s="6">
        <f>IFERROR(__xludf.DUMMYFUNCTION("""COMPUTED_VALUE"""),1464.8)</f>
        <v>1464.8</v>
      </c>
      <c r="D71" s="6">
        <f>IFERROR(__xludf.DUMMYFUNCTION("""COMPUTED_VALUE"""),1408.0)</f>
        <v>1408</v>
      </c>
      <c r="E71" s="6">
        <f>IFERROR(__xludf.DUMMYFUNCTION("""COMPUTED_VALUE"""),1411.4)</f>
        <v>1411.4</v>
      </c>
      <c r="F71" s="6">
        <f>IFERROR(__xludf.DUMMYFUNCTION("""COMPUTED_VALUE"""),5053527.0)</f>
        <v>5053527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IFERROR(__xludf.DUMMYFUNCTION("""COMPUTED_VALUE"""),1435.0)</f>
        <v>1435</v>
      </c>
      <c r="C72" s="6">
        <f>IFERROR(__xludf.DUMMYFUNCTION("""COMPUTED_VALUE"""),1481.85)</f>
        <v>1481.85</v>
      </c>
      <c r="D72" s="6">
        <f>IFERROR(__xludf.DUMMYFUNCTION("""COMPUTED_VALUE"""),1406.15)</f>
        <v>1406.15</v>
      </c>
      <c r="E72" s="6">
        <f>IFERROR(__xludf.DUMMYFUNCTION("""COMPUTED_VALUE"""),1472.25)</f>
        <v>1472.25</v>
      </c>
      <c r="F72" s="6">
        <f>IFERROR(__xludf.DUMMYFUNCTION("""COMPUTED_VALUE"""),1.0388851E7)</f>
        <v>10388851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IFERROR(__xludf.DUMMYFUNCTION("""COMPUTED_VALUE"""),1476.2)</f>
        <v>1476.2</v>
      </c>
      <c r="C73" s="6">
        <f>IFERROR(__xludf.DUMMYFUNCTION("""COMPUTED_VALUE"""),1493.0)</f>
        <v>1493</v>
      </c>
      <c r="D73" s="6">
        <f>IFERROR(__xludf.DUMMYFUNCTION("""COMPUTED_VALUE"""),1431.55)</f>
        <v>1431.55</v>
      </c>
      <c r="E73" s="6">
        <f>IFERROR(__xludf.DUMMYFUNCTION("""COMPUTED_VALUE"""),1459.45)</f>
        <v>1459.45</v>
      </c>
      <c r="F73" s="6">
        <f>IFERROR(__xludf.DUMMYFUNCTION("""COMPUTED_VALUE"""),8596738.0)</f>
        <v>8596738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IFERROR(__xludf.DUMMYFUNCTION("""COMPUTED_VALUE"""),1457.45)</f>
        <v>1457.45</v>
      </c>
      <c r="C74" s="6">
        <f>IFERROR(__xludf.DUMMYFUNCTION("""COMPUTED_VALUE"""),1502.0)</f>
        <v>1502</v>
      </c>
      <c r="D74" s="6">
        <f>IFERROR(__xludf.DUMMYFUNCTION("""COMPUTED_VALUE"""),1426.35)</f>
        <v>1426.35</v>
      </c>
      <c r="E74" s="6">
        <f>IFERROR(__xludf.DUMMYFUNCTION("""COMPUTED_VALUE"""),1475.75)</f>
        <v>1475.75</v>
      </c>
      <c r="F74" s="6">
        <f>IFERROR(__xludf.DUMMYFUNCTION("""COMPUTED_VALUE"""),6357078.0)</f>
        <v>6357078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IFERROR(__xludf.DUMMYFUNCTION("""COMPUTED_VALUE"""),1460.0)</f>
        <v>1460</v>
      </c>
      <c r="C75" s="6">
        <f>IFERROR(__xludf.DUMMYFUNCTION("""COMPUTED_VALUE"""),1489.0)</f>
        <v>1489</v>
      </c>
      <c r="D75" s="6">
        <f>IFERROR(__xludf.DUMMYFUNCTION("""COMPUTED_VALUE"""),1400.0)</f>
        <v>1400</v>
      </c>
      <c r="E75" s="6">
        <f>IFERROR(__xludf.DUMMYFUNCTION("""COMPUTED_VALUE"""),1407.5)</f>
        <v>1407.5</v>
      </c>
      <c r="F75" s="6">
        <f>IFERROR(__xludf.DUMMYFUNCTION("""COMPUTED_VALUE"""),6997235.0)</f>
        <v>6997235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IFERROR(__xludf.DUMMYFUNCTION("""COMPUTED_VALUE"""),1400.0)</f>
        <v>1400</v>
      </c>
      <c r="C76" s="6">
        <f>IFERROR(__xludf.DUMMYFUNCTION("""COMPUTED_VALUE"""),1471.1)</f>
        <v>1471.1</v>
      </c>
      <c r="D76" s="6">
        <f>IFERROR(__xludf.DUMMYFUNCTION("""COMPUTED_VALUE"""),1389.3)</f>
        <v>1389.3</v>
      </c>
      <c r="E76" s="6">
        <f>IFERROR(__xludf.DUMMYFUNCTION("""COMPUTED_VALUE"""),1458.45)</f>
        <v>1458.45</v>
      </c>
      <c r="F76" s="6">
        <f>IFERROR(__xludf.DUMMYFUNCTION("""COMPUTED_VALUE"""),6702280.0)</f>
        <v>6702280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IFERROR(__xludf.DUMMYFUNCTION("""COMPUTED_VALUE"""),1458.35)</f>
        <v>1458.35</v>
      </c>
      <c r="C77" s="6">
        <f>IFERROR(__xludf.DUMMYFUNCTION("""COMPUTED_VALUE"""),1482.2)</f>
        <v>1482.2</v>
      </c>
      <c r="D77" s="6">
        <f>IFERROR(__xludf.DUMMYFUNCTION("""COMPUTED_VALUE"""),1437.75)</f>
        <v>1437.75</v>
      </c>
      <c r="E77" s="6">
        <f>IFERROR(__xludf.DUMMYFUNCTION("""COMPUTED_VALUE"""),1461.9)</f>
        <v>1461.9</v>
      </c>
      <c r="F77" s="6">
        <f>IFERROR(__xludf.DUMMYFUNCTION("""COMPUTED_VALUE"""),4195930.0)</f>
        <v>4195930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IFERROR(__xludf.DUMMYFUNCTION("""COMPUTED_VALUE"""),1499.1)</f>
        <v>1499.1</v>
      </c>
      <c r="C78" s="6">
        <f>IFERROR(__xludf.DUMMYFUNCTION("""COMPUTED_VALUE"""),1528.9)</f>
        <v>1528.9</v>
      </c>
      <c r="D78" s="6">
        <f>IFERROR(__xludf.DUMMYFUNCTION("""COMPUTED_VALUE"""),1495.45)</f>
        <v>1495.45</v>
      </c>
      <c r="E78" s="6">
        <f>IFERROR(__xludf.DUMMYFUNCTION("""COMPUTED_VALUE"""),1523.85)</f>
        <v>1523.85</v>
      </c>
      <c r="F78" s="6">
        <f>IFERROR(__xludf.DUMMYFUNCTION("""COMPUTED_VALUE"""),6417821.0)</f>
        <v>6417821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IFERROR(__xludf.DUMMYFUNCTION("""COMPUTED_VALUE"""),1525.05)</f>
        <v>1525.05</v>
      </c>
      <c r="C79" s="6">
        <f>IFERROR(__xludf.DUMMYFUNCTION("""COMPUTED_VALUE"""),1535.0)</f>
        <v>1535</v>
      </c>
      <c r="D79" s="6">
        <f>IFERROR(__xludf.DUMMYFUNCTION("""COMPUTED_VALUE"""),1434.45)</f>
        <v>1434.45</v>
      </c>
      <c r="E79" s="6">
        <f>IFERROR(__xludf.DUMMYFUNCTION("""COMPUTED_VALUE"""),1442.2)</f>
        <v>1442.2</v>
      </c>
      <c r="F79" s="6">
        <f>IFERROR(__xludf.DUMMYFUNCTION("""COMPUTED_VALUE"""),6639015.0)</f>
        <v>6639015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IFERROR(__xludf.DUMMYFUNCTION("""COMPUTED_VALUE"""),1438.55)</f>
        <v>1438.55</v>
      </c>
      <c r="C80" s="6">
        <f>IFERROR(__xludf.DUMMYFUNCTION("""COMPUTED_VALUE"""),1523.3)</f>
        <v>1523.3</v>
      </c>
      <c r="D80" s="6">
        <f>IFERROR(__xludf.DUMMYFUNCTION("""COMPUTED_VALUE"""),1390.05)</f>
        <v>1390.05</v>
      </c>
      <c r="E80" s="6">
        <f>IFERROR(__xludf.DUMMYFUNCTION("""COMPUTED_VALUE"""),1415.25)</f>
        <v>1415.25</v>
      </c>
      <c r="F80" s="6">
        <f>IFERROR(__xludf.DUMMYFUNCTION("""COMPUTED_VALUE"""),8391742.0)</f>
        <v>8391742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IFERROR(__xludf.DUMMYFUNCTION("""COMPUTED_VALUE"""),1336.0)</f>
        <v>1336</v>
      </c>
      <c r="C81" s="6">
        <f>IFERROR(__xludf.DUMMYFUNCTION("""COMPUTED_VALUE"""),1488.5)</f>
        <v>1488.5</v>
      </c>
      <c r="D81" s="6">
        <f>IFERROR(__xludf.DUMMYFUNCTION("""COMPUTED_VALUE"""),1335.0)</f>
        <v>1335</v>
      </c>
      <c r="E81" s="6">
        <f>IFERROR(__xludf.DUMMYFUNCTION("""COMPUTED_VALUE"""),1463.05)</f>
        <v>1463.05</v>
      </c>
      <c r="F81" s="6">
        <f>IFERROR(__xludf.DUMMYFUNCTION("""COMPUTED_VALUE"""),6942018.0)</f>
        <v>6942018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IFERROR(__xludf.DUMMYFUNCTION("""COMPUTED_VALUE"""),1482.2)</f>
        <v>1482.2</v>
      </c>
      <c r="C82" s="6">
        <f>IFERROR(__xludf.DUMMYFUNCTION("""COMPUTED_VALUE"""),1522.0)</f>
        <v>1522</v>
      </c>
      <c r="D82" s="6">
        <f>IFERROR(__xludf.DUMMYFUNCTION("""COMPUTED_VALUE"""),1462.1)</f>
        <v>1462.1</v>
      </c>
      <c r="E82" s="6">
        <f>IFERROR(__xludf.DUMMYFUNCTION("""COMPUTED_VALUE"""),1515.2)</f>
        <v>1515.2</v>
      </c>
      <c r="F82" s="6">
        <f>IFERROR(__xludf.DUMMYFUNCTION("""COMPUTED_VALUE"""),3955621.0)</f>
        <v>3955621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IFERROR(__xludf.DUMMYFUNCTION("""COMPUTED_VALUE"""),1525.0)</f>
        <v>1525</v>
      </c>
      <c r="C83" s="6">
        <f>IFERROR(__xludf.DUMMYFUNCTION("""COMPUTED_VALUE"""),1566.7)</f>
        <v>1566.7</v>
      </c>
      <c r="D83" s="6">
        <f>IFERROR(__xludf.DUMMYFUNCTION("""COMPUTED_VALUE"""),1502.7)</f>
        <v>1502.7</v>
      </c>
      <c r="E83" s="6">
        <f>IFERROR(__xludf.DUMMYFUNCTION("""COMPUTED_VALUE"""),1525.9)</f>
        <v>1525.9</v>
      </c>
      <c r="F83" s="6">
        <f>IFERROR(__xludf.DUMMYFUNCTION("""COMPUTED_VALUE"""),5288538.0)</f>
        <v>5288538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IFERROR(__xludf.DUMMYFUNCTION("""COMPUTED_VALUE"""),1525.9)</f>
        <v>1525.9</v>
      </c>
      <c r="C84" s="6">
        <f>IFERROR(__xludf.DUMMYFUNCTION("""COMPUTED_VALUE"""),1570.8)</f>
        <v>1570.8</v>
      </c>
      <c r="D84" s="6">
        <f>IFERROR(__xludf.DUMMYFUNCTION("""COMPUTED_VALUE"""),1513.5)</f>
        <v>1513.5</v>
      </c>
      <c r="E84" s="6">
        <f>IFERROR(__xludf.DUMMYFUNCTION("""COMPUTED_VALUE"""),1525.6)</f>
        <v>1525.6</v>
      </c>
      <c r="F84" s="6">
        <f>IFERROR(__xludf.DUMMYFUNCTION("""COMPUTED_VALUE"""),6486456.0)</f>
        <v>6486456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IFERROR(__xludf.DUMMYFUNCTION("""COMPUTED_VALUE"""),1532.0)</f>
        <v>1532</v>
      </c>
      <c r="C85" s="6">
        <f>IFERROR(__xludf.DUMMYFUNCTION("""COMPUTED_VALUE"""),1549.0)</f>
        <v>1549</v>
      </c>
      <c r="D85" s="6">
        <f>IFERROR(__xludf.DUMMYFUNCTION("""COMPUTED_VALUE"""),1463.7)</f>
        <v>1463.7</v>
      </c>
      <c r="E85" s="6">
        <f>IFERROR(__xludf.DUMMYFUNCTION("""COMPUTED_VALUE"""),1480.0)</f>
        <v>1480</v>
      </c>
      <c r="F85" s="6">
        <f>IFERROR(__xludf.DUMMYFUNCTION("""COMPUTED_VALUE"""),7815987.0)</f>
        <v>7815987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IFERROR(__xludf.DUMMYFUNCTION("""COMPUTED_VALUE"""),1478.0)</f>
        <v>1478</v>
      </c>
      <c r="C86" s="6">
        <f>IFERROR(__xludf.DUMMYFUNCTION("""COMPUTED_VALUE"""),1539.9)</f>
        <v>1539.9</v>
      </c>
      <c r="D86" s="6">
        <f>IFERROR(__xludf.DUMMYFUNCTION("""COMPUTED_VALUE"""),1462.2)</f>
        <v>1462.2</v>
      </c>
      <c r="E86" s="6">
        <f>IFERROR(__xludf.DUMMYFUNCTION("""COMPUTED_VALUE"""),1499.9)</f>
        <v>1499.9</v>
      </c>
      <c r="F86" s="6">
        <f>IFERROR(__xludf.DUMMYFUNCTION("""COMPUTED_VALUE"""),1.474536E7)</f>
        <v>14745360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IFERROR(__xludf.DUMMYFUNCTION("""COMPUTED_VALUE"""),1499.9)</f>
        <v>1499.9</v>
      </c>
      <c r="C87" s="6">
        <f>IFERROR(__xludf.DUMMYFUNCTION("""COMPUTED_VALUE"""),1511.7)</f>
        <v>1511.7</v>
      </c>
      <c r="D87" s="6">
        <f>IFERROR(__xludf.DUMMYFUNCTION("""COMPUTED_VALUE"""),1451.2)</f>
        <v>1451.2</v>
      </c>
      <c r="E87" s="6">
        <f>IFERROR(__xludf.DUMMYFUNCTION("""COMPUTED_VALUE"""),1484.2)</f>
        <v>1484.2</v>
      </c>
      <c r="F87" s="6">
        <f>IFERROR(__xludf.DUMMYFUNCTION("""COMPUTED_VALUE"""),1.0151902E7)</f>
        <v>10151902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IFERROR(__xludf.DUMMYFUNCTION("""COMPUTED_VALUE"""),1486.1)</f>
        <v>1486.1</v>
      </c>
      <c r="C88" s="6">
        <f>IFERROR(__xludf.DUMMYFUNCTION("""COMPUTED_VALUE"""),1493.9)</f>
        <v>1493.9</v>
      </c>
      <c r="D88" s="6">
        <f>IFERROR(__xludf.DUMMYFUNCTION("""COMPUTED_VALUE"""),1457.1)</f>
        <v>1457.1</v>
      </c>
      <c r="E88" s="6">
        <f>IFERROR(__xludf.DUMMYFUNCTION("""COMPUTED_VALUE"""),1465.7)</f>
        <v>1465.7</v>
      </c>
      <c r="F88" s="6">
        <f>IFERROR(__xludf.DUMMYFUNCTION("""COMPUTED_VALUE"""),1.1282574E7)</f>
        <v>11282574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IFERROR(__xludf.DUMMYFUNCTION("""COMPUTED_VALUE"""),1468.0)</f>
        <v>1468</v>
      </c>
      <c r="C89" s="6">
        <f>IFERROR(__xludf.DUMMYFUNCTION("""COMPUTED_VALUE"""),1505.9)</f>
        <v>1505.9</v>
      </c>
      <c r="D89" s="6">
        <f>IFERROR(__xludf.DUMMYFUNCTION("""COMPUTED_VALUE"""),1458.0)</f>
        <v>1458</v>
      </c>
      <c r="E89" s="6">
        <f>IFERROR(__xludf.DUMMYFUNCTION("""COMPUTED_VALUE"""),1504.2)</f>
        <v>1504.2</v>
      </c>
      <c r="F89" s="6">
        <f>IFERROR(__xludf.DUMMYFUNCTION("""COMPUTED_VALUE"""),5562344.0)</f>
        <v>5562344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IFERROR(__xludf.DUMMYFUNCTION("""COMPUTED_VALUE"""),1511.7)</f>
        <v>1511.7</v>
      </c>
      <c r="C90" s="6">
        <f>IFERROR(__xludf.DUMMYFUNCTION("""COMPUTED_VALUE"""),1537.9)</f>
        <v>1537.9</v>
      </c>
      <c r="D90" s="6">
        <f>IFERROR(__xludf.DUMMYFUNCTION("""COMPUTED_VALUE"""),1480.0)</f>
        <v>1480</v>
      </c>
      <c r="E90" s="6">
        <f>IFERROR(__xludf.DUMMYFUNCTION("""COMPUTED_VALUE"""),1505.2)</f>
        <v>1505.2</v>
      </c>
      <c r="F90" s="6">
        <f>IFERROR(__xludf.DUMMYFUNCTION("""COMPUTED_VALUE"""),4739162.0)</f>
        <v>4739162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IFERROR(__xludf.DUMMYFUNCTION("""COMPUTED_VALUE"""),1501.9)</f>
        <v>1501.9</v>
      </c>
      <c r="C91" s="6">
        <f>IFERROR(__xludf.DUMMYFUNCTION("""COMPUTED_VALUE"""),1541.0)</f>
        <v>1541</v>
      </c>
      <c r="D91" s="6">
        <f>IFERROR(__xludf.DUMMYFUNCTION("""COMPUTED_VALUE"""),1480.2)</f>
        <v>1480.2</v>
      </c>
      <c r="E91" s="6">
        <f>IFERROR(__xludf.DUMMYFUNCTION("""COMPUTED_VALUE"""),1499.7)</f>
        <v>1499.7</v>
      </c>
      <c r="F91" s="6">
        <f>IFERROR(__xludf.DUMMYFUNCTION("""COMPUTED_VALUE"""),8131312.0)</f>
        <v>8131312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IFERROR(__xludf.DUMMYFUNCTION("""COMPUTED_VALUE"""),1499.7)</f>
        <v>1499.7</v>
      </c>
      <c r="C92" s="6">
        <f>IFERROR(__xludf.DUMMYFUNCTION("""COMPUTED_VALUE"""),1522.4)</f>
        <v>1522.4</v>
      </c>
      <c r="D92" s="6">
        <f>IFERROR(__xludf.DUMMYFUNCTION("""COMPUTED_VALUE"""),1482.1)</f>
        <v>1482.1</v>
      </c>
      <c r="E92" s="6">
        <f>IFERROR(__xludf.DUMMYFUNCTION("""COMPUTED_VALUE"""),1502.4)</f>
        <v>1502.4</v>
      </c>
      <c r="F92" s="6">
        <f>IFERROR(__xludf.DUMMYFUNCTION("""COMPUTED_VALUE"""),6334109.0)</f>
        <v>6334109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IFERROR(__xludf.DUMMYFUNCTION("""COMPUTED_VALUE"""),1509.4)</f>
        <v>1509.4</v>
      </c>
      <c r="C93" s="6">
        <f>IFERROR(__xludf.DUMMYFUNCTION("""COMPUTED_VALUE"""),1525.0)</f>
        <v>1525</v>
      </c>
      <c r="D93" s="6">
        <f>IFERROR(__xludf.DUMMYFUNCTION("""COMPUTED_VALUE"""),1493.3)</f>
        <v>1493.3</v>
      </c>
      <c r="E93" s="6">
        <f>IFERROR(__xludf.DUMMYFUNCTION("""COMPUTED_VALUE"""),1513.3)</f>
        <v>1513.3</v>
      </c>
      <c r="F93" s="6">
        <f>IFERROR(__xludf.DUMMYFUNCTION("""COMPUTED_VALUE"""),5428468.0)</f>
        <v>5428468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IFERROR(__xludf.DUMMYFUNCTION("""COMPUTED_VALUE"""),1516.0)</f>
        <v>1516</v>
      </c>
      <c r="C94" s="6">
        <f>IFERROR(__xludf.DUMMYFUNCTION("""COMPUTED_VALUE"""),1519.2)</f>
        <v>1519.2</v>
      </c>
      <c r="D94" s="6">
        <f>IFERROR(__xludf.DUMMYFUNCTION("""COMPUTED_VALUE"""),1463.2)</f>
        <v>1463.2</v>
      </c>
      <c r="E94" s="6">
        <f>IFERROR(__xludf.DUMMYFUNCTION("""COMPUTED_VALUE"""),1485.0)</f>
        <v>1485</v>
      </c>
      <c r="F94" s="6">
        <f>IFERROR(__xludf.DUMMYFUNCTION("""COMPUTED_VALUE"""),7721994.0)</f>
        <v>7721994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IFERROR(__xludf.DUMMYFUNCTION("""COMPUTED_VALUE"""),1488.9)</f>
        <v>1488.9</v>
      </c>
      <c r="C95" s="6">
        <f>IFERROR(__xludf.DUMMYFUNCTION("""COMPUTED_VALUE"""),1492.5)</f>
        <v>1492.5</v>
      </c>
      <c r="D95" s="6">
        <f>IFERROR(__xludf.DUMMYFUNCTION("""COMPUTED_VALUE"""),1468.2)</f>
        <v>1468.2</v>
      </c>
      <c r="E95" s="6">
        <f>IFERROR(__xludf.DUMMYFUNCTION("""COMPUTED_VALUE"""),1482.3)</f>
        <v>1482.3</v>
      </c>
      <c r="F95" s="6">
        <f>IFERROR(__xludf.DUMMYFUNCTION("""COMPUTED_VALUE"""),6679463.0)</f>
        <v>6679463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IFERROR(__xludf.DUMMYFUNCTION("""COMPUTED_VALUE"""),1481.1)</f>
        <v>1481.1</v>
      </c>
      <c r="C96" s="6">
        <f>IFERROR(__xludf.DUMMYFUNCTION("""COMPUTED_VALUE"""),1553.7)</f>
        <v>1553.7</v>
      </c>
      <c r="D96" s="6">
        <f>IFERROR(__xludf.DUMMYFUNCTION("""COMPUTED_VALUE"""),1454.5)</f>
        <v>1454.5</v>
      </c>
      <c r="E96" s="6">
        <f>IFERROR(__xludf.DUMMYFUNCTION("""COMPUTED_VALUE"""),1532.5)</f>
        <v>1532.5</v>
      </c>
      <c r="F96" s="6">
        <f>IFERROR(__xludf.DUMMYFUNCTION("""COMPUTED_VALUE"""),1.0991645E7)</f>
        <v>10991645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IFERROR(__xludf.DUMMYFUNCTION("""COMPUTED_VALUE"""),1541.2)</f>
        <v>1541.2</v>
      </c>
      <c r="C97" s="6">
        <f>IFERROR(__xludf.DUMMYFUNCTION("""COMPUTED_VALUE"""),1579.9)</f>
        <v>1579.9</v>
      </c>
      <c r="D97" s="6">
        <f>IFERROR(__xludf.DUMMYFUNCTION("""COMPUTED_VALUE"""),1494.0)</f>
        <v>1494</v>
      </c>
      <c r="E97" s="6">
        <f>IFERROR(__xludf.DUMMYFUNCTION("""COMPUTED_VALUE"""),1502.8)</f>
        <v>1502.8</v>
      </c>
      <c r="F97" s="6">
        <f>IFERROR(__xludf.DUMMYFUNCTION("""COMPUTED_VALUE"""),1.1104616E7)</f>
        <v>11104616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IFERROR(__xludf.DUMMYFUNCTION("""COMPUTED_VALUE"""),1510.0)</f>
        <v>1510</v>
      </c>
      <c r="C98" s="6">
        <f>IFERROR(__xludf.DUMMYFUNCTION("""COMPUTED_VALUE"""),1519.3)</f>
        <v>1519.3</v>
      </c>
      <c r="D98" s="6">
        <f>IFERROR(__xludf.DUMMYFUNCTION("""COMPUTED_VALUE"""),1464.1)</f>
        <v>1464.1</v>
      </c>
      <c r="E98" s="6">
        <f>IFERROR(__xludf.DUMMYFUNCTION("""COMPUTED_VALUE"""),1485.8)</f>
        <v>1485.8</v>
      </c>
      <c r="F98" s="6">
        <f>IFERROR(__xludf.DUMMYFUNCTION("""COMPUTED_VALUE"""),5665896.0)</f>
        <v>5665896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IFERROR(__xludf.DUMMYFUNCTION("""COMPUTED_VALUE"""),1488.0)</f>
        <v>1488</v>
      </c>
      <c r="C99" s="6">
        <f>IFERROR(__xludf.DUMMYFUNCTION("""COMPUTED_VALUE"""),1574.8)</f>
        <v>1574.8</v>
      </c>
      <c r="D99" s="6">
        <f>IFERROR(__xludf.DUMMYFUNCTION("""COMPUTED_VALUE"""),1480.2)</f>
        <v>1480.2</v>
      </c>
      <c r="E99" s="6">
        <f>IFERROR(__xludf.DUMMYFUNCTION("""COMPUTED_VALUE"""),1564.0)</f>
        <v>1564</v>
      </c>
      <c r="F99" s="6">
        <f>IFERROR(__xludf.DUMMYFUNCTION("""COMPUTED_VALUE"""),6204232.0)</f>
        <v>6204232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IFERROR(__xludf.DUMMYFUNCTION("""COMPUTED_VALUE"""),1566.2)</f>
        <v>1566.2</v>
      </c>
      <c r="C100" s="6">
        <f>IFERROR(__xludf.DUMMYFUNCTION("""COMPUTED_VALUE"""),1602.0)</f>
        <v>1602</v>
      </c>
      <c r="D100" s="6">
        <f>IFERROR(__xludf.DUMMYFUNCTION("""COMPUTED_VALUE"""),1533.4)</f>
        <v>1533.4</v>
      </c>
      <c r="E100" s="6">
        <f>IFERROR(__xludf.DUMMYFUNCTION("""COMPUTED_VALUE"""),1592.8)</f>
        <v>1592.8</v>
      </c>
      <c r="F100" s="6">
        <f>IFERROR(__xludf.DUMMYFUNCTION("""COMPUTED_VALUE"""),6891943.0)</f>
        <v>6891943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IFERROR(__xludf.DUMMYFUNCTION("""COMPUTED_VALUE"""),1594.0)</f>
        <v>1594</v>
      </c>
      <c r="C101" s="6">
        <f>IFERROR(__xludf.DUMMYFUNCTION("""COMPUTED_VALUE"""),1607.8)</f>
        <v>1607.8</v>
      </c>
      <c r="D101" s="6">
        <f>IFERROR(__xludf.DUMMYFUNCTION("""COMPUTED_VALUE"""),1573.0)</f>
        <v>1573</v>
      </c>
      <c r="E101" s="6">
        <f>IFERROR(__xludf.DUMMYFUNCTION("""COMPUTED_VALUE"""),1579.8)</f>
        <v>1579.8</v>
      </c>
      <c r="F101" s="6">
        <f>IFERROR(__xludf.DUMMYFUNCTION("""COMPUTED_VALUE"""),2.4911172E7)</f>
        <v>24911172</v>
      </c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IFERROR(__xludf.DUMMYFUNCTION("GOOGLEFINANCE(""NSE:COALINDIA"",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IFERROR(__xludf.DUMMYFUNCTION("""COMPUTED_VALUE"""),228.5)</f>
        <v>228.5</v>
      </c>
      <c r="C2" s="6">
        <f>IFERROR(__xludf.DUMMYFUNCTION("""COMPUTED_VALUE"""),237.25)</f>
        <v>237.25</v>
      </c>
      <c r="D2" s="6">
        <f>IFERROR(__xludf.DUMMYFUNCTION("""COMPUTED_VALUE"""),227.5)</f>
        <v>227.5</v>
      </c>
      <c r="E2" s="6">
        <f>IFERROR(__xludf.DUMMYFUNCTION("""COMPUTED_VALUE"""),236.9)</f>
        <v>236.9</v>
      </c>
      <c r="F2" s="6">
        <f>IFERROR(__xludf.DUMMYFUNCTION("""COMPUTED_VALUE"""),3.5832739E7)</f>
        <v>35832739</v>
      </c>
    </row>
    <row r="3">
      <c r="A3" s="7">
        <f>IFERROR(__xludf.DUMMYFUNCTION("""COMPUTED_VALUE"""),45177.64583333333)</f>
        <v>45177.64583</v>
      </c>
      <c r="B3" s="6">
        <f>IFERROR(__xludf.DUMMYFUNCTION("""COMPUTED_VALUE"""),238.75)</f>
        <v>238.75</v>
      </c>
      <c r="C3" s="6">
        <f>IFERROR(__xludf.DUMMYFUNCTION("""COMPUTED_VALUE"""),284.45)</f>
        <v>284.45</v>
      </c>
      <c r="D3" s="6">
        <f>IFERROR(__xludf.DUMMYFUNCTION("""COMPUTED_VALUE"""),238.15)</f>
        <v>238.15</v>
      </c>
      <c r="E3" s="6">
        <f>IFERROR(__xludf.DUMMYFUNCTION("""COMPUTED_VALUE"""),282.1)</f>
        <v>282.1</v>
      </c>
      <c r="F3" s="6">
        <f>IFERROR(__xludf.DUMMYFUNCTION("""COMPUTED_VALUE"""),1.71897578E8)</f>
        <v>171897578</v>
      </c>
    </row>
    <row r="4">
      <c r="A4" s="7">
        <f>IFERROR(__xludf.DUMMYFUNCTION("""COMPUTED_VALUE"""),45184.64583333333)</f>
        <v>45184.64583</v>
      </c>
      <c r="B4" s="6">
        <f>IFERROR(__xludf.DUMMYFUNCTION("""COMPUTED_VALUE"""),284.0)</f>
        <v>284</v>
      </c>
      <c r="C4" s="6">
        <f>IFERROR(__xludf.DUMMYFUNCTION("""COMPUTED_VALUE"""),284.2)</f>
        <v>284.2</v>
      </c>
      <c r="D4" s="6">
        <f>IFERROR(__xludf.DUMMYFUNCTION("""COMPUTED_VALUE"""),269.0)</f>
        <v>269</v>
      </c>
      <c r="E4" s="6">
        <f>IFERROR(__xludf.DUMMYFUNCTION("""COMPUTED_VALUE"""),279.3)</f>
        <v>279.3</v>
      </c>
      <c r="F4" s="6">
        <f>IFERROR(__xludf.DUMMYFUNCTION("""COMPUTED_VALUE"""),7.4982403E7)</f>
        <v>74982403</v>
      </c>
    </row>
    <row r="5">
      <c r="A5" s="7">
        <f>IFERROR(__xludf.DUMMYFUNCTION("""COMPUTED_VALUE"""),45191.64583333333)</f>
        <v>45191.64583</v>
      </c>
      <c r="B5" s="6">
        <f>IFERROR(__xludf.DUMMYFUNCTION("""COMPUTED_VALUE"""),279.3)</f>
        <v>279.3</v>
      </c>
      <c r="C5" s="6">
        <f>IFERROR(__xludf.DUMMYFUNCTION("""COMPUTED_VALUE"""),288.0)</f>
        <v>288</v>
      </c>
      <c r="D5" s="6">
        <f>IFERROR(__xludf.DUMMYFUNCTION("""COMPUTED_VALUE"""),274.45)</f>
        <v>274.45</v>
      </c>
      <c r="E5" s="6">
        <f>IFERROR(__xludf.DUMMYFUNCTION("""COMPUTED_VALUE"""),283.35)</f>
        <v>283.35</v>
      </c>
      <c r="F5" s="6">
        <f>IFERROR(__xludf.DUMMYFUNCTION("""COMPUTED_VALUE"""),4.7133572E7)</f>
        <v>47133572</v>
      </c>
    </row>
    <row r="6">
      <c r="A6" s="7">
        <f>IFERROR(__xludf.DUMMYFUNCTION("""COMPUTED_VALUE"""),45198.64583333333)</f>
        <v>45198.64583</v>
      </c>
      <c r="B6" s="6">
        <f>IFERROR(__xludf.DUMMYFUNCTION("""COMPUTED_VALUE"""),284.3)</f>
        <v>284.3</v>
      </c>
      <c r="C6" s="6">
        <f>IFERROR(__xludf.DUMMYFUNCTION("""COMPUTED_VALUE"""),297.5)</f>
        <v>297.5</v>
      </c>
      <c r="D6" s="6">
        <f>IFERROR(__xludf.DUMMYFUNCTION("""COMPUTED_VALUE"""),281.15)</f>
        <v>281.15</v>
      </c>
      <c r="E6" s="6">
        <f>IFERROR(__xludf.DUMMYFUNCTION("""COMPUTED_VALUE"""),295.2)</f>
        <v>295.2</v>
      </c>
      <c r="F6" s="6">
        <f>IFERROR(__xludf.DUMMYFUNCTION("""COMPUTED_VALUE"""),5.4253819E7)</f>
        <v>54253819</v>
      </c>
    </row>
    <row r="7">
      <c r="A7" s="7">
        <f>IFERROR(__xludf.DUMMYFUNCTION("""COMPUTED_VALUE"""),45205.64583333333)</f>
        <v>45205.64583</v>
      </c>
      <c r="B7" s="6">
        <f>IFERROR(__xludf.DUMMYFUNCTION("""COMPUTED_VALUE"""),297.05)</f>
        <v>297.05</v>
      </c>
      <c r="C7" s="6">
        <f>IFERROR(__xludf.DUMMYFUNCTION("""COMPUTED_VALUE"""),297.1)</f>
        <v>297.1</v>
      </c>
      <c r="D7" s="6">
        <f>IFERROR(__xludf.DUMMYFUNCTION("""COMPUTED_VALUE"""),283.9)</f>
        <v>283.9</v>
      </c>
      <c r="E7" s="6">
        <f>IFERROR(__xludf.DUMMYFUNCTION("""COMPUTED_VALUE"""),287.8)</f>
        <v>287.8</v>
      </c>
      <c r="F7" s="6">
        <f>IFERROR(__xludf.DUMMYFUNCTION("""COMPUTED_VALUE"""),2.8115909E7)</f>
        <v>28115909</v>
      </c>
    </row>
    <row r="8">
      <c r="A8" s="7">
        <f>IFERROR(__xludf.DUMMYFUNCTION("""COMPUTED_VALUE"""),45212.64583333333)</f>
        <v>45212.64583</v>
      </c>
      <c r="B8" s="6">
        <f>IFERROR(__xludf.DUMMYFUNCTION("""COMPUTED_VALUE"""),286.05)</f>
        <v>286.05</v>
      </c>
      <c r="C8" s="6">
        <f>IFERROR(__xludf.DUMMYFUNCTION("""COMPUTED_VALUE"""),310.85)</f>
        <v>310.85</v>
      </c>
      <c r="D8" s="6">
        <f>IFERROR(__xludf.DUMMYFUNCTION("""COMPUTED_VALUE"""),283.05)</f>
        <v>283.05</v>
      </c>
      <c r="E8" s="6">
        <f>IFERROR(__xludf.DUMMYFUNCTION("""COMPUTED_VALUE"""),307.95)</f>
        <v>307.95</v>
      </c>
      <c r="F8" s="6">
        <f>IFERROR(__xludf.DUMMYFUNCTION("""COMPUTED_VALUE"""),6.5144584E7)</f>
        <v>65144584</v>
      </c>
    </row>
    <row r="9">
      <c r="A9" s="7">
        <f>IFERROR(__xludf.DUMMYFUNCTION("""COMPUTED_VALUE"""),45219.64583333333)</f>
        <v>45219.64583</v>
      </c>
      <c r="B9" s="6">
        <f>IFERROR(__xludf.DUMMYFUNCTION("""COMPUTED_VALUE"""),307.85)</f>
        <v>307.85</v>
      </c>
      <c r="C9" s="6">
        <f>IFERROR(__xludf.DUMMYFUNCTION("""COMPUTED_VALUE"""),319.75)</f>
        <v>319.75</v>
      </c>
      <c r="D9" s="6">
        <f>IFERROR(__xludf.DUMMYFUNCTION("""COMPUTED_VALUE"""),306.55)</f>
        <v>306.55</v>
      </c>
      <c r="E9" s="6">
        <f>IFERROR(__xludf.DUMMYFUNCTION("""COMPUTED_VALUE"""),312.4)</f>
        <v>312.4</v>
      </c>
      <c r="F9" s="6">
        <f>IFERROR(__xludf.DUMMYFUNCTION("""COMPUTED_VALUE"""),4.2945113E7)</f>
        <v>42945113</v>
      </c>
    </row>
    <row r="10">
      <c r="A10" s="7">
        <f>IFERROR(__xludf.DUMMYFUNCTION("""COMPUTED_VALUE"""),45226.64583333333)</f>
        <v>45226.64583</v>
      </c>
      <c r="B10" s="6">
        <f>IFERROR(__xludf.DUMMYFUNCTION("""COMPUTED_VALUE"""),312.55)</f>
        <v>312.55</v>
      </c>
      <c r="C10" s="6">
        <f>IFERROR(__xludf.DUMMYFUNCTION("""COMPUTED_VALUE"""),317.15)</f>
        <v>317.15</v>
      </c>
      <c r="D10" s="6">
        <f>IFERROR(__xludf.DUMMYFUNCTION("""COMPUTED_VALUE"""),302.9)</f>
        <v>302.9</v>
      </c>
      <c r="E10" s="6">
        <f>IFERROR(__xludf.DUMMYFUNCTION("""COMPUTED_VALUE"""),313.95)</f>
        <v>313.95</v>
      </c>
      <c r="F10" s="6">
        <f>IFERROR(__xludf.DUMMYFUNCTION("""COMPUTED_VALUE"""),3.4171648E7)</f>
        <v>34171648</v>
      </c>
    </row>
    <row r="11">
      <c r="A11" s="7">
        <f>IFERROR(__xludf.DUMMYFUNCTION("""COMPUTED_VALUE"""),45233.64583333333)</f>
        <v>45233.64583</v>
      </c>
      <c r="B11" s="6">
        <f>IFERROR(__xludf.DUMMYFUNCTION("""COMPUTED_VALUE"""),315.0)</f>
        <v>315</v>
      </c>
      <c r="C11" s="6">
        <f>IFERROR(__xludf.DUMMYFUNCTION("""COMPUTED_VALUE"""),316.8)</f>
        <v>316.8</v>
      </c>
      <c r="D11" s="6">
        <f>IFERROR(__xludf.DUMMYFUNCTION("""COMPUTED_VALUE"""),305.85)</f>
        <v>305.85</v>
      </c>
      <c r="E11" s="6">
        <f>IFERROR(__xludf.DUMMYFUNCTION("""COMPUTED_VALUE"""),312.0)</f>
        <v>312</v>
      </c>
      <c r="F11" s="6">
        <f>IFERROR(__xludf.DUMMYFUNCTION("""COMPUTED_VALUE"""),3.5000621E7)</f>
        <v>35000621</v>
      </c>
    </row>
    <row r="12">
      <c r="A12" s="7">
        <f>IFERROR(__xludf.DUMMYFUNCTION("""COMPUTED_VALUE"""),45240.64583333333)</f>
        <v>45240.64583</v>
      </c>
      <c r="B12" s="6">
        <f>IFERROR(__xludf.DUMMYFUNCTION("""COMPUTED_VALUE"""),313.2)</f>
        <v>313.2</v>
      </c>
      <c r="C12" s="6">
        <f>IFERROR(__xludf.DUMMYFUNCTION("""COMPUTED_VALUE"""),326.15)</f>
        <v>326.15</v>
      </c>
      <c r="D12" s="6">
        <f>IFERROR(__xludf.DUMMYFUNCTION("""COMPUTED_VALUE"""),313.0)</f>
        <v>313</v>
      </c>
      <c r="E12" s="6">
        <f>IFERROR(__xludf.DUMMYFUNCTION("""COMPUTED_VALUE"""),323.4)</f>
        <v>323.4</v>
      </c>
      <c r="F12" s="6">
        <f>IFERROR(__xludf.DUMMYFUNCTION("""COMPUTED_VALUE"""),4.7541019E7)</f>
        <v>47541019</v>
      </c>
    </row>
    <row r="13">
      <c r="A13" s="7">
        <f>IFERROR(__xludf.DUMMYFUNCTION("""COMPUTED_VALUE"""),45247.64583333333)</f>
        <v>45247.64583</v>
      </c>
      <c r="B13" s="6">
        <f>IFERROR(__xludf.DUMMYFUNCTION("""COMPUTED_VALUE"""),330.0)</f>
        <v>330</v>
      </c>
      <c r="C13" s="6">
        <f>IFERROR(__xludf.DUMMYFUNCTION("""COMPUTED_VALUE"""),359.0)</f>
        <v>359</v>
      </c>
      <c r="D13" s="6">
        <f>IFERROR(__xludf.DUMMYFUNCTION("""COMPUTED_VALUE"""),328.25)</f>
        <v>328.25</v>
      </c>
      <c r="E13" s="6">
        <f>IFERROR(__xludf.DUMMYFUNCTION("""COMPUTED_VALUE"""),345.25)</f>
        <v>345.25</v>
      </c>
      <c r="F13" s="6">
        <f>IFERROR(__xludf.DUMMYFUNCTION("""COMPUTED_VALUE"""),1.18694669E8)</f>
        <v>118694669</v>
      </c>
    </row>
    <row r="14">
      <c r="A14" s="7">
        <f>IFERROR(__xludf.DUMMYFUNCTION("""COMPUTED_VALUE"""),45254.64583333333)</f>
        <v>45254.64583</v>
      </c>
      <c r="B14" s="6">
        <f>IFERROR(__xludf.DUMMYFUNCTION("""COMPUTED_VALUE"""),348.0)</f>
        <v>348</v>
      </c>
      <c r="C14" s="6">
        <f>IFERROR(__xludf.DUMMYFUNCTION("""COMPUTED_VALUE"""),352.4)</f>
        <v>352.4</v>
      </c>
      <c r="D14" s="6">
        <f>IFERROR(__xludf.DUMMYFUNCTION("""COMPUTED_VALUE"""),328.85)</f>
        <v>328.85</v>
      </c>
      <c r="E14" s="6">
        <f>IFERROR(__xludf.DUMMYFUNCTION("""COMPUTED_VALUE"""),332.8)</f>
        <v>332.8</v>
      </c>
      <c r="F14" s="6">
        <f>IFERROR(__xludf.DUMMYFUNCTION("""COMPUTED_VALUE"""),5.5021135E7)</f>
        <v>55021135</v>
      </c>
    </row>
    <row r="15">
      <c r="A15" s="7">
        <f>IFERROR(__xludf.DUMMYFUNCTION("""COMPUTED_VALUE"""),45261.64583333333)</f>
        <v>45261.64583</v>
      </c>
      <c r="B15" s="6">
        <f>IFERROR(__xludf.DUMMYFUNCTION("""COMPUTED_VALUE"""),334.8)</f>
        <v>334.8</v>
      </c>
      <c r="C15" s="6">
        <f>IFERROR(__xludf.DUMMYFUNCTION("""COMPUTED_VALUE"""),351.1)</f>
        <v>351.1</v>
      </c>
      <c r="D15" s="6">
        <f>IFERROR(__xludf.DUMMYFUNCTION("""COMPUTED_VALUE"""),333.3)</f>
        <v>333.3</v>
      </c>
      <c r="E15" s="6">
        <f>IFERROR(__xludf.DUMMYFUNCTION("""COMPUTED_VALUE"""),346.65)</f>
        <v>346.65</v>
      </c>
      <c r="F15" s="6">
        <f>IFERROR(__xludf.DUMMYFUNCTION("""COMPUTED_VALUE"""),5.2005956E7)</f>
        <v>52005956</v>
      </c>
    </row>
    <row r="16">
      <c r="A16" s="7">
        <f>IFERROR(__xludf.DUMMYFUNCTION("""COMPUTED_VALUE"""),45268.64583333333)</f>
        <v>45268.64583</v>
      </c>
      <c r="B16" s="6">
        <f>IFERROR(__xludf.DUMMYFUNCTION("""COMPUTED_VALUE"""),351.1)</f>
        <v>351.1</v>
      </c>
      <c r="C16" s="6">
        <f>IFERROR(__xludf.DUMMYFUNCTION("""COMPUTED_VALUE"""),362.5)</f>
        <v>362.5</v>
      </c>
      <c r="D16" s="6">
        <f>IFERROR(__xludf.DUMMYFUNCTION("""COMPUTED_VALUE"""),346.9)</f>
        <v>346.9</v>
      </c>
      <c r="E16" s="6">
        <f>IFERROR(__xludf.DUMMYFUNCTION("""COMPUTED_VALUE"""),351.0)</f>
        <v>351</v>
      </c>
      <c r="F16" s="6">
        <f>IFERROR(__xludf.DUMMYFUNCTION("""COMPUTED_VALUE"""),7.5257909E7)</f>
        <v>75257909</v>
      </c>
    </row>
    <row r="17">
      <c r="A17" s="7">
        <f>IFERROR(__xludf.DUMMYFUNCTION("""COMPUTED_VALUE"""),45275.64583333333)</f>
        <v>45275.64583</v>
      </c>
      <c r="B17" s="6">
        <f>IFERROR(__xludf.DUMMYFUNCTION("""COMPUTED_VALUE"""),351.0)</f>
        <v>351</v>
      </c>
      <c r="C17" s="6">
        <f>IFERROR(__xludf.DUMMYFUNCTION("""COMPUTED_VALUE"""),358.6)</f>
        <v>358.6</v>
      </c>
      <c r="D17" s="6">
        <f>IFERROR(__xludf.DUMMYFUNCTION("""COMPUTED_VALUE"""),343.7)</f>
        <v>343.7</v>
      </c>
      <c r="E17" s="6">
        <f>IFERROR(__xludf.DUMMYFUNCTION("""COMPUTED_VALUE"""),350.0)</f>
        <v>350</v>
      </c>
      <c r="F17" s="6">
        <f>IFERROR(__xludf.DUMMYFUNCTION("""COMPUTED_VALUE"""),5.5775601E7)</f>
        <v>55775601</v>
      </c>
    </row>
    <row r="18">
      <c r="A18" s="7">
        <f>IFERROR(__xludf.DUMMYFUNCTION("""COMPUTED_VALUE"""),45282.64583333333)</f>
        <v>45282.64583</v>
      </c>
      <c r="B18" s="6">
        <f>IFERROR(__xludf.DUMMYFUNCTION("""COMPUTED_VALUE"""),351.0)</f>
        <v>351</v>
      </c>
      <c r="C18" s="6">
        <f>IFERROR(__xludf.DUMMYFUNCTION("""COMPUTED_VALUE"""),371.8)</f>
        <v>371.8</v>
      </c>
      <c r="D18" s="6">
        <f>IFERROR(__xludf.DUMMYFUNCTION("""COMPUTED_VALUE"""),342.3)</f>
        <v>342.3</v>
      </c>
      <c r="E18" s="6">
        <f>IFERROR(__xludf.DUMMYFUNCTION("""COMPUTED_VALUE"""),363.25)</f>
        <v>363.25</v>
      </c>
      <c r="F18" s="6">
        <f>IFERROR(__xludf.DUMMYFUNCTION("""COMPUTED_VALUE"""),8.406638E7)</f>
        <v>84066380</v>
      </c>
    </row>
    <row r="19">
      <c r="A19" s="7">
        <f>IFERROR(__xludf.DUMMYFUNCTION("""COMPUTED_VALUE"""),45289.64583333333)</f>
        <v>45289.64583</v>
      </c>
      <c r="B19" s="6">
        <f>IFERROR(__xludf.DUMMYFUNCTION("""COMPUTED_VALUE"""),363.8)</f>
        <v>363.8</v>
      </c>
      <c r="C19" s="6">
        <f>IFERROR(__xludf.DUMMYFUNCTION("""COMPUTED_VALUE"""),382.5)</f>
        <v>382.5</v>
      </c>
      <c r="D19" s="6">
        <f>IFERROR(__xludf.DUMMYFUNCTION("""COMPUTED_VALUE"""),362.4)</f>
        <v>362.4</v>
      </c>
      <c r="E19" s="6">
        <f>IFERROR(__xludf.DUMMYFUNCTION("""COMPUTED_VALUE"""),376.0)</f>
        <v>376</v>
      </c>
      <c r="F19" s="6">
        <f>IFERROR(__xludf.DUMMYFUNCTION("""COMPUTED_VALUE"""),5.6969648E7)</f>
        <v>56969648</v>
      </c>
    </row>
    <row r="20">
      <c r="A20" s="7">
        <f>IFERROR(__xludf.DUMMYFUNCTION("""COMPUTED_VALUE"""),45296.64583333333)</f>
        <v>45296.64583</v>
      </c>
      <c r="B20" s="6">
        <f>IFERROR(__xludf.DUMMYFUNCTION("""COMPUTED_VALUE"""),377.8)</f>
        <v>377.8</v>
      </c>
      <c r="C20" s="6">
        <f>IFERROR(__xludf.DUMMYFUNCTION("""COMPUTED_VALUE"""),395.85)</f>
        <v>395.85</v>
      </c>
      <c r="D20" s="6">
        <f>IFERROR(__xludf.DUMMYFUNCTION("""COMPUTED_VALUE"""),377.45)</f>
        <v>377.45</v>
      </c>
      <c r="E20" s="6">
        <f>IFERROR(__xludf.DUMMYFUNCTION("""COMPUTED_VALUE"""),384.25)</f>
        <v>384.25</v>
      </c>
      <c r="F20" s="6">
        <f>IFERROR(__xludf.DUMMYFUNCTION("""COMPUTED_VALUE"""),7.1801376E7)</f>
        <v>71801376</v>
      </c>
    </row>
    <row r="21">
      <c r="A21" s="7">
        <f>IFERROR(__xludf.DUMMYFUNCTION("""COMPUTED_VALUE"""),45303.64583333333)</f>
        <v>45303.64583</v>
      </c>
      <c r="B21" s="6">
        <f>IFERROR(__xludf.DUMMYFUNCTION("""COMPUTED_VALUE"""),386.45)</f>
        <v>386.45</v>
      </c>
      <c r="C21" s="6">
        <f>IFERROR(__xludf.DUMMYFUNCTION("""COMPUTED_VALUE"""),388.9)</f>
        <v>388.9</v>
      </c>
      <c r="D21" s="6">
        <f>IFERROR(__xludf.DUMMYFUNCTION("""COMPUTED_VALUE"""),375.85)</f>
        <v>375.85</v>
      </c>
      <c r="E21" s="6">
        <f>IFERROR(__xludf.DUMMYFUNCTION("""COMPUTED_VALUE"""),381.1)</f>
        <v>381.1</v>
      </c>
      <c r="F21" s="6">
        <f>IFERROR(__xludf.DUMMYFUNCTION("""COMPUTED_VALUE"""),4.5203646E7)</f>
        <v>45203646</v>
      </c>
    </row>
    <row r="22">
      <c r="A22" s="7">
        <f>IFERROR(__xludf.DUMMYFUNCTION("""COMPUTED_VALUE"""),45316.64583333333)</f>
        <v>45316.64583</v>
      </c>
      <c r="B22" s="6">
        <f>IFERROR(__xludf.DUMMYFUNCTION("""COMPUTED_VALUE"""),403.5)</f>
        <v>403.5</v>
      </c>
      <c r="C22" s="6">
        <f>IFERROR(__xludf.DUMMYFUNCTION("""COMPUTED_VALUE"""),404.8)</f>
        <v>404.8</v>
      </c>
      <c r="D22" s="6">
        <f>IFERROR(__xludf.DUMMYFUNCTION("""COMPUTED_VALUE"""),373.65)</f>
        <v>373.65</v>
      </c>
      <c r="E22" s="6">
        <f>IFERROR(__xludf.DUMMYFUNCTION("""COMPUTED_VALUE"""),389.4)</f>
        <v>389.4</v>
      </c>
      <c r="F22" s="6">
        <f>IFERROR(__xludf.DUMMYFUNCTION("""COMPUTED_VALUE"""),5.278668E7)</f>
        <v>52786680</v>
      </c>
    </row>
    <row r="23">
      <c r="A23" s="7">
        <f>IFERROR(__xludf.DUMMYFUNCTION("""COMPUTED_VALUE"""),45324.64583333333)</f>
        <v>45324.64583</v>
      </c>
      <c r="B23" s="6">
        <f>IFERROR(__xludf.DUMMYFUNCTION("""COMPUTED_VALUE"""),392.9)</f>
        <v>392.9</v>
      </c>
      <c r="C23" s="6">
        <f>IFERROR(__xludf.DUMMYFUNCTION("""COMPUTED_VALUE"""),422.9)</f>
        <v>422.9</v>
      </c>
      <c r="D23" s="6">
        <f>IFERROR(__xludf.DUMMYFUNCTION("""COMPUTED_VALUE"""),391.5)</f>
        <v>391.5</v>
      </c>
      <c r="E23" s="6">
        <f>IFERROR(__xludf.DUMMYFUNCTION("""COMPUTED_VALUE"""),419.8)</f>
        <v>419.8</v>
      </c>
      <c r="F23" s="6">
        <f>IFERROR(__xludf.DUMMYFUNCTION("""COMPUTED_VALUE"""),9.9098182E7)</f>
        <v>99098182</v>
      </c>
    </row>
    <row r="24">
      <c r="A24" s="7">
        <f>IFERROR(__xludf.DUMMYFUNCTION("""COMPUTED_VALUE"""),45331.64583333333)</f>
        <v>45331.64583</v>
      </c>
      <c r="B24" s="6">
        <f>IFERROR(__xludf.DUMMYFUNCTION("""COMPUTED_VALUE"""),423.25)</f>
        <v>423.25</v>
      </c>
      <c r="C24" s="6">
        <f>IFERROR(__xludf.DUMMYFUNCTION("""COMPUTED_VALUE"""),468.6)</f>
        <v>468.6</v>
      </c>
      <c r="D24" s="6">
        <f>IFERROR(__xludf.DUMMYFUNCTION("""COMPUTED_VALUE"""),417.1)</f>
        <v>417.1</v>
      </c>
      <c r="E24" s="6">
        <f>IFERROR(__xludf.DUMMYFUNCTION("""COMPUTED_VALUE"""),456.2)</f>
        <v>456.2</v>
      </c>
      <c r="F24" s="6">
        <f>IFERROR(__xludf.DUMMYFUNCTION("""COMPUTED_VALUE"""),9.549783E7)</f>
        <v>95497830</v>
      </c>
    </row>
    <row r="25">
      <c r="A25" s="7">
        <f>IFERROR(__xludf.DUMMYFUNCTION("""COMPUTED_VALUE"""),45338.64583333333)</f>
        <v>45338.64583</v>
      </c>
      <c r="B25" s="6">
        <f>IFERROR(__xludf.DUMMYFUNCTION("""COMPUTED_VALUE"""),457.0)</f>
        <v>457</v>
      </c>
      <c r="C25" s="6">
        <f>IFERROR(__xludf.DUMMYFUNCTION("""COMPUTED_VALUE"""),487.6)</f>
        <v>487.6</v>
      </c>
      <c r="D25" s="6">
        <f>IFERROR(__xludf.DUMMYFUNCTION("""COMPUTED_VALUE"""),430.05)</f>
        <v>430.05</v>
      </c>
      <c r="E25" s="6">
        <f>IFERROR(__xludf.DUMMYFUNCTION("""COMPUTED_VALUE"""),480.0)</f>
        <v>480</v>
      </c>
      <c r="F25" s="6">
        <f>IFERROR(__xludf.DUMMYFUNCTION("""COMPUTED_VALUE"""),1.06746354E8)</f>
        <v>106746354</v>
      </c>
    </row>
    <row r="26">
      <c r="A26" s="7">
        <f>IFERROR(__xludf.DUMMYFUNCTION("""COMPUTED_VALUE"""),45345.64583333333)</f>
        <v>45345.64583</v>
      </c>
      <c r="B26" s="6">
        <f>IFERROR(__xludf.DUMMYFUNCTION("""COMPUTED_VALUE"""),482.8)</f>
        <v>482.8</v>
      </c>
      <c r="C26" s="6">
        <f>IFERROR(__xludf.DUMMYFUNCTION("""COMPUTED_VALUE"""),487.45)</f>
        <v>487.45</v>
      </c>
      <c r="D26" s="6">
        <f>IFERROR(__xludf.DUMMYFUNCTION("""COMPUTED_VALUE"""),427.95)</f>
        <v>427.95</v>
      </c>
      <c r="E26" s="6">
        <f>IFERROR(__xludf.DUMMYFUNCTION("""COMPUTED_VALUE"""),443.9)</f>
        <v>443.9</v>
      </c>
      <c r="F26" s="6">
        <f>IFERROR(__xludf.DUMMYFUNCTION("""COMPUTED_VALUE"""),9.8438917E7)</f>
        <v>98438917</v>
      </c>
    </row>
    <row r="27">
      <c r="A27" s="7">
        <f>IFERROR(__xludf.DUMMYFUNCTION("""COMPUTED_VALUE"""),45358.64583333333)</f>
        <v>45358.64583</v>
      </c>
      <c r="B27" s="6">
        <f>IFERROR(__xludf.DUMMYFUNCTION("""COMPUTED_VALUE"""),451.85)</f>
        <v>451.85</v>
      </c>
      <c r="C27" s="6">
        <f>IFERROR(__xludf.DUMMYFUNCTION("""COMPUTED_VALUE"""),465.4)</f>
        <v>465.4</v>
      </c>
      <c r="D27" s="6">
        <f>IFERROR(__xludf.DUMMYFUNCTION("""COMPUTED_VALUE"""),444.55)</f>
        <v>444.55</v>
      </c>
      <c r="E27" s="6">
        <f>IFERROR(__xludf.DUMMYFUNCTION("""COMPUTED_VALUE"""),458.6)</f>
        <v>458.6</v>
      </c>
      <c r="F27" s="6">
        <f>IFERROR(__xludf.DUMMYFUNCTION("""COMPUTED_VALUE"""),4.5325487E7)</f>
        <v>45325487</v>
      </c>
    </row>
    <row r="28">
      <c r="A28" s="7">
        <f>IFERROR(__xludf.DUMMYFUNCTION("""COMPUTED_VALUE"""),45366.64583333333)</f>
        <v>45366.64583</v>
      </c>
      <c r="B28" s="6">
        <f>IFERROR(__xludf.DUMMYFUNCTION("""COMPUTED_VALUE"""),461.0)</f>
        <v>461</v>
      </c>
      <c r="C28" s="6">
        <f>IFERROR(__xludf.DUMMYFUNCTION("""COMPUTED_VALUE"""),462.85)</f>
        <v>462.85</v>
      </c>
      <c r="D28" s="6">
        <f>IFERROR(__xludf.DUMMYFUNCTION("""COMPUTED_VALUE"""),401.2)</f>
        <v>401.2</v>
      </c>
      <c r="E28" s="6">
        <f>IFERROR(__xludf.DUMMYFUNCTION("""COMPUTED_VALUE"""),415.25)</f>
        <v>415.25</v>
      </c>
      <c r="F28" s="6">
        <f>IFERROR(__xludf.DUMMYFUNCTION("""COMPUTED_VALUE"""),7.9951693E7)</f>
        <v>79951693</v>
      </c>
    </row>
    <row r="29">
      <c r="A29" s="7">
        <f>IFERROR(__xludf.DUMMYFUNCTION("""COMPUTED_VALUE"""),45373.64583333333)</f>
        <v>45373.64583</v>
      </c>
      <c r="B29" s="6">
        <f>IFERROR(__xludf.DUMMYFUNCTION("""COMPUTED_VALUE"""),416.0)</f>
        <v>416</v>
      </c>
      <c r="C29" s="6">
        <f>IFERROR(__xludf.DUMMYFUNCTION("""COMPUTED_VALUE"""),436.2)</f>
        <v>436.2</v>
      </c>
      <c r="D29" s="6">
        <f>IFERROR(__xludf.DUMMYFUNCTION("""COMPUTED_VALUE"""),412.7)</f>
        <v>412.7</v>
      </c>
      <c r="E29" s="6">
        <f>IFERROR(__xludf.DUMMYFUNCTION("""COMPUTED_VALUE"""),431.95)</f>
        <v>431.95</v>
      </c>
      <c r="F29" s="6">
        <f>IFERROR(__xludf.DUMMYFUNCTION("""COMPUTED_VALUE"""),4.4212048E7)</f>
        <v>44212048</v>
      </c>
    </row>
    <row r="30">
      <c r="A30" s="7">
        <f>IFERROR(__xludf.DUMMYFUNCTION("""COMPUTED_VALUE"""),45379.64583333333)</f>
        <v>45379.64583</v>
      </c>
      <c r="B30" s="6">
        <f>IFERROR(__xludf.DUMMYFUNCTION("""COMPUTED_VALUE"""),433.8)</f>
        <v>433.8</v>
      </c>
      <c r="C30" s="6">
        <f>IFERROR(__xludf.DUMMYFUNCTION("""COMPUTED_VALUE"""),440.95)</f>
        <v>440.95</v>
      </c>
      <c r="D30" s="6">
        <f>IFERROR(__xludf.DUMMYFUNCTION("""COMPUTED_VALUE"""),426.05)</f>
        <v>426.05</v>
      </c>
      <c r="E30" s="6">
        <f>IFERROR(__xludf.DUMMYFUNCTION("""COMPUTED_VALUE"""),434.1)</f>
        <v>434.1</v>
      </c>
      <c r="F30" s="6">
        <f>IFERROR(__xludf.DUMMYFUNCTION("""COMPUTED_VALUE"""),3.7707502E7)</f>
        <v>37707502</v>
      </c>
    </row>
    <row r="31">
      <c r="A31" s="7">
        <f>IFERROR(__xludf.DUMMYFUNCTION("""COMPUTED_VALUE"""),45387.64583333333)</f>
        <v>45387.64583</v>
      </c>
      <c r="B31" s="6">
        <f>IFERROR(__xludf.DUMMYFUNCTION("""COMPUTED_VALUE"""),436.7)</f>
        <v>436.7</v>
      </c>
      <c r="C31" s="6">
        <f>IFERROR(__xludf.DUMMYFUNCTION("""COMPUTED_VALUE"""),453.5)</f>
        <v>453.5</v>
      </c>
      <c r="D31" s="6">
        <f>IFERROR(__xludf.DUMMYFUNCTION("""COMPUTED_VALUE"""),434.8)</f>
        <v>434.8</v>
      </c>
      <c r="E31" s="6">
        <f>IFERROR(__xludf.DUMMYFUNCTION("""COMPUTED_VALUE"""),446.95)</f>
        <v>446.95</v>
      </c>
      <c r="F31" s="6">
        <f>IFERROR(__xludf.DUMMYFUNCTION("""COMPUTED_VALUE"""),4.5323198E7)</f>
        <v>45323198</v>
      </c>
    </row>
    <row r="32">
      <c r="A32" s="7">
        <f>IFERROR(__xludf.DUMMYFUNCTION("""COMPUTED_VALUE"""),45394.64583333333)</f>
        <v>45394.64583</v>
      </c>
      <c r="B32" s="6">
        <f>IFERROR(__xludf.DUMMYFUNCTION("""COMPUTED_VALUE"""),449.0)</f>
        <v>449</v>
      </c>
      <c r="C32" s="6">
        <f>IFERROR(__xludf.DUMMYFUNCTION("""COMPUTED_VALUE"""),463.45)</f>
        <v>463.45</v>
      </c>
      <c r="D32" s="6">
        <f>IFERROR(__xludf.DUMMYFUNCTION("""COMPUTED_VALUE"""),437.25)</f>
        <v>437.25</v>
      </c>
      <c r="E32" s="6">
        <f>IFERROR(__xludf.DUMMYFUNCTION("""COMPUTED_VALUE"""),455.6)</f>
        <v>455.6</v>
      </c>
      <c r="F32" s="6">
        <f>IFERROR(__xludf.DUMMYFUNCTION("""COMPUTED_VALUE"""),3.9070609E7)</f>
        <v>39070609</v>
      </c>
    </row>
    <row r="33">
      <c r="A33" s="7">
        <f>IFERROR(__xludf.DUMMYFUNCTION("""COMPUTED_VALUE"""),45401.64583333333)</f>
        <v>45401.64583</v>
      </c>
      <c r="B33" s="6">
        <f>IFERROR(__xludf.DUMMYFUNCTION("""COMPUTED_VALUE"""),448.95)</f>
        <v>448.95</v>
      </c>
      <c r="C33" s="6">
        <f>IFERROR(__xludf.DUMMYFUNCTION("""COMPUTED_VALUE"""),456.8)</f>
        <v>456.8</v>
      </c>
      <c r="D33" s="6">
        <f>IFERROR(__xludf.DUMMYFUNCTION("""COMPUTED_VALUE"""),428.05)</f>
        <v>428.05</v>
      </c>
      <c r="E33" s="6">
        <f>IFERROR(__xludf.DUMMYFUNCTION("""COMPUTED_VALUE"""),435.3)</f>
        <v>435.3</v>
      </c>
      <c r="F33" s="6">
        <f>IFERROR(__xludf.DUMMYFUNCTION("""COMPUTED_VALUE"""),3.1250985E7)</f>
        <v>31250985</v>
      </c>
    </row>
    <row r="34">
      <c r="A34" s="7">
        <f>IFERROR(__xludf.DUMMYFUNCTION("""COMPUTED_VALUE"""),45408.64583333333)</f>
        <v>45408.64583</v>
      </c>
      <c r="B34" s="6">
        <f>IFERROR(__xludf.DUMMYFUNCTION("""COMPUTED_VALUE"""),440.9)</f>
        <v>440.9</v>
      </c>
      <c r="C34" s="6">
        <f>IFERROR(__xludf.DUMMYFUNCTION("""COMPUTED_VALUE"""),460.45)</f>
        <v>460.45</v>
      </c>
      <c r="D34" s="6">
        <f>IFERROR(__xludf.DUMMYFUNCTION("""COMPUTED_VALUE"""),438.0)</f>
        <v>438</v>
      </c>
      <c r="E34" s="6">
        <f>IFERROR(__xludf.DUMMYFUNCTION("""COMPUTED_VALUE"""),455.8)</f>
        <v>455.8</v>
      </c>
      <c r="F34" s="6">
        <f>IFERROR(__xludf.DUMMYFUNCTION("""COMPUTED_VALUE"""),3.6393165E7)</f>
        <v>36393165</v>
      </c>
    </row>
    <row r="35">
      <c r="A35" s="7">
        <f>IFERROR(__xludf.DUMMYFUNCTION("""COMPUTED_VALUE"""),45415.64583333333)</f>
        <v>45415.64583</v>
      </c>
      <c r="B35" s="6">
        <f>IFERROR(__xludf.DUMMYFUNCTION("""COMPUTED_VALUE"""),458.7)</f>
        <v>458.7</v>
      </c>
      <c r="C35" s="6">
        <f>IFERROR(__xludf.DUMMYFUNCTION("""COMPUTED_VALUE"""),475.8)</f>
        <v>475.8</v>
      </c>
      <c r="D35" s="6">
        <f>IFERROR(__xludf.DUMMYFUNCTION("""COMPUTED_VALUE"""),449.4)</f>
        <v>449.4</v>
      </c>
      <c r="E35" s="6">
        <f>IFERROR(__xludf.DUMMYFUNCTION("""COMPUTED_VALUE"""),474.6)</f>
        <v>474.6</v>
      </c>
      <c r="F35" s="6">
        <f>IFERROR(__xludf.DUMMYFUNCTION("""COMPUTED_VALUE"""),7.7380291E7)</f>
        <v>77380291</v>
      </c>
    </row>
    <row r="36">
      <c r="A36" s="7">
        <f>IFERROR(__xludf.DUMMYFUNCTION("""COMPUTED_VALUE"""),45422.64583333333)</f>
        <v>45422.64583</v>
      </c>
      <c r="B36" s="6">
        <f>IFERROR(__xludf.DUMMYFUNCTION("""COMPUTED_VALUE"""),479.0)</f>
        <v>479</v>
      </c>
      <c r="C36" s="6">
        <f>IFERROR(__xludf.DUMMYFUNCTION("""COMPUTED_VALUE"""),481.45)</f>
        <v>481.45</v>
      </c>
      <c r="D36" s="6">
        <f>IFERROR(__xludf.DUMMYFUNCTION("""COMPUTED_VALUE"""),440.25)</f>
        <v>440.25</v>
      </c>
      <c r="E36" s="6">
        <f>IFERROR(__xludf.DUMMYFUNCTION("""COMPUTED_VALUE"""),449.4)</f>
        <v>449.4</v>
      </c>
      <c r="F36" s="6">
        <f>IFERROR(__xludf.DUMMYFUNCTION("""COMPUTED_VALUE"""),9.1906822E7)</f>
        <v>91906822</v>
      </c>
    </row>
    <row r="37">
      <c r="A37" s="7">
        <f>IFERROR(__xludf.DUMMYFUNCTION("""COMPUTED_VALUE"""),45436.64583333333)</f>
        <v>45436.64583</v>
      </c>
      <c r="B37" s="6">
        <f>IFERROR(__xludf.DUMMYFUNCTION("""COMPUTED_VALUE"""),469.7)</f>
        <v>469.7</v>
      </c>
      <c r="C37" s="6">
        <f>IFERROR(__xludf.DUMMYFUNCTION("""COMPUTED_VALUE"""),507.35)</f>
        <v>507.35</v>
      </c>
      <c r="D37" s="6">
        <f>IFERROR(__xludf.DUMMYFUNCTION("""COMPUTED_VALUE"""),469.7)</f>
        <v>469.7</v>
      </c>
      <c r="E37" s="6">
        <f>IFERROR(__xludf.DUMMYFUNCTION("""COMPUTED_VALUE"""),501.0)</f>
        <v>501</v>
      </c>
      <c r="F37" s="6">
        <f>IFERROR(__xludf.DUMMYFUNCTION("""COMPUTED_VALUE"""),8.2273289E7)</f>
        <v>82273289</v>
      </c>
    </row>
    <row r="38">
      <c r="A38" s="7">
        <f>IFERROR(__xludf.DUMMYFUNCTION("""COMPUTED_VALUE"""),45443.64583333333)</f>
        <v>45443.64583</v>
      </c>
      <c r="B38" s="6">
        <f>IFERROR(__xludf.DUMMYFUNCTION("""COMPUTED_VALUE"""),502.95)</f>
        <v>502.95</v>
      </c>
      <c r="C38" s="6">
        <f>IFERROR(__xludf.DUMMYFUNCTION("""COMPUTED_VALUE"""),503.0)</f>
        <v>503</v>
      </c>
      <c r="D38" s="6">
        <f>IFERROR(__xludf.DUMMYFUNCTION("""COMPUTED_VALUE"""),479.0)</f>
        <v>479</v>
      </c>
      <c r="E38" s="6">
        <f>IFERROR(__xludf.DUMMYFUNCTION("""COMPUTED_VALUE"""),491.2)</f>
        <v>491.2</v>
      </c>
      <c r="F38" s="6">
        <f>IFERROR(__xludf.DUMMYFUNCTION("""COMPUTED_VALUE"""),4.3939998E7)</f>
        <v>43939998</v>
      </c>
    </row>
    <row r="39">
      <c r="A39" s="7">
        <f>IFERROR(__xludf.DUMMYFUNCTION("""COMPUTED_VALUE"""),45450.64583333333)</f>
        <v>45450.64583</v>
      </c>
      <c r="B39" s="6">
        <f>IFERROR(__xludf.DUMMYFUNCTION("""COMPUTED_VALUE"""),515.0)</f>
        <v>515</v>
      </c>
      <c r="C39" s="6">
        <f>IFERROR(__xludf.DUMMYFUNCTION("""COMPUTED_VALUE"""),527.4)</f>
        <v>527.4</v>
      </c>
      <c r="D39" s="6">
        <f>IFERROR(__xludf.DUMMYFUNCTION("""COMPUTED_VALUE"""),410.8)</f>
        <v>410.8</v>
      </c>
      <c r="E39" s="6">
        <f>IFERROR(__xludf.DUMMYFUNCTION("""COMPUTED_VALUE"""),479.15)</f>
        <v>479.15</v>
      </c>
      <c r="F39" s="6">
        <f>IFERROR(__xludf.DUMMYFUNCTION("""COMPUTED_VALUE"""),1.21503997E8)</f>
        <v>121503997</v>
      </c>
    </row>
    <row r="40">
      <c r="A40" s="7">
        <f>IFERROR(__xludf.DUMMYFUNCTION("""COMPUTED_VALUE"""),45457.64583333333)</f>
        <v>45457.64583</v>
      </c>
      <c r="B40" s="6">
        <f>IFERROR(__xludf.DUMMYFUNCTION("""COMPUTED_VALUE"""),485.0)</f>
        <v>485</v>
      </c>
      <c r="C40" s="6">
        <f>IFERROR(__xludf.DUMMYFUNCTION("""COMPUTED_VALUE"""),494.3)</f>
        <v>494.3</v>
      </c>
      <c r="D40" s="6">
        <f>IFERROR(__xludf.DUMMYFUNCTION("""COMPUTED_VALUE"""),475.2)</f>
        <v>475.2</v>
      </c>
      <c r="E40" s="6">
        <f>IFERROR(__xludf.DUMMYFUNCTION("""COMPUTED_VALUE"""),486.95)</f>
        <v>486.95</v>
      </c>
      <c r="F40" s="6">
        <f>IFERROR(__xludf.DUMMYFUNCTION("""COMPUTED_VALUE"""),5.0953561E7)</f>
        <v>50953561</v>
      </c>
    </row>
    <row r="41">
      <c r="A41" s="7">
        <f>IFERROR(__xludf.DUMMYFUNCTION("""COMPUTED_VALUE"""),45464.64583333333)</f>
        <v>45464.64583</v>
      </c>
      <c r="B41" s="6">
        <f>IFERROR(__xludf.DUMMYFUNCTION("""COMPUTED_VALUE"""),492.0)</f>
        <v>492</v>
      </c>
      <c r="C41" s="6">
        <f>IFERROR(__xludf.DUMMYFUNCTION("""COMPUTED_VALUE"""),492.9)</f>
        <v>492.9</v>
      </c>
      <c r="D41" s="6">
        <f>IFERROR(__xludf.DUMMYFUNCTION("""COMPUTED_VALUE"""),471.55)</f>
        <v>471.55</v>
      </c>
      <c r="E41" s="6">
        <f>IFERROR(__xludf.DUMMYFUNCTION("""COMPUTED_VALUE"""),480.2)</f>
        <v>480.2</v>
      </c>
      <c r="F41" s="6">
        <f>IFERROR(__xludf.DUMMYFUNCTION("""COMPUTED_VALUE"""),3.4114093E7)</f>
        <v>34114093</v>
      </c>
    </row>
    <row r="42">
      <c r="A42" s="7">
        <f>IFERROR(__xludf.DUMMYFUNCTION("""COMPUTED_VALUE"""),45471.64583333333)</f>
        <v>45471.64583</v>
      </c>
      <c r="B42" s="6">
        <f>IFERROR(__xludf.DUMMYFUNCTION("""COMPUTED_VALUE"""),480.0)</f>
        <v>480</v>
      </c>
      <c r="C42" s="6">
        <f>IFERROR(__xludf.DUMMYFUNCTION("""COMPUTED_VALUE"""),480.05)</f>
        <v>480.05</v>
      </c>
      <c r="D42" s="6">
        <f>IFERROR(__xludf.DUMMYFUNCTION("""COMPUTED_VALUE"""),461.5)</f>
        <v>461.5</v>
      </c>
      <c r="E42" s="6">
        <f>IFERROR(__xludf.DUMMYFUNCTION("""COMPUTED_VALUE"""),473.15)</f>
        <v>473.15</v>
      </c>
      <c r="F42" s="6">
        <f>IFERROR(__xludf.DUMMYFUNCTION("""COMPUTED_VALUE"""),4.8892114E7)</f>
        <v>48892114</v>
      </c>
    </row>
    <row r="43">
      <c r="A43" s="7">
        <f>IFERROR(__xludf.DUMMYFUNCTION("""COMPUTED_VALUE"""),45478.64583333333)</f>
        <v>45478.64583</v>
      </c>
      <c r="B43" s="6">
        <f>IFERROR(__xludf.DUMMYFUNCTION("""COMPUTED_VALUE"""),473.35)</f>
        <v>473.35</v>
      </c>
      <c r="C43" s="6">
        <f>IFERROR(__xludf.DUMMYFUNCTION("""COMPUTED_VALUE"""),493.3)</f>
        <v>493.3</v>
      </c>
      <c r="D43" s="6">
        <f>IFERROR(__xludf.DUMMYFUNCTION("""COMPUTED_VALUE"""),471.25)</f>
        <v>471.25</v>
      </c>
      <c r="E43" s="6">
        <f>IFERROR(__xludf.DUMMYFUNCTION("""COMPUTED_VALUE"""),491.5)</f>
        <v>491.5</v>
      </c>
      <c r="F43" s="6">
        <f>IFERROR(__xludf.DUMMYFUNCTION("""COMPUTED_VALUE"""),4.4005271E7)</f>
        <v>44005271</v>
      </c>
    </row>
    <row r="44">
      <c r="A44" s="7">
        <f>IFERROR(__xludf.DUMMYFUNCTION("""COMPUTED_VALUE"""),45485.64583333333)</f>
        <v>45485.64583</v>
      </c>
      <c r="B44" s="6">
        <f>IFERROR(__xludf.DUMMYFUNCTION("""COMPUTED_VALUE"""),492.7)</f>
        <v>492.7</v>
      </c>
      <c r="C44" s="6">
        <f>IFERROR(__xludf.DUMMYFUNCTION("""COMPUTED_VALUE"""),508.6)</f>
        <v>508.6</v>
      </c>
      <c r="D44" s="6">
        <f>IFERROR(__xludf.DUMMYFUNCTION("""COMPUTED_VALUE"""),480.55)</f>
        <v>480.55</v>
      </c>
      <c r="E44" s="6">
        <f>IFERROR(__xludf.DUMMYFUNCTION("""COMPUTED_VALUE"""),496.2)</f>
        <v>496.2</v>
      </c>
      <c r="F44" s="6">
        <f>IFERROR(__xludf.DUMMYFUNCTION("""COMPUTED_VALUE"""),4.8248769E7)</f>
        <v>48248769</v>
      </c>
    </row>
    <row r="45">
      <c r="A45" s="7">
        <f>IFERROR(__xludf.DUMMYFUNCTION("""COMPUTED_VALUE"""),45492.64583333333)</f>
        <v>45492.64583</v>
      </c>
      <c r="B45" s="6">
        <f>IFERROR(__xludf.DUMMYFUNCTION("""COMPUTED_VALUE"""),500.0)</f>
        <v>500</v>
      </c>
      <c r="C45" s="6">
        <f>IFERROR(__xludf.DUMMYFUNCTION("""COMPUTED_VALUE"""),518.4)</f>
        <v>518.4</v>
      </c>
      <c r="D45" s="6">
        <f>IFERROR(__xludf.DUMMYFUNCTION("""COMPUTED_VALUE"""),486.75)</f>
        <v>486.75</v>
      </c>
      <c r="E45" s="6">
        <f>IFERROR(__xludf.DUMMYFUNCTION("""COMPUTED_VALUE"""),488.0)</f>
        <v>488</v>
      </c>
      <c r="F45" s="6">
        <f>IFERROR(__xludf.DUMMYFUNCTION("""COMPUTED_VALUE"""),5.2788345E7)</f>
        <v>52788345</v>
      </c>
    </row>
    <row r="46">
      <c r="A46" s="7">
        <f>IFERROR(__xludf.DUMMYFUNCTION("""COMPUTED_VALUE"""),45499.64583333333)</f>
        <v>45499.64583</v>
      </c>
      <c r="B46" s="6">
        <f>IFERROR(__xludf.DUMMYFUNCTION("""COMPUTED_VALUE"""),488.0)</f>
        <v>488</v>
      </c>
      <c r="C46" s="6">
        <f>IFERROR(__xludf.DUMMYFUNCTION("""COMPUTED_VALUE"""),511.7)</f>
        <v>511.7</v>
      </c>
      <c r="D46" s="6">
        <f>IFERROR(__xludf.DUMMYFUNCTION("""COMPUTED_VALUE"""),464.55)</f>
        <v>464.55</v>
      </c>
      <c r="E46" s="6">
        <f>IFERROR(__xludf.DUMMYFUNCTION("""COMPUTED_VALUE"""),509.85)</f>
        <v>509.85</v>
      </c>
      <c r="F46" s="6">
        <f>IFERROR(__xludf.DUMMYFUNCTION("""COMPUTED_VALUE"""),5.6135857E7)</f>
        <v>56135857</v>
      </c>
    </row>
    <row r="47">
      <c r="A47" s="7">
        <f>IFERROR(__xludf.DUMMYFUNCTION("""COMPUTED_VALUE"""),45506.64583333333)</f>
        <v>45506.64583</v>
      </c>
      <c r="B47" s="6">
        <f>IFERROR(__xludf.DUMMYFUNCTION("""COMPUTED_VALUE"""),514.5)</f>
        <v>514.5</v>
      </c>
      <c r="C47" s="6">
        <f>IFERROR(__xludf.DUMMYFUNCTION("""COMPUTED_VALUE"""),542.25)</f>
        <v>542.25</v>
      </c>
      <c r="D47" s="6">
        <f>IFERROR(__xludf.DUMMYFUNCTION("""COMPUTED_VALUE"""),507.5)</f>
        <v>507.5</v>
      </c>
      <c r="E47" s="6">
        <f>IFERROR(__xludf.DUMMYFUNCTION("""COMPUTED_VALUE"""),524.5)</f>
        <v>524.5</v>
      </c>
      <c r="F47" s="6">
        <f>IFERROR(__xludf.DUMMYFUNCTION("""COMPUTED_VALUE"""),7.8178883E7)</f>
        <v>78178883</v>
      </c>
    </row>
    <row r="48">
      <c r="A48" s="7">
        <f>IFERROR(__xludf.DUMMYFUNCTION("""COMPUTED_VALUE"""),45513.64583333333)</f>
        <v>45513.64583</v>
      </c>
      <c r="B48" s="6">
        <f>IFERROR(__xludf.DUMMYFUNCTION("""COMPUTED_VALUE"""),515.0)</f>
        <v>515</v>
      </c>
      <c r="C48" s="6">
        <f>IFERROR(__xludf.DUMMYFUNCTION("""COMPUTED_VALUE"""),535.0)</f>
        <v>535</v>
      </c>
      <c r="D48" s="6">
        <f>IFERROR(__xludf.DUMMYFUNCTION("""COMPUTED_VALUE"""),497.55)</f>
        <v>497.55</v>
      </c>
      <c r="E48" s="6">
        <f>IFERROR(__xludf.DUMMYFUNCTION("""COMPUTED_VALUE"""),529.8)</f>
        <v>529.8</v>
      </c>
      <c r="F48" s="6">
        <f>IFERROR(__xludf.DUMMYFUNCTION("""COMPUTED_VALUE"""),5.7363442E7)</f>
        <v>57363442</v>
      </c>
    </row>
    <row r="49">
      <c r="A49" s="7">
        <f>IFERROR(__xludf.DUMMYFUNCTION("""COMPUTED_VALUE"""),45520.64583333333)</f>
        <v>45520.64583</v>
      </c>
      <c r="B49" s="6">
        <f>IFERROR(__xludf.DUMMYFUNCTION("""COMPUTED_VALUE"""),529.0)</f>
        <v>529</v>
      </c>
      <c r="C49" s="6">
        <f>IFERROR(__xludf.DUMMYFUNCTION("""COMPUTED_VALUE"""),530.5)</f>
        <v>530.5</v>
      </c>
      <c r="D49" s="6">
        <f>IFERROR(__xludf.DUMMYFUNCTION("""COMPUTED_VALUE"""),499.05)</f>
        <v>499.05</v>
      </c>
      <c r="E49" s="6">
        <f>IFERROR(__xludf.DUMMYFUNCTION("""COMPUTED_VALUE"""),512.3)</f>
        <v>512.3</v>
      </c>
      <c r="F49" s="6">
        <f>IFERROR(__xludf.DUMMYFUNCTION("""COMPUTED_VALUE"""),3.2520348E7)</f>
        <v>32520348</v>
      </c>
    </row>
    <row r="50">
      <c r="A50" s="7">
        <f>IFERROR(__xludf.DUMMYFUNCTION("""COMPUTED_VALUE"""),45527.64583333333)</f>
        <v>45527.64583</v>
      </c>
      <c r="B50" s="6">
        <f>IFERROR(__xludf.DUMMYFUNCTION("""COMPUTED_VALUE"""),513.8)</f>
        <v>513.8</v>
      </c>
      <c r="C50" s="6">
        <f>IFERROR(__xludf.DUMMYFUNCTION("""COMPUTED_VALUE"""),541.15)</f>
        <v>541.15</v>
      </c>
      <c r="D50" s="6">
        <f>IFERROR(__xludf.DUMMYFUNCTION("""COMPUTED_VALUE"""),513.15)</f>
        <v>513.15</v>
      </c>
      <c r="E50" s="6">
        <f>IFERROR(__xludf.DUMMYFUNCTION("""COMPUTED_VALUE"""),538.85)</f>
        <v>538.85</v>
      </c>
      <c r="F50" s="6">
        <f>IFERROR(__xludf.DUMMYFUNCTION("""COMPUTED_VALUE"""),4.9094981E7)</f>
        <v>49094981</v>
      </c>
    </row>
    <row r="51">
      <c r="A51" s="7">
        <f>IFERROR(__xludf.DUMMYFUNCTION("""COMPUTED_VALUE"""),45534.64583333333)</f>
        <v>45534.64583</v>
      </c>
      <c r="B51" s="6">
        <f>IFERROR(__xludf.DUMMYFUNCTION("""COMPUTED_VALUE"""),542.0)</f>
        <v>542</v>
      </c>
      <c r="C51" s="6">
        <f>IFERROR(__xludf.DUMMYFUNCTION("""COMPUTED_VALUE"""),543.55)</f>
        <v>543.55</v>
      </c>
      <c r="D51" s="6">
        <f>IFERROR(__xludf.DUMMYFUNCTION("""COMPUTED_VALUE"""),516.1)</f>
        <v>516.1</v>
      </c>
      <c r="E51" s="6">
        <f>IFERROR(__xludf.DUMMYFUNCTION("""COMPUTED_VALUE"""),524.95)</f>
        <v>524.95</v>
      </c>
      <c r="F51" s="6">
        <f>IFERROR(__xludf.DUMMYFUNCTION("""COMPUTED_VALUE"""),6.1194214E7)</f>
        <v>61194214</v>
      </c>
    </row>
    <row r="52">
      <c r="A52" s="7">
        <f>IFERROR(__xludf.DUMMYFUNCTION("""COMPUTED_VALUE"""),45541.64583333333)</f>
        <v>45541.64583</v>
      </c>
      <c r="B52" s="6">
        <f>IFERROR(__xludf.DUMMYFUNCTION("""COMPUTED_VALUE"""),527.0)</f>
        <v>527</v>
      </c>
      <c r="C52" s="6">
        <f>IFERROR(__xludf.DUMMYFUNCTION("""COMPUTED_VALUE"""),529.0)</f>
        <v>529</v>
      </c>
      <c r="D52" s="6">
        <f>IFERROR(__xludf.DUMMYFUNCTION("""COMPUTED_VALUE"""),481.05)</f>
        <v>481.05</v>
      </c>
      <c r="E52" s="6">
        <f>IFERROR(__xludf.DUMMYFUNCTION("""COMPUTED_VALUE"""),488.55)</f>
        <v>488.55</v>
      </c>
      <c r="F52" s="6">
        <f>IFERROR(__xludf.DUMMYFUNCTION("""COMPUTED_VALUE"""),5.262051E7)</f>
        <v>52620510</v>
      </c>
    </row>
    <row r="53">
      <c r="A53" s="7">
        <f>IFERROR(__xludf.DUMMYFUNCTION("""COMPUTED_VALUE"""),45548.64583333333)</f>
        <v>45548.64583</v>
      </c>
      <c r="B53" s="6">
        <f>IFERROR(__xludf.DUMMYFUNCTION("""COMPUTED_VALUE"""),488.0)</f>
        <v>488</v>
      </c>
      <c r="C53" s="6">
        <f>IFERROR(__xludf.DUMMYFUNCTION("""COMPUTED_VALUE"""),497.85)</f>
        <v>497.85</v>
      </c>
      <c r="D53" s="6">
        <f>IFERROR(__xludf.DUMMYFUNCTION("""COMPUTED_VALUE"""),478.05)</f>
        <v>478.05</v>
      </c>
      <c r="E53" s="6">
        <f>IFERROR(__xludf.DUMMYFUNCTION("""COMPUTED_VALUE"""),490.25)</f>
        <v>490.25</v>
      </c>
      <c r="F53" s="6">
        <f>IFERROR(__xludf.DUMMYFUNCTION("""COMPUTED_VALUE"""),4.8286152E7)</f>
        <v>48286152</v>
      </c>
    </row>
    <row r="54">
      <c r="A54" s="7">
        <f>IFERROR(__xludf.DUMMYFUNCTION("""COMPUTED_VALUE"""),45555.64583333333)</f>
        <v>45555.64583</v>
      </c>
      <c r="B54" s="6">
        <f>IFERROR(__xludf.DUMMYFUNCTION("""COMPUTED_VALUE"""),492.5)</f>
        <v>492.5</v>
      </c>
      <c r="C54" s="6">
        <f>IFERROR(__xludf.DUMMYFUNCTION("""COMPUTED_VALUE"""),498.0)</f>
        <v>498</v>
      </c>
      <c r="D54" s="6">
        <f>IFERROR(__xludf.DUMMYFUNCTION("""COMPUTED_VALUE"""),476.25)</f>
        <v>476.25</v>
      </c>
      <c r="E54" s="6">
        <f>IFERROR(__xludf.DUMMYFUNCTION("""COMPUTED_VALUE"""),490.95)</f>
        <v>490.95</v>
      </c>
      <c r="F54" s="6">
        <f>IFERROR(__xludf.DUMMYFUNCTION("""COMPUTED_VALUE"""),3.9832969E7)</f>
        <v>39832969</v>
      </c>
    </row>
    <row r="55">
      <c r="A55" s="7">
        <f>IFERROR(__xludf.DUMMYFUNCTION("""COMPUTED_VALUE"""),45562.64583333333)</f>
        <v>45562.64583</v>
      </c>
      <c r="B55" s="6">
        <f>IFERROR(__xludf.DUMMYFUNCTION("""COMPUTED_VALUE"""),493.5)</f>
        <v>493.5</v>
      </c>
      <c r="C55" s="6">
        <f>IFERROR(__xludf.DUMMYFUNCTION("""COMPUTED_VALUE"""),517.85)</f>
        <v>517.85</v>
      </c>
      <c r="D55" s="6">
        <f>IFERROR(__xludf.DUMMYFUNCTION("""COMPUTED_VALUE"""),490.5)</f>
        <v>490.5</v>
      </c>
      <c r="E55" s="6">
        <f>IFERROR(__xludf.DUMMYFUNCTION("""COMPUTED_VALUE"""),516.1)</f>
        <v>516.1</v>
      </c>
      <c r="F55" s="6">
        <f>IFERROR(__xludf.DUMMYFUNCTION("""COMPUTED_VALUE"""),4.0809801E7)</f>
        <v>40809801</v>
      </c>
    </row>
    <row r="56">
      <c r="A56" s="7">
        <f>IFERROR(__xludf.DUMMYFUNCTION("""COMPUTED_VALUE"""),45569.64583333333)</f>
        <v>45569.64583</v>
      </c>
      <c r="B56" s="6">
        <f>IFERROR(__xludf.DUMMYFUNCTION("""COMPUTED_VALUE"""),513.0)</f>
        <v>513</v>
      </c>
      <c r="C56" s="6">
        <f>IFERROR(__xludf.DUMMYFUNCTION("""COMPUTED_VALUE"""),516.0)</f>
        <v>516</v>
      </c>
      <c r="D56" s="6">
        <f>IFERROR(__xludf.DUMMYFUNCTION("""COMPUTED_VALUE"""),494.05)</f>
        <v>494.05</v>
      </c>
      <c r="E56" s="6">
        <f>IFERROR(__xludf.DUMMYFUNCTION("""COMPUTED_VALUE"""),497.2)</f>
        <v>497.2</v>
      </c>
      <c r="F56" s="6">
        <f>IFERROR(__xludf.DUMMYFUNCTION("""COMPUTED_VALUE"""),3.2080438E7)</f>
        <v>32080438</v>
      </c>
    </row>
    <row r="57">
      <c r="A57" s="7">
        <f>IFERROR(__xludf.DUMMYFUNCTION("""COMPUTED_VALUE"""),45576.64583333333)</f>
        <v>45576.64583</v>
      </c>
      <c r="B57" s="6">
        <f>IFERROR(__xludf.DUMMYFUNCTION("""COMPUTED_VALUE"""),498.1)</f>
        <v>498.1</v>
      </c>
      <c r="C57" s="6">
        <f>IFERROR(__xludf.DUMMYFUNCTION("""COMPUTED_VALUE"""),500.55)</f>
        <v>500.55</v>
      </c>
      <c r="D57" s="6">
        <f>IFERROR(__xludf.DUMMYFUNCTION("""COMPUTED_VALUE"""),475.35)</f>
        <v>475.35</v>
      </c>
      <c r="E57" s="6">
        <f>IFERROR(__xludf.DUMMYFUNCTION("""COMPUTED_VALUE"""),492.95)</f>
        <v>492.95</v>
      </c>
      <c r="F57" s="6">
        <f>IFERROR(__xludf.DUMMYFUNCTION("""COMPUTED_VALUE"""),3.0929736E7)</f>
        <v>30929736</v>
      </c>
    </row>
    <row r="58">
      <c r="A58" s="7">
        <f>IFERROR(__xludf.DUMMYFUNCTION("""COMPUTED_VALUE"""),45583.64583333333)</f>
        <v>45583.64583</v>
      </c>
      <c r="B58" s="6">
        <f>IFERROR(__xludf.DUMMYFUNCTION("""COMPUTED_VALUE"""),494.95)</f>
        <v>494.95</v>
      </c>
      <c r="C58" s="6">
        <f>IFERROR(__xludf.DUMMYFUNCTION("""COMPUTED_VALUE"""),502.45)</f>
        <v>502.45</v>
      </c>
      <c r="D58" s="6">
        <f>IFERROR(__xludf.DUMMYFUNCTION("""COMPUTED_VALUE"""),483.35)</f>
        <v>483.35</v>
      </c>
      <c r="E58" s="6">
        <f>IFERROR(__xludf.DUMMYFUNCTION("""COMPUTED_VALUE"""),492.2)</f>
        <v>492.2</v>
      </c>
      <c r="F58" s="6">
        <f>IFERROR(__xludf.DUMMYFUNCTION("""COMPUTED_VALUE"""),2.6557212E7)</f>
        <v>26557212</v>
      </c>
    </row>
    <row r="59">
      <c r="A59" s="7">
        <f>IFERROR(__xludf.DUMMYFUNCTION("""COMPUTED_VALUE"""),45590.64583333333)</f>
        <v>45590.64583</v>
      </c>
      <c r="B59" s="6">
        <f>IFERROR(__xludf.DUMMYFUNCTION("""COMPUTED_VALUE"""),492.0)</f>
        <v>492</v>
      </c>
      <c r="C59" s="6">
        <f>IFERROR(__xludf.DUMMYFUNCTION("""COMPUTED_VALUE"""),494.75)</f>
        <v>494.75</v>
      </c>
      <c r="D59" s="6">
        <f>IFERROR(__xludf.DUMMYFUNCTION("""COMPUTED_VALUE"""),458.95)</f>
        <v>458.95</v>
      </c>
      <c r="E59" s="6">
        <f>IFERROR(__xludf.DUMMYFUNCTION("""COMPUTED_VALUE"""),461.1)</f>
        <v>461.1</v>
      </c>
      <c r="F59" s="6">
        <f>IFERROR(__xludf.DUMMYFUNCTION("""COMPUTED_VALUE"""),3.9472239E7)</f>
        <v>39472239</v>
      </c>
    </row>
    <row r="60">
      <c r="A60" s="7">
        <f>IFERROR(__xludf.DUMMYFUNCTION("""COMPUTED_VALUE"""),45604.64583333333)</f>
        <v>45604.64583</v>
      </c>
      <c r="B60" s="6">
        <f>IFERROR(__xludf.DUMMYFUNCTION("""COMPUTED_VALUE"""),458.0)</f>
        <v>458</v>
      </c>
      <c r="C60" s="6">
        <f>IFERROR(__xludf.DUMMYFUNCTION("""COMPUTED_VALUE"""),458.15)</f>
        <v>458.15</v>
      </c>
      <c r="D60" s="6">
        <f>IFERROR(__xludf.DUMMYFUNCTION("""COMPUTED_VALUE"""),421.25)</f>
        <v>421.25</v>
      </c>
      <c r="E60" s="6">
        <f>IFERROR(__xludf.DUMMYFUNCTION("""COMPUTED_VALUE"""),424.05)</f>
        <v>424.05</v>
      </c>
      <c r="F60" s="6">
        <f>IFERROR(__xludf.DUMMYFUNCTION("""COMPUTED_VALUE"""),5.0833572E7)</f>
        <v>50833572</v>
      </c>
    </row>
    <row r="61">
      <c r="A61" s="7">
        <f>IFERROR(__xludf.DUMMYFUNCTION("""COMPUTED_VALUE"""),45610.64583333333)</f>
        <v>45610.64583</v>
      </c>
      <c r="B61" s="6">
        <f>IFERROR(__xludf.DUMMYFUNCTION("""COMPUTED_VALUE"""),423.0)</f>
        <v>423</v>
      </c>
      <c r="C61" s="6">
        <f>IFERROR(__xludf.DUMMYFUNCTION("""COMPUTED_VALUE"""),425.75)</f>
        <v>425.75</v>
      </c>
      <c r="D61" s="6">
        <f>IFERROR(__xludf.DUMMYFUNCTION("""COMPUTED_VALUE"""),402.6)</f>
        <v>402.6</v>
      </c>
      <c r="E61" s="6">
        <f>IFERROR(__xludf.DUMMYFUNCTION("""COMPUTED_VALUE"""),409.75)</f>
        <v>409.75</v>
      </c>
      <c r="F61" s="6">
        <f>IFERROR(__xludf.DUMMYFUNCTION("""COMPUTED_VALUE"""),2.9712949E7)</f>
        <v>29712949</v>
      </c>
    </row>
    <row r="62">
      <c r="A62" s="7">
        <f>IFERROR(__xludf.DUMMYFUNCTION("""COMPUTED_VALUE"""),45618.64583333333)</f>
        <v>45618.64583</v>
      </c>
      <c r="B62" s="6">
        <f>IFERROR(__xludf.DUMMYFUNCTION("""COMPUTED_VALUE"""),413.95)</f>
        <v>413.95</v>
      </c>
      <c r="C62" s="6">
        <f>IFERROR(__xludf.DUMMYFUNCTION("""COMPUTED_VALUE"""),422.0)</f>
        <v>422</v>
      </c>
      <c r="D62" s="6">
        <f>IFERROR(__xludf.DUMMYFUNCTION("""COMPUTED_VALUE"""),404.15)</f>
        <v>404.15</v>
      </c>
      <c r="E62" s="6">
        <f>IFERROR(__xludf.DUMMYFUNCTION("""COMPUTED_VALUE"""),414.05)</f>
        <v>414.05</v>
      </c>
      <c r="F62" s="6">
        <f>IFERROR(__xludf.DUMMYFUNCTION("""COMPUTED_VALUE"""),3.5941221E7)</f>
        <v>35941221</v>
      </c>
    </row>
    <row r="63">
      <c r="A63" s="7">
        <f>IFERROR(__xludf.DUMMYFUNCTION("""COMPUTED_VALUE"""),45625.64583333333)</f>
        <v>45625.64583</v>
      </c>
      <c r="B63" s="6">
        <f>IFERROR(__xludf.DUMMYFUNCTION("""COMPUTED_VALUE"""),421.0)</f>
        <v>421</v>
      </c>
      <c r="C63" s="6">
        <f>IFERROR(__xludf.DUMMYFUNCTION("""COMPUTED_VALUE"""),427.45)</f>
        <v>427.45</v>
      </c>
      <c r="D63" s="6">
        <f>IFERROR(__xludf.DUMMYFUNCTION("""COMPUTED_VALUE"""),409.7)</f>
        <v>409.7</v>
      </c>
      <c r="E63" s="6">
        <f>IFERROR(__xludf.DUMMYFUNCTION("""COMPUTED_VALUE"""),416.4)</f>
        <v>416.4</v>
      </c>
      <c r="F63" s="6">
        <f>IFERROR(__xludf.DUMMYFUNCTION("""COMPUTED_VALUE"""),4.076929E7)</f>
        <v>40769290</v>
      </c>
    </row>
    <row r="64">
      <c r="A64" s="7">
        <f>IFERROR(__xludf.DUMMYFUNCTION("""COMPUTED_VALUE"""),45632.64583333333)</f>
        <v>45632.64583</v>
      </c>
      <c r="B64" s="6">
        <f>IFERROR(__xludf.DUMMYFUNCTION("""COMPUTED_VALUE"""),418.4)</f>
        <v>418.4</v>
      </c>
      <c r="C64" s="6">
        <f>IFERROR(__xludf.DUMMYFUNCTION("""COMPUTED_VALUE"""),425.9)</f>
        <v>425.9</v>
      </c>
      <c r="D64" s="6">
        <f>IFERROR(__xludf.DUMMYFUNCTION("""COMPUTED_VALUE"""),412.0)</f>
        <v>412</v>
      </c>
      <c r="E64" s="6">
        <f>IFERROR(__xludf.DUMMYFUNCTION("""COMPUTED_VALUE"""),417.15)</f>
        <v>417.15</v>
      </c>
      <c r="F64" s="6">
        <f>IFERROR(__xludf.DUMMYFUNCTION("""COMPUTED_VALUE"""),3.4922879E7)</f>
        <v>34922879</v>
      </c>
    </row>
    <row r="65">
      <c r="A65" s="7">
        <f>IFERROR(__xludf.DUMMYFUNCTION("""COMPUTED_VALUE"""),45639.64583333333)</f>
        <v>45639.64583</v>
      </c>
      <c r="B65" s="6">
        <f>IFERROR(__xludf.DUMMYFUNCTION("""COMPUTED_VALUE"""),418.0)</f>
        <v>418</v>
      </c>
      <c r="C65" s="6">
        <f>IFERROR(__xludf.DUMMYFUNCTION("""COMPUTED_VALUE"""),420.95)</f>
        <v>420.95</v>
      </c>
      <c r="D65" s="6">
        <f>IFERROR(__xludf.DUMMYFUNCTION("""COMPUTED_VALUE"""),402.0)</f>
        <v>402</v>
      </c>
      <c r="E65" s="6">
        <f>IFERROR(__xludf.DUMMYFUNCTION("""COMPUTED_VALUE"""),410.3)</f>
        <v>410.3</v>
      </c>
      <c r="F65" s="6">
        <f>IFERROR(__xludf.DUMMYFUNCTION("""COMPUTED_VALUE"""),3.6899278E7)</f>
        <v>36899278</v>
      </c>
    </row>
    <row r="66">
      <c r="A66" s="7">
        <f>IFERROR(__xludf.DUMMYFUNCTION("""COMPUTED_VALUE"""),45646.64583333333)</f>
        <v>45646.64583</v>
      </c>
      <c r="B66" s="6">
        <f>IFERROR(__xludf.DUMMYFUNCTION("""COMPUTED_VALUE"""),410.5)</f>
        <v>410.5</v>
      </c>
      <c r="C66" s="6">
        <f>IFERROR(__xludf.DUMMYFUNCTION("""COMPUTED_VALUE"""),412.85)</f>
        <v>412.85</v>
      </c>
      <c r="D66" s="6">
        <f>IFERROR(__xludf.DUMMYFUNCTION("""COMPUTED_VALUE"""),380.5)</f>
        <v>380.5</v>
      </c>
      <c r="E66" s="6">
        <f>IFERROR(__xludf.DUMMYFUNCTION("""COMPUTED_VALUE"""),382.0)</f>
        <v>382</v>
      </c>
      <c r="F66" s="6">
        <f>IFERROR(__xludf.DUMMYFUNCTION("""COMPUTED_VALUE"""),3.1351177E7)</f>
        <v>31351177</v>
      </c>
    </row>
    <row r="67">
      <c r="A67" s="7">
        <f>IFERROR(__xludf.DUMMYFUNCTION("""COMPUTED_VALUE"""),45653.64583333333)</f>
        <v>45653.64583</v>
      </c>
      <c r="B67" s="6">
        <f>IFERROR(__xludf.DUMMYFUNCTION("""COMPUTED_VALUE"""),386.0)</f>
        <v>386</v>
      </c>
      <c r="C67" s="6">
        <f>IFERROR(__xludf.DUMMYFUNCTION("""COMPUTED_VALUE"""),390.3)</f>
        <v>390.3</v>
      </c>
      <c r="D67" s="6">
        <f>IFERROR(__xludf.DUMMYFUNCTION("""COMPUTED_VALUE"""),379.55)</f>
        <v>379.55</v>
      </c>
      <c r="E67" s="6">
        <f>IFERROR(__xludf.DUMMYFUNCTION("""COMPUTED_VALUE"""),380.5)</f>
        <v>380.5</v>
      </c>
      <c r="F67" s="6">
        <f>IFERROR(__xludf.DUMMYFUNCTION("""COMPUTED_VALUE"""),1.9505766E7)</f>
        <v>19505766</v>
      </c>
    </row>
    <row r="68">
      <c r="A68" s="7">
        <f>IFERROR(__xludf.DUMMYFUNCTION("""COMPUTED_VALUE"""),45660.64583333333)</f>
        <v>45660.64583</v>
      </c>
      <c r="B68" s="6">
        <f>IFERROR(__xludf.DUMMYFUNCTION("""COMPUTED_VALUE"""),380.5)</f>
        <v>380.5</v>
      </c>
      <c r="C68" s="6">
        <f>IFERROR(__xludf.DUMMYFUNCTION("""COMPUTED_VALUE"""),399.3)</f>
        <v>399.3</v>
      </c>
      <c r="D68" s="6">
        <f>IFERROR(__xludf.DUMMYFUNCTION("""COMPUTED_VALUE"""),375.7)</f>
        <v>375.7</v>
      </c>
      <c r="E68" s="6">
        <f>IFERROR(__xludf.DUMMYFUNCTION("""COMPUTED_VALUE"""),393.65)</f>
        <v>393.65</v>
      </c>
      <c r="F68" s="6">
        <f>IFERROR(__xludf.DUMMYFUNCTION("""COMPUTED_VALUE"""),4.826151E7)</f>
        <v>48261510</v>
      </c>
    </row>
    <row r="69">
      <c r="A69" s="7">
        <f>IFERROR(__xludf.DUMMYFUNCTION("""COMPUTED_VALUE"""),45667.64583333333)</f>
        <v>45667.64583</v>
      </c>
      <c r="B69" s="6">
        <f>IFERROR(__xludf.DUMMYFUNCTION("""COMPUTED_VALUE"""),394.05)</f>
        <v>394.05</v>
      </c>
      <c r="C69" s="6">
        <f>IFERROR(__xludf.DUMMYFUNCTION("""COMPUTED_VALUE"""),394.05)</f>
        <v>394.05</v>
      </c>
      <c r="D69" s="6">
        <f>IFERROR(__xludf.DUMMYFUNCTION("""COMPUTED_VALUE"""),364.7)</f>
        <v>364.7</v>
      </c>
      <c r="E69" s="6">
        <f>IFERROR(__xludf.DUMMYFUNCTION("""COMPUTED_VALUE"""),368.5)</f>
        <v>368.5</v>
      </c>
      <c r="F69" s="6">
        <f>IFERROR(__xludf.DUMMYFUNCTION("""COMPUTED_VALUE"""),3.3865373E7)</f>
        <v>33865373</v>
      </c>
    </row>
    <row r="70">
      <c r="A70" s="7">
        <f>IFERROR(__xludf.DUMMYFUNCTION("""COMPUTED_VALUE"""),45674.64583333333)</f>
        <v>45674.64583</v>
      </c>
      <c r="B70" s="6">
        <f>IFERROR(__xludf.DUMMYFUNCTION("""COMPUTED_VALUE"""),366.1)</f>
        <v>366.1</v>
      </c>
      <c r="C70" s="6">
        <f>IFERROR(__xludf.DUMMYFUNCTION("""COMPUTED_VALUE"""),389.3)</f>
        <v>389.3</v>
      </c>
      <c r="D70" s="6">
        <f>IFERROR(__xludf.DUMMYFUNCTION("""COMPUTED_VALUE"""),361.25)</f>
        <v>361.25</v>
      </c>
      <c r="E70" s="6">
        <f>IFERROR(__xludf.DUMMYFUNCTION("""COMPUTED_VALUE"""),387.65)</f>
        <v>387.65</v>
      </c>
      <c r="F70" s="6">
        <f>IFERROR(__xludf.DUMMYFUNCTION("""COMPUTED_VALUE"""),4.078183E7)</f>
        <v>40781830</v>
      </c>
    </row>
    <row r="71">
      <c r="A71" s="7">
        <f>IFERROR(__xludf.DUMMYFUNCTION("""COMPUTED_VALUE"""),45681.64583333333)</f>
        <v>45681.64583</v>
      </c>
      <c r="B71" s="6">
        <f>IFERROR(__xludf.DUMMYFUNCTION("""COMPUTED_VALUE"""),389.6)</f>
        <v>389.6</v>
      </c>
      <c r="C71" s="6">
        <f>IFERROR(__xludf.DUMMYFUNCTION("""COMPUTED_VALUE"""),392.25)</f>
        <v>392.25</v>
      </c>
      <c r="D71" s="6">
        <f>IFERROR(__xludf.DUMMYFUNCTION("""COMPUTED_VALUE"""),374.65)</f>
        <v>374.65</v>
      </c>
      <c r="E71" s="6">
        <f>IFERROR(__xludf.DUMMYFUNCTION("""COMPUTED_VALUE"""),383.05)</f>
        <v>383.05</v>
      </c>
      <c r="F71" s="6">
        <f>IFERROR(__xludf.DUMMYFUNCTION("""COMPUTED_VALUE"""),5.730266E7)</f>
        <v>57302660</v>
      </c>
    </row>
    <row r="72">
      <c r="A72" s="7">
        <f>IFERROR(__xludf.DUMMYFUNCTION("""COMPUTED_VALUE"""),45695.64583333333)</f>
        <v>45695.64583</v>
      </c>
      <c r="B72" s="6">
        <f>IFERROR(__xludf.DUMMYFUNCTION("""COMPUTED_VALUE"""),384.0)</f>
        <v>384</v>
      </c>
      <c r="C72" s="6">
        <f>IFERROR(__xludf.DUMMYFUNCTION("""COMPUTED_VALUE"""),385.1)</f>
        <v>385.1</v>
      </c>
      <c r="D72" s="6">
        <f>IFERROR(__xludf.DUMMYFUNCTION("""COMPUTED_VALUE"""),366.5)</f>
        <v>366.5</v>
      </c>
      <c r="E72" s="6">
        <f>IFERROR(__xludf.DUMMYFUNCTION("""COMPUTED_VALUE"""),378.25)</f>
        <v>378.25</v>
      </c>
      <c r="F72" s="6">
        <f>IFERROR(__xludf.DUMMYFUNCTION("""COMPUTED_VALUE"""),2.5912526E7)</f>
        <v>25912526</v>
      </c>
    </row>
    <row r="73">
      <c r="A73" s="7">
        <f>IFERROR(__xludf.DUMMYFUNCTION("""COMPUTED_VALUE"""),45702.64583333333)</f>
        <v>45702.64583</v>
      </c>
      <c r="B73" s="6">
        <f>IFERROR(__xludf.DUMMYFUNCTION("""COMPUTED_VALUE"""),377.0)</f>
        <v>377</v>
      </c>
      <c r="C73" s="6">
        <f>IFERROR(__xludf.DUMMYFUNCTION("""COMPUTED_VALUE"""),379.85)</f>
        <v>379.85</v>
      </c>
      <c r="D73" s="6">
        <f>IFERROR(__xludf.DUMMYFUNCTION("""COMPUTED_VALUE"""),350.5)</f>
        <v>350.5</v>
      </c>
      <c r="E73" s="6">
        <f>IFERROR(__xludf.DUMMYFUNCTION("""COMPUTED_VALUE"""),354.2)</f>
        <v>354.2</v>
      </c>
      <c r="F73" s="6">
        <f>IFERROR(__xludf.DUMMYFUNCTION("""COMPUTED_VALUE"""),2.2926603E7)</f>
        <v>22926603</v>
      </c>
    </row>
    <row r="74">
      <c r="A74" s="7">
        <f>IFERROR(__xludf.DUMMYFUNCTION("""COMPUTED_VALUE"""),45709.64583333333)</f>
        <v>45709.64583</v>
      </c>
      <c r="B74" s="6">
        <f>IFERROR(__xludf.DUMMYFUNCTION("""COMPUTED_VALUE"""),354.2)</f>
        <v>354.2</v>
      </c>
      <c r="C74" s="6">
        <f>IFERROR(__xludf.DUMMYFUNCTION("""COMPUTED_VALUE"""),371.2)</f>
        <v>371.2</v>
      </c>
      <c r="D74" s="6">
        <f>IFERROR(__xludf.DUMMYFUNCTION("""COMPUTED_VALUE"""),349.25)</f>
        <v>349.25</v>
      </c>
      <c r="E74" s="6">
        <f>IFERROR(__xludf.DUMMYFUNCTION("""COMPUTED_VALUE"""),369.95)</f>
        <v>369.95</v>
      </c>
      <c r="F74" s="6">
        <f>IFERROR(__xludf.DUMMYFUNCTION("""COMPUTED_VALUE"""),2.2818565E7)</f>
        <v>22818565</v>
      </c>
    </row>
    <row r="75">
      <c r="A75" s="7">
        <f>IFERROR(__xludf.DUMMYFUNCTION("""COMPUTED_VALUE"""),45716.64583333333)</f>
        <v>45716.64583</v>
      </c>
      <c r="B75" s="6">
        <f>IFERROR(__xludf.DUMMYFUNCTION("""COMPUTED_VALUE"""),368.05)</f>
        <v>368.05</v>
      </c>
      <c r="C75" s="6">
        <f>IFERROR(__xludf.DUMMYFUNCTION("""COMPUTED_VALUE"""),375.75)</f>
        <v>375.75</v>
      </c>
      <c r="D75" s="6">
        <f>IFERROR(__xludf.DUMMYFUNCTION("""COMPUTED_VALUE"""),356.15)</f>
        <v>356.15</v>
      </c>
      <c r="E75" s="6">
        <f>IFERROR(__xludf.DUMMYFUNCTION("""COMPUTED_VALUE"""),369.35)</f>
        <v>369.35</v>
      </c>
      <c r="F75" s="6">
        <f>IFERROR(__xludf.DUMMYFUNCTION("""COMPUTED_VALUE"""),3.7155067E7)</f>
        <v>37155067</v>
      </c>
    </row>
    <row r="76">
      <c r="A76" s="7">
        <f>IFERROR(__xludf.DUMMYFUNCTION("""COMPUTED_VALUE"""),45723.64583333333)</f>
        <v>45723.64583</v>
      </c>
      <c r="B76" s="6">
        <f>IFERROR(__xludf.DUMMYFUNCTION("""COMPUTED_VALUE"""),370.0)</f>
        <v>370</v>
      </c>
      <c r="C76" s="6">
        <f>IFERROR(__xludf.DUMMYFUNCTION("""COMPUTED_VALUE"""),389.6)</f>
        <v>389.6</v>
      </c>
      <c r="D76" s="6">
        <f>IFERROR(__xludf.DUMMYFUNCTION("""COMPUTED_VALUE"""),352.4)</f>
        <v>352.4</v>
      </c>
      <c r="E76" s="6">
        <f>IFERROR(__xludf.DUMMYFUNCTION("""COMPUTED_VALUE"""),380.65)</f>
        <v>380.65</v>
      </c>
      <c r="F76" s="6">
        <f>IFERROR(__xludf.DUMMYFUNCTION("""COMPUTED_VALUE"""),4.3510745E7)</f>
        <v>43510745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IFERROR(__xludf.DUMMYFUNCTION("""COMPUTED_VALUE"""),380.7)</f>
        <v>380.7</v>
      </c>
      <c r="C77" s="6">
        <f>IFERROR(__xludf.DUMMYFUNCTION("""COMPUTED_VALUE"""),386.6)</f>
        <v>386.6</v>
      </c>
      <c r="D77" s="6">
        <f>IFERROR(__xludf.DUMMYFUNCTION("""COMPUTED_VALUE"""),368.0)</f>
        <v>368</v>
      </c>
      <c r="E77" s="6">
        <f>IFERROR(__xludf.DUMMYFUNCTION("""COMPUTED_VALUE"""),378.3)</f>
        <v>378.3</v>
      </c>
      <c r="F77" s="6">
        <f>IFERROR(__xludf.DUMMYFUNCTION("""COMPUTED_VALUE"""),1.8751469E7)</f>
        <v>18751469</v>
      </c>
    </row>
    <row r="78">
      <c r="A78" s="7">
        <f>IFERROR(__xludf.DUMMYFUNCTION("""COMPUTED_VALUE"""),45737.64583333333)</f>
        <v>45737.64583</v>
      </c>
      <c r="B78" s="6">
        <f>IFERROR(__xludf.DUMMYFUNCTION("""COMPUTED_VALUE"""),380.2)</f>
        <v>380.2</v>
      </c>
      <c r="C78" s="6">
        <f>IFERROR(__xludf.DUMMYFUNCTION("""COMPUTED_VALUE"""),411.1)</f>
        <v>411.1</v>
      </c>
      <c r="D78" s="6">
        <f>IFERROR(__xludf.DUMMYFUNCTION("""COMPUTED_VALUE"""),379.05)</f>
        <v>379.05</v>
      </c>
      <c r="E78" s="6">
        <f>IFERROR(__xludf.DUMMYFUNCTION("""COMPUTED_VALUE"""),405.4)</f>
        <v>405.4</v>
      </c>
      <c r="F78" s="6">
        <f>IFERROR(__xludf.DUMMYFUNCTION("""COMPUTED_VALUE"""),4.1085105E7)</f>
        <v>41085105</v>
      </c>
    </row>
    <row r="79">
      <c r="A79" s="7">
        <f>IFERROR(__xludf.DUMMYFUNCTION("""COMPUTED_VALUE"""),45744.64583333333)</f>
        <v>45744.64583</v>
      </c>
      <c r="B79" s="6">
        <f>IFERROR(__xludf.DUMMYFUNCTION("""COMPUTED_VALUE"""),407.95)</f>
        <v>407.95</v>
      </c>
      <c r="C79" s="6">
        <f>IFERROR(__xludf.DUMMYFUNCTION("""COMPUTED_VALUE"""),411.8)</f>
        <v>411.8</v>
      </c>
      <c r="D79" s="6">
        <f>IFERROR(__xludf.DUMMYFUNCTION("""COMPUTED_VALUE"""),392.05)</f>
        <v>392.05</v>
      </c>
      <c r="E79" s="6">
        <f>IFERROR(__xludf.DUMMYFUNCTION("""COMPUTED_VALUE"""),398.2)</f>
        <v>398.2</v>
      </c>
      <c r="F79" s="6">
        <f>IFERROR(__xludf.DUMMYFUNCTION("""COMPUTED_VALUE"""),3.0543027E7)</f>
        <v>30543027</v>
      </c>
    </row>
    <row r="80">
      <c r="A80" s="7">
        <f>IFERROR(__xludf.DUMMYFUNCTION("""COMPUTED_VALUE"""),45751.64583333333)</f>
        <v>45751.64583</v>
      </c>
      <c r="B80" s="6">
        <f>IFERROR(__xludf.DUMMYFUNCTION("""COMPUTED_VALUE"""),397.8)</f>
        <v>397.8</v>
      </c>
      <c r="C80" s="6">
        <f>IFERROR(__xludf.DUMMYFUNCTION("""COMPUTED_VALUE"""),402.55)</f>
        <v>402.55</v>
      </c>
      <c r="D80" s="6">
        <f>IFERROR(__xludf.DUMMYFUNCTION("""COMPUTED_VALUE"""),382.6)</f>
        <v>382.6</v>
      </c>
      <c r="E80" s="6">
        <f>IFERROR(__xludf.DUMMYFUNCTION("""COMPUTED_VALUE"""),385.05)</f>
        <v>385.05</v>
      </c>
      <c r="F80" s="6">
        <f>IFERROR(__xludf.DUMMYFUNCTION("""COMPUTED_VALUE"""),2.0219435E7)</f>
        <v>20219435</v>
      </c>
    </row>
    <row r="81">
      <c r="A81" s="7">
        <f>IFERROR(__xludf.DUMMYFUNCTION("""COMPUTED_VALUE"""),45758.64583333333)</f>
        <v>45758.64583</v>
      </c>
      <c r="B81" s="6">
        <f>IFERROR(__xludf.DUMMYFUNCTION("""COMPUTED_VALUE"""),358.85)</f>
        <v>358.85</v>
      </c>
      <c r="C81" s="6">
        <f>IFERROR(__xludf.DUMMYFUNCTION("""COMPUTED_VALUE"""),392.8)</f>
        <v>392.8</v>
      </c>
      <c r="D81" s="6">
        <f>IFERROR(__xludf.DUMMYFUNCTION("""COMPUTED_VALUE"""),356.0)</f>
        <v>356</v>
      </c>
      <c r="E81" s="6">
        <f>IFERROR(__xludf.DUMMYFUNCTION("""COMPUTED_VALUE"""),392.1)</f>
        <v>392.1</v>
      </c>
      <c r="F81" s="6">
        <f>IFERROR(__xludf.DUMMYFUNCTION("""COMPUTED_VALUE"""),2.5747165E7)</f>
        <v>25747165</v>
      </c>
    </row>
    <row r="82">
      <c r="A82" s="7">
        <f>IFERROR(__xludf.DUMMYFUNCTION("""COMPUTED_VALUE"""),45764.64583333333)</f>
        <v>45764.64583</v>
      </c>
      <c r="B82" s="6">
        <f>IFERROR(__xludf.DUMMYFUNCTION("""COMPUTED_VALUE"""),399.0)</f>
        <v>399</v>
      </c>
      <c r="C82" s="6">
        <f>IFERROR(__xludf.DUMMYFUNCTION("""COMPUTED_VALUE"""),400.1)</f>
        <v>400.1</v>
      </c>
      <c r="D82" s="6">
        <f>IFERROR(__xludf.DUMMYFUNCTION("""COMPUTED_VALUE"""),388.3)</f>
        <v>388.3</v>
      </c>
      <c r="E82" s="6">
        <f>IFERROR(__xludf.DUMMYFUNCTION("""COMPUTED_VALUE"""),398.85)</f>
        <v>398.85</v>
      </c>
      <c r="F82" s="6">
        <f>IFERROR(__xludf.DUMMYFUNCTION("""COMPUTED_VALUE"""),1.7727896E7)</f>
        <v>17727896</v>
      </c>
    </row>
    <row r="83">
      <c r="A83" s="7">
        <f>IFERROR(__xludf.DUMMYFUNCTION("""COMPUTED_VALUE"""),45772.64583333333)</f>
        <v>45772.64583</v>
      </c>
      <c r="B83" s="6">
        <f>IFERROR(__xludf.DUMMYFUNCTION("""COMPUTED_VALUE"""),399.25)</f>
        <v>399.25</v>
      </c>
      <c r="C83" s="6">
        <f>IFERROR(__xludf.DUMMYFUNCTION("""COMPUTED_VALUE"""),406.0)</f>
        <v>406</v>
      </c>
      <c r="D83" s="6">
        <f>IFERROR(__xludf.DUMMYFUNCTION("""COMPUTED_VALUE"""),389.65)</f>
        <v>389.65</v>
      </c>
      <c r="E83" s="6">
        <f>IFERROR(__xludf.DUMMYFUNCTION("""COMPUTED_VALUE"""),393.15)</f>
        <v>393.15</v>
      </c>
      <c r="F83" s="6">
        <f>IFERROR(__xludf.DUMMYFUNCTION("""COMPUTED_VALUE"""),3.7074777E7)</f>
        <v>37074777</v>
      </c>
    </row>
    <row r="84">
      <c r="A84" s="7">
        <f>IFERROR(__xludf.DUMMYFUNCTION("""COMPUTED_VALUE"""),45779.64583333333)</f>
        <v>45779.64583</v>
      </c>
      <c r="B84" s="6">
        <f>IFERROR(__xludf.DUMMYFUNCTION("""COMPUTED_VALUE"""),393.15)</f>
        <v>393.15</v>
      </c>
      <c r="C84" s="6">
        <f>IFERROR(__xludf.DUMMYFUNCTION("""COMPUTED_VALUE"""),400.35)</f>
        <v>400.35</v>
      </c>
      <c r="D84" s="6">
        <f>IFERROR(__xludf.DUMMYFUNCTION("""COMPUTED_VALUE"""),381.4)</f>
        <v>381.4</v>
      </c>
      <c r="E84" s="6">
        <f>IFERROR(__xludf.DUMMYFUNCTION("""COMPUTED_VALUE"""),384.4)</f>
        <v>384.4</v>
      </c>
      <c r="F84" s="6">
        <f>IFERROR(__xludf.DUMMYFUNCTION("""COMPUTED_VALUE"""),1.9337704E7)</f>
        <v>19337704</v>
      </c>
    </row>
    <row r="85">
      <c r="A85" s="7">
        <f>IFERROR(__xludf.DUMMYFUNCTION("""COMPUTED_VALUE"""),45786.64583333333)</f>
        <v>45786.64583</v>
      </c>
      <c r="B85" s="6">
        <f>IFERROR(__xludf.DUMMYFUNCTION("""COMPUTED_VALUE"""),385.95)</f>
        <v>385.95</v>
      </c>
      <c r="C85" s="6">
        <f>IFERROR(__xludf.DUMMYFUNCTION("""COMPUTED_VALUE"""),394.95)</f>
        <v>394.95</v>
      </c>
      <c r="D85" s="6">
        <f>IFERROR(__xludf.DUMMYFUNCTION("""COMPUTED_VALUE"""),370.3)</f>
        <v>370.3</v>
      </c>
      <c r="E85" s="6">
        <f>IFERROR(__xludf.DUMMYFUNCTION("""COMPUTED_VALUE"""),382.4)</f>
        <v>382.4</v>
      </c>
      <c r="F85" s="6">
        <f>IFERROR(__xludf.DUMMYFUNCTION("""COMPUTED_VALUE"""),3.9608264E7)</f>
        <v>39608264</v>
      </c>
    </row>
    <row r="86">
      <c r="A86" s="7">
        <f>IFERROR(__xludf.DUMMYFUNCTION("""COMPUTED_VALUE"""),45793.64583333333)</f>
        <v>45793.64583</v>
      </c>
      <c r="B86" s="6">
        <f>IFERROR(__xludf.DUMMYFUNCTION("""COMPUTED_VALUE"""),391.95)</f>
        <v>391.95</v>
      </c>
      <c r="C86" s="6">
        <f>IFERROR(__xludf.DUMMYFUNCTION("""COMPUTED_VALUE"""),409.0)</f>
        <v>409</v>
      </c>
      <c r="D86" s="6">
        <f>IFERROR(__xludf.DUMMYFUNCTION("""COMPUTED_VALUE"""),387.5)</f>
        <v>387.5</v>
      </c>
      <c r="E86" s="6">
        <f>IFERROR(__xludf.DUMMYFUNCTION("""COMPUTED_VALUE"""),404.8)</f>
        <v>404.8</v>
      </c>
      <c r="F86" s="6">
        <f>IFERROR(__xludf.DUMMYFUNCTION("""COMPUTED_VALUE"""),3.5087767E7)</f>
        <v>35087767</v>
      </c>
    </row>
    <row r="87">
      <c r="A87" s="7">
        <f>IFERROR(__xludf.DUMMYFUNCTION("""COMPUTED_VALUE"""),45800.64583333333)</f>
        <v>45800.64583</v>
      </c>
      <c r="B87" s="6">
        <f>IFERROR(__xludf.DUMMYFUNCTION("""COMPUTED_VALUE"""),405.95)</f>
        <v>405.95</v>
      </c>
      <c r="C87" s="6">
        <f>IFERROR(__xludf.DUMMYFUNCTION("""COMPUTED_VALUE"""),417.25)</f>
        <v>417.25</v>
      </c>
      <c r="D87" s="6">
        <f>IFERROR(__xludf.DUMMYFUNCTION("""COMPUTED_VALUE"""),393.2)</f>
        <v>393.2</v>
      </c>
      <c r="E87" s="6">
        <f>IFERROR(__xludf.DUMMYFUNCTION("""COMPUTED_VALUE"""),401.5)</f>
        <v>401.5</v>
      </c>
      <c r="F87" s="6">
        <f>IFERROR(__xludf.DUMMYFUNCTION("""COMPUTED_VALUE"""),4.3710332E7)</f>
        <v>43710332</v>
      </c>
    </row>
    <row r="88">
      <c r="A88" s="7">
        <f>IFERROR(__xludf.DUMMYFUNCTION("""COMPUTED_VALUE"""),45807.64583333333)</f>
        <v>45807.64583</v>
      </c>
      <c r="B88" s="6">
        <f>IFERROR(__xludf.DUMMYFUNCTION("""COMPUTED_VALUE"""),402.55)</f>
        <v>402.55</v>
      </c>
      <c r="C88" s="6">
        <f>IFERROR(__xludf.DUMMYFUNCTION("""COMPUTED_VALUE"""),405.8)</f>
        <v>405.8</v>
      </c>
      <c r="D88" s="6">
        <f>IFERROR(__xludf.DUMMYFUNCTION("""COMPUTED_VALUE"""),396.35)</f>
        <v>396.35</v>
      </c>
      <c r="E88" s="6">
        <f>IFERROR(__xludf.DUMMYFUNCTION("""COMPUTED_VALUE"""),397.3)</f>
        <v>397.3</v>
      </c>
      <c r="F88" s="6">
        <f>IFERROR(__xludf.DUMMYFUNCTION("""COMPUTED_VALUE"""),3.2914157E7)</f>
        <v>32914157</v>
      </c>
    </row>
    <row r="89">
      <c r="A89" s="7">
        <f>IFERROR(__xludf.DUMMYFUNCTION("""COMPUTED_VALUE"""),45814.64583333333)</f>
        <v>45814.64583</v>
      </c>
      <c r="B89" s="6">
        <f>IFERROR(__xludf.DUMMYFUNCTION("""COMPUTED_VALUE"""),398.95)</f>
        <v>398.95</v>
      </c>
      <c r="C89" s="6">
        <f>IFERROR(__xludf.DUMMYFUNCTION("""COMPUTED_VALUE"""),401.4)</f>
        <v>401.4</v>
      </c>
      <c r="D89" s="6">
        <f>IFERROR(__xludf.DUMMYFUNCTION("""COMPUTED_VALUE"""),389.6)</f>
        <v>389.6</v>
      </c>
      <c r="E89" s="6">
        <f>IFERROR(__xludf.DUMMYFUNCTION("""COMPUTED_VALUE"""),398.95)</f>
        <v>398.95</v>
      </c>
      <c r="F89" s="6">
        <f>IFERROR(__xludf.DUMMYFUNCTION("""COMPUTED_VALUE"""),3.1073348E7)</f>
        <v>31073348</v>
      </c>
    </row>
    <row r="90">
      <c r="A90" s="7">
        <f>IFERROR(__xludf.DUMMYFUNCTION("""COMPUTED_VALUE"""),45821.64583333333)</f>
        <v>45821.64583</v>
      </c>
      <c r="B90" s="6">
        <f>IFERROR(__xludf.DUMMYFUNCTION("""COMPUTED_VALUE"""),400.9)</f>
        <v>400.9</v>
      </c>
      <c r="C90" s="6">
        <f>IFERROR(__xludf.DUMMYFUNCTION("""COMPUTED_VALUE"""),409.5)</f>
        <v>409.5</v>
      </c>
      <c r="D90" s="6">
        <f>IFERROR(__xludf.DUMMYFUNCTION("""COMPUTED_VALUE"""),386.0)</f>
        <v>386</v>
      </c>
      <c r="E90" s="6">
        <f>IFERROR(__xludf.DUMMYFUNCTION("""COMPUTED_VALUE"""),391.2)</f>
        <v>391.2</v>
      </c>
      <c r="F90" s="6">
        <f>IFERROR(__xludf.DUMMYFUNCTION("""COMPUTED_VALUE"""),4.4451316E7)</f>
        <v>44451316</v>
      </c>
    </row>
    <row r="91">
      <c r="A91" s="7">
        <f>IFERROR(__xludf.DUMMYFUNCTION("""COMPUTED_VALUE"""),45828.64583333333)</f>
        <v>45828.64583</v>
      </c>
      <c r="B91" s="6">
        <f>IFERROR(__xludf.DUMMYFUNCTION("""COMPUTED_VALUE"""),391.0)</f>
        <v>391</v>
      </c>
      <c r="C91" s="6">
        <f>IFERROR(__xludf.DUMMYFUNCTION("""COMPUTED_VALUE"""),395.85)</f>
        <v>395.85</v>
      </c>
      <c r="D91" s="6">
        <f>IFERROR(__xludf.DUMMYFUNCTION("""COMPUTED_VALUE"""),383.5)</f>
        <v>383.5</v>
      </c>
      <c r="E91" s="6">
        <f>IFERROR(__xludf.DUMMYFUNCTION("""COMPUTED_VALUE"""),389.05)</f>
        <v>389.05</v>
      </c>
      <c r="F91" s="6">
        <f>IFERROR(__xludf.DUMMYFUNCTION("""COMPUTED_VALUE"""),2.2021185E7)</f>
        <v>22021185</v>
      </c>
    </row>
    <row r="92">
      <c r="A92" s="7">
        <f>IFERROR(__xludf.DUMMYFUNCTION("""COMPUTED_VALUE"""),45835.64583333333)</f>
        <v>45835.64583</v>
      </c>
      <c r="B92" s="6">
        <f>IFERROR(__xludf.DUMMYFUNCTION("""COMPUTED_VALUE"""),387.0)</f>
        <v>387</v>
      </c>
      <c r="C92" s="6">
        <f>IFERROR(__xludf.DUMMYFUNCTION("""COMPUTED_VALUE"""),397.7)</f>
        <v>397.7</v>
      </c>
      <c r="D92" s="6">
        <f>IFERROR(__xludf.DUMMYFUNCTION("""COMPUTED_VALUE"""),384.7)</f>
        <v>384.7</v>
      </c>
      <c r="E92" s="6">
        <f>IFERROR(__xludf.DUMMYFUNCTION("""COMPUTED_VALUE"""),394.15)</f>
        <v>394.15</v>
      </c>
      <c r="F92" s="6">
        <f>IFERROR(__xludf.DUMMYFUNCTION("""COMPUTED_VALUE"""),3.4461433E7)</f>
        <v>34461433</v>
      </c>
    </row>
    <row r="93">
      <c r="A93" s="7">
        <f>IFERROR(__xludf.DUMMYFUNCTION("""COMPUTED_VALUE"""),45842.64583333333)</f>
        <v>45842.64583</v>
      </c>
      <c r="B93" s="6">
        <f>IFERROR(__xludf.DUMMYFUNCTION("""COMPUTED_VALUE"""),395.5)</f>
        <v>395.5</v>
      </c>
      <c r="C93" s="6">
        <f>IFERROR(__xludf.DUMMYFUNCTION("""COMPUTED_VALUE"""),397.4)</f>
        <v>397.4</v>
      </c>
      <c r="D93" s="6">
        <f>IFERROR(__xludf.DUMMYFUNCTION("""COMPUTED_VALUE"""),383.4)</f>
        <v>383.4</v>
      </c>
      <c r="E93" s="6">
        <f>IFERROR(__xludf.DUMMYFUNCTION("""COMPUTED_VALUE"""),386.1)</f>
        <v>386.1</v>
      </c>
      <c r="F93" s="6">
        <f>IFERROR(__xludf.DUMMYFUNCTION("""COMPUTED_VALUE"""),2.6462536E7)</f>
        <v>26462536</v>
      </c>
    </row>
    <row r="94">
      <c r="A94" s="7">
        <f>IFERROR(__xludf.DUMMYFUNCTION("""COMPUTED_VALUE"""),45849.64583333333)</f>
        <v>45849.64583</v>
      </c>
      <c r="B94" s="6">
        <f>IFERROR(__xludf.DUMMYFUNCTION("""COMPUTED_VALUE"""),386.5)</f>
        <v>386.5</v>
      </c>
      <c r="C94" s="6">
        <f>IFERROR(__xludf.DUMMYFUNCTION("""COMPUTED_VALUE"""),388.85)</f>
        <v>388.85</v>
      </c>
      <c r="D94" s="6">
        <f>IFERROR(__xludf.DUMMYFUNCTION("""COMPUTED_VALUE"""),380.6)</f>
        <v>380.6</v>
      </c>
      <c r="E94" s="6">
        <f>IFERROR(__xludf.DUMMYFUNCTION("""COMPUTED_VALUE"""),380.95)</f>
        <v>380.95</v>
      </c>
      <c r="F94" s="6">
        <f>IFERROR(__xludf.DUMMYFUNCTION("""COMPUTED_VALUE"""),2.1884279E7)</f>
        <v>21884279</v>
      </c>
    </row>
    <row r="95">
      <c r="A95" s="7">
        <f>IFERROR(__xludf.DUMMYFUNCTION("""COMPUTED_VALUE"""),45856.64583333333)</f>
        <v>45856.64583</v>
      </c>
      <c r="B95" s="6">
        <f>IFERROR(__xludf.DUMMYFUNCTION("""COMPUTED_VALUE"""),382.0)</f>
        <v>382</v>
      </c>
      <c r="C95" s="6">
        <f>IFERROR(__xludf.DUMMYFUNCTION("""COMPUTED_VALUE"""),389.25)</f>
        <v>389.25</v>
      </c>
      <c r="D95" s="6">
        <f>IFERROR(__xludf.DUMMYFUNCTION("""COMPUTED_VALUE"""),381.5)</f>
        <v>381.5</v>
      </c>
      <c r="E95" s="6">
        <f>IFERROR(__xludf.DUMMYFUNCTION("""COMPUTED_VALUE"""),388.5)</f>
        <v>388.5</v>
      </c>
      <c r="F95" s="6">
        <f>IFERROR(__xludf.DUMMYFUNCTION("""COMPUTED_VALUE"""),2.3823738E7)</f>
        <v>23823738</v>
      </c>
    </row>
    <row r="96">
      <c r="A96" s="7">
        <f>IFERROR(__xludf.DUMMYFUNCTION("""COMPUTED_VALUE"""),45863.64583333333)</f>
        <v>45863.64583</v>
      </c>
      <c r="B96" s="6">
        <f>IFERROR(__xludf.DUMMYFUNCTION("""COMPUTED_VALUE"""),389.0)</f>
        <v>389</v>
      </c>
      <c r="C96" s="6">
        <f>IFERROR(__xludf.DUMMYFUNCTION("""COMPUTED_VALUE"""),392.45)</f>
        <v>392.45</v>
      </c>
      <c r="D96" s="6">
        <f>IFERROR(__xludf.DUMMYFUNCTION("""COMPUTED_VALUE"""),380.0)</f>
        <v>380</v>
      </c>
      <c r="E96" s="6">
        <f>IFERROR(__xludf.DUMMYFUNCTION("""COMPUTED_VALUE"""),380.8)</f>
        <v>380.8</v>
      </c>
      <c r="F96" s="6">
        <f>IFERROR(__xludf.DUMMYFUNCTION("""COMPUTED_VALUE"""),2.1750482E7)</f>
        <v>21750482</v>
      </c>
    </row>
    <row r="97">
      <c r="A97" s="7">
        <f>IFERROR(__xludf.DUMMYFUNCTION("""COMPUTED_VALUE"""),45870.64583333333)</f>
        <v>45870.64583</v>
      </c>
      <c r="B97" s="6">
        <f>IFERROR(__xludf.DUMMYFUNCTION("""COMPUTED_VALUE"""),381.2)</f>
        <v>381.2</v>
      </c>
      <c r="C97" s="6">
        <f>IFERROR(__xludf.DUMMYFUNCTION("""COMPUTED_VALUE"""),384.25)</f>
        <v>384.25</v>
      </c>
      <c r="D97" s="6">
        <f>IFERROR(__xludf.DUMMYFUNCTION("""COMPUTED_VALUE"""),370.7)</f>
        <v>370.7</v>
      </c>
      <c r="E97" s="6">
        <f>IFERROR(__xludf.DUMMYFUNCTION("""COMPUTED_VALUE"""),372.5)</f>
        <v>372.5</v>
      </c>
      <c r="F97" s="6">
        <f>IFERROR(__xludf.DUMMYFUNCTION("""COMPUTED_VALUE"""),3.4732531E7)</f>
        <v>34732531</v>
      </c>
    </row>
    <row r="98">
      <c r="A98" s="7">
        <f>IFERROR(__xludf.DUMMYFUNCTION("""COMPUTED_VALUE"""),45877.64583333333)</f>
        <v>45877.64583</v>
      </c>
      <c r="B98" s="6">
        <f>IFERROR(__xludf.DUMMYFUNCTION("""COMPUTED_VALUE"""),372.45)</f>
        <v>372.45</v>
      </c>
      <c r="C98" s="6">
        <f>IFERROR(__xludf.DUMMYFUNCTION("""COMPUTED_VALUE"""),382.1)</f>
        <v>382.1</v>
      </c>
      <c r="D98" s="6">
        <f>IFERROR(__xludf.DUMMYFUNCTION("""COMPUTED_VALUE"""),370.2)</f>
        <v>370.2</v>
      </c>
      <c r="E98" s="6">
        <f>IFERROR(__xludf.DUMMYFUNCTION("""COMPUTED_VALUE"""),379.7)</f>
        <v>379.7</v>
      </c>
      <c r="F98" s="6">
        <f>IFERROR(__xludf.DUMMYFUNCTION("""COMPUTED_VALUE"""),4.0052998E7)</f>
        <v>40052998</v>
      </c>
    </row>
    <row r="99">
      <c r="A99" s="7">
        <f>IFERROR(__xludf.DUMMYFUNCTION("""COMPUTED_VALUE"""),45883.64583333333)</f>
        <v>45883.64583</v>
      </c>
      <c r="B99" s="6">
        <f>IFERROR(__xludf.DUMMYFUNCTION("""COMPUTED_VALUE"""),378.0)</f>
        <v>378</v>
      </c>
      <c r="C99" s="6">
        <f>IFERROR(__xludf.DUMMYFUNCTION("""COMPUTED_VALUE"""),388.0)</f>
        <v>388</v>
      </c>
      <c r="D99" s="6">
        <f>IFERROR(__xludf.DUMMYFUNCTION("""COMPUTED_VALUE"""),376.55)</f>
        <v>376.55</v>
      </c>
      <c r="E99" s="6">
        <f>IFERROR(__xludf.DUMMYFUNCTION("""COMPUTED_VALUE"""),384.45)</f>
        <v>384.45</v>
      </c>
      <c r="F99" s="6">
        <f>IFERROR(__xludf.DUMMYFUNCTION("""COMPUTED_VALUE"""),1.8853251E7)</f>
        <v>18853251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IFERROR(__xludf.DUMMYFUNCTION("""COMPUTED_VALUE"""),386.65)</f>
        <v>386.65</v>
      </c>
      <c r="C100" s="6">
        <f>IFERROR(__xludf.DUMMYFUNCTION("""COMPUTED_VALUE"""),388.55)</f>
        <v>388.55</v>
      </c>
      <c r="D100" s="6">
        <f>IFERROR(__xludf.DUMMYFUNCTION("""COMPUTED_VALUE"""),374.05)</f>
        <v>374.05</v>
      </c>
      <c r="E100" s="6">
        <f>IFERROR(__xludf.DUMMYFUNCTION("""COMPUTED_VALUE"""),374.45)</f>
        <v>374.45</v>
      </c>
      <c r="F100" s="6">
        <f>IFERROR(__xludf.DUMMYFUNCTION("""COMPUTED_VALUE"""),2.4555419E7)</f>
        <v>24555419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IFERROR(__xludf.DUMMYFUNCTION("""COMPUTED_VALUE"""),375.0)</f>
        <v>375</v>
      </c>
      <c r="C101" s="6">
        <f>IFERROR(__xludf.DUMMYFUNCTION("""COMPUTED_VALUE"""),380.75)</f>
        <v>380.75</v>
      </c>
      <c r="D101" s="6">
        <f>IFERROR(__xludf.DUMMYFUNCTION("""COMPUTED_VALUE"""),371.4)</f>
        <v>371.4</v>
      </c>
      <c r="E101" s="6">
        <f>IFERROR(__xludf.DUMMYFUNCTION("""COMPUTED_VALUE"""),372.45)</f>
        <v>372.45</v>
      </c>
      <c r="F101" s="6">
        <f>IFERROR(__xludf.DUMMYFUNCTION("""COMPUTED_VALUE"""),7.7722752E7)</f>
        <v>77722752</v>
      </c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IFERROR(__xludf.DUMMYFUNCTION("GOOGLEFINANCE(""NSE:COCHINSHIP"",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IFERROR(__xludf.DUMMYFUNCTION("""COMPUTED_VALUE"""),421.95)</f>
        <v>421.95</v>
      </c>
      <c r="C2" s="6">
        <f>IFERROR(__xludf.DUMMYFUNCTION("""COMPUTED_VALUE"""),461.0)</f>
        <v>461</v>
      </c>
      <c r="D2" s="6">
        <f>IFERROR(__xludf.DUMMYFUNCTION("""COMPUTED_VALUE"""),416.7)</f>
        <v>416.7</v>
      </c>
      <c r="E2" s="6">
        <f>IFERROR(__xludf.DUMMYFUNCTION("""COMPUTED_VALUE"""),454.25)</f>
        <v>454.25</v>
      </c>
      <c r="F2" s="6">
        <f>IFERROR(__xludf.DUMMYFUNCTION("""COMPUTED_VALUE"""),2.3011728E7)</f>
        <v>23011728</v>
      </c>
    </row>
    <row r="3">
      <c r="A3" s="7">
        <f>IFERROR(__xludf.DUMMYFUNCTION("""COMPUTED_VALUE"""),45177.64583333333)</f>
        <v>45177.64583</v>
      </c>
      <c r="B3" s="6">
        <f>IFERROR(__xludf.DUMMYFUNCTION("""COMPUTED_VALUE"""),456.53)</f>
        <v>456.53</v>
      </c>
      <c r="C3" s="6">
        <f>IFERROR(__xludf.DUMMYFUNCTION("""COMPUTED_VALUE"""),629.25)</f>
        <v>629.25</v>
      </c>
      <c r="D3" s="6">
        <f>IFERROR(__xludf.DUMMYFUNCTION("""COMPUTED_VALUE"""),452.23)</f>
        <v>452.23</v>
      </c>
      <c r="E3" s="6">
        <f>IFERROR(__xludf.DUMMYFUNCTION("""COMPUTED_VALUE"""),604.73)</f>
        <v>604.73</v>
      </c>
      <c r="F3" s="6">
        <f>IFERROR(__xludf.DUMMYFUNCTION("""COMPUTED_VALUE"""),4.5969764E7)</f>
        <v>45969764</v>
      </c>
    </row>
    <row r="4">
      <c r="A4" s="7">
        <f>IFERROR(__xludf.DUMMYFUNCTION("""COMPUTED_VALUE"""),45184.64583333333)</f>
        <v>45184.64583</v>
      </c>
      <c r="B4" s="6">
        <f>IFERROR(__xludf.DUMMYFUNCTION("""COMPUTED_VALUE"""),614.35)</f>
        <v>614.35</v>
      </c>
      <c r="C4" s="6">
        <f>IFERROR(__xludf.DUMMYFUNCTION("""COMPUTED_VALUE"""),620.53)</f>
        <v>620.53</v>
      </c>
      <c r="D4" s="6">
        <f>IFERROR(__xludf.DUMMYFUNCTION("""COMPUTED_VALUE"""),516.13)</f>
        <v>516.13</v>
      </c>
      <c r="E4" s="6">
        <f>IFERROR(__xludf.DUMMYFUNCTION("""COMPUTED_VALUE"""),553.53)</f>
        <v>553.53</v>
      </c>
      <c r="F4" s="6">
        <f>IFERROR(__xludf.DUMMYFUNCTION("""COMPUTED_VALUE"""),2.2033642E7)</f>
        <v>22033642</v>
      </c>
    </row>
    <row r="5">
      <c r="A5" s="7">
        <f>IFERROR(__xludf.DUMMYFUNCTION("""COMPUTED_VALUE"""),45191.64583333333)</f>
        <v>45191.64583</v>
      </c>
      <c r="B5" s="6">
        <f>IFERROR(__xludf.DUMMYFUNCTION("""COMPUTED_VALUE"""),557.23)</f>
        <v>557.23</v>
      </c>
      <c r="C5" s="6">
        <f>IFERROR(__xludf.DUMMYFUNCTION("""COMPUTED_VALUE"""),564.0)</f>
        <v>564</v>
      </c>
      <c r="D5" s="6">
        <f>IFERROR(__xludf.DUMMYFUNCTION("""COMPUTED_VALUE"""),498.55)</f>
        <v>498.55</v>
      </c>
      <c r="E5" s="6">
        <f>IFERROR(__xludf.DUMMYFUNCTION("""COMPUTED_VALUE"""),501.08)</f>
        <v>501.08</v>
      </c>
      <c r="F5" s="6">
        <f>IFERROR(__xludf.DUMMYFUNCTION("""COMPUTED_VALUE"""),8350726.0)</f>
        <v>8350726</v>
      </c>
    </row>
    <row r="6">
      <c r="A6" s="7">
        <f>IFERROR(__xludf.DUMMYFUNCTION("""COMPUTED_VALUE"""),45198.64583333333)</f>
        <v>45198.64583</v>
      </c>
      <c r="B6" s="6">
        <f>IFERROR(__xludf.DUMMYFUNCTION("""COMPUTED_VALUE"""),503.75)</f>
        <v>503.75</v>
      </c>
      <c r="C6" s="6">
        <f>IFERROR(__xludf.DUMMYFUNCTION("""COMPUTED_VALUE"""),565.0)</f>
        <v>565</v>
      </c>
      <c r="D6" s="6">
        <f>IFERROR(__xludf.DUMMYFUNCTION("""COMPUTED_VALUE"""),486.15)</f>
        <v>486.15</v>
      </c>
      <c r="E6" s="6">
        <f>IFERROR(__xludf.DUMMYFUNCTION("""COMPUTED_VALUE"""),542.63)</f>
        <v>542.63</v>
      </c>
      <c r="F6" s="6">
        <f>IFERROR(__xludf.DUMMYFUNCTION("""COMPUTED_VALUE"""),3.6044167E7)</f>
        <v>36044167</v>
      </c>
    </row>
    <row r="7">
      <c r="A7" s="7">
        <f>IFERROR(__xludf.DUMMYFUNCTION("""COMPUTED_VALUE"""),45205.64583333333)</f>
        <v>45205.64583</v>
      </c>
      <c r="B7" s="6">
        <f>IFERROR(__xludf.DUMMYFUNCTION("""COMPUTED_VALUE"""),543.0)</f>
        <v>543</v>
      </c>
      <c r="C7" s="6">
        <f>IFERROR(__xludf.DUMMYFUNCTION("""COMPUTED_VALUE"""),552.5)</f>
        <v>552.5</v>
      </c>
      <c r="D7" s="6">
        <f>IFERROR(__xludf.DUMMYFUNCTION("""COMPUTED_VALUE"""),508.5)</f>
        <v>508.5</v>
      </c>
      <c r="E7" s="6">
        <f>IFERROR(__xludf.DUMMYFUNCTION("""COMPUTED_VALUE"""),536.15)</f>
        <v>536.15</v>
      </c>
      <c r="F7" s="6">
        <f>IFERROR(__xludf.DUMMYFUNCTION("""COMPUTED_VALUE"""),1.0711476E7)</f>
        <v>10711476</v>
      </c>
    </row>
    <row r="8">
      <c r="A8" s="7">
        <f>IFERROR(__xludf.DUMMYFUNCTION("""COMPUTED_VALUE"""),45212.64583333333)</f>
        <v>45212.64583</v>
      </c>
      <c r="B8" s="6">
        <f>IFERROR(__xludf.DUMMYFUNCTION("""COMPUTED_VALUE"""),521.05)</f>
        <v>521.05</v>
      </c>
      <c r="C8" s="6">
        <f>IFERROR(__xludf.DUMMYFUNCTION("""COMPUTED_VALUE"""),544.0)</f>
        <v>544</v>
      </c>
      <c r="D8" s="6">
        <f>IFERROR(__xludf.DUMMYFUNCTION("""COMPUTED_VALUE"""),506.5)</f>
        <v>506.5</v>
      </c>
      <c r="E8" s="6">
        <f>IFERROR(__xludf.DUMMYFUNCTION("""COMPUTED_VALUE"""),515.08)</f>
        <v>515.08</v>
      </c>
      <c r="F8" s="6">
        <f>IFERROR(__xludf.DUMMYFUNCTION("""COMPUTED_VALUE"""),7425501.0)</f>
        <v>7425501</v>
      </c>
    </row>
    <row r="9">
      <c r="A9" s="7">
        <f>IFERROR(__xludf.DUMMYFUNCTION("""COMPUTED_VALUE"""),45219.64583333333)</f>
        <v>45219.64583</v>
      </c>
      <c r="B9" s="6">
        <f>IFERROR(__xludf.DUMMYFUNCTION("""COMPUTED_VALUE"""),515.5)</f>
        <v>515.5</v>
      </c>
      <c r="C9" s="6">
        <f>IFERROR(__xludf.DUMMYFUNCTION("""COMPUTED_VALUE"""),537.38)</f>
        <v>537.38</v>
      </c>
      <c r="D9" s="6">
        <f>IFERROR(__xludf.DUMMYFUNCTION("""COMPUTED_VALUE"""),500.0)</f>
        <v>500</v>
      </c>
      <c r="E9" s="6">
        <f>IFERROR(__xludf.DUMMYFUNCTION("""COMPUTED_VALUE"""),502.23)</f>
        <v>502.23</v>
      </c>
      <c r="F9" s="6">
        <f>IFERROR(__xludf.DUMMYFUNCTION("""COMPUTED_VALUE"""),7682916.0)</f>
        <v>7682916</v>
      </c>
    </row>
    <row r="10">
      <c r="A10" s="7">
        <f>IFERROR(__xludf.DUMMYFUNCTION("""COMPUTED_VALUE"""),45226.64583333333)</f>
        <v>45226.64583</v>
      </c>
      <c r="B10" s="6">
        <f>IFERROR(__xludf.DUMMYFUNCTION("""COMPUTED_VALUE"""),515.5)</f>
        <v>515.5</v>
      </c>
      <c r="C10" s="6">
        <f>IFERROR(__xludf.DUMMYFUNCTION("""COMPUTED_VALUE"""),519.75)</f>
        <v>519.75</v>
      </c>
      <c r="D10" s="6">
        <f>IFERROR(__xludf.DUMMYFUNCTION("""COMPUTED_VALUE"""),435.6)</f>
        <v>435.6</v>
      </c>
      <c r="E10" s="6">
        <f>IFERROR(__xludf.DUMMYFUNCTION("""COMPUTED_VALUE"""),493.18)</f>
        <v>493.18</v>
      </c>
      <c r="F10" s="6">
        <f>IFERROR(__xludf.DUMMYFUNCTION("""COMPUTED_VALUE"""),1.3094388E7)</f>
        <v>13094388</v>
      </c>
    </row>
    <row r="11">
      <c r="A11" s="7">
        <f>IFERROR(__xludf.DUMMYFUNCTION("""COMPUTED_VALUE"""),45233.64583333333)</f>
        <v>45233.64583</v>
      </c>
      <c r="B11" s="6">
        <f>IFERROR(__xludf.DUMMYFUNCTION("""COMPUTED_VALUE"""),494.9)</f>
        <v>494.9</v>
      </c>
      <c r="C11" s="6">
        <f>IFERROR(__xludf.DUMMYFUNCTION("""COMPUTED_VALUE"""),495.15)</f>
        <v>495.15</v>
      </c>
      <c r="D11" s="6">
        <f>IFERROR(__xludf.DUMMYFUNCTION("""COMPUTED_VALUE"""),470.0)</f>
        <v>470</v>
      </c>
      <c r="E11" s="6">
        <f>IFERROR(__xludf.DUMMYFUNCTION("""COMPUTED_VALUE"""),472.53)</f>
        <v>472.53</v>
      </c>
      <c r="F11" s="6">
        <f>IFERROR(__xludf.DUMMYFUNCTION("""COMPUTED_VALUE"""),4856122.0)</f>
        <v>4856122</v>
      </c>
    </row>
    <row r="12">
      <c r="A12" s="7">
        <f>IFERROR(__xludf.DUMMYFUNCTION("""COMPUTED_VALUE"""),45240.64583333333)</f>
        <v>45240.64583</v>
      </c>
      <c r="B12" s="6">
        <f>IFERROR(__xludf.DUMMYFUNCTION("""COMPUTED_VALUE"""),475.65)</f>
        <v>475.65</v>
      </c>
      <c r="C12" s="6">
        <f>IFERROR(__xludf.DUMMYFUNCTION("""COMPUTED_VALUE"""),536.65)</f>
        <v>536.65</v>
      </c>
      <c r="D12" s="6">
        <f>IFERROR(__xludf.DUMMYFUNCTION("""COMPUTED_VALUE"""),471.55)</f>
        <v>471.55</v>
      </c>
      <c r="E12" s="6">
        <f>IFERROR(__xludf.DUMMYFUNCTION("""COMPUTED_VALUE"""),524.35)</f>
        <v>524.35</v>
      </c>
      <c r="F12" s="6">
        <f>IFERROR(__xludf.DUMMYFUNCTION("""COMPUTED_VALUE"""),1.5360277E7)</f>
        <v>15360277</v>
      </c>
    </row>
    <row r="13">
      <c r="A13" s="7">
        <f>IFERROR(__xludf.DUMMYFUNCTION("""COMPUTED_VALUE"""),45247.64583333333)</f>
        <v>45247.64583</v>
      </c>
      <c r="B13" s="6">
        <f>IFERROR(__xludf.DUMMYFUNCTION("""COMPUTED_VALUE"""),529.08)</f>
        <v>529.08</v>
      </c>
      <c r="C13" s="6">
        <f>IFERROR(__xludf.DUMMYFUNCTION("""COMPUTED_VALUE"""),557.17)</f>
        <v>557.17</v>
      </c>
      <c r="D13" s="6">
        <f>IFERROR(__xludf.DUMMYFUNCTION("""COMPUTED_VALUE"""),525.15)</f>
        <v>525.15</v>
      </c>
      <c r="E13" s="6">
        <f>IFERROR(__xludf.DUMMYFUNCTION("""COMPUTED_VALUE"""),540.73)</f>
        <v>540.73</v>
      </c>
      <c r="F13" s="6">
        <f>IFERROR(__xludf.DUMMYFUNCTION("""COMPUTED_VALUE"""),8607122.0)</f>
        <v>8607122</v>
      </c>
    </row>
    <row r="14">
      <c r="A14" s="7">
        <f>IFERROR(__xludf.DUMMYFUNCTION("""COMPUTED_VALUE"""),45254.64583333333)</f>
        <v>45254.64583</v>
      </c>
      <c r="B14" s="6">
        <f>IFERROR(__xludf.DUMMYFUNCTION("""COMPUTED_VALUE"""),543.0)</f>
        <v>543</v>
      </c>
      <c r="C14" s="6">
        <f>IFERROR(__xludf.DUMMYFUNCTION("""COMPUTED_VALUE"""),571.85)</f>
        <v>571.85</v>
      </c>
      <c r="D14" s="6">
        <f>IFERROR(__xludf.DUMMYFUNCTION("""COMPUTED_VALUE"""),533.1)</f>
        <v>533.1</v>
      </c>
      <c r="E14" s="6">
        <f>IFERROR(__xludf.DUMMYFUNCTION("""COMPUTED_VALUE"""),560.85)</f>
        <v>560.85</v>
      </c>
      <c r="F14" s="6">
        <f>IFERROR(__xludf.DUMMYFUNCTION("""COMPUTED_VALUE"""),1.4766505E7)</f>
        <v>14766505</v>
      </c>
    </row>
    <row r="15">
      <c r="A15" s="7">
        <f>IFERROR(__xludf.DUMMYFUNCTION("""COMPUTED_VALUE"""),45261.64583333333)</f>
        <v>45261.64583</v>
      </c>
      <c r="B15" s="6">
        <f>IFERROR(__xludf.DUMMYFUNCTION("""COMPUTED_VALUE"""),564.0)</f>
        <v>564</v>
      </c>
      <c r="C15" s="6">
        <f>IFERROR(__xludf.DUMMYFUNCTION("""COMPUTED_VALUE"""),609.0)</f>
        <v>609</v>
      </c>
      <c r="D15" s="6">
        <f>IFERROR(__xludf.DUMMYFUNCTION("""COMPUTED_VALUE"""),560.5)</f>
        <v>560.5</v>
      </c>
      <c r="E15" s="6">
        <f>IFERROR(__xludf.DUMMYFUNCTION("""COMPUTED_VALUE"""),583.5)</f>
        <v>583.5</v>
      </c>
      <c r="F15" s="6">
        <f>IFERROR(__xludf.DUMMYFUNCTION("""COMPUTED_VALUE"""),1.5006237E7)</f>
        <v>15006237</v>
      </c>
    </row>
    <row r="16">
      <c r="A16" s="7">
        <f>IFERROR(__xludf.DUMMYFUNCTION("""COMPUTED_VALUE"""),45268.64583333333)</f>
        <v>45268.64583</v>
      </c>
      <c r="B16" s="6">
        <f>IFERROR(__xludf.DUMMYFUNCTION("""COMPUTED_VALUE"""),612.5)</f>
        <v>612.5</v>
      </c>
      <c r="C16" s="6">
        <f>IFERROR(__xludf.DUMMYFUNCTION("""COMPUTED_VALUE"""),664.2)</f>
        <v>664.2</v>
      </c>
      <c r="D16" s="6">
        <f>IFERROR(__xludf.DUMMYFUNCTION("""COMPUTED_VALUE"""),586.6)</f>
        <v>586.6</v>
      </c>
      <c r="E16" s="6">
        <f>IFERROR(__xludf.DUMMYFUNCTION("""COMPUTED_VALUE"""),632.5)</f>
        <v>632.5</v>
      </c>
      <c r="F16" s="6">
        <f>IFERROR(__xludf.DUMMYFUNCTION("""COMPUTED_VALUE"""),1.9829701E7)</f>
        <v>19829701</v>
      </c>
    </row>
    <row r="17">
      <c r="A17" s="7">
        <f>IFERROR(__xludf.DUMMYFUNCTION("""COMPUTED_VALUE"""),45275.64583333333)</f>
        <v>45275.64583</v>
      </c>
      <c r="B17" s="6">
        <f>IFERROR(__xludf.DUMMYFUNCTION("""COMPUTED_VALUE"""),636.08)</f>
        <v>636.08</v>
      </c>
      <c r="C17" s="6">
        <f>IFERROR(__xludf.DUMMYFUNCTION("""COMPUTED_VALUE"""),646.17)</f>
        <v>646.17</v>
      </c>
      <c r="D17" s="6">
        <f>IFERROR(__xludf.DUMMYFUNCTION("""COMPUTED_VALUE"""),616.58)</f>
        <v>616.58</v>
      </c>
      <c r="E17" s="6">
        <f>IFERROR(__xludf.DUMMYFUNCTION("""COMPUTED_VALUE"""),628.95)</f>
        <v>628.95</v>
      </c>
      <c r="F17" s="6">
        <f>IFERROR(__xludf.DUMMYFUNCTION("""COMPUTED_VALUE"""),7629243.0)</f>
        <v>7629243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IFERROR(__xludf.DUMMYFUNCTION("""COMPUTED_VALUE"""),633.83)</f>
        <v>633.83</v>
      </c>
      <c r="C18" s="6">
        <f>IFERROR(__xludf.DUMMYFUNCTION("""COMPUTED_VALUE"""),668.73)</f>
        <v>668.73</v>
      </c>
      <c r="D18" s="6">
        <f>IFERROR(__xludf.DUMMYFUNCTION("""COMPUTED_VALUE"""),600.0)</f>
        <v>600</v>
      </c>
      <c r="E18" s="6">
        <f>IFERROR(__xludf.DUMMYFUNCTION("""COMPUTED_VALUE"""),650.7)</f>
        <v>650.7</v>
      </c>
      <c r="F18" s="6">
        <f>IFERROR(__xludf.DUMMYFUNCTION("""COMPUTED_VALUE"""),1.7693306E7)</f>
        <v>17693306</v>
      </c>
    </row>
    <row r="19">
      <c r="A19" s="7">
        <f>IFERROR(__xludf.DUMMYFUNCTION("""COMPUTED_VALUE"""),45289.64583333333)</f>
        <v>45289.64583</v>
      </c>
      <c r="B19" s="6">
        <f>IFERROR(__xludf.DUMMYFUNCTION("""COMPUTED_VALUE"""),653.88)</f>
        <v>653.88</v>
      </c>
      <c r="C19" s="6">
        <f>IFERROR(__xludf.DUMMYFUNCTION("""COMPUTED_VALUE"""),704.43)</f>
        <v>704.43</v>
      </c>
      <c r="D19" s="6">
        <f>IFERROR(__xludf.DUMMYFUNCTION("""COMPUTED_VALUE"""),646.33)</f>
        <v>646.33</v>
      </c>
      <c r="E19" s="6">
        <f>IFERROR(__xludf.DUMMYFUNCTION("""COMPUTED_VALUE"""),676.98)</f>
        <v>676.98</v>
      </c>
      <c r="F19" s="6">
        <f>IFERROR(__xludf.DUMMYFUNCTION("""COMPUTED_VALUE"""),1.375131E7)</f>
        <v>13751310</v>
      </c>
    </row>
    <row r="20">
      <c r="A20" s="7">
        <f>IFERROR(__xludf.DUMMYFUNCTION("""COMPUTED_VALUE"""),45296.64583333333)</f>
        <v>45296.64583</v>
      </c>
      <c r="B20" s="6">
        <f>IFERROR(__xludf.DUMMYFUNCTION("""COMPUTED_VALUE"""),680.13)</f>
        <v>680.13</v>
      </c>
      <c r="C20" s="6">
        <f>IFERROR(__xludf.DUMMYFUNCTION("""COMPUTED_VALUE"""),691.95)</f>
        <v>691.95</v>
      </c>
      <c r="D20" s="6">
        <f>IFERROR(__xludf.DUMMYFUNCTION("""COMPUTED_VALUE"""),658.38)</f>
        <v>658.38</v>
      </c>
      <c r="E20" s="6">
        <f>IFERROR(__xludf.DUMMYFUNCTION("""COMPUTED_VALUE"""),681.35)</f>
        <v>681.35</v>
      </c>
      <c r="F20" s="6">
        <f>IFERROR(__xludf.DUMMYFUNCTION("""COMPUTED_VALUE"""),7028228.0)</f>
        <v>7028228</v>
      </c>
    </row>
    <row r="21">
      <c r="A21" s="7">
        <f>IFERROR(__xludf.DUMMYFUNCTION("""COMPUTED_VALUE"""),45303.64583333333)</f>
        <v>45303.64583</v>
      </c>
      <c r="B21" s="6">
        <f>IFERROR(__xludf.DUMMYFUNCTION("""COMPUTED_VALUE"""),684.5)</f>
        <v>684.5</v>
      </c>
      <c r="C21" s="6">
        <f>IFERROR(__xludf.DUMMYFUNCTION("""COMPUTED_VALUE"""),802.8)</f>
        <v>802.8</v>
      </c>
      <c r="D21" s="6">
        <f>IFERROR(__xludf.DUMMYFUNCTION("""COMPUTED_VALUE"""),611.28)</f>
        <v>611.28</v>
      </c>
      <c r="E21" s="6">
        <f>IFERROR(__xludf.DUMMYFUNCTION("""COMPUTED_VALUE"""),753.85)</f>
        <v>753.85</v>
      </c>
      <c r="F21" s="6">
        <f>IFERROR(__xludf.DUMMYFUNCTION("""COMPUTED_VALUE"""),4.3139488E7)</f>
        <v>43139488</v>
      </c>
    </row>
    <row r="22">
      <c r="A22" s="7">
        <f>IFERROR(__xludf.DUMMYFUNCTION("""COMPUTED_VALUE"""),45316.64583333333)</f>
        <v>45316.64583</v>
      </c>
      <c r="B22" s="6">
        <f>IFERROR(__xludf.DUMMYFUNCTION("""COMPUTED_VALUE"""),880.0)</f>
        <v>880</v>
      </c>
      <c r="C22" s="6">
        <f>IFERROR(__xludf.DUMMYFUNCTION("""COMPUTED_VALUE"""),898.5)</f>
        <v>898.5</v>
      </c>
      <c r="D22" s="6">
        <f>IFERROR(__xludf.DUMMYFUNCTION("""COMPUTED_VALUE"""),796.25)</f>
        <v>796.25</v>
      </c>
      <c r="E22" s="6">
        <f>IFERROR(__xludf.DUMMYFUNCTION("""COMPUTED_VALUE"""),871.6)</f>
        <v>871.6</v>
      </c>
      <c r="F22" s="6">
        <f>IFERROR(__xludf.DUMMYFUNCTION("""COMPUTED_VALUE"""),9452688.0)</f>
        <v>9452688</v>
      </c>
    </row>
    <row r="23">
      <c r="A23" s="7">
        <f>IFERROR(__xludf.DUMMYFUNCTION("""COMPUTED_VALUE"""),45324.64583333333)</f>
        <v>45324.64583</v>
      </c>
      <c r="B23" s="6">
        <f>IFERROR(__xludf.DUMMYFUNCTION("""COMPUTED_VALUE"""),877.95)</f>
        <v>877.95</v>
      </c>
      <c r="C23" s="6">
        <f>IFERROR(__xludf.DUMMYFUNCTION("""COMPUTED_VALUE"""),945.0)</f>
        <v>945</v>
      </c>
      <c r="D23" s="6">
        <f>IFERROR(__xludf.DUMMYFUNCTION("""COMPUTED_VALUE"""),855.45)</f>
        <v>855.45</v>
      </c>
      <c r="E23" s="6">
        <f>IFERROR(__xludf.DUMMYFUNCTION("""COMPUTED_VALUE"""),905.2)</f>
        <v>905.2</v>
      </c>
      <c r="F23" s="6">
        <f>IFERROR(__xludf.DUMMYFUNCTION("""COMPUTED_VALUE"""),1.885876E7)</f>
        <v>18858760</v>
      </c>
    </row>
    <row r="24">
      <c r="A24" s="7">
        <f>IFERROR(__xludf.DUMMYFUNCTION("""COMPUTED_VALUE"""),45331.64583333333)</f>
        <v>45331.64583</v>
      </c>
      <c r="B24" s="6">
        <f>IFERROR(__xludf.DUMMYFUNCTION("""COMPUTED_VALUE"""),913.0)</f>
        <v>913</v>
      </c>
      <c r="C24" s="6">
        <f>IFERROR(__xludf.DUMMYFUNCTION("""COMPUTED_VALUE"""),924.45)</f>
        <v>924.45</v>
      </c>
      <c r="D24" s="6">
        <f>IFERROR(__xludf.DUMMYFUNCTION("""COMPUTED_VALUE"""),863.2)</f>
        <v>863.2</v>
      </c>
      <c r="E24" s="6">
        <f>IFERROR(__xludf.DUMMYFUNCTION("""COMPUTED_VALUE"""),882.65)</f>
        <v>882.65</v>
      </c>
      <c r="F24" s="6">
        <f>IFERROR(__xludf.DUMMYFUNCTION("""COMPUTED_VALUE"""),1.1378625E7)</f>
        <v>11378625</v>
      </c>
    </row>
    <row r="25">
      <c r="A25" s="7">
        <f>IFERROR(__xludf.DUMMYFUNCTION("""COMPUTED_VALUE"""),45338.64583333333)</f>
        <v>45338.64583</v>
      </c>
      <c r="B25" s="6">
        <f>IFERROR(__xludf.DUMMYFUNCTION("""COMPUTED_VALUE"""),882.0)</f>
        <v>882</v>
      </c>
      <c r="C25" s="6">
        <f>IFERROR(__xludf.DUMMYFUNCTION("""COMPUTED_VALUE"""),884.75)</f>
        <v>884.75</v>
      </c>
      <c r="D25" s="6">
        <f>IFERROR(__xludf.DUMMYFUNCTION("""COMPUTED_VALUE"""),790.0)</f>
        <v>790</v>
      </c>
      <c r="E25" s="6">
        <f>IFERROR(__xludf.DUMMYFUNCTION("""COMPUTED_VALUE"""),839.25)</f>
        <v>839.25</v>
      </c>
      <c r="F25" s="6">
        <f>IFERROR(__xludf.DUMMYFUNCTION("""COMPUTED_VALUE"""),1.145322E7)</f>
        <v>11453220</v>
      </c>
    </row>
    <row r="26">
      <c r="A26" s="7">
        <f>IFERROR(__xludf.DUMMYFUNCTION("""COMPUTED_VALUE"""),45345.64583333333)</f>
        <v>45345.64583</v>
      </c>
      <c r="B26" s="6">
        <f>IFERROR(__xludf.DUMMYFUNCTION("""COMPUTED_VALUE"""),845.0)</f>
        <v>845</v>
      </c>
      <c r="C26" s="6">
        <f>IFERROR(__xludf.DUMMYFUNCTION("""COMPUTED_VALUE"""),869.25)</f>
        <v>869.25</v>
      </c>
      <c r="D26" s="6">
        <f>IFERROR(__xludf.DUMMYFUNCTION("""COMPUTED_VALUE"""),814.15)</f>
        <v>814.15</v>
      </c>
      <c r="E26" s="6">
        <f>IFERROR(__xludf.DUMMYFUNCTION("""COMPUTED_VALUE"""),858.7)</f>
        <v>858.7</v>
      </c>
      <c r="F26" s="6">
        <f>IFERROR(__xludf.DUMMYFUNCTION("""COMPUTED_VALUE"""),7049674.0)</f>
        <v>7049674</v>
      </c>
    </row>
    <row r="27">
      <c r="A27" s="7">
        <f>IFERROR(__xludf.DUMMYFUNCTION("""COMPUTED_VALUE"""),45358.64583333333)</f>
        <v>45358.64583</v>
      </c>
      <c r="B27" s="6">
        <f>IFERROR(__xludf.DUMMYFUNCTION("""COMPUTED_VALUE"""),876.9)</f>
        <v>876.9</v>
      </c>
      <c r="C27" s="6">
        <f>IFERROR(__xludf.DUMMYFUNCTION("""COMPUTED_VALUE"""),913.8)</f>
        <v>913.8</v>
      </c>
      <c r="D27" s="6">
        <f>IFERROR(__xludf.DUMMYFUNCTION("""COMPUTED_VALUE"""),843.75)</f>
        <v>843.75</v>
      </c>
      <c r="E27" s="6">
        <f>IFERROR(__xludf.DUMMYFUNCTION("""COMPUTED_VALUE"""),867.2)</f>
        <v>867.2</v>
      </c>
      <c r="F27" s="6">
        <f>IFERROR(__xludf.DUMMYFUNCTION("""COMPUTED_VALUE"""),6969599.0)</f>
        <v>6969599</v>
      </c>
    </row>
    <row r="28">
      <c r="A28" s="7">
        <f>IFERROR(__xludf.DUMMYFUNCTION("""COMPUTED_VALUE"""),45366.64583333333)</f>
        <v>45366.64583</v>
      </c>
      <c r="B28" s="6">
        <f>IFERROR(__xludf.DUMMYFUNCTION("""COMPUTED_VALUE"""),867.2)</f>
        <v>867.2</v>
      </c>
      <c r="C28" s="6">
        <f>IFERROR(__xludf.DUMMYFUNCTION("""COMPUTED_VALUE"""),905.0)</f>
        <v>905</v>
      </c>
      <c r="D28" s="6">
        <f>IFERROR(__xludf.DUMMYFUNCTION("""COMPUTED_VALUE"""),713.35)</f>
        <v>713.35</v>
      </c>
      <c r="E28" s="6">
        <f>IFERROR(__xludf.DUMMYFUNCTION("""COMPUTED_VALUE"""),890.45)</f>
        <v>890.45</v>
      </c>
      <c r="F28" s="6">
        <f>IFERROR(__xludf.DUMMYFUNCTION("""COMPUTED_VALUE"""),2.1176523E7)</f>
        <v>21176523</v>
      </c>
    </row>
    <row r="29">
      <c r="A29" s="7">
        <f>IFERROR(__xludf.DUMMYFUNCTION("""COMPUTED_VALUE"""),45373.64583333333)</f>
        <v>45373.64583</v>
      </c>
      <c r="B29" s="6">
        <f>IFERROR(__xludf.DUMMYFUNCTION("""COMPUTED_VALUE"""),897.0)</f>
        <v>897</v>
      </c>
      <c r="C29" s="6">
        <f>IFERROR(__xludf.DUMMYFUNCTION("""COMPUTED_VALUE"""),930.8)</f>
        <v>930.8</v>
      </c>
      <c r="D29" s="6">
        <f>IFERROR(__xludf.DUMMYFUNCTION("""COMPUTED_VALUE"""),864.25)</f>
        <v>864.25</v>
      </c>
      <c r="E29" s="6">
        <f>IFERROR(__xludf.DUMMYFUNCTION("""COMPUTED_VALUE"""),902.45)</f>
        <v>902.45</v>
      </c>
      <c r="F29" s="6">
        <f>IFERROR(__xludf.DUMMYFUNCTION("""COMPUTED_VALUE"""),1.7210223E7)</f>
        <v>17210223</v>
      </c>
    </row>
    <row r="30">
      <c r="A30" s="7">
        <f>IFERROR(__xludf.DUMMYFUNCTION("""COMPUTED_VALUE"""),45379.64583333333)</f>
        <v>45379.64583</v>
      </c>
      <c r="B30" s="6">
        <f>IFERROR(__xludf.DUMMYFUNCTION("""COMPUTED_VALUE"""),906.85)</f>
        <v>906.85</v>
      </c>
      <c r="C30" s="6">
        <f>IFERROR(__xludf.DUMMYFUNCTION("""COMPUTED_VALUE"""),909.75)</f>
        <v>909.75</v>
      </c>
      <c r="D30" s="6">
        <f>IFERROR(__xludf.DUMMYFUNCTION("""COMPUTED_VALUE"""),865.0)</f>
        <v>865</v>
      </c>
      <c r="E30" s="6">
        <f>IFERROR(__xludf.DUMMYFUNCTION("""COMPUTED_VALUE"""),871.8)</f>
        <v>871.8</v>
      </c>
      <c r="F30" s="6">
        <f>IFERROR(__xludf.DUMMYFUNCTION("""COMPUTED_VALUE"""),4190765.0)</f>
        <v>4190765</v>
      </c>
    </row>
    <row r="31">
      <c r="A31" s="7">
        <f>IFERROR(__xludf.DUMMYFUNCTION("""COMPUTED_VALUE"""),45387.64583333333)</f>
        <v>45387.64583</v>
      </c>
      <c r="B31" s="6">
        <f>IFERROR(__xludf.DUMMYFUNCTION("""COMPUTED_VALUE"""),887.0)</f>
        <v>887</v>
      </c>
      <c r="C31" s="6">
        <f>IFERROR(__xludf.DUMMYFUNCTION("""COMPUTED_VALUE"""),1117.5)</f>
        <v>1117.5</v>
      </c>
      <c r="D31" s="6">
        <f>IFERROR(__xludf.DUMMYFUNCTION("""COMPUTED_VALUE"""),885.35)</f>
        <v>885.35</v>
      </c>
      <c r="E31" s="6">
        <f>IFERROR(__xludf.DUMMYFUNCTION("""COMPUTED_VALUE"""),1081.2)</f>
        <v>1081.2</v>
      </c>
      <c r="F31" s="6">
        <f>IFERROR(__xludf.DUMMYFUNCTION("""COMPUTED_VALUE"""),4.3668016E7)</f>
        <v>43668016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IFERROR(__xludf.DUMMYFUNCTION("""COMPUTED_VALUE"""),1105.05)</f>
        <v>1105.05</v>
      </c>
      <c r="C32" s="6">
        <f>IFERROR(__xludf.DUMMYFUNCTION("""COMPUTED_VALUE"""),1170.9)</f>
        <v>1170.9</v>
      </c>
      <c r="D32" s="6">
        <f>IFERROR(__xludf.DUMMYFUNCTION("""COMPUTED_VALUE"""),1081.4)</f>
        <v>1081.4</v>
      </c>
      <c r="E32" s="6">
        <f>IFERROR(__xludf.DUMMYFUNCTION("""COMPUTED_VALUE"""),1096.55)</f>
        <v>1096.55</v>
      </c>
      <c r="F32" s="6">
        <f>IFERROR(__xludf.DUMMYFUNCTION("""COMPUTED_VALUE"""),1.7477096E7)</f>
        <v>17477096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IFERROR(__xludf.DUMMYFUNCTION("""COMPUTED_VALUE"""),1055.0)</f>
        <v>1055</v>
      </c>
      <c r="C33" s="6">
        <f>IFERROR(__xludf.DUMMYFUNCTION("""COMPUTED_VALUE"""),1137.0)</f>
        <v>1137</v>
      </c>
      <c r="D33" s="6">
        <f>IFERROR(__xludf.DUMMYFUNCTION("""COMPUTED_VALUE"""),1024.2)</f>
        <v>1024.2</v>
      </c>
      <c r="E33" s="6">
        <f>IFERROR(__xludf.DUMMYFUNCTION("""COMPUTED_VALUE"""),1099.0)</f>
        <v>1099</v>
      </c>
      <c r="F33" s="6">
        <f>IFERROR(__xludf.DUMMYFUNCTION("""COMPUTED_VALUE"""),1.565261E7)</f>
        <v>15652610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IFERROR(__xludf.DUMMYFUNCTION("""COMPUTED_VALUE"""),1113.05)</f>
        <v>1113.05</v>
      </c>
      <c r="C34" s="6">
        <f>IFERROR(__xludf.DUMMYFUNCTION("""COMPUTED_VALUE"""),1377.0)</f>
        <v>1377</v>
      </c>
      <c r="D34" s="6">
        <f>IFERROR(__xludf.DUMMYFUNCTION("""COMPUTED_VALUE"""),1093.05)</f>
        <v>1093.05</v>
      </c>
      <c r="E34" s="6">
        <f>IFERROR(__xludf.DUMMYFUNCTION("""COMPUTED_VALUE"""),1352.05)</f>
        <v>1352.05</v>
      </c>
      <c r="F34" s="6">
        <f>IFERROR(__xludf.DUMMYFUNCTION("""COMPUTED_VALUE"""),4.6587348E7)</f>
        <v>46587348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IFERROR(__xludf.DUMMYFUNCTION("""COMPUTED_VALUE"""),1364.25)</f>
        <v>1364.25</v>
      </c>
      <c r="C35" s="6">
        <f>IFERROR(__xludf.DUMMYFUNCTION("""COMPUTED_VALUE"""),1378.0)</f>
        <v>1378</v>
      </c>
      <c r="D35" s="6">
        <f>IFERROR(__xludf.DUMMYFUNCTION("""COMPUTED_VALUE"""),1274.0)</f>
        <v>1274</v>
      </c>
      <c r="E35" s="6">
        <f>IFERROR(__xludf.DUMMYFUNCTION("""COMPUTED_VALUE"""),1321.9)</f>
        <v>1321.9</v>
      </c>
      <c r="F35" s="6">
        <f>IFERROR(__xludf.DUMMYFUNCTION("""COMPUTED_VALUE"""),1.0666393E7)</f>
        <v>10666393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IFERROR(__xludf.DUMMYFUNCTION("""COMPUTED_VALUE"""),1332.0)</f>
        <v>1332</v>
      </c>
      <c r="C36" s="6">
        <f>IFERROR(__xludf.DUMMYFUNCTION("""COMPUTED_VALUE"""),1336.0)</f>
        <v>1336</v>
      </c>
      <c r="D36" s="6">
        <f>IFERROR(__xludf.DUMMYFUNCTION("""COMPUTED_VALUE"""),1201.55)</f>
        <v>1201.55</v>
      </c>
      <c r="E36" s="6">
        <f>IFERROR(__xludf.DUMMYFUNCTION("""COMPUTED_VALUE"""),1229.75)</f>
        <v>1229.75</v>
      </c>
      <c r="F36" s="6">
        <f>IFERROR(__xludf.DUMMYFUNCTION("""COMPUTED_VALUE"""),1.4146285E7)</f>
        <v>14146285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IFERROR(__xludf.DUMMYFUNCTION("""COMPUTED_VALUE"""),1490.0)</f>
        <v>1490</v>
      </c>
      <c r="C37" s="6">
        <f>IFERROR(__xludf.DUMMYFUNCTION("""COMPUTED_VALUE"""),2030.0)</f>
        <v>2030</v>
      </c>
      <c r="D37" s="6">
        <f>IFERROR(__xludf.DUMMYFUNCTION("""COMPUTED_VALUE"""),1432.75)</f>
        <v>1432.75</v>
      </c>
      <c r="E37" s="6">
        <f>IFERROR(__xludf.DUMMYFUNCTION("""COMPUTED_VALUE"""),1912.55)</f>
        <v>1912.55</v>
      </c>
      <c r="F37" s="6">
        <f>IFERROR(__xludf.DUMMYFUNCTION("""COMPUTED_VALUE"""),6.9301203E7)</f>
        <v>69301203</v>
      </c>
    </row>
    <row r="38">
      <c r="A38" s="7">
        <f>IFERROR(__xludf.DUMMYFUNCTION("""COMPUTED_VALUE"""),45443.64583333333)</f>
        <v>45443.64583</v>
      </c>
      <c r="B38" s="6">
        <f>IFERROR(__xludf.DUMMYFUNCTION("""COMPUTED_VALUE"""),2100.0)</f>
        <v>2100</v>
      </c>
      <c r="C38" s="6">
        <f>IFERROR(__xludf.DUMMYFUNCTION("""COMPUTED_VALUE"""),2100.0)</f>
        <v>2100</v>
      </c>
      <c r="D38" s="6">
        <f>IFERROR(__xludf.DUMMYFUNCTION("""COMPUTED_VALUE"""),1825.0)</f>
        <v>1825</v>
      </c>
      <c r="E38" s="6">
        <f>IFERROR(__xludf.DUMMYFUNCTION("""COMPUTED_VALUE"""),1947.65)</f>
        <v>1947.65</v>
      </c>
      <c r="F38" s="6">
        <f>IFERROR(__xludf.DUMMYFUNCTION("""COMPUTED_VALUE"""),5.1820008E7)</f>
        <v>51820008</v>
      </c>
    </row>
    <row r="39">
      <c r="A39" s="7">
        <f>IFERROR(__xludf.DUMMYFUNCTION("""COMPUTED_VALUE"""),45450.64583333333)</f>
        <v>45450.64583</v>
      </c>
      <c r="B39" s="6">
        <f>IFERROR(__xludf.DUMMYFUNCTION("""COMPUTED_VALUE"""),2100.0)</f>
        <v>2100</v>
      </c>
      <c r="C39" s="6">
        <f>IFERROR(__xludf.DUMMYFUNCTION("""COMPUTED_VALUE"""),2100.0)</f>
        <v>2100</v>
      </c>
      <c r="D39" s="6">
        <f>IFERROR(__xludf.DUMMYFUNCTION("""COMPUTED_VALUE"""),1630.55)</f>
        <v>1630.55</v>
      </c>
      <c r="E39" s="6">
        <f>IFERROR(__xludf.DUMMYFUNCTION("""COMPUTED_VALUE"""),1912.75)</f>
        <v>1912.75</v>
      </c>
      <c r="F39" s="6">
        <f>IFERROR(__xludf.DUMMYFUNCTION("""COMPUTED_VALUE"""),2.6513558E7)</f>
        <v>26513558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IFERROR(__xludf.DUMMYFUNCTION("""COMPUTED_VALUE"""),1933.35)</f>
        <v>1933.35</v>
      </c>
      <c r="C40" s="6">
        <f>IFERROR(__xludf.DUMMYFUNCTION("""COMPUTED_VALUE"""),2175.0)</f>
        <v>2175</v>
      </c>
      <c r="D40" s="6">
        <f>IFERROR(__xludf.DUMMYFUNCTION("""COMPUTED_VALUE"""),1880.0)</f>
        <v>1880</v>
      </c>
      <c r="E40" s="6">
        <f>IFERROR(__xludf.DUMMYFUNCTION("""COMPUTED_VALUE"""),2122.35)</f>
        <v>2122.35</v>
      </c>
      <c r="F40" s="6">
        <f>IFERROR(__xludf.DUMMYFUNCTION("""COMPUTED_VALUE"""),2.2256113E7)</f>
        <v>22256113</v>
      </c>
    </row>
    <row r="41">
      <c r="A41" s="7">
        <f>IFERROR(__xludf.DUMMYFUNCTION("""COMPUTED_VALUE"""),45464.64583333333)</f>
        <v>45464.64583</v>
      </c>
      <c r="B41" s="6">
        <f>IFERROR(__xludf.DUMMYFUNCTION("""COMPUTED_VALUE"""),2137.7)</f>
        <v>2137.7</v>
      </c>
      <c r="C41" s="6">
        <f>IFERROR(__xludf.DUMMYFUNCTION("""COMPUTED_VALUE"""),2427.9)</f>
        <v>2427.9</v>
      </c>
      <c r="D41" s="6">
        <f>IFERROR(__xludf.DUMMYFUNCTION("""COMPUTED_VALUE"""),2108.05)</f>
        <v>2108.05</v>
      </c>
      <c r="E41" s="6">
        <f>IFERROR(__xludf.DUMMYFUNCTION("""COMPUTED_VALUE"""),2132.25)</f>
        <v>2132.25</v>
      </c>
      <c r="F41" s="6">
        <f>IFERROR(__xludf.DUMMYFUNCTION("""COMPUTED_VALUE"""),2.5113264E7)</f>
        <v>25113264</v>
      </c>
    </row>
    <row r="42">
      <c r="A42" s="7">
        <f>IFERROR(__xludf.DUMMYFUNCTION("""COMPUTED_VALUE"""),45471.64583333333)</f>
        <v>45471.64583</v>
      </c>
      <c r="B42" s="6">
        <f>IFERROR(__xludf.DUMMYFUNCTION("""COMPUTED_VALUE"""),2136.35)</f>
        <v>2136.35</v>
      </c>
      <c r="C42" s="6">
        <f>IFERROR(__xludf.DUMMYFUNCTION("""COMPUTED_VALUE"""),2297.65)</f>
        <v>2297.65</v>
      </c>
      <c r="D42" s="6">
        <f>IFERROR(__xludf.DUMMYFUNCTION("""COMPUTED_VALUE"""),2113.45)</f>
        <v>2113.45</v>
      </c>
      <c r="E42" s="6">
        <f>IFERROR(__xludf.DUMMYFUNCTION("""COMPUTED_VALUE"""),2215.15)</f>
        <v>2215.15</v>
      </c>
      <c r="F42" s="6">
        <f>IFERROR(__xludf.DUMMYFUNCTION("""COMPUTED_VALUE"""),2.0460407E7)</f>
        <v>20460407</v>
      </c>
    </row>
    <row r="43">
      <c r="A43" s="7">
        <f>IFERROR(__xludf.DUMMYFUNCTION("""COMPUTED_VALUE"""),45478.64583333333)</f>
        <v>45478.64583</v>
      </c>
      <c r="B43" s="6">
        <f>IFERROR(__xludf.DUMMYFUNCTION("""COMPUTED_VALUE"""),2273.95)</f>
        <v>2273.95</v>
      </c>
      <c r="C43" s="6">
        <f>IFERROR(__xludf.DUMMYFUNCTION("""COMPUTED_VALUE"""),2924.0)</f>
        <v>2924</v>
      </c>
      <c r="D43" s="6">
        <f>IFERROR(__xludf.DUMMYFUNCTION("""COMPUTED_VALUE"""),2210.05)</f>
        <v>2210.05</v>
      </c>
      <c r="E43" s="6">
        <f>IFERROR(__xludf.DUMMYFUNCTION("""COMPUTED_VALUE"""),2837.6)</f>
        <v>2837.6</v>
      </c>
      <c r="F43" s="6">
        <f>IFERROR(__xludf.DUMMYFUNCTION("""COMPUTED_VALUE"""),4.368012E7)</f>
        <v>43680120</v>
      </c>
    </row>
    <row r="44">
      <c r="A44" s="7">
        <f>IFERROR(__xludf.DUMMYFUNCTION("""COMPUTED_VALUE"""),45485.64583333333)</f>
        <v>45485.64583</v>
      </c>
      <c r="B44" s="6">
        <f>IFERROR(__xludf.DUMMYFUNCTION("""COMPUTED_VALUE"""),2849.95)</f>
        <v>2849.95</v>
      </c>
      <c r="C44" s="6">
        <f>IFERROR(__xludf.DUMMYFUNCTION("""COMPUTED_VALUE"""),2979.45)</f>
        <v>2979.45</v>
      </c>
      <c r="D44" s="6">
        <f>IFERROR(__xludf.DUMMYFUNCTION("""COMPUTED_VALUE"""),2670.0)</f>
        <v>2670</v>
      </c>
      <c r="E44" s="6">
        <f>IFERROR(__xludf.DUMMYFUNCTION("""COMPUTED_VALUE"""),2828.75)</f>
        <v>2828.75</v>
      </c>
      <c r="F44" s="6">
        <f>IFERROR(__xludf.DUMMYFUNCTION("""COMPUTED_VALUE"""),2.2479194E7)</f>
        <v>22479194</v>
      </c>
    </row>
    <row r="45">
      <c r="A45" s="7">
        <f>IFERROR(__xludf.DUMMYFUNCTION("""COMPUTED_VALUE"""),45492.64583333333)</f>
        <v>45492.64583</v>
      </c>
      <c r="B45" s="6">
        <f>IFERROR(__xludf.DUMMYFUNCTION("""COMPUTED_VALUE"""),2842.0)</f>
        <v>2842</v>
      </c>
      <c r="C45" s="6">
        <f>IFERROR(__xludf.DUMMYFUNCTION("""COMPUTED_VALUE"""),2848.0)</f>
        <v>2848</v>
      </c>
      <c r="D45" s="6">
        <f>IFERROR(__xludf.DUMMYFUNCTION("""COMPUTED_VALUE"""),2521.0)</f>
        <v>2521</v>
      </c>
      <c r="E45" s="6">
        <f>IFERROR(__xludf.DUMMYFUNCTION("""COMPUTED_VALUE"""),2543.2)</f>
        <v>2543.2</v>
      </c>
      <c r="F45" s="6">
        <f>IFERROR(__xludf.DUMMYFUNCTION("""COMPUTED_VALUE"""),8868376.0)</f>
        <v>8868376</v>
      </c>
    </row>
    <row r="46">
      <c r="A46" s="7">
        <f>IFERROR(__xludf.DUMMYFUNCTION("""COMPUTED_VALUE"""),45499.64583333333)</f>
        <v>45499.64583</v>
      </c>
      <c r="B46" s="6">
        <f>IFERROR(__xludf.DUMMYFUNCTION("""COMPUTED_VALUE"""),2505.0)</f>
        <v>2505</v>
      </c>
      <c r="C46" s="6">
        <f>IFERROR(__xludf.DUMMYFUNCTION("""COMPUTED_VALUE"""),2774.5)</f>
        <v>2774.5</v>
      </c>
      <c r="D46" s="6">
        <f>IFERROR(__xludf.DUMMYFUNCTION("""COMPUTED_VALUE"""),2450.0)</f>
        <v>2450</v>
      </c>
      <c r="E46" s="6">
        <f>IFERROR(__xludf.DUMMYFUNCTION("""COMPUTED_VALUE"""),2467.6)</f>
        <v>2467.6</v>
      </c>
      <c r="F46" s="6">
        <f>IFERROR(__xludf.DUMMYFUNCTION("""COMPUTED_VALUE"""),1.0934707E7)</f>
        <v>10934707</v>
      </c>
    </row>
    <row r="47">
      <c r="A47" s="7">
        <f>IFERROR(__xludf.DUMMYFUNCTION("""COMPUTED_VALUE"""),45506.64583333333)</f>
        <v>45506.64583</v>
      </c>
      <c r="B47" s="6">
        <f>IFERROR(__xludf.DUMMYFUNCTION("""COMPUTED_VALUE"""),2510.0)</f>
        <v>2510</v>
      </c>
      <c r="C47" s="6">
        <f>IFERROR(__xludf.DUMMYFUNCTION("""COMPUTED_VALUE"""),2715.8)</f>
        <v>2715.8</v>
      </c>
      <c r="D47" s="6">
        <f>IFERROR(__xludf.DUMMYFUNCTION("""COMPUTED_VALUE"""),2470.05)</f>
        <v>2470.05</v>
      </c>
      <c r="E47" s="6">
        <f>IFERROR(__xludf.DUMMYFUNCTION("""COMPUTED_VALUE"""),2537.9)</f>
        <v>2537.9</v>
      </c>
      <c r="F47" s="6">
        <f>IFERROR(__xludf.DUMMYFUNCTION("""COMPUTED_VALUE"""),8341366.0)</f>
        <v>8341366</v>
      </c>
    </row>
    <row r="48">
      <c r="A48" s="7">
        <f>IFERROR(__xludf.DUMMYFUNCTION("""COMPUTED_VALUE"""),45513.64583333333)</f>
        <v>45513.64583</v>
      </c>
      <c r="B48" s="6">
        <f>IFERROR(__xludf.DUMMYFUNCTION("""COMPUTED_VALUE"""),2416.1)</f>
        <v>2416.1</v>
      </c>
      <c r="C48" s="6">
        <f>IFERROR(__xludf.DUMMYFUNCTION("""COMPUTED_VALUE"""),2491.0)</f>
        <v>2491</v>
      </c>
      <c r="D48" s="6">
        <f>IFERROR(__xludf.DUMMYFUNCTION("""COMPUTED_VALUE"""),2121.0)</f>
        <v>2121</v>
      </c>
      <c r="E48" s="6">
        <f>IFERROR(__xludf.DUMMYFUNCTION("""COMPUTED_VALUE"""),2379.8)</f>
        <v>2379.8</v>
      </c>
      <c r="F48" s="6">
        <f>IFERROR(__xludf.DUMMYFUNCTION("""COMPUTED_VALUE"""),1.3795465E7)</f>
        <v>13795465</v>
      </c>
    </row>
    <row r="49">
      <c r="A49" s="7">
        <f>IFERROR(__xludf.DUMMYFUNCTION("""COMPUTED_VALUE"""),45520.64583333333)</f>
        <v>45520.64583</v>
      </c>
      <c r="B49" s="6">
        <f>IFERROR(__xludf.DUMMYFUNCTION("""COMPUTED_VALUE"""),2365.0)</f>
        <v>2365</v>
      </c>
      <c r="C49" s="6">
        <f>IFERROR(__xludf.DUMMYFUNCTION("""COMPUTED_VALUE"""),2384.0)</f>
        <v>2384</v>
      </c>
      <c r="D49" s="6">
        <f>IFERROR(__xludf.DUMMYFUNCTION("""COMPUTED_VALUE"""),2140.0)</f>
        <v>2140</v>
      </c>
      <c r="E49" s="6">
        <f>IFERROR(__xludf.DUMMYFUNCTION("""COMPUTED_VALUE"""),2198.45)</f>
        <v>2198.45</v>
      </c>
      <c r="F49" s="6">
        <f>IFERROR(__xludf.DUMMYFUNCTION("""COMPUTED_VALUE"""),7316592.0)</f>
        <v>7316592</v>
      </c>
    </row>
    <row r="50">
      <c r="A50" s="7">
        <f>IFERROR(__xludf.DUMMYFUNCTION("""COMPUTED_VALUE"""),45527.64583333333)</f>
        <v>45527.64583</v>
      </c>
      <c r="B50" s="6">
        <f>IFERROR(__xludf.DUMMYFUNCTION("""COMPUTED_VALUE"""),2206.0)</f>
        <v>2206</v>
      </c>
      <c r="C50" s="6">
        <f>IFERROR(__xludf.DUMMYFUNCTION("""COMPUTED_VALUE"""),2219.7)</f>
        <v>2219.7</v>
      </c>
      <c r="D50" s="6">
        <f>IFERROR(__xludf.DUMMYFUNCTION("""COMPUTED_VALUE"""),2038.0)</f>
        <v>2038</v>
      </c>
      <c r="E50" s="6">
        <f>IFERROR(__xludf.DUMMYFUNCTION("""COMPUTED_VALUE"""),2085.2)</f>
        <v>2085.2</v>
      </c>
      <c r="F50" s="6">
        <f>IFERROR(__xludf.DUMMYFUNCTION("""COMPUTED_VALUE"""),9606072.0)</f>
        <v>9606072</v>
      </c>
    </row>
    <row r="51">
      <c r="A51" s="7">
        <f>IFERROR(__xludf.DUMMYFUNCTION("""COMPUTED_VALUE"""),45534.64583333333)</f>
        <v>45534.64583</v>
      </c>
      <c r="B51" s="6">
        <f>IFERROR(__xludf.DUMMYFUNCTION("""COMPUTED_VALUE"""),2100.0)</f>
        <v>2100</v>
      </c>
      <c r="C51" s="6">
        <f>IFERROR(__xludf.DUMMYFUNCTION("""COMPUTED_VALUE"""),2120.0)</f>
        <v>2120</v>
      </c>
      <c r="D51" s="6">
        <f>IFERROR(__xludf.DUMMYFUNCTION("""COMPUTED_VALUE"""),1860.0)</f>
        <v>1860</v>
      </c>
      <c r="E51" s="6">
        <f>IFERROR(__xludf.DUMMYFUNCTION("""COMPUTED_VALUE"""),1886.65)</f>
        <v>1886.65</v>
      </c>
      <c r="F51" s="6">
        <f>IFERROR(__xludf.DUMMYFUNCTION("""COMPUTED_VALUE"""),1.181318E7)</f>
        <v>11813180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IFERROR(__xludf.DUMMYFUNCTION("""COMPUTED_VALUE"""),1881.0)</f>
        <v>1881</v>
      </c>
      <c r="C52" s="6">
        <f>IFERROR(__xludf.DUMMYFUNCTION("""COMPUTED_VALUE"""),1998.7)</f>
        <v>1998.7</v>
      </c>
      <c r="D52" s="6">
        <f>IFERROR(__xludf.DUMMYFUNCTION("""COMPUTED_VALUE"""),1819.45)</f>
        <v>1819.45</v>
      </c>
      <c r="E52" s="6">
        <f>IFERROR(__xludf.DUMMYFUNCTION("""COMPUTED_VALUE"""),1861.35)</f>
        <v>1861.35</v>
      </c>
      <c r="F52" s="6">
        <f>IFERROR(__xludf.DUMMYFUNCTION("""COMPUTED_VALUE"""),1.6821379E7)</f>
        <v>16821379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IFERROR(__xludf.DUMMYFUNCTION("""COMPUTED_VALUE"""),1860.95)</f>
        <v>1860.95</v>
      </c>
      <c r="C53" s="6">
        <f>IFERROR(__xludf.DUMMYFUNCTION("""COMPUTED_VALUE"""),1874.8)</f>
        <v>1874.8</v>
      </c>
      <c r="D53" s="6">
        <f>IFERROR(__xludf.DUMMYFUNCTION("""COMPUTED_VALUE"""),1785.0)</f>
        <v>1785</v>
      </c>
      <c r="E53" s="6">
        <f>IFERROR(__xludf.DUMMYFUNCTION("""COMPUTED_VALUE"""),1816.8)</f>
        <v>1816.8</v>
      </c>
      <c r="F53" s="6">
        <f>IFERROR(__xludf.DUMMYFUNCTION("""COMPUTED_VALUE"""),5251247.0)</f>
        <v>5251247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IFERROR(__xludf.DUMMYFUNCTION("""COMPUTED_VALUE"""),1825.0)</f>
        <v>1825</v>
      </c>
      <c r="C54" s="6">
        <f>IFERROR(__xludf.DUMMYFUNCTION("""COMPUTED_VALUE"""),1846.05)</f>
        <v>1846.05</v>
      </c>
      <c r="D54" s="6">
        <f>IFERROR(__xludf.DUMMYFUNCTION("""COMPUTED_VALUE"""),1638.0)</f>
        <v>1638</v>
      </c>
      <c r="E54" s="6">
        <f>IFERROR(__xludf.DUMMYFUNCTION("""COMPUTED_VALUE"""),1846.05)</f>
        <v>1846.05</v>
      </c>
      <c r="F54" s="6">
        <f>IFERROR(__xludf.DUMMYFUNCTION("""COMPUTED_VALUE"""),1.153878E7)</f>
        <v>11538780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IFERROR(__xludf.DUMMYFUNCTION("""COMPUTED_VALUE"""),1886.95)</f>
        <v>1886.95</v>
      </c>
      <c r="C55" s="6">
        <f>IFERROR(__xludf.DUMMYFUNCTION("""COMPUTED_VALUE"""),1935.0)</f>
        <v>1935</v>
      </c>
      <c r="D55" s="6">
        <f>IFERROR(__xludf.DUMMYFUNCTION("""COMPUTED_VALUE"""),1662.0)</f>
        <v>1662</v>
      </c>
      <c r="E55" s="6">
        <f>IFERROR(__xludf.DUMMYFUNCTION("""COMPUTED_VALUE"""),1727.2)</f>
        <v>1727.2</v>
      </c>
      <c r="F55" s="6">
        <f>IFERROR(__xludf.DUMMYFUNCTION("""COMPUTED_VALUE"""),6371596.0)</f>
        <v>6371596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IFERROR(__xludf.DUMMYFUNCTION("""COMPUTED_VALUE"""),1730.0)</f>
        <v>1730</v>
      </c>
      <c r="C56" s="6">
        <f>IFERROR(__xludf.DUMMYFUNCTION("""COMPUTED_VALUE"""),1750.0)</f>
        <v>1750</v>
      </c>
      <c r="D56" s="6">
        <f>IFERROR(__xludf.DUMMYFUNCTION("""COMPUTED_VALUE"""),1587.2)</f>
        <v>1587.2</v>
      </c>
      <c r="E56" s="6">
        <f>IFERROR(__xludf.DUMMYFUNCTION("""COMPUTED_VALUE"""),1645.5)</f>
        <v>1645.5</v>
      </c>
      <c r="F56" s="6">
        <f>IFERROR(__xludf.DUMMYFUNCTION("""COMPUTED_VALUE"""),1801499.0)</f>
        <v>1801499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IFERROR(__xludf.DUMMYFUNCTION("""COMPUTED_VALUE"""),1644.0)</f>
        <v>1644</v>
      </c>
      <c r="C57" s="6">
        <f>IFERROR(__xludf.DUMMYFUNCTION("""COMPUTED_VALUE"""),1724.7)</f>
        <v>1724.7</v>
      </c>
      <c r="D57" s="6">
        <f>IFERROR(__xludf.DUMMYFUNCTION("""COMPUTED_VALUE"""),1505.0)</f>
        <v>1505</v>
      </c>
      <c r="E57" s="6">
        <f>IFERROR(__xludf.DUMMYFUNCTION("""COMPUTED_VALUE"""),1660.8)</f>
        <v>1660.8</v>
      </c>
      <c r="F57" s="6">
        <f>IFERROR(__xludf.DUMMYFUNCTION("""COMPUTED_VALUE"""),2352454.0)</f>
        <v>2352454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IFERROR(__xludf.DUMMYFUNCTION("""COMPUTED_VALUE"""),1660.9)</f>
        <v>1660.9</v>
      </c>
      <c r="C58" s="6">
        <f>IFERROR(__xludf.DUMMYFUNCTION("""COMPUTED_VALUE"""),1689.0)</f>
        <v>1689</v>
      </c>
      <c r="D58" s="6">
        <f>IFERROR(__xludf.DUMMYFUNCTION("""COMPUTED_VALUE"""),1526.0)</f>
        <v>1526</v>
      </c>
      <c r="E58" s="6">
        <f>IFERROR(__xludf.DUMMYFUNCTION("""COMPUTED_VALUE"""),1564.05)</f>
        <v>1564.05</v>
      </c>
      <c r="F58" s="6">
        <f>IFERROR(__xludf.DUMMYFUNCTION("""COMPUTED_VALUE"""),4336469.0)</f>
        <v>4336469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IFERROR(__xludf.DUMMYFUNCTION("""COMPUTED_VALUE"""),1567.0)</f>
        <v>1567</v>
      </c>
      <c r="C59" s="6">
        <f>IFERROR(__xludf.DUMMYFUNCTION("""COMPUTED_VALUE"""),1570.0)</f>
        <v>1570</v>
      </c>
      <c r="D59" s="6">
        <f>IFERROR(__xludf.DUMMYFUNCTION("""COMPUTED_VALUE"""),1351.75)</f>
        <v>1351.75</v>
      </c>
      <c r="E59" s="6">
        <f>IFERROR(__xludf.DUMMYFUNCTION("""COMPUTED_VALUE"""),1365.4)</f>
        <v>1365.4</v>
      </c>
      <c r="F59" s="6">
        <f>IFERROR(__xludf.DUMMYFUNCTION("""COMPUTED_VALUE"""),3476997.0)</f>
        <v>3476997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IFERROR(__xludf.DUMMYFUNCTION("""COMPUTED_VALUE"""),1548.0)</f>
        <v>1548</v>
      </c>
      <c r="C60" s="6">
        <f>IFERROR(__xludf.DUMMYFUNCTION("""COMPUTED_VALUE"""),1555.0)</f>
        <v>1555</v>
      </c>
      <c r="D60" s="6">
        <f>IFERROR(__xludf.DUMMYFUNCTION("""COMPUTED_VALUE"""),1441.0)</f>
        <v>1441</v>
      </c>
      <c r="E60" s="6">
        <f>IFERROR(__xludf.DUMMYFUNCTION("""COMPUTED_VALUE"""),1447.95)</f>
        <v>1447.95</v>
      </c>
      <c r="F60" s="6">
        <f>IFERROR(__xludf.DUMMYFUNCTION("""COMPUTED_VALUE"""),2163048.0)</f>
        <v>2163048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IFERROR(__xludf.DUMMYFUNCTION("""COMPUTED_VALUE"""),1408.1)</f>
        <v>1408.1</v>
      </c>
      <c r="C61" s="6">
        <f>IFERROR(__xludf.DUMMYFUNCTION("""COMPUTED_VALUE"""),1430.8)</f>
        <v>1430.8</v>
      </c>
      <c r="D61" s="6">
        <f>IFERROR(__xludf.DUMMYFUNCTION("""COMPUTED_VALUE"""),1301.0)</f>
        <v>1301</v>
      </c>
      <c r="E61" s="6">
        <f>IFERROR(__xludf.DUMMYFUNCTION("""COMPUTED_VALUE"""),1312.4)</f>
        <v>1312.4</v>
      </c>
      <c r="F61" s="6">
        <f>IFERROR(__xludf.DUMMYFUNCTION("""COMPUTED_VALUE"""),1408600.0)</f>
        <v>1408600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IFERROR(__xludf.DUMMYFUNCTION("""COMPUTED_VALUE"""),1316.9)</f>
        <v>1316.9</v>
      </c>
      <c r="C62" s="6">
        <f>IFERROR(__xludf.DUMMYFUNCTION("""COMPUTED_VALUE"""),1362.3)</f>
        <v>1362.3</v>
      </c>
      <c r="D62" s="6">
        <f>IFERROR(__xludf.DUMMYFUNCTION("""COMPUTED_VALUE"""),1265.0)</f>
        <v>1265</v>
      </c>
      <c r="E62" s="6">
        <f>IFERROR(__xludf.DUMMYFUNCTION("""COMPUTED_VALUE"""),1299.3)</f>
        <v>1299.3</v>
      </c>
      <c r="F62" s="6">
        <f>IFERROR(__xludf.DUMMYFUNCTION("""COMPUTED_VALUE"""),1443527.0)</f>
        <v>1443527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IFERROR(__xludf.DUMMYFUNCTION("""COMPUTED_VALUE"""),1357.95)</f>
        <v>1357.95</v>
      </c>
      <c r="C63" s="6">
        <f>IFERROR(__xludf.DUMMYFUNCTION("""COMPUTED_VALUE"""),1585.0)</f>
        <v>1585</v>
      </c>
      <c r="D63" s="6">
        <f>IFERROR(__xludf.DUMMYFUNCTION("""COMPUTED_VALUE"""),1334.6)</f>
        <v>1334.6</v>
      </c>
      <c r="E63" s="6">
        <f>IFERROR(__xludf.DUMMYFUNCTION("""COMPUTED_VALUE"""),1577.3)</f>
        <v>1577.3</v>
      </c>
      <c r="F63" s="6">
        <f>IFERROR(__xludf.DUMMYFUNCTION("""COMPUTED_VALUE"""),3492375.0)</f>
        <v>3492375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IFERROR(__xludf.DUMMYFUNCTION("""COMPUTED_VALUE"""),1631.5)</f>
        <v>1631.5</v>
      </c>
      <c r="C64" s="6">
        <f>IFERROR(__xludf.DUMMYFUNCTION("""COMPUTED_VALUE"""),1734.9)</f>
        <v>1734.9</v>
      </c>
      <c r="D64" s="6">
        <f>IFERROR(__xludf.DUMMYFUNCTION("""COMPUTED_VALUE"""),1620.0)</f>
        <v>1620</v>
      </c>
      <c r="E64" s="6">
        <f>IFERROR(__xludf.DUMMYFUNCTION("""COMPUTED_VALUE"""),1691.9)</f>
        <v>1691.9</v>
      </c>
      <c r="F64" s="6">
        <f>IFERROR(__xludf.DUMMYFUNCTION("""COMPUTED_VALUE"""),3231943.0)</f>
        <v>3231943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IFERROR(__xludf.DUMMYFUNCTION("""COMPUTED_VALUE"""),1684.7)</f>
        <v>1684.7</v>
      </c>
      <c r="C65" s="6">
        <f>IFERROR(__xludf.DUMMYFUNCTION("""COMPUTED_VALUE"""),1694.7)</f>
        <v>1694.7</v>
      </c>
      <c r="D65" s="6">
        <f>IFERROR(__xludf.DUMMYFUNCTION("""COMPUTED_VALUE"""),1600.0)</f>
        <v>1600</v>
      </c>
      <c r="E65" s="6">
        <f>IFERROR(__xludf.DUMMYFUNCTION("""COMPUTED_VALUE"""),1606.35)</f>
        <v>1606.35</v>
      </c>
      <c r="F65" s="6">
        <f>IFERROR(__xludf.DUMMYFUNCTION("""COMPUTED_VALUE"""),1591585.0)</f>
        <v>1591585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IFERROR(__xludf.DUMMYFUNCTION("""COMPUTED_VALUE"""),1625.0)</f>
        <v>1625</v>
      </c>
      <c r="C66" s="6">
        <f>IFERROR(__xludf.DUMMYFUNCTION("""COMPUTED_VALUE"""),1638.4)</f>
        <v>1638.4</v>
      </c>
      <c r="D66" s="6">
        <f>IFERROR(__xludf.DUMMYFUNCTION("""COMPUTED_VALUE"""),1476.75)</f>
        <v>1476.75</v>
      </c>
      <c r="E66" s="6">
        <f>IFERROR(__xludf.DUMMYFUNCTION("""COMPUTED_VALUE"""),1493.55)</f>
        <v>1493.55</v>
      </c>
      <c r="F66" s="6">
        <f>IFERROR(__xludf.DUMMYFUNCTION("""COMPUTED_VALUE"""),1341174.0)</f>
        <v>1341174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IFERROR(__xludf.DUMMYFUNCTION("""COMPUTED_VALUE"""),1520.0)</f>
        <v>1520</v>
      </c>
      <c r="C67" s="6">
        <f>IFERROR(__xludf.DUMMYFUNCTION("""COMPUTED_VALUE"""),1539.05)</f>
        <v>1539.05</v>
      </c>
      <c r="D67" s="6">
        <f>IFERROR(__xludf.DUMMYFUNCTION("""COMPUTED_VALUE"""),1444.0)</f>
        <v>1444</v>
      </c>
      <c r="E67" s="6">
        <f>IFERROR(__xludf.DUMMYFUNCTION("""COMPUTED_VALUE"""),1539.05)</f>
        <v>1539.05</v>
      </c>
      <c r="F67" s="6">
        <f>IFERROR(__xludf.DUMMYFUNCTION("""COMPUTED_VALUE"""),1007778.0)</f>
        <v>1007778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IFERROR(__xludf.DUMMYFUNCTION("""COMPUTED_VALUE"""),1564.85)</f>
        <v>1564.85</v>
      </c>
      <c r="C68" s="6">
        <f>IFERROR(__xludf.DUMMYFUNCTION("""COMPUTED_VALUE"""),1619.9)</f>
        <v>1619.9</v>
      </c>
      <c r="D68" s="6">
        <f>IFERROR(__xludf.DUMMYFUNCTION("""COMPUTED_VALUE"""),1473.5)</f>
        <v>1473.5</v>
      </c>
      <c r="E68" s="6">
        <f>IFERROR(__xludf.DUMMYFUNCTION("""COMPUTED_VALUE"""),1598.25)</f>
        <v>1598.25</v>
      </c>
      <c r="F68" s="6">
        <f>IFERROR(__xludf.DUMMYFUNCTION("""COMPUTED_VALUE"""),3534555.0)</f>
        <v>3534555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IFERROR(__xludf.DUMMYFUNCTION("""COMPUTED_VALUE"""),1596.95)</f>
        <v>1596.95</v>
      </c>
      <c r="C69" s="6">
        <f>IFERROR(__xludf.DUMMYFUNCTION("""COMPUTED_VALUE"""),1596.95)</f>
        <v>1596.95</v>
      </c>
      <c r="D69" s="6">
        <f>IFERROR(__xludf.DUMMYFUNCTION("""COMPUTED_VALUE"""),1415.0)</f>
        <v>1415</v>
      </c>
      <c r="E69" s="6">
        <f>IFERROR(__xludf.DUMMYFUNCTION("""COMPUTED_VALUE"""),1431.1)</f>
        <v>1431.1</v>
      </c>
      <c r="F69" s="6">
        <f>IFERROR(__xludf.DUMMYFUNCTION("""COMPUTED_VALUE"""),1836851.0)</f>
        <v>1836851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IFERROR(__xludf.DUMMYFUNCTION("""COMPUTED_VALUE"""),1423.95)</f>
        <v>1423.95</v>
      </c>
      <c r="C70" s="6">
        <f>IFERROR(__xludf.DUMMYFUNCTION("""COMPUTED_VALUE"""),1518.0)</f>
        <v>1518</v>
      </c>
      <c r="D70" s="6">
        <f>IFERROR(__xludf.DUMMYFUNCTION("""COMPUTED_VALUE"""),1357.05)</f>
        <v>1357.05</v>
      </c>
      <c r="E70" s="6">
        <f>IFERROR(__xludf.DUMMYFUNCTION("""COMPUTED_VALUE"""),1492.65)</f>
        <v>1492.65</v>
      </c>
      <c r="F70" s="6">
        <f>IFERROR(__xludf.DUMMYFUNCTION("""COMPUTED_VALUE"""),2108873.0)</f>
        <v>2108873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IFERROR(__xludf.DUMMYFUNCTION("""COMPUTED_VALUE"""),1504.0)</f>
        <v>1504</v>
      </c>
      <c r="C71" s="6">
        <f>IFERROR(__xludf.DUMMYFUNCTION("""COMPUTED_VALUE"""),1582.0)</f>
        <v>1582</v>
      </c>
      <c r="D71" s="6">
        <f>IFERROR(__xludf.DUMMYFUNCTION("""COMPUTED_VALUE"""),1440.0)</f>
        <v>1440</v>
      </c>
      <c r="E71" s="6">
        <f>IFERROR(__xludf.DUMMYFUNCTION("""COMPUTED_VALUE"""),1458.6)</f>
        <v>1458.6</v>
      </c>
      <c r="F71" s="6">
        <f>IFERROR(__xludf.DUMMYFUNCTION("""COMPUTED_VALUE"""),2182482.0)</f>
        <v>2182482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IFERROR(__xludf.DUMMYFUNCTION("""COMPUTED_VALUE"""),1450.0)</f>
        <v>1450</v>
      </c>
      <c r="C72" s="6">
        <f>IFERROR(__xludf.DUMMYFUNCTION("""COMPUTED_VALUE"""),1450.0)</f>
        <v>1450</v>
      </c>
      <c r="D72" s="6">
        <f>IFERROR(__xludf.DUMMYFUNCTION("""COMPUTED_VALUE"""),1335.0)</f>
        <v>1335</v>
      </c>
      <c r="E72" s="6">
        <f>IFERROR(__xludf.DUMMYFUNCTION("""COMPUTED_VALUE"""),1360.9)</f>
        <v>1360.9</v>
      </c>
      <c r="F72" s="6">
        <f>IFERROR(__xludf.DUMMYFUNCTION("""COMPUTED_VALUE"""),2555437.0)</f>
        <v>2555437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IFERROR(__xludf.DUMMYFUNCTION("""COMPUTED_VALUE"""),1361.95)</f>
        <v>1361.95</v>
      </c>
      <c r="C73" s="6">
        <f>IFERROR(__xludf.DUMMYFUNCTION("""COMPUTED_VALUE"""),1429.95)</f>
        <v>1429.95</v>
      </c>
      <c r="D73" s="6">
        <f>IFERROR(__xludf.DUMMYFUNCTION("""COMPUTED_VALUE"""),1225.7)</f>
        <v>1225.7</v>
      </c>
      <c r="E73" s="6">
        <f>IFERROR(__xludf.DUMMYFUNCTION("""COMPUTED_VALUE"""),1236.25)</f>
        <v>1236.25</v>
      </c>
      <c r="F73" s="6">
        <f>IFERROR(__xludf.DUMMYFUNCTION("""COMPUTED_VALUE"""),4786205.0)</f>
        <v>4786205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IFERROR(__xludf.DUMMYFUNCTION("""COMPUTED_VALUE"""),1224.05)</f>
        <v>1224.05</v>
      </c>
      <c r="C74" s="6">
        <f>IFERROR(__xludf.DUMMYFUNCTION("""COMPUTED_VALUE"""),1349.9)</f>
        <v>1349.9</v>
      </c>
      <c r="D74" s="6">
        <f>IFERROR(__xludf.DUMMYFUNCTION("""COMPUTED_VALUE"""),1180.2)</f>
        <v>1180.2</v>
      </c>
      <c r="E74" s="6">
        <f>IFERROR(__xludf.DUMMYFUNCTION("""COMPUTED_VALUE"""),1324.0)</f>
        <v>1324</v>
      </c>
      <c r="F74" s="6">
        <f>IFERROR(__xludf.DUMMYFUNCTION("""COMPUTED_VALUE"""),4992111.0)</f>
        <v>4992111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IFERROR(__xludf.DUMMYFUNCTION("""COMPUTED_VALUE"""),1300.0)</f>
        <v>1300</v>
      </c>
      <c r="C75" s="6">
        <f>IFERROR(__xludf.DUMMYFUNCTION("""COMPUTED_VALUE"""),1348.0)</f>
        <v>1348</v>
      </c>
      <c r="D75" s="6">
        <f>IFERROR(__xludf.DUMMYFUNCTION("""COMPUTED_VALUE"""),1250.1)</f>
        <v>1250.1</v>
      </c>
      <c r="E75" s="6">
        <f>IFERROR(__xludf.DUMMYFUNCTION("""COMPUTED_VALUE"""),1268.55)</f>
        <v>1268.55</v>
      </c>
      <c r="F75" s="6">
        <f>IFERROR(__xludf.DUMMYFUNCTION("""COMPUTED_VALUE"""),3107818.0)</f>
        <v>3107818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IFERROR(__xludf.DUMMYFUNCTION("""COMPUTED_VALUE"""),1268.55)</f>
        <v>1268.55</v>
      </c>
      <c r="C76" s="6">
        <f>IFERROR(__xludf.DUMMYFUNCTION("""COMPUTED_VALUE"""),1355.0)</f>
        <v>1355</v>
      </c>
      <c r="D76" s="6">
        <f>IFERROR(__xludf.DUMMYFUNCTION("""COMPUTED_VALUE"""),1199.6)</f>
        <v>1199.6</v>
      </c>
      <c r="E76" s="6">
        <f>IFERROR(__xludf.DUMMYFUNCTION("""COMPUTED_VALUE"""),1335.85)</f>
        <v>1335.85</v>
      </c>
      <c r="F76" s="6">
        <f>IFERROR(__xludf.DUMMYFUNCTION("""COMPUTED_VALUE"""),5730545.0)</f>
        <v>5730545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IFERROR(__xludf.DUMMYFUNCTION("""COMPUTED_VALUE"""),1340.0)</f>
        <v>1340</v>
      </c>
      <c r="C77" s="6">
        <f>IFERROR(__xludf.DUMMYFUNCTION("""COMPUTED_VALUE"""),1350.0)</f>
        <v>1350</v>
      </c>
      <c r="D77" s="6">
        <f>IFERROR(__xludf.DUMMYFUNCTION("""COMPUTED_VALUE"""),1261.0)</f>
        <v>1261</v>
      </c>
      <c r="E77" s="6">
        <f>IFERROR(__xludf.DUMMYFUNCTION("""COMPUTED_VALUE"""),1291.65)</f>
        <v>1291.65</v>
      </c>
      <c r="F77" s="6">
        <f>IFERROR(__xludf.DUMMYFUNCTION("""COMPUTED_VALUE"""),2832368.0)</f>
        <v>2832368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IFERROR(__xludf.DUMMYFUNCTION("""COMPUTED_VALUE"""),1304.0)</f>
        <v>1304</v>
      </c>
      <c r="C78" s="6">
        <f>IFERROR(__xludf.DUMMYFUNCTION("""COMPUTED_VALUE"""),1494.95)</f>
        <v>1494.95</v>
      </c>
      <c r="D78" s="6">
        <f>IFERROR(__xludf.DUMMYFUNCTION("""COMPUTED_VALUE"""),1300.55)</f>
        <v>1300.55</v>
      </c>
      <c r="E78" s="6">
        <f>IFERROR(__xludf.DUMMYFUNCTION("""COMPUTED_VALUE"""),1438.25)</f>
        <v>1438.25</v>
      </c>
      <c r="F78" s="6">
        <f>IFERROR(__xludf.DUMMYFUNCTION("""COMPUTED_VALUE"""),9164706.0)</f>
        <v>9164706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IFERROR(__xludf.DUMMYFUNCTION("""COMPUTED_VALUE"""),1452.45)</f>
        <v>1452.45</v>
      </c>
      <c r="C79" s="6">
        <f>IFERROR(__xludf.DUMMYFUNCTION("""COMPUTED_VALUE"""),1520.0)</f>
        <v>1520</v>
      </c>
      <c r="D79" s="6">
        <f>IFERROR(__xludf.DUMMYFUNCTION("""COMPUTED_VALUE"""),1401.1)</f>
        <v>1401.1</v>
      </c>
      <c r="E79" s="6">
        <f>IFERROR(__xludf.DUMMYFUNCTION("""COMPUTED_VALUE"""),1407.9)</f>
        <v>1407.9</v>
      </c>
      <c r="F79" s="6">
        <f>IFERROR(__xludf.DUMMYFUNCTION("""COMPUTED_VALUE"""),7083621.0)</f>
        <v>7083621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IFERROR(__xludf.DUMMYFUNCTION("""COMPUTED_VALUE"""),1407.6)</f>
        <v>1407.6</v>
      </c>
      <c r="C80" s="6">
        <f>IFERROR(__xludf.DUMMYFUNCTION("""COMPUTED_VALUE"""),1466.95)</f>
        <v>1466.95</v>
      </c>
      <c r="D80" s="6">
        <f>IFERROR(__xludf.DUMMYFUNCTION("""COMPUTED_VALUE"""),1362.4)</f>
        <v>1362.4</v>
      </c>
      <c r="E80" s="6">
        <f>IFERROR(__xludf.DUMMYFUNCTION("""COMPUTED_VALUE"""),1390.75)</f>
        <v>1390.75</v>
      </c>
      <c r="F80" s="6">
        <f>IFERROR(__xludf.DUMMYFUNCTION("""COMPUTED_VALUE"""),3991156.0)</f>
        <v>3991156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IFERROR(__xludf.DUMMYFUNCTION("""COMPUTED_VALUE"""),1234.95)</f>
        <v>1234.95</v>
      </c>
      <c r="C81" s="6">
        <f>IFERROR(__xludf.DUMMYFUNCTION("""COMPUTED_VALUE"""),1441.3)</f>
        <v>1441.3</v>
      </c>
      <c r="D81" s="6">
        <f>IFERROR(__xludf.DUMMYFUNCTION("""COMPUTED_VALUE"""),1224.55)</f>
        <v>1224.55</v>
      </c>
      <c r="E81" s="6">
        <f>IFERROR(__xludf.DUMMYFUNCTION("""COMPUTED_VALUE"""),1401.0)</f>
        <v>1401</v>
      </c>
      <c r="F81" s="6">
        <f>IFERROR(__xludf.DUMMYFUNCTION("""COMPUTED_VALUE"""),4340812.0)</f>
        <v>4340812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IFERROR(__xludf.DUMMYFUNCTION("""COMPUTED_VALUE"""),1420.0)</f>
        <v>1420</v>
      </c>
      <c r="C82" s="6">
        <f>IFERROR(__xludf.DUMMYFUNCTION("""COMPUTED_VALUE"""),1484.0)</f>
        <v>1484</v>
      </c>
      <c r="D82" s="6">
        <f>IFERROR(__xludf.DUMMYFUNCTION("""COMPUTED_VALUE"""),1416.3)</f>
        <v>1416.3</v>
      </c>
      <c r="E82" s="6">
        <f>IFERROR(__xludf.DUMMYFUNCTION("""COMPUTED_VALUE"""),1449.8)</f>
        <v>1449.8</v>
      </c>
      <c r="F82" s="6">
        <f>IFERROR(__xludf.DUMMYFUNCTION("""COMPUTED_VALUE"""),3793614.0)</f>
        <v>3793614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IFERROR(__xludf.DUMMYFUNCTION("""COMPUTED_VALUE"""),1464.6)</f>
        <v>1464.6</v>
      </c>
      <c r="C83" s="6">
        <f>IFERROR(__xludf.DUMMYFUNCTION("""COMPUTED_VALUE"""),1566.8)</f>
        <v>1566.8</v>
      </c>
      <c r="D83" s="6">
        <f>IFERROR(__xludf.DUMMYFUNCTION("""COMPUTED_VALUE"""),1403.2)</f>
        <v>1403.2</v>
      </c>
      <c r="E83" s="6">
        <f>IFERROR(__xludf.DUMMYFUNCTION("""COMPUTED_VALUE"""),1415.5)</f>
        <v>1415.5</v>
      </c>
      <c r="F83" s="6">
        <f>IFERROR(__xludf.DUMMYFUNCTION("""COMPUTED_VALUE"""),9523986.0)</f>
        <v>9523986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IFERROR(__xludf.DUMMYFUNCTION("""COMPUTED_VALUE"""),1415.5)</f>
        <v>1415.5</v>
      </c>
      <c r="C84" s="6">
        <f>IFERROR(__xludf.DUMMYFUNCTION("""COMPUTED_VALUE"""),1717.0)</f>
        <v>1717</v>
      </c>
      <c r="D84" s="6">
        <f>IFERROR(__xludf.DUMMYFUNCTION("""COMPUTED_VALUE"""),1403.9)</f>
        <v>1403.9</v>
      </c>
      <c r="E84" s="6">
        <f>IFERROR(__xludf.DUMMYFUNCTION("""COMPUTED_VALUE"""),1530.2)</f>
        <v>1530.2</v>
      </c>
      <c r="F84" s="6">
        <f>IFERROR(__xludf.DUMMYFUNCTION("""COMPUTED_VALUE"""),2.4793132E7)</f>
        <v>24793132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IFERROR(__xludf.DUMMYFUNCTION("""COMPUTED_VALUE"""),1540.5)</f>
        <v>1540.5</v>
      </c>
      <c r="C85" s="6">
        <f>IFERROR(__xludf.DUMMYFUNCTION("""COMPUTED_VALUE"""),1583.7)</f>
        <v>1583.7</v>
      </c>
      <c r="D85" s="6">
        <f>IFERROR(__xludf.DUMMYFUNCTION("""COMPUTED_VALUE"""),1417.9)</f>
        <v>1417.9</v>
      </c>
      <c r="E85" s="6">
        <f>IFERROR(__xludf.DUMMYFUNCTION("""COMPUTED_VALUE"""),1484.6)</f>
        <v>1484.6</v>
      </c>
      <c r="F85" s="6">
        <f>IFERROR(__xludf.DUMMYFUNCTION("""COMPUTED_VALUE"""),1.1706601E7)</f>
        <v>11706601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IFERROR(__xludf.DUMMYFUNCTION("""COMPUTED_VALUE"""),1529.0)</f>
        <v>1529</v>
      </c>
      <c r="C86" s="6">
        <f>IFERROR(__xludf.DUMMYFUNCTION("""COMPUTED_VALUE"""),2068.0)</f>
        <v>2068</v>
      </c>
      <c r="D86" s="6">
        <f>IFERROR(__xludf.DUMMYFUNCTION("""COMPUTED_VALUE"""),1505.0)</f>
        <v>1505</v>
      </c>
      <c r="E86" s="6">
        <f>IFERROR(__xludf.DUMMYFUNCTION("""COMPUTED_VALUE"""),2035.6)</f>
        <v>2035.6</v>
      </c>
      <c r="F86" s="6">
        <f>IFERROR(__xludf.DUMMYFUNCTION("""COMPUTED_VALUE"""),7.9940896E7)</f>
        <v>79940896</v>
      </c>
    </row>
    <row r="87">
      <c r="A87" s="7">
        <f>IFERROR(__xludf.DUMMYFUNCTION("""COMPUTED_VALUE"""),45800.64583333333)</f>
        <v>45800.64583</v>
      </c>
      <c r="B87" s="6">
        <f>IFERROR(__xludf.DUMMYFUNCTION("""COMPUTED_VALUE"""),2090.0)</f>
        <v>2090</v>
      </c>
      <c r="C87" s="6">
        <f>IFERROR(__xludf.DUMMYFUNCTION("""COMPUTED_VALUE"""),2195.0)</f>
        <v>2195</v>
      </c>
      <c r="D87" s="6">
        <f>IFERROR(__xludf.DUMMYFUNCTION("""COMPUTED_VALUE"""),1757.9)</f>
        <v>1757.9</v>
      </c>
      <c r="E87" s="6">
        <f>IFERROR(__xludf.DUMMYFUNCTION("""COMPUTED_VALUE"""),1915.0)</f>
        <v>1915</v>
      </c>
      <c r="F87" s="6">
        <f>IFERROR(__xludf.DUMMYFUNCTION("""COMPUTED_VALUE"""),5.8217104E7)</f>
        <v>58217104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IFERROR(__xludf.DUMMYFUNCTION("""COMPUTED_VALUE"""),1915.0)</f>
        <v>1915</v>
      </c>
      <c r="C88" s="6">
        <f>IFERROR(__xludf.DUMMYFUNCTION("""COMPUTED_VALUE"""),2010.0)</f>
        <v>2010</v>
      </c>
      <c r="D88" s="6">
        <f>IFERROR(__xludf.DUMMYFUNCTION("""COMPUTED_VALUE"""),1874.5)</f>
        <v>1874.5</v>
      </c>
      <c r="E88" s="6">
        <f>IFERROR(__xludf.DUMMYFUNCTION("""COMPUTED_VALUE"""),1947.1)</f>
        <v>1947.1</v>
      </c>
      <c r="F88" s="6">
        <f>IFERROR(__xludf.DUMMYFUNCTION("""COMPUTED_VALUE"""),1.7447381E7)</f>
        <v>17447381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IFERROR(__xludf.DUMMYFUNCTION("""COMPUTED_VALUE"""),1943.6)</f>
        <v>1943.6</v>
      </c>
      <c r="C89" s="6">
        <f>IFERROR(__xludf.DUMMYFUNCTION("""COMPUTED_VALUE"""),2545.0)</f>
        <v>2545</v>
      </c>
      <c r="D89" s="6">
        <f>IFERROR(__xludf.DUMMYFUNCTION("""COMPUTED_VALUE"""),1901.0)</f>
        <v>1901</v>
      </c>
      <c r="E89" s="6">
        <f>IFERROR(__xludf.DUMMYFUNCTION("""COMPUTED_VALUE"""),2392.5)</f>
        <v>2392.5</v>
      </c>
      <c r="F89" s="6">
        <f>IFERROR(__xludf.DUMMYFUNCTION("""COMPUTED_VALUE"""),6.7248143E7)</f>
        <v>67248143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IFERROR(__xludf.DUMMYFUNCTION("""COMPUTED_VALUE"""),2406.6)</f>
        <v>2406.6</v>
      </c>
      <c r="C90" s="6">
        <f>IFERROR(__xludf.DUMMYFUNCTION("""COMPUTED_VALUE"""),2418.6)</f>
        <v>2418.6</v>
      </c>
      <c r="D90" s="6">
        <f>IFERROR(__xludf.DUMMYFUNCTION("""COMPUTED_VALUE"""),2060.0)</f>
        <v>2060</v>
      </c>
      <c r="E90" s="6">
        <f>IFERROR(__xludf.DUMMYFUNCTION("""COMPUTED_VALUE"""),2161.6)</f>
        <v>2161.6</v>
      </c>
      <c r="F90" s="6">
        <f>IFERROR(__xludf.DUMMYFUNCTION("""COMPUTED_VALUE"""),3.2818258E7)</f>
        <v>32818258</v>
      </c>
    </row>
    <row r="91">
      <c r="A91" s="7">
        <f>IFERROR(__xludf.DUMMYFUNCTION("""COMPUTED_VALUE"""),45828.64583333333)</f>
        <v>45828.64583</v>
      </c>
      <c r="B91" s="6">
        <f>IFERROR(__xludf.DUMMYFUNCTION("""COMPUTED_VALUE"""),2172.3)</f>
        <v>2172.3</v>
      </c>
      <c r="C91" s="6">
        <f>IFERROR(__xludf.DUMMYFUNCTION("""COMPUTED_VALUE"""),2243.7)</f>
        <v>2243.7</v>
      </c>
      <c r="D91" s="6">
        <f>IFERROR(__xludf.DUMMYFUNCTION("""COMPUTED_VALUE"""),2071.0)</f>
        <v>2071</v>
      </c>
      <c r="E91" s="6">
        <f>IFERROR(__xludf.DUMMYFUNCTION("""COMPUTED_VALUE"""),2179.2)</f>
        <v>2179.2</v>
      </c>
      <c r="F91" s="6">
        <f>IFERROR(__xludf.DUMMYFUNCTION("""COMPUTED_VALUE"""),2.359914E7)</f>
        <v>23599140</v>
      </c>
    </row>
    <row r="92">
      <c r="A92" s="7">
        <f>IFERROR(__xludf.DUMMYFUNCTION("""COMPUTED_VALUE"""),45835.64583333333)</f>
        <v>45835.64583</v>
      </c>
      <c r="B92" s="6">
        <f>IFERROR(__xludf.DUMMYFUNCTION("""COMPUTED_VALUE"""),2180.0)</f>
        <v>2180</v>
      </c>
      <c r="C92" s="6">
        <f>IFERROR(__xludf.DUMMYFUNCTION("""COMPUTED_VALUE"""),2278.0)</f>
        <v>2278</v>
      </c>
      <c r="D92" s="6">
        <f>IFERROR(__xludf.DUMMYFUNCTION("""COMPUTED_VALUE"""),2023.1)</f>
        <v>2023.1</v>
      </c>
      <c r="E92" s="6">
        <f>IFERROR(__xludf.DUMMYFUNCTION("""COMPUTED_VALUE"""),2044.2)</f>
        <v>2044.2</v>
      </c>
      <c r="F92" s="6">
        <f>IFERROR(__xludf.DUMMYFUNCTION("""COMPUTED_VALUE"""),1.9020726E7)</f>
        <v>19020726</v>
      </c>
    </row>
    <row r="93">
      <c r="A93" s="7">
        <f>IFERROR(__xludf.DUMMYFUNCTION("""COMPUTED_VALUE"""),45842.64583333333)</f>
        <v>45842.64583</v>
      </c>
      <c r="B93" s="6">
        <f>IFERROR(__xludf.DUMMYFUNCTION("""COMPUTED_VALUE"""),2064.5)</f>
        <v>2064.5</v>
      </c>
      <c r="C93" s="6">
        <f>IFERROR(__xludf.DUMMYFUNCTION("""COMPUTED_VALUE"""),2093.6)</f>
        <v>2093.6</v>
      </c>
      <c r="D93" s="6">
        <f>IFERROR(__xludf.DUMMYFUNCTION("""COMPUTED_VALUE"""),2005.0)</f>
        <v>2005</v>
      </c>
      <c r="E93" s="6">
        <f>IFERROR(__xludf.DUMMYFUNCTION("""COMPUTED_VALUE"""),2057.3)</f>
        <v>2057.3</v>
      </c>
      <c r="F93" s="6">
        <f>IFERROR(__xludf.DUMMYFUNCTION("""COMPUTED_VALUE"""),9207136.0)</f>
        <v>9207136</v>
      </c>
    </row>
    <row r="94">
      <c r="A94" s="7">
        <f>IFERROR(__xludf.DUMMYFUNCTION("""COMPUTED_VALUE"""),45849.64583333333)</f>
        <v>45849.64583</v>
      </c>
      <c r="B94" s="6">
        <f>IFERROR(__xludf.DUMMYFUNCTION("""COMPUTED_VALUE"""),2065.0)</f>
        <v>2065</v>
      </c>
      <c r="C94" s="6">
        <f>IFERROR(__xludf.DUMMYFUNCTION("""COMPUTED_VALUE"""),2074.0)</f>
        <v>2074</v>
      </c>
      <c r="D94" s="6">
        <f>IFERROR(__xludf.DUMMYFUNCTION("""COMPUTED_VALUE"""),1971.0)</f>
        <v>1971</v>
      </c>
      <c r="E94" s="6">
        <f>IFERROR(__xludf.DUMMYFUNCTION("""COMPUTED_VALUE"""),1982.8)</f>
        <v>1982.8</v>
      </c>
      <c r="F94" s="6">
        <f>IFERROR(__xludf.DUMMYFUNCTION("""COMPUTED_VALUE"""),5811399.0)</f>
        <v>5811399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IFERROR(__xludf.DUMMYFUNCTION("""COMPUTED_VALUE"""),1975.0)</f>
        <v>1975</v>
      </c>
      <c r="C95" s="6">
        <f>IFERROR(__xludf.DUMMYFUNCTION("""COMPUTED_VALUE"""),1976.2)</f>
        <v>1976.2</v>
      </c>
      <c r="D95" s="6">
        <f>IFERROR(__xludf.DUMMYFUNCTION("""COMPUTED_VALUE"""),1856.7)</f>
        <v>1856.7</v>
      </c>
      <c r="E95" s="6">
        <f>IFERROR(__xludf.DUMMYFUNCTION("""COMPUTED_VALUE"""),1867.2)</f>
        <v>1867.2</v>
      </c>
      <c r="F95" s="6">
        <f>IFERROR(__xludf.DUMMYFUNCTION("""COMPUTED_VALUE"""),5127280.0)</f>
        <v>5127280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IFERROR(__xludf.DUMMYFUNCTION("""COMPUTED_VALUE"""),1865.0)</f>
        <v>1865</v>
      </c>
      <c r="C96" s="6">
        <f>IFERROR(__xludf.DUMMYFUNCTION("""COMPUTED_VALUE"""),1912.0)</f>
        <v>1912</v>
      </c>
      <c r="D96" s="6">
        <f>IFERROR(__xludf.DUMMYFUNCTION("""COMPUTED_VALUE"""),1800.0)</f>
        <v>1800</v>
      </c>
      <c r="E96" s="6">
        <f>IFERROR(__xludf.DUMMYFUNCTION("""COMPUTED_VALUE"""),1808.4)</f>
        <v>1808.4</v>
      </c>
      <c r="F96" s="6">
        <f>IFERROR(__xludf.DUMMYFUNCTION("""COMPUTED_VALUE"""),4694144.0)</f>
        <v>4694144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IFERROR(__xludf.DUMMYFUNCTION("""COMPUTED_VALUE"""),1800.0)</f>
        <v>1800</v>
      </c>
      <c r="C97" s="6">
        <f>IFERROR(__xludf.DUMMYFUNCTION("""COMPUTED_VALUE"""),1819.9)</f>
        <v>1819.9</v>
      </c>
      <c r="D97" s="6">
        <f>IFERROR(__xludf.DUMMYFUNCTION("""COMPUTED_VALUE"""),1710.0)</f>
        <v>1710</v>
      </c>
      <c r="E97" s="6">
        <f>IFERROR(__xludf.DUMMYFUNCTION("""COMPUTED_VALUE"""),1718.7)</f>
        <v>1718.7</v>
      </c>
      <c r="F97" s="6">
        <f>IFERROR(__xludf.DUMMYFUNCTION("""COMPUTED_VALUE"""),4303660.0)</f>
        <v>4303660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IFERROR(__xludf.DUMMYFUNCTION("""COMPUTED_VALUE"""),1717.4)</f>
        <v>1717.4</v>
      </c>
      <c r="C98" s="6">
        <f>IFERROR(__xludf.DUMMYFUNCTION("""COMPUTED_VALUE"""),1760.9)</f>
        <v>1760.9</v>
      </c>
      <c r="D98" s="6">
        <f>IFERROR(__xludf.DUMMYFUNCTION("""COMPUTED_VALUE"""),1630.0)</f>
        <v>1630</v>
      </c>
      <c r="E98" s="6">
        <f>IFERROR(__xludf.DUMMYFUNCTION("""COMPUTED_VALUE"""),1641.0)</f>
        <v>1641</v>
      </c>
      <c r="F98" s="6">
        <f>IFERROR(__xludf.DUMMYFUNCTION("""COMPUTED_VALUE"""),2780064.0)</f>
        <v>2780064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IFERROR(__xludf.DUMMYFUNCTION("""COMPUTED_VALUE"""),1649.1)</f>
        <v>1649.1</v>
      </c>
      <c r="C99" s="6">
        <f>IFERROR(__xludf.DUMMYFUNCTION("""COMPUTED_VALUE"""),1735.0)</f>
        <v>1735</v>
      </c>
      <c r="D99" s="6">
        <f>IFERROR(__xludf.DUMMYFUNCTION("""COMPUTED_VALUE"""),1627.8)</f>
        <v>1627.8</v>
      </c>
      <c r="E99" s="6">
        <f>IFERROR(__xludf.DUMMYFUNCTION("""COMPUTED_VALUE"""),1691.0)</f>
        <v>1691</v>
      </c>
      <c r="F99" s="6">
        <f>IFERROR(__xludf.DUMMYFUNCTION("""COMPUTED_VALUE"""),3611239.0)</f>
        <v>3611239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IFERROR(__xludf.DUMMYFUNCTION("""COMPUTED_VALUE"""),1705.0)</f>
        <v>1705</v>
      </c>
      <c r="C100" s="6">
        <f>IFERROR(__xludf.DUMMYFUNCTION("""COMPUTED_VALUE"""),1765.0)</f>
        <v>1765</v>
      </c>
      <c r="D100" s="6">
        <f>IFERROR(__xludf.DUMMYFUNCTION("""COMPUTED_VALUE"""),1693.0)</f>
        <v>1693</v>
      </c>
      <c r="E100" s="6">
        <f>IFERROR(__xludf.DUMMYFUNCTION("""COMPUTED_VALUE"""),1705.5)</f>
        <v>1705.5</v>
      </c>
      <c r="F100" s="6">
        <f>IFERROR(__xludf.DUMMYFUNCTION("""COMPUTED_VALUE"""),3441114.0)</f>
        <v>3441114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IFERROR(__xludf.DUMMYFUNCTION("""COMPUTED_VALUE"""),1718.0)</f>
        <v>1718</v>
      </c>
      <c r="C101" s="6">
        <f>IFERROR(__xludf.DUMMYFUNCTION("""COMPUTED_VALUE"""),1732.0)</f>
        <v>1732</v>
      </c>
      <c r="D101" s="6">
        <f>IFERROR(__xludf.DUMMYFUNCTION("""COMPUTED_VALUE"""),1635.1)</f>
        <v>1635.1</v>
      </c>
      <c r="E101" s="6">
        <f>IFERROR(__xludf.DUMMYFUNCTION("""COMPUTED_VALUE"""),1641.9)</f>
        <v>1641.9</v>
      </c>
      <c r="F101" s="6">
        <f>IFERROR(__xludf.DUMMYFUNCTION("""COMPUTED_VALUE"""),8486345.0)</f>
        <v>8486345</v>
      </c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IFERROR(__xludf.DUMMYFUNCTION("GOOGLEFINANCE(""NSE:COFORGE"",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IFERROR(__xludf.DUMMYFUNCTION("""COMPUTED_VALUE"""),1051.24)</f>
        <v>1051.24</v>
      </c>
      <c r="C2" s="6">
        <f>IFERROR(__xludf.DUMMYFUNCTION("""COMPUTED_VALUE"""),1101.28)</f>
        <v>1101.28</v>
      </c>
      <c r="D2" s="6">
        <f>IFERROR(__xludf.DUMMYFUNCTION("""COMPUTED_VALUE"""),1017.63)</f>
        <v>1017.63</v>
      </c>
      <c r="E2" s="6">
        <f>IFERROR(__xludf.DUMMYFUNCTION("""COMPUTED_VALUE"""),1090.38)</f>
        <v>1090.38</v>
      </c>
      <c r="F2" s="6">
        <f>IFERROR(__xludf.DUMMYFUNCTION("""COMPUTED_VALUE"""),3800125.0)</f>
        <v>3800125</v>
      </c>
    </row>
    <row r="3">
      <c r="A3" s="7">
        <f>IFERROR(__xludf.DUMMYFUNCTION("""COMPUTED_VALUE"""),45177.64583333333)</f>
        <v>45177.64583</v>
      </c>
      <c r="B3" s="6">
        <f>IFERROR(__xludf.DUMMYFUNCTION("""COMPUTED_VALUE"""),1092.2)</f>
        <v>1092.2</v>
      </c>
      <c r="C3" s="6">
        <f>IFERROR(__xludf.DUMMYFUNCTION("""COMPUTED_VALUE"""),1152.54)</f>
        <v>1152.54</v>
      </c>
      <c r="D3" s="6">
        <f>IFERROR(__xludf.DUMMYFUNCTION("""COMPUTED_VALUE"""),1082.22)</f>
        <v>1082.22</v>
      </c>
      <c r="E3" s="6">
        <f>IFERROR(__xludf.DUMMYFUNCTION("""COMPUTED_VALUE"""),1110.12)</f>
        <v>1110.12</v>
      </c>
      <c r="F3" s="6">
        <f>IFERROR(__xludf.DUMMYFUNCTION("""COMPUTED_VALUE"""),2981802.0)</f>
        <v>2981802</v>
      </c>
    </row>
    <row r="4">
      <c r="A4" s="7">
        <f>IFERROR(__xludf.DUMMYFUNCTION("""COMPUTED_VALUE"""),45184.64583333333)</f>
        <v>45184.64583</v>
      </c>
      <c r="B4" s="6">
        <f>IFERROR(__xludf.DUMMYFUNCTION("""COMPUTED_VALUE"""),1117.6)</f>
        <v>1117.6</v>
      </c>
      <c r="C4" s="6">
        <f>IFERROR(__xludf.DUMMYFUNCTION("""COMPUTED_VALUE"""),1126.0)</f>
        <v>1126</v>
      </c>
      <c r="D4" s="6">
        <f>IFERROR(__xludf.DUMMYFUNCTION("""COMPUTED_VALUE"""),1073.64)</f>
        <v>1073.64</v>
      </c>
      <c r="E4" s="6">
        <f>IFERROR(__xludf.DUMMYFUNCTION("""COMPUTED_VALUE"""),1123.78)</f>
        <v>1123.78</v>
      </c>
      <c r="F4" s="6">
        <f>IFERROR(__xludf.DUMMYFUNCTION("""COMPUTED_VALUE"""),1517796.0)</f>
        <v>1517796</v>
      </c>
    </row>
    <row r="5">
      <c r="A5" s="7">
        <f>IFERROR(__xludf.DUMMYFUNCTION("""COMPUTED_VALUE"""),45191.64583333333)</f>
        <v>45191.64583</v>
      </c>
      <c r="B5" s="6">
        <f>IFERROR(__xludf.DUMMYFUNCTION("""COMPUTED_VALUE"""),1118.6)</f>
        <v>1118.6</v>
      </c>
      <c r="C5" s="6">
        <f>IFERROR(__xludf.DUMMYFUNCTION("""COMPUTED_VALUE"""),1125.29)</f>
        <v>1125.29</v>
      </c>
      <c r="D5" s="6">
        <f>IFERROR(__xludf.DUMMYFUNCTION("""COMPUTED_VALUE"""),1050.27)</f>
        <v>1050.27</v>
      </c>
      <c r="E5" s="6">
        <f>IFERROR(__xludf.DUMMYFUNCTION("""COMPUTED_VALUE"""),1058.69)</f>
        <v>1058.69</v>
      </c>
      <c r="F5" s="6">
        <f>IFERROR(__xludf.DUMMYFUNCTION("""COMPUTED_VALUE"""),1221899.0)</f>
        <v>1221899</v>
      </c>
    </row>
    <row r="6">
      <c r="A6" s="7">
        <f>IFERROR(__xludf.DUMMYFUNCTION("""COMPUTED_VALUE"""),45198.64583333333)</f>
        <v>45198.64583</v>
      </c>
      <c r="B6" s="6">
        <f>IFERROR(__xludf.DUMMYFUNCTION("""COMPUTED_VALUE"""),1064.0)</f>
        <v>1064</v>
      </c>
      <c r="C6" s="6">
        <f>IFERROR(__xludf.DUMMYFUNCTION("""COMPUTED_VALUE"""),1067.99)</f>
        <v>1067.99</v>
      </c>
      <c r="D6" s="6">
        <f>IFERROR(__xludf.DUMMYFUNCTION("""COMPUTED_VALUE"""),1010.0)</f>
        <v>1010</v>
      </c>
      <c r="E6" s="6">
        <f>IFERROR(__xludf.DUMMYFUNCTION("""COMPUTED_VALUE"""),1020.89)</f>
        <v>1020.89</v>
      </c>
      <c r="F6" s="6">
        <f>IFERROR(__xludf.DUMMYFUNCTION("""COMPUTED_VALUE"""),1930006.0)</f>
        <v>1930006</v>
      </c>
    </row>
    <row r="7">
      <c r="A7" s="7">
        <f>IFERROR(__xludf.DUMMYFUNCTION("""COMPUTED_VALUE"""),45205.64583333333)</f>
        <v>45205.64583</v>
      </c>
      <c r="B7" s="6">
        <f>IFERROR(__xludf.DUMMYFUNCTION("""COMPUTED_VALUE"""),1017.0)</f>
        <v>1017</v>
      </c>
      <c r="C7" s="6">
        <f>IFERROR(__xludf.DUMMYFUNCTION("""COMPUTED_VALUE"""),1048.74)</f>
        <v>1048.74</v>
      </c>
      <c r="D7" s="6">
        <f>IFERROR(__xludf.DUMMYFUNCTION("""COMPUTED_VALUE"""),1005.0)</f>
        <v>1005</v>
      </c>
      <c r="E7" s="6">
        <f>IFERROR(__xludf.DUMMYFUNCTION("""COMPUTED_VALUE"""),1037.11)</f>
        <v>1037.11</v>
      </c>
      <c r="F7" s="6">
        <f>IFERROR(__xludf.DUMMYFUNCTION("""COMPUTED_VALUE"""),1420997.0)</f>
        <v>1420997</v>
      </c>
    </row>
    <row r="8">
      <c r="A8" s="7">
        <f>IFERROR(__xludf.DUMMYFUNCTION("""COMPUTED_VALUE"""),45212.64583333333)</f>
        <v>45212.64583</v>
      </c>
      <c r="B8" s="6">
        <f>IFERROR(__xludf.DUMMYFUNCTION("""COMPUTED_VALUE"""),1032.2)</f>
        <v>1032.2</v>
      </c>
      <c r="C8" s="6">
        <f>IFERROR(__xludf.DUMMYFUNCTION("""COMPUTED_VALUE"""),1056.58)</f>
        <v>1056.58</v>
      </c>
      <c r="D8" s="6">
        <f>IFERROR(__xludf.DUMMYFUNCTION("""COMPUTED_VALUE"""),999.55)</f>
        <v>999.55</v>
      </c>
      <c r="E8" s="6">
        <f>IFERROR(__xludf.DUMMYFUNCTION("""COMPUTED_VALUE"""),1001.33)</f>
        <v>1001.33</v>
      </c>
      <c r="F8" s="6">
        <f>IFERROR(__xludf.DUMMYFUNCTION("""COMPUTED_VALUE"""),2063328.0)</f>
        <v>2063328</v>
      </c>
    </row>
    <row r="9">
      <c r="A9" s="7">
        <f>IFERROR(__xludf.DUMMYFUNCTION("""COMPUTED_VALUE"""),45219.64583333333)</f>
        <v>45219.64583</v>
      </c>
      <c r="B9" s="6">
        <f>IFERROR(__xludf.DUMMYFUNCTION("""COMPUTED_VALUE"""),1002.0)</f>
        <v>1002</v>
      </c>
      <c r="C9" s="6">
        <f>IFERROR(__xludf.DUMMYFUNCTION("""COMPUTED_VALUE"""),1056.0)</f>
        <v>1056</v>
      </c>
      <c r="D9" s="6">
        <f>IFERROR(__xludf.DUMMYFUNCTION("""COMPUTED_VALUE"""),996.0)</f>
        <v>996</v>
      </c>
      <c r="E9" s="6">
        <f>IFERROR(__xludf.DUMMYFUNCTION("""COMPUTED_VALUE"""),1000.02)</f>
        <v>1000.02</v>
      </c>
      <c r="F9" s="6">
        <f>IFERROR(__xludf.DUMMYFUNCTION("""COMPUTED_VALUE"""),2704071.0)</f>
        <v>2704071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IFERROR(__xludf.DUMMYFUNCTION("""COMPUTED_VALUE"""),1000.02)</f>
        <v>1000.02</v>
      </c>
      <c r="C10" s="6">
        <f>IFERROR(__xludf.DUMMYFUNCTION("""COMPUTED_VALUE"""),1006.0)</f>
        <v>1006</v>
      </c>
      <c r="D10" s="6">
        <f>IFERROR(__xludf.DUMMYFUNCTION("""COMPUTED_VALUE"""),951.31)</f>
        <v>951.31</v>
      </c>
      <c r="E10" s="6">
        <f>IFERROR(__xludf.DUMMYFUNCTION("""COMPUTED_VALUE"""),1001.79)</f>
        <v>1001.79</v>
      </c>
      <c r="F10" s="6">
        <f>IFERROR(__xludf.DUMMYFUNCTION("""COMPUTED_VALUE"""),2295722.0)</f>
        <v>2295722</v>
      </c>
    </row>
    <row r="11">
      <c r="A11" s="7">
        <f>IFERROR(__xludf.DUMMYFUNCTION("""COMPUTED_VALUE"""),45233.64583333333)</f>
        <v>45233.64583</v>
      </c>
      <c r="B11" s="6">
        <f>IFERROR(__xludf.DUMMYFUNCTION("""COMPUTED_VALUE"""),999.76)</f>
        <v>999.76</v>
      </c>
      <c r="C11" s="6">
        <f>IFERROR(__xludf.DUMMYFUNCTION("""COMPUTED_VALUE"""),1029.6)</f>
        <v>1029.6</v>
      </c>
      <c r="D11" s="6">
        <f>IFERROR(__xludf.DUMMYFUNCTION("""COMPUTED_VALUE"""),989.61)</f>
        <v>989.61</v>
      </c>
      <c r="E11" s="6">
        <f>IFERROR(__xludf.DUMMYFUNCTION("""COMPUTED_VALUE"""),1016.62)</f>
        <v>1016.62</v>
      </c>
      <c r="F11" s="6">
        <f>IFERROR(__xludf.DUMMYFUNCTION("""COMPUTED_VALUE"""),1170029.0)</f>
        <v>1170029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IFERROR(__xludf.DUMMYFUNCTION("""COMPUTED_VALUE"""),1026.18)</f>
        <v>1026.18</v>
      </c>
      <c r="C12" s="6">
        <f>IFERROR(__xludf.DUMMYFUNCTION("""COMPUTED_VALUE"""),1032.8)</f>
        <v>1032.8</v>
      </c>
      <c r="D12" s="6">
        <f>IFERROR(__xludf.DUMMYFUNCTION("""COMPUTED_VALUE"""),1013.13)</f>
        <v>1013.13</v>
      </c>
      <c r="E12" s="6">
        <f>IFERROR(__xludf.DUMMYFUNCTION("""COMPUTED_VALUE"""),1027.8)</f>
        <v>1027.8</v>
      </c>
      <c r="F12" s="6">
        <f>IFERROR(__xludf.DUMMYFUNCTION("""COMPUTED_VALUE"""),695059.0)</f>
        <v>695059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IFERROR(__xludf.DUMMYFUNCTION("""COMPUTED_VALUE"""),1033.0)</f>
        <v>1033</v>
      </c>
      <c r="C13" s="6">
        <f>IFERROR(__xludf.DUMMYFUNCTION("""COMPUTED_VALUE"""),1149.97)</f>
        <v>1149.97</v>
      </c>
      <c r="D13" s="6">
        <f>IFERROR(__xludf.DUMMYFUNCTION("""COMPUTED_VALUE"""),1006.3)</f>
        <v>1006.3</v>
      </c>
      <c r="E13" s="6">
        <f>IFERROR(__xludf.DUMMYFUNCTION("""COMPUTED_VALUE"""),1134.99)</f>
        <v>1134.99</v>
      </c>
      <c r="F13" s="6">
        <f>IFERROR(__xludf.DUMMYFUNCTION("""COMPUTED_VALUE"""),2339329.0)</f>
        <v>2339329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IFERROR(__xludf.DUMMYFUNCTION("""COMPUTED_VALUE"""),1134.01)</f>
        <v>1134.01</v>
      </c>
      <c r="C14" s="6">
        <f>IFERROR(__xludf.DUMMYFUNCTION("""COMPUTED_VALUE"""),1169.25)</f>
        <v>1169.25</v>
      </c>
      <c r="D14" s="6">
        <f>IFERROR(__xludf.DUMMYFUNCTION("""COMPUTED_VALUE"""),1110.0)</f>
        <v>1110</v>
      </c>
      <c r="E14" s="6">
        <f>IFERROR(__xludf.DUMMYFUNCTION("""COMPUTED_VALUE"""),1123.71)</f>
        <v>1123.71</v>
      </c>
      <c r="F14" s="6">
        <f>IFERROR(__xludf.DUMMYFUNCTION("""COMPUTED_VALUE"""),1251183.0)</f>
        <v>1251183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IFERROR(__xludf.DUMMYFUNCTION("""COMPUTED_VALUE"""),1124.92)</f>
        <v>1124.92</v>
      </c>
      <c r="C15" s="6">
        <f>IFERROR(__xludf.DUMMYFUNCTION("""COMPUTED_VALUE"""),1162.17)</f>
        <v>1162.17</v>
      </c>
      <c r="D15" s="6">
        <f>IFERROR(__xludf.DUMMYFUNCTION("""COMPUTED_VALUE"""),1098.49)</f>
        <v>1098.49</v>
      </c>
      <c r="E15" s="6">
        <f>IFERROR(__xludf.DUMMYFUNCTION("""COMPUTED_VALUE"""),1142.8)</f>
        <v>1142.8</v>
      </c>
      <c r="F15" s="6">
        <f>IFERROR(__xludf.DUMMYFUNCTION("""COMPUTED_VALUE"""),1320289.0)</f>
        <v>1320289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IFERROR(__xludf.DUMMYFUNCTION("""COMPUTED_VALUE"""),1159.0)</f>
        <v>1159</v>
      </c>
      <c r="C16" s="6">
        <f>IFERROR(__xludf.DUMMYFUNCTION("""COMPUTED_VALUE"""),1183.99)</f>
        <v>1183.99</v>
      </c>
      <c r="D16" s="6">
        <f>IFERROR(__xludf.DUMMYFUNCTION("""COMPUTED_VALUE"""),1101.2)</f>
        <v>1101.2</v>
      </c>
      <c r="E16" s="6">
        <f>IFERROR(__xludf.DUMMYFUNCTION("""COMPUTED_VALUE"""),1156.6)</f>
        <v>1156.6</v>
      </c>
      <c r="F16" s="6">
        <f>IFERROR(__xludf.DUMMYFUNCTION("""COMPUTED_VALUE"""),1998012.0)</f>
        <v>1998012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IFERROR(__xludf.DUMMYFUNCTION("""COMPUTED_VALUE"""),1161.6)</f>
        <v>1161.6</v>
      </c>
      <c r="C17" s="6">
        <f>IFERROR(__xludf.DUMMYFUNCTION("""COMPUTED_VALUE"""),1306.0)</f>
        <v>1306</v>
      </c>
      <c r="D17" s="6">
        <f>IFERROR(__xludf.DUMMYFUNCTION("""COMPUTED_VALUE"""),1138.51)</f>
        <v>1138.51</v>
      </c>
      <c r="E17" s="6">
        <f>IFERROR(__xludf.DUMMYFUNCTION("""COMPUTED_VALUE"""),1287.97)</f>
        <v>1287.97</v>
      </c>
      <c r="F17" s="6">
        <f>IFERROR(__xludf.DUMMYFUNCTION("""COMPUTED_VALUE"""),3753949.0)</f>
        <v>3753949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IFERROR(__xludf.DUMMYFUNCTION("""COMPUTED_VALUE"""),1286.0)</f>
        <v>1286</v>
      </c>
      <c r="C18" s="6">
        <f>IFERROR(__xludf.DUMMYFUNCTION("""COMPUTED_VALUE"""),1295.62)</f>
        <v>1295.62</v>
      </c>
      <c r="D18" s="6">
        <f>IFERROR(__xludf.DUMMYFUNCTION("""COMPUTED_VALUE"""),1184.41)</f>
        <v>1184.41</v>
      </c>
      <c r="E18" s="6">
        <f>IFERROR(__xludf.DUMMYFUNCTION("""COMPUTED_VALUE"""),1258.04)</f>
        <v>1258.04</v>
      </c>
      <c r="F18" s="6">
        <f>IFERROR(__xludf.DUMMYFUNCTION("""COMPUTED_VALUE"""),2260241.0)</f>
        <v>2260241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IFERROR(__xludf.DUMMYFUNCTION("""COMPUTED_VALUE"""),1260.0)</f>
        <v>1260</v>
      </c>
      <c r="C19" s="6">
        <f>IFERROR(__xludf.DUMMYFUNCTION("""COMPUTED_VALUE"""),1278.99)</f>
        <v>1278.99</v>
      </c>
      <c r="D19" s="6">
        <f>IFERROR(__xludf.DUMMYFUNCTION("""COMPUTED_VALUE"""),1242.6)</f>
        <v>1242.6</v>
      </c>
      <c r="E19" s="6">
        <f>IFERROR(__xludf.DUMMYFUNCTION("""COMPUTED_VALUE"""),1254.88)</f>
        <v>1254.88</v>
      </c>
      <c r="F19" s="6">
        <f>IFERROR(__xludf.DUMMYFUNCTION("""COMPUTED_VALUE"""),1146789.0)</f>
        <v>1146789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IFERROR(__xludf.DUMMYFUNCTION("""COMPUTED_VALUE"""),1257.99)</f>
        <v>1257.99</v>
      </c>
      <c r="C20" s="6">
        <f>IFERROR(__xludf.DUMMYFUNCTION("""COMPUTED_VALUE"""),1257.99)</f>
        <v>1257.99</v>
      </c>
      <c r="D20" s="6">
        <f>IFERROR(__xludf.DUMMYFUNCTION("""COMPUTED_VALUE"""),1168.31)</f>
        <v>1168.31</v>
      </c>
      <c r="E20" s="6">
        <f>IFERROR(__xludf.DUMMYFUNCTION("""COMPUTED_VALUE"""),1215.27)</f>
        <v>1215.27</v>
      </c>
      <c r="F20" s="6">
        <f>IFERROR(__xludf.DUMMYFUNCTION("""COMPUTED_VALUE"""),1608534.0)</f>
        <v>1608534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IFERROR(__xludf.DUMMYFUNCTION("""COMPUTED_VALUE"""),1226.99)</f>
        <v>1226.99</v>
      </c>
      <c r="C21" s="6">
        <f>IFERROR(__xludf.DUMMYFUNCTION("""COMPUTED_VALUE"""),1323.0)</f>
        <v>1323</v>
      </c>
      <c r="D21" s="6">
        <f>IFERROR(__xludf.DUMMYFUNCTION("""COMPUTED_VALUE"""),1201.8)</f>
        <v>1201.8</v>
      </c>
      <c r="E21" s="6">
        <f>IFERROR(__xludf.DUMMYFUNCTION("""COMPUTED_VALUE"""),1318.54)</f>
        <v>1318.54</v>
      </c>
      <c r="F21" s="6">
        <f>IFERROR(__xludf.DUMMYFUNCTION("""COMPUTED_VALUE"""),2646948.0)</f>
        <v>2646948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IFERROR(__xludf.DUMMYFUNCTION("""COMPUTED_VALUE"""),1279.6)</f>
        <v>1279.6</v>
      </c>
      <c r="C22" s="6">
        <f>IFERROR(__xludf.DUMMYFUNCTION("""COMPUTED_VALUE"""),1288.0)</f>
        <v>1288</v>
      </c>
      <c r="D22" s="6">
        <f>IFERROR(__xludf.DUMMYFUNCTION("""COMPUTED_VALUE"""),1232.2)</f>
        <v>1232.2</v>
      </c>
      <c r="E22" s="6">
        <f>IFERROR(__xludf.DUMMYFUNCTION("""COMPUTED_VALUE"""),1241.01)</f>
        <v>1241.01</v>
      </c>
      <c r="F22" s="6">
        <f>IFERROR(__xludf.DUMMYFUNCTION("""COMPUTED_VALUE"""),1426630.0)</f>
        <v>1426630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IFERROR(__xludf.DUMMYFUNCTION("""COMPUTED_VALUE"""),1244.44)</f>
        <v>1244.44</v>
      </c>
      <c r="C23" s="6">
        <f>IFERROR(__xludf.DUMMYFUNCTION("""COMPUTED_VALUE"""),1293.8)</f>
        <v>1293.8</v>
      </c>
      <c r="D23" s="6">
        <f>IFERROR(__xludf.DUMMYFUNCTION("""COMPUTED_VALUE"""),1220.53)</f>
        <v>1220.53</v>
      </c>
      <c r="E23" s="6">
        <f>IFERROR(__xludf.DUMMYFUNCTION("""COMPUTED_VALUE"""),1285.07)</f>
        <v>1285.07</v>
      </c>
      <c r="F23" s="6">
        <f>IFERROR(__xludf.DUMMYFUNCTION("""COMPUTED_VALUE"""),2117031.0)</f>
        <v>2117031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IFERROR(__xludf.DUMMYFUNCTION("""COMPUTED_VALUE"""),1295.99)</f>
        <v>1295.99</v>
      </c>
      <c r="C24" s="6">
        <f>IFERROR(__xludf.DUMMYFUNCTION("""COMPUTED_VALUE"""),1333.2)</f>
        <v>1333.2</v>
      </c>
      <c r="D24" s="6">
        <f>IFERROR(__xludf.DUMMYFUNCTION("""COMPUTED_VALUE"""),1270.0)</f>
        <v>1270</v>
      </c>
      <c r="E24" s="6">
        <f>IFERROR(__xludf.DUMMYFUNCTION("""COMPUTED_VALUE"""),1300.15)</f>
        <v>1300.15</v>
      </c>
      <c r="F24" s="6">
        <f>IFERROR(__xludf.DUMMYFUNCTION("""COMPUTED_VALUE"""),1450405.0)</f>
        <v>1450405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IFERROR(__xludf.DUMMYFUNCTION("""COMPUTED_VALUE"""),1309.98)</f>
        <v>1309.98</v>
      </c>
      <c r="C25" s="6">
        <f>IFERROR(__xludf.DUMMYFUNCTION("""COMPUTED_VALUE"""),1350.76)</f>
        <v>1350.76</v>
      </c>
      <c r="D25" s="6">
        <f>IFERROR(__xludf.DUMMYFUNCTION("""COMPUTED_VALUE"""),1279.0)</f>
        <v>1279</v>
      </c>
      <c r="E25" s="6">
        <f>IFERROR(__xludf.DUMMYFUNCTION("""COMPUTED_VALUE"""),1333.08)</f>
        <v>1333.08</v>
      </c>
      <c r="F25" s="6">
        <f>IFERROR(__xludf.DUMMYFUNCTION("""COMPUTED_VALUE"""),2064301.0)</f>
        <v>2064301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IFERROR(__xludf.DUMMYFUNCTION("""COMPUTED_VALUE"""),1340.0)</f>
        <v>1340</v>
      </c>
      <c r="C26" s="6">
        <f>IFERROR(__xludf.DUMMYFUNCTION("""COMPUTED_VALUE"""),1369.49)</f>
        <v>1369.49</v>
      </c>
      <c r="D26" s="6">
        <f>IFERROR(__xludf.DUMMYFUNCTION("""COMPUTED_VALUE"""),1300.0)</f>
        <v>1300</v>
      </c>
      <c r="E26" s="6">
        <f>IFERROR(__xludf.DUMMYFUNCTION("""COMPUTED_VALUE"""),1321.2)</f>
        <v>1321.2</v>
      </c>
      <c r="F26" s="6">
        <f>IFERROR(__xludf.DUMMYFUNCTION("""COMPUTED_VALUE"""),1353645.0)</f>
        <v>1353645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IFERROR(__xludf.DUMMYFUNCTION("""COMPUTED_VALUE"""),1305.0)</f>
        <v>1305</v>
      </c>
      <c r="C27" s="6">
        <f>IFERROR(__xludf.DUMMYFUNCTION("""COMPUTED_VALUE"""),1307.58)</f>
        <v>1307.58</v>
      </c>
      <c r="D27" s="6">
        <f>IFERROR(__xludf.DUMMYFUNCTION("""COMPUTED_VALUE"""),1222.74)</f>
        <v>1222.74</v>
      </c>
      <c r="E27" s="6">
        <f>IFERROR(__xludf.DUMMYFUNCTION("""COMPUTED_VALUE"""),1250.74)</f>
        <v>1250.74</v>
      </c>
      <c r="F27" s="6">
        <f>IFERROR(__xludf.DUMMYFUNCTION("""COMPUTED_VALUE"""),1374371.0)</f>
        <v>1374371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IFERROR(__xludf.DUMMYFUNCTION("""COMPUTED_VALUE"""),1256.0)</f>
        <v>1256</v>
      </c>
      <c r="C28" s="6">
        <f>IFERROR(__xludf.DUMMYFUNCTION("""COMPUTED_VALUE"""),1269.32)</f>
        <v>1269.32</v>
      </c>
      <c r="D28" s="6">
        <f>IFERROR(__xludf.DUMMYFUNCTION("""COMPUTED_VALUE"""),1180.0)</f>
        <v>1180</v>
      </c>
      <c r="E28" s="6">
        <f>IFERROR(__xludf.DUMMYFUNCTION("""COMPUTED_VALUE"""),1223.28)</f>
        <v>1223.28</v>
      </c>
      <c r="F28" s="6">
        <f>IFERROR(__xludf.DUMMYFUNCTION("""COMPUTED_VALUE"""),1777901.0)</f>
        <v>1777901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IFERROR(__xludf.DUMMYFUNCTION("""COMPUTED_VALUE"""),1209.03)</f>
        <v>1209.03</v>
      </c>
      <c r="C29" s="6">
        <f>IFERROR(__xludf.DUMMYFUNCTION("""COMPUTED_VALUE"""),1209.03)</f>
        <v>1209.03</v>
      </c>
      <c r="D29" s="6">
        <f>IFERROR(__xludf.DUMMYFUNCTION("""COMPUTED_VALUE"""),1092.43)</f>
        <v>1092.43</v>
      </c>
      <c r="E29" s="6">
        <f>IFERROR(__xludf.DUMMYFUNCTION("""COMPUTED_VALUE"""),1108.02)</f>
        <v>1108.02</v>
      </c>
      <c r="F29" s="6">
        <f>IFERROR(__xludf.DUMMYFUNCTION("""COMPUTED_VALUE"""),4011820.0)</f>
        <v>4011820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IFERROR(__xludf.DUMMYFUNCTION("""COMPUTED_VALUE"""),1109.3)</f>
        <v>1109.3</v>
      </c>
      <c r="C30" s="6">
        <f>IFERROR(__xludf.DUMMYFUNCTION("""COMPUTED_VALUE"""),1126.32)</f>
        <v>1126.32</v>
      </c>
      <c r="D30" s="6">
        <f>IFERROR(__xludf.DUMMYFUNCTION("""COMPUTED_VALUE"""),1097.0)</f>
        <v>1097</v>
      </c>
      <c r="E30" s="6">
        <f>IFERROR(__xludf.DUMMYFUNCTION("""COMPUTED_VALUE"""),1100.49)</f>
        <v>1100.49</v>
      </c>
      <c r="F30" s="6">
        <f>IFERROR(__xludf.DUMMYFUNCTION("""COMPUTED_VALUE"""),716304.0)</f>
        <v>716304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IFERROR(__xludf.DUMMYFUNCTION("""COMPUTED_VALUE"""),1109.82)</f>
        <v>1109.82</v>
      </c>
      <c r="C31" s="6">
        <f>IFERROR(__xludf.DUMMYFUNCTION("""COMPUTED_VALUE"""),1179.77)</f>
        <v>1179.77</v>
      </c>
      <c r="D31" s="6">
        <f>IFERROR(__xludf.DUMMYFUNCTION("""COMPUTED_VALUE"""),1092.6)</f>
        <v>1092.6</v>
      </c>
      <c r="E31" s="6">
        <f>IFERROR(__xludf.DUMMYFUNCTION("""COMPUTED_VALUE"""),1156.58)</f>
        <v>1156.58</v>
      </c>
      <c r="F31" s="6">
        <f>IFERROR(__xludf.DUMMYFUNCTION("""COMPUTED_VALUE"""),2257324.0)</f>
        <v>2257324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IFERROR(__xludf.DUMMYFUNCTION("""COMPUTED_VALUE"""),1165.0)</f>
        <v>1165</v>
      </c>
      <c r="C32" s="6">
        <f>IFERROR(__xludf.DUMMYFUNCTION("""COMPUTED_VALUE"""),1165.0)</f>
        <v>1165</v>
      </c>
      <c r="D32" s="6">
        <f>IFERROR(__xludf.DUMMYFUNCTION("""COMPUTED_VALUE"""),1120.0)</f>
        <v>1120</v>
      </c>
      <c r="E32" s="6">
        <f>IFERROR(__xludf.DUMMYFUNCTION("""COMPUTED_VALUE"""),1123.25)</f>
        <v>1123.25</v>
      </c>
      <c r="F32" s="6">
        <f>IFERROR(__xludf.DUMMYFUNCTION("""COMPUTED_VALUE"""),1165718.0)</f>
        <v>1165718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IFERROR(__xludf.DUMMYFUNCTION("""COMPUTED_VALUE"""),1103.0)</f>
        <v>1103</v>
      </c>
      <c r="C33" s="6">
        <f>IFERROR(__xludf.DUMMYFUNCTION("""COMPUTED_VALUE"""),1117.05)</f>
        <v>1117.05</v>
      </c>
      <c r="D33" s="6">
        <f>IFERROR(__xludf.DUMMYFUNCTION("""COMPUTED_VALUE"""),1018.21)</f>
        <v>1018.21</v>
      </c>
      <c r="E33" s="6">
        <f>IFERROR(__xludf.DUMMYFUNCTION("""COMPUTED_VALUE"""),1023.63)</f>
        <v>1023.63</v>
      </c>
      <c r="F33" s="6">
        <f>IFERROR(__xludf.DUMMYFUNCTION("""COMPUTED_VALUE"""),2011456.0)</f>
        <v>2011456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IFERROR(__xludf.DUMMYFUNCTION("""COMPUTED_VALUE"""),1025.8)</f>
        <v>1025.8</v>
      </c>
      <c r="C34" s="6">
        <f>IFERROR(__xludf.DUMMYFUNCTION("""COMPUTED_VALUE"""),1075.0)</f>
        <v>1075</v>
      </c>
      <c r="D34" s="6">
        <f>IFERROR(__xludf.DUMMYFUNCTION("""COMPUTED_VALUE"""),1016.0)</f>
        <v>1016</v>
      </c>
      <c r="E34" s="6">
        <f>IFERROR(__xludf.DUMMYFUNCTION("""COMPUTED_VALUE"""),1050.2)</f>
        <v>1050.2</v>
      </c>
      <c r="F34" s="6">
        <f>IFERROR(__xludf.DUMMYFUNCTION("""COMPUTED_VALUE"""),1593398.0)</f>
        <v>1593398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IFERROR(__xludf.DUMMYFUNCTION("""COMPUTED_VALUE"""),1058.0)</f>
        <v>1058</v>
      </c>
      <c r="C35" s="6">
        <f>IFERROR(__xludf.DUMMYFUNCTION("""COMPUTED_VALUE"""),1060.98)</f>
        <v>1060.98</v>
      </c>
      <c r="D35" s="6">
        <f>IFERROR(__xludf.DUMMYFUNCTION("""COMPUTED_VALUE"""),892.01)</f>
        <v>892.01</v>
      </c>
      <c r="E35" s="6">
        <f>IFERROR(__xludf.DUMMYFUNCTION("""COMPUTED_VALUE"""),896.51)</f>
        <v>896.51</v>
      </c>
      <c r="F35" s="6">
        <f>IFERROR(__xludf.DUMMYFUNCTION("""COMPUTED_VALUE"""),5958642.0)</f>
        <v>5958642</v>
      </c>
    </row>
    <row r="36">
      <c r="A36" s="7">
        <f>IFERROR(__xludf.DUMMYFUNCTION("""COMPUTED_VALUE"""),45422.64583333333)</f>
        <v>45422.64583</v>
      </c>
      <c r="B36" s="6">
        <f>IFERROR(__xludf.DUMMYFUNCTION("""COMPUTED_VALUE"""),908.0)</f>
        <v>908</v>
      </c>
      <c r="C36" s="6">
        <f>IFERROR(__xludf.DUMMYFUNCTION("""COMPUTED_VALUE"""),908.8)</f>
        <v>908.8</v>
      </c>
      <c r="D36" s="6">
        <f>IFERROR(__xludf.DUMMYFUNCTION("""COMPUTED_VALUE"""),857.45)</f>
        <v>857.45</v>
      </c>
      <c r="E36" s="6">
        <f>IFERROR(__xludf.DUMMYFUNCTION("""COMPUTED_VALUE"""),893.06)</f>
        <v>893.06</v>
      </c>
      <c r="F36" s="6">
        <f>IFERROR(__xludf.DUMMYFUNCTION("""COMPUTED_VALUE"""),5171762.0)</f>
        <v>5171762</v>
      </c>
    </row>
    <row r="37">
      <c r="A37" s="7">
        <f>IFERROR(__xludf.DUMMYFUNCTION("""COMPUTED_VALUE"""),45436.64583333333)</f>
        <v>45436.64583</v>
      </c>
      <c r="B37" s="6">
        <f>IFERROR(__xludf.DUMMYFUNCTION("""COMPUTED_VALUE"""),947.0)</f>
        <v>947</v>
      </c>
      <c r="C37" s="6">
        <f>IFERROR(__xludf.DUMMYFUNCTION("""COMPUTED_VALUE"""),1032.54)</f>
        <v>1032.54</v>
      </c>
      <c r="D37" s="6">
        <f>IFERROR(__xludf.DUMMYFUNCTION("""COMPUTED_VALUE"""),945.6)</f>
        <v>945.6</v>
      </c>
      <c r="E37" s="6">
        <f>IFERROR(__xludf.DUMMYFUNCTION("""COMPUTED_VALUE"""),1021.09)</f>
        <v>1021.09</v>
      </c>
      <c r="F37" s="6">
        <f>IFERROR(__xludf.DUMMYFUNCTION("""COMPUTED_VALUE"""),4434431.0)</f>
        <v>4434431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IFERROR(__xludf.DUMMYFUNCTION("""COMPUTED_VALUE"""),1029.0)</f>
        <v>1029</v>
      </c>
      <c r="C38" s="6">
        <f>IFERROR(__xludf.DUMMYFUNCTION("""COMPUTED_VALUE"""),1062.6)</f>
        <v>1062.6</v>
      </c>
      <c r="D38" s="6">
        <f>IFERROR(__xludf.DUMMYFUNCTION("""COMPUTED_VALUE"""),988.0)</f>
        <v>988</v>
      </c>
      <c r="E38" s="6">
        <f>IFERROR(__xludf.DUMMYFUNCTION("""COMPUTED_VALUE"""),994.2)</f>
        <v>994.2</v>
      </c>
      <c r="F38" s="6">
        <f>IFERROR(__xludf.DUMMYFUNCTION("""COMPUTED_VALUE"""),3922605.0)</f>
        <v>3922605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IFERROR(__xludf.DUMMYFUNCTION("""COMPUTED_VALUE"""),1020.93)</f>
        <v>1020.93</v>
      </c>
      <c r="C39" s="6">
        <f>IFERROR(__xludf.DUMMYFUNCTION("""COMPUTED_VALUE"""),1092.71)</f>
        <v>1092.71</v>
      </c>
      <c r="D39" s="6">
        <f>IFERROR(__xludf.DUMMYFUNCTION("""COMPUTED_VALUE"""),944.59)</f>
        <v>944.59</v>
      </c>
      <c r="E39" s="6">
        <f>IFERROR(__xludf.DUMMYFUNCTION("""COMPUTED_VALUE"""),1086.22)</f>
        <v>1086.22</v>
      </c>
      <c r="F39" s="6">
        <f>IFERROR(__xludf.DUMMYFUNCTION("""COMPUTED_VALUE"""),3440900.0)</f>
        <v>3440900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IFERROR(__xludf.DUMMYFUNCTION("""COMPUTED_VALUE"""),1092.0)</f>
        <v>1092</v>
      </c>
      <c r="C40" s="6">
        <f>IFERROR(__xludf.DUMMYFUNCTION("""COMPUTED_VALUE"""),1093.6)</f>
        <v>1093.6</v>
      </c>
      <c r="D40" s="6">
        <f>IFERROR(__xludf.DUMMYFUNCTION("""COMPUTED_VALUE"""),1033.6)</f>
        <v>1033.6</v>
      </c>
      <c r="E40" s="6">
        <f>IFERROR(__xludf.DUMMYFUNCTION("""COMPUTED_VALUE"""),1040.35)</f>
        <v>1040.35</v>
      </c>
      <c r="F40" s="6">
        <f>IFERROR(__xludf.DUMMYFUNCTION("""COMPUTED_VALUE"""),2593907.0)</f>
        <v>2593907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IFERROR(__xludf.DUMMYFUNCTION("""COMPUTED_VALUE"""),1042.2)</f>
        <v>1042.2</v>
      </c>
      <c r="C41" s="6">
        <f>IFERROR(__xludf.DUMMYFUNCTION("""COMPUTED_VALUE"""),1104.0)</f>
        <v>1104</v>
      </c>
      <c r="D41" s="6">
        <f>IFERROR(__xludf.DUMMYFUNCTION("""COMPUTED_VALUE"""),1032.4)</f>
        <v>1032.4</v>
      </c>
      <c r="E41" s="6">
        <f>IFERROR(__xludf.DUMMYFUNCTION("""COMPUTED_VALUE"""),1076.68)</f>
        <v>1076.68</v>
      </c>
      <c r="F41" s="6">
        <f>IFERROR(__xludf.DUMMYFUNCTION("""COMPUTED_VALUE"""),2615674.0)</f>
        <v>2615674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IFERROR(__xludf.DUMMYFUNCTION("""COMPUTED_VALUE"""),1076.0)</f>
        <v>1076</v>
      </c>
      <c r="C42" s="6">
        <f>IFERROR(__xludf.DUMMYFUNCTION("""COMPUTED_VALUE"""),1109.6)</f>
        <v>1109.6</v>
      </c>
      <c r="D42" s="6">
        <f>IFERROR(__xludf.DUMMYFUNCTION("""COMPUTED_VALUE"""),1060.0)</f>
        <v>1060</v>
      </c>
      <c r="E42" s="6">
        <f>IFERROR(__xludf.DUMMYFUNCTION("""COMPUTED_VALUE"""),1091.76)</f>
        <v>1091.76</v>
      </c>
      <c r="F42" s="6">
        <f>IFERROR(__xludf.DUMMYFUNCTION("""COMPUTED_VALUE"""),2103961.0)</f>
        <v>2103961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IFERROR(__xludf.DUMMYFUNCTION("""COMPUTED_VALUE"""),1091.0)</f>
        <v>1091</v>
      </c>
      <c r="C43" s="6">
        <f>IFERROR(__xludf.DUMMYFUNCTION("""COMPUTED_VALUE"""),1186.8)</f>
        <v>1186.8</v>
      </c>
      <c r="D43" s="6">
        <f>IFERROR(__xludf.DUMMYFUNCTION("""COMPUTED_VALUE"""),1085.15)</f>
        <v>1085.15</v>
      </c>
      <c r="E43" s="6">
        <f>IFERROR(__xludf.DUMMYFUNCTION("""COMPUTED_VALUE"""),1174.03)</f>
        <v>1174.03</v>
      </c>
      <c r="F43" s="6">
        <f>IFERROR(__xludf.DUMMYFUNCTION("""COMPUTED_VALUE"""),3392049.0)</f>
        <v>3392049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IFERROR(__xludf.DUMMYFUNCTION("""COMPUTED_VALUE"""),1183.59)</f>
        <v>1183.59</v>
      </c>
      <c r="C44" s="6">
        <f>IFERROR(__xludf.DUMMYFUNCTION("""COMPUTED_VALUE"""),1208.0)</f>
        <v>1208</v>
      </c>
      <c r="D44" s="6">
        <f>IFERROR(__xludf.DUMMYFUNCTION("""COMPUTED_VALUE"""),1110.21)</f>
        <v>1110.21</v>
      </c>
      <c r="E44" s="6">
        <f>IFERROR(__xludf.DUMMYFUNCTION("""COMPUTED_VALUE"""),1195.53)</f>
        <v>1195.53</v>
      </c>
      <c r="F44" s="6">
        <f>IFERROR(__xludf.DUMMYFUNCTION("""COMPUTED_VALUE"""),3928290.0)</f>
        <v>3928290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IFERROR(__xludf.DUMMYFUNCTION("""COMPUTED_VALUE"""),1206.0)</f>
        <v>1206</v>
      </c>
      <c r="C45" s="6">
        <f>IFERROR(__xludf.DUMMYFUNCTION("""COMPUTED_VALUE"""),1228.78)</f>
        <v>1228.78</v>
      </c>
      <c r="D45" s="6">
        <f>IFERROR(__xludf.DUMMYFUNCTION("""COMPUTED_VALUE"""),1161.02)</f>
        <v>1161.02</v>
      </c>
      <c r="E45" s="6">
        <f>IFERROR(__xludf.DUMMYFUNCTION("""COMPUTED_VALUE"""),1196.75)</f>
        <v>1196.75</v>
      </c>
      <c r="F45" s="6">
        <f>IFERROR(__xludf.DUMMYFUNCTION("""COMPUTED_VALUE"""),2412813.0)</f>
        <v>2412813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IFERROR(__xludf.DUMMYFUNCTION("""COMPUTED_VALUE"""),1186.01)</f>
        <v>1186.01</v>
      </c>
      <c r="C46" s="6">
        <f>IFERROR(__xludf.DUMMYFUNCTION("""COMPUTED_VALUE"""),1285.0)</f>
        <v>1285</v>
      </c>
      <c r="D46" s="6">
        <f>IFERROR(__xludf.DUMMYFUNCTION("""COMPUTED_VALUE"""),1168.12)</f>
        <v>1168.12</v>
      </c>
      <c r="E46" s="6">
        <f>IFERROR(__xludf.DUMMYFUNCTION("""COMPUTED_VALUE"""),1268.74)</f>
        <v>1268.74</v>
      </c>
      <c r="F46" s="6">
        <f>IFERROR(__xludf.DUMMYFUNCTION("""COMPUTED_VALUE"""),4124571.0)</f>
        <v>4124571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IFERROR(__xludf.DUMMYFUNCTION("""COMPUTED_VALUE"""),1274.0)</f>
        <v>1274</v>
      </c>
      <c r="C47" s="6">
        <f>IFERROR(__xludf.DUMMYFUNCTION("""COMPUTED_VALUE"""),1282.48)</f>
        <v>1282.48</v>
      </c>
      <c r="D47" s="6">
        <f>IFERROR(__xludf.DUMMYFUNCTION("""COMPUTED_VALUE"""),1212.0)</f>
        <v>1212</v>
      </c>
      <c r="E47" s="6">
        <f>IFERROR(__xludf.DUMMYFUNCTION("""COMPUTED_VALUE"""),1216.0)</f>
        <v>1216</v>
      </c>
      <c r="F47" s="6">
        <f>IFERROR(__xludf.DUMMYFUNCTION("""COMPUTED_VALUE"""),1209564.0)</f>
        <v>1209564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IFERROR(__xludf.DUMMYFUNCTION("""COMPUTED_VALUE"""),1160.0)</f>
        <v>1160</v>
      </c>
      <c r="C48" s="6">
        <f>IFERROR(__xludf.DUMMYFUNCTION("""COMPUTED_VALUE"""),1219.8)</f>
        <v>1219.8</v>
      </c>
      <c r="D48" s="6">
        <f>IFERROR(__xludf.DUMMYFUNCTION("""COMPUTED_VALUE"""),1149.8)</f>
        <v>1149.8</v>
      </c>
      <c r="E48" s="6">
        <f>IFERROR(__xludf.DUMMYFUNCTION("""COMPUTED_VALUE"""),1175.68)</f>
        <v>1175.68</v>
      </c>
      <c r="F48" s="6">
        <f>IFERROR(__xludf.DUMMYFUNCTION("""COMPUTED_VALUE"""),1749602.0)</f>
        <v>1749602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IFERROR(__xludf.DUMMYFUNCTION("""COMPUTED_VALUE"""),1178.99)</f>
        <v>1178.99</v>
      </c>
      <c r="C49" s="6">
        <f>IFERROR(__xludf.DUMMYFUNCTION("""COMPUTED_VALUE"""),1217.8)</f>
        <v>1217.8</v>
      </c>
      <c r="D49" s="6">
        <f>IFERROR(__xludf.DUMMYFUNCTION("""COMPUTED_VALUE"""),1153.2)</f>
        <v>1153.2</v>
      </c>
      <c r="E49" s="6">
        <f>IFERROR(__xludf.DUMMYFUNCTION("""COMPUTED_VALUE"""),1215.4)</f>
        <v>1215.4</v>
      </c>
      <c r="F49" s="6">
        <f>IFERROR(__xludf.DUMMYFUNCTION("""COMPUTED_VALUE"""),1153528.0)</f>
        <v>1153528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IFERROR(__xludf.DUMMYFUNCTION("""COMPUTED_VALUE"""),1224.0)</f>
        <v>1224</v>
      </c>
      <c r="C50" s="6">
        <f>IFERROR(__xludf.DUMMYFUNCTION("""COMPUTED_VALUE"""),1242.02)</f>
        <v>1242.02</v>
      </c>
      <c r="D50" s="6">
        <f>IFERROR(__xludf.DUMMYFUNCTION("""COMPUTED_VALUE"""),1196.21)</f>
        <v>1196.21</v>
      </c>
      <c r="E50" s="6">
        <f>IFERROR(__xludf.DUMMYFUNCTION("""COMPUTED_VALUE"""),1204.45)</f>
        <v>1204.45</v>
      </c>
      <c r="F50" s="6">
        <f>IFERROR(__xludf.DUMMYFUNCTION("""COMPUTED_VALUE"""),1337014.0)</f>
        <v>1337014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IFERROR(__xludf.DUMMYFUNCTION("""COMPUTED_VALUE"""),1210.47)</f>
        <v>1210.47</v>
      </c>
      <c r="C51" s="6">
        <f>IFERROR(__xludf.DUMMYFUNCTION("""COMPUTED_VALUE"""),1277.58)</f>
        <v>1277.58</v>
      </c>
      <c r="D51" s="6">
        <f>IFERROR(__xludf.DUMMYFUNCTION("""COMPUTED_VALUE"""),1202.45)</f>
        <v>1202.45</v>
      </c>
      <c r="E51" s="6">
        <f>IFERROR(__xludf.DUMMYFUNCTION("""COMPUTED_VALUE"""),1268.81)</f>
        <v>1268.81</v>
      </c>
      <c r="F51" s="6">
        <f>IFERROR(__xludf.DUMMYFUNCTION("""COMPUTED_VALUE"""),2093232.0)</f>
        <v>2093232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IFERROR(__xludf.DUMMYFUNCTION("""COMPUTED_VALUE"""),1269.0)</f>
        <v>1269</v>
      </c>
      <c r="C52" s="6">
        <f>IFERROR(__xludf.DUMMYFUNCTION("""COMPUTED_VALUE"""),1342.75)</f>
        <v>1342.75</v>
      </c>
      <c r="D52" s="6">
        <f>IFERROR(__xludf.DUMMYFUNCTION("""COMPUTED_VALUE"""),1244.54)</f>
        <v>1244.54</v>
      </c>
      <c r="E52" s="6">
        <f>IFERROR(__xludf.DUMMYFUNCTION("""COMPUTED_VALUE"""),1324.93)</f>
        <v>1324.93</v>
      </c>
      <c r="F52" s="6">
        <f>IFERROR(__xludf.DUMMYFUNCTION("""COMPUTED_VALUE"""),2344836.0)</f>
        <v>2344836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IFERROR(__xludf.DUMMYFUNCTION("""COMPUTED_VALUE"""),1311.14)</f>
        <v>1311.14</v>
      </c>
      <c r="C53" s="6">
        <f>IFERROR(__xludf.DUMMYFUNCTION("""COMPUTED_VALUE"""),1408.79)</f>
        <v>1408.79</v>
      </c>
      <c r="D53" s="6">
        <f>IFERROR(__xludf.DUMMYFUNCTION("""COMPUTED_VALUE"""),1286.23)</f>
        <v>1286.23</v>
      </c>
      <c r="E53" s="6">
        <f>IFERROR(__xludf.DUMMYFUNCTION("""COMPUTED_VALUE"""),1402.75)</f>
        <v>1402.75</v>
      </c>
      <c r="F53" s="6">
        <f>IFERROR(__xludf.DUMMYFUNCTION("""COMPUTED_VALUE"""),3167671.0)</f>
        <v>3167671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IFERROR(__xludf.DUMMYFUNCTION("""COMPUTED_VALUE"""),1403.0)</f>
        <v>1403</v>
      </c>
      <c r="C54" s="6">
        <f>IFERROR(__xludf.DUMMYFUNCTION("""COMPUTED_VALUE"""),1417.62)</f>
        <v>1417.62</v>
      </c>
      <c r="D54" s="6">
        <f>IFERROR(__xludf.DUMMYFUNCTION("""COMPUTED_VALUE"""),1354.0)</f>
        <v>1354</v>
      </c>
      <c r="E54" s="6">
        <f>IFERROR(__xludf.DUMMYFUNCTION("""COMPUTED_VALUE"""),1389.07)</f>
        <v>1389.07</v>
      </c>
      <c r="F54" s="6">
        <f>IFERROR(__xludf.DUMMYFUNCTION("""COMPUTED_VALUE"""),2026846.0)</f>
        <v>2026846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IFERROR(__xludf.DUMMYFUNCTION("""COMPUTED_VALUE"""),1394.0)</f>
        <v>1394</v>
      </c>
      <c r="C55" s="6">
        <f>IFERROR(__xludf.DUMMYFUNCTION("""COMPUTED_VALUE"""),1429.8)</f>
        <v>1429.8</v>
      </c>
      <c r="D55" s="6">
        <f>IFERROR(__xludf.DUMMYFUNCTION("""COMPUTED_VALUE"""),1357.37)</f>
        <v>1357.37</v>
      </c>
      <c r="E55" s="6">
        <f>IFERROR(__xludf.DUMMYFUNCTION("""COMPUTED_VALUE"""),1387.07)</f>
        <v>1387.07</v>
      </c>
      <c r="F55" s="6">
        <f>IFERROR(__xludf.DUMMYFUNCTION("""COMPUTED_VALUE"""),2121101.0)</f>
        <v>2121101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IFERROR(__xludf.DUMMYFUNCTION("""COMPUTED_VALUE"""),1387.3)</f>
        <v>1387.3</v>
      </c>
      <c r="C56" s="6">
        <f>IFERROR(__xludf.DUMMYFUNCTION("""COMPUTED_VALUE"""),1449.49)</f>
        <v>1449.49</v>
      </c>
      <c r="D56" s="6">
        <f>IFERROR(__xludf.DUMMYFUNCTION("""COMPUTED_VALUE"""),1374.99)</f>
        <v>1374.99</v>
      </c>
      <c r="E56" s="6">
        <f>IFERROR(__xludf.DUMMYFUNCTION("""COMPUTED_VALUE"""),1425.11)</f>
        <v>1425.11</v>
      </c>
      <c r="F56" s="6">
        <f>IFERROR(__xludf.DUMMYFUNCTION("""COMPUTED_VALUE"""),1826169.0)</f>
        <v>1826169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IFERROR(__xludf.DUMMYFUNCTION("""COMPUTED_VALUE"""),1438.89)</f>
        <v>1438.89</v>
      </c>
      <c r="C57" s="6">
        <f>IFERROR(__xludf.DUMMYFUNCTION("""COMPUTED_VALUE"""),1485.8)</f>
        <v>1485.8</v>
      </c>
      <c r="D57" s="6">
        <f>IFERROR(__xludf.DUMMYFUNCTION("""COMPUTED_VALUE"""),1415.01)</f>
        <v>1415.01</v>
      </c>
      <c r="E57" s="6">
        <f>IFERROR(__xludf.DUMMYFUNCTION("""COMPUTED_VALUE"""),1476.12)</f>
        <v>1476.12</v>
      </c>
      <c r="F57" s="6">
        <f>IFERROR(__xludf.DUMMYFUNCTION("""COMPUTED_VALUE"""),1874112.0)</f>
        <v>1874112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IFERROR(__xludf.DUMMYFUNCTION("""COMPUTED_VALUE"""),1476.08)</f>
        <v>1476.08</v>
      </c>
      <c r="C58" s="6">
        <f>IFERROR(__xludf.DUMMYFUNCTION("""COMPUTED_VALUE"""),1517.0)</f>
        <v>1517</v>
      </c>
      <c r="D58" s="6">
        <f>IFERROR(__xludf.DUMMYFUNCTION("""COMPUTED_VALUE"""),1426.01)</f>
        <v>1426.01</v>
      </c>
      <c r="E58" s="6">
        <f>IFERROR(__xludf.DUMMYFUNCTION("""COMPUTED_VALUE"""),1442.08)</f>
        <v>1442.08</v>
      </c>
      <c r="F58" s="6">
        <f>IFERROR(__xludf.DUMMYFUNCTION("""COMPUTED_VALUE"""),2071514.0)</f>
        <v>2071514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IFERROR(__xludf.DUMMYFUNCTION("""COMPUTED_VALUE"""),1442.08)</f>
        <v>1442.08</v>
      </c>
      <c r="C59" s="6">
        <f>IFERROR(__xludf.DUMMYFUNCTION("""COMPUTED_VALUE"""),1557.54)</f>
        <v>1557.54</v>
      </c>
      <c r="D59" s="6">
        <f>IFERROR(__xludf.DUMMYFUNCTION("""COMPUTED_VALUE"""),1342.01)</f>
        <v>1342.01</v>
      </c>
      <c r="E59" s="6">
        <f>IFERROR(__xludf.DUMMYFUNCTION("""COMPUTED_VALUE"""),1547.97)</f>
        <v>1547.97</v>
      </c>
      <c r="F59" s="6">
        <f>IFERROR(__xludf.DUMMYFUNCTION("""COMPUTED_VALUE"""),7155202.0)</f>
        <v>7155202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IFERROR(__xludf.DUMMYFUNCTION("""COMPUTED_VALUE"""),1513.0)</f>
        <v>1513</v>
      </c>
      <c r="C60" s="6">
        <f>IFERROR(__xludf.DUMMYFUNCTION("""COMPUTED_VALUE"""),1606.0)</f>
        <v>1606</v>
      </c>
      <c r="D60" s="6">
        <f>IFERROR(__xludf.DUMMYFUNCTION("""COMPUTED_VALUE"""),1494.0)</f>
        <v>1494</v>
      </c>
      <c r="E60" s="6">
        <f>IFERROR(__xludf.DUMMYFUNCTION("""COMPUTED_VALUE"""),1590.76)</f>
        <v>1590.76</v>
      </c>
      <c r="F60" s="6">
        <f>IFERROR(__xludf.DUMMYFUNCTION("""COMPUTED_VALUE"""),2716997.0)</f>
        <v>2716997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IFERROR(__xludf.DUMMYFUNCTION("""COMPUTED_VALUE"""),1590.14)</f>
        <v>1590.14</v>
      </c>
      <c r="C61" s="6">
        <f>IFERROR(__xludf.DUMMYFUNCTION("""COMPUTED_VALUE"""),1631.99)</f>
        <v>1631.99</v>
      </c>
      <c r="D61" s="6">
        <f>IFERROR(__xludf.DUMMYFUNCTION("""COMPUTED_VALUE"""),1572.58)</f>
        <v>1572.58</v>
      </c>
      <c r="E61" s="6">
        <f>IFERROR(__xludf.DUMMYFUNCTION("""COMPUTED_VALUE"""),1614.8)</f>
        <v>1614.8</v>
      </c>
      <c r="F61" s="6">
        <f>IFERROR(__xludf.DUMMYFUNCTION("""COMPUTED_VALUE"""),1700881.0)</f>
        <v>1700881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IFERROR(__xludf.DUMMYFUNCTION("""COMPUTED_VALUE"""),1615.0)</f>
        <v>1615</v>
      </c>
      <c r="C62" s="6">
        <f>IFERROR(__xludf.DUMMYFUNCTION("""COMPUTED_VALUE"""),1668.85)</f>
        <v>1668.85</v>
      </c>
      <c r="D62" s="6">
        <f>IFERROR(__xludf.DUMMYFUNCTION("""COMPUTED_VALUE"""),1581.09)</f>
        <v>1581.09</v>
      </c>
      <c r="E62" s="6">
        <f>IFERROR(__xludf.DUMMYFUNCTION("""COMPUTED_VALUE"""),1665.5)</f>
        <v>1665.5</v>
      </c>
      <c r="F62" s="6">
        <f>IFERROR(__xludf.DUMMYFUNCTION("""COMPUTED_VALUE"""),1457951.0)</f>
        <v>1457951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IFERROR(__xludf.DUMMYFUNCTION("""COMPUTED_VALUE"""),1673.21)</f>
        <v>1673.21</v>
      </c>
      <c r="C63" s="6">
        <f>IFERROR(__xludf.DUMMYFUNCTION("""COMPUTED_VALUE"""),1748.9)</f>
        <v>1748.9</v>
      </c>
      <c r="D63" s="6">
        <f>IFERROR(__xludf.DUMMYFUNCTION("""COMPUTED_VALUE"""),1671.85)</f>
        <v>1671.85</v>
      </c>
      <c r="E63" s="6">
        <f>IFERROR(__xludf.DUMMYFUNCTION("""COMPUTED_VALUE"""),1737.17)</f>
        <v>1737.17</v>
      </c>
      <c r="F63" s="6">
        <f>IFERROR(__xludf.DUMMYFUNCTION("""COMPUTED_VALUE"""),1731547.0)</f>
        <v>1731547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IFERROR(__xludf.DUMMYFUNCTION("""COMPUTED_VALUE"""),1737.21)</f>
        <v>1737.21</v>
      </c>
      <c r="C64" s="6">
        <f>IFERROR(__xludf.DUMMYFUNCTION("""COMPUTED_VALUE"""),1784.0)</f>
        <v>1784</v>
      </c>
      <c r="D64" s="6">
        <f>IFERROR(__xludf.DUMMYFUNCTION("""COMPUTED_VALUE"""),1719.0)</f>
        <v>1719</v>
      </c>
      <c r="E64" s="6">
        <f>IFERROR(__xludf.DUMMYFUNCTION("""COMPUTED_VALUE"""),1780.29)</f>
        <v>1780.29</v>
      </c>
      <c r="F64" s="6">
        <f>IFERROR(__xludf.DUMMYFUNCTION("""COMPUTED_VALUE"""),1419867.0)</f>
        <v>1419867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IFERROR(__xludf.DUMMYFUNCTION("""COMPUTED_VALUE"""),1788.3)</f>
        <v>1788.3</v>
      </c>
      <c r="C65" s="6">
        <f>IFERROR(__xludf.DUMMYFUNCTION("""COMPUTED_VALUE"""),1870.2)</f>
        <v>1870.2</v>
      </c>
      <c r="D65" s="6">
        <f>IFERROR(__xludf.DUMMYFUNCTION("""COMPUTED_VALUE"""),1772.0)</f>
        <v>1772</v>
      </c>
      <c r="E65" s="6">
        <f>IFERROR(__xludf.DUMMYFUNCTION("""COMPUTED_VALUE"""),1860.15)</f>
        <v>1860.15</v>
      </c>
      <c r="F65" s="6">
        <f>IFERROR(__xludf.DUMMYFUNCTION("""COMPUTED_VALUE"""),2056082.0)</f>
        <v>2056082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IFERROR(__xludf.DUMMYFUNCTION("""COMPUTED_VALUE"""),1857.8)</f>
        <v>1857.8</v>
      </c>
      <c r="C66" s="6">
        <f>IFERROR(__xludf.DUMMYFUNCTION("""COMPUTED_VALUE"""),1959.42)</f>
        <v>1959.42</v>
      </c>
      <c r="D66" s="6">
        <f>IFERROR(__xludf.DUMMYFUNCTION("""COMPUTED_VALUE"""),1837.64)</f>
        <v>1837.64</v>
      </c>
      <c r="E66" s="6">
        <f>IFERROR(__xludf.DUMMYFUNCTION("""COMPUTED_VALUE"""),1874.09)</f>
        <v>1874.09</v>
      </c>
      <c r="F66" s="6">
        <f>IFERROR(__xludf.DUMMYFUNCTION("""COMPUTED_VALUE"""),2166930.0)</f>
        <v>2166930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IFERROR(__xludf.DUMMYFUNCTION("""COMPUTED_VALUE"""),1889.92)</f>
        <v>1889.92</v>
      </c>
      <c r="C67" s="6">
        <f>IFERROR(__xludf.DUMMYFUNCTION("""COMPUTED_VALUE"""),1914.8)</f>
        <v>1914.8</v>
      </c>
      <c r="D67" s="6">
        <f>IFERROR(__xludf.DUMMYFUNCTION("""COMPUTED_VALUE"""),1863.05)</f>
        <v>1863.05</v>
      </c>
      <c r="E67" s="6">
        <f>IFERROR(__xludf.DUMMYFUNCTION("""COMPUTED_VALUE"""),1890.22)</f>
        <v>1890.22</v>
      </c>
      <c r="F67" s="6">
        <f>IFERROR(__xludf.DUMMYFUNCTION("""COMPUTED_VALUE"""),1071148.0)</f>
        <v>1071148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IFERROR(__xludf.DUMMYFUNCTION("""COMPUTED_VALUE"""),1878.02)</f>
        <v>1878.02</v>
      </c>
      <c r="C68" s="6">
        <f>IFERROR(__xludf.DUMMYFUNCTION("""COMPUTED_VALUE"""),2005.36)</f>
        <v>2005.36</v>
      </c>
      <c r="D68" s="6">
        <f>IFERROR(__xludf.DUMMYFUNCTION("""COMPUTED_VALUE"""),1877.5)</f>
        <v>1877.5</v>
      </c>
      <c r="E68" s="6">
        <f>IFERROR(__xludf.DUMMYFUNCTION("""COMPUTED_VALUE"""),1933.93)</f>
        <v>1933.93</v>
      </c>
      <c r="F68" s="6">
        <f>IFERROR(__xludf.DUMMYFUNCTION("""COMPUTED_VALUE"""),2567369.0)</f>
        <v>2567369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IFERROR(__xludf.DUMMYFUNCTION("""COMPUTED_VALUE"""),1933.93)</f>
        <v>1933.93</v>
      </c>
      <c r="C69" s="6">
        <f>IFERROR(__xludf.DUMMYFUNCTION("""COMPUTED_VALUE"""),1955.6)</f>
        <v>1955.6</v>
      </c>
      <c r="D69" s="6">
        <f>IFERROR(__xludf.DUMMYFUNCTION("""COMPUTED_VALUE"""),1850.51)</f>
        <v>1850.51</v>
      </c>
      <c r="E69" s="6">
        <f>IFERROR(__xludf.DUMMYFUNCTION("""COMPUTED_VALUE"""),1880.83)</f>
        <v>1880.83</v>
      </c>
      <c r="F69" s="6">
        <f>IFERROR(__xludf.DUMMYFUNCTION("""COMPUTED_VALUE"""),2056835.0)</f>
        <v>2056835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IFERROR(__xludf.DUMMYFUNCTION("""COMPUTED_VALUE"""),1864.7)</f>
        <v>1864.7</v>
      </c>
      <c r="C70" s="6">
        <f>IFERROR(__xludf.DUMMYFUNCTION("""COMPUTED_VALUE"""),1864.7)</f>
        <v>1864.7</v>
      </c>
      <c r="D70" s="6">
        <f>IFERROR(__xludf.DUMMYFUNCTION("""COMPUTED_VALUE"""),1696.27)</f>
        <v>1696.27</v>
      </c>
      <c r="E70" s="6">
        <f>IFERROR(__xludf.DUMMYFUNCTION("""COMPUTED_VALUE"""),1728.31)</f>
        <v>1728.31</v>
      </c>
      <c r="F70" s="6">
        <f>IFERROR(__xludf.DUMMYFUNCTION("""COMPUTED_VALUE"""),3069695.0)</f>
        <v>3069695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IFERROR(__xludf.DUMMYFUNCTION("""COMPUTED_VALUE"""),1728.31)</f>
        <v>1728.31</v>
      </c>
      <c r="C71" s="6">
        <f>IFERROR(__xludf.DUMMYFUNCTION("""COMPUTED_VALUE"""),1886.0)</f>
        <v>1886</v>
      </c>
      <c r="D71" s="6">
        <f>IFERROR(__xludf.DUMMYFUNCTION("""COMPUTED_VALUE"""),1628.52)</f>
        <v>1628.52</v>
      </c>
      <c r="E71" s="6">
        <f>IFERROR(__xludf.DUMMYFUNCTION("""COMPUTED_VALUE"""),1846.92)</f>
        <v>1846.92</v>
      </c>
      <c r="F71" s="6">
        <f>IFERROR(__xludf.DUMMYFUNCTION("""COMPUTED_VALUE"""),4359033.0)</f>
        <v>4359033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IFERROR(__xludf.DUMMYFUNCTION("""COMPUTED_VALUE"""),1595.0)</f>
        <v>1595</v>
      </c>
      <c r="C72" s="6">
        <f>IFERROR(__xludf.DUMMYFUNCTION("""COMPUTED_VALUE"""),1724.8)</f>
        <v>1724.8</v>
      </c>
      <c r="D72" s="6">
        <f>IFERROR(__xludf.DUMMYFUNCTION("""COMPUTED_VALUE"""),1564.03)</f>
        <v>1564.03</v>
      </c>
      <c r="E72" s="6">
        <f>IFERROR(__xludf.DUMMYFUNCTION("""COMPUTED_VALUE"""),1707.17)</f>
        <v>1707.17</v>
      </c>
      <c r="F72" s="6">
        <f>IFERROR(__xludf.DUMMYFUNCTION("""COMPUTED_VALUE"""),1726765.0)</f>
        <v>1726765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IFERROR(__xludf.DUMMYFUNCTION("""COMPUTED_VALUE"""),1710.0)</f>
        <v>1710</v>
      </c>
      <c r="C73" s="6">
        <f>IFERROR(__xludf.DUMMYFUNCTION("""COMPUTED_VALUE"""),1710.0)</f>
        <v>1710</v>
      </c>
      <c r="D73" s="6">
        <f>IFERROR(__xludf.DUMMYFUNCTION("""COMPUTED_VALUE"""),1535.2)</f>
        <v>1535.2</v>
      </c>
      <c r="E73" s="6">
        <f>IFERROR(__xludf.DUMMYFUNCTION("""COMPUTED_VALUE"""),1558.67)</f>
        <v>1558.67</v>
      </c>
      <c r="F73" s="6">
        <f>IFERROR(__xludf.DUMMYFUNCTION("""COMPUTED_VALUE"""),2479286.0)</f>
        <v>2479286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IFERROR(__xludf.DUMMYFUNCTION("""COMPUTED_VALUE"""),1546.6)</f>
        <v>1546.6</v>
      </c>
      <c r="C74" s="6">
        <f>IFERROR(__xludf.DUMMYFUNCTION("""COMPUTED_VALUE"""),1575.0)</f>
        <v>1575</v>
      </c>
      <c r="D74" s="6">
        <f>IFERROR(__xludf.DUMMYFUNCTION("""COMPUTED_VALUE"""),1487.0)</f>
        <v>1487</v>
      </c>
      <c r="E74" s="6">
        <f>IFERROR(__xludf.DUMMYFUNCTION("""COMPUTED_VALUE"""),1499.24)</f>
        <v>1499.24</v>
      </c>
      <c r="F74" s="6">
        <f>IFERROR(__xludf.DUMMYFUNCTION("""COMPUTED_VALUE"""),2603372.0)</f>
        <v>2603372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IFERROR(__xludf.DUMMYFUNCTION("""COMPUTED_VALUE"""),1470.0)</f>
        <v>1470</v>
      </c>
      <c r="C75" s="6">
        <f>IFERROR(__xludf.DUMMYFUNCTION("""COMPUTED_VALUE"""),1543.99)</f>
        <v>1543.99</v>
      </c>
      <c r="D75" s="6">
        <f>IFERROR(__xludf.DUMMYFUNCTION("""COMPUTED_VALUE"""),1419.63)</f>
        <v>1419.63</v>
      </c>
      <c r="E75" s="6">
        <f>IFERROR(__xludf.DUMMYFUNCTION("""COMPUTED_VALUE"""),1472.43)</f>
        <v>1472.43</v>
      </c>
      <c r="F75" s="6">
        <f>IFERROR(__xludf.DUMMYFUNCTION("""COMPUTED_VALUE"""),2653493.0)</f>
        <v>2653493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IFERROR(__xludf.DUMMYFUNCTION("""COMPUTED_VALUE"""),1472.62)</f>
        <v>1472.62</v>
      </c>
      <c r="C76" s="6">
        <f>IFERROR(__xludf.DUMMYFUNCTION("""COMPUTED_VALUE"""),1601.2)</f>
        <v>1601.2</v>
      </c>
      <c r="D76" s="6">
        <f>IFERROR(__xludf.DUMMYFUNCTION("""COMPUTED_VALUE"""),1428.52)</f>
        <v>1428.52</v>
      </c>
      <c r="E76" s="6">
        <f>IFERROR(__xludf.DUMMYFUNCTION("""COMPUTED_VALUE"""),1541.45)</f>
        <v>1541.45</v>
      </c>
      <c r="F76" s="6">
        <f>IFERROR(__xludf.DUMMYFUNCTION("""COMPUTED_VALUE"""),5922017.0)</f>
        <v>5922017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IFERROR(__xludf.DUMMYFUNCTION("""COMPUTED_VALUE"""),1538.4)</f>
        <v>1538.4</v>
      </c>
      <c r="C77" s="6">
        <f>IFERROR(__xludf.DUMMYFUNCTION("""COMPUTED_VALUE"""),1548.01)</f>
        <v>1548.01</v>
      </c>
      <c r="D77" s="6">
        <f>IFERROR(__xludf.DUMMYFUNCTION("""COMPUTED_VALUE"""),1440.0)</f>
        <v>1440</v>
      </c>
      <c r="E77" s="6">
        <f>IFERROR(__xludf.DUMMYFUNCTION("""COMPUTED_VALUE"""),1458.45)</f>
        <v>1458.45</v>
      </c>
      <c r="F77" s="6">
        <f>IFERROR(__xludf.DUMMYFUNCTION("""COMPUTED_VALUE"""),1912265.0)</f>
        <v>1912265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IFERROR(__xludf.DUMMYFUNCTION("""COMPUTED_VALUE"""),1478.0)</f>
        <v>1478</v>
      </c>
      <c r="C78" s="6">
        <f>IFERROR(__xludf.DUMMYFUNCTION("""COMPUTED_VALUE"""),1562.0)</f>
        <v>1562</v>
      </c>
      <c r="D78" s="6">
        <f>IFERROR(__xludf.DUMMYFUNCTION("""COMPUTED_VALUE"""),1468.0)</f>
        <v>1468</v>
      </c>
      <c r="E78" s="6">
        <f>IFERROR(__xludf.DUMMYFUNCTION("""COMPUTED_VALUE"""),1549.36)</f>
        <v>1549.36</v>
      </c>
      <c r="F78" s="6">
        <f>IFERROR(__xludf.DUMMYFUNCTION("""COMPUTED_VALUE"""),2204890.0)</f>
        <v>2204890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IFERROR(__xludf.DUMMYFUNCTION("""COMPUTED_VALUE"""),1557.1)</f>
        <v>1557.1</v>
      </c>
      <c r="C79" s="6">
        <f>IFERROR(__xludf.DUMMYFUNCTION("""COMPUTED_VALUE"""),1650.0)</f>
        <v>1650</v>
      </c>
      <c r="D79" s="6">
        <f>IFERROR(__xludf.DUMMYFUNCTION("""COMPUTED_VALUE"""),1525.0)</f>
        <v>1525</v>
      </c>
      <c r="E79" s="6">
        <f>IFERROR(__xludf.DUMMYFUNCTION("""COMPUTED_VALUE"""),1621.84)</f>
        <v>1621.84</v>
      </c>
      <c r="F79" s="6">
        <f>IFERROR(__xludf.DUMMYFUNCTION("""COMPUTED_VALUE"""),3177652.0)</f>
        <v>3177652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IFERROR(__xludf.DUMMYFUNCTION("""COMPUTED_VALUE"""),1613.99)</f>
        <v>1613.99</v>
      </c>
      <c r="C80" s="6">
        <f>IFERROR(__xludf.DUMMYFUNCTION("""COMPUTED_VALUE"""),1613.99)</f>
        <v>1613.99</v>
      </c>
      <c r="D80" s="6">
        <f>IFERROR(__xludf.DUMMYFUNCTION("""COMPUTED_VALUE"""),1312.23)</f>
        <v>1312.23</v>
      </c>
      <c r="E80" s="6">
        <f>IFERROR(__xludf.DUMMYFUNCTION("""COMPUTED_VALUE"""),1321.58)</f>
        <v>1321.58</v>
      </c>
      <c r="F80" s="6">
        <f>IFERROR(__xludf.DUMMYFUNCTION("""COMPUTED_VALUE"""),4561451.0)</f>
        <v>4561451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IFERROR(__xludf.DUMMYFUNCTION("""COMPUTED_VALUE"""),1195.0)</f>
        <v>1195</v>
      </c>
      <c r="C81" s="6">
        <f>IFERROR(__xludf.DUMMYFUNCTION("""COMPUTED_VALUE"""),1338.01)</f>
        <v>1338.01</v>
      </c>
      <c r="D81" s="6">
        <f>IFERROR(__xludf.DUMMYFUNCTION("""COMPUTED_VALUE"""),1194.01)</f>
        <v>1194.01</v>
      </c>
      <c r="E81" s="6">
        <f>IFERROR(__xludf.DUMMYFUNCTION("""COMPUTED_VALUE"""),1263.33)</f>
        <v>1263.33</v>
      </c>
      <c r="F81" s="6">
        <f>IFERROR(__xludf.DUMMYFUNCTION("""COMPUTED_VALUE"""),5946303.0)</f>
        <v>5946303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IFERROR(__xludf.DUMMYFUNCTION("""COMPUTED_VALUE"""),1283.2)</f>
        <v>1283.2</v>
      </c>
      <c r="C82" s="6">
        <f>IFERROR(__xludf.DUMMYFUNCTION("""COMPUTED_VALUE"""),1333.6)</f>
        <v>1333.6</v>
      </c>
      <c r="D82" s="6">
        <f>IFERROR(__xludf.DUMMYFUNCTION("""COMPUTED_VALUE"""),1250.2)</f>
        <v>1250.2</v>
      </c>
      <c r="E82" s="6">
        <f>IFERROR(__xludf.DUMMYFUNCTION("""COMPUTED_VALUE"""),1320.0)</f>
        <v>1320</v>
      </c>
      <c r="F82" s="6">
        <f>IFERROR(__xludf.DUMMYFUNCTION("""COMPUTED_VALUE"""),2684465.0)</f>
        <v>2684465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IFERROR(__xludf.DUMMYFUNCTION("""COMPUTED_VALUE"""),1333.9)</f>
        <v>1333.9</v>
      </c>
      <c r="C83" s="6">
        <f>IFERROR(__xludf.DUMMYFUNCTION("""COMPUTED_VALUE"""),1502.8)</f>
        <v>1502.8</v>
      </c>
      <c r="D83" s="6">
        <f>IFERROR(__xludf.DUMMYFUNCTION("""COMPUTED_VALUE"""),1333.2)</f>
        <v>1333.2</v>
      </c>
      <c r="E83" s="6">
        <f>IFERROR(__xludf.DUMMYFUNCTION("""COMPUTED_VALUE"""),1478.0)</f>
        <v>1478</v>
      </c>
      <c r="F83" s="6">
        <f>IFERROR(__xludf.DUMMYFUNCTION("""COMPUTED_VALUE"""),4781462.0)</f>
        <v>4781462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IFERROR(__xludf.DUMMYFUNCTION("""COMPUTED_VALUE"""),1482.0)</f>
        <v>1482</v>
      </c>
      <c r="C84" s="6">
        <f>IFERROR(__xludf.DUMMYFUNCTION("""COMPUTED_VALUE"""),1511.0)</f>
        <v>1511</v>
      </c>
      <c r="D84" s="6">
        <f>IFERROR(__xludf.DUMMYFUNCTION("""COMPUTED_VALUE"""),1451.0)</f>
        <v>1451</v>
      </c>
      <c r="E84" s="6">
        <f>IFERROR(__xludf.DUMMYFUNCTION("""COMPUTED_VALUE"""),1476.4)</f>
        <v>1476.4</v>
      </c>
      <c r="F84" s="6">
        <f>IFERROR(__xludf.DUMMYFUNCTION("""COMPUTED_VALUE"""),1848733.0)</f>
        <v>1848733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IFERROR(__xludf.DUMMYFUNCTION("""COMPUTED_VALUE"""),1484.0)</f>
        <v>1484</v>
      </c>
      <c r="C85" s="6">
        <f>IFERROR(__xludf.DUMMYFUNCTION("""COMPUTED_VALUE"""),1599.8)</f>
        <v>1599.8</v>
      </c>
      <c r="D85" s="6">
        <f>IFERROR(__xludf.DUMMYFUNCTION("""COMPUTED_VALUE"""),1467.2)</f>
        <v>1467.2</v>
      </c>
      <c r="E85" s="6">
        <f>IFERROR(__xludf.DUMMYFUNCTION("""COMPUTED_VALUE"""),1536.2)</f>
        <v>1536.2</v>
      </c>
      <c r="F85" s="6">
        <f>IFERROR(__xludf.DUMMYFUNCTION("""COMPUTED_VALUE"""),5126954.0)</f>
        <v>5126954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IFERROR(__xludf.DUMMYFUNCTION("""COMPUTED_VALUE"""),1600.2)</f>
        <v>1600.2</v>
      </c>
      <c r="C86" s="6">
        <f>IFERROR(__xludf.DUMMYFUNCTION("""COMPUTED_VALUE"""),1709.0)</f>
        <v>1709</v>
      </c>
      <c r="D86" s="6">
        <f>IFERROR(__xludf.DUMMYFUNCTION("""COMPUTED_VALUE"""),1568.5)</f>
        <v>1568.5</v>
      </c>
      <c r="E86" s="6">
        <f>IFERROR(__xludf.DUMMYFUNCTION("""COMPUTED_VALUE"""),1685.2)</f>
        <v>1685.2</v>
      </c>
      <c r="F86" s="6">
        <f>IFERROR(__xludf.DUMMYFUNCTION("""COMPUTED_VALUE"""),3219332.0)</f>
        <v>3219332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IFERROR(__xludf.DUMMYFUNCTION("""COMPUTED_VALUE"""),1685.8)</f>
        <v>1685.8</v>
      </c>
      <c r="C87" s="6">
        <f>IFERROR(__xludf.DUMMYFUNCTION("""COMPUTED_VALUE"""),1704.0)</f>
        <v>1704</v>
      </c>
      <c r="D87" s="6">
        <f>IFERROR(__xludf.DUMMYFUNCTION("""COMPUTED_VALUE"""),1629.2)</f>
        <v>1629.2</v>
      </c>
      <c r="E87" s="6">
        <f>IFERROR(__xludf.DUMMYFUNCTION("""COMPUTED_VALUE"""),1664.3)</f>
        <v>1664.3</v>
      </c>
      <c r="F87" s="6">
        <f>IFERROR(__xludf.DUMMYFUNCTION("""COMPUTED_VALUE"""),2025990.0)</f>
        <v>2025990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IFERROR(__xludf.DUMMYFUNCTION("""COMPUTED_VALUE"""),1672.6)</f>
        <v>1672.6</v>
      </c>
      <c r="C88" s="6">
        <f>IFERROR(__xludf.DUMMYFUNCTION("""COMPUTED_VALUE"""),1739.8)</f>
        <v>1739.8</v>
      </c>
      <c r="D88" s="6">
        <f>IFERROR(__xludf.DUMMYFUNCTION("""COMPUTED_VALUE"""),1656.6)</f>
        <v>1656.6</v>
      </c>
      <c r="E88" s="6">
        <f>IFERROR(__xludf.DUMMYFUNCTION("""COMPUTED_VALUE"""),1710.1)</f>
        <v>1710.1</v>
      </c>
      <c r="F88" s="6">
        <f>IFERROR(__xludf.DUMMYFUNCTION("""COMPUTED_VALUE"""),1401362.0)</f>
        <v>1401362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IFERROR(__xludf.DUMMYFUNCTION("""COMPUTED_VALUE"""),1709.9)</f>
        <v>1709.9</v>
      </c>
      <c r="C89" s="6">
        <f>IFERROR(__xludf.DUMMYFUNCTION("""COMPUTED_VALUE"""),1792.0)</f>
        <v>1792</v>
      </c>
      <c r="D89" s="6">
        <f>IFERROR(__xludf.DUMMYFUNCTION("""COMPUTED_VALUE"""),1690.5)</f>
        <v>1690.5</v>
      </c>
      <c r="E89" s="6">
        <f>IFERROR(__xludf.DUMMYFUNCTION("""COMPUTED_VALUE"""),1775.5)</f>
        <v>1775.5</v>
      </c>
      <c r="F89" s="6">
        <f>IFERROR(__xludf.DUMMYFUNCTION("""COMPUTED_VALUE"""),5925235.0)</f>
        <v>5925235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IFERROR(__xludf.DUMMYFUNCTION("""COMPUTED_VALUE"""),1788.5)</f>
        <v>1788.5</v>
      </c>
      <c r="C90" s="6">
        <f>IFERROR(__xludf.DUMMYFUNCTION("""COMPUTED_VALUE"""),1895.0)</f>
        <v>1895</v>
      </c>
      <c r="D90" s="6">
        <f>IFERROR(__xludf.DUMMYFUNCTION("""COMPUTED_VALUE"""),1744.5)</f>
        <v>1744.5</v>
      </c>
      <c r="E90" s="6">
        <f>IFERROR(__xludf.DUMMYFUNCTION("""COMPUTED_VALUE"""),1792.5)</f>
        <v>1792.5</v>
      </c>
      <c r="F90" s="6">
        <f>IFERROR(__xludf.DUMMYFUNCTION("""COMPUTED_VALUE"""),1.3225603E7)</f>
        <v>13225603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IFERROR(__xludf.DUMMYFUNCTION("""COMPUTED_VALUE"""),1792.5)</f>
        <v>1792.5</v>
      </c>
      <c r="C91" s="6">
        <f>IFERROR(__xludf.DUMMYFUNCTION("""COMPUTED_VALUE"""),1862.5)</f>
        <v>1862.5</v>
      </c>
      <c r="D91" s="6">
        <f>IFERROR(__xludf.DUMMYFUNCTION("""COMPUTED_VALUE"""),1778.0)</f>
        <v>1778</v>
      </c>
      <c r="E91" s="6">
        <f>IFERROR(__xludf.DUMMYFUNCTION("""COMPUTED_VALUE"""),1832.0)</f>
        <v>1832</v>
      </c>
      <c r="F91" s="6">
        <f>IFERROR(__xludf.DUMMYFUNCTION("""COMPUTED_VALUE"""),7062945.0)</f>
        <v>7062945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IFERROR(__xludf.DUMMYFUNCTION("""COMPUTED_VALUE"""),1815.0)</f>
        <v>1815</v>
      </c>
      <c r="C92" s="6">
        <f>IFERROR(__xludf.DUMMYFUNCTION("""COMPUTED_VALUE"""),1955.0)</f>
        <v>1955</v>
      </c>
      <c r="D92" s="6">
        <f>IFERROR(__xludf.DUMMYFUNCTION("""COMPUTED_VALUE"""),1805.5)</f>
        <v>1805.5</v>
      </c>
      <c r="E92" s="6">
        <f>IFERROR(__xludf.DUMMYFUNCTION("""COMPUTED_VALUE"""),1899.5)</f>
        <v>1899.5</v>
      </c>
      <c r="F92" s="6">
        <f>IFERROR(__xludf.DUMMYFUNCTION("""COMPUTED_VALUE"""),9761947.0)</f>
        <v>9761947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IFERROR(__xludf.DUMMYFUNCTION("""COMPUTED_VALUE"""),1916.0)</f>
        <v>1916</v>
      </c>
      <c r="C93" s="6">
        <f>IFERROR(__xludf.DUMMYFUNCTION("""COMPUTED_VALUE"""),1961.3)</f>
        <v>1961.3</v>
      </c>
      <c r="D93" s="6">
        <f>IFERROR(__xludf.DUMMYFUNCTION("""COMPUTED_VALUE"""),1883.0)</f>
        <v>1883</v>
      </c>
      <c r="E93" s="6">
        <f>IFERROR(__xludf.DUMMYFUNCTION("""COMPUTED_VALUE"""),1950.6)</f>
        <v>1950.6</v>
      </c>
      <c r="F93" s="6">
        <f>IFERROR(__xludf.DUMMYFUNCTION("""COMPUTED_VALUE"""),7596051.0)</f>
        <v>7596051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IFERROR(__xludf.DUMMYFUNCTION("""COMPUTED_VALUE"""),1950.6)</f>
        <v>1950.6</v>
      </c>
      <c r="C94" s="6">
        <f>IFERROR(__xludf.DUMMYFUNCTION("""COMPUTED_VALUE"""),1994.0)</f>
        <v>1994</v>
      </c>
      <c r="D94" s="6">
        <f>IFERROR(__xludf.DUMMYFUNCTION("""COMPUTED_VALUE"""),1846.2)</f>
        <v>1846.2</v>
      </c>
      <c r="E94" s="6">
        <f>IFERROR(__xludf.DUMMYFUNCTION("""COMPUTED_VALUE"""),1867.8)</f>
        <v>1867.8</v>
      </c>
      <c r="F94" s="6">
        <f>IFERROR(__xludf.DUMMYFUNCTION("""COMPUTED_VALUE"""),7134239.0)</f>
        <v>7134239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IFERROR(__xludf.DUMMYFUNCTION("""COMPUTED_VALUE"""),1863.0)</f>
        <v>1863</v>
      </c>
      <c r="C95" s="6">
        <f>IFERROR(__xludf.DUMMYFUNCTION("""COMPUTED_VALUE"""),1915.0)</f>
        <v>1915</v>
      </c>
      <c r="D95" s="6">
        <f>IFERROR(__xludf.DUMMYFUNCTION("""COMPUTED_VALUE"""),1838.6)</f>
        <v>1838.6</v>
      </c>
      <c r="E95" s="6">
        <f>IFERROR(__xludf.DUMMYFUNCTION("""COMPUTED_VALUE"""),1859.3)</f>
        <v>1859.3</v>
      </c>
      <c r="F95" s="6">
        <f>IFERROR(__xludf.DUMMYFUNCTION("""COMPUTED_VALUE"""),5870201.0)</f>
        <v>5870201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IFERROR(__xludf.DUMMYFUNCTION("""COMPUTED_VALUE"""),1859.9)</f>
        <v>1859.9</v>
      </c>
      <c r="C96" s="6">
        <f>IFERROR(__xludf.DUMMYFUNCTION("""COMPUTED_VALUE"""),1884.8)</f>
        <v>1884.8</v>
      </c>
      <c r="D96" s="6">
        <f>IFERROR(__xludf.DUMMYFUNCTION("""COMPUTED_VALUE"""),1653.5)</f>
        <v>1653.5</v>
      </c>
      <c r="E96" s="6">
        <f>IFERROR(__xludf.DUMMYFUNCTION("""COMPUTED_VALUE"""),1688.8)</f>
        <v>1688.8</v>
      </c>
      <c r="F96" s="6">
        <f>IFERROR(__xludf.DUMMYFUNCTION("""COMPUTED_VALUE"""),1.9867566E7)</f>
        <v>19867566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IFERROR(__xludf.DUMMYFUNCTION("""COMPUTED_VALUE"""),1688.8)</f>
        <v>1688.8</v>
      </c>
      <c r="C97" s="6">
        <f>IFERROR(__xludf.DUMMYFUNCTION("""COMPUTED_VALUE"""),1756.3)</f>
        <v>1756.3</v>
      </c>
      <c r="D97" s="6">
        <f>IFERROR(__xludf.DUMMYFUNCTION("""COMPUTED_VALUE"""),1667.5)</f>
        <v>1667.5</v>
      </c>
      <c r="E97" s="6">
        <f>IFERROR(__xludf.DUMMYFUNCTION("""COMPUTED_VALUE"""),1706.3)</f>
        <v>1706.3</v>
      </c>
      <c r="F97" s="6">
        <f>IFERROR(__xludf.DUMMYFUNCTION("""COMPUTED_VALUE"""),1.117866E7)</f>
        <v>11178660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IFERROR(__xludf.DUMMYFUNCTION("""COMPUTED_VALUE"""),1705.0)</f>
        <v>1705</v>
      </c>
      <c r="C98" s="6">
        <f>IFERROR(__xludf.DUMMYFUNCTION("""COMPUTED_VALUE"""),1749.5)</f>
        <v>1749.5</v>
      </c>
      <c r="D98" s="6">
        <f>IFERROR(__xludf.DUMMYFUNCTION("""COMPUTED_VALUE"""),1601.3)</f>
        <v>1601.3</v>
      </c>
      <c r="E98" s="6">
        <f>IFERROR(__xludf.DUMMYFUNCTION("""COMPUTED_VALUE"""),1606.8)</f>
        <v>1606.8</v>
      </c>
      <c r="F98" s="6">
        <f>IFERROR(__xludf.DUMMYFUNCTION("""COMPUTED_VALUE"""),1.1834501E7)</f>
        <v>11834501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IFERROR(__xludf.DUMMYFUNCTION("""COMPUTED_VALUE"""),1606.8)</f>
        <v>1606.8</v>
      </c>
      <c r="C99" s="6">
        <f>IFERROR(__xludf.DUMMYFUNCTION("""COMPUTED_VALUE"""),1652.0)</f>
        <v>1652</v>
      </c>
      <c r="D99" s="6">
        <f>IFERROR(__xludf.DUMMYFUNCTION("""COMPUTED_VALUE"""),1584.3)</f>
        <v>1584.3</v>
      </c>
      <c r="E99" s="6">
        <f>IFERROR(__xludf.DUMMYFUNCTION("""COMPUTED_VALUE"""),1642.0)</f>
        <v>1642</v>
      </c>
      <c r="F99" s="6">
        <f>IFERROR(__xludf.DUMMYFUNCTION("""COMPUTED_VALUE"""),5144080.0)</f>
        <v>5144080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IFERROR(__xludf.DUMMYFUNCTION("""COMPUTED_VALUE"""),1664.0)</f>
        <v>1664</v>
      </c>
      <c r="C100" s="6">
        <f>IFERROR(__xludf.DUMMYFUNCTION("""COMPUTED_VALUE"""),1756.0)</f>
        <v>1756</v>
      </c>
      <c r="D100" s="6">
        <f>IFERROR(__xludf.DUMMYFUNCTION("""COMPUTED_VALUE"""),1632.7)</f>
        <v>1632.7</v>
      </c>
      <c r="E100" s="6">
        <f>IFERROR(__xludf.DUMMYFUNCTION("""COMPUTED_VALUE"""),1747.7)</f>
        <v>1747.7</v>
      </c>
      <c r="F100" s="6">
        <f>IFERROR(__xludf.DUMMYFUNCTION("""COMPUTED_VALUE"""),8655436.0)</f>
        <v>8655436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IFERROR(__xludf.DUMMYFUNCTION("""COMPUTED_VALUE"""),1757.0)</f>
        <v>1757</v>
      </c>
      <c r="C101" s="6">
        <f>IFERROR(__xludf.DUMMYFUNCTION("""COMPUTED_VALUE"""),1797.5)</f>
        <v>1797.5</v>
      </c>
      <c r="D101" s="6">
        <f>IFERROR(__xludf.DUMMYFUNCTION("""COMPUTED_VALUE"""),1734.5)</f>
        <v>1734.5</v>
      </c>
      <c r="E101" s="6">
        <f>IFERROR(__xludf.DUMMYFUNCTION("""COMPUTED_VALUE"""),1739.3)</f>
        <v>1739.3</v>
      </c>
      <c r="F101" s="6">
        <f>IFERROR(__xludf.DUMMYFUNCTION("""COMPUTED_VALUE"""),3.2424582E7)</f>
        <v>32424582</v>
      </c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IFERROR(__xludf.DUMMYFUNCTION("GOOGLEFINANCE(""NSE:COLPAL"",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IFERROR(__xludf.DUMMYFUNCTION("""COMPUTED_VALUE"""),1979.35)</f>
        <v>1979.35</v>
      </c>
      <c r="C2" s="6">
        <f>IFERROR(__xludf.DUMMYFUNCTION("""COMPUTED_VALUE"""),1980.0)</f>
        <v>1980</v>
      </c>
      <c r="D2" s="6">
        <f>IFERROR(__xludf.DUMMYFUNCTION("""COMPUTED_VALUE"""),1914.0)</f>
        <v>1914</v>
      </c>
      <c r="E2" s="6">
        <f>IFERROR(__xludf.DUMMYFUNCTION("""COMPUTED_VALUE"""),1939.4)</f>
        <v>1939.4</v>
      </c>
      <c r="F2" s="6">
        <f>IFERROR(__xludf.DUMMYFUNCTION("""COMPUTED_VALUE"""),2737970.0)</f>
        <v>2737970</v>
      </c>
    </row>
    <row r="3">
      <c r="A3" s="7">
        <f>IFERROR(__xludf.DUMMYFUNCTION("""COMPUTED_VALUE"""),45177.64583333333)</f>
        <v>45177.64583</v>
      </c>
      <c r="B3" s="6">
        <f>IFERROR(__xludf.DUMMYFUNCTION("""COMPUTED_VALUE"""),1939.4)</f>
        <v>1939.4</v>
      </c>
      <c r="C3" s="6">
        <f>IFERROR(__xludf.DUMMYFUNCTION("""COMPUTED_VALUE"""),2038.75)</f>
        <v>2038.75</v>
      </c>
      <c r="D3" s="6">
        <f>IFERROR(__xludf.DUMMYFUNCTION("""COMPUTED_VALUE"""),1934.0)</f>
        <v>1934</v>
      </c>
      <c r="E3" s="6">
        <f>IFERROR(__xludf.DUMMYFUNCTION("""COMPUTED_VALUE"""),2015.4)</f>
        <v>2015.4</v>
      </c>
      <c r="F3" s="6">
        <f>IFERROR(__xludf.DUMMYFUNCTION("""COMPUTED_VALUE"""),2468520.0)</f>
        <v>2468520</v>
      </c>
    </row>
    <row r="4">
      <c r="A4" s="7">
        <f>IFERROR(__xludf.DUMMYFUNCTION("""COMPUTED_VALUE"""),45184.64583333333)</f>
        <v>45184.64583</v>
      </c>
      <c r="B4" s="6">
        <f>IFERROR(__xludf.DUMMYFUNCTION("""COMPUTED_VALUE"""),2012.45)</f>
        <v>2012.45</v>
      </c>
      <c r="C4" s="6">
        <f>IFERROR(__xludf.DUMMYFUNCTION("""COMPUTED_VALUE"""),2036.95)</f>
        <v>2036.95</v>
      </c>
      <c r="D4" s="6">
        <f>IFERROR(__xludf.DUMMYFUNCTION("""COMPUTED_VALUE"""),1929.05)</f>
        <v>1929.05</v>
      </c>
      <c r="E4" s="6">
        <f>IFERROR(__xludf.DUMMYFUNCTION("""COMPUTED_VALUE"""),1985.85)</f>
        <v>1985.85</v>
      </c>
      <c r="F4" s="6">
        <f>IFERROR(__xludf.DUMMYFUNCTION("""COMPUTED_VALUE"""),2235832.0)</f>
        <v>2235832</v>
      </c>
    </row>
    <row r="5">
      <c r="A5" s="7">
        <f>IFERROR(__xludf.DUMMYFUNCTION("""COMPUTED_VALUE"""),45191.64583333333)</f>
        <v>45191.64583</v>
      </c>
      <c r="B5" s="6">
        <f>IFERROR(__xludf.DUMMYFUNCTION("""COMPUTED_VALUE"""),1995.9)</f>
        <v>1995.9</v>
      </c>
      <c r="C5" s="6">
        <f>IFERROR(__xludf.DUMMYFUNCTION("""COMPUTED_VALUE"""),2018.95)</f>
        <v>2018.95</v>
      </c>
      <c r="D5" s="6">
        <f>IFERROR(__xludf.DUMMYFUNCTION("""COMPUTED_VALUE"""),1969.95)</f>
        <v>1969.95</v>
      </c>
      <c r="E5" s="6">
        <f>IFERROR(__xludf.DUMMYFUNCTION("""COMPUTED_VALUE"""),2001.3)</f>
        <v>2001.3</v>
      </c>
      <c r="F5" s="6">
        <f>IFERROR(__xludf.DUMMYFUNCTION("""COMPUTED_VALUE"""),1360214.0)</f>
        <v>1360214</v>
      </c>
    </row>
    <row r="6">
      <c r="A6" s="7">
        <f>IFERROR(__xludf.DUMMYFUNCTION("""COMPUTED_VALUE"""),45198.64583333333)</f>
        <v>45198.64583</v>
      </c>
      <c r="B6" s="6">
        <f>IFERROR(__xludf.DUMMYFUNCTION("""COMPUTED_VALUE"""),2004.95)</f>
        <v>2004.95</v>
      </c>
      <c r="C6" s="6">
        <f>IFERROR(__xludf.DUMMYFUNCTION("""COMPUTED_VALUE"""),2096.0)</f>
        <v>2096</v>
      </c>
      <c r="D6" s="6">
        <f>IFERROR(__xludf.DUMMYFUNCTION("""COMPUTED_VALUE"""),1968.1)</f>
        <v>1968.1</v>
      </c>
      <c r="E6" s="6">
        <f>IFERROR(__xludf.DUMMYFUNCTION("""COMPUTED_VALUE"""),2005.55)</f>
        <v>2005.55</v>
      </c>
      <c r="F6" s="6">
        <f>IFERROR(__xludf.DUMMYFUNCTION("""COMPUTED_VALUE"""),3501913.0)</f>
        <v>3501913</v>
      </c>
    </row>
    <row r="7">
      <c r="A7" s="7">
        <f>IFERROR(__xludf.DUMMYFUNCTION("""COMPUTED_VALUE"""),45205.64583333333)</f>
        <v>45205.64583</v>
      </c>
      <c r="B7" s="6">
        <f>IFERROR(__xludf.DUMMYFUNCTION("""COMPUTED_VALUE"""),1997.0)</f>
        <v>1997</v>
      </c>
      <c r="C7" s="6">
        <f>IFERROR(__xludf.DUMMYFUNCTION("""COMPUTED_VALUE"""),2019.3)</f>
        <v>2019.3</v>
      </c>
      <c r="D7" s="6">
        <f>IFERROR(__xludf.DUMMYFUNCTION("""COMPUTED_VALUE"""),1969.15)</f>
        <v>1969.15</v>
      </c>
      <c r="E7" s="6">
        <f>IFERROR(__xludf.DUMMYFUNCTION("""COMPUTED_VALUE"""),1992.55)</f>
        <v>1992.55</v>
      </c>
      <c r="F7" s="6">
        <f>IFERROR(__xludf.DUMMYFUNCTION("""COMPUTED_VALUE"""),1184551.0)</f>
        <v>1184551</v>
      </c>
    </row>
    <row r="8">
      <c r="A8" s="7">
        <f>IFERROR(__xludf.DUMMYFUNCTION("""COMPUTED_VALUE"""),45212.64583333333)</f>
        <v>45212.64583</v>
      </c>
      <c r="B8" s="6">
        <f>IFERROR(__xludf.DUMMYFUNCTION("""COMPUTED_VALUE"""),1972.0)</f>
        <v>1972</v>
      </c>
      <c r="C8" s="6">
        <f>IFERROR(__xludf.DUMMYFUNCTION("""COMPUTED_VALUE"""),2095.0)</f>
        <v>2095</v>
      </c>
      <c r="D8" s="6">
        <f>IFERROR(__xludf.DUMMYFUNCTION("""COMPUTED_VALUE"""),1972.0)</f>
        <v>1972</v>
      </c>
      <c r="E8" s="6">
        <f>IFERROR(__xludf.DUMMYFUNCTION("""COMPUTED_VALUE"""),2049.15)</f>
        <v>2049.15</v>
      </c>
      <c r="F8" s="6">
        <f>IFERROR(__xludf.DUMMYFUNCTION("""COMPUTED_VALUE"""),2612213.0)</f>
        <v>2612213</v>
      </c>
    </row>
    <row r="9">
      <c r="A9" s="7">
        <f>IFERROR(__xludf.DUMMYFUNCTION("""COMPUTED_VALUE"""),45219.64583333333)</f>
        <v>45219.64583</v>
      </c>
      <c r="B9" s="6">
        <f>IFERROR(__xludf.DUMMYFUNCTION("""COMPUTED_VALUE"""),2040.25)</f>
        <v>2040.25</v>
      </c>
      <c r="C9" s="6">
        <f>IFERROR(__xludf.DUMMYFUNCTION("""COMPUTED_VALUE"""),2129.4)</f>
        <v>2129.4</v>
      </c>
      <c r="D9" s="6">
        <f>IFERROR(__xludf.DUMMYFUNCTION("""COMPUTED_VALUE"""),2035.55)</f>
        <v>2035.55</v>
      </c>
      <c r="E9" s="6">
        <f>IFERROR(__xludf.DUMMYFUNCTION("""COMPUTED_VALUE"""),2110.75)</f>
        <v>2110.75</v>
      </c>
      <c r="F9" s="6">
        <f>IFERROR(__xludf.DUMMYFUNCTION("""COMPUTED_VALUE"""),2811274.0)</f>
        <v>2811274</v>
      </c>
    </row>
    <row r="10">
      <c r="A10" s="7">
        <f>IFERROR(__xludf.DUMMYFUNCTION("""COMPUTED_VALUE"""),45226.64583333333)</f>
        <v>45226.64583</v>
      </c>
      <c r="B10" s="6">
        <f>IFERROR(__xludf.DUMMYFUNCTION("""COMPUTED_VALUE"""),2107.3)</f>
        <v>2107.3</v>
      </c>
      <c r="C10" s="6">
        <f>IFERROR(__xludf.DUMMYFUNCTION("""COMPUTED_VALUE"""),2113.6)</f>
        <v>2113.6</v>
      </c>
      <c r="D10" s="6">
        <f>IFERROR(__xludf.DUMMYFUNCTION("""COMPUTED_VALUE"""),2005.0)</f>
        <v>2005</v>
      </c>
      <c r="E10" s="6">
        <f>IFERROR(__xludf.DUMMYFUNCTION("""COMPUTED_VALUE"""),2080.5)</f>
        <v>2080.5</v>
      </c>
      <c r="F10" s="6">
        <f>IFERROR(__xludf.DUMMYFUNCTION("""COMPUTED_VALUE"""),2231279.0)</f>
        <v>2231279</v>
      </c>
    </row>
    <row r="11">
      <c r="A11" s="7">
        <f>IFERROR(__xludf.DUMMYFUNCTION("""COMPUTED_VALUE"""),45233.64583333333)</f>
        <v>45233.64583</v>
      </c>
      <c r="B11" s="6">
        <f>IFERROR(__xludf.DUMMYFUNCTION("""COMPUTED_VALUE"""),2045.05)</f>
        <v>2045.05</v>
      </c>
      <c r="C11" s="6">
        <f>IFERROR(__xludf.DUMMYFUNCTION("""COMPUTED_VALUE"""),2136.95)</f>
        <v>2136.95</v>
      </c>
      <c r="D11" s="6">
        <f>IFERROR(__xludf.DUMMYFUNCTION("""COMPUTED_VALUE"""),2045.05)</f>
        <v>2045.05</v>
      </c>
      <c r="E11" s="6">
        <f>IFERROR(__xludf.DUMMYFUNCTION("""COMPUTED_VALUE"""),2104.95)</f>
        <v>2104.95</v>
      </c>
      <c r="F11" s="6">
        <f>IFERROR(__xludf.DUMMYFUNCTION("""COMPUTED_VALUE"""),2156726.0)</f>
        <v>2156726</v>
      </c>
    </row>
    <row r="12">
      <c r="A12" s="7">
        <f>IFERROR(__xludf.DUMMYFUNCTION("""COMPUTED_VALUE"""),45240.64583333333)</f>
        <v>45240.64583</v>
      </c>
      <c r="B12" s="6">
        <f>IFERROR(__xludf.DUMMYFUNCTION("""COMPUTED_VALUE"""),2099.0)</f>
        <v>2099</v>
      </c>
      <c r="C12" s="6">
        <f>IFERROR(__xludf.DUMMYFUNCTION("""COMPUTED_VALUE"""),2149.0)</f>
        <v>2149</v>
      </c>
      <c r="D12" s="6">
        <f>IFERROR(__xludf.DUMMYFUNCTION("""COMPUTED_VALUE"""),2088.15)</f>
        <v>2088.15</v>
      </c>
      <c r="E12" s="6">
        <f>IFERROR(__xludf.DUMMYFUNCTION("""COMPUTED_VALUE"""),2107.35)</f>
        <v>2107.35</v>
      </c>
      <c r="F12" s="6">
        <f>IFERROR(__xludf.DUMMYFUNCTION("""COMPUTED_VALUE"""),1533317.0)</f>
        <v>1533317</v>
      </c>
    </row>
    <row r="13">
      <c r="A13" s="7">
        <f>IFERROR(__xludf.DUMMYFUNCTION("""COMPUTED_VALUE"""),45247.64583333333)</f>
        <v>45247.64583</v>
      </c>
      <c r="B13" s="6">
        <f>IFERROR(__xludf.DUMMYFUNCTION("""COMPUTED_VALUE"""),2121.0)</f>
        <v>2121</v>
      </c>
      <c r="C13" s="6">
        <f>IFERROR(__xludf.DUMMYFUNCTION("""COMPUTED_VALUE"""),2177.4)</f>
        <v>2177.4</v>
      </c>
      <c r="D13" s="6">
        <f>IFERROR(__xludf.DUMMYFUNCTION("""COMPUTED_VALUE"""),2095.25)</f>
        <v>2095.25</v>
      </c>
      <c r="E13" s="6">
        <f>IFERROR(__xludf.DUMMYFUNCTION("""COMPUTED_VALUE"""),2165.45)</f>
        <v>2165.45</v>
      </c>
      <c r="F13" s="6">
        <f>IFERROR(__xludf.DUMMYFUNCTION("""COMPUTED_VALUE"""),1100138.0)</f>
        <v>1100138</v>
      </c>
    </row>
    <row r="14">
      <c r="A14" s="7">
        <f>IFERROR(__xludf.DUMMYFUNCTION("""COMPUTED_VALUE"""),45254.64583333333)</f>
        <v>45254.64583</v>
      </c>
      <c r="B14" s="6">
        <f>IFERROR(__xludf.DUMMYFUNCTION("""COMPUTED_VALUE"""),2175.25)</f>
        <v>2175.25</v>
      </c>
      <c r="C14" s="6">
        <f>IFERROR(__xludf.DUMMYFUNCTION("""COMPUTED_VALUE"""),2203.95)</f>
        <v>2203.95</v>
      </c>
      <c r="D14" s="6">
        <f>IFERROR(__xludf.DUMMYFUNCTION("""COMPUTED_VALUE"""),2151.15)</f>
        <v>2151.15</v>
      </c>
      <c r="E14" s="6">
        <f>IFERROR(__xludf.DUMMYFUNCTION("""COMPUTED_VALUE"""),2195.1)</f>
        <v>2195.1</v>
      </c>
      <c r="F14" s="6">
        <f>IFERROR(__xludf.DUMMYFUNCTION("""COMPUTED_VALUE"""),1591977.0)</f>
        <v>1591977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IFERROR(__xludf.DUMMYFUNCTION("""COMPUTED_VALUE"""),2195.5)</f>
        <v>2195.5</v>
      </c>
      <c r="C15" s="6">
        <f>IFERROR(__xludf.DUMMYFUNCTION("""COMPUTED_VALUE"""),2289.0)</f>
        <v>2289</v>
      </c>
      <c r="D15" s="6">
        <f>IFERROR(__xludf.DUMMYFUNCTION("""COMPUTED_VALUE"""),2146.55)</f>
        <v>2146.55</v>
      </c>
      <c r="E15" s="6">
        <f>IFERROR(__xludf.DUMMYFUNCTION("""COMPUTED_VALUE"""),2279.25)</f>
        <v>2279.25</v>
      </c>
      <c r="F15" s="6">
        <f>IFERROR(__xludf.DUMMYFUNCTION("""COMPUTED_VALUE"""),4553000.0)</f>
        <v>4553000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IFERROR(__xludf.DUMMYFUNCTION("""COMPUTED_VALUE"""),2298.95)</f>
        <v>2298.95</v>
      </c>
      <c r="C16" s="6">
        <f>IFERROR(__xludf.DUMMYFUNCTION("""COMPUTED_VALUE"""),2347.9)</f>
        <v>2347.9</v>
      </c>
      <c r="D16" s="6">
        <f>IFERROR(__xludf.DUMMYFUNCTION("""COMPUTED_VALUE"""),2262.55)</f>
        <v>2262.55</v>
      </c>
      <c r="E16" s="6">
        <f>IFERROR(__xludf.DUMMYFUNCTION("""COMPUTED_VALUE"""),2293.8)</f>
        <v>2293.8</v>
      </c>
      <c r="F16" s="6">
        <f>IFERROR(__xludf.DUMMYFUNCTION("""COMPUTED_VALUE"""),1703421.0)</f>
        <v>1703421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IFERROR(__xludf.DUMMYFUNCTION("""COMPUTED_VALUE"""),2280.0)</f>
        <v>2280</v>
      </c>
      <c r="C17" s="6">
        <f>IFERROR(__xludf.DUMMYFUNCTION("""COMPUTED_VALUE"""),2429.0)</f>
        <v>2429</v>
      </c>
      <c r="D17" s="6">
        <f>IFERROR(__xludf.DUMMYFUNCTION("""COMPUTED_VALUE"""),2266.6)</f>
        <v>2266.6</v>
      </c>
      <c r="E17" s="6">
        <f>IFERROR(__xludf.DUMMYFUNCTION("""COMPUTED_VALUE"""),2385.7)</f>
        <v>2385.7</v>
      </c>
      <c r="F17" s="6">
        <f>IFERROR(__xludf.DUMMYFUNCTION("""COMPUTED_VALUE"""),1856111.0)</f>
        <v>1856111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IFERROR(__xludf.DUMMYFUNCTION("""COMPUTED_VALUE"""),2381.7)</f>
        <v>2381.7</v>
      </c>
      <c r="C18" s="6">
        <f>IFERROR(__xludf.DUMMYFUNCTION("""COMPUTED_VALUE"""),2434.95)</f>
        <v>2434.95</v>
      </c>
      <c r="D18" s="6">
        <f>IFERROR(__xludf.DUMMYFUNCTION("""COMPUTED_VALUE"""),2354.0)</f>
        <v>2354</v>
      </c>
      <c r="E18" s="6">
        <f>IFERROR(__xludf.DUMMYFUNCTION("""COMPUTED_VALUE"""),2406.65)</f>
        <v>2406.65</v>
      </c>
      <c r="F18" s="6">
        <f>IFERROR(__xludf.DUMMYFUNCTION("""COMPUTED_VALUE"""),1039510.0)</f>
        <v>1039510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IFERROR(__xludf.DUMMYFUNCTION("""COMPUTED_VALUE"""),2406.65)</f>
        <v>2406.65</v>
      </c>
      <c r="C19" s="6">
        <f>IFERROR(__xludf.DUMMYFUNCTION("""COMPUTED_VALUE"""),2544.0)</f>
        <v>2544</v>
      </c>
      <c r="D19" s="6">
        <f>IFERROR(__xludf.DUMMYFUNCTION("""COMPUTED_VALUE"""),2397.4)</f>
        <v>2397.4</v>
      </c>
      <c r="E19" s="6">
        <f>IFERROR(__xludf.DUMMYFUNCTION("""COMPUTED_VALUE"""),2529.7)</f>
        <v>2529.7</v>
      </c>
      <c r="F19" s="6">
        <f>IFERROR(__xludf.DUMMYFUNCTION("""COMPUTED_VALUE"""),1705940.0)</f>
        <v>1705940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IFERROR(__xludf.DUMMYFUNCTION("""COMPUTED_VALUE"""),2520.0)</f>
        <v>2520</v>
      </c>
      <c r="C20" s="6">
        <f>IFERROR(__xludf.DUMMYFUNCTION("""COMPUTED_VALUE"""),2529.0)</f>
        <v>2529</v>
      </c>
      <c r="D20" s="6">
        <f>IFERROR(__xludf.DUMMYFUNCTION("""COMPUTED_VALUE"""),2461.0)</f>
        <v>2461</v>
      </c>
      <c r="E20" s="6">
        <f>IFERROR(__xludf.DUMMYFUNCTION("""COMPUTED_VALUE"""),2514.65)</f>
        <v>2514.65</v>
      </c>
      <c r="F20" s="6">
        <f>IFERROR(__xludf.DUMMYFUNCTION("""COMPUTED_VALUE"""),1254773.0)</f>
        <v>1254773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IFERROR(__xludf.DUMMYFUNCTION("""COMPUTED_VALUE"""),2524.95)</f>
        <v>2524.95</v>
      </c>
      <c r="C21" s="6">
        <f>IFERROR(__xludf.DUMMYFUNCTION("""COMPUTED_VALUE"""),2531.05)</f>
        <v>2531.05</v>
      </c>
      <c r="D21" s="6">
        <f>IFERROR(__xludf.DUMMYFUNCTION("""COMPUTED_VALUE"""),2386.1)</f>
        <v>2386.1</v>
      </c>
      <c r="E21" s="6">
        <f>IFERROR(__xludf.DUMMYFUNCTION("""COMPUTED_VALUE"""),2451.35)</f>
        <v>2451.35</v>
      </c>
      <c r="F21" s="6">
        <f>IFERROR(__xludf.DUMMYFUNCTION("""COMPUTED_VALUE"""),2033479.0)</f>
        <v>2033479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IFERROR(__xludf.DUMMYFUNCTION("""COMPUTED_VALUE"""),2534.75)</f>
        <v>2534.75</v>
      </c>
      <c r="C22" s="6">
        <f>IFERROR(__xludf.DUMMYFUNCTION("""COMPUTED_VALUE"""),2552.8)</f>
        <v>2552.8</v>
      </c>
      <c r="D22" s="6">
        <f>IFERROR(__xludf.DUMMYFUNCTION("""COMPUTED_VALUE"""),2378.9)</f>
        <v>2378.9</v>
      </c>
      <c r="E22" s="6">
        <f>IFERROR(__xludf.DUMMYFUNCTION("""COMPUTED_VALUE"""),2492.55)</f>
        <v>2492.55</v>
      </c>
      <c r="F22" s="6">
        <f>IFERROR(__xludf.DUMMYFUNCTION("""COMPUTED_VALUE"""),1378548.0)</f>
        <v>1378548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IFERROR(__xludf.DUMMYFUNCTION("""COMPUTED_VALUE"""),2492.55)</f>
        <v>2492.55</v>
      </c>
      <c r="C23" s="6">
        <f>IFERROR(__xludf.DUMMYFUNCTION("""COMPUTED_VALUE"""),2604.05)</f>
        <v>2604.05</v>
      </c>
      <c r="D23" s="6">
        <f>IFERROR(__xludf.DUMMYFUNCTION("""COMPUTED_VALUE"""),2481.6)</f>
        <v>2481.6</v>
      </c>
      <c r="E23" s="6">
        <f>IFERROR(__xludf.DUMMYFUNCTION("""COMPUTED_VALUE"""),2541.75)</f>
        <v>2541.75</v>
      </c>
      <c r="F23" s="6">
        <f>IFERROR(__xludf.DUMMYFUNCTION("""COMPUTED_VALUE"""),1720216.0)</f>
        <v>1720216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IFERROR(__xludf.DUMMYFUNCTION("""COMPUTED_VALUE"""),2540.0)</f>
        <v>2540</v>
      </c>
      <c r="C24" s="6">
        <f>IFERROR(__xludf.DUMMYFUNCTION("""COMPUTED_VALUE"""),2577.9)</f>
        <v>2577.9</v>
      </c>
      <c r="D24" s="6">
        <f>IFERROR(__xludf.DUMMYFUNCTION("""COMPUTED_VALUE"""),2488.0)</f>
        <v>2488</v>
      </c>
      <c r="E24" s="6">
        <f>IFERROR(__xludf.DUMMYFUNCTION("""COMPUTED_VALUE"""),2534.15)</f>
        <v>2534.15</v>
      </c>
      <c r="F24" s="6">
        <f>IFERROR(__xludf.DUMMYFUNCTION("""COMPUTED_VALUE"""),779561.0)</f>
        <v>779561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IFERROR(__xludf.DUMMYFUNCTION("""COMPUTED_VALUE"""),2534.15)</f>
        <v>2534.15</v>
      </c>
      <c r="C25" s="6">
        <f>IFERROR(__xludf.DUMMYFUNCTION("""COMPUTED_VALUE"""),2621.7)</f>
        <v>2621.7</v>
      </c>
      <c r="D25" s="6">
        <f>IFERROR(__xludf.DUMMYFUNCTION("""COMPUTED_VALUE"""),2503.55)</f>
        <v>2503.55</v>
      </c>
      <c r="E25" s="6">
        <f>IFERROR(__xludf.DUMMYFUNCTION("""COMPUTED_VALUE"""),2579.6)</f>
        <v>2579.6</v>
      </c>
      <c r="F25" s="6">
        <f>IFERROR(__xludf.DUMMYFUNCTION("""COMPUTED_VALUE"""),821933.0)</f>
        <v>821933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IFERROR(__xludf.DUMMYFUNCTION("""COMPUTED_VALUE"""),2581.5)</f>
        <v>2581.5</v>
      </c>
      <c r="C26" s="6">
        <f>IFERROR(__xludf.DUMMYFUNCTION("""COMPUTED_VALUE"""),2597.3)</f>
        <v>2597.3</v>
      </c>
      <c r="D26" s="6">
        <f>IFERROR(__xludf.DUMMYFUNCTION("""COMPUTED_VALUE"""),2498.5)</f>
        <v>2498.5</v>
      </c>
      <c r="E26" s="6">
        <f>IFERROR(__xludf.DUMMYFUNCTION("""COMPUTED_VALUE"""),2546.4)</f>
        <v>2546.4</v>
      </c>
      <c r="F26" s="6">
        <f>IFERROR(__xludf.DUMMYFUNCTION("""COMPUTED_VALUE"""),934087.0)</f>
        <v>934087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IFERROR(__xludf.DUMMYFUNCTION("""COMPUTED_VALUE"""),2525.0)</f>
        <v>2525</v>
      </c>
      <c r="C27" s="6">
        <f>IFERROR(__xludf.DUMMYFUNCTION("""COMPUTED_VALUE"""),2599.0)</f>
        <v>2599</v>
      </c>
      <c r="D27" s="6">
        <f>IFERROR(__xludf.DUMMYFUNCTION("""COMPUTED_VALUE"""),2505.0)</f>
        <v>2505</v>
      </c>
      <c r="E27" s="6">
        <f>IFERROR(__xludf.DUMMYFUNCTION("""COMPUTED_VALUE"""),2578.7)</f>
        <v>2578.7</v>
      </c>
      <c r="F27" s="6">
        <f>IFERROR(__xludf.DUMMYFUNCTION("""COMPUTED_VALUE"""),694750.0)</f>
        <v>694750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IFERROR(__xludf.DUMMYFUNCTION("""COMPUTED_VALUE"""),2600.0)</f>
        <v>2600</v>
      </c>
      <c r="C28" s="6">
        <f>IFERROR(__xludf.DUMMYFUNCTION("""COMPUTED_VALUE"""),2747.15)</f>
        <v>2747.15</v>
      </c>
      <c r="D28" s="6">
        <f>IFERROR(__xludf.DUMMYFUNCTION("""COMPUTED_VALUE"""),2531.65)</f>
        <v>2531.65</v>
      </c>
      <c r="E28" s="6">
        <f>IFERROR(__xludf.DUMMYFUNCTION("""COMPUTED_VALUE"""),2728.55)</f>
        <v>2728.55</v>
      </c>
      <c r="F28" s="6">
        <f>IFERROR(__xludf.DUMMYFUNCTION("""COMPUTED_VALUE"""),2396227.0)</f>
        <v>2396227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IFERROR(__xludf.DUMMYFUNCTION("""COMPUTED_VALUE"""),2728.55)</f>
        <v>2728.55</v>
      </c>
      <c r="C29" s="6">
        <f>IFERROR(__xludf.DUMMYFUNCTION("""COMPUTED_VALUE"""),2743.0)</f>
        <v>2743</v>
      </c>
      <c r="D29" s="6">
        <f>IFERROR(__xludf.DUMMYFUNCTION("""COMPUTED_VALUE"""),2601.45)</f>
        <v>2601.45</v>
      </c>
      <c r="E29" s="6">
        <f>IFERROR(__xludf.DUMMYFUNCTION("""COMPUTED_VALUE"""),2708.05)</f>
        <v>2708.05</v>
      </c>
      <c r="F29" s="6">
        <f>IFERROR(__xludf.DUMMYFUNCTION("""COMPUTED_VALUE"""),1280070.0)</f>
        <v>1280070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IFERROR(__xludf.DUMMYFUNCTION("""COMPUTED_VALUE"""),2686.0)</f>
        <v>2686</v>
      </c>
      <c r="C30" s="6">
        <f>IFERROR(__xludf.DUMMYFUNCTION("""COMPUTED_VALUE"""),2759.5)</f>
        <v>2759.5</v>
      </c>
      <c r="D30" s="6">
        <f>IFERROR(__xludf.DUMMYFUNCTION("""COMPUTED_VALUE"""),2630.15)</f>
        <v>2630.15</v>
      </c>
      <c r="E30" s="6">
        <f>IFERROR(__xludf.DUMMYFUNCTION("""COMPUTED_VALUE"""),2710.35)</f>
        <v>2710.35</v>
      </c>
      <c r="F30" s="6">
        <f>IFERROR(__xludf.DUMMYFUNCTION("""COMPUTED_VALUE"""),1479252.0)</f>
        <v>1479252</v>
      </c>
    </row>
    <row r="31">
      <c r="A31" s="7">
        <f>IFERROR(__xludf.DUMMYFUNCTION("""COMPUTED_VALUE"""),45387.64583333333)</f>
        <v>45387.64583</v>
      </c>
      <c r="B31" s="6">
        <f>IFERROR(__xludf.DUMMYFUNCTION("""COMPUTED_VALUE"""),2726.6)</f>
        <v>2726.6</v>
      </c>
      <c r="C31" s="6">
        <f>IFERROR(__xludf.DUMMYFUNCTION("""COMPUTED_VALUE"""),2815.9)</f>
        <v>2815.9</v>
      </c>
      <c r="D31" s="6">
        <f>IFERROR(__xludf.DUMMYFUNCTION("""COMPUTED_VALUE"""),2679.0)</f>
        <v>2679</v>
      </c>
      <c r="E31" s="6">
        <f>IFERROR(__xludf.DUMMYFUNCTION("""COMPUTED_VALUE"""),2729.35)</f>
        <v>2729.35</v>
      </c>
      <c r="F31" s="6">
        <f>IFERROR(__xludf.DUMMYFUNCTION("""COMPUTED_VALUE"""),2372961.0)</f>
        <v>2372961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IFERROR(__xludf.DUMMYFUNCTION("""COMPUTED_VALUE"""),2742.0)</f>
        <v>2742</v>
      </c>
      <c r="C32" s="6">
        <f>IFERROR(__xludf.DUMMYFUNCTION("""COMPUTED_VALUE"""),2747.4)</f>
        <v>2747.4</v>
      </c>
      <c r="D32" s="6">
        <f>IFERROR(__xludf.DUMMYFUNCTION("""COMPUTED_VALUE"""),2603.35)</f>
        <v>2603.35</v>
      </c>
      <c r="E32" s="6">
        <f>IFERROR(__xludf.DUMMYFUNCTION("""COMPUTED_VALUE"""),2661.9)</f>
        <v>2661.9</v>
      </c>
      <c r="F32" s="6">
        <f>IFERROR(__xludf.DUMMYFUNCTION("""COMPUTED_VALUE"""),2374335.0)</f>
        <v>2374335</v>
      </c>
    </row>
    <row r="33">
      <c r="A33" s="7">
        <f>IFERROR(__xludf.DUMMYFUNCTION("""COMPUTED_VALUE"""),45401.64583333333)</f>
        <v>45401.64583</v>
      </c>
      <c r="B33" s="6">
        <f>IFERROR(__xludf.DUMMYFUNCTION("""COMPUTED_VALUE"""),2661.9)</f>
        <v>2661.9</v>
      </c>
      <c r="C33" s="6">
        <f>IFERROR(__xludf.DUMMYFUNCTION("""COMPUTED_VALUE"""),2721.85)</f>
        <v>2721.85</v>
      </c>
      <c r="D33" s="6">
        <f>IFERROR(__xludf.DUMMYFUNCTION("""COMPUTED_VALUE"""),2585.65)</f>
        <v>2585.65</v>
      </c>
      <c r="E33" s="6">
        <f>IFERROR(__xludf.DUMMYFUNCTION("""COMPUTED_VALUE"""),2649.65)</f>
        <v>2649.65</v>
      </c>
      <c r="F33" s="6">
        <f>IFERROR(__xludf.DUMMYFUNCTION("""COMPUTED_VALUE"""),1626586.0)</f>
        <v>1626586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IFERROR(__xludf.DUMMYFUNCTION("""COMPUTED_VALUE"""),2655.0)</f>
        <v>2655</v>
      </c>
      <c r="C34" s="6">
        <f>IFERROR(__xludf.DUMMYFUNCTION("""COMPUTED_VALUE"""),2867.45)</f>
        <v>2867.45</v>
      </c>
      <c r="D34" s="6">
        <f>IFERROR(__xludf.DUMMYFUNCTION("""COMPUTED_VALUE"""),2640.4)</f>
        <v>2640.4</v>
      </c>
      <c r="E34" s="6">
        <f>IFERROR(__xludf.DUMMYFUNCTION("""COMPUTED_VALUE"""),2855.15)</f>
        <v>2855.15</v>
      </c>
      <c r="F34" s="6">
        <f>IFERROR(__xludf.DUMMYFUNCTION("""COMPUTED_VALUE"""),1996245.0)</f>
        <v>1996245</v>
      </c>
    </row>
    <row r="35">
      <c r="A35" s="7">
        <f>IFERROR(__xludf.DUMMYFUNCTION("""COMPUTED_VALUE"""),45415.64583333333)</f>
        <v>45415.64583</v>
      </c>
      <c r="B35" s="6">
        <f>IFERROR(__xludf.DUMMYFUNCTION("""COMPUTED_VALUE"""),2863.0)</f>
        <v>2863</v>
      </c>
      <c r="C35" s="6">
        <f>IFERROR(__xludf.DUMMYFUNCTION("""COMPUTED_VALUE"""),2873.7)</f>
        <v>2873.7</v>
      </c>
      <c r="D35" s="6">
        <f>IFERROR(__xludf.DUMMYFUNCTION("""COMPUTED_VALUE"""),2755.0)</f>
        <v>2755</v>
      </c>
      <c r="E35" s="6">
        <f>IFERROR(__xludf.DUMMYFUNCTION("""COMPUTED_VALUE"""),2799.15)</f>
        <v>2799.15</v>
      </c>
      <c r="F35" s="6">
        <f>IFERROR(__xludf.DUMMYFUNCTION("""COMPUTED_VALUE"""),1378086.0)</f>
        <v>1378086</v>
      </c>
    </row>
    <row r="36">
      <c r="A36" s="7">
        <f>IFERROR(__xludf.DUMMYFUNCTION("""COMPUTED_VALUE"""),45422.64583333333)</f>
        <v>45422.64583</v>
      </c>
      <c r="B36" s="6">
        <f>IFERROR(__xludf.DUMMYFUNCTION("""COMPUTED_VALUE"""),2803.4)</f>
        <v>2803.4</v>
      </c>
      <c r="C36" s="6">
        <f>IFERROR(__xludf.DUMMYFUNCTION("""COMPUTED_VALUE"""),2960.9)</f>
        <v>2960.9</v>
      </c>
      <c r="D36" s="6">
        <f>IFERROR(__xludf.DUMMYFUNCTION("""COMPUTED_VALUE"""),2757.0)</f>
        <v>2757</v>
      </c>
      <c r="E36" s="6">
        <f>IFERROR(__xludf.DUMMYFUNCTION("""COMPUTED_VALUE"""),2800.15)</f>
        <v>2800.15</v>
      </c>
      <c r="F36" s="6">
        <f>IFERROR(__xludf.DUMMYFUNCTION("""COMPUTED_VALUE"""),2301317.0)</f>
        <v>2301317</v>
      </c>
    </row>
    <row r="37">
      <c r="A37" s="7">
        <f>IFERROR(__xludf.DUMMYFUNCTION("""COMPUTED_VALUE"""),45436.64583333333)</f>
        <v>45436.64583</v>
      </c>
      <c r="B37" s="6">
        <f>IFERROR(__xludf.DUMMYFUNCTION("""COMPUTED_VALUE"""),2691.7)</f>
        <v>2691.7</v>
      </c>
      <c r="C37" s="6">
        <f>IFERROR(__xludf.DUMMYFUNCTION("""COMPUTED_VALUE"""),2737.85)</f>
        <v>2737.85</v>
      </c>
      <c r="D37" s="6">
        <f>IFERROR(__xludf.DUMMYFUNCTION("""COMPUTED_VALUE"""),2660.1)</f>
        <v>2660.1</v>
      </c>
      <c r="E37" s="6">
        <f>IFERROR(__xludf.DUMMYFUNCTION("""COMPUTED_VALUE"""),2683.8)</f>
        <v>2683.8</v>
      </c>
      <c r="F37" s="6">
        <f>IFERROR(__xludf.DUMMYFUNCTION("""COMPUTED_VALUE"""),1429856.0)</f>
        <v>1429856</v>
      </c>
    </row>
    <row r="38">
      <c r="A38" s="7">
        <f>IFERROR(__xludf.DUMMYFUNCTION("""COMPUTED_VALUE"""),45443.64583333333)</f>
        <v>45443.64583</v>
      </c>
      <c r="B38" s="6">
        <f>IFERROR(__xludf.DUMMYFUNCTION("""COMPUTED_VALUE"""),2685.0)</f>
        <v>2685</v>
      </c>
      <c r="C38" s="6">
        <f>IFERROR(__xludf.DUMMYFUNCTION("""COMPUTED_VALUE"""),2712.0)</f>
        <v>2712</v>
      </c>
      <c r="D38" s="6">
        <f>IFERROR(__xludf.DUMMYFUNCTION("""COMPUTED_VALUE"""),2625.0)</f>
        <v>2625</v>
      </c>
      <c r="E38" s="6">
        <f>IFERROR(__xludf.DUMMYFUNCTION("""COMPUTED_VALUE"""),2657.35)</f>
        <v>2657.35</v>
      </c>
      <c r="F38" s="6">
        <f>IFERROR(__xludf.DUMMYFUNCTION("""COMPUTED_VALUE"""),2050463.0)</f>
        <v>2050463</v>
      </c>
    </row>
    <row r="39">
      <c r="A39" s="7">
        <f>IFERROR(__xludf.DUMMYFUNCTION("""COMPUTED_VALUE"""),45450.64583333333)</f>
        <v>45450.64583</v>
      </c>
      <c r="B39" s="6">
        <f>IFERROR(__xludf.DUMMYFUNCTION("""COMPUTED_VALUE"""),2701.05)</f>
        <v>2701.05</v>
      </c>
      <c r="C39" s="6">
        <f>IFERROR(__xludf.DUMMYFUNCTION("""COMPUTED_VALUE"""),3069.05)</f>
        <v>3069.05</v>
      </c>
      <c r="D39" s="6">
        <f>IFERROR(__xludf.DUMMYFUNCTION("""COMPUTED_VALUE"""),2660.4)</f>
        <v>2660.4</v>
      </c>
      <c r="E39" s="6">
        <f>IFERROR(__xludf.DUMMYFUNCTION("""COMPUTED_VALUE"""),2963.5)</f>
        <v>2963.5</v>
      </c>
      <c r="F39" s="6">
        <f>IFERROR(__xludf.DUMMYFUNCTION("""COMPUTED_VALUE"""),3543441.0)</f>
        <v>3543441</v>
      </c>
    </row>
    <row r="40">
      <c r="A40" s="7">
        <f>IFERROR(__xludf.DUMMYFUNCTION("""COMPUTED_VALUE"""),45457.64583333333)</f>
        <v>45457.64583</v>
      </c>
      <c r="B40" s="6">
        <f>IFERROR(__xludf.DUMMYFUNCTION("""COMPUTED_VALUE"""),2952.0)</f>
        <v>2952</v>
      </c>
      <c r="C40" s="6">
        <f>IFERROR(__xludf.DUMMYFUNCTION("""COMPUTED_VALUE"""),3012.7)</f>
        <v>3012.7</v>
      </c>
      <c r="D40" s="6">
        <f>IFERROR(__xludf.DUMMYFUNCTION("""COMPUTED_VALUE"""),2904.0)</f>
        <v>2904</v>
      </c>
      <c r="E40" s="6">
        <f>IFERROR(__xludf.DUMMYFUNCTION("""COMPUTED_VALUE"""),2952.6)</f>
        <v>2952.6</v>
      </c>
      <c r="F40" s="6">
        <f>IFERROR(__xludf.DUMMYFUNCTION("""COMPUTED_VALUE"""),1165949.0)</f>
        <v>1165949</v>
      </c>
    </row>
    <row r="41">
      <c r="A41" s="7">
        <f>IFERROR(__xludf.DUMMYFUNCTION("""COMPUTED_VALUE"""),45464.64583333333)</f>
        <v>45464.64583</v>
      </c>
      <c r="B41" s="6">
        <f>IFERROR(__xludf.DUMMYFUNCTION("""COMPUTED_VALUE"""),2972.1)</f>
        <v>2972.1</v>
      </c>
      <c r="C41" s="6">
        <f>IFERROR(__xludf.DUMMYFUNCTION("""COMPUTED_VALUE"""),2979.0)</f>
        <v>2979</v>
      </c>
      <c r="D41" s="6">
        <f>IFERROR(__xludf.DUMMYFUNCTION("""COMPUTED_VALUE"""),2820.0)</f>
        <v>2820</v>
      </c>
      <c r="E41" s="6">
        <f>IFERROR(__xludf.DUMMYFUNCTION("""COMPUTED_VALUE"""),2826.25)</f>
        <v>2826.25</v>
      </c>
      <c r="F41" s="6">
        <f>IFERROR(__xludf.DUMMYFUNCTION("""COMPUTED_VALUE"""),1340139.0)</f>
        <v>1340139</v>
      </c>
    </row>
    <row r="42">
      <c r="A42" s="7">
        <f>IFERROR(__xludf.DUMMYFUNCTION("""COMPUTED_VALUE"""),45471.64583333333)</f>
        <v>45471.64583</v>
      </c>
      <c r="B42" s="6">
        <f>IFERROR(__xludf.DUMMYFUNCTION("""COMPUTED_VALUE"""),2826.25)</f>
        <v>2826.25</v>
      </c>
      <c r="C42" s="6">
        <f>IFERROR(__xludf.DUMMYFUNCTION("""COMPUTED_VALUE"""),2879.05)</f>
        <v>2879.05</v>
      </c>
      <c r="D42" s="6">
        <f>IFERROR(__xludf.DUMMYFUNCTION("""COMPUTED_VALUE"""),2785.5)</f>
        <v>2785.5</v>
      </c>
      <c r="E42" s="6">
        <f>IFERROR(__xludf.DUMMYFUNCTION("""COMPUTED_VALUE"""),2843.15)</f>
        <v>2843.15</v>
      </c>
      <c r="F42" s="6">
        <f>IFERROR(__xludf.DUMMYFUNCTION("""COMPUTED_VALUE"""),3055110.0)</f>
        <v>3055110</v>
      </c>
    </row>
    <row r="43">
      <c r="A43" s="7">
        <f>IFERROR(__xludf.DUMMYFUNCTION("""COMPUTED_VALUE"""),45478.64583333333)</f>
        <v>45478.64583</v>
      </c>
      <c r="B43" s="6">
        <f>IFERROR(__xludf.DUMMYFUNCTION("""COMPUTED_VALUE"""),2840.0)</f>
        <v>2840</v>
      </c>
      <c r="C43" s="6">
        <f>IFERROR(__xludf.DUMMYFUNCTION("""COMPUTED_VALUE"""),2915.9)</f>
        <v>2915.9</v>
      </c>
      <c r="D43" s="6">
        <f>IFERROR(__xludf.DUMMYFUNCTION("""COMPUTED_VALUE"""),2832.2)</f>
        <v>2832.2</v>
      </c>
      <c r="E43" s="6">
        <f>IFERROR(__xludf.DUMMYFUNCTION("""COMPUTED_VALUE"""),2910.5)</f>
        <v>2910.5</v>
      </c>
      <c r="F43" s="6">
        <f>IFERROR(__xludf.DUMMYFUNCTION("""COMPUTED_VALUE"""),1152947.0)</f>
        <v>1152947</v>
      </c>
    </row>
    <row r="44">
      <c r="A44" s="7">
        <f>IFERROR(__xludf.DUMMYFUNCTION("""COMPUTED_VALUE"""),45485.64583333333)</f>
        <v>45485.64583</v>
      </c>
      <c r="B44" s="6">
        <f>IFERROR(__xludf.DUMMYFUNCTION("""COMPUTED_VALUE"""),2920.5)</f>
        <v>2920.5</v>
      </c>
      <c r="C44" s="6">
        <f>IFERROR(__xludf.DUMMYFUNCTION("""COMPUTED_VALUE"""),3059.8)</f>
        <v>3059.8</v>
      </c>
      <c r="D44" s="6">
        <f>IFERROR(__xludf.DUMMYFUNCTION("""COMPUTED_VALUE"""),2906.45)</f>
        <v>2906.45</v>
      </c>
      <c r="E44" s="6">
        <f>IFERROR(__xludf.DUMMYFUNCTION("""COMPUTED_VALUE"""),3034.8)</f>
        <v>3034.8</v>
      </c>
      <c r="F44" s="6">
        <f>IFERROR(__xludf.DUMMYFUNCTION("""COMPUTED_VALUE"""),1981927.0)</f>
        <v>1981927</v>
      </c>
    </row>
    <row r="45">
      <c r="A45" s="7">
        <f>IFERROR(__xludf.DUMMYFUNCTION("""COMPUTED_VALUE"""),45492.64583333333)</f>
        <v>45492.64583</v>
      </c>
      <c r="B45" s="6">
        <f>IFERROR(__xludf.DUMMYFUNCTION("""COMPUTED_VALUE"""),3035.1)</f>
        <v>3035.1</v>
      </c>
      <c r="C45" s="6">
        <f>IFERROR(__xludf.DUMMYFUNCTION("""COMPUTED_VALUE"""),3155.0)</f>
        <v>3155</v>
      </c>
      <c r="D45" s="6">
        <f>IFERROR(__xludf.DUMMYFUNCTION("""COMPUTED_VALUE"""),3013.1)</f>
        <v>3013.1</v>
      </c>
      <c r="E45" s="6">
        <f>IFERROR(__xludf.DUMMYFUNCTION("""COMPUTED_VALUE"""),3120.95)</f>
        <v>3120.95</v>
      </c>
      <c r="F45" s="6">
        <f>IFERROR(__xludf.DUMMYFUNCTION("""COMPUTED_VALUE"""),1597782.0)</f>
        <v>1597782</v>
      </c>
    </row>
    <row r="46">
      <c r="A46" s="7">
        <f>IFERROR(__xludf.DUMMYFUNCTION("""COMPUTED_VALUE"""),45499.64583333333)</f>
        <v>45499.64583</v>
      </c>
      <c r="B46" s="6">
        <f>IFERROR(__xludf.DUMMYFUNCTION("""COMPUTED_VALUE"""),3120.95)</f>
        <v>3120.95</v>
      </c>
      <c r="C46" s="6">
        <f>IFERROR(__xludf.DUMMYFUNCTION("""COMPUTED_VALUE"""),3205.0)</f>
        <v>3205</v>
      </c>
      <c r="D46" s="6">
        <f>IFERROR(__xludf.DUMMYFUNCTION("""COMPUTED_VALUE"""),3082.1)</f>
        <v>3082.1</v>
      </c>
      <c r="E46" s="6">
        <f>IFERROR(__xludf.DUMMYFUNCTION("""COMPUTED_VALUE"""),3165.2)</f>
        <v>3165.2</v>
      </c>
      <c r="F46" s="6">
        <f>IFERROR(__xludf.DUMMYFUNCTION("""COMPUTED_VALUE"""),1941846.0)</f>
        <v>1941846</v>
      </c>
    </row>
    <row r="47">
      <c r="A47" s="7">
        <f>IFERROR(__xludf.DUMMYFUNCTION("""COMPUTED_VALUE"""),45506.64583333333)</f>
        <v>45506.64583</v>
      </c>
      <c r="B47" s="6">
        <f>IFERROR(__xludf.DUMMYFUNCTION("""COMPUTED_VALUE"""),3180.0)</f>
        <v>3180</v>
      </c>
      <c r="C47" s="6">
        <f>IFERROR(__xludf.DUMMYFUNCTION("""COMPUTED_VALUE"""),3424.95)</f>
        <v>3424.95</v>
      </c>
      <c r="D47" s="6">
        <f>IFERROR(__xludf.DUMMYFUNCTION("""COMPUTED_VALUE"""),3170.45)</f>
        <v>3170.45</v>
      </c>
      <c r="E47" s="6">
        <f>IFERROR(__xludf.DUMMYFUNCTION("""COMPUTED_VALUE"""),3365.45)</f>
        <v>3365.45</v>
      </c>
      <c r="F47" s="6">
        <f>IFERROR(__xludf.DUMMYFUNCTION("""COMPUTED_VALUE"""),5480746.0)</f>
        <v>5480746</v>
      </c>
    </row>
    <row r="48">
      <c r="A48" s="7">
        <f>IFERROR(__xludf.DUMMYFUNCTION("""COMPUTED_VALUE"""),45513.64583333333)</f>
        <v>45513.64583</v>
      </c>
      <c r="B48" s="6">
        <f>IFERROR(__xludf.DUMMYFUNCTION("""COMPUTED_VALUE"""),3302.0)</f>
        <v>3302</v>
      </c>
      <c r="C48" s="6">
        <f>IFERROR(__xludf.DUMMYFUNCTION("""COMPUTED_VALUE"""),3490.2)</f>
        <v>3490.2</v>
      </c>
      <c r="D48" s="6">
        <f>IFERROR(__xludf.DUMMYFUNCTION("""COMPUTED_VALUE"""),3302.0)</f>
        <v>3302</v>
      </c>
      <c r="E48" s="6">
        <f>IFERROR(__xludf.DUMMYFUNCTION("""COMPUTED_VALUE"""),3452.4)</f>
        <v>3452.4</v>
      </c>
      <c r="F48" s="6">
        <f>IFERROR(__xludf.DUMMYFUNCTION("""COMPUTED_VALUE"""),2191777.0)</f>
        <v>2191777</v>
      </c>
    </row>
    <row r="49">
      <c r="A49" s="7">
        <f>IFERROR(__xludf.DUMMYFUNCTION("""COMPUTED_VALUE"""),45520.64583333333)</f>
        <v>45520.64583</v>
      </c>
      <c r="B49" s="6">
        <f>IFERROR(__xludf.DUMMYFUNCTION("""COMPUTED_VALUE"""),3432.5)</f>
        <v>3432.5</v>
      </c>
      <c r="C49" s="6">
        <f>IFERROR(__xludf.DUMMYFUNCTION("""COMPUTED_VALUE"""),3540.85)</f>
        <v>3540.85</v>
      </c>
      <c r="D49" s="6">
        <f>IFERROR(__xludf.DUMMYFUNCTION("""COMPUTED_VALUE"""),3430.2)</f>
        <v>3430.2</v>
      </c>
      <c r="E49" s="6">
        <f>IFERROR(__xludf.DUMMYFUNCTION("""COMPUTED_VALUE"""),3534.65)</f>
        <v>3534.65</v>
      </c>
      <c r="F49" s="6">
        <f>IFERROR(__xludf.DUMMYFUNCTION("""COMPUTED_VALUE"""),1445238.0)</f>
        <v>1445238</v>
      </c>
    </row>
    <row r="50">
      <c r="A50" s="7">
        <f>IFERROR(__xludf.DUMMYFUNCTION("""COMPUTED_VALUE"""),45527.64583333333)</f>
        <v>45527.64583</v>
      </c>
      <c r="B50" s="6">
        <f>IFERROR(__xludf.DUMMYFUNCTION("""COMPUTED_VALUE"""),3541.7)</f>
        <v>3541.7</v>
      </c>
      <c r="C50" s="6">
        <f>IFERROR(__xludf.DUMMYFUNCTION("""COMPUTED_VALUE"""),3623.9)</f>
        <v>3623.9</v>
      </c>
      <c r="D50" s="6">
        <f>IFERROR(__xludf.DUMMYFUNCTION("""COMPUTED_VALUE"""),3524.6)</f>
        <v>3524.6</v>
      </c>
      <c r="E50" s="6">
        <f>IFERROR(__xludf.DUMMYFUNCTION("""COMPUTED_VALUE"""),3531.45)</f>
        <v>3531.45</v>
      </c>
      <c r="F50" s="6">
        <f>IFERROR(__xludf.DUMMYFUNCTION("""COMPUTED_VALUE"""),2232689.0)</f>
        <v>2232689</v>
      </c>
    </row>
    <row r="51">
      <c r="A51" s="7">
        <f>IFERROR(__xludf.DUMMYFUNCTION("""COMPUTED_VALUE"""),45534.64583333333)</f>
        <v>45534.64583</v>
      </c>
      <c r="B51" s="6">
        <f>IFERROR(__xludf.DUMMYFUNCTION("""COMPUTED_VALUE"""),3512.05)</f>
        <v>3512.05</v>
      </c>
      <c r="C51" s="6">
        <f>IFERROR(__xludf.DUMMYFUNCTION("""COMPUTED_VALUE"""),3694.9)</f>
        <v>3694.9</v>
      </c>
      <c r="D51" s="6">
        <f>IFERROR(__xludf.DUMMYFUNCTION("""COMPUTED_VALUE"""),3512.05)</f>
        <v>3512.05</v>
      </c>
      <c r="E51" s="6">
        <f>IFERROR(__xludf.DUMMYFUNCTION("""COMPUTED_VALUE"""),3640.35)</f>
        <v>3640.35</v>
      </c>
      <c r="F51" s="6">
        <f>IFERROR(__xludf.DUMMYFUNCTION("""COMPUTED_VALUE"""),2457071.0)</f>
        <v>2457071</v>
      </c>
    </row>
    <row r="52">
      <c r="A52" s="7">
        <f>IFERROR(__xludf.DUMMYFUNCTION("""COMPUTED_VALUE"""),45541.64583333333)</f>
        <v>45541.64583</v>
      </c>
      <c r="B52" s="6">
        <f>IFERROR(__xludf.DUMMYFUNCTION("""COMPUTED_VALUE"""),3664.45)</f>
        <v>3664.45</v>
      </c>
      <c r="C52" s="6">
        <f>IFERROR(__xludf.DUMMYFUNCTION("""COMPUTED_VALUE"""),3708.95)</f>
        <v>3708.95</v>
      </c>
      <c r="D52" s="6">
        <f>IFERROR(__xludf.DUMMYFUNCTION("""COMPUTED_VALUE"""),3607.05)</f>
        <v>3607.05</v>
      </c>
      <c r="E52" s="6">
        <f>IFERROR(__xludf.DUMMYFUNCTION("""COMPUTED_VALUE"""),3654.6)</f>
        <v>3654.6</v>
      </c>
      <c r="F52" s="6">
        <f>IFERROR(__xludf.DUMMYFUNCTION("""COMPUTED_VALUE"""),1907990.0)</f>
        <v>1907990</v>
      </c>
    </row>
    <row r="53">
      <c r="A53" s="7">
        <f>IFERROR(__xludf.DUMMYFUNCTION("""COMPUTED_VALUE"""),45548.64583333333)</f>
        <v>45548.64583</v>
      </c>
      <c r="B53" s="6">
        <f>IFERROR(__xludf.DUMMYFUNCTION("""COMPUTED_VALUE"""),3656.0)</f>
        <v>3656</v>
      </c>
      <c r="C53" s="6">
        <f>IFERROR(__xludf.DUMMYFUNCTION("""COMPUTED_VALUE"""),3707.0)</f>
        <v>3707</v>
      </c>
      <c r="D53" s="6">
        <f>IFERROR(__xludf.DUMMYFUNCTION("""COMPUTED_VALUE"""),3582.05)</f>
        <v>3582.05</v>
      </c>
      <c r="E53" s="6">
        <f>IFERROR(__xludf.DUMMYFUNCTION("""COMPUTED_VALUE"""),3624.75)</f>
        <v>3624.75</v>
      </c>
      <c r="F53" s="6">
        <f>IFERROR(__xludf.DUMMYFUNCTION("""COMPUTED_VALUE"""),1606713.0)</f>
        <v>1606713</v>
      </c>
    </row>
    <row r="54">
      <c r="A54" s="7">
        <f>IFERROR(__xludf.DUMMYFUNCTION("""COMPUTED_VALUE"""),45555.64583333333)</f>
        <v>45555.64583</v>
      </c>
      <c r="B54" s="6">
        <f>IFERROR(__xludf.DUMMYFUNCTION("""COMPUTED_VALUE"""),3634.95)</f>
        <v>3634.95</v>
      </c>
      <c r="C54" s="6">
        <f>IFERROR(__xludf.DUMMYFUNCTION("""COMPUTED_VALUE"""),3709.95)</f>
        <v>3709.95</v>
      </c>
      <c r="D54" s="6">
        <f>IFERROR(__xludf.DUMMYFUNCTION("""COMPUTED_VALUE"""),3581.75)</f>
        <v>3581.75</v>
      </c>
      <c r="E54" s="6">
        <f>IFERROR(__xludf.DUMMYFUNCTION("""COMPUTED_VALUE"""),3660.25)</f>
        <v>3660.25</v>
      </c>
      <c r="F54" s="6">
        <f>IFERROR(__xludf.DUMMYFUNCTION("""COMPUTED_VALUE"""),2536037.0)</f>
        <v>2536037</v>
      </c>
    </row>
    <row r="55">
      <c r="A55" s="7">
        <f>IFERROR(__xludf.DUMMYFUNCTION("""COMPUTED_VALUE"""),45562.64583333333)</f>
        <v>45562.64583</v>
      </c>
      <c r="B55" s="6">
        <f>IFERROR(__xludf.DUMMYFUNCTION("""COMPUTED_VALUE"""),3661.95)</f>
        <v>3661.95</v>
      </c>
      <c r="C55" s="6">
        <f>IFERROR(__xludf.DUMMYFUNCTION("""COMPUTED_VALUE"""),3840.95)</f>
        <v>3840.95</v>
      </c>
      <c r="D55" s="6">
        <f>IFERROR(__xludf.DUMMYFUNCTION("""COMPUTED_VALUE"""),3610.0)</f>
        <v>3610</v>
      </c>
      <c r="E55" s="6">
        <f>IFERROR(__xludf.DUMMYFUNCTION("""COMPUTED_VALUE"""),3764.05)</f>
        <v>3764.05</v>
      </c>
      <c r="F55" s="6">
        <f>IFERROR(__xludf.DUMMYFUNCTION("""COMPUTED_VALUE"""),5528650.0)</f>
        <v>5528650</v>
      </c>
    </row>
    <row r="56">
      <c r="A56" s="7">
        <f>IFERROR(__xludf.DUMMYFUNCTION("""COMPUTED_VALUE"""),45569.64583333333)</f>
        <v>45569.64583</v>
      </c>
      <c r="B56" s="6">
        <f>IFERROR(__xludf.DUMMYFUNCTION("""COMPUTED_VALUE"""),3780.0)</f>
        <v>3780</v>
      </c>
      <c r="C56" s="6">
        <f>IFERROR(__xludf.DUMMYFUNCTION("""COMPUTED_VALUE"""),3890.0)</f>
        <v>3890</v>
      </c>
      <c r="D56" s="6">
        <f>IFERROR(__xludf.DUMMYFUNCTION("""COMPUTED_VALUE"""),3725.05)</f>
        <v>3725.05</v>
      </c>
      <c r="E56" s="6">
        <f>IFERROR(__xludf.DUMMYFUNCTION("""COMPUTED_VALUE"""),3740.05)</f>
        <v>3740.05</v>
      </c>
      <c r="F56" s="6">
        <f>IFERROR(__xludf.DUMMYFUNCTION("""COMPUTED_VALUE"""),2390413.0)</f>
        <v>2390413</v>
      </c>
    </row>
    <row r="57">
      <c r="A57" s="7">
        <f>IFERROR(__xludf.DUMMYFUNCTION("""COMPUTED_VALUE"""),45576.64583333333)</f>
        <v>45576.64583</v>
      </c>
      <c r="B57" s="6">
        <f>IFERROR(__xludf.DUMMYFUNCTION("""COMPUTED_VALUE"""),3764.55)</f>
        <v>3764.55</v>
      </c>
      <c r="C57" s="6">
        <f>IFERROR(__xludf.DUMMYFUNCTION("""COMPUTED_VALUE"""),3774.95)</f>
        <v>3774.95</v>
      </c>
      <c r="D57" s="6">
        <f>IFERROR(__xludf.DUMMYFUNCTION("""COMPUTED_VALUE"""),3633.25)</f>
        <v>3633.25</v>
      </c>
      <c r="E57" s="6">
        <f>IFERROR(__xludf.DUMMYFUNCTION("""COMPUTED_VALUE"""),3689.65)</f>
        <v>3689.65</v>
      </c>
      <c r="F57" s="6">
        <f>IFERROR(__xludf.DUMMYFUNCTION("""COMPUTED_VALUE"""),1161051.0)</f>
        <v>1161051</v>
      </c>
    </row>
    <row r="58">
      <c r="A58" s="7">
        <f>IFERROR(__xludf.DUMMYFUNCTION("""COMPUTED_VALUE"""),45583.64583333333)</f>
        <v>45583.64583</v>
      </c>
      <c r="B58" s="6">
        <f>IFERROR(__xludf.DUMMYFUNCTION("""COMPUTED_VALUE"""),3700.0)</f>
        <v>3700</v>
      </c>
      <c r="C58" s="6">
        <f>IFERROR(__xludf.DUMMYFUNCTION("""COMPUTED_VALUE"""),3700.0)</f>
        <v>3700</v>
      </c>
      <c r="D58" s="6">
        <f>IFERROR(__xludf.DUMMYFUNCTION("""COMPUTED_VALUE"""),3349.0)</f>
        <v>3349</v>
      </c>
      <c r="E58" s="6">
        <f>IFERROR(__xludf.DUMMYFUNCTION("""COMPUTED_VALUE"""),3395.95)</f>
        <v>3395.95</v>
      </c>
      <c r="F58" s="6">
        <f>IFERROR(__xludf.DUMMYFUNCTION("""COMPUTED_VALUE"""),2574379.0)</f>
        <v>2574379</v>
      </c>
    </row>
    <row r="59">
      <c r="A59" s="7">
        <f>IFERROR(__xludf.DUMMYFUNCTION("""COMPUTED_VALUE"""),45590.64583333333)</f>
        <v>45590.64583</v>
      </c>
      <c r="B59" s="6">
        <f>IFERROR(__xludf.DUMMYFUNCTION("""COMPUTED_VALUE"""),3395.95)</f>
        <v>3395.95</v>
      </c>
      <c r="C59" s="6">
        <f>IFERROR(__xludf.DUMMYFUNCTION("""COMPUTED_VALUE"""),3414.7)</f>
        <v>3414.7</v>
      </c>
      <c r="D59" s="6">
        <f>IFERROR(__xludf.DUMMYFUNCTION("""COMPUTED_VALUE"""),3056.0)</f>
        <v>3056</v>
      </c>
      <c r="E59" s="6">
        <f>IFERROR(__xludf.DUMMYFUNCTION("""COMPUTED_VALUE"""),3082.2)</f>
        <v>3082.2</v>
      </c>
      <c r="F59" s="6">
        <f>IFERROR(__xludf.DUMMYFUNCTION("""COMPUTED_VALUE"""),3486439.0)</f>
        <v>3486439</v>
      </c>
    </row>
    <row r="60">
      <c r="A60" s="7">
        <f>IFERROR(__xludf.DUMMYFUNCTION("""COMPUTED_VALUE"""),45604.64583333333)</f>
        <v>45604.64583</v>
      </c>
      <c r="B60" s="6">
        <f>IFERROR(__xludf.DUMMYFUNCTION("""COMPUTED_VALUE"""),3043.0)</f>
        <v>3043</v>
      </c>
      <c r="C60" s="6">
        <f>IFERROR(__xludf.DUMMYFUNCTION("""COMPUTED_VALUE"""),3047.0)</f>
        <v>3047</v>
      </c>
      <c r="D60" s="6">
        <f>IFERROR(__xludf.DUMMYFUNCTION("""COMPUTED_VALUE"""),2863.4)</f>
        <v>2863.4</v>
      </c>
      <c r="E60" s="6">
        <f>IFERROR(__xludf.DUMMYFUNCTION("""COMPUTED_VALUE"""),2870.9)</f>
        <v>2870.9</v>
      </c>
      <c r="F60" s="6">
        <f>IFERROR(__xludf.DUMMYFUNCTION("""COMPUTED_VALUE"""),2318547.0)</f>
        <v>2318547</v>
      </c>
    </row>
    <row r="61">
      <c r="A61" s="7">
        <f>IFERROR(__xludf.DUMMYFUNCTION("""COMPUTED_VALUE"""),45610.64583333333)</f>
        <v>45610.64583</v>
      </c>
      <c r="B61" s="6">
        <f>IFERROR(__xludf.DUMMYFUNCTION("""COMPUTED_VALUE"""),2870.05)</f>
        <v>2870.05</v>
      </c>
      <c r="C61" s="6">
        <f>IFERROR(__xludf.DUMMYFUNCTION("""COMPUTED_VALUE"""),2892.5)</f>
        <v>2892.5</v>
      </c>
      <c r="D61" s="6">
        <f>IFERROR(__xludf.DUMMYFUNCTION("""COMPUTED_VALUE"""),2701.55)</f>
        <v>2701.55</v>
      </c>
      <c r="E61" s="6">
        <f>IFERROR(__xludf.DUMMYFUNCTION("""COMPUTED_VALUE"""),2708.95)</f>
        <v>2708.95</v>
      </c>
      <c r="F61" s="6">
        <f>IFERROR(__xludf.DUMMYFUNCTION("""COMPUTED_VALUE"""),1871517.0)</f>
        <v>1871517</v>
      </c>
    </row>
    <row r="62">
      <c r="A62" s="7">
        <f>IFERROR(__xludf.DUMMYFUNCTION("""COMPUTED_VALUE"""),45618.64583333333)</f>
        <v>45618.64583</v>
      </c>
      <c r="B62" s="6">
        <f>IFERROR(__xludf.DUMMYFUNCTION("""COMPUTED_VALUE"""),2727.0)</f>
        <v>2727</v>
      </c>
      <c r="C62" s="6">
        <f>IFERROR(__xludf.DUMMYFUNCTION("""COMPUTED_VALUE"""),2785.15)</f>
        <v>2785.15</v>
      </c>
      <c r="D62" s="6">
        <f>IFERROR(__xludf.DUMMYFUNCTION("""COMPUTED_VALUE"""),2668.85)</f>
        <v>2668.85</v>
      </c>
      <c r="E62" s="6">
        <f>IFERROR(__xludf.DUMMYFUNCTION("""COMPUTED_VALUE"""),2725.65)</f>
        <v>2725.65</v>
      </c>
      <c r="F62" s="6">
        <f>IFERROR(__xludf.DUMMYFUNCTION("""COMPUTED_VALUE"""),1640960.0)</f>
        <v>1640960</v>
      </c>
    </row>
    <row r="63">
      <c r="A63" s="7">
        <f>IFERROR(__xludf.DUMMYFUNCTION("""COMPUTED_VALUE"""),45625.64583333333)</f>
        <v>45625.64583</v>
      </c>
      <c r="B63" s="6">
        <f>IFERROR(__xludf.DUMMYFUNCTION("""COMPUTED_VALUE"""),2760.35)</f>
        <v>2760.35</v>
      </c>
      <c r="C63" s="6">
        <f>IFERROR(__xludf.DUMMYFUNCTION("""COMPUTED_VALUE"""),3115.0)</f>
        <v>3115</v>
      </c>
      <c r="D63" s="6">
        <f>IFERROR(__xludf.DUMMYFUNCTION("""COMPUTED_VALUE"""),2743.8)</f>
        <v>2743.8</v>
      </c>
      <c r="E63" s="6">
        <f>IFERROR(__xludf.DUMMYFUNCTION("""COMPUTED_VALUE"""),2889.75)</f>
        <v>2889.75</v>
      </c>
      <c r="F63" s="6">
        <f>IFERROR(__xludf.DUMMYFUNCTION("""COMPUTED_VALUE"""),4966355.0)</f>
        <v>4966355</v>
      </c>
    </row>
    <row r="64">
      <c r="A64" s="7">
        <f>IFERROR(__xludf.DUMMYFUNCTION("""COMPUTED_VALUE"""),45632.64583333333)</f>
        <v>45632.64583</v>
      </c>
      <c r="B64" s="6">
        <f>IFERROR(__xludf.DUMMYFUNCTION("""COMPUTED_VALUE"""),2890.0)</f>
        <v>2890</v>
      </c>
      <c r="C64" s="6">
        <f>IFERROR(__xludf.DUMMYFUNCTION("""COMPUTED_VALUE"""),2957.0)</f>
        <v>2957</v>
      </c>
      <c r="D64" s="6">
        <f>IFERROR(__xludf.DUMMYFUNCTION("""COMPUTED_VALUE"""),2844.05)</f>
        <v>2844.05</v>
      </c>
      <c r="E64" s="6">
        <f>IFERROR(__xludf.DUMMYFUNCTION("""COMPUTED_VALUE"""),2886.8)</f>
        <v>2886.8</v>
      </c>
      <c r="F64" s="6">
        <f>IFERROR(__xludf.DUMMYFUNCTION("""COMPUTED_VALUE"""),2550711.0)</f>
        <v>2550711</v>
      </c>
    </row>
    <row r="65">
      <c r="A65" s="7">
        <f>IFERROR(__xludf.DUMMYFUNCTION("""COMPUTED_VALUE"""),45639.64583333333)</f>
        <v>45639.64583</v>
      </c>
      <c r="B65" s="6">
        <f>IFERROR(__xludf.DUMMYFUNCTION("""COMPUTED_VALUE"""),2886.8)</f>
        <v>2886.8</v>
      </c>
      <c r="C65" s="6">
        <f>IFERROR(__xludf.DUMMYFUNCTION("""COMPUTED_VALUE"""),2918.9)</f>
        <v>2918.9</v>
      </c>
      <c r="D65" s="6">
        <f>IFERROR(__xludf.DUMMYFUNCTION("""COMPUTED_VALUE"""),2777.5)</f>
        <v>2777.5</v>
      </c>
      <c r="E65" s="6">
        <f>IFERROR(__xludf.DUMMYFUNCTION("""COMPUTED_VALUE"""),2873.0)</f>
        <v>2873</v>
      </c>
      <c r="F65" s="6">
        <f>IFERROR(__xludf.DUMMYFUNCTION("""COMPUTED_VALUE"""),2506525.0)</f>
        <v>2506525</v>
      </c>
    </row>
    <row r="66">
      <c r="A66" s="7">
        <f>IFERROR(__xludf.DUMMYFUNCTION("""COMPUTED_VALUE"""),45646.64583333333)</f>
        <v>45646.64583</v>
      </c>
      <c r="B66" s="6">
        <f>IFERROR(__xludf.DUMMYFUNCTION("""COMPUTED_VALUE"""),2879.7)</f>
        <v>2879.7</v>
      </c>
      <c r="C66" s="6">
        <f>IFERROR(__xludf.DUMMYFUNCTION("""COMPUTED_VALUE"""),2889.75)</f>
        <v>2889.75</v>
      </c>
      <c r="D66" s="6">
        <f>IFERROR(__xludf.DUMMYFUNCTION("""COMPUTED_VALUE"""),2740.0)</f>
        <v>2740</v>
      </c>
      <c r="E66" s="6">
        <f>IFERROR(__xludf.DUMMYFUNCTION("""COMPUTED_VALUE"""),2750.85)</f>
        <v>2750.85</v>
      </c>
      <c r="F66" s="6">
        <f>IFERROR(__xludf.DUMMYFUNCTION("""COMPUTED_VALUE"""),1337819.0)</f>
        <v>1337819</v>
      </c>
    </row>
    <row r="67">
      <c r="A67" s="7">
        <f>IFERROR(__xludf.DUMMYFUNCTION("""COMPUTED_VALUE"""),45653.64583333333)</f>
        <v>45653.64583</v>
      </c>
      <c r="B67" s="6">
        <f>IFERROR(__xludf.DUMMYFUNCTION("""COMPUTED_VALUE"""),2752.35)</f>
        <v>2752.35</v>
      </c>
      <c r="C67" s="6">
        <f>IFERROR(__xludf.DUMMYFUNCTION("""COMPUTED_VALUE"""),2760.0)</f>
        <v>2760</v>
      </c>
      <c r="D67" s="6">
        <f>IFERROR(__xludf.DUMMYFUNCTION("""COMPUTED_VALUE"""),2705.5)</f>
        <v>2705.5</v>
      </c>
      <c r="E67" s="6">
        <f>IFERROR(__xludf.DUMMYFUNCTION("""COMPUTED_VALUE"""),2726.45)</f>
        <v>2726.45</v>
      </c>
      <c r="F67" s="6">
        <f>IFERROR(__xludf.DUMMYFUNCTION("""COMPUTED_VALUE"""),764604.0)</f>
        <v>764604</v>
      </c>
    </row>
    <row r="68">
      <c r="A68" s="7">
        <f>IFERROR(__xludf.DUMMYFUNCTION("""COMPUTED_VALUE"""),45660.64583333333)</f>
        <v>45660.64583</v>
      </c>
      <c r="B68" s="6">
        <f>IFERROR(__xludf.DUMMYFUNCTION("""COMPUTED_VALUE"""),2726.25)</f>
        <v>2726.25</v>
      </c>
      <c r="C68" s="6">
        <f>IFERROR(__xludf.DUMMYFUNCTION("""COMPUTED_VALUE"""),2833.5)</f>
        <v>2833.5</v>
      </c>
      <c r="D68" s="6">
        <f>IFERROR(__xludf.DUMMYFUNCTION("""COMPUTED_VALUE"""),2674.75)</f>
        <v>2674.75</v>
      </c>
      <c r="E68" s="6">
        <f>IFERROR(__xludf.DUMMYFUNCTION("""COMPUTED_VALUE"""),2821.25)</f>
        <v>2821.25</v>
      </c>
      <c r="F68" s="6">
        <f>IFERROR(__xludf.DUMMYFUNCTION("""COMPUTED_VALUE"""),2964213.0)</f>
        <v>2964213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IFERROR(__xludf.DUMMYFUNCTION("""COMPUTED_VALUE"""),2829.0)</f>
        <v>2829</v>
      </c>
      <c r="C69" s="6">
        <f>IFERROR(__xludf.DUMMYFUNCTION("""COMPUTED_VALUE"""),2939.5)</f>
        <v>2939.5</v>
      </c>
      <c r="D69" s="6">
        <f>IFERROR(__xludf.DUMMYFUNCTION("""COMPUTED_VALUE"""),2723.2)</f>
        <v>2723.2</v>
      </c>
      <c r="E69" s="6">
        <f>IFERROR(__xludf.DUMMYFUNCTION("""COMPUTED_VALUE"""),2830.7)</f>
        <v>2830.7</v>
      </c>
      <c r="F69" s="6">
        <f>IFERROR(__xludf.DUMMYFUNCTION("""COMPUTED_VALUE"""),4008749.0)</f>
        <v>4008749</v>
      </c>
    </row>
    <row r="70">
      <c r="A70" s="7">
        <f>IFERROR(__xludf.DUMMYFUNCTION("""COMPUTED_VALUE"""),45674.64583333333)</f>
        <v>45674.64583</v>
      </c>
      <c r="B70" s="6">
        <f>IFERROR(__xludf.DUMMYFUNCTION("""COMPUTED_VALUE"""),2830.0)</f>
        <v>2830</v>
      </c>
      <c r="C70" s="6">
        <f>IFERROR(__xludf.DUMMYFUNCTION("""COMPUTED_VALUE"""),2835.6)</f>
        <v>2835.6</v>
      </c>
      <c r="D70" s="6">
        <f>IFERROR(__xludf.DUMMYFUNCTION("""COMPUTED_VALUE"""),2610.15)</f>
        <v>2610.15</v>
      </c>
      <c r="E70" s="6">
        <f>IFERROR(__xludf.DUMMYFUNCTION("""COMPUTED_VALUE"""),2683.65)</f>
        <v>2683.65</v>
      </c>
      <c r="F70" s="6">
        <f>IFERROR(__xludf.DUMMYFUNCTION("""COMPUTED_VALUE"""),1913129.0)</f>
        <v>1913129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IFERROR(__xludf.DUMMYFUNCTION("""COMPUTED_VALUE"""),2683.65)</f>
        <v>2683.65</v>
      </c>
      <c r="C71" s="6">
        <f>IFERROR(__xludf.DUMMYFUNCTION("""COMPUTED_VALUE"""),2799.0)</f>
        <v>2799</v>
      </c>
      <c r="D71" s="6">
        <f>IFERROR(__xludf.DUMMYFUNCTION("""COMPUTED_VALUE"""),2658.4)</f>
        <v>2658.4</v>
      </c>
      <c r="E71" s="6">
        <f>IFERROR(__xludf.DUMMYFUNCTION("""COMPUTED_VALUE"""),2751.9)</f>
        <v>2751.9</v>
      </c>
      <c r="F71" s="6">
        <f>IFERROR(__xludf.DUMMYFUNCTION("""COMPUTED_VALUE"""),2168192.0)</f>
        <v>2168192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IFERROR(__xludf.DUMMYFUNCTION("""COMPUTED_VALUE"""),2899.95)</f>
        <v>2899.95</v>
      </c>
      <c r="C72" s="6">
        <f>IFERROR(__xludf.DUMMYFUNCTION("""COMPUTED_VALUE"""),2899.95)</f>
        <v>2899.95</v>
      </c>
      <c r="D72" s="6">
        <f>IFERROR(__xludf.DUMMYFUNCTION("""COMPUTED_VALUE"""),2605.0)</f>
        <v>2605</v>
      </c>
      <c r="E72" s="6">
        <f>IFERROR(__xludf.DUMMYFUNCTION("""COMPUTED_VALUE"""),2612.2)</f>
        <v>2612.2</v>
      </c>
      <c r="F72" s="6">
        <f>IFERROR(__xludf.DUMMYFUNCTION("""COMPUTED_VALUE"""),2192036.0)</f>
        <v>2192036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IFERROR(__xludf.DUMMYFUNCTION("""COMPUTED_VALUE"""),2613.65)</f>
        <v>2613.65</v>
      </c>
      <c r="C73" s="6">
        <f>IFERROR(__xludf.DUMMYFUNCTION("""COMPUTED_VALUE"""),2628.85)</f>
        <v>2628.85</v>
      </c>
      <c r="D73" s="6">
        <f>IFERROR(__xludf.DUMMYFUNCTION("""COMPUTED_VALUE"""),2470.0)</f>
        <v>2470</v>
      </c>
      <c r="E73" s="6">
        <f>IFERROR(__xludf.DUMMYFUNCTION("""COMPUTED_VALUE"""),2482.45)</f>
        <v>2482.45</v>
      </c>
      <c r="F73" s="6">
        <f>IFERROR(__xludf.DUMMYFUNCTION("""COMPUTED_VALUE"""),1868216.0)</f>
        <v>1868216</v>
      </c>
    </row>
    <row r="74">
      <c r="A74" s="7">
        <f>IFERROR(__xludf.DUMMYFUNCTION("""COMPUTED_VALUE"""),45709.64583333333)</f>
        <v>45709.64583</v>
      </c>
      <c r="B74" s="6">
        <f>IFERROR(__xludf.DUMMYFUNCTION("""COMPUTED_VALUE"""),2471.0)</f>
        <v>2471</v>
      </c>
      <c r="C74" s="6">
        <f>IFERROR(__xludf.DUMMYFUNCTION("""COMPUTED_VALUE"""),2492.0)</f>
        <v>2492</v>
      </c>
      <c r="D74" s="6">
        <f>IFERROR(__xludf.DUMMYFUNCTION("""COMPUTED_VALUE"""),2411.0)</f>
        <v>2411</v>
      </c>
      <c r="E74" s="6">
        <f>IFERROR(__xludf.DUMMYFUNCTION("""COMPUTED_VALUE"""),2458.75)</f>
        <v>2458.75</v>
      </c>
      <c r="F74" s="6">
        <f>IFERROR(__xludf.DUMMYFUNCTION("""COMPUTED_VALUE"""),1988315.0)</f>
        <v>1988315</v>
      </c>
    </row>
    <row r="75">
      <c r="A75" s="7">
        <f>IFERROR(__xludf.DUMMYFUNCTION("""COMPUTED_VALUE"""),45716.64583333333)</f>
        <v>45716.64583</v>
      </c>
      <c r="B75" s="6">
        <f>IFERROR(__xludf.DUMMYFUNCTION("""COMPUTED_VALUE"""),2435.0)</f>
        <v>2435</v>
      </c>
      <c r="C75" s="6">
        <f>IFERROR(__xludf.DUMMYFUNCTION("""COMPUTED_VALUE"""),2545.8)</f>
        <v>2545.8</v>
      </c>
      <c r="D75" s="6">
        <f>IFERROR(__xludf.DUMMYFUNCTION("""COMPUTED_VALUE"""),2424.0)</f>
        <v>2424</v>
      </c>
      <c r="E75" s="6">
        <f>IFERROR(__xludf.DUMMYFUNCTION("""COMPUTED_VALUE"""),2464.6)</f>
        <v>2464.6</v>
      </c>
      <c r="F75" s="6">
        <f>IFERROR(__xludf.DUMMYFUNCTION("""COMPUTED_VALUE"""),2672557.0)</f>
        <v>2672557</v>
      </c>
    </row>
    <row r="76">
      <c r="A76" s="7">
        <f>IFERROR(__xludf.DUMMYFUNCTION("""COMPUTED_VALUE"""),45723.64583333333)</f>
        <v>45723.64583</v>
      </c>
      <c r="B76" s="6">
        <f>IFERROR(__xludf.DUMMYFUNCTION("""COMPUTED_VALUE"""),2464.6)</f>
        <v>2464.6</v>
      </c>
      <c r="C76" s="6">
        <f>IFERROR(__xludf.DUMMYFUNCTION("""COMPUTED_VALUE"""),2486.05)</f>
        <v>2486.05</v>
      </c>
      <c r="D76" s="6">
        <f>IFERROR(__xludf.DUMMYFUNCTION("""COMPUTED_VALUE"""),2361.0)</f>
        <v>2361</v>
      </c>
      <c r="E76" s="6">
        <f>IFERROR(__xludf.DUMMYFUNCTION("""COMPUTED_VALUE"""),2474.15)</f>
        <v>2474.15</v>
      </c>
      <c r="F76" s="6">
        <f>IFERROR(__xludf.DUMMYFUNCTION("""COMPUTED_VALUE"""),2490295.0)</f>
        <v>2490295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IFERROR(__xludf.DUMMYFUNCTION("""COMPUTED_VALUE"""),2490.0)</f>
        <v>2490</v>
      </c>
      <c r="C77" s="6">
        <f>IFERROR(__xludf.DUMMYFUNCTION("""COMPUTED_VALUE"""),2524.95)</f>
        <v>2524.95</v>
      </c>
      <c r="D77" s="6">
        <f>IFERROR(__xludf.DUMMYFUNCTION("""COMPUTED_VALUE"""),2400.0)</f>
        <v>2400</v>
      </c>
      <c r="E77" s="6">
        <f>IFERROR(__xludf.DUMMYFUNCTION("""COMPUTED_VALUE"""),2411.7)</f>
        <v>2411.7</v>
      </c>
      <c r="F77" s="6">
        <f>IFERROR(__xludf.DUMMYFUNCTION("""COMPUTED_VALUE"""),1476492.0)</f>
        <v>1476492</v>
      </c>
    </row>
    <row r="78">
      <c r="A78" s="7">
        <f>IFERROR(__xludf.DUMMYFUNCTION("""COMPUTED_VALUE"""),45737.64583333333)</f>
        <v>45737.64583</v>
      </c>
      <c r="B78" s="6">
        <f>IFERROR(__xludf.DUMMYFUNCTION("""COMPUTED_VALUE"""),2415.0)</f>
        <v>2415</v>
      </c>
      <c r="C78" s="6">
        <f>IFERROR(__xludf.DUMMYFUNCTION("""COMPUTED_VALUE"""),2449.9)</f>
        <v>2449.9</v>
      </c>
      <c r="D78" s="6">
        <f>IFERROR(__xludf.DUMMYFUNCTION("""COMPUTED_VALUE"""),2351.0)</f>
        <v>2351</v>
      </c>
      <c r="E78" s="6">
        <f>IFERROR(__xludf.DUMMYFUNCTION("""COMPUTED_VALUE"""),2401.1)</f>
        <v>2401.1</v>
      </c>
      <c r="F78" s="6">
        <f>IFERROR(__xludf.DUMMYFUNCTION("""COMPUTED_VALUE"""),2351780.0)</f>
        <v>2351780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IFERROR(__xludf.DUMMYFUNCTION("""COMPUTED_VALUE"""),2416.7)</f>
        <v>2416.7</v>
      </c>
      <c r="C79" s="6">
        <f>IFERROR(__xludf.DUMMYFUNCTION("""COMPUTED_VALUE"""),2442.0)</f>
        <v>2442</v>
      </c>
      <c r="D79" s="6">
        <f>IFERROR(__xludf.DUMMYFUNCTION("""COMPUTED_VALUE"""),2341.4)</f>
        <v>2341.4</v>
      </c>
      <c r="E79" s="6">
        <f>IFERROR(__xludf.DUMMYFUNCTION("""COMPUTED_VALUE"""),2389.8)</f>
        <v>2389.8</v>
      </c>
      <c r="F79" s="6">
        <f>IFERROR(__xludf.DUMMYFUNCTION("""COMPUTED_VALUE"""),3845057.0)</f>
        <v>3845057</v>
      </c>
    </row>
    <row r="80">
      <c r="A80" s="7">
        <f>IFERROR(__xludf.DUMMYFUNCTION("""COMPUTED_VALUE"""),45751.64583333333)</f>
        <v>45751.64583</v>
      </c>
      <c r="B80" s="6">
        <f>IFERROR(__xludf.DUMMYFUNCTION("""COMPUTED_VALUE"""),2389.8)</f>
        <v>2389.8</v>
      </c>
      <c r="C80" s="6">
        <f>IFERROR(__xludf.DUMMYFUNCTION("""COMPUTED_VALUE"""),2444.8)</f>
        <v>2444.8</v>
      </c>
      <c r="D80" s="6">
        <f>IFERROR(__xludf.DUMMYFUNCTION("""COMPUTED_VALUE"""),2325.8)</f>
        <v>2325.8</v>
      </c>
      <c r="E80" s="6">
        <f>IFERROR(__xludf.DUMMYFUNCTION("""COMPUTED_VALUE"""),2423.35)</f>
        <v>2423.35</v>
      </c>
      <c r="F80" s="6">
        <f>IFERROR(__xludf.DUMMYFUNCTION("""COMPUTED_VALUE"""),1375515.0)</f>
        <v>1375515</v>
      </c>
    </row>
    <row r="81">
      <c r="A81" s="7">
        <f>IFERROR(__xludf.DUMMYFUNCTION("""COMPUTED_VALUE"""),45758.64583333333)</f>
        <v>45758.64583</v>
      </c>
      <c r="B81" s="6">
        <f>IFERROR(__xludf.DUMMYFUNCTION("""COMPUTED_VALUE"""),2318.05)</f>
        <v>2318.05</v>
      </c>
      <c r="C81" s="6">
        <f>IFERROR(__xludf.DUMMYFUNCTION("""COMPUTED_VALUE"""),2523.95)</f>
        <v>2523.95</v>
      </c>
      <c r="D81" s="6">
        <f>IFERROR(__xludf.DUMMYFUNCTION("""COMPUTED_VALUE"""),2311.5)</f>
        <v>2311.5</v>
      </c>
      <c r="E81" s="6">
        <f>IFERROR(__xludf.DUMMYFUNCTION("""COMPUTED_VALUE"""),2491.65)</f>
        <v>2491.65</v>
      </c>
      <c r="F81" s="6">
        <f>IFERROR(__xludf.DUMMYFUNCTION("""COMPUTED_VALUE"""),2084117.0)</f>
        <v>2084117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IFERROR(__xludf.DUMMYFUNCTION("""COMPUTED_VALUE"""),2540.0)</f>
        <v>2540</v>
      </c>
      <c r="C82" s="6">
        <f>IFERROR(__xludf.DUMMYFUNCTION("""COMPUTED_VALUE"""),2601.1)</f>
        <v>2601.1</v>
      </c>
      <c r="D82" s="6">
        <f>IFERROR(__xludf.DUMMYFUNCTION("""COMPUTED_VALUE"""),2472.1)</f>
        <v>2472.1</v>
      </c>
      <c r="E82" s="6">
        <f>IFERROR(__xludf.DUMMYFUNCTION("""COMPUTED_VALUE"""),2570.5)</f>
        <v>2570.5</v>
      </c>
      <c r="F82" s="6">
        <f>IFERROR(__xludf.DUMMYFUNCTION("""COMPUTED_VALUE"""),1233678.0)</f>
        <v>1233678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IFERROR(__xludf.DUMMYFUNCTION("""COMPUTED_VALUE"""),2575.0)</f>
        <v>2575</v>
      </c>
      <c r="C83" s="6">
        <f>IFERROR(__xludf.DUMMYFUNCTION("""COMPUTED_VALUE"""),2744.0)</f>
        <v>2744</v>
      </c>
      <c r="D83" s="6">
        <f>IFERROR(__xludf.DUMMYFUNCTION("""COMPUTED_VALUE"""),2534.1)</f>
        <v>2534.1</v>
      </c>
      <c r="E83" s="6">
        <f>IFERROR(__xludf.DUMMYFUNCTION("""COMPUTED_VALUE"""),2671.4)</f>
        <v>2671.4</v>
      </c>
      <c r="F83" s="6">
        <f>IFERROR(__xludf.DUMMYFUNCTION("""COMPUTED_VALUE"""),2887910.0)</f>
        <v>2887910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IFERROR(__xludf.DUMMYFUNCTION("""COMPUTED_VALUE"""),2668.0)</f>
        <v>2668</v>
      </c>
      <c r="C84" s="6">
        <f>IFERROR(__xludf.DUMMYFUNCTION("""COMPUTED_VALUE"""),2702.5)</f>
        <v>2702.5</v>
      </c>
      <c r="D84" s="6">
        <f>IFERROR(__xludf.DUMMYFUNCTION("""COMPUTED_VALUE"""),2531.0)</f>
        <v>2531</v>
      </c>
      <c r="E84" s="6">
        <f>IFERROR(__xludf.DUMMYFUNCTION("""COMPUTED_VALUE"""),2543.4)</f>
        <v>2543.4</v>
      </c>
      <c r="F84" s="6">
        <f>IFERROR(__xludf.DUMMYFUNCTION("""COMPUTED_VALUE"""),2114393.0)</f>
        <v>2114393</v>
      </c>
    </row>
    <row r="85">
      <c r="A85" s="7">
        <f>IFERROR(__xludf.DUMMYFUNCTION("""COMPUTED_VALUE"""),45786.64583333333)</f>
        <v>45786.64583</v>
      </c>
      <c r="B85" s="6">
        <f>IFERROR(__xludf.DUMMYFUNCTION("""COMPUTED_VALUE"""),2549.0)</f>
        <v>2549</v>
      </c>
      <c r="C85" s="6">
        <f>IFERROR(__xludf.DUMMYFUNCTION("""COMPUTED_VALUE"""),2646.8)</f>
        <v>2646.8</v>
      </c>
      <c r="D85" s="6">
        <f>IFERROR(__xludf.DUMMYFUNCTION("""COMPUTED_VALUE"""),2494.7)</f>
        <v>2494.7</v>
      </c>
      <c r="E85" s="6">
        <f>IFERROR(__xludf.DUMMYFUNCTION("""COMPUTED_VALUE"""),2550.5)</f>
        <v>2550.5</v>
      </c>
      <c r="F85" s="6">
        <f>IFERROR(__xludf.DUMMYFUNCTION("""COMPUTED_VALUE"""),2073277.0)</f>
        <v>2073277</v>
      </c>
    </row>
    <row r="86">
      <c r="A86" s="7">
        <f>IFERROR(__xludf.DUMMYFUNCTION("""COMPUTED_VALUE"""),45793.64583333333)</f>
        <v>45793.64583</v>
      </c>
      <c r="B86" s="6">
        <f>IFERROR(__xludf.DUMMYFUNCTION("""COMPUTED_VALUE"""),2582.0)</f>
        <v>2582</v>
      </c>
      <c r="C86" s="6">
        <f>IFERROR(__xludf.DUMMYFUNCTION("""COMPUTED_VALUE"""),2698.0)</f>
        <v>2698</v>
      </c>
      <c r="D86" s="6">
        <f>IFERROR(__xludf.DUMMYFUNCTION("""COMPUTED_VALUE"""),2570.1)</f>
        <v>2570.1</v>
      </c>
      <c r="E86" s="6">
        <f>IFERROR(__xludf.DUMMYFUNCTION("""COMPUTED_VALUE"""),2689.7)</f>
        <v>2689.7</v>
      </c>
      <c r="F86" s="6">
        <f>IFERROR(__xludf.DUMMYFUNCTION("""COMPUTED_VALUE"""),1599376.0)</f>
        <v>1599376</v>
      </c>
    </row>
    <row r="87">
      <c r="A87" s="7">
        <f>IFERROR(__xludf.DUMMYFUNCTION("""COMPUTED_VALUE"""),45800.64583333333)</f>
        <v>45800.64583</v>
      </c>
      <c r="B87" s="6">
        <f>IFERROR(__xludf.DUMMYFUNCTION("""COMPUTED_VALUE"""),2700.0)</f>
        <v>2700</v>
      </c>
      <c r="C87" s="6">
        <f>IFERROR(__xludf.DUMMYFUNCTION("""COMPUTED_VALUE"""),2747.4)</f>
        <v>2747.4</v>
      </c>
      <c r="D87" s="6">
        <f>IFERROR(__xludf.DUMMYFUNCTION("""COMPUTED_VALUE"""),2469.0)</f>
        <v>2469</v>
      </c>
      <c r="E87" s="6">
        <f>IFERROR(__xludf.DUMMYFUNCTION("""COMPUTED_VALUE"""),2479.4)</f>
        <v>2479.4</v>
      </c>
      <c r="F87" s="6">
        <f>IFERROR(__xludf.DUMMYFUNCTION("""COMPUTED_VALUE"""),4074227.0)</f>
        <v>4074227</v>
      </c>
    </row>
    <row r="88">
      <c r="A88" s="7">
        <f>IFERROR(__xludf.DUMMYFUNCTION("""COMPUTED_VALUE"""),45807.64583333333)</f>
        <v>45807.64583</v>
      </c>
      <c r="B88" s="6">
        <f>IFERROR(__xludf.DUMMYFUNCTION("""COMPUTED_VALUE"""),2489.9)</f>
        <v>2489.9</v>
      </c>
      <c r="C88" s="6">
        <f>IFERROR(__xludf.DUMMYFUNCTION("""COMPUTED_VALUE"""),2519.0)</f>
        <v>2519</v>
      </c>
      <c r="D88" s="6">
        <f>IFERROR(__xludf.DUMMYFUNCTION("""COMPUTED_VALUE"""),2449.0)</f>
        <v>2449</v>
      </c>
      <c r="E88" s="6">
        <f>IFERROR(__xludf.DUMMYFUNCTION("""COMPUTED_VALUE"""),2455.9)</f>
        <v>2455.9</v>
      </c>
      <c r="F88" s="6">
        <f>IFERROR(__xludf.DUMMYFUNCTION("""COMPUTED_VALUE"""),3385936.0)</f>
        <v>3385936</v>
      </c>
    </row>
    <row r="89">
      <c r="A89" s="7">
        <f>IFERROR(__xludf.DUMMYFUNCTION("""COMPUTED_VALUE"""),45814.64583333333)</f>
        <v>45814.64583</v>
      </c>
      <c r="B89" s="6">
        <f>IFERROR(__xludf.DUMMYFUNCTION("""COMPUTED_VALUE"""),2455.9)</f>
        <v>2455.9</v>
      </c>
      <c r="C89" s="6">
        <f>IFERROR(__xludf.DUMMYFUNCTION("""COMPUTED_VALUE"""),2494.0)</f>
        <v>2494</v>
      </c>
      <c r="D89" s="6">
        <f>IFERROR(__xludf.DUMMYFUNCTION("""COMPUTED_VALUE"""),2428.0)</f>
        <v>2428</v>
      </c>
      <c r="E89" s="6">
        <f>IFERROR(__xludf.DUMMYFUNCTION("""COMPUTED_VALUE"""),2432.5)</f>
        <v>2432.5</v>
      </c>
      <c r="F89" s="6">
        <f>IFERROR(__xludf.DUMMYFUNCTION("""COMPUTED_VALUE"""),2391969.0)</f>
        <v>2391969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IFERROR(__xludf.DUMMYFUNCTION("""COMPUTED_VALUE"""),2444.0)</f>
        <v>2444</v>
      </c>
      <c r="C90" s="6">
        <f>IFERROR(__xludf.DUMMYFUNCTION("""COMPUTED_VALUE"""),2461.9)</f>
        <v>2461.9</v>
      </c>
      <c r="D90" s="6">
        <f>IFERROR(__xludf.DUMMYFUNCTION("""COMPUTED_VALUE"""),2346.3)</f>
        <v>2346.3</v>
      </c>
      <c r="E90" s="6">
        <f>IFERROR(__xludf.DUMMYFUNCTION("""COMPUTED_VALUE"""),2371.2)</f>
        <v>2371.2</v>
      </c>
      <c r="F90" s="6">
        <f>IFERROR(__xludf.DUMMYFUNCTION("""COMPUTED_VALUE"""),2253834.0)</f>
        <v>2253834</v>
      </c>
    </row>
    <row r="91">
      <c r="A91" s="7">
        <f>IFERROR(__xludf.DUMMYFUNCTION("""COMPUTED_VALUE"""),45828.64583333333)</f>
        <v>45828.64583</v>
      </c>
      <c r="B91" s="6">
        <f>IFERROR(__xludf.DUMMYFUNCTION("""COMPUTED_VALUE"""),2371.2)</f>
        <v>2371.2</v>
      </c>
      <c r="C91" s="6">
        <f>IFERROR(__xludf.DUMMYFUNCTION("""COMPUTED_VALUE"""),2412.4)</f>
        <v>2412.4</v>
      </c>
      <c r="D91" s="6">
        <f>IFERROR(__xludf.DUMMYFUNCTION("""COMPUTED_VALUE"""),2356.0)</f>
        <v>2356</v>
      </c>
      <c r="E91" s="6">
        <f>IFERROR(__xludf.DUMMYFUNCTION("""COMPUTED_VALUE"""),2402.3)</f>
        <v>2402.3</v>
      </c>
      <c r="F91" s="6">
        <f>IFERROR(__xludf.DUMMYFUNCTION("""COMPUTED_VALUE"""),1685545.0)</f>
        <v>1685545</v>
      </c>
    </row>
    <row r="92">
      <c r="A92" s="7">
        <f>IFERROR(__xludf.DUMMYFUNCTION("""COMPUTED_VALUE"""),45835.64583333333)</f>
        <v>45835.64583</v>
      </c>
      <c r="B92" s="6">
        <f>IFERROR(__xludf.DUMMYFUNCTION("""COMPUTED_VALUE"""),2398.0)</f>
        <v>2398</v>
      </c>
      <c r="C92" s="6">
        <f>IFERROR(__xludf.DUMMYFUNCTION("""COMPUTED_VALUE"""),2449.0)</f>
        <v>2449</v>
      </c>
      <c r="D92" s="6">
        <f>IFERROR(__xludf.DUMMYFUNCTION("""COMPUTED_VALUE"""),2353.1)</f>
        <v>2353.1</v>
      </c>
      <c r="E92" s="6">
        <f>IFERROR(__xludf.DUMMYFUNCTION("""COMPUTED_VALUE"""),2379.3)</f>
        <v>2379.3</v>
      </c>
      <c r="F92" s="6">
        <f>IFERROR(__xludf.DUMMYFUNCTION("""COMPUTED_VALUE"""),3091954.0)</f>
        <v>3091954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IFERROR(__xludf.DUMMYFUNCTION("""COMPUTED_VALUE"""),2382.2)</f>
        <v>2382.2</v>
      </c>
      <c r="C93" s="6">
        <f>IFERROR(__xludf.DUMMYFUNCTION("""COMPUTED_VALUE"""),2468.5)</f>
        <v>2468.5</v>
      </c>
      <c r="D93" s="6">
        <f>IFERROR(__xludf.DUMMYFUNCTION("""COMPUTED_VALUE"""),2381.0)</f>
        <v>2381</v>
      </c>
      <c r="E93" s="6">
        <f>IFERROR(__xludf.DUMMYFUNCTION("""COMPUTED_VALUE"""),2446.7)</f>
        <v>2446.7</v>
      </c>
      <c r="F93" s="6">
        <f>IFERROR(__xludf.DUMMYFUNCTION("""COMPUTED_VALUE"""),2256797.0)</f>
        <v>2256797</v>
      </c>
    </row>
    <row r="94">
      <c r="A94" s="7">
        <f>IFERROR(__xludf.DUMMYFUNCTION("""COMPUTED_VALUE"""),45849.64583333333)</f>
        <v>45849.64583</v>
      </c>
      <c r="B94" s="6">
        <f>IFERROR(__xludf.DUMMYFUNCTION("""COMPUTED_VALUE"""),2446.0)</f>
        <v>2446</v>
      </c>
      <c r="C94" s="6">
        <f>IFERROR(__xludf.DUMMYFUNCTION("""COMPUTED_VALUE"""),2491.9)</f>
        <v>2491.9</v>
      </c>
      <c r="D94" s="6">
        <f>IFERROR(__xludf.DUMMYFUNCTION("""COMPUTED_VALUE"""),2370.1)</f>
        <v>2370.1</v>
      </c>
      <c r="E94" s="6">
        <f>IFERROR(__xludf.DUMMYFUNCTION("""COMPUTED_VALUE"""),2376.1)</f>
        <v>2376.1</v>
      </c>
      <c r="F94" s="6">
        <f>IFERROR(__xludf.DUMMYFUNCTION("""COMPUTED_VALUE"""),2553074.0)</f>
        <v>2553074</v>
      </c>
    </row>
    <row r="95">
      <c r="A95" s="7">
        <f>IFERROR(__xludf.DUMMYFUNCTION("""COMPUTED_VALUE"""),45856.64583333333)</f>
        <v>45856.64583</v>
      </c>
      <c r="B95" s="6">
        <f>IFERROR(__xludf.DUMMYFUNCTION("""COMPUTED_VALUE"""),2388.7)</f>
        <v>2388.7</v>
      </c>
      <c r="C95" s="6">
        <f>IFERROR(__xludf.DUMMYFUNCTION("""COMPUTED_VALUE"""),2412.0)</f>
        <v>2412</v>
      </c>
      <c r="D95" s="6">
        <f>IFERROR(__xludf.DUMMYFUNCTION("""COMPUTED_VALUE"""),2356.5)</f>
        <v>2356.5</v>
      </c>
      <c r="E95" s="6">
        <f>IFERROR(__xludf.DUMMYFUNCTION("""COMPUTED_VALUE"""),2394.2)</f>
        <v>2394.2</v>
      </c>
      <c r="F95" s="6">
        <f>IFERROR(__xludf.DUMMYFUNCTION("""COMPUTED_VALUE"""),2894433.0)</f>
        <v>2894433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IFERROR(__xludf.DUMMYFUNCTION("""COMPUTED_VALUE"""),2394.2)</f>
        <v>2394.2</v>
      </c>
      <c r="C96" s="6">
        <f>IFERROR(__xludf.DUMMYFUNCTION("""COMPUTED_VALUE"""),2410.0)</f>
        <v>2410</v>
      </c>
      <c r="D96" s="6">
        <f>IFERROR(__xludf.DUMMYFUNCTION("""COMPUTED_VALUE"""),2212.0)</f>
        <v>2212</v>
      </c>
      <c r="E96" s="6">
        <f>IFERROR(__xludf.DUMMYFUNCTION("""COMPUTED_VALUE"""),2215.9)</f>
        <v>2215.9</v>
      </c>
      <c r="F96" s="6">
        <f>IFERROR(__xludf.DUMMYFUNCTION("""COMPUTED_VALUE"""),5437445.0)</f>
        <v>5437445</v>
      </c>
    </row>
    <row r="97">
      <c r="A97" s="7">
        <f>IFERROR(__xludf.DUMMYFUNCTION("""COMPUTED_VALUE"""),45870.64583333333)</f>
        <v>45870.64583</v>
      </c>
      <c r="B97" s="6">
        <f>IFERROR(__xludf.DUMMYFUNCTION("""COMPUTED_VALUE"""),2216.0)</f>
        <v>2216</v>
      </c>
      <c r="C97" s="6">
        <f>IFERROR(__xludf.DUMMYFUNCTION("""COMPUTED_VALUE"""),2286.5)</f>
        <v>2286.5</v>
      </c>
      <c r="D97" s="6">
        <f>IFERROR(__xludf.DUMMYFUNCTION("""COMPUTED_VALUE"""),2194.0)</f>
        <v>2194</v>
      </c>
      <c r="E97" s="6">
        <f>IFERROR(__xludf.DUMMYFUNCTION("""COMPUTED_VALUE"""),2258.0)</f>
        <v>2258</v>
      </c>
      <c r="F97" s="6">
        <f>IFERROR(__xludf.DUMMYFUNCTION("""COMPUTED_VALUE"""),4134713.0)</f>
        <v>4134713</v>
      </c>
    </row>
    <row r="98">
      <c r="A98" s="7">
        <f>IFERROR(__xludf.DUMMYFUNCTION("""COMPUTED_VALUE"""),45877.64583333333)</f>
        <v>45877.64583</v>
      </c>
      <c r="B98" s="6">
        <f>IFERROR(__xludf.DUMMYFUNCTION("""COMPUTED_VALUE"""),2258.0)</f>
        <v>2258</v>
      </c>
      <c r="C98" s="6">
        <f>IFERROR(__xludf.DUMMYFUNCTION("""COMPUTED_VALUE"""),2268.5)</f>
        <v>2268.5</v>
      </c>
      <c r="D98" s="6">
        <f>IFERROR(__xludf.DUMMYFUNCTION("""COMPUTED_VALUE"""),2204.0)</f>
        <v>2204</v>
      </c>
      <c r="E98" s="6">
        <f>IFERROR(__xludf.DUMMYFUNCTION("""COMPUTED_VALUE"""),2207.4)</f>
        <v>2207.4</v>
      </c>
      <c r="F98" s="6">
        <f>IFERROR(__xludf.DUMMYFUNCTION("""COMPUTED_VALUE"""),1908325.0)</f>
        <v>1908325</v>
      </c>
    </row>
    <row r="99">
      <c r="A99" s="7">
        <f>IFERROR(__xludf.DUMMYFUNCTION("""COMPUTED_VALUE"""),45883.64583333333)</f>
        <v>45883.64583</v>
      </c>
      <c r="B99" s="6">
        <f>IFERROR(__xludf.DUMMYFUNCTION("""COMPUTED_VALUE"""),2207.9)</f>
        <v>2207.9</v>
      </c>
      <c r="C99" s="6">
        <f>IFERROR(__xludf.DUMMYFUNCTION("""COMPUTED_VALUE"""),2232.9)</f>
        <v>2232.9</v>
      </c>
      <c r="D99" s="6">
        <f>IFERROR(__xludf.DUMMYFUNCTION("""COMPUTED_VALUE"""),2151.0)</f>
        <v>2151</v>
      </c>
      <c r="E99" s="6">
        <f>IFERROR(__xludf.DUMMYFUNCTION("""COMPUTED_VALUE"""),2154.0)</f>
        <v>2154</v>
      </c>
      <c r="F99" s="6">
        <f>IFERROR(__xludf.DUMMYFUNCTION("""COMPUTED_VALUE"""),1998604.0)</f>
        <v>1998604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IFERROR(__xludf.DUMMYFUNCTION("""COMPUTED_VALUE"""),2200.0)</f>
        <v>2200</v>
      </c>
      <c r="C100" s="6">
        <f>IFERROR(__xludf.DUMMYFUNCTION("""COMPUTED_VALUE"""),2368.0)</f>
        <v>2368</v>
      </c>
      <c r="D100" s="6">
        <f>IFERROR(__xludf.DUMMYFUNCTION("""COMPUTED_VALUE"""),2185.6)</f>
        <v>2185.6</v>
      </c>
      <c r="E100" s="6">
        <f>IFERROR(__xludf.DUMMYFUNCTION("""COMPUTED_VALUE"""),2299.3)</f>
        <v>2299.3</v>
      </c>
      <c r="F100" s="6">
        <f>IFERROR(__xludf.DUMMYFUNCTION("""COMPUTED_VALUE"""),3484732.0)</f>
        <v>3484732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IFERROR(__xludf.DUMMYFUNCTION("""COMPUTED_VALUE"""),2295.1)</f>
        <v>2295.1</v>
      </c>
      <c r="C101" s="6">
        <f>IFERROR(__xludf.DUMMYFUNCTION("""COMPUTED_VALUE"""),2323.4)</f>
        <v>2323.4</v>
      </c>
      <c r="D101" s="6">
        <f>IFERROR(__xludf.DUMMYFUNCTION("""COMPUTED_VALUE"""),2270.0)</f>
        <v>2270</v>
      </c>
      <c r="E101" s="6">
        <f>IFERROR(__xludf.DUMMYFUNCTION("""COMPUTED_VALUE"""),2284.1)</f>
        <v>2284.1</v>
      </c>
      <c r="F101" s="6">
        <f>IFERROR(__xludf.DUMMYFUNCTION("""COMPUTED_VALUE"""),1.1853928E7)</f>
        <v>11853928</v>
      </c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IFERROR(__xludf.DUMMYFUNCTION("GOOGLEFINANCE(""NSE:CONCOR"",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IFERROR(__xludf.DUMMYFUNCTION("""COMPUTED_VALUE"""),531.2)</f>
        <v>531.2</v>
      </c>
      <c r="C2" s="6">
        <f>IFERROR(__xludf.DUMMYFUNCTION("""COMPUTED_VALUE"""),552.84)</f>
        <v>552.84</v>
      </c>
      <c r="D2" s="6">
        <f>IFERROR(__xludf.DUMMYFUNCTION("""COMPUTED_VALUE"""),523.04)</f>
        <v>523.04</v>
      </c>
      <c r="E2" s="6">
        <f>IFERROR(__xludf.DUMMYFUNCTION("""COMPUTED_VALUE"""),549.6)</f>
        <v>549.6</v>
      </c>
      <c r="F2" s="6">
        <f>IFERROR(__xludf.DUMMYFUNCTION("""COMPUTED_VALUE"""),4627996.0)</f>
        <v>4627996</v>
      </c>
    </row>
    <row r="3">
      <c r="A3" s="7">
        <f>IFERROR(__xludf.DUMMYFUNCTION("""COMPUTED_VALUE"""),45177.64583333333)</f>
        <v>45177.64583</v>
      </c>
      <c r="B3" s="6">
        <f>IFERROR(__xludf.DUMMYFUNCTION("""COMPUTED_VALUE"""),550.36)</f>
        <v>550.36</v>
      </c>
      <c r="C3" s="6">
        <f>IFERROR(__xludf.DUMMYFUNCTION("""COMPUTED_VALUE"""),575.48)</f>
        <v>575.48</v>
      </c>
      <c r="D3" s="6">
        <f>IFERROR(__xludf.DUMMYFUNCTION("""COMPUTED_VALUE"""),540.04)</f>
        <v>540.04</v>
      </c>
      <c r="E3" s="6">
        <f>IFERROR(__xludf.DUMMYFUNCTION("""COMPUTED_VALUE"""),567.12)</f>
        <v>567.12</v>
      </c>
      <c r="F3" s="6">
        <f>IFERROR(__xludf.DUMMYFUNCTION("""COMPUTED_VALUE"""),6117990.0)</f>
        <v>6117990</v>
      </c>
    </row>
    <row r="4">
      <c r="A4" s="7">
        <f>IFERROR(__xludf.DUMMYFUNCTION("""COMPUTED_VALUE"""),45184.64583333333)</f>
        <v>45184.64583</v>
      </c>
      <c r="B4" s="6">
        <f>IFERROR(__xludf.DUMMYFUNCTION("""COMPUTED_VALUE"""),572.8)</f>
        <v>572.8</v>
      </c>
      <c r="C4" s="6">
        <f>IFERROR(__xludf.DUMMYFUNCTION("""COMPUTED_VALUE"""),598.16)</f>
        <v>598.16</v>
      </c>
      <c r="D4" s="6">
        <f>IFERROR(__xludf.DUMMYFUNCTION("""COMPUTED_VALUE"""),549.0)</f>
        <v>549</v>
      </c>
      <c r="E4" s="6">
        <f>IFERROR(__xludf.DUMMYFUNCTION("""COMPUTED_VALUE"""),573.88)</f>
        <v>573.88</v>
      </c>
      <c r="F4" s="6">
        <f>IFERROR(__xludf.DUMMYFUNCTION("""COMPUTED_VALUE"""),1.1305027E7)</f>
        <v>11305027</v>
      </c>
    </row>
    <row r="5">
      <c r="A5" s="7">
        <f>IFERROR(__xludf.DUMMYFUNCTION("""COMPUTED_VALUE"""),45191.64583333333)</f>
        <v>45191.64583</v>
      </c>
      <c r="B5" s="6">
        <f>IFERROR(__xludf.DUMMYFUNCTION("""COMPUTED_VALUE"""),573.88)</f>
        <v>573.88</v>
      </c>
      <c r="C5" s="6">
        <f>IFERROR(__xludf.DUMMYFUNCTION("""COMPUTED_VALUE"""),596.8)</f>
        <v>596.8</v>
      </c>
      <c r="D5" s="6">
        <f>IFERROR(__xludf.DUMMYFUNCTION("""COMPUTED_VALUE"""),565.16)</f>
        <v>565.16</v>
      </c>
      <c r="E5" s="6">
        <f>IFERROR(__xludf.DUMMYFUNCTION("""COMPUTED_VALUE"""),588.0)</f>
        <v>588</v>
      </c>
      <c r="F5" s="6">
        <f>IFERROR(__xludf.DUMMYFUNCTION("""COMPUTED_VALUE"""),7814411.0)</f>
        <v>7814411</v>
      </c>
    </row>
    <row r="6">
      <c r="A6" s="7">
        <f>IFERROR(__xludf.DUMMYFUNCTION("""COMPUTED_VALUE"""),45198.64583333333)</f>
        <v>45198.64583</v>
      </c>
      <c r="B6" s="6">
        <f>IFERROR(__xludf.DUMMYFUNCTION("""COMPUTED_VALUE"""),582.52)</f>
        <v>582.52</v>
      </c>
      <c r="C6" s="6">
        <f>IFERROR(__xludf.DUMMYFUNCTION("""COMPUTED_VALUE"""),588.68)</f>
        <v>588.68</v>
      </c>
      <c r="D6" s="6">
        <f>IFERROR(__xludf.DUMMYFUNCTION("""COMPUTED_VALUE"""),565.6)</f>
        <v>565.6</v>
      </c>
      <c r="E6" s="6">
        <f>IFERROR(__xludf.DUMMYFUNCTION("""COMPUTED_VALUE"""),572.96)</f>
        <v>572.96</v>
      </c>
      <c r="F6" s="6">
        <f>IFERROR(__xludf.DUMMYFUNCTION("""COMPUTED_VALUE"""),6388668.0)</f>
        <v>6388668</v>
      </c>
    </row>
    <row r="7">
      <c r="A7" s="7">
        <f>IFERROR(__xludf.DUMMYFUNCTION("""COMPUTED_VALUE"""),45205.64583333333)</f>
        <v>45205.64583</v>
      </c>
      <c r="B7" s="6">
        <f>IFERROR(__xludf.DUMMYFUNCTION("""COMPUTED_VALUE"""),574.52)</f>
        <v>574.52</v>
      </c>
      <c r="C7" s="6">
        <f>IFERROR(__xludf.DUMMYFUNCTION("""COMPUTED_VALUE"""),580.56)</f>
        <v>580.56</v>
      </c>
      <c r="D7" s="6">
        <f>IFERROR(__xludf.DUMMYFUNCTION("""COMPUTED_VALUE"""),558.84)</f>
        <v>558.84</v>
      </c>
      <c r="E7" s="6">
        <f>IFERROR(__xludf.DUMMYFUNCTION("""COMPUTED_VALUE"""),572.24)</f>
        <v>572.24</v>
      </c>
      <c r="F7" s="6">
        <f>IFERROR(__xludf.DUMMYFUNCTION("""COMPUTED_VALUE"""),2577052.0)</f>
        <v>2577052</v>
      </c>
    </row>
    <row r="8">
      <c r="A8" s="7">
        <f>IFERROR(__xludf.DUMMYFUNCTION("""COMPUTED_VALUE"""),45212.64583333333)</f>
        <v>45212.64583</v>
      </c>
      <c r="B8" s="6">
        <f>IFERROR(__xludf.DUMMYFUNCTION("""COMPUTED_VALUE"""),563.44)</f>
        <v>563.44</v>
      </c>
      <c r="C8" s="6">
        <f>IFERROR(__xludf.DUMMYFUNCTION("""COMPUTED_VALUE"""),574.08)</f>
        <v>574.08</v>
      </c>
      <c r="D8" s="6">
        <f>IFERROR(__xludf.DUMMYFUNCTION("""COMPUTED_VALUE"""),556.28)</f>
        <v>556.28</v>
      </c>
      <c r="E8" s="6">
        <f>IFERROR(__xludf.DUMMYFUNCTION("""COMPUTED_VALUE"""),570.52)</f>
        <v>570.52</v>
      </c>
      <c r="F8" s="6">
        <f>IFERROR(__xludf.DUMMYFUNCTION("""COMPUTED_VALUE"""),4766314.0)</f>
        <v>4766314</v>
      </c>
    </row>
    <row r="9">
      <c r="A9" s="7">
        <f>IFERROR(__xludf.DUMMYFUNCTION("""COMPUTED_VALUE"""),45219.64583333333)</f>
        <v>45219.64583</v>
      </c>
      <c r="B9" s="6">
        <f>IFERROR(__xludf.DUMMYFUNCTION("""COMPUTED_VALUE"""),572.48)</f>
        <v>572.48</v>
      </c>
      <c r="C9" s="6">
        <f>IFERROR(__xludf.DUMMYFUNCTION("""COMPUTED_VALUE"""),579.76)</f>
        <v>579.76</v>
      </c>
      <c r="D9" s="6">
        <f>IFERROR(__xludf.DUMMYFUNCTION("""COMPUTED_VALUE"""),563.0)</f>
        <v>563</v>
      </c>
      <c r="E9" s="6">
        <f>IFERROR(__xludf.DUMMYFUNCTION("""COMPUTED_VALUE"""),566.36)</f>
        <v>566.36</v>
      </c>
      <c r="F9" s="6">
        <f>IFERROR(__xludf.DUMMYFUNCTION("""COMPUTED_VALUE"""),6389214.0)</f>
        <v>6389214</v>
      </c>
    </row>
    <row r="10">
      <c r="A10" s="7">
        <f>IFERROR(__xludf.DUMMYFUNCTION("""COMPUTED_VALUE"""),45226.64583333333)</f>
        <v>45226.64583</v>
      </c>
      <c r="B10" s="6">
        <f>IFERROR(__xludf.DUMMYFUNCTION("""COMPUTED_VALUE"""),566.6)</f>
        <v>566.6</v>
      </c>
      <c r="C10" s="6">
        <f>IFERROR(__xludf.DUMMYFUNCTION("""COMPUTED_VALUE"""),570.24)</f>
        <v>570.24</v>
      </c>
      <c r="D10" s="6">
        <f>IFERROR(__xludf.DUMMYFUNCTION("""COMPUTED_VALUE"""),540.0)</f>
        <v>540</v>
      </c>
      <c r="E10" s="6">
        <f>IFERROR(__xludf.DUMMYFUNCTION("""COMPUTED_VALUE"""),551.36)</f>
        <v>551.36</v>
      </c>
      <c r="F10" s="6">
        <f>IFERROR(__xludf.DUMMYFUNCTION("""COMPUTED_VALUE"""),3665975.0)</f>
        <v>3665975</v>
      </c>
    </row>
    <row r="11">
      <c r="A11" s="7">
        <f>IFERROR(__xludf.DUMMYFUNCTION("""COMPUTED_VALUE"""),45233.64583333333)</f>
        <v>45233.64583</v>
      </c>
      <c r="B11" s="6">
        <f>IFERROR(__xludf.DUMMYFUNCTION("""COMPUTED_VALUE"""),552.08)</f>
        <v>552.08</v>
      </c>
      <c r="C11" s="6">
        <f>IFERROR(__xludf.DUMMYFUNCTION("""COMPUTED_VALUE"""),575.84)</f>
        <v>575.84</v>
      </c>
      <c r="D11" s="6">
        <f>IFERROR(__xludf.DUMMYFUNCTION("""COMPUTED_VALUE"""),537.76)</f>
        <v>537.76</v>
      </c>
      <c r="E11" s="6">
        <f>IFERROR(__xludf.DUMMYFUNCTION("""COMPUTED_VALUE"""),571.0)</f>
        <v>571</v>
      </c>
      <c r="F11" s="6">
        <f>IFERROR(__xludf.DUMMYFUNCTION("""COMPUTED_VALUE"""),7617354.0)</f>
        <v>7617354</v>
      </c>
    </row>
    <row r="12">
      <c r="A12" s="7">
        <f>IFERROR(__xludf.DUMMYFUNCTION("""COMPUTED_VALUE"""),45240.64583333333)</f>
        <v>45240.64583</v>
      </c>
      <c r="B12" s="6">
        <f>IFERROR(__xludf.DUMMYFUNCTION("""COMPUTED_VALUE"""),576.0)</f>
        <v>576</v>
      </c>
      <c r="C12" s="6">
        <f>IFERROR(__xludf.DUMMYFUNCTION("""COMPUTED_VALUE"""),596.8)</f>
        <v>596.8</v>
      </c>
      <c r="D12" s="6">
        <f>IFERROR(__xludf.DUMMYFUNCTION("""COMPUTED_VALUE"""),574.4)</f>
        <v>574.4</v>
      </c>
      <c r="E12" s="6">
        <f>IFERROR(__xludf.DUMMYFUNCTION("""COMPUTED_VALUE"""),589.48)</f>
        <v>589.48</v>
      </c>
      <c r="F12" s="6">
        <f>IFERROR(__xludf.DUMMYFUNCTION("""COMPUTED_VALUE"""),4593565.0)</f>
        <v>4593565</v>
      </c>
    </row>
    <row r="13">
      <c r="A13" s="7">
        <f>IFERROR(__xludf.DUMMYFUNCTION("""COMPUTED_VALUE"""),45247.64583333333)</f>
        <v>45247.64583</v>
      </c>
      <c r="B13" s="6">
        <f>IFERROR(__xludf.DUMMYFUNCTION("""COMPUTED_VALUE"""),589.6)</f>
        <v>589.6</v>
      </c>
      <c r="C13" s="6">
        <f>IFERROR(__xludf.DUMMYFUNCTION("""COMPUTED_VALUE"""),609.0)</f>
        <v>609</v>
      </c>
      <c r="D13" s="6">
        <f>IFERROR(__xludf.DUMMYFUNCTION("""COMPUTED_VALUE"""),584.48)</f>
        <v>584.48</v>
      </c>
      <c r="E13" s="6">
        <f>IFERROR(__xludf.DUMMYFUNCTION("""COMPUTED_VALUE"""),600.56)</f>
        <v>600.56</v>
      </c>
      <c r="F13" s="6">
        <f>IFERROR(__xludf.DUMMYFUNCTION("""COMPUTED_VALUE"""),3881218.0)</f>
        <v>3881218</v>
      </c>
    </row>
    <row r="14">
      <c r="A14" s="7">
        <f>IFERROR(__xludf.DUMMYFUNCTION("""COMPUTED_VALUE"""),45254.64583333333)</f>
        <v>45254.64583</v>
      </c>
      <c r="B14" s="6">
        <f>IFERROR(__xludf.DUMMYFUNCTION("""COMPUTED_VALUE"""),600.56)</f>
        <v>600.56</v>
      </c>
      <c r="C14" s="6">
        <f>IFERROR(__xludf.DUMMYFUNCTION("""COMPUTED_VALUE"""),613.52)</f>
        <v>613.52</v>
      </c>
      <c r="D14" s="6">
        <f>IFERROR(__xludf.DUMMYFUNCTION("""COMPUTED_VALUE"""),590.64)</f>
        <v>590.64</v>
      </c>
      <c r="E14" s="6">
        <f>IFERROR(__xludf.DUMMYFUNCTION("""COMPUTED_VALUE"""),598.88)</f>
        <v>598.88</v>
      </c>
      <c r="F14" s="6">
        <f>IFERROR(__xludf.DUMMYFUNCTION("""COMPUTED_VALUE"""),3370403.0)</f>
        <v>3370403</v>
      </c>
    </row>
    <row r="15">
      <c r="A15" s="7">
        <f>IFERROR(__xludf.DUMMYFUNCTION("""COMPUTED_VALUE"""),45261.64583333333)</f>
        <v>45261.64583</v>
      </c>
      <c r="B15" s="6">
        <f>IFERROR(__xludf.DUMMYFUNCTION("""COMPUTED_VALUE"""),600.8)</f>
        <v>600.8</v>
      </c>
      <c r="C15" s="6">
        <f>IFERROR(__xludf.DUMMYFUNCTION("""COMPUTED_VALUE"""),630.36)</f>
        <v>630.36</v>
      </c>
      <c r="D15" s="6">
        <f>IFERROR(__xludf.DUMMYFUNCTION("""COMPUTED_VALUE"""),598.4)</f>
        <v>598.4</v>
      </c>
      <c r="E15" s="6">
        <f>IFERROR(__xludf.DUMMYFUNCTION("""COMPUTED_VALUE"""),628.12)</f>
        <v>628.12</v>
      </c>
      <c r="F15" s="6">
        <f>IFERROR(__xludf.DUMMYFUNCTION("""COMPUTED_VALUE"""),4388853.0)</f>
        <v>4388853</v>
      </c>
    </row>
    <row r="16">
      <c r="A16" s="7">
        <f>IFERROR(__xludf.DUMMYFUNCTION("""COMPUTED_VALUE"""),45268.64583333333)</f>
        <v>45268.64583</v>
      </c>
      <c r="B16" s="6">
        <f>IFERROR(__xludf.DUMMYFUNCTION("""COMPUTED_VALUE"""),643.2)</f>
        <v>643.2</v>
      </c>
      <c r="C16" s="6">
        <f>IFERROR(__xludf.DUMMYFUNCTION("""COMPUTED_VALUE"""),688.6)</f>
        <v>688.6</v>
      </c>
      <c r="D16" s="6">
        <f>IFERROR(__xludf.DUMMYFUNCTION("""COMPUTED_VALUE"""),629.88)</f>
        <v>629.88</v>
      </c>
      <c r="E16" s="6">
        <f>IFERROR(__xludf.DUMMYFUNCTION("""COMPUTED_VALUE"""),674.56)</f>
        <v>674.56</v>
      </c>
      <c r="F16" s="6">
        <f>IFERROR(__xludf.DUMMYFUNCTION("""COMPUTED_VALUE"""),9940262.0)</f>
        <v>9940262</v>
      </c>
    </row>
    <row r="17">
      <c r="A17" s="7">
        <f>IFERROR(__xludf.DUMMYFUNCTION("""COMPUTED_VALUE"""),45275.64583333333)</f>
        <v>45275.64583</v>
      </c>
      <c r="B17" s="6">
        <f>IFERROR(__xludf.DUMMYFUNCTION("""COMPUTED_VALUE"""),677.12)</f>
        <v>677.12</v>
      </c>
      <c r="C17" s="6">
        <f>IFERROR(__xludf.DUMMYFUNCTION("""COMPUTED_VALUE"""),703.92)</f>
        <v>703.92</v>
      </c>
      <c r="D17" s="6">
        <f>IFERROR(__xludf.DUMMYFUNCTION("""COMPUTED_VALUE"""),668.44)</f>
        <v>668.44</v>
      </c>
      <c r="E17" s="6">
        <f>IFERROR(__xludf.DUMMYFUNCTION("""COMPUTED_VALUE"""),687.92)</f>
        <v>687.92</v>
      </c>
      <c r="F17" s="6">
        <f>IFERROR(__xludf.DUMMYFUNCTION("""COMPUTED_VALUE"""),8550018.0)</f>
        <v>8550018</v>
      </c>
    </row>
    <row r="18">
      <c r="A18" s="7">
        <f>IFERROR(__xludf.DUMMYFUNCTION("""COMPUTED_VALUE"""),45282.64583333333)</f>
        <v>45282.64583</v>
      </c>
      <c r="B18" s="6">
        <f>IFERROR(__xludf.DUMMYFUNCTION("""COMPUTED_VALUE"""),688.36)</f>
        <v>688.36</v>
      </c>
      <c r="C18" s="6">
        <f>IFERROR(__xludf.DUMMYFUNCTION("""COMPUTED_VALUE"""),701.2)</f>
        <v>701.2</v>
      </c>
      <c r="D18" s="6">
        <f>IFERROR(__xludf.DUMMYFUNCTION("""COMPUTED_VALUE"""),653.12)</f>
        <v>653.12</v>
      </c>
      <c r="E18" s="6">
        <f>IFERROR(__xludf.DUMMYFUNCTION("""COMPUTED_VALUE"""),665.92)</f>
        <v>665.92</v>
      </c>
      <c r="F18" s="6">
        <f>IFERROR(__xludf.DUMMYFUNCTION("""COMPUTED_VALUE"""),7371343.0)</f>
        <v>7371343</v>
      </c>
    </row>
    <row r="19">
      <c r="A19" s="7">
        <f>IFERROR(__xludf.DUMMYFUNCTION("""COMPUTED_VALUE"""),45289.64583333333)</f>
        <v>45289.64583</v>
      </c>
      <c r="B19" s="6">
        <f>IFERROR(__xludf.DUMMYFUNCTION("""COMPUTED_VALUE"""),668.0)</f>
        <v>668</v>
      </c>
      <c r="C19" s="6">
        <f>IFERROR(__xludf.DUMMYFUNCTION("""COMPUTED_VALUE"""),694.16)</f>
        <v>694.16</v>
      </c>
      <c r="D19" s="6">
        <f>IFERROR(__xludf.DUMMYFUNCTION("""COMPUTED_VALUE"""),664.8)</f>
        <v>664.8</v>
      </c>
      <c r="E19" s="6">
        <f>IFERROR(__xludf.DUMMYFUNCTION("""COMPUTED_VALUE"""),687.72)</f>
        <v>687.72</v>
      </c>
      <c r="F19" s="6">
        <f>IFERROR(__xludf.DUMMYFUNCTION("""COMPUTED_VALUE"""),4857232.0)</f>
        <v>4857232</v>
      </c>
    </row>
    <row r="20">
      <c r="A20" s="7">
        <f>IFERROR(__xludf.DUMMYFUNCTION("""COMPUTED_VALUE"""),45296.64583333333)</f>
        <v>45296.64583</v>
      </c>
      <c r="B20" s="6">
        <f>IFERROR(__xludf.DUMMYFUNCTION("""COMPUTED_VALUE"""),688.0)</f>
        <v>688</v>
      </c>
      <c r="C20" s="6">
        <f>IFERROR(__xludf.DUMMYFUNCTION("""COMPUTED_VALUE"""),746.16)</f>
        <v>746.16</v>
      </c>
      <c r="D20" s="6">
        <f>IFERROR(__xludf.DUMMYFUNCTION("""COMPUTED_VALUE"""),676.0)</f>
        <v>676</v>
      </c>
      <c r="E20" s="6">
        <f>IFERROR(__xludf.DUMMYFUNCTION("""COMPUTED_VALUE"""),716.72)</f>
        <v>716.72</v>
      </c>
      <c r="F20" s="6">
        <f>IFERROR(__xludf.DUMMYFUNCTION("""COMPUTED_VALUE"""),9146264.0)</f>
        <v>9146264</v>
      </c>
    </row>
    <row r="21">
      <c r="A21" s="7">
        <f>IFERROR(__xludf.DUMMYFUNCTION("""COMPUTED_VALUE"""),45303.64583333333)</f>
        <v>45303.64583</v>
      </c>
      <c r="B21" s="6">
        <f>IFERROR(__xludf.DUMMYFUNCTION("""COMPUTED_VALUE"""),719.08)</f>
        <v>719.08</v>
      </c>
      <c r="C21" s="6">
        <f>IFERROR(__xludf.DUMMYFUNCTION("""COMPUTED_VALUE"""),733.2)</f>
        <v>733.2</v>
      </c>
      <c r="D21" s="6">
        <f>IFERROR(__xludf.DUMMYFUNCTION("""COMPUTED_VALUE"""),694.44)</f>
        <v>694.44</v>
      </c>
      <c r="E21" s="6">
        <f>IFERROR(__xludf.DUMMYFUNCTION("""COMPUTED_VALUE"""),711.76)</f>
        <v>711.76</v>
      </c>
      <c r="F21" s="6">
        <f>IFERROR(__xludf.DUMMYFUNCTION("""COMPUTED_VALUE"""),6857725.0)</f>
        <v>6857725</v>
      </c>
    </row>
    <row r="22">
      <c r="A22" s="7">
        <f>IFERROR(__xludf.DUMMYFUNCTION("""COMPUTED_VALUE"""),45316.64583333333)</f>
        <v>45316.64583</v>
      </c>
      <c r="B22" s="6">
        <f>IFERROR(__xludf.DUMMYFUNCTION("""COMPUTED_VALUE"""),702.36)</f>
        <v>702.36</v>
      </c>
      <c r="C22" s="6">
        <f>IFERROR(__xludf.DUMMYFUNCTION("""COMPUTED_VALUE"""),707.0)</f>
        <v>707</v>
      </c>
      <c r="D22" s="6">
        <f>IFERROR(__xludf.DUMMYFUNCTION("""COMPUTED_VALUE"""),653.32)</f>
        <v>653.32</v>
      </c>
      <c r="E22" s="6">
        <f>IFERROR(__xludf.DUMMYFUNCTION("""COMPUTED_VALUE"""),662.92)</f>
        <v>662.92</v>
      </c>
      <c r="F22" s="6">
        <f>IFERROR(__xludf.DUMMYFUNCTION("""COMPUTED_VALUE"""),4379271.0)</f>
        <v>4379271</v>
      </c>
    </row>
    <row r="23">
      <c r="A23" s="7">
        <f>IFERROR(__xludf.DUMMYFUNCTION("""COMPUTED_VALUE"""),45324.64583333333)</f>
        <v>45324.64583</v>
      </c>
      <c r="B23" s="6">
        <f>IFERROR(__xludf.DUMMYFUNCTION("""COMPUTED_VALUE"""),664.8)</f>
        <v>664.8</v>
      </c>
      <c r="C23" s="6">
        <f>IFERROR(__xludf.DUMMYFUNCTION("""COMPUTED_VALUE"""),750.32)</f>
        <v>750.32</v>
      </c>
      <c r="D23" s="6">
        <f>IFERROR(__xludf.DUMMYFUNCTION("""COMPUTED_VALUE"""),652.16)</f>
        <v>652.16</v>
      </c>
      <c r="E23" s="6">
        <f>IFERROR(__xludf.DUMMYFUNCTION("""COMPUTED_VALUE"""),736.04)</f>
        <v>736.04</v>
      </c>
      <c r="F23" s="6">
        <f>IFERROR(__xludf.DUMMYFUNCTION("""COMPUTED_VALUE"""),2.3237913E7)</f>
        <v>23237913</v>
      </c>
    </row>
    <row r="24">
      <c r="A24" s="7">
        <f>IFERROR(__xludf.DUMMYFUNCTION("""COMPUTED_VALUE"""),45331.64583333333)</f>
        <v>45331.64583</v>
      </c>
      <c r="B24" s="6">
        <f>IFERROR(__xludf.DUMMYFUNCTION("""COMPUTED_VALUE"""),744.04)</f>
        <v>744.04</v>
      </c>
      <c r="C24" s="6">
        <f>IFERROR(__xludf.DUMMYFUNCTION("""COMPUTED_VALUE"""),777.24)</f>
        <v>777.24</v>
      </c>
      <c r="D24" s="6">
        <f>IFERROR(__xludf.DUMMYFUNCTION("""COMPUTED_VALUE"""),728.08)</f>
        <v>728.08</v>
      </c>
      <c r="E24" s="6">
        <f>IFERROR(__xludf.DUMMYFUNCTION("""COMPUTED_VALUE"""),754.68)</f>
        <v>754.68</v>
      </c>
      <c r="F24" s="6">
        <f>IFERROR(__xludf.DUMMYFUNCTION("""COMPUTED_VALUE"""),1.1958038E7)</f>
        <v>11958038</v>
      </c>
    </row>
    <row r="25">
      <c r="A25" s="7">
        <f>IFERROR(__xludf.DUMMYFUNCTION("""COMPUTED_VALUE"""),45338.64583333333)</f>
        <v>45338.64583</v>
      </c>
      <c r="B25" s="6">
        <f>IFERROR(__xludf.DUMMYFUNCTION("""COMPUTED_VALUE"""),761.56)</f>
        <v>761.56</v>
      </c>
      <c r="C25" s="6">
        <f>IFERROR(__xludf.DUMMYFUNCTION("""COMPUTED_VALUE"""),789.6)</f>
        <v>789.6</v>
      </c>
      <c r="D25" s="6">
        <f>IFERROR(__xludf.DUMMYFUNCTION("""COMPUTED_VALUE"""),715.2)</f>
        <v>715.2</v>
      </c>
      <c r="E25" s="6">
        <f>IFERROR(__xludf.DUMMYFUNCTION("""COMPUTED_VALUE"""),784.64)</f>
        <v>784.64</v>
      </c>
      <c r="F25" s="6">
        <f>IFERROR(__xludf.DUMMYFUNCTION("""COMPUTED_VALUE"""),1.0704294E7)</f>
        <v>10704294</v>
      </c>
    </row>
    <row r="26">
      <c r="A26" s="7">
        <f>IFERROR(__xludf.DUMMYFUNCTION("""COMPUTED_VALUE"""),45345.64583333333)</f>
        <v>45345.64583</v>
      </c>
      <c r="B26" s="6">
        <f>IFERROR(__xludf.DUMMYFUNCTION("""COMPUTED_VALUE"""),787.8)</f>
        <v>787.8</v>
      </c>
      <c r="C26" s="6">
        <f>IFERROR(__xludf.DUMMYFUNCTION("""COMPUTED_VALUE"""),822.12)</f>
        <v>822.12</v>
      </c>
      <c r="D26" s="6">
        <f>IFERROR(__xludf.DUMMYFUNCTION("""COMPUTED_VALUE"""),773.16)</f>
        <v>773.16</v>
      </c>
      <c r="E26" s="6">
        <f>IFERROR(__xludf.DUMMYFUNCTION("""COMPUTED_VALUE"""),803.96)</f>
        <v>803.96</v>
      </c>
      <c r="F26" s="6">
        <f>IFERROR(__xludf.DUMMYFUNCTION("""COMPUTED_VALUE"""),1.4565253E7)</f>
        <v>14565253</v>
      </c>
    </row>
    <row r="27">
      <c r="A27" s="7">
        <f>IFERROR(__xludf.DUMMYFUNCTION("""COMPUTED_VALUE"""),45358.64583333333)</f>
        <v>45358.64583</v>
      </c>
      <c r="B27" s="6">
        <f>IFERROR(__xludf.DUMMYFUNCTION("""COMPUTED_VALUE"""),781.64)</f>
        <v>781.64</v>
      </c>
      <c r="C27" s="6">
        <f>IFERROR(__xludf.DUMMYFUNCTION("""COMPUTED_VALUE"""),792.6)</f>
        <v>792.6</v>
      </c>
      <c r="D27" s="6">
        <f>IFERROR(__xludf.DUMMYFUNCTION("""COMPUTED_VALUE"""),759.44)</f>
        <v>759.44</v>
      </c>
      <c r="E27" s="6">
        <f>IFERROR(__xludf.DUMMYFUNCTION("""COMPUTED_VALUE"""),771.76)</f>
        <v>771.76</v>
      </c>
      <c r="F27" s="6">
        <f>IFERROR(__xludf.DUMMYFUNCTION("""COMPUTED_VALUE"""),4963232.0)</f>
        <v>4963232</v>
      </c>
    </row>
    <row r="28">
      <c r="A28" s="7">
        <f>IFERROR(__xludf.DUMMYFUNCTION("""COMPUTED_VALUE"""),45366.64583333333)</f>
        <v>45366.64583</v>
      </c>
      <c r="B28" s="6">
        <f>IFERROR(__xludf.DUMMYFUNCTION("""COMPUTED_VALUE"""),771.76)</f>
        <v>771.76</v>
      </c>
      <c r="C28" s="6">
        <f>IFERROR(__xludf.DUMMYFUNCTION("""COMPUTED_VALUE"""),777.28)</f>
        <v>777.28</v>
      </c>
      <c r="D28" s="6">
        <f>IFERROR(__xludf.DUMMYFUNCTION("""COMPUTED_VALUE"""),676.0)</f>
        <v>676</v>
      </c>
      <c r="E28" s="6">
        <f>IFERROR(__xludf.DUMMYFUNCTION("""COMPUTED_VALUE"""),692.6)</f>
        <v>692.6</v>
      </c>
      <c r="F28" s="6">
        <f>IFERROR(__xludf.DUMMYFUNCTION("""COMPUTED_VALUE"""),1.0568928E7)</f>
        <v>10568928</v>
      </c>
    </row>
    <row r="29">
      <c r="A29" s="7">
        <f>IFERROR(__xludf.DUMMYFUNCTION("""COMPUTED_VALUE"""),45373.64583333333)</f>
        <v>45373.64583</v>
      </c>
      <c r="B29" s="6">
        <f>IFERROR(__xludf.DUMMYFUNCTION("""COMPUTED_VALUE"""),695.08)</f>
        <v>695.08</v>
      </c>
      <c r="C29" s="6">
        <f>IFERROR(__xludf.DUMMYFUNCTION("""COMPUTED_VALUE"""),704.76)</f>
        <v>704.76</v>
      </c>
      <c r="D29" s="6">
        <f>IFERROR(__xludf.DUMMYFUNCTION("""COMPUTED_VALUE"""),655.56)</f>
        <v>655.56</v>
      </c>
      <c r="E29" s="6">
        <f>IFERROR(__xludf.DUMMYFUNCTION("""COMPUTED_VALUE"""),694.48)</f>
        <v>694.48</v>
      </c>
      <c r="F29" s="6">
        <f>IFERROR(__xludf.DUMMYFUNCTION("""COMPUTED_VALUE"""),7537077.0)</f>
        <v>7537077</v>
      </c>
    </row>
    <row r="30">
      <c r="A30" s="7">
        <f>IFERROR(__xludf.DUMMYFUNCTION("""COMPUTED_VALUE"""),45379.64583333333)</f>
        <v>45379.64583</v>
      </c>
      <c r="B30" s="6">
        <f>IFERROR(__xludf.DUMMYFUNCTION("""COMPUTED_VALUE"""),694.48)</f>
        <v>694.48</v>
      </c>
      <c r="C30" s="6">
        <f>IFERROR(__xludf.DUMMYFUNCTION("""COMPUTED_VALUE"""),713.36)</f>
        <v>713.36</v>
      </c>
      <c r="D30" s="6">
        <f>IFERROR(__xludf.DUMMYFUNCTION("""COMPUTED_VALUE"""),689.76)</f>
        <v>689.76</v>
      </c>
      <c r="E30" s="6">
        <f>IFERROR(__xludf.DUMMYFUNCTION("""COMPUTED_VALUE"""),705.68)</f>
        <v>705.68</v>
      </c>
      <c r="F30" s="6">
        <f>IFERROR(__xludf.DUMMYFUNCTION("""COMPUTED_VALUE"""),4254677.0)</f>
        <v>4254677</v>
      </c>
    </row>
    <row r="31">
      <c r="A31" s="7">
        <f>IFERROR(__xludf.DUMMYFUNCTION("""COMPUTED_VALUE"""),45387.64583333333)</f>
        <v>45387.64583</v>
      </c>
      <c r="B31" s="6">
        <f>IFERROR(__xludf.DUMMYFUNCTION("""COMPUTED_VALUE"""),715.2)</f>
        <v>715.2</v>
      </c>
      <c r="C31" s="6">
        <f>IFERROR(__xludf.DUMMYFUNCTION("""COMPUTED_VALUE"""),753.76)</f>
        <v>753.76</v>
      </c>
      <c r="D31" s="6">
        <f>IFERROR(__xludf.DUMMYFUNCTION("""COMPUTED_VALUE"""),710.2)</f>
        <v>710.2</v>
      </c>
      <c r="E31" s="6">
        <f>IFERROR(__xludf.DUMMYFUNCTION("""COMPUTED_VALUE"""),746.8)</f>
        <v>746.8</v>
      </c>
      <c r="F31" s="6">
        <f>IFERROR(__xludf.DUMMYFUNCTION("""COMPUTED_VALUE"""),6658138.0)</f>
        <v>6658138</v>
      </c>
    </row>
    <row r="32">
      <c r="A32" s="7">
        <f>IFERROR(__xludf.DUMMYFUNCTION("""COMPUTED_VALUE"""),45394.64583333333)</f>
        <v>45394.64583</v>
      </c>
      <c r="B32" s="6">
        <f>IFERROR(__xludf.DUMMYFUNCTION("""COMPUTED_VALUE"""),747.2)</f>
        <v>747.2</v>
      </c>
      <c r="C32" s="6">
        <f>IFERROR(__xludf.DUMMYFUNCTION("""COMPUTED_VALUE"""),779.96)</f>
        <v>779.96</v>
      </c>
      <c r="D32" s="6">
        <f>IFERROR(__xludf.DUMMYFUNCTION("""COMPUTED_VALUE"""),713.6)</f>
        <v>713.6</v>
      </c>
      <c r="E32" s="6">
        <f>IFERROR(__xludf.DUMMYFUNCTION("""COMPUTED_VALUE"""),757.44)</f>
        <v>757.44</v>
      </c>
      <c r="F32" s="6">
        <f>IFERROR(__xludf.DUMMYFUNCTION("""COMPUTED_VALUE"""),9033335.0)</f>
        <v>9033335</v>
      </c>
    </row>
    <row r="33">
      <c r="A33" s="7">
        <f>IFERROR(__xludf.DUMMYFUNCTION("""COMPUTED_VALUE"""),45401.64583333333)</f>
        <v>45401.64583</v>
      </c>
      <c r="B33" s="6">
        <f>IFERROR(__xludf.DUMMYFUNCTION("""COMPUTED_VALUE"""),747.28)</f>
        <v>747.28</v>
      </c>
      <c r="C33" s="6">
        <f>IFERROR(__xludf.DUMMYFUNCTION("""COMPUTED_VALUE"""),767.92)</f>
        <v>767.92</v>
      </c>
      <c r="D33" s="6">
        <f>IFERROR(__xludf.DUMMYFUNCTION("""COMPUTED_VALUE"""),718.68)</f>
        <v>718.68</v>
      </c>
      <c r="E33" s="6">
        <f>IFERROR(__xludf.DUMMYFUNCTION("""COMPUTED_VALUE"""),741.48)</f>
        <v>741.48</v>
      </c>
      <c r="F33" s="6">
        <f>IFERROR(__xludf.DUMMYFUNCTION("""COMPUTED_VALUE"""),8986961.0)</f>
        <v>8986961</v>
      </c>
    </row>
    <row r="34">
      <c r="A34" s="7">
        <f>IFERROR(__xludf.DUMMYFUNCTION("""COMPUTED_VALUE"""),45408.64583333333)</f>
        <v>45408.64583</v>
      </c>
      <c r="B34" s="6">
        <f>IFERROR(__xludf.DUMMYFUNCTION("""COMPUTED_VALUE"""),751.92)</f>
        <v>751.92</v>
      </c>
      <c r="C34" s="6">
        <f>IFERROR(__xludf.DUMMYFUNCTION("""COMPUTED_VALUE"""),863.2)</f>
        <v>863.2</v>
      </c>
      <c r="D34" s="6">
        <f>IFERROR(__xludf.DUMMYFUNCTION("""COMPUTED_VALUE"""),743.56)</f>
        <v>743.56</v>
      </c>
      <c r="E34" s="6">
        <f>IFERROR(__xludf.DUMMYFUNCTION("""COMPUTED_VALUE"""),854.4)</f>
        <v>854.4</v>
      </c>
      <c r="F34" s="6">
        <f>IFERROR(__xludf.DUMMYFUNCTION("""COMPUTED_VALUE"""),1.6133758E7)</f>
        <v>16133758</v>
      </c>
    </row>
    <row r="35">
      <c r="A35" s="7">
        <f>IFERROR(__xludf.DUMMYFUNCTION("""COMPUTED_VALUE"""),45415.64583333333)</f>
        <v>45415.64583</v>
      </c>
      <c r="B35" s="6">
        <f>IFERROR(__xludf.DUMMYFUNCTION("""COMPUTED_VALUE"""),866.4)</f>
        <v>866.4</v>
      </c>
      <c r="C35" s="6">
        <f>IFERROR(__xludf.DUMMYFUNCTION("""COMPUTED_VALUE"""),867.08)</f>
        <v>867.08</v>
      </c>
      <c r="D35" s="6">
        <f>IFERROR(__xludf.DUMMYFUNCTION("""COMPUTED_VALUE"""),819.48)</f>
        <v>819.48</v>
      </c>
      <c r="E35" s="6">
        <f>IFERROR(__xludf.DUMMYFUNCTION("""COMPUTED_VALUE"""),847.56)</f>
        <v>847.56</v>
      </c>
      <c r="F35" s="6">
        <f>IFERROR(__xludf.DUMMYFUNCTION("""COMPUTED_VALUE"""),1.0915551E7)</f>
        <v>10915551</v>
      </c>
    </row>
    <row r="36">
      <c r="A36" s="7">
        <f>IFERROR(__xludf.DUMMYFUNCTION("""COMPUTED_VALUE"""),45422.64583333333)</f>
        <v>45422.64583</v>
      </c>
      <c r="B36" s="6">
        <f>IFERROR(__xludf.DUMMYFUNCTION("""COMPUTED_VALUE"""),855.2)</f>
        <v>855.2</v>
      </c>
      <c r="C36" s="6">
        <f>IFERROR(__xludf.DUMMYFUNCTION("""COMPUTED_VALUE"""),855.2)</f>
        <v>855.2</v>
      </c>
      <c r="D36" s="6">
        <f>IFERROR(__xludf.DUMMYFUNCTION("""COMPUTED_VALUE"""),782.44)</f>
        <v>782.44</v>
      </c>
      <c r="E36" s="6">
        <f>IFERROR(__xludf.DUMMYFUNCTION("""COMPUTED_VALUE"""),801.4)</f>
        <v>801.4</v>
      </c>
      <c r="F36" s="6">
        <f>IFERROR(__xludf.DUMMYFUNCTION("""COMPUTED_VALUE"""),6921504.0)</f>
        <v>6921504</v>
      </c>
    </row>
    <row r="37">
      <c r="A37" s="7">
        <f>IFERROR(__xludf.DUMMYFUNCTION("""COMPUTED_VALUE"""),45436.64583333333)</f>
        <v>45436.64583</v>
      </c>
      <c r="B37" s="6">
        <f>IFERROR(__xludf.DUMMYFUNCTION("""COMPUTED_VALUE"""),894.4)</f>
        <v>894.4</v>
      </c>
      <c r="C37" s="6">
        <f>IFERROR(__xludf.DUMMYFUNCTION("""COMPUTED_VALUE"""),895.92)</f>
        <v>895.92</v>
      </c>
      <c r="D37" s="6">
        <f>IFERROR(__xludf.DUMMYFUNCTION("""COMPUTED_VALUE"""),856.04)</f>
        <v>856.04</v>
      </c>
      <c r="E37" s="6">
        <f>IFERROR(__xludf.DUMMYFUNCTION("""COMPUTED_VALUE"""),882.28)</f>
        <v>882.28</v>
      </c>
      <c r="F37" s="6">
        <f>IFERROR(__xludf.DUMMYFUNCTION("""COMPUTED_VALUE"""),1.1448496E7)</f>
        <v>11448496</v>
      </c>
    </row>
    <row r="38">
      <c r="A38" s="7">
        <f>IFERROR(__xludf.DUMMYFUNCTION("""COMPUTED_VALUE"""),45443.64583333333)</f>
        <v>45443.64583</v>
      </c>
      <c r="B38" s="6">
        <f>IFERROR(__xludf.DUMMYFUNCTION("""COMPUTED_VALUE"""),890.72)</f>
        <v>890.72</v>
      </c>
      <c r="C38" s="6">
        <f>IFERROR(__xludf.DUMMYFUNCTION("""COMPUTED_VALUE"""),892.4)</f>
        <v>892.4</v>
      </c>
      <c r="D38" s="6">
        <f>IFERROR(__xludf.DUMMYFUNCTION("""COMPUTED_VALUE"""),837.24)</f>
        <v>837.24</v>
      </c>
      <c r="E38" s="6">
        <f>IFERROR(__xludf.DUMMYFUNCTION("""COMPUTED_VALUE"""),859.88)</f>
        <v>859.88</v>
      </c>
      <c r="F38" s="6">
        <f>IFERROR(__xludf.DUMMYFUNCTION("""COMPUTED_VALUE"""),1.0576922E7)</f>
        <v>10576922</v>
      </c>
    </row>
    <row r="39">
      <c r="A39" s="7">
        <f>IFERROR(__xludf.DUMMYFUNCTION("""COMPUTED_VALUE"""),45450.64583333333)</f>
        <v>45450.64583</v>
      </c>
      <c r="B39" s="6">
        <f>IFERROR(__xludf.DUMMYFUNCTION("""COMPUTED_VALUE"""),897.6)</f>
        <v>897.6</v>
      </c>
      <c r="C39" s="6">
        <f>IFERROR(__xludf.DUMMYFUNCTION("""COMPUTED_VALUE"""),944.0)</f>
        <v>944</v>
      </c>
      <c r="D39" s="6">
        <f>IFERROR(__xludf.DUMMYFUNCTION("""COMPUTED_VALUE"""),704.56)</f>
        <v>704.56</v>
      </c>
      <c r="E39" s="6">
        <f>IFERROR(__xludf.DUMMYFUNCTION("""COMPUTED_VALUE"""),843.84)</f>
        <v>843.84</v>
      </c>
      <c r="F39" s="6">
        <f>IFERROR(__xludf.DUMMYFUNCTION("""COMPUTED_VALUE"""),3.5082235E7)</f>
        <v>35082235</v>
      </c>
    </row>
    <row r="40">
      <c r="A40" s="7">
        <f>IFERROR(__xludf.DUMMYFUNCTION("""COMPUTED_VALUE"""),45457.64583333333)</f>
        <v>45457.64583</v>
      </c>
      <c r="B40" s="6">
        <f>IFERROR(__xludf.DUMMYFUNCTION("""COMPUTED_VALUE"""),849.12)</f>
        <v>849.12</v>
      </c>
      <c r="C40" s="6">
        <f>IFERROR(__xludf.DUMMYFUNCTION("""COMPUTED_VALUE"""),922.72)</f>
        <v>922.72</v>
      </c>
      <c r="D40" s="6">
        <f>IFERROR(__xludf.DUMMYFUNCTION("""COMPUTED_VALUE"""),833.92)</f>
        <v>833.92</v>
      </c>
      <c r="E40" s="6">
        <f>IFERROR(__xludf.DUMMYFUNCTION("""COMPUTED_VALUE"""),911.88)</f>
        <v>911.88</v>
      </c>
      <c r="F40" s="6">
        <f>IFERROR(__xludf.DUMMYFUNCTION("""COMPUTED_VALUE"""),1.915598E7)</f>
        <v>19155980</v>
      </c>
    </row>
    <row r="41">
      <c r="A41" s="7">
        <f>IFERROR(__xludf.DUMMYFUNCTION("""COMPUTED_VALUE"""),45464.64583333333)</f>
        <v>45464.64583</v>
      </c>
      <c r="B41" s="6">
        <f>IFERROR(__xludf.DUMMYFUNCTION("""COMPUTED_VALUE"""),911.88)</f>
        <v>911.88</v>
      </c>
      <c r="C41" s="6">
        <f>IFERROR(__xludf.DUMMYFUNCTION("""COMPUTED_VALUE"""),915.96)</f>
        <v>915.96</v>
      </c>
      <c r="D41" s="6">
        <f>IFERROR(__xludf.DUMMYFUNCTION("""COMPUTED_VALUE"""),869.68)</f>
        <v>869.68</v>
      </c>
      <c r="E41" s="6">
        <f>IFERROR(__xludf.DUMMYFUNCTION("""COMPUTED_VALUE"""),872.72)</f>
        <v>872.72</v>
      </c>
      <c r="F41" s="6">
        <f>IFERROR(__xludf.DUMMYFUNCTION("""COMPUTED_VALUE"""),6528763.0)</f>
        <v>6528763</v>
      </c>
    </row>
    <row r="42">
      <c r="A42" s="7">
        <f>IFERROR(__xludf.DUMMYFUNCTION("""COMPUTED_VALUE"""),45471.64583333333)</f>
        <v>45471.64583</v>
      </c>
      <c r="B42" s="6">
        <f>IFERROR(__xludf.DUMMYFUNCTION("""COMPUTED_VALUE"""),864.04)</f>
        <v>864.04</v>
      </c>
      <c r="C42" s="6">
        <f>IFERROR(__xludf.DUMMYFUNCTION("""COMPUTED_VALUE"""),865.2)</f>
        <v>865.2</v>
      </c>
      <c r="D42" s="6">
        <f>IFERROR(__xludf.DUMMYFUNCTION("""COMPUTED_VALUE"""),823.48)</f>
        <v>823.48</v>
      </c>
      <c r="E42" s="6">
        <f>IFERROR(__xludf.DUMMYFUNCTION("""COMPUTED_VALUE"""),833.92)</f>
        <v>833.92</v>
      </c>
      <c r="F42" s="6">
        <f>IFERROR(__xludf.DUMMYFUNCTION("""COMPUTED_VALUE"""),1.0869093E7)</f>
        <v>10869093</v>
      </c>
    </row>
    <row r="43">
      <c r="A43" s="7">
        <f>IFERROR(__xludf.DUMMYFUNCTION("""COMPUTED_VALUE"""),45478.64583333333)</f>
        <v>45478.64583</v>
      </c>
      <c r="B43" s="6">
        <f>IFERROR(__xludf.DUMMYFUNCTION("""COMPUTED_VALUE"""),831.24)</f>
        <v>831.24</v>
      </c>
      <c r="C43" s="6">
        <f>IFERROR(__xludf.DUMMYFUNCTION("""COMPUTED_VALUE"""),856.24)</f>
        <v>856.24</v>
      </c>
      <c r="D43" s="6">
        <f>IFERROR(__xludf.DUMMYFUNCTION("""COMPUTED_VALUE"""),812.64)</f>
        <v>812.64</v>
      </c>
      <c r="E43" s="6">
        <f>IFERROR(__xludf.DUMMYFUNCTION("""COMPUTED_VALUE"""),846.32)</f>
        <v>846.32</v>
      </c>
      <c r="F43" s="6">
        <f>IFERROR(__xludf.DUMMYFUNCTION("""COMPUTED_VALUE"""),1.1435678E7)</f>
        <v>11435678</v>
      </c>
    </row>
    <row r="44">
      <c r="A44" s="7">
        <f>IFERROR(__xludf.DUMMYFUNCTION("""COMPUTED_VALUE"""),45485.64583333333)</f>
        <v>45485.64583</v>
      </c>
      <c r="B44" s="6">
        <f>IFERROR(__xludf.DUMMYFUNCTION("""COMPUTED_VALUE"""),851.16)</f>
        <v>851.16</v>
      </c>
      <c r="C44" s="6">
        <f>IFERROR(__xludf.DUMMYFUNCTION("""COMPUTED_VALUE"""),854.4)</f>
        <v>854.4</v>
      </c>
      <c r="D44" s="6">
        <f>IFERROR(__xludf.DUMMYFUNCTION("""COMPUTED_VALUE"""),812.0)</f>
        <v>812</v>
      </c>
      <c r="E44" s="6">
        <f>IFERROR(__xludf.DUMMYFUNCTION("""COMPUTED_VALUE"""),845.96)</f>
        <v>845.96</v>
      </c>
      <c r="F44" s="6">
        <f>IFERROR(__xludf.DUMMYFUNCTION("""COMPUTED_VALUE"""),1.1745929E7)</f>
        <v>11745929</v>
      </c>
    </row>
    <row r="45">
      <c r="A45" s="7">
        <f>IFERROR(__xludf.DUMMYFUNCTION("""COMPUTED_VALUE"""),45492.64583333333)</f>
        <v>45492.64583</v>
      </c>
      <c r="B45" s="6">
        <f>IFERROR(__xludf.DUMMYFUNCTION("""COMPUTED_VALUE"""),850.12)</f>
        <v>850.12</v>
      </c>
      <c r="C45" s="6">
        <f>IFERROR(__xludf.DUMMYFUNCTION("""COMPUTED_VALUE"""),860.0)</f>
        <v>860</v>
      </c>
      <c r="D45" s="6">
        <f>IFERROR(__xludf.DUMMYFUNCTION("""COMPUTED_VALUE"""),805.76)</f>
        <v>805.76</v>
      </c>
      <c r="E45" s="6">
        <f>IFERROR(__xludf.DUMMYFUNCTION("""COMPUTED_VALUE"""),808.76)</f>
        <v>808.76</v>
      </c>
      <c r="F45" s="6">
        <f>IFERROR(__xludf.DUMMYFUNCTION("""COMPUTED_VALUE"""),1.6716772E7)</f>
        <v>16716772</v>
      </c>
    </row>
    <row r="46">
      <c r="A46" s="7">
        <f>IFERROR(__xludf.DUMMYFUNCTION("""COMPUTED_VALUE"""),45499.64583333333)</f>
        <v>45499.64583</v>
      </c>
      <c r="B46" s="6">
        <f>IFERROR(__xludf.DUMMYFUNCTION("""COMPUTED_VALUE"""),803.2)</f>
        <v>803.2</v>
      </c>
      <c r="C46" s="6">
        <f>IFERROR(__xludf.DUMMYFUNCTION("""COMPUTED_VALUE"""),844.0)</f>
        <v>844</v>
      </c>
      <c r="D46" s="6">
        <f>IFERROR(__xludf.DUMMYFUNCTION("""COMPUTED_VALUE"""),790.96)</f>
        <v>790.96</v>
      </c>
      <c r="E46" s="6">
        <f>IFERROR(__xludf.DUMMYFUNCTION("""COMPUTED_VALUE"""),831.96)</f>
        <v>831.96</v>
      </c>
      <c r="F46" s="6">
        <f>IFERROR(__xludf.DUMMYFUNCTION("""COMPUTED_VALUE"""),1.3231504E7)</f>
        <v>13231504</v>
      </c>
    </row>
    <row r="47">
      <c r="A47" s="7">
        <f>IFERROR(__xludf.DUMMYFUNCTION("""COMPUTED_VALUE"""),45506.64583333333)</f>
        <v>45506.64583</v>
      </c>
      <c r="B47" s="6">
        <f>IFERROR(__xludf.DUMMYFUNCTION("""COMPUTED_VALUE"""),839.96)</f>
        <v>839.96</v>
      </c>
      <c r="C47" s="6">
        <f>IFERROR(__xludf.DUMMYFUNCTION("""COMPUTED_VALUE"""),847.36)</f>
        <v>847.36</v>
      </c>
      <c r="D47" s="6">
        <f>IFERROR(__xludf.DUMMYFUNCTION("""COMPUTED_VALUE"""),816.44)</f>
        <v>816.44</v>
      </c>
      <c r="E47" s="6">
        <f>IFERROR(__xludf.DUMMYFUNCTION("""COMPUTED_VALUE"""),824.08)</f>
        <v>824.08</v>
      </c>
      <c r="F47" s="6">
        <f>IFERROR(__xludf.DUMMYFUNCTION("""COMPUTED_VALUE"""),7517680.0)</f>
        <v>7517680</v>
      </c>
    </row>
    <row r="48">
      <c r="A48" s="7">
        <f>IFERROR(__xludf.DUMMYFUNCTION("""COMPUTED_VALUE"""),45513.64583333333)</f>
        <v>45513.64583</v>
      </c>
      <c r="B48" s="6">
        <f>IFERROR(__xludf.DUMMYFUNCTION("""COMPUTED_VALUE"""),808.12)</f>
        <v>808.12</v>
      </c>
      <c r="C48" s="6">
        <f>IFERROR(__xludf.DUMMYFUNCTION("""COMPUTED_VALUE"""),812.08)</f>
        <v>812.08</v>
      </c>
      <c r="D48" s="6">
        <f>IFERROR(__xludf.DUMMYFUNCTION("""COMPUTED_VALUE"""),775.04)</f>
        <v>775.04</v>
      </c>
      <c r="E48" s="6">
        <f>IFERROR(__xludf.DUMMYFUNCTION("""COMPUTED_VALUE"""),784.64)</f>
        <v>784.64</v>
      </c>
      <c r="F48" s="6">
        <f>IFERROR(__xludf.DUMMYFUNCTION("""COMPUTED_VALUE"""),1.1840947E7)</f>
        <v>11840947</v>
      </c>
    </row>
    <row r="49">
      <c r="A49" s="7">
        <f>IFERROR(__xludf.DUMMYFUNCTION("""COMPUTED_VALUE"""),45520.64583333333)</f>
        <v>45520.64583</v>
      </c>
      <c r="B49" s="6">
        <f>IFERROR(__xludf.DUMMYFUNCTION("""COMPUTED_VALUE"""),780.0)</f>
        <v>780</v>
      </c>
      <c r="C49" s="6">
        <f>IFERROR(__xludf.DUMMYFUNCTION("""COMPUTED_VALUE"""),788.76)</f>
        <v>788.76</v>
      </c>
      <c r="D49" s="6">
        <f>IFERROR(__xludf.DUMMYFUNCTION("""COMPUTED_VALUE"""),753.76)</f>
        <v>753.76</v>
      </c>
      <c r="E49" s="6">
        <f>IFERROR(__xludf.DUMMYFUNCTION("""COMPUTED_VALUE"""),783.16)</f>
        <v>783.16</v>
      </c>
      <c r="F49" s="6">
        <f>IFERROR(__xludf.DUMMYFUNCTION("""COMPUTED_VALUE"""),7436317.0)</f>
        <v>7436317</v>
      </c>
    </row>
    <row r="50">
      <c r="A50" s="7">
        <f>IFERROR(__xludf.DUMMYFUNCTION("""COMPUTED_VALUE"""),45527.64583333333)</f>
        <v>45527.64583</v>
      </c>
      <c r="B50" s="6">
        <f>IFERROR(__xludf.DUMMYFUNCTION("""COMPUTED_VALUE"""),791.84)</f>
        <v>791.84</v>
      </c>
      <c r="C50" s="6">
        <f>IFERROR(__xludf.DUMMYFUNCTION("""COMPUTED_VALUE"""),799.56)</f>
        <v>799.56</v>
      </c>
      <c r="D50" s="6">
        <f>IFERROR(__xludf.DUMMYFUNCTION("""COMPUTED_VALUE"""),767.56)</f>
        <v>767.56</v>
      </c>
      <c r="E50" s="6">
        <f>IFERROR(__xludf.DUMMYFUNCTION("""COMPUTED_VALUE"""),792.28)</f>
        <v>792.28</v>
      </c>
      <c r="F50" s="6">
        <f>IFERROR(__xludf.DUMMYFUNCTION("""COMPUTED_VALUE"""),7954595.0)</f>
        <v>7954595</v>
      </c>
    </row>
    <row r="51">
      <c r="A51" s="7">
        <f>IFERROR(__xludf.DUMMYFUNCTION("""COMPUTED_VALUE"""),45534.64583333333)</f>
        <v>45534.64583</v>
      </c>
      <c r="B51" s="6">
        <f>IFERROR(__xludf.DUMMYFUNCTION("""COMPUTED_VALUE"""),793.6)</f>
        <v>793.6</v>
      </c>
      <c r="C51" s="6">
        <f>IFERROR(__xludf.DUMMYFUNCTION("""COMPUTED_VALUE"""),801.0)</f>
        <v>801</v>
      </c>
      <c r="D51" s="6">
        <f>IFERROR(__xludf.DUMMYFUNCTION("""COMPUTED_VALUE"""),760.88)</f>
        <v>760.88</v>
      </c>
      <c r="E51" s="6">
        <f>IFERROR(__xludf.DUMMYFUNCTION("""COMPUTED_VALUE"""),772.08)</f>
        <v>772.08</v>
      </c>
      <c r="F51" s="6">
        <f>IFERROR(__xludf.DUMMYFUNCTION("""COMPUTED_VALUE"""),7680041.0)</f>
        <v>7680041</v>
      </c>
    </row>
    <row r="52">
      <c r="A52" s="7">
        <f>IFERROR(__xludf.DUMMYFUNCTION("""COMPUTED_VALUE"""),45541.64583333333)</f>
        <v>45541.64583</v>
      </c>
      <c r="B52" s="6">
        <f>IFERROR(__xludf.DUMMYFUNCTION("""COMPUTED_VALUE"""),775.2)</f>
        <v>775.2</v>
      </c>
      <c r="C52" s="6">
        <f>IFERROR(__xludf.DUMMYFUNCTION("""COMPUTED_VALUE"""),783.6)</f>
        <v>783.6</v>
      </c>
      <c r="D52" s="6">
        <f>IFERROR(__xludf.DUMMYFUNCTION("""COMPUTED_VALUE"""),751.44)</f>
        <v>751.44</v>
      </c>
      <c r="E52" s="6">
        <f>IFERROR(__xludf.DUMMYFUNCTION("""COMPUTED_VALUE"""),754.12)</f>
        <v>754.12</v>
      </c>
      <c r="F52" s="6">
        <f>IFERROR(__xludf.DUMMYFUNCTION("""COMPUTED_VALUE"""),1.0265734E7)</f>
        <v>10265734</v>
      </c>
    </row>
    <row r="53">
      <c r="A53" s="7">
        <f>IFERROR(__xludf.DUMMYFUNCTION("""COMPUTED_VALUE"""),45548.64583333333)</f>
        <v>45548.64583</v>
      </c>
      <c r="B53" s="6">
        <f>IFERROR(__xludf.DUMMYFUNCTION("""COMPUTED_VALUE"""),753.6)</f>
        <v>753.6</v>
      </c>
      <c r="C53" s="6">
        <f>IFERROR(__xludf.DUMMYFUNCTION("""COMPUTED_VALUE"""),773.28)</f>
        <v>773.28</v>
      </c>
      <c r="D53" s="6">
        <f>IFERROR(__xludf.DUMMYFUNCTION("""COMPUTED_VALUE"""),744.8)</f>
        <v>744.8</v>
      </c>
      <c r="E53" s="6">
        <f>IFERROR(__xludf.DUMMYFUNCTION("""COMPUTED_VALUE"""),769.08)</f>
        <v>769.08</v>
      </c>
      <c r="F53" s="6">
        <f>IFERROR(__xludf.DUMMYFUNCTION("""COMPUTED_VALUE"""),8431380.0)</f>
        <v>8431380</v>
      </c>
    </row>
    <row r="54">
      <c r="A54" s="7">
        <f>IFERROR(__xludf.DUMMYFUNCTION("""COMPUTED_VALUE"""),45555.64583333333)</f>
        <v>45555.64583</v>
      </c>
      <c r="B54" s="6">
        <f>IFERROR(__xludf.DUMMYFUNCTION("""COMPUTED_VALUE"""),772.0)</f>
        <v>772</v>
      </c>
      <c r="C54" s="6">
        <f>IFERROR(__xludf.DUMMYFUNCTION("""COMPUTED_VALUE"""),772.72)</f>
        <v>772.72</v>
      </c>
      <c r="D54" s="6">
        <f>IFERROR(__xludf.DUMMYFUNCTION("""COMPUTED_VALUE"""),705.6)</f>
        <v>705.6</v>
      </c>
      <c r="E54" s="6">
        <f>IFERROR(__xludf.DUMMYFUNCTION("""COMPUTED_VALUE"""),714.4)</f>
        <v>714.4</v>
      </c>
      <c r="F54" s="6">
        <f>IFERROR(__xludf.DUMMYFUNCTION("""COMPUTED_VALUE"""),1.0254239E7)</f>
        <v>10254239</v>
      </c>
    </row>
    <row r="55">
      <c r="A55" s="7">
        <f>IFERROR(__xludf.DUMMYFUNCTION("""COMPUTED_VALUE"""),45562.64583333333)</f>
        <v>45562.64583</v>
      </c>
      <c r="B55" s="6">
        <f>IFERROR(__xludf.DUMMYFUNCTION("""COMPUTED_VALUE"""),718.4)</f>
        <v>718.4</v>
      </c>
      <c r="C55" s="6">
        <f>IFERROR(__xludf.DUMMYFUNCTION("""COMPUTED_VALUE"""),733.2)</f>
        <v>733.2</v>
      </c>
      <c r="D55" s="6">
        <f>IFERROR(__xludf.DUMMYFUNCTION("""COMPUTED_VALUE"""),701.12)</f>
        <v>701.12</v>
      </c>
      <c r="E55" s="6">
        <f>IFERROR(__xludf.DUMMYFUNCTION("""COMPUTED_VALUE"""),729.0)</f>
        <v>729</v>
      </c>
      <c r="F55" s="6">
        <f>IFERROR(__xludf.DUMMYFUNCTION("""COMPUTED_VALUE"""),9664120.0)</f>
        <v>9664120</v>
      </c>
    </row>
    <row r="56">
      <c r="A56" s="7">
        <f>IFERROR(__xludf.DUMMYFUNCTION("""COMPUTED_VALUE"""),45569.64583333333)</f>
        <v>45569.64583</v>
      </c>
      <c r="B56" s="6">
        <f>IFERROR(__xludf.DUMMYFUNCTION("""COMPUTED_VALUE"""),729.0)</f>
        <v>729</v>
      </c>
      <c r="C56" s="6">
        <f>IFERROR(__xludf.DUMMYFUNCTION("""COMPUTED_VALUE"""),741.56)</f>
        <v>741.56</v>
      </c>
      <c r="D56" s="6">
        <f>IFERROR(__xludf.DUMMYFUNCTION("""COMPUTED_VALUE"""),696.0)</f>
        <v>696</v>
      </c>
      <c r="E56" s="6">
        <f>IFERROR(__xludf.DUMMYFUNCTION("""COMPUTED_VALUE"""),704.84)</f>
        <v>704.84</v>
      </c>
      <c r="F56" s="6">
        <f>IFERROR(__xludf.DUMMYFUNCTION("""COMPUTED_VALUE"""),7065882.0)</f>
        <v>7065882</v>
      </c>
    </row>
    <row r="57">
      <c r="A57" s="7">
        <f>IFERROR(__xludf.DUMMYFUNCTION("""COMPUTED_VALUE"""),45576.64583333333)</f>
        <v>45576.64583</v>
      </c>
      <c r="B57" s="6">
        <f>IFERROR(__xludf.DUMMYFUNCTION("""COMPUTED_VALUE"""),708.72)</f>
        <v>708.72</v>
      </c>
      <c r="C57" s="6">
        <f>IFERROR(__xludf.DUMMYFUNCTION("""COMPUTED_VALUE"""),726.36)</f>
        <v>726.36</v>
      </c>
      <c r="D57" s="6">
        <f>IFERROR(__xludf.DUMMYFUNCTION("""COMPUTED_VALUE"""),686.4)</f>
        <v>686.4</v>
      </c>
      <c r="E57" s="6">
        <f>IFERROR(__xludf.DUMMYFUNCTION("""COMPUTED_VALUE"""),715.12)</f>
        <v>715.12</v>
      </c>
      <c r="F57" s="6">
        <f>IFERROR(__xludf.DUMMYFUNCTION("""COMPUTED_VALUE"""),5435540.0)</f>
        <v>5435540</v>
      </c>
    </row>
    <row r="58">
      <c r="A58" s="7">
        <f>IFERROR(__xludf.DUMMYFUNCTION("""COMPUTED_VALUE"""),45583.64583333333)</f>
        <v>45583.64583</v>
      </c>
      <c r="B58" s="6">
        <f>IFERROR(__xludf.DUMMYFUNCTION("""COMPUTED_VALUE"""),708.0)</f>
        <v>708</v>
      </c>
      <c r="C58" s="6">
        <f>IFERROR(__xludf.DUMMYFUNCTION("""COMPUTED_VALUE"""),711.96)</f>
        <v>711.96</v>
      </c>
      <c r="D58" s="6">
        <f>IFERROR(__xludf.DUMMYFUNCTION("""COMPUTED_VALUE"""),683.64)</f>
        <v>683.64</v>
      </c>
      <c r="E58" s="6">
        <f>IFERROR(__xludf.DUMMYFUNCTION("""COMPUTED_VALUE"""),698.08)</f>
        <v>698.08</v>
      </c>
      <c r="F58" s="6">
        <f>IFERROR(__xludf.DUMMYFUNCTION("""COMPUTED_VALUE"""),5078557.0)</f>
        <v>5078557</v>
      </c>
    </row>
    <row r="59">
      <c r="A59" s="7">
        <f>IFERROR(__xludf.DUMMYFUNCTION("""COMPUTED_VALUE"""),45590.64583333333)</f>
        <v>45590.64583</v>
      </c>
      <c r="B59" s="6">
        <f>IFERROR(__xludf.DUMMYFUNCTION("""COMPUTED_VALUE"""),698.4)</f>
        <v>698.4</v>
      </c>
      <c r="C59" s="6">
        <f>IFERROR(__xludf.DUMMYFUNCTION("""COMPUTED_VALUE"""),700.76)</f>
        <v>700.76</v>
      </c>
      <c r="D59" s="6">
        <f>IFERROR(__xludf.DUMMYFUNCTION("""COMPUTED_VALUE"""),624.44)</f>
        <v>624.44</v>
      </c>
      <c r="E59" s="6">
        <f>IFERROR(__xludf.DUMMYFUNCTION("""COMPUTED_VALUE"""),636.24)</f>
        <v>636.24</v>
      </c>
      <c r="F59" s="6">
        <f>IFERROR(__xludf.DUMMYFUNCTION("""COMPUTED_VALUE"""),6286500.0)</f>
        <v>6286500</v>
      </c>
    </row>
    <row r="60">
      <c r="A60" s="7">
        <f>IFERROR(__xludf.DUMMYFUNCTION("""COMPUTED_VALUE"""),45604.64583333333)</f>
        <v>45604.64583</v>
      </c>
      <c r="B60" s="6">
        <f>IFERROR(__xludf.DUMMYFUNCTION("""COMPUTED_VALUE"""),676.16)</f>
        <v>676.16</v>
      </c>
      <c r="C60" s="6">
        <f>IFERROR(__xludf.DUMMYFUNCTION("""COMPUTED_VALUE"""),694.4)</f>
        <v>694.4</v>
      </c>
      <c r="D60" s="6">
        <f>IFERROR(__xludf.DUMMYFUNCTION("""COMPUTED_VALUE"""),648.04)</f>
        <v>648.04</v>
      </c>
      <c r="E60" s="6">
        <f>IFERROR(__xludf.DUMMYFUNCTION("""COMPUTED_VALUE"""),661.92)</f>
        <v>661.92</v>
      </c>
      <c r="F60" s="6">
        <f>IFERROR(__xludf.DUMMYFUNCTION("""COMPUTED_VALUE"""),6360223.0)</f>
        <v>6360223</v>
      </c>
    </row>
    <row r="61">
      <c r="A61" s="7">
        <f>IFERROR(__xludf.DUMMYFUNCTION("""COMPUTED_VALUE"""),45610.64583333333)</f>
        <v>45610.64583</v>
      </c>
      <c r="B61" s="6">
        <f>IFERROR(__xludf.DUMMYFUNCTION("""COMPUTED_VALUE"""),661.92)</f>
        <v>661.92</v>
      </c>
      <c r="C61" s="6">
        <f>IFERROR(__xludf.DUMMYFUNCTION("""COMPUTED_VALUE"""),669.48)</f>
        <v>669.48</v>
      </c>
      <c r="D61" s="6">
        <f>IFERROR(__xludf.DUMMYFUNCTION("""COMPUTED_VALUE"""),621.2)</f>
        <v>621.2</v>
      </c>
      <c r="E61" s="6">
        <f>IFERROR(__xludf.DUMMYFUNCTION("""COMPUTED_VALUE"""),628.52)</f>
        <v>628.52</v>
      </c>
      <c r="F61" s="6">
        <f>IFERROR(__xludf.DUMMYFUNCTION("""COMPUTED_VALUE"""),2746664.0)</f>
        <v>2746664</v>
      </c>
    </row>
    <row r="62">
      <c r="A62" s="7">
        <f>IFERROR(__xludf.DUMMYFUNCTION("""COMPUTED_VALUE"""),45618.64583333333)</f>
        <v>45618.64583</v>
      </c>
      <c r="B62" s="6">
        <f>IFERROR(__xludf.DUMMYFUNCTION("""COMPUTED_VALUE"""),631.72)</f>
        <v>631.72</v>
      </c>
      <c r="C62" s="6">
        <f>IFERROR(__xludf.DUMMYFUNCTION("""COMPUTED_VALUE"""),648.16)</f>
        <v>648.16</v>
      </c>
      <c r="D62" s="6">
        <f>IFERROR(__xludf.DUMMYFUNCTION("""COMPUTED_VALUE"""),605.8)</f>
        <v>605.8</v>
      </c>
      <c r="E62" s="6">
        <f>IFERROR(__xludf.DUMMYFUNCTION("""COMPUTED_VALUE"""),630.68)</f>
        <v>630.68</v>
      </c>
      <c r="F62" s="6">
        <f>IFERROR(__xludf.DUMMYFUNCTION("""COMPUTED_VALUE"""),4129146.0)</f>
        <v>4129146</v>
      </c>
    </row>
    <row r="63">
      <c r="A63" s="7">
        <f>IFERROR(__xludf.DUMMYFUNCTION("""COMPUTED_VALUE"""),45625.64583333333)</f>
        <v>45625.64583</v>
      </c>
      <c r="B63" s="6">
        <f>IFERROR(__xludf.DUMMYFUNCTION("""COMPUTED_VALUE"""),644.88)</f>
        <v>644.88</v>
      </c>
      <c r="C63" s="6">
        <f>IFERROR(__xludf.DUMMYFUNCTION("""COMPUTED_VALUE"""),664.76)</f>
        <v>664.76</v>
      </c>
      <c r="D63" s="6">
        <f>IFERROR(__xludf.DUMMYFUNCTION("""COMPUTED_VALUE"""),636.28)</f>
        <v>636.28</v>
      </c>
      <c r="E63" s="6">
        <f>IFERROR(__xludf.DUMMYFUNCTION("""COMPUTED_VALUE"""),662.68)</f>
        <v>662.68</v>
      </c>
      <c r="F63" s="6">
        <f>IFERROR(__xludf.DUMMYFUNCTION("""COMPUTED_VALUE"""),6362842.0)</f>
        <v>6362842</v>
      </c>
    </row>
    <row r="64">
      <c r="A64" s="7">
        <f>IFERROR(__xludf.DUMMYFUNCTION("""COMPUTED_VALUE"""),45632.64583333333)</f>
        <v>45632.64583</v>
      </c>
      <c r="B64" s="6">
        <f>IFERROR(__xludf.DUMMYFUNCTION("""COMPUTED_VALUE"""),662.68)</f>
        <v>662.68</v>
      </c>
      <c r="C64" s="6">
        <f>IFERROR(__xludf.DUMMYFUNCTION("""COMPUTED_VALUE"""),681.48)</f>
        <v>681.48</v>
      </c>
      <c r="D64" s="6">
        <f>IFERROR(__xludf.DUMMYFUNCTION("""COMPUTED_VALUE"""),657.64)</f>
        <v>657.64</v>
      </c>
      <c r="E64" s="6">
        <f>IFERROR(__xludf.DUMMYFUNCTION("""COMPUTED_VALUE"""),674.44)</f>
        <v>674.44</v>
      </c>
      <c r="F64" s="6">
        <f>IFERROR(__xludf.DUMMYFUNCTION("""COMPUTED_VALUE"""),4553973.0)</f>
        <v>4553973</v>
      </c>
    </row>
    <row r="65">
      <c r="A65" s="7">
        <f>IFERROR(__xludf.DUMMYFUNCTION("""COMPUTED_VALUE"""),45639.64583333333)</f>
        <v>45639.64583</v>
      </c>
      <c r="B65" s="6">
        <f>IFERROR(__xludf.DUMMYFUNCTION("""COMPUTED_VALUE"""),675.6)</f>
        <v>675.6</v>
      </c>
      <c r="C65" s="6">
        <f>IFERROR(__xludf.DUMMYFUNCTION("""COMPUTED_VALUE"""),692.8)</f>
        <v>692.8</v>
      </c>
      <c r="D65" s="6">
        <f>IFERROR(__xludf.DUMMYFUNCTION("""COMPUTED_VALUE"""),650.2)</f>
        <v>650.2</v>
      </c>
      <c r="E65" s="6">
        <f>IFERROR(__xludf.DUMMYFUNCTION("""COMPUTED_VALUE"""),660.44)</f>
        <v>660.44</v>
      </c>
      <c r="F65" s="6">
        <f>IFERROR(__xludf.DUMMYFUNCTION("""COMPUTED_VALUE"""),7218840.0)</f>
        <v>7218840</v>
      </c>
    </row>
    <row r="66">
      <c r="A66" s="7">
        <f>IFERROR(__xludf.DUMMYFUNCTION("""COMPUTED_VALUE"""),45646.64583333333)</f>
        <v>45646.64583</v>
      </c>
      <c r="B66" s="6">
        <f>IFERROR(__xludf.DUMMYFUNCTION("""COMPUTED_VALUE"""),663.12)</f>
        <v>663.12</v>
      </c>
      <c r="C66" s="6">
        <f>IFERROR(__xludf.DUMMYFUNCTION("""COMPUTED_VALUE"""),663.12)</f>
        <v>663.12</v>
      </c>
      <c r="D66" s="6">
        <f>IFERROR(__xludf.DUMMYFUNCTION("""COMPUTED_VALUE"""),612.04)</f>
        <v>612.04</v>
      </c>
      <c r="E66" s="6">
        <f>IFERROR(__xludf.DUMMYFUNCTION("""COMPUTED_VALUE"""),614.36)</f>
        <v>614.36</v>
      </c>
      <c r="F66" s="6">
        <f>IFERROR(__xludf.DUMMYFUNCTION("""COMPUTED_VALUE"""),3678093.0)</f>
        <v>3678093</v>
      </c>
    </row>
    <row r="67">
      <c r="A67" s="7">
        <f>IFERROR(__xludf.DUMMYFUNCTION("""COMPUTED_VALUE"""),45653.64583333333)</f>
        <v>45653.64583</v>
      </c>
      <c r="B67" s="6">
        <f>IFERROR(__xludf.DUMMYFUNCTION("""COMPUTED_VALUE"""),620.84)</f>
        <v>620.84</v>
      </c>
      <c r="C67" s="6">
        <f>IFERROR(__xludf.DUMMYFUNCTION("""COMPUTED_VALUE"""),630.24)</f>
        <v>630.24</v>
      </c>
      <c r="D67" s="6">
        <f>IFERROR(__xludf.DUMMYFUNCTION("""COMPUTED_VALUE"""),615.24)</f>
        <v>615.24</v>
      </c>
      <c r="E67" s="6">
        <f>IFERROR(__xludf.DUMMYFUNCTION("""COMPUTED_VALUE"""),627.32)</f>
        <v>627.32</v>
      </c>
      <c r="F67" s="6">
        <f>IFERROR(__xludf.DUMMYFUNCTION("""COMPUTED_VALUE"""),2265003.0)</f>
        <v>2265003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IFERROR(__xludf.DUMMYFUNCTION("""COMPUTED_VALUE"""),628.08)</f>
        <v>628.08</v>
      </c>
      <c r="C68" s="6">
        <f>IFERROR(__xludf.DUMMYFUNCTION("""COMPUTED_VALUE"""),636.32)</f>
        <v>636.32</v>
      </c>
      <c r="D68" s="6">
        <f>IFERROR(__xludf.DUMMYFUNCTION("""COMPUTED_VALUE"""),617.28)</f>
        <v>617.28</v>
      </c>
      <c r="E68" s="6">
        <f>IFERROR(__xludf.DUMMYFUNCTION("""COMPUTED_VALUE"""),628.64)</f>
        <v>628.64</v>
      </c>
      <c r="F68" s="6">
        <f>IFERROR(__xludf.DUMMYFUNCTION("""COMPUTED_VALUE"""),3432967.0)</f>
        <v>3432967</v>
      </c>
    </row>
    <row r="69">
      <c r="A69" s="7">
        <f>IFERROR(__xludf.DUMMYFUNCTION("""COMPUTED_VALUE"""),45667.64583333333)</f>
        <v>45667.64583</v>
      </c>
      <c r="B69" s="6">
        <f>IFERROR(__xludf.DUMMYFUNCTION("""COMPUTED_VALUE"""),628.92)</f>
        <v>628.92</v>
      </c>
      <c r="C69" s="6">
        <f>IFERROR(__xludf.DUMMYFUNCTION("""COMPUTED_VALUE"""),629.56)</f>
        <v>629.56</v>
      </c>
      <c r="D69" s="6">
        <f>IFERROR(__xludf.DUMMYFUNCTION("""COMPUTED_VALUE"""),590.6)</f>
        <v>590.6</v>
      </c>
      <c r="E69" s="6">
        <f>IFERROR(__xludf.DUMMYFUNCTION("""COMPUTED_VALUE"""),600.2)</f>
        <v>600.2</v>
      </c>
      <c r="F69" s="6">
        <f>IFERROR(__xludf.DUMMYFUNCTION("""COMPUTED_VALUE"""),6910659.0)</f>
        <v>6910659</v>
      </c>
    </row>
    <row r="70">
      <c r="A70" s="7">
        <f>IFERROR(__xludf.DUMMYFUNCTION("""COMPUTED_VALUE"""),45674.64583333333)</f>
        <v>45674.64583</v>
      </c>
      <c r="B70" s="6">
        <f>IFERROR(__xludf.DUMMYFUNCTION("""COMPUTED_VALUE"""),600.2)</f>
        <v>600.2</v>
      </c>
      <c r="C70" s="6">
        <f>IFERROR(__xludf.DUMMYFUNCTION("""COMPUTED_VALUE"""),626.32)</f>
        <v>626.32</v>
      </c>
      <c r="D70" s="6">
        <f>IFERROR(__xludf.DUMMYFUNCTION("""COMPUTED_VALUE"""),580.0)</f>
        <v>580</v>
      </c>
      <c r="E70" s="6">
        <f>IFERROR(__xludf.DUMMYFUNCTION("""COMPUTED_VALUE"""),617.96)</f>
        <v>617.96</v>
      </c>
      <c r="F70" s="6">
        <f>IFERROR(__xludf.DUMMYFUNCTION("""COMPUTED_VALUE"""),6586904.0)</f>
        <v>6586904</v>
      </c>
    </row>
    <row r="71">
      <c r="A71" s="7">
        <f>IFERROR(__xludf.DUMMYFUNCTION("""COMPUTED_VALUE"""),45681.64583333333)</f>
        <v>45681.64583</v>
      </c>
      <c r="B71" s="6">
        <f>IFERROR(__xludf.DUMMYFUNCTION("""COMPUTED_VALUE"""),618.4)</f>
        <v>618.4</v>
      </c>
      <c r="C71" s="6">
        <f>IFERROR(__xludf.DUMMYFUNCTION("""COMPUTED_VALUE"""),623.56)</f>
        <v>623.56</v>
      </c>
      <c r="D71" s="6">
        <f>IFERROR(__xludf.DUMMYFUNCTION("""COMPUTED_VALUE"""),592.32)</f>
        <v>592.32</v>
      </c>
      <c r="E71" s="6">
        <f>IFERROR(__xludf.DUMMYFUNCTION("""COMPUTED_VALUE"""),603.48)</f>
        <v>603.48</v>
      </c>
      <c r="F71" s="6">
        <f>IFERROR(__xludf.DUMMYFUNCTION("""COMPUTED_VALUE"""),4399652.0)</f>
        <v>4399652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IFERROR(__xludf.DUMMYFUNCTION("""COMPUTED_VALUE"""),603.2)</f>
        <v>603.2</v>
      </c>
      <c r="C72" s="6">
        <f>IFERROR(__xludf.DUMMYFUNCTION("""COMPUTED_VALUE"""),603.2)</f>
        <v>603.2</v>
      </c>
      <c r="D72" s="6">
        <f>IFERROR(__xludf.DUMMYFUNCTION("""COMPUTED_VALUE"""),571.4)</f>
        <v>571.4</v>
      </c>
      <c r="E72" s="6">
        <f>IFERROR(__xludf.DUMMYFUNCTION("""COMPUTED_VALUE"""),579.08)</f>
        <v>579.08</v>
      </c>
      <c r="F72" s="6">
        <f>IFERROR(__xludf.DUMMYFUNCTION("""COMPUTED_VALUE"""),4449372.0)</f>
        <v>4449372</v>
      </c>
    </row>
    <row r="73">
      <c r="A73" s="7">
        <f>IFERROR(__xludf.DUMMYFUNCTION("""COMPUTED_VALUE"""),45702.64583333333)</f>
        <v>45702.64583</v>
      </c>
      <c r="B73" s="6">
        <f>IFERROR(__xludf.DUMMYFUNCTION("""COMPUTED_VALUE"""),579.08)</f>
        <v>579.08</v>
      </c>
      <c r="C73" s="6">
        <f>IFERROR(__xludf.DUMMYFUNCTION("""COMPUTED_VALUE"""),581.04)</f>
        <v>581.04</v>
      </c>
      <c r="D73" s="6">
        <f>IFERROR(__xludf.DUMMYFUNCTION("""COMPUTED_VALUE"""),533.48)</f>
        <v>533.48</v>
      </c>
      <c r="E73" s="6">
        <f>IFERROR(__xludf.DUMMYFUNCTION("""COMPUTED_VALUE"""),540.16)</f>
        <v>540.16</v>
      </c>
      <c r="F73" s="6">
        <f>IFERROR(__xludf.DUMMYFUNCTION("""COMPUTED_VALUE"""),3521628.0)</f>
        <v>3521628</v>
      </c>
    </row>
    <row r="74">
      <c r="A74" s="7">
        <f>IFERROR(__xludf.DUMMYFUNCTION("""COMPUTED_VALUE"""),45709.64583333333)</f>
        <v>45709.64583</v>
      </c>
      <c r="B74" s="6">
        <f>IFERROR(__xludf.DUMMYFUNCTION("""COMPUTED_VALUE"""),540.0)</f>
        <v>540</v>
      </c>
      <c r="C74" s="6">
        <f>IFERROR(__xludf.DUMMYFUNCTION("""COMPUTED_VALUE"""),564.48)</f>
        <v>564.48</v>
      </c>
      <c r="D74" s="6">
        <f>IFERROR(__xludf.DUMMYFUNCTION("""COMPUTED_VALUE"""),524.64)</f>
        <v>524.64</v>
      </c>
      <c r="E74" s="6">
        <f>IFERROR(__xludf.DUMMYFUNCTION("""COMPUTED_VALUE"""),550.08)</f>
        <v>550.08</v>
      </c>
      <c r="F74" s="6">
        <f>IFERROR(__xludf.DUMMYFUNCTION("""COMPUTED_VALUE"""),5955579.0)</f>
        <v>5955579</v>
      </c>
    </row>
    <row r="75">
      <c r="A75" s="7">
        <f>IFERROR(__xludf.DUMMYFUNCTION("""COMPUTED_VALUE"""),45716.64583333333)</f>
        <v>45716.64583</v>
      </c>
      <c r="B75" s="6">
        <f>IFERROR(__xludf.DUMMYFUNCTION("""COMPUTED_VALUE"""),544.0)</f>
        <v>544</v>
      </c>
      <c r="C75" s="6">
        <f>IFERROR(__xludf.DUMMYFUNCTION("""COMPUTED_VALUE"""),545.6)</f>
        <v>545.6</v>
      </c>
      <c r="D75" s="6">
        <f>IFERROR(__xludf.DUMMYFUNCTION("""COMPUTED_VALUE"""),497.2)</f>
        <v>497.2</v>
      </c>
      <c r="E75" s="6">
        <f>IFERROR(__xludf.DUMMYFUNCTION("""COMPUTED_VALUE"""),498.96)</f>
        <v>498.96</v>
      </c>
      <c r="F75" s="6">
        <f>IFERROR(__xludf.DUMMYFUNCTION("""COMPUTED_VALUE"""),6353706.0)</f>
        <v>6353706</v>
      </c>
    </row>
    <row r="76">
      <c r="A76" s="7">
        <f>IFERROR(__xludf.DUMMYFUNCTION("""COMPUTED_VALUE"""),45723.64583333333)</f>
        <v>45723.64583</v>
      </c>
      <c r="B76" s="6">
        <f>IFERROR(__xludf.DUMMYFUNCTION("""COMPUTED_VALUE"""),501.04)</f>
        <v>501.04</v>
      </c>
      <c r="C76" s="6">
        <f>IFERROR(__xludf.DUMMYFUNCTION("""COMPUTED_VALUE"""),541.36)</f>
        <v>541.36</v>
      </c>
      <c r="D76" s="6">
        <f>IFERROR(__xludf.DUMMYFUNCTION("""COMPUTED_VALUE"""),481.0)</f>
        <v>481</v>
      </c>
      <c r="E76" s="6">
        <f>IFERROR(__xludf.DUMMYFUNCTION("""COMPUTED_VALUE"""),525.32)</f>
        <v>525.32</v>
      </c>
      <c r="F76" s="6">
        <f>IFERROR(__xludf.DUMMYFUNCTION("""COMPUTED_VALUE"""),6556828.0)</f>
        <v>6556828</v>
      </c>
    </row>
    <row r="77">
      <c r="A77" s="7">
        <f>IFERROR(__xludf.DUMMYFUNCTION("""COMPUTED_VALUE"""),45729.64583333333)</f>
        <v>45729.64583</v>
      </c>
      <c r="B77" s="6">
        <f>IFERROR(__xludf.DUMMYFUNCTION("""COMPUTED_VALUE"""),528.0)</f>
        <v>528</v>
      </c>
      <c r="C77" s="6">
        <f>IFERROR(__xludf.DUMMYFUNCTION("""COMPUTED_VALUE"""),531.04)</f>
        <v>531.04</v>
      </c>
      <c r="D77" s="6">
        <f>IFERROR(__xludf.DUMMYFUNCTION("""COMPUTED_VALUE"""),504.0)</f>
        <v>504</v>
      </c>
      <c r="E77" s="6">
        <f>IFERROR(__xludf.DUMMYFUNCTION("""COMPUTED_VALUE"""),512.2)</f>
        <v>512.2</v>
      </c>
      <c r="F77" s="6">
        <f>IFERROR(__xludf.DUMMYFUNCTION("""COMPUTED_VALUE"""),2770150.0)</f>
        <v>2770150</v>
      </c>
    </row>
    <row r="78">
      <c r="A78" s="7">
        <f>IFERROR(__xludf.DUMMYFUNCTION("""COMPUTED_VALUE"""),45737.64583333333)</f>
        <v>45737.64583</v>
      </c>
      <c r="B78" s="6">
        <f>IFERROR(__xludf.DUMMYFUNCTION("""COMPUTED_VALUE"""),505.64)</f>
        <v>505.64</v>
      </c>
      <c r="C78" s="6">
        <f>IFERROR(__xludf.DUMMYFUNCTION("""COMPUTED_VALUE"""),555.88)</f>
        <v>555.88</v>
      </c>
      <c r="D78" s="6">
        <f>IFERROR(__xludf.DUMMYFUNCTION("""COMPUTED_VALUE"""),500.0)</f>
        <v>500</v>
      </c>
      <c r="E78" s="6">
        <f>IFERROR(__xludf.DUMMYFUNCTION("""COMPUTED_VALUE"""),551.72)</f>
        <v>551.72</v>
      </c>
      <c r="F78" s="6">
        <f>IFERROR(__xludf.DUMMYFUNCTION("""COMPUTED_VALUE"""),6514479.0)</f>
        <v>6514479</v>
      </c>
    </row>
    <row r="79">
      <c r="A79" s="7">
        <f>IFERROR(__xludf.DUMMYFUNCTION("""COMPUTED_VALUE"""),45744.64583333333)</f>
        <v>45744.64583</v>
      </c>
      <c r="B79" s="6">
        <f>IFERROR(__xludf.DUMMYFUNCTION("""COMPUTED_VALUE"""),558.4)</f>
        <v>558.4</v>
      </c>
      <c r="C79" s="6">
        <f>IFERROR(__xludf.DUMMYFUNCTION("""COMPUTED_VALUE"""),584.92)</f>
        <v>584.92</v>
      </c>
      <c r="D79" s="6">
        <f>IFERROR(__xludf.DUMMYFUNCTION("""COMPUTED_VALUE"""),546.24)</f>
        <v>546.24</v>
      </c>
      <c r="E79" s="6">
        <f>IFERROR(__xludf.DUMMYFUNCTION("""COMPUTED_VALUE"""),553.28)</f>
        <v>553.28</v>
      </c>
      <c r="F79" s="6">
        <f>IFERROR(__xludf.DUMMYFUNCTION("""COMPUTED_VALUE"""),8959122.0)</f>
        <v>8959122</v>
      </c>
    </row>
    <row r="80">
      <c r="A80" s="7">
        <f>IFERROR(__xludf.DUMMYFUNCTION("""COMPUTED_VALUE"""),45751.64583333333)</f>
        <v>45751.64583</v>
      </c>
      <c r="B80" s="6">
        <f>IFERROR(__xludf.DUMMYFUNCTION("""COMPUTED_VALUE"""),552.88)</f>
        <v>552.88</v>
      </c>
      <c r="C80" s="6">
        <f>IFERROR(__xludf.DUMMYFUNCTION("""COMPUTED_VALUE"""),574.36)</f>
        <v>574.36</v>
      </c>
      <c r="D80" s="6">
        <f>IFERROR(__xludf.DUMMYFUNCTION("""COMPUTED_VALUE"""),546.08)</f>
        <v>546.08</v>
      </c>
      <c r="E80" s="6">
        <f>IFERROR(__xludf.DUMMYFUNCTION("""COMPUTED_VALUE"""),550.0)</f>
        <v>550</v>
      </c>
      <c r="F80" s="6">
        <f>IFERROR(__xludf.DUMMYFUNCTION("""COMPUTED_VALUE"""),3305880.0)</f>
        <v>3305880</v>
      </c>
    </row>
    <row r="81">
      <c r="A81" s="7">
        <f>IFERROR(__xludf.DUMMYFUNCTION("""COMPUTED_VALUE"""),45758.64583333333)</f>
        <v>45758.64583</v>
      </c>
      <c r="B81" s="6">
        <f>IFERROR(__xludf.DUMMYFUNCTION("""COMPUTED_VALUE"""),513.6)</f>
        <v>513.6</v>
      </c>
      <c r="C81" s="6">
        <f>IFERROR(__xludf.DUMMYFUNCTION("""COMPUTED_VALUE"""),564.16)</f>
        <v>564.16</v>
      </c>
      <c r="D81" s="6">
        <f>IFERROR(__xludf.DUMMYFUNCTION("""COMPUTED_VALUE"""),512.92)</f>
        <v>512.92</v>
      </c>
      <c r="E81" s="6">
        <f>IFERROR(__xludf.DUMMYFUNCTION("""COMPUTED_VALUE"""),547.84)</f>
        <v>547.84</v>
      </c>
      <c r="F81" s="6">
        <f>IFERROR(__xludf.DUMMYFUNCTION("""COMPUTED_VALUE"""),4094849.0)</f>
        <v>4094849</v>
      </c>
    </row>
    <row r="82">
      <c r="A82" s="7">
        <f>IFERROR(__xludf.DUMMYFUNCTION("""COMPUTED_VALUE"""),45764.64583333333)</f>
        <v>45764.64583</v>
      </c>
      <c r="B82" s="6">
        <f>IFERROR(__xludf.DUMMYFUNCTION("""COMPUTED_VALUE"""),551.2)</f>
        <v>551.2</v>
      </c>
      <c r="C82" s="6">
        <f>IFERROR(__xludf.DUMMYFUNCTION("""COMPUTED_VALUE"""),565.52)</f>
        <v>565.52</v>
      </c>
      <c r="D82" s="6">
        <f>IFERROR(__xludf.DUMMYFUNCTION("""COMPUTED_VALUE"""),544.24)</f>
        <v>544.24</v>
      </c>
      <c r="E82" s="6">
        <f>IFERROR(__xludf.DUMMYFUNCTION("""COMPUTED_VALUE"""),559.32)</f>
        <v>559.32</v>
      </c>
      <c r="F82" s="6">
        <f>IFERROR(__xludf.DUMMYFUNCTION("""COMPUTED_VALUE"""),3584967.0)</f>
        <v>3584967</v>
      </c>
    </row>
    <row r="83">
      <c r="A83" s="7">
        <f>IFERROR(__xludf.DUMMYFUNCTION("""COMPUTED_VALUE"""),45772.64583333333)</f>
        <v>45772.64583</v>
      </c>
      <c r="B83" s="6">
        <f>IFERROR(__xludf.DUMMYFUNCTION("""COMPUTED_VALUE"""),560.8)</f>
        <v>560.8</v>
      </c>
      <c r="C83" s="6">
        <f>IFERROR(__xludf.DUMMYFUNCTION("""COMPUTED_VALUE"""),573.44)</f>
        <v>573.44</v>
      </c>
      <c r="D83" s="6">
        <f>IFERROR(__xludf.DUMMYFUNCTION("""COMPUTED_VALUE"""),540.0)</f>
        <v>540</v>
      </c>
      <c r="E83" s="6">
        <f>IFERROR(__xludf.DUMMYFUNCTION("""COMPUTED_VALUE"""),543.0)</f>
        <v>543</v>
      </c>
      <c r="F83" s="6">
        <f>IFERROR(__xludf.DUMMYFUNCTION("""COMPUTED_VALUE"""),4657151.0)</f>
        <v>4657151</v>
      </c>
    </row>
    <row r="84">
      <c r="A84" s="7">
        <f>IFERROR(__xludf.DUMMYFUNCTION("""COMPUTED_VALUE"""),45779.64583333333)</f>
        <v>45779.64583</v>
      </c>
      <c r="B84" s="6">
        <f>IFERROR(__xludf.DUMMYFUNCTION("""COMPUTED_VALUE"""),544.0)</f>
        <v>544</v>
      </c>
      <c r="C84" s="6">
        <f>IFERROR(__xludf.DUMMYFUNCTION("""COMPUTED_VALUE"""),557.52)</f>
        <v>557.52</v>
      </c>
      <c r="D84" s="6">
        <f>IFERROR(__xludf.DUMMYFUNCTION("""COMPUTED_VALUE"""),534.48)</f>
        <v>534.48</v>
      </c>
      <c r="E84" s="6">
        <f>IFERROR(__xludf.DUMMYFUNCTION("""COMPUTED_VALUE"""),544.6)</f>
        <v>544.6</v>
      </c>
      <c r="F84" s="6">
        <f>IFERROR(__xludf.DUMMYFUNCTION("""COMPUTED_VALUE"""),3936287.0)</f>
        <v>3936287</v>
      </c>
    </row>
    <row r="85">
      <c r="A85" s="7">
        <f>IFERROR(__xludf.DUMMYFUNCTION("""COMPUTED_VALUE"""),45786.64583333333)</f>
        <v>45786.64583</v>
      </c>
      <c r="B85" s="6">
        <f>IFERROR(__xludf.DUMMYFUNCTION("""COMPUTED_VALUE"""),548.0)</f>
        <v>548</v>
      </c>
      <c r="C85" s="6">
        <f>IFERROR(__xludf.DUMMYFUNCTION("""COMPUTED_VALUE"""),556.0)</f>
        <v>556</v>
      </c>
      <c r="D85" s="6">
        <f>IFERROR(__xludf.DUMMYFUNCTION("""COMPUTED_VALUE"""),516.24)</f>
        <v>516.24</v>
      </c>
      <c r="E85" s="6">
        <f>IFERROR(__xludf.DUMMYFUNCTION("""COMPUTED_VALUE"""),518.92)</f>
        <v>518.92</v>
      </c>
      <c r="F85" s="6">
        <f>IFERROR(__xludf.DUMMYFUNCTION("""COMPUTED_VALUE"""),3376111.0)</f>
        <v>3376111</v>
      </c>
    </row>
    <row r="86">
      <c r="A86" s="7">
        <f>IFERROR(__xludf.DUMMYFUNCTION("""COMPUTED_VALUE"""),45793.64583333333)</f>
        <v>45793.64583</v>
      </c>
      <c r="B86" s="6">
        <f>IFERROR(__xludf.DUMMYFUNCTION("""COMPUTED_VALUE"""),536.08)</f>
        <v>536.08</v>
      </c>
      <c r="C86" s="6">
        <f>IFERROR(__xludf.DUMMYFUNCTION("""COMPUTED_VALUE"""),587.2)</f>
        <v>587.2</v>
      </c>
      <c r="D86" s="6">
        <f>IFERROR(__xludf.DUMMYFUNCTION("""COMPUTED_VALUE"""),534.4)</f>
        <v>534.4</v>
      </c>
      <c r="E86" s="6">
        <f>IFERROR(__xludf.DUMMYFUNCTION("""COMPUTED_VALUE"""),584.4)</f>
        <v>584.4</v>
      </c>
      <c r="F86" s="6">
        <f>IFERROR(__xludf.DUMMYFUNCTION("""COMPUTED_VALUE"""),1.86395E7)</f>
        <v>18639500</v>
      </c>
    </row>
    <row r="87">
      <c r="A87" s="7">
        <f>IFERROR(__xludf.DUMMYFUNCTION("""COMPUTED_VALUE"""),45800.64583333333)</f>
        <v>45800.64583</v>
      </c>
      <c r="B87" s="6">
        <f>IFERROR(__xludf.DUMMYFUNCTION("""COMPUTED_VALUE"""),590.36)</f>
        <v>590.36</v>
      </c>
      <c r="C87" s="6">
        <f>IFERROR(__xludf.DUMMYFUNCTION("""COMPUTED_VALUE"""),606.32)</f>
        <v>606.32</v>
      </c>
      <c r="D87" s="6">
        <f>IFERROR(__xludf.DUMMYFUNCTION("""COMPUTED_VALUE"""),566.56)</f>
        <v>566.56</v>
      </c>
      <c r="E87" s="6">
        <f>IFERROR(__xludf.DUMMYFUNCTION("""COMPUTED_VALUE"""),576.72)</f>
        <v>576.72</v>
      </c>
      <c r="F87" s="6">
        <f>IFERROR(__xludf.DUMMYFUNCTION("""COMPUTED_VALUE"""),1.5905449E7)</f>
        <v>15905449</v>
      </c>
    </row>
    <row r="88">
      <c r="A88" s="7">
        <f>IFERROR(__xludf.DUMMYFUNCTION("""COMPUTED_VALUE"""),45807.64583333333)</f>
        <v>45807.64583</v>
      </c>
      <c r="B88" s="6">
        <f>IFERROR(__xludf.DUMMYFUNCTION("""COMPUTED_VALUE"""),579.56)</f>
        <v>579.56</v>
      </c>
      <c r="C88" s="6">
        <f>IFERROR(__xludf.DUMMYFUNCTION("""COMPUTED_VALUE"""),632.8)</f>
        <v>632.8</v>
      </c>
      <c r="D88" s="6">
        <f>IFERROR(__xludf.DUMMYFUNCTION("""COMPUTED_VALUE"""),577.64)</f>
        <v>577.64</v>
      </c>
      <c r="E88" s="6">
        <f>IFERROR(__xludf.DUMMYFUNCTION("""COMPUTED_VALUE"""),627.52)</f>
        <v>627.52</v>
      </c>
      <c r="F88" s="6">
        <f>IFERROR(__xludf.DUMMYFUNCTION("""COMPUTED_VALUE"""),2.0358355E7)</f>
        <v>20358355</v>
      </c>
    </row>
    <row r="89">
      <c r="A89" s="7">
        <f>IFERROR(__xludf.DUMMYFUNCTION("""COMPUTED_VALUE"""),45814.64583333333)</f>
        <v>45814.64583</v>
      </c>
      <c r="B89" s="6">
        <f>IFERROR(__xludf.DUMMYFUNCTION("""COMPUTED_VALUE"""),627.48)</f>
        <v>627.48</v>
      </c>
      <c r="C89" s="6">
        <f>IFERROR(__xludf.DUMMYFUNCTION("""COMPUTED_VALUE"""),652.04)</f>
        <v>652.04</v>
      </c>
      <c r="D89" s="6">
        <f>IFERROR(__xludf.DUMMYFUNCTION("""COMPUTED_VALUE"""),620.0)</f>
        <v>620</v>
      </c>
      <c r="E89" s="6">
        <f>IFERROR(__xludf.DUMMYFUNCTION("""COMPUTED_VALUE"""),647.6)</f>
        <v>647.6</v>
      </c>
      <c r="F89" s="6">
        <f>IFERROR(__xludf.DUMMYFUNCTION("""COMPUTED_VALUE"""),9695331.0)</f>
        <v>9695331</v>
      </c>
    </row>
    <row r="90">
      <c r="A90" s="7">
        <f>IFERROR(__xludf.DUMMYFUNCTION("""COMPUTED_VALUE"""),45821.64583333333)</f>
        <v>45821.64583</v>
      </c>
      <c r="B90" s="6">
        <f>IFERROR(__xludf.DUMMYFUNCTION("""COMPUTED_VALUE"""),648.4)</f>
        <v>648.4</v>
      </c>
      <c r="C90" s="6">
        <f>IFERROR(__xludf.DUMMYFUNCTION("""COMPUTED_VALUE"""),650.72)</f>
        <v>650.72</v>
      </c>
      <c r="D90" s="6">
        <f>IFERROR(__xludf.DUMMYFUNCTION("""COMPUTED_VALUE"""),601.64)</f>
        <v>601.64</v>
      </c>
      <c r="E90" s="6">
        <f>IFERROR(__xludf.DUMMYFUNCTION("""COMPUTED_VALUE"""),609.16)</f>
        <v>609.16</v>
      </c>
      <c r="F90" s="6">
        <f>IFERROR(__xludf.DUMMYFUNCTION("""COMPUTED_VALUE"""),4471101.0)</f>
        <v>4471101</v>
      </c>
    </row>
    <row r="91">
      <c r="A91" s="7">
        <f>IFERROR(__xludf.DUMMYFUNCTION("""COMPUTED_VALUE"""),45828.64583333333)</f>
        <v>45828.64583</v>
      </c>
      <c r="B91" s="6">
        <f>IFERROR(__xludf.DUMMYFUNCTION("""COMPUTED_VALUE"""),607.2)</f>
        <v>607.2</v>
      </c>
      <c r="C91" s="6">
        <f>IFERROR(__xludf.DUMMYFUNCTION("""COMPUTED_VALUE"""),613.96)</f>
        <v>613.96</v>
      </c>
      <c r="D91" s="6">
        <f>IFERROR(__xludf.DUMMYFUNCTION("""COMPUTED_VALUE"""),580.4)</f>
        <v>580.4</v>
      </c>
      <c r="E91" s="6">
        <f>IFERROR(__xludf.DUMMYFUNCTION("""COMPUTED_VALUE"""),590.6)</f>
        <v>590.6</v>
      </c>
      <c r="F91" s="6">
        <f>IFERROR(__xludf.DUMMYFUNCTION("""COMPUTED_VALUE"""),3577118.0)</f>
        <v>3577118</v>
      </c>
    </row>
    <row r="92">
      <c r="A92" s="7">
        <f>IFERROR(__xludf.DUMMYFUNCTION("""COMPUTED_VALUE"""),45835.64583333333)</f>
        <v>45835.64583</v>
      </c>
      <c r="B92" s="6">
        <f>IFERROR(__xludf.DUMMYFUNCTION("""COMPUTED_VALUE"""),590.32)</f>
        <v>590.32</v>
      </c>
      <c r="C92" s="6">
        <f>IFERROR(__xludf.DUMMYFUNCTION("""COMPUTED_VALUE"""),611.12)</f>
        <v>611.12</v>
      </c>
      <c r="D92" s="6">
        <f>IFERROR(__xludf.DUMMYFUNCTION("""COMPUTED_VALUE"""),583.4)</f>
        <v>583.4</v>
      </c>
      <c r="E92" s="6">
        <f>IFERROR(__xludf.DUMMYFUNCTION("""COMPUTED_VALUE"""),605.08)</f>
        <v>605.08</v>
      </c>
      <c r="F92" s="6">
        <f>IFERROR(__xludf.DUMMYFUNCTION("""COMPUTED_VALUE"""),6189711.0)</f>
        <v>6189711</v>
      </c>
    </row>
    <row r="93">
      <c r="A93" s="7">
        <f>IFERROR(__xludf.DUMMYFUNCTION("""COMPUTED_VALUE"""),45842.64583333333)</f>
        <v>45842.64583</v>
      </c>
      <c r="B93" s="6">
        <f>IFERROR(__xludf.DUMMYFUNCTION("""COMPUTED_VALUE"""),608.12)</f>
        <v>608.12</v>
      </c>
      <c r="C93" s="6">
        <f>IFERROR(__xludf.DUMMYFUNCTION("""COMPUTED_VALUE"""),612.36)</f>
        <v>612.36</v>
      </c>
      <c r="D93" s="6">
        <f>IFERROR(__xludf.DUMMYFUNCTION("""COMPUTED_VALUE"""),590.0)</f>
        <v>590</v>
      </c>
      <c r="E93" s="6">
        <f>IFERROR(__xludf.DUMMYFUNCTION("""COMPUTED_VALUE"""),599.65)</f>
        <v>599.65</v>
      </c>
      <c r="F93" s="6">
        <f>IFERROR(__xludf.DUMMYFUNCTION("""COMPUTED_VALUE"""),7996044.0)</f>
        <v>7996044</v>
      </c>
    </row>
    <row r="94">
      <c r="A94" s="7">
        <f>IFERROR(__xludf.DUMMYFUNCTION("""COMPUTED_VALUE"""),45849.64583333333)</f>
        <v>45849.64583</v>
      </c>
      <c r="B94" s="6">
        <f>IFERROR(__xludf.DUMMYFUNCTION("""COMPUTED_VALUE"""),602.0)</f>
        <v>602</v>
      </c>
      <c r="C94" s="6">
        <f>IFERROR(__xludf.DUMMYFUNCTION("""COMPUTED_VALUE"""),629.2)</f>
        <v>629.2</v>
      </c>
      <c r="D94" s="6">
        <f>IFERROR(__xludf.DUMMYFUNCTION("""COMPUTED_VALUE"""),588.1)</f>
        <v>588.1</v>
      </c>
      <c r="E94" s="6">
        <f>IFERROR(__xludf.DUMMYFUNCTION("""COMPUTED_VALUE"""),614.95)</f>
        <v>614.95</v>
      </c>
      <c r="F94" s="6">
        <f>IFERROR(__xludf.DUMMYFUNCTION("""COMPUTED_VALUE"""),9127165.0)</f>
        <v>9127165</v>
      </c>
    </row>
    <row r="95">
      <c r="A95" s="7">
        <f>IFERROR(__xludf.DUMMYFUNCTION("""COMPUTED_VALUE"""),45856.64583333333)</f>
        <v>45856.64583</v>
      </c>
      <c r="B95" s="6">
        <f>IFERROR(__xludf.DUMMYFUNCTION("""COMPUTED_VALUE"""),614.25)</f>
        <v>614.25</v>
      </c>
      <c r="C95" s="6">
        <f>IFERROR(__xludf.DUMMYFUNCTION("""COMPUTED_VALUE"""),625.0)</f>
        <v>625</v>
      </c>
      <c r="D95" s="6">
        <f>IFERROR(__xludf.DUMMYFUNCTION("""COMPUTED_VALUE"""),610.05)</f>
        <v>610.05</v>
      </c>
      <c r="E95" s="6">
        <f>IFERROR(__xludf.DUMMYFUNCTION("""COMPUTED_VALUE"""),613.25)</f>
        <v>613.25</v>
      </c>
      <c r="F95" s="6">
        <f>IFERROR(__xludf.DUMMYFUNCTION("""COMPUTED_VALUE"""),4841097.0)</f>
        <v>4841097</v>
      </c>
    </row>
    <row r="96">
      <c r="A96" s="7">
        <f>IFERROR(__xludf.DUMMYFUNCTION("""COMPUTED_VALUE"""),45863.64583333333)</f>
        <v>45863.64583</v>
      </c>
      <c r="B96" s="6">
        <f>IFERROR(__xludf.DUMMYFUNCTION("""COMPUTED_VALUE"""),613.25)</f>
        <v>613.25</v>
      </c>
      <c r="C96" s="6">
        <f>IFERROR(__xludf.DUMMYFUNCTION("""COMPUTED_VALUE"""),617.0)</f>
        <v>617</v>
      </c>
      <c r="D96" s="6">
        <f>IFERROR(__xludf.DUMMYFUNCTION("""COMPUTED_VALUE"""),596.05)</f>
        <v>596.05</v>
      </c>
      <c r="E96" s="6">
        <f>IFERROR(__xludf.DUMMYFUNCTION("""COMPUTED_VALUE"""),598.7)</f>
        <v>598.7</v>
      </c>
      <c r="F96" s="6">
        <f>IFERROR(__xludf.DUMMYFUNCTION("""COMPUTED_VALUE"""),2853116.0)</f>
        <v>2853116</v>
      </c>
    </row>
    <row r="97">
      <c r="A97" s="7">
        <f>IFERROR(__xludf.DUMMYFUNCTION("""COMPUTED_VALUE"""),45870.64583333333)</f>
        <v>45870.64583</v>
      </c>
      <c r="B97" s="6">
        <f>IFERROR(__xludf.DUMMYFUNCTION("""COMPUTED_VALUE"""),595.0)</f>
        <v>595</v>
      </c>
      <c r="C97" s="6">
        <f>IFERROR(__xludf.DUMMYFUNCTION("""COMPUTED_VALUE"""),601.8)</f>
        <v>601.8</v>
      </c>
      <c r="D97" s="6">
        <f>IFERROR(__xludf.DUMMYFUNCTION("""COMPUTED_VALUE"""),570.6)</f>
        <v>570.6</v>
      </c>
      <c r="E97" s="6">
        <f>IFERROR(__xludf.DUMMYFUNCTION("""COMPUTED_VALUE"""),573.6)</f>
        <v>573.6</v>
      </c>
      <c r="F97" s="6">
        <f>IFERROR(__xludf.DUMMYFUNCTION("""COMPUTED_VALUE"""),4412767.0)</f>
        <v>4412767</v>
      </c>
    </row>
    <row r="98">
      <c r="A98" s="7">
        <f>IFERROR(__xludf.DUMMYFUNCTION("""COMPUTED_VALUE"""),45877.64583333333)</f>
        <v>45877.64583</v>
      </c>
      <c r="B98" s="6">
        <f>IFERROR(__xludf.DUMMYFUNCTION("""COMPUTED_VALUE"""),573.6)</f>
        <v>573.6</v>
      </c>
      <c r="C98" s="6">
        <f>IFERROR(__xludf.DUMMYFUNCTION("""COMPUTED_VALUE"""),583.25)</f>
        <v>583.25</v>
      </c>
      <c r="D98" s="6">
        <f>IFERROR(__xludf.DUMMYFUNCTION("""COMPUTED_VALUE"""),529.2)</f>
        <v>529.2</v>
      </c>
      <c r="E98" s="6">
        <f>IFERROR(__xludf.DUMMYFUNCTION("""COMPUTED_VALUE"""),556.65)</f>
        <v>556.65</v>
      </c>
      <c r="F98" s="6">
        <f>IFERROR(__xludf.DUMMYFUNCTION("""COMPUTED_VALUE"""),1.1711836E7)</f>
        <v>11711836</v>
      </c>
    </row>
    <row r="99">
      <c r="A99" s="7">
        <f>IFERROR(__xludf.DUMMYFUNCTION("""COMPUTED_VALUE"""),45883.64583333333)</f>
        <v>45883.64583</v>
      </c>
      <c r="B99" s="6">
        <f>IFERROR(__xludf.DUMMYFUNCTION("""COMPUTED_VALUE"""),556.55)</f>
        <v>556.55</v>
      </c>
      <c r="C99" s="6">
        <f>IFERROR(__xludf.DUMMYFUNCTION("""COMPUTED_VALUE"""),556.55)</f>
        <v>556.55</v>
      </c>
      <c r="D99" s="6">
        <f>IFERROR(__xludf.DUMMYFUNCTION("""COMPUTED_VALUE"""),531.1)</f>
        <v>531.1</v>
      </c>
      <c r="E99" s="6">
        <f>IFERROR(__xludf.DUMMYFUNCTION("""COMPUTED_VALUE"""),531.8)</f>
        <v>531.8</v>
      </c>
      <c r="F99" s="6">
        <f>IFERROR(__xludf.DUMMYFUNCTION("""COMPUTED_VALUE"""),5193782.0)</f>
        <v>5193782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IFERROR(__xludf.DUMMYFUNCTION("""COMPUTED_VALUE"""),535.15)</f>
        <v>535.15</v>
      </c>
      <c r="C100" s="6">
        <f>IFERROR(__xludf.DUMMYFUNCTION("""COMPUTED_VALUE"""),560.85)</f>
        <v>560.85</v>
      </c>
      <c r="D100" s="6">
        <f>IFERROR(__xludf.DUMMYFUNCTION("""COMPUTED_VALUE"""),534.1)</f>
        <v>534.1</v>
      </c>
      <c r="E100" s="6">
        <f>IFERROR(__xludf.DUMMYFUNCTION("""COMPUTED_VALUE"""),547.9)</f>
        <v>547.9</v>
      </c>
      <c r="F100" s="6">
        <f>IFERROR(__xludf.DUMMYFUNCTION("""COMPUTED_VALUE"""),3384081.0)</f>
        <v>3384081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IFERROR(__xludf.DUMMYFUNCTION("""COMPUTED_VALUE"""),547.95)</f>
        <v>547.95</v>
      </c>
      <c r="C101" s="6">
        <f>IFERROR(__xludf.DUMMYFUNCTION("""COMPUTED_VALUE"""),550.55)</f>
        <v>550.55</v>
      </c>
      <c r="D101" s="6">
        <f>IFERROR(__xludf.DUMMYFUNCTION("""COMPUTED_VALUE"""),527.5)</f>
        <v>527.5</v>
      </c>
      <c r="E101" s="6">
        <f>IFERROR(__xludf.DUMMYFUNCTION("""COMPUTED_VALUE"""),528.45)</f>
        <v>528.45</v>
      </c>
      <c r="F101" s="6">
        <f>IFERROR(__xludf.DUMMYFUNCTION("""COMPUTED_VALUE"""),1.4155569E7)</f>
        <v>14155569</v>
      </c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IFERROR(__xludf.DUMMYFUNCTION("GOOGLEFINANCE(""NSE:CUMMINSIND"",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IFERROR(__xludf.DUMMYFUNCTION("""COMPUTED_VALUE"""),1714.95)</f>
        <v>1714.95</v>
      </c>
      <c r="C2" s="6">
        <f>IFERROR(__xludf.DUMMYFUNCTION("""COMPUTED_VALUE"""),1749.35)</f>
        <v>1749.35</v>
      </c>
      <c r="D2" s="6">
        <f>IFERROR(__xludf.DUMMYFUNCTION("""COMPUTED_VALUE"""),1671.9)</f>
        <v>1671.9</v>
      </c>
      <c r="E2" s="6">
        <f>IFERROR(__xludf.DUMMYFUNCTION("""COMPUTED_VALUE"""),1706.0)</f>
        <v>1706</v>
      </c>
      <c r="F2" s="6">
        <f>IFERROR(__xludf.DUMMYFUNCTION("""COMPUTED_VALUE"""),2.3496325E7)</f>
        <v>23496325</v>
      </c>
    </row>
    <row r="3">
      <c r="A3" s="7">
        <f>IFERROR(__xludf.DUMMYFUNCTION("""COMPUTED_VALUE"""),45177.64583333333)</f>
        <v>45177.64583</v>
      </c>
      <c r="B3" s="6">
        <f>IFERROR(__xludf.DUMMYFUNCTION("""COMPUTED_VALUE"""),1710.0)</f>
        <v>1710</v>
      </c>
      <c r="C3" s="6">
        <f>IFERROR(__xludf.DUMMYFUNCTION("""COMPUTED_VALUE"""),1765.0)</f>
        <v>1765</v>
      </c>
      <c r="D3" s="6">
        <f>IFERROR(__xludf.DUMMYFUNCTION("""COMPUTED_VALUE"""),1701.55)</f>
        <v>1701.55</v>
      </c>
      <c r="E3" s="6">
        <f>IFERROR(__xludf.DUMMYFUNCTION("""COMPUTED_VALUE"""),1755.35)</f>
        <v>1755.35</v>
      </c>
      <c r="F3" s="6">
        <f>IFERROR(__xludf.DUMMYFUNCTION("""COMPUTED_VALUE"""),3697501.0)</f>
        <v>3697501</v>
      </c>
    </row>
    <row r="4">
      <c r="A4" s="7">
        <f>IFERROR(__xludf.DUMMYFUNCTION("""COMPUTED_VALUE"""),45184.64583333333)</f>
        <v>45184.64583</v>
      </c>
      <c r="B4" s="6">
        <f>IFERROR(__xludf.DUMMYFUNCTION("""COMPUTED_VALUE"""),1770.0)</f>
        <v>1770</v>
      </c>
      <c r="C4" s="6">
        <f>IFERROR(__xludf.DUMMYFUNCTION("""COMPUTED_VALUE"""),1786.5)</f>
        <v>1786.5</v>
      </c>
      <c r="D4" s="6">
        <f>IFERROR(__xludf.DUMMYFUNCTION("""COMPUTED_VALUE"""),1689.1)</f>
        <v>1689.1</v>
      </c>
      <c r="E4" s="6">
        <f>IFERROR(__xludf.DUMMYFUNCTION("""COMPUTED_VALUE"""),1747.35)</f>
        <v>1747.35</v>
      </c>
      <c r="F4" s="6">
        <f>IFERROR(__xludf.DUMMYFUNCTION("""COMPUTED_VALUE"""),3549141.0)</f>
        <v>3549141</v>
      </c>
    </row>
    <row r="5">
      <c r="A5" s="7">
        <f>IFERROR(__xludf.DUMMYFUNCTION("""COMPUTED_VALUE"""),45191.64583333333)</f>
        <v>45191.64583</v>
      </c>
      <c r="B5" s="6">
        <f>IFERROR(__xludf.DUMMYFUNCTION("""COMPUTED_VALUE"""),1753.0)</f>
        <v>1753</v>
      </c>
      <c r="C5" s="6">
        <f>IFERROR(__xludf.DUMMYFUNCTION("""COMPUTED_VALUE"""),1758.95)</f>
        <v>1758.95</v>
      </c>
      <c r="D5" s="6">
        <f>IFERROR(__xludf.DUMMYFUNCTION("""COMPUTED_VALUE"""),1707.9)</f>
        <v>1707.9</v>
      </c>
      <c r="E5" s="6">
        <f>IFERROR(__xludf.DUMMYFUNCTION("""COMPUTED_VALUE"""),1725.35)</f>
        <v>1725.35</v>
      </c>
      <c r="F5" s="6">
        <f>IFERROR(__xludf.DUMMYFUNCTION("""COMPUTED_VALUE"""),2235297.0)</f>
        <v>2235297</v>
      </c>
    </row>
    <row r="6">
      <c r="A6" s="7">
        <f>IFERROR(__xludf.DUMMYFUNCTION("""COMPUTED_VALUE"""),45198.64583333333)</f>
        <v>45198.64583</v>
      </c>
      <c r="B6" s="6">
        <f>IFERROR(__xludf.DUMMYFUNCTION("""COMPUTED_VALUE"""),1729.9)</f>
        <v>1729.9</v>
      </c>
      <c r="C6" s="6">
        <f>IFERROR(__xludf.DUMMYFUNCTION("""COMPUTED_VALUE"""),1744.05)</f>
        <v>1744.05</v>
      </c>
      <c r="D6" s="6">
        <f>IFERROR(__xludf.DUMMYFUNCTION("""COMPUTED_VALUE"""),1653.3)</f>
        <v>1653.3</v>
      </c>
      <c r="E6" s="6">
        <f>IFERROR(__xludf.DUMMYFUNCTION("""COMPUTED_VALUE"""),1696.3)</f>
        <v>1696.3</v>
      </c>
      <c r="F6" s="6">
        <f>IFERROR(__xludf.DUMMYFUNCTION("""COMPUTED_VALUE"""),3969684.0)</f>
        <v>3969684</v>
      </c>
    </row>
    <row r="7">
      <c r="A7" s="7">
        <f>IFERROR(__xludf.DUMMYFUNCTION("""COMPUTED_VALUE"""),45205.64583333333)</f>
        <v>45205.64583</v>
      </c>
      <c r="B7" s="6">
        <f>IFERROR(__xludf.DUMMYFUNCTION("""COMPUTED_VALUE"""),1696.3)</f>
        <v>1696.3</v>
      </c>
      <c r="C7" s="6">
        <f>IFERROR(__xludf.DUMMYFUNCTION("""COMPUTED_VALUE"""),1710.0)</f>
        <v>1710</v>
      </c>
      <c r="D7" s="6">
        <f>IFERROR(__xludf.DUMMYFUNCTION("""COMPUTED_VALUE"""),1669.1)</f>
        <v>1669.1</v>
      </c>
      <c r="E7" s="6">
        <f>IFERROR(__xludf.DUMMYFUNCTION("""COMPUTED_VALUE"""),1704.45)</f>
        <v>1704.45</v>
      </c>
      <c r="F7" s="6">
        <f>IFERROR(__xludf.DUMMYFUNCTION("""COMPUTED_VALUE"""),1909622.0)</f>
        <v>1909622</v>
      </c>
    </row>
    <row r="8">
      <c r="A8" s="7">
        <f>IFERROR(__xludf.DUMMYFUNCTION("""COMPUTED_VALUE"""),45212.64583333333)</f>
        <v>45212.64583</v>
      </c>
      <c r="B8" s="6">
        <f>IFERROR(__xludf.DUMMYFUNCTION("""COMPUTED_VALUE"""),1704.0)</f>
        <v>1704</v>
      </c>
      <c r="C8" s="6">
        <f>IFERROR(__xludf.DUMMYFUNCTION("""COMPUTED_VALUE"""),1758.9)</f>
        <v>1758.9</v>
      </c>
      <c r="D8" s="6">
        <f>IFERROR(__xludf.DUMMYFUNCTION("""COMPUTED_VALUE"""),1682.8)</f>
        <v>1682.8</v>
      </c>
      <c r="E8" s="6">
        <f>IFERROR(__xludf.DUMMYFUNCTION("""COMPUTED_VALUE"""),1715.15)</f>
        <v>1715.15</v>
      </c>
      <c r="F8" s="6">
        <f>IFERROR(__xludf.DUMMYFUNCTION("""COMPUTED_VALUE"""),2318314.0)</f>
        <v>2318314</v>
      </c>
    </row>
    <row r="9">
      <c r="A9" s="7">
        <f>IFERROR(__xludf.DUMMYFUNCTION("""COMPUTED_VALUE"""),45219.64583333333)</f>
        <v>45219.64583</v>
      </c>
      <c r="B9" s="6">
        <f>IFERROR(__xludf.DUMMYFUNCTION("""COMPUTED_VALUE"""),1724.9)</f>
        <v>1724.9</v>
      </c>
      <c r="C9" s="6">
        <f>IFERROR(__xludf.DUMMYFUNCTION("""COMPUTED_VALUE"""),1732.9)</f>
        <v>1732.9</v>
      </c>
      <c r="D9" s="6">
        <f>IFERROR(__xludf.DUMMYFUNCTION("""COMPUTED_VALUE"""),1682.5)</f>
        <v>1682.5</v>
      </c>
      <c r="E9" s="6">
        <f>IFERROR(__xludf.DUMMYFUNCTION("""COMPUTED_VALUE"""),1692.6)</f>
        <v>1692.6</v>
      </c>
      <c r="F9" s="6">
        <f>IFERROR(__xludf.DUMMYFUNCTION("""COMPUTED_VALUE"""),1963950.0)</f>
        <v>1963950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IFERROR(__xludf.DUMMYFUNCTION("""COMPUTED_VALUE"""),1686.35)</f>
        <v>1686.35</v>
      </c>
      <c r="C10" s="6">
        <f>IFERROR(__xludf.DUMMYFUNCTION("""COMPUTED_VALUE"""),1722.25)</f>
        <v>1722.25</v>
      </c>
      <c r="D10" s="6">
        <f>IFERROR(__xludf.DUMMYFUNCTION("""COMPUTED_VALUE"""),1664.05)</f>
        <v>1664.05</v>
      </c>
      <c r="E10" s="6">
        <f>IFERROR(__xludf.DUMMYFUNCTION("""COMPUTED_VALUE"""),1689.1)</f>
        <v>1689.1</v>
      </c>
      <c r="F10" s="6">
        <f>IFERROR(__xludf.DUMMYFUNCTION("""COMPUTED_VALUE"""),2143242.0)</f>
        <v>2143242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IFERROR(__xludf.DUMMYFUNCTION("""COMPUTED_VALUE"""),1693.95)</f>
        <v>1693.95</v>
      </c>
      <c r="C11" s="6">
        <f>IFERROR(__xludf.DUMMYFUNCTION("""COMPUTED_VALUE"""),1720.0)</f>
        <v>1720</v>
      </c>
      <c r="D11" s="6">
        <f>IFERROR(__xludf.DUMMYFUNCTION("""COMPUTED_VALUE"""),1659.05)</f>
        <v>1659.05</v>
      </c>
      <c r="E11" s="6">
        <f>IFERROR(__xludf.DUMMYFUNCTION("""COMPUTED_VALUE"""),1712.05)</f>
        <v>1712.05</v>
      </c>
      <c r="F11" s="6">
        <f>IFERROR(__xludf.DUMMYFUNCTION("""COMPUTED_VALUE"""),1829024.0)</f>
        <v>1829024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IFERROR(__xludf.DUMMYFUNCTION("""COMPUTED_VALUE"""),1714.95)</f>
        <v>1714.95</v>
      </c>
      <c r="C12" s="6">
        <f>IFERROR(__xludf.DUMMYFUNCTION("""COMPUTED_VALUE"""),1798.9)</f>
        <v>1798.9</v>
      </c>
      <c r="D12" s="6">
        <f>IFERROR(__xludf.DUMMYFUNCTION("""COMPUTED_VALUE"""),1692.0)</f>
        <v>1692</v>
      </c>
      <c r="E12" s="6">
        <f>IFERROR(__xludf.DUMMYFUNCTION("""COMPUTED_VALUE"""),1768.45)</f>
        <v>1768.45</v>
      </c>
      <c r="F12" s="6">
        <f>IFERROR(__xludf.DUMMYFUNCTION("""COMPUTED_VALUE"""),4006734.0)</f>
        <v>4006734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IFERROR(__xludf.DUMMYFUNCTION("""COMPUTED_VALUE"""),1768.45)</f>
        <v>1768.45</v>
      </c>
      <c r="C13" s="6">
        <f>IFERROR(__xludf.DUMMYFUNCTION("""COMPUTED_VALUE"""),1861.3)</f>
        <v>1861.3</v>
      </c>
      <c r="D13" s="6">
        <f>IFERROR(__xludf.DUMMYFUNCTION("""COMPUTED_VALUE"""),1748.5)</f>
        <v>1748.5</v>
      </c>
      <c r="E13" s="6">
        <f>IFERROR(__xludf.DUMMYFUNCTION("""COMPUTED_VALUE"""),1829.65)</f>
        <v>1829.65</v>
      </c>
      <c r="F13" s="6">
        <f>IFERROR(__xludf.DUMMYFUNCTION("""COMPUTED_VALUE"""),2230257.0)</f>
        <v>2230257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IFERROR(__xludf.DUMMYFUNCTION("""COMPUTED_VALUE"""),1829.65)</f>
        <v>1829.65</v>
      </c>
      <c r="C14" s="6">
        <f>IFERROR(__xludf.DUMMYFUNCTION("""COMPUTED_VALUE"""),1891.25)</f>
        <v>1891.25</v>
      </c>
      <c r="D14" s="6">
        <f>IFERROR(__xludf.DUMMYFUNCTION("""COMPUTED_VALUE"""),1816.85)</f>
        <v>1816.85</v>
      </c>
      <c r="E14" s="6">
        <f>IFERROR(__xludf.DUMMYFUNCTION("""COMPUTED_VALUE"""),1871.75)</f>
        <v>1871.75</v>
      </c>
      <c r="F14" s="6">
        <f>IFERROR(__xludf.DUMMYFUNCTION("""COMPUTED_VALUE"""),1743774.0)</f>
        <v>1743774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IFERROR(__xludf.DUMMYFUNCTION("""COMPUTED_VALUE"""),1878.0)</f>
        <v>1878</v>
      </c>
      <c r="C15" s="6">
        <f>IFERROR(__xludf.DUMMYFUNCTION("""COMPUTED_VALUE"""),1929.0)</f>
        <v>1929</v>
      </c>
      <c r="D15" s="6">
        <f>IFERROR(__xludf.DUMMYFUNCTION("""COMPUTED_VALUE"""),1852.85)</f>
        <v>1852.85</v>
      </c>
      <c r="E15" s="6">
        <f>IFERROR(__xludf.DUMMYFUNCTION("""COMPUTED_VALUE"""),1920.2)</f>
        <v>1920.2</v>
      </c>
      <c r="F15" s="6">
        <f>IFERROR(__xludf.DUMMYFUNCTION("""COMPUTED_VALUE"""),2435323.0)</f>
        <v>2435323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IFERROR(__xludf.DUMMYFUNCTION("""COMPUTED_VALUE"""),1934.95)</f>
        <v>1934.95</v>
      </c>
      <c r="C16" s="6">
        <f>IFERROR(__xludf.DUMMYFUNCTION("""COMPUTED_VALUE"""),1987.75)</f>
        <v>1987.75</v>
      </c>
      <c r="D16" s="6">
        <f>IFERROR(__xludf.DUMMYFUNCTION("""COMPUTED_VALUE"""),1921.5)</f>
        <v>1921.5</v>
      </c>
      <c r="E16" s="6">
        <f>IFERROR(__xludf.DUMMYFUNCTION("""COMPUTED_VALUE"""),1949.35)</f>
        <v>1949.35</v>
      </c>
      <c r="F16" s="6">
        <f>IFERROR(__xludf.DUMMYFUNCTION("""COMPUTED_VALUE"""),1863728.0)</f>
        <v>1863728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IFERROR(__xludf.DUMMYFUNCTION("""COMPUTED_VALUE"""),1952.0)</f>
        <v>1952</v>
      </c>
      <c r="C17" s="6">
        <f>IFERROR(__xludf.DUMMYFUNCTION("""COMPUTED_VALUE"""),2019.4)</f>
        <v>2019.4</v>
      </c>
      <c r="D17" s="6">
        <f>IFERROR(__xludf.DUMMYFUNCTION("""COMPUTED_VALUE"""),1835.55)</f>
        <v>1835.55</v>
      </c>
      <c r="E17" s="6">
        <f>IFERROR(__xludf.DUMMYFUNCTION("""COMPUTED_VALUE"""),1926.5)</f>
        <v>1926.5</v>
      </c>
      <c r="F17" s="6">
        <f>IFERROR(__xludf.DUMMYFUNCTION("""COMPUTED_VALUE"""),3544933.0)</f>
        <v>3544933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IFERROR(__xludf.DUMMYFUNCTION("""COMPUTED_VALUE"""),1944.7)</f>
        <v>1944.7</v>
      </c>
      <c r="C18" s="6">
        <f>IFERROR(__xludf.DUMMYFUNCTION("""COMPUTED_VALUE"""),2025.0)</f>
        <v>2025</v>
      </c>
      <c r="D18" s="6">
        <f>IFERROR(__xludf.DUMMYFUNCTION("""COMPUTED_VALUE"""),1888.3)</f>
        <v>1888.3</v>
      </c>
      <c r="E18" s="6">
        <f>IFERROR(__xludf.DUMMYFUNCTION("""COMPUTED_VALUE"""),2013.15)</f>
        <v>2013.15</v>
      </c>
      <c r="F18" s="6">
        <f>IFERROR(__xludf.DUMMYFUNCTION("""COMPUTED_VALUE"""),3055590.0)</f>
        <v>3055590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IFERROR(__xludf.DUMMYFUNCTION("""COMPUTED_VALUE"""),2013.15)</f>
        <v>2013.15</v>
      </c>
      <c r="C19" s="6">
        <f>IFERROR(__xludf.DUMMYFUNCTION("""COMPUTED_VALUE"""),2044.9)</f>
        <v>2044.9</v>
      </c>
      <c r="D19" s="6">
        <f>IFERROR(__xludf.DUMMYFUNCTION("""COMPUTED_VALUE"""),1933.5)</f>
        <v>1933.5</v>
      </c>
      <c r="E19" s="6">
        <f>IFERROR(__xludf.DUMMYFUNCTION("""COMPUTED_VALUE"""),1963.95)</f>
        <v>1963.95</v>
      </c>
      <c r="F19" s="6">
        <f>IFERROR(__xludf.DUMMYFUNCTION("""COMPUTED_VALUE"""),2471589.0)</f>
        <v>2471589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IFERROR(__xludf.DUMMYFUNCTION("""COMPUTED_VALUE"""),1965.0)</f>
        <v>1965</v>
      </c>
      <c r="C20" s="6">
        <f>IFERROR(__xludf.DUMMYFUNCTION("""COMPUTED_VALUE"""),2018.0)</f>
        <v>2018</v>
      </c>
      <c r="D20" s="6">
        <f>IFERROR(__xludf.DUMMYFUNCTION("""COMPUTED_VALUE"""),1927.0)</f>
        <v>1927</v>
      </c>
      <c r="E20" s="6">
        <f>IFERROR(__xludf.DUMMYFUNCTION("""COMPUTED_VALUE"""),1998.4)</f>
        <v>1998.4</v>
      </c>
      <c r="F20" s="6">
        <f>IFERROR(__xludf.DUMMYFUNCTION("""COMPUTED_VALUE"""),1257943.0)</f>
        <v>1257943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IFERROR(__xludf.DUMMYFUNCTION("""COMPUTED_VALUE"""),2002.75)</f>
        <v>2002.75</v>
      </c>
      <c r="C21" s="6">
        <f>IFERROR(__xludf.DUMMYFUNCTION("""COMPUTED_VALUE"""),2066.85)</f>
        <v>2066.85</v>
      </c>
      <c r="D21" s="6">
        <f>IFERROR(__xludf.DUMMYFUNCTION("""COMPUTED_VALUE"""),1969.35)</f>
        <v>1969.35</v>
      </c>
      <c r="E21" s="6">
        <f>IFERROR(__xludf.DUMMYFUNCTION("""COMPUTED_VALUE"""),2047.45)</f>
        <v>2047.45</v>
      </c>
      <c r="F21" s="6">
        <f>IFERROR(__xludf.DUMMYFUNCTION("""COMPUTED_VALUE"""),2540348.0)</f>
        <v>2540348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IFERROR(__xludf.DUMMYFUNCTION("""COMPUTED_VALUE"""),2089.8)</f>
        <v>2089.8</v>
      </c>
      <c r="C22" s="6">
        <f>IFERROR(__xludf.DUMMYFUNCTION("""COMPUTED_VALUE"""),2191.0)</f>
        <v>2191</v>
      </c>
      <c r="D22" s="6">
        <f>IFERROR(__xludf.DUMMYFUNCTION("""COMPUTED_VALUE"""),2042.05)</f>
        <v>2042.05</v>
      </c>
      <c r="E22" s="6">
        <f>IFERROR(__xludf.DUMMYFUNCTION("""COMPUTED_VALUE"""),2161.9)</f>
        <v>2161.9</v>
      </c>
      <c r="F22" s="6">
        <f>IFERROR(__xludf.DUMMYFUNCTION("""COMPUTED_VALUE"""),1984100.0)</f>
        <v>1984100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IFERROR(__xludf.DUMMYFUNCTION("""COMPUTED_VALUE"""),2168.0)</f>
        <v>2168</v>
      </c>
      <c r="C23" s="6">
        <f>IFERROR(__xludf.DUMMYFUNCTION("""COMPUTED_VALUE"""),2324.35)</f>
        <v>2324.35</v>
      </c>
      <c r="D23" s="6">
        <f>IFERROR(__xludf.DUMMYFUNCTION("""COMPUTED_VALUE"""),2164.05)</f>
        <v>2164.05</v>
      </c>
      <c r="E23" s="6">
        <f>IFERROR(__xludf.DUMMYFUNCTION("""COMPUTED_VALUE"""),2309.7)</f>
        <v>2309.7</v>
      </c>
      <c r="F23" s="6">
        <f>IFERROR(__xludf.DUMMYFUNCTION("""COMPUTED_VALUE"""),3416175.0)</f>
        <v>3416175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IFERROR(__xludf.DUMMYFUNCTION("""COMPUTED_VALUE"""),2311.0)</f>
        <v>2311</v>
      </c>
      <c r="C24" s="6">
        <f>IFERROR(__xludf.DUMMYFUNCTION("""COMPUTED_VALUE"""),2648.8)</f>
        <v>2648.8</v>
      </c>
      <c r="D24" s="6">
        <f>IFERROR(__xludf.DUMMYFUNCTION("""COMPUTED_VALUE"""),2291.05)</f>
        <v>2291.05</v>
      </c>
      <c r="E24" s="6">
        <f>IFERROR(__xludf.DUMMYFUNCTION("""COMPUTED_VALUE"""),2602.95)</f>
        <v>2602.95</v>
      </c>
      <c r="F24" s="6">
        <f>IFERROR(__xludf.DUMMYFUNCTION("""COMPUTED_VALUE"""),8709797.0)</f>
        <v>8709797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IFERROR(__xludf.DUMMYFUNCTION("""COMPUTED_VALUE"""),2623.0)</f>
        <v>2623</v>
      </c>
      <c r="C25" s="6">
        <f>IFERROR(__xludf.DUMMYFUNCTION("""COMPUTED_VALUE"""),2646.75)</f>
        <v>2646.75</v>
      </c>
      <c r="D25" s="6">
        <f>IFERROR(__xludf.DUMMYFUNCTION("""COMPUTED_VALUE"""),2506.15)</f>
        <v>2506.15</v>
      </c>
      <c r="E25" s="6">
        <f>IFERROR(__xludf.DUMMYFUNCTION("""COMPUTED_VALUE"""),2618.2)</f>
        <v>2618.2</v>
      </c>
      <c r="F25" s="6">
        <f>IFERROR(__xludf.DUMMYFUNCTION("""COMPUTED_VALUE"""),2827217.0)</f>
        <v>2827217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IFERROR(__xludf.DUMMYFUNCTION("""COMPUTED_VALUE"""),2630.0)</f>
        <v>2630</v>
      </c>
      <c r="C26" s="6">
        <f>IFERROR(__xludf.DUMMYFUNCTION("""COMPUTED_VALUE"""),2828.0)</f>
        <v>2828</v>
      </c>
      <c r="D26" s="6">
        <f>IFERROR(__xludf.DUMMYFUNCTION("""COMPUTED_VALUE"""),2591.2)</f>
        <v>2591.2</v>
      </c>
      <c r="E26" s="6">
        <f>IFERROR(__xludf.DUMMYFUNCTION("""COMPUTED_VALUE"""),2810.95)</f>
        <v>2810.95</v>
      </c>
      <c r="F26" s="6">
        <f>IFERROR(__xludf.DUMMYFUNCTION("""COMPUTED_VALUE"""),3189410.0)</f>
        <v>3189410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IFERROR(__xludf.DUMMYFUNCTION("""COMPUTED_VALUE"""),2736.65)</f>
        <v>2736.65</v>
      </c>
      <c r="C27" s="6">
        <f>IFERROR(__xludf.DUMMYFUNCTION("""COMPUTED_VALUE"""),2827.0)</f>
        <v>2827</v>
      </c>
      <c r="D27" s="6">
        <f>IFERROR(__xludf.DUMMYFUNCTION("""COMPUTED_VALUE"""),2703.0)</f>
        <v>2703</v>
      </c>
      <c r="E27" s="6">
        <f>IFERROR(__xludf.DUMMYFUNCTION("""COMPUTED_VALUE"""),2787.0)</f>
        <v>2787</v>
      </c>
      <c r="F27" s="6">
        <f>IFERROR(__xludf.DUMMYFUNCTION("""COMPUTED_VALUE"""),1982469.0)</f>
        <v>1982469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IFERROR(__xludf.DUMMYFUNCTION("""COMPUTED_VALUE"""),2823.85)</f>
        <v>2823.85</v>
      </c>
      <c r="C28" s="6">
        <f>IFERROR(__xludf.DUMMYFUNCTION("""COMPUTED_VALUE"""),2891.95)</f>
        <v>2891.95</v>
      </c>
      <c r="D28" s="6">
        <f>IFERROR(__xludf.DUMMYFUNCTION("""COMPUTED_VALUE"""),2652.0)</f>
        <v>2652</v>
      </c>
      <c r="E28" s="6">
        <f>IFERROR(__xludf.DUMMYFUNCTION("""COMPUTED_VALUE"""),2707.65)</f>
        <v>2707.65</v>
      </c>
      <c r="F28" s="6">
        <f>IFERROR(__xludf.DUMMYFUNCTION("""COMPUTED_VALUE"""),3317553.0)</f>
        <v>3317553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IFERROR(__xludf.DUMMYFUNCTION("""COMPUTED_VALUE"""),2705.8)</f>
        <v>2705.8</v>
      </c>
      <c r="C29" s="6">
        <f>IFERROR(__xludf.DUMMYFUNCTION("""COMPUTED_VALUE"""),2948.0)</f>
        <v>2948</v>
      </c>
      <c r="D29" s="6">
        <f>IFERROR(__xludf.DUMMYFUNCTION("""COMPUTED_VALUE"""),2664.75)</f>
        <v>2664.75</v>
      </c>
      <c r="E29" s="6">
        <f>IFERROR(__xludf.DUMMYFUNCTION("""COMPUTED_VALUE"""),2930.8)</f>
        <v>2930.8</v>
      </c>
      <c r="F29" s="6">
        <f>IFERROR(__xludf.DUMMYFUNCTION("""COMPUTED_VALUE"""),3498075.0)</f>
        <v>3498075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IFERROR(__xludf.DUMMYFUNCTION("""COMPUTED_VALUE"""),2938.95)</f>
        <v>2938.95</v>
      </c>
      <c r="C30" s="6">
        <f>IFERROR(__xludf.DUMMYFUNCTION("""COMPUTED_VALUE"""),3025.0)</f>
        <v>3025</v>
      </c>
      <c r="D30" s="6">
        <f>IFERROR(__xludf.DUMMYFUNCTION("""COMPUTED_VALUE"""),2918.25)</f>
        <v>2918.25</v>
      </c>
      <c r="E30" s="6">
        <f>IFERROR(__xludf.DUMMYFUNCTION("""COMPUTED_VALUE"""),3006.25)</f>
        <v>3006.25</v>
      </c>
      <c r="F30" s="6">
        <f>IFERROR(__xludf.DUMMYFUNCTION("""COMPUTED_VALUE"""),1725005.0)</f>
        <v>1725005</v>
      </c>
    </row>
    <row r="31">
      <c r="A31" s="7">
        <f>IFERROR(__xludf.DUMMYFUNCTION("""COMPUTED_VALUE"""),45387.64583333333)</f>
        <v>45387.64583</v>
      </c>
      <c r="B31" s="6">
        <f>IFERROR(__xludf.DUMMYFUNCTION("""COMPUTED_VALUE"""),3025.0)</f>
        <v>3025</v>
      </c>
      <c r="C31" s="6">
        <f>IFERROR(__xludf.DUMMYFUNCTION("""COMPUTED_VALUE"""),3062.75)</f>
        <v>3062.75</v>
      </c>
      <c r="D31" s="6">
        <f>IFERROR(__xludf.DUMMYFUNCTION("""COMPUTED_VALUE"""),2971.85)</f>
        <v>2971.85</v>
      </c>
      <c r="E31" s="6">
        <f>IFERROR(__xludf.DUMMYFUNCTION("""COMPUTED_VALUE"""),3032.0)</f>
        <v>3032</v>
      </c>
      <c r="F31" s="6">
        <f>IFERROR(__xludf.DUMMYFUNCTION("""COMPUTED_VALUE"""),2357705.0)</f>
        <v>2357705</v>
      </c>
    </row>
    <row r="32">
      <c r="A32" s="7">
        <f>IFERROR(__xludf.DUMMYFUNCTION("""COMPUTED_VALUE"""),45394.64583333333)</f>
        <v>45394.64583</v>
      </c>
      <c r="B32" s="6">
        <f>IFERROR(__xludf.DUMMYFUNCTION("""COMPUTED_VALUE"""),3044.85)</f>
        <v>3044.85</v>
      </c>
      <c r="C32" s="6">
        <f>IFERROR(__xludf.DUMMYFUNCTION("""COMPUTED_VALUE"""),3099.0)</f>
        <v>3099</v>
      </c>
      <c r="D32" s="6">
        <f>IFERROR(__xludf.DUMMYFUNCTION("""COMPUTED_VALUE"""),2922.55)</f>
        <v>2922.55</v>
      </c>
      <c r="E32" s="6">
        <f>IFERROR(__xludf.DUMMYFUNCTION("""COMPUTED_VALUE"""),3060.2)</f>
        <v>3060.2</v>
      </c>
      <c r="F32" s="6">
        <f>IFERROR(__xludf.DUMMYFUNCTION("""COMPUTED_VALUE"""),2695368.0)</f>
        <v>2695368</v>
      </c>
    </row>
    <row r="33">
      <c r="A33" s="7">
        <f>IFERROR(__xludf.DUMMYFUNCTION("""COMPUTED_VALUE"""),45401.64583333333)</f>
        <v>45401.64583</v>
      </c>
      <c r="B33" s="6">
        <f>IFERROR(__xludf.DUMMYFUNCTION("""COMPUTED_VALUE"""),3040.0)</f>
        <v>3040</v>
      </c>
      <c r="C33" s="6">
        <f>IFERROR(__xludf.DUMMYFUNCTION("""COMPUTED_VALUE"""),3161.15)</f>
        <v>3161.15</v>
      </c>
      <c r="D33" s="6">
        <f>IFERROR(__xludf.DUMMYFUNCTION("""COMPUTED_VALUE"""),3013.5)</f>
        <v>3013.5</v>
      </c>
      <c r="E33" s="6">
        <f>IFERROR(__xludf.DUMMYFUNCTION("""COMPUTED_VALUE"""),3038.25)</f>
        <v>3038.25</v>
      </c>
      <c r="F33" s="6">
        <f>IFERROR(__xludf.DUMMYFUNCTION("""COMPUTED_VALUE"""),2052331.0)</f>
        <v>2052331</v>
      </c>
    </row>
    <row r="34">
      <c r="A34" s="7">
        <f>IFERROR(__xludf.DUMMYFUNCTION("""COMPUTED_VALUE"""),45408.64583333333)</f>
        <v>45408.64583</v>
      </c>
      <c r="B34" s="6">
        <f>IFERROR(__xludf.DUMMYFUNCTION("""COMPUTED_VALUE"""),3040.3)</f>
        <v>3040.3</v>
      </c>
      <c r="C34" s="6">
        <f>IFERROR(__xludf.DUMMYFUNCTION("""COMPUTED_VALUE"""),3270.0)</f>
        <v>3270</v>
      </c>
      <c r="D34" s="6">
        <f>IFERROR(__xludf.DUMMYFUNCTION("""COMPUTED_VALUE"""),3039.0)</f>
        <v>3039</v>
      </c>
      <c r="E34" s="6">
        <f>IFERROR(__xludf.DUMMYFUNCTION("""COMPUTED_VALUE"""),3240.85)</f>
        <v>3240.85</v>
      </c>
      <c r="F34" s="6">
        <f>IFERROR(__xludf.DUMMYFUNCTION("""COMPUTED_VALUE"""),1923006.0)</f>
        <v>1923006</v>
      </c>
    </row>
    <row r="35">
      <c r="A35" s="7">
        <f>IFERROR(__xludf.DUMMYFUNCTION("""COMPUTED_VALUE"""),45415.64583333333)</f>
        <v>45415.64583</v>
      </c>
      <c r="B35" s="6">
        <f>IFERROR(__xludf.DUMMYFUNCTION("""COMPUTED_VALUE"""),3251.1)</f>
        <v>3251.1</v>
      </c>
      <c r="C35" s="6">
        <f>IFERROR(__xludf.DUMMYFUNCTION("""COMPUTED_VALUE"""),3478.4)</f>
        <v>3478.4</v>
      </c>
      <c r="D35" s="6">
        <f>IFERROR(__xludf.DUMMYFUNCTION("""COMPUTED_VALUE"""),3211.1)</f>
        <v>3211.1</v>
      </c>
      <c r="E35" s="6">
        <f>IFERROR(__xludf.DUMMYFUNCTION("""COMPUTED_VALUE"""),3406.85)</f>
        <v>3406.85</v>
      </c>
      <c r="F35" s="6">
        <f>IFERROR(__xludf.DUMMYFUNCTION("""COMPUTED_VALUE"""),3000410.0)</f>
        <v>3000410</v>
      </c>
    </row>
    <row r="36">
      <c r="A36" s="7">
        <f>IFERROR(__xludf.DUMMYFUNCTION("""COMPUTED_VALUE"""),45422.64583333333)</f>
        <v>45422.64583</v>
      </c>
      <c r="B36" s="6">
        <f>IFERROR(__xludf.DUMMYFUNCTION("""COMPUTED_VALUE"""),3432.15)</f>
        <v>3432.15</v>
      </c>
      <c r="C36" s="6">
        <f>IFERROR(__xludf.DUMMYFUNCTION("""COMPUTED_VALUE"""),3466.0)</f>
        <v>3466</v>
      </c>
      <c r="D36" s="6">
        <f>IFERROR(__xludf.DUMMYFUNCTION("""COMPUTED_VALUE"""),3322.5)</f>
        <v>3322.5</v>
      </c>
      <c r="E36" s="6">
        <f>IFERROR(__xludf.DUMMYFUNCTION("""COMPUTED_VALUE"""),3411.8)</f>
        <v>3411.8</v>
      </c>
      <c r="F36" s="6">
        <f>IFERROR(__xludf.DUMMYFUNCTION("""COMPUTED_VALUE"""),1784581.0)</f>
        <v>1784581</v>
      </c>
    </row>
    <row r="37">
      <c r="A37" s="7">
        <f>IFERROR(__xludf.DUMMYFUNCTION("""COMPUTED_VALUE"""),45436.64583333333)</f>
        <v>45436.64583</v>
      </c>
      <c r="B37" s="6">
        <f>IFERROR(__xludf.DUMMYFUNCTION("""COMPUTED_VALUE"""),3877.0)</f>
        <v>3877</v>
      </c>
      <c r="C37" s="6">
        <f>IFERROR(__xludf.DUMMYFUNCTION("""COMPUTED_VALUE"""),3889.0)</f>
        <v>3889</v>
      </c>
      <c r="D37" s="6">
        <f>IFERROR(__xludf.DUMMYFUNCTION("""COMPUTED_VALUE"""),3682.5)</f>
        <v>3682.5</v>
      </c>
      <c r="E37" s="6">
        <f>IFERROR(__xludf.DUMMYFUNCTION("""COMPUTED_VALUE"""),3713.85)</f>
        <v>3713.85</v>
      </c>
      <c r="F37" s="6">
        <f>IFERROR(__xludf.DUMMYFUNCTION("""COMPUTED_VALUE"""),1717580.0)</f>
        <v>1717580</v>
      </c>
    </row>
    <row r="38">
      <c r="A38" s="7">
        <f>IFERROR(__xludf.DUMMYFUNCTION("""COMPUTED_VALUE"""),45443.64583333333)</f>
        <v>45443.64583</v>
      </c>
      <c r="B38" s="6">
        <f>IFERROR(__xludf.DUMMYFUNCTION("""COMPUTED_VALUE"""),3732.5)</f>
        <v>3732.5</v>
      </c>
      <c r="C38" s="6">
        <f>IFERROR(__xludf.DUMMYFUNCTION("""COMPUTED_VALUE"""),3900.0)</f>
        <v>3900</v>
      </c>
      <c r="D38" s="6">
        <f>IFERROR(__xludf.DUMMYFUNCTION("""COMPUTED_VALUE"""),3460.25)</f>
        <v>3460.25</v>
      </c>
      <c r="E38" s="6">
        <f>IFERROR(__xludf.DUMMYFUNCTION("""COMPUTED_VALUE"""),3551.3)</f>
        <v>3551.3</v>
      </c>
      <c r="F38" s="6">
        <f>IFERROR(__xludf.DUMMYFUNCTION("""COMPUTED_VALUE"""),1.0337604E7)</f>
        <v>10337604</v>
      </c>
    </row>
    <row r="39">
      <c r="A39" s="7">
        <f>IFERROR(__xludf.DUMMYFUNCTION("""COMPUTED_VALUE"""),45450.64583333333)</f>
        <v>45450.64583</v>
      </c>
      <c r="B39" s="6">
        <f>IFERROR(__xludf.DUMMYFUNCTION("""COMPUTED_VALUE"""),3650.0)</f>
        <v>3650</v>
      </c>
      <c r="C39" s="6">
        <f>IFERROR(__xludf.DUMMYFUNCTION("""COMPUTED_VALUE"""),3724.95)</f>
        <v>3724.95</v>
      </c>
      <c r="D39" s="6">
        <f>IFERROR(__xludf.DUMMYFUNCTION("""COMPUTED_VALUE"""),3102.15)</f>
        <v>3102.15</v>
      </c>
      <c r="E39" s="6">
        <f>IFERROR(__xludf.DUMMYFUNCTION("""COMPUTED_VALUE"""),3606.55)</f>
        <v>3606.55</v>
      </c>
      <c r="F39" s="6">
        <f>IFERROR(__xludf.DUMMYFUNCTION("""COMPUTED_VALUE"""),5917125.0)</f>
        <v>5917125</v>
      </c>
    </row>
    <row r="40">
      <c r="A40" s="7">
        <f>IFERROR(__xludf.DUMMYFUNCTION("""COMPUTED_VALUE"""),45457.64583333333)</f>
        <v>45457.64583</v>
      </c>
      <c r="B40" s="6">
        <f>IFERROR(__xludf.DUMMYFUNCTION("""COMPUTED_VALUE"""),3624.7)</f>
        <v>3624.7</v>
      </c>
      <c r="C40" s="6">
        <f>IFERROR(__xludf.DUMMYFUNCTION("""COMPUTED_VALUE"""),3871.8)</f>
        <v>3871.8</v>
      </c>
      <c r="D40" s="6">
        <f>IFERROR(__xludf.DUMMYFUNCTION("""COMPUTED_VALUE"""),3503.5)</f>
        <v>3503.5</v>
      </c>
      <c r="E40" s="6">
        <f>IFERROR(__xludf.DUMMYFUNCTION("""COMPUTED_VALUE"""),3825.6)</f>
        <v>3825.6</v>
      </c>
      <c r="F40" s="6">
        <f>IFERROR(__xludf.DUMMYFUNCTION("""COMPUTED_VALUE"""),5101851.0)</f>
        <v>5101851</v>
      </c>
    </row>
    <row r="41">
      <c r="A41" s="7">
        <f>IFERROR(__xludf.DUMMYFUNCTION("""COMPUTED_VALUE"""),45464.64583333333)</f>
        <v>45464.64583</v>
      </c>
      <c r="B41" s="6">
        <f>IFERROR(__xludf.DUMMYFUNCTION("""COMPUTED_VALUE"""),3849.95)</f>
        <v>3849.95</v>
      </c>
      <c r="C41" s="6">
        <f>IFERROR(__xludf.DUMMYFUNCTION("""COMPUTED_VALUE"""),3969.8)</f>
        <v>3969.8</v>
      </c>
      <c r="D41" s="6">
        <f>IFERROR(__xludf.DUMMYFUNCTION("""COMPUTED_VALUE"""),3735.0)</f>
        <v>3735</v>
      </c>
      <c r="E41" s="6">
        <f>IFERROR(__xludf.DUMMYFUNCTION("""COMPUTED_VALUE"""),3899.95)</f>
        <v>3899.95</v>
      </c>
      <c r="F41" s="6">
        <f>IFERROR(__xludf.DUMMYFUNCTION("""COMPUTED_VALUE"""),3837360.0)</f>
        <v>3837360</v>
      </c>
    </row>
    <row r="42">
      <c r="A42" s="7">
        <f>IFERROR(__xludf.DUMMYFUNCTION("""COMPUTED_VALUE"""),45471.64583333333)</f>
        <v>45471.64583</v>
      </c>
      <c r="B42" s="6">
        <f>IFERROR(__xludf.DUMMYFUNCTION("""COMPUTED_VALUE"""),3858.05)</f>
        <v>3858.05</v>
      </c>
      <c r="C42" s="6">
        <f>IFERROR(__xludf.DUMMYFUNCTION("""COMPUTED_VALUE"""),4171.9)</f>
        <v>4171.9</v>
      </c>
      <c r="D42" s="6">
        <f>IFERROR(__xludf.DUMMYFUNCTION("""COMPUTED_VALUE"""),3815.3)</f>
        <v>3815.3</v>
      </c>
      <c r="E42" s="6">
        <f>IFERROR(__xludf.DUMMYFUNCTION("""COMPUTED_VALUE"""),3966.85)</f>
        <v>3966.85</v>
      </c>
      <c r="F42" s="6">
        <f>IFERROR(__xludf.DUMMYFUNCTION("""COMPUTED_VALUE"""),6504352.0)</f>
        <v>6504352</v>
      </c>
    </row>
    <row r="43">
      <c r="A43" s="7">
        <f>IFERROR(__xludf.DUMMYFUNCTION("""COMPUTED_VALUE"""),45478.64583333333)</f>
        <v>45478.64583</v>
      </c>
      <c r="B43" s="6">
        <f>IFERROR(__xludf.DUMMYFUNCTION("""COMPUTED_VALUE"""),3960.05)</f>
        <v>3960.05</v>
      </c>
      <c r="C43" s="6">
        <f>IFERROR(__xludf.DUMMYFUNCTION("""COMPUTED_VALUE"""),4149.9)</f>
        <v>4149.9</v>
      </c>
      <c r="D43" s="6">
        <f>IFERROR(__xludf.DUMMYFUNCTION("""COMPUTED_VALUE"""),3885.25)</f>
        <v>3885.25</v>
      </c>
      <c r="E43" s="6">
        <f>IFERROR(__xludf.DUMMYFUNCTION("""COMPUTED_VALUE"""),4134.0)</f>
        <v>4134</v>
      </c>
      <c r="F43" s="6">
        <f>IFERROR(__xludf.DUMMYFUNCTION("""COMPUTED_VALUE"""),3225575.0)</f>
        <v>3225575</v>
      </c>
    </row>
    <row r="44">
      <c r="A44" s="7">
        <f>IFERROR(__xludf.DUMMYFUNCTION("""COMPUTED_VALUE"""),45485.64583333333)</f>
        <v>45485.64583</v>
      </c>
      <c r="B44" s="6">
        <f>IFERROR(__xludf.DUMMYFUNCTION("""COMPUTED_VALUE"""),4144.0)</f>
        <v>4144</v>
      </c>
      <c r="C44" s="6">
        <f>IFERROR(__xludf.DUMMYFUNCTION("""COMPUTED_VALUE"""),4154.0)</f>
        <v>4154</v>
      </c>
      <c r="D44" s="6">
        <f>IFERROR(__xludf.DUMMYFUNCTION("""COMPUTED_VALUE"""),3925.8)</f>
        <v>3925.8</v>
      </c>
      <c r="E44" s="6">
        <f>IFERROR(__xludf.DUMMYFUNCTION("""COMPUTED_VALUE"""),3954.05)</f>
        <v>3954.05</v>
      </c>
      <c r="F44" s="6">
        <f>IFERROR(__xludf.DUMMYFUNCTION("""COMPUTED_VALUE"""),2651014.0)</f>
        <v>2651014</v>
      </c>
    </row>
    <row r="45">
      <c r="A45" s="7">
        <f>IFERROR(__xludf.DUMMYFUNCTION("""COMPUTED_VALUE"""),45492.64583333333)</f>
        <v>45492.64583</v>
      </c>
      <c r="B45" s="6">
        <f>IFERROR(__xludf.DUMMYFUNCTION("""COMPUTED_VALUE"""),3970.0)</f>
        <v>3970</v>
      </c>
      <c r="C45" s="6">
        <f>IFERROR(__xludf.DUMMYFUNCTION("""COMPUTED_VALUE"""),3985.0)</f>
        <v>3985</v>
      </c>
      <c r="D45" s="6">
        <f>IFERROR(__xludf.DUMMYFUNCTION("""COMPUTED_VALUE"""),3549.6)</f>
        <v>3549.6</v>
      </c>
      <c r="E45" s="6">
        <f>IFERROR(__xludf.DUMMYFUNCTION("""COMPUTED_VALUE"""),3559.45)</f>
        <v>3559.45</v>
      </c>
      <c r="F45" s="6">
        <f>IFERROR(__xludf.DUMMYFUNCTION("""COMPUTED_VALUE"""),3477633.0)</f>
        <v>3477633</v>
      </c>
    </row>
    <row r="46">
      <c r="A46" s="7">
        <f>IFERROR(__xludf.DUMMYFUNCTION("""COMPUTED_VALUE"""),45499.64583333333)</f>
        <v>45499.64583</v>
      </c>
      <c r="B46" s="6">
        <f>IFERROR(__xludf.DUMMYFUNCTION("""COMPUTED_VALUE"""),3545.0)</f>
        <v>3545</v>
      </c>
      <c r="C46" s="6">
        <f>IFERROR(__xludf.DUMMYFUNCTION("""COMPUTED_VALUE"""),3744.9)</f>
        <v>3744.9</v>
      </c>
      <c r="D46" s="6">
        <f>IFERROR(__xludf.DUMMYFUNCTION("""COMPUTED_VALUE"""),3407.05)</f>
        <v>3407.05</v>
      </c>
      <c r="E46" s="6">
        <f>IFERROR(__xludf.DUMMYFUNCTION("""COMPUTED_VALUE"""),3718.15)</f>
        <v>3718.15</v>
      </c>
      <c r="F46" s="6">
        <f>IFERROR(__xludf.DUMMYFUNCTION("""COMPUTED_VALUE"""),4701314.0)</f>
        <v>4701314</v>
      </c>
    </row>
    <row r="47">
      <c r="A47" s="7">
        <f>IFERROR(__xludf.DUMMYFUNCTION("""COMPUTED_VALUE"""),45506.64583333333)</f>
        <v>45506.64583</v>
      </c>
      <c r="B47" s="6">
        <f>IFERROR(__xludf.DUMMYFUNCTION("""COMPUTED_VALUE"""),3730.0)</f>
        <v>3730</v>
      </c>
      <c r="C47" s="6">
        <f>IFERROR(__xludf.DUMMYFUNCTION("""COMPUTED_VALUE"""),3867.95)</f>
        <v>3867.95</v>
      </c>
      <c r="D47" s="6">
        <f>IFERROR(__xludf.DUMMYFUNCTION("""COMPUTED_VALUE"""),3471.6)</f>
        <v>3471.6</v>
      </c>
      <c r="E47" s="6">
        <f>IFERROR(__xludf.DUMMYFUNCTION("""COMPUTED_VALUE"""),3510.85)</f>
        <v>3510.85</v>
      </c>
      <c r="F47" s="6">
        <f>IFERROR(__xludf.DUMMYFUNCTION("""COMPUTED_VALUE"""),6515893.0)</f>
        <v>6515893</v>
      </c>
    </row>
    <row r="48">
      <c r="A48" s="7">
        <f>IFERROR(__xludf.DUMMYFUNCTION("""COMPUTED_VALUE"""),45513.64583333333)</f>
        <v>45513.64583</v>
      </c>
      <c r="B48" s="6">
        <f>IFERROR(__xludf.DUMMYFUNCTION("""COMPUTED_VALUE"""),3431.6)</f>
        <v>3431.6</v>
      </c>
      <c r="C48" s="6">
        <f>IFERROR(__xludf.DUMMYFUNCTION("""COMPUTED_VALUE"""),3824.0)</f>
        <v>3824</v>
      </c>
      <c r="D48" s="6">
        <f>IFERROR(__xludf.DUMMYFUNCTION("""COMPUTED_VALUE"""),3359.05)</f>
        <v>3359.05</v>
      </c>
      <c r="E48" s="6">
        <f>IFERROR(__xludf.DUMMYFUNCTION("""COMPUTED_VALUE"""),3715.1)</f>
        <v>3715.1</v>
      </c>
      <c r="F48" s="6">
        <f>IFERROR(__xludf.DUMMYFUNCTION("""COMPUTED_VALUE"""),7947090.0)</f>
        <v>7947090</v>
      </c>
    </row>
    <row r="49">
      <c r="A49" s="7">
        <f>IFERROR(__xludf.DUMMYFUNCTION("""COMPUTED_VALUE"""),45520.64583333333)</f>
        <v>45520.64583</v>
      </c>
      <c r="B49" s="6">
        <f>IFERROR(__xludf.DUMMYFUNCTION("""COMPUTED_VALUE"""),3685.0)</f>
        <v>3685</v>
      </c>
      <c r="C49" s="6">
        <f>IFERROR(__xludf.DUMMYFUNCTION("""COMPUTED_VALUE"""),3776.55)</f>
        <v>3776.55</v>
      </c>
      <c r="D49" s="6">
        <f>IFERROR(__xludf.DUMMYFUNCTION("""COMPUTED_VALUE"""),3650.05)</f>
        <v>3650.05</v>
      </c>
      <c r="E49" s="6">
        <f>IFERROR(__xludf.DUMMYFUNCTION("""COMPUTED_VALUE"""),3761.4)</f>
        <v>3761.4</v>
      </c>
      <c r="F49" s="6">
        <f>IFERROR(__xludf.DUMMYFUNCTION("""COMPUTED_VALUE"""),1985836.0)</f>
        <v>1985836</v>
      </c>
    </row>
    <row r="50">
      <c r="A50" s="7">
        <f>IFERROR(__xludf.DUMMYFUNCTION("""COMPUTED_VALUE"""),45527.64583333333)</f>
        <v>45527.64583</v>
      </c>
      <c r="B50" s="6">
        <f>IFERROR(__xludf.DUMMYFUNCTION("""COMPUTED_VALUE"""),3781.0)</f>
        <v>3781</v>
      </c>
      <c r="C50" s="6">
        <f>IFERROR(__xludf.DUMMYFUNCTION("""COMPUTED_VALUE"""),3860.95)</f>
        <v>3860.95</v>
      </c>
      <c r="D50" s="6">
        <f>IFERROR(__xludf.DUMMYFUNCTION("""COMPUTED_VALUE"""),3720.0)</f>
        <v>3720</v>
      </c>
      <c r="E50" s="6">
        <f>IFERROR(__xludf.DUMMYFUNCTION("""COMPUTED_VALUE"""),3821.95)</f>
        <v>3821.95</v>
      </c>
      <c r="F50" s="6">
        <f>IFERROR(__xludf.DUMMYFUNCTION("""COMPUTED_VALUE"""),2167520.0)</f>
        <v>2167520</v>
      </c>
    </row>
    <row r="51">
      <c r="A51" s="7">
        <f>IFERROR(__xludf.DUMMYFUNCTION("""COMPUTED_VALUE"""),45534.64583333333)</f>
        <v>45534.64583</v>
      </c>
      <c r="B51" s="6">
        <f>IFERROR(__xludf.DUMMYFUNCTION("""COMPUTED_VALUE"""),3850.0)</f>
        <v>3850</v>
      </c>
      <c r="C51" s="6">
        <f>IFERROR(__xludf.DUMMYFUNCTION("""COMPUTED_VALUE"""),3929.0)</f>
        <v>3929</v>
      </c>
      <c r="D51" s="6">
        <f>IFERROR(__xludf.DUMMYFUNCTION("""COMPUTED_VALUE"""),3691.05)</f>
        <v>3691.05</v>
      </c>
      <c r="E51" s="6">
        <f>IFERROR(__xludf.DUMMYFUNCTION("""COMPUTED_VALUE"""),3744.7)</f>
        <v>3744.7</v>
      </c>
      <c r="F51" s="6">
        <f>IFERROR(__xludf.DUMMYFUNCTION("""COMPUTED_VALUE"""),3157653.0)</f>
        <v>3157653</v>
      </c>
    </row>
    <row r="52">
      <c r="A52" s="7">
        <f>IFERROR(__xludf.DUMMYFUNCTION("""COMPUTED_VALUE"""),45541.64583333333)</f>
        <v>45541.64583</v>
      </c>
      <c r="B52" s="6">
        <f>IFERROR(__xludf.DUMMYFUNCTION("""COMPUTED_VALUE"""),3769.9)</f>
        <v>3769.9</v>
      </c>
      <c r="C52" s="6">
        <f>IFERROR(__xludf.DUMMYFUNCTION("""COMPUTED_VALUE"""),3895.75)</f>
        <v>3895.75</v>
      </c>
      <c r="D52" s="6">
        <f>IFERROR(__xludf.DUMMYFUNCTION("""COMPUTED_VALUE"""),3744.7)</f>
        <v>3744.7</v>
      </c>
      <c r="E52" s="6">
        <f>IFERROR(__xludf.DUMMYFUNCTION("""COMPUTED_VALUE"""),3765.65)</f>
        <v>3765.65</v>
      </c>
      <c r="F52" s="6">
        <f>IFERROR(__xludf.DUMMYFUNCTION("""COMPUTED_VALUE"""),2495879.0)</f>
        <v>2495879</v>
      </c>
    </row>
    <row r="53">
      <c r="A53" s="7">
        <f>IFERROR(__xludf.DUMMYFUNCTION("""COMPUTED_VALUE"""),45548.64583333333)</f>
        <v>45548.64583</v>
      </c>
      <c r="B53" s="6">
        <f>IFERROR(__xludf.DUMMYFUNCTION("""COMPUTED_VALUE"""),3765.0)</f>
        <v>3765</v>
      </c>
      <c r="C53" s="6">
        <f>IFERROR(__xludf.DUMMYFUNCTION("""COMPUTED_VALUE"""),3862.9)</f>
        <v>3862.9</v>
      </c>
      <c r="D53" s="6">
        <f>IFERROR(__xludf.DUMMYFUNCTION("""COMPUTED_VALUE"""),3661.25)</f>
        <v>3661.25</v>
      </c>
      <c r="E53" s="6">
        <f>IFERROR(__xludf.DUMMYFUNCTION("""COMPUTED_VALUE"""),3784.6)</f>
        <v>3784.6</v>
      </c>
      <c r="F53" s="6">
        <f>IFERROR(__xludf.DUMMYFUNCTION("""COMPUTED_VALUE"""),2475671.0)</f>
        <v>2475671</v>
      </c>
    </row>
    <row r="54">
      <c r="A54" s="7">
        <f>IFERROR(__xludf.DUMMYFUNCTION("""COMPUTED_VALUE"""),45555.64583333333)</f>
        <v>45555.64583</v>
      </c>
      <c r="B54" s="6">
        <f>IFERROR(__xludf.DUMMYFUNCTION("""COMPUTED_VALUE"""),3810.0)</f>
        <v>3810</v>
      </c>
      <c r="C54" s="6">
        <f>IFERROR(__xludf.DUMMYFUNCTION("""COMPUTED_VALUE"""),3866.05)</f>
        <v>3866.05</v>
      </c>
      <c r="D54" s="6">
        <f>IFERROR(__xludf.DUMMYFUNCTION("""COMPUTED_VALUE"""),3610.6)</f>
        <v>3610.6</v>
      </c>
      <c r="E54" s="6">
        <f>IFERROR(__xludf.DUMMYFUNCTION("""COMPUTED_VALUE"""),3814.05)</f>
        <v>3814.05</v>
      </c>
      <c r="F54" s="6">
        <f>IFERROR(__xludf.DUMMYFUNCTION("""COMPUTED_VALUE"""),1983093.0)</f>
        <v>1983093</v>
      </c>
    </row>
    <row r="55">
      <c r="A55" s="7">
        <f>IFERROR(__xludf.DUMMYFUNCTION("""COMPUTED_VALUE"""),45562.64583333333)</f>
        <v>45562.64583</v>
      </c>
      <c r="B55" s="6">
        <f>IFERROR(__xludf.DUMMYFUNCTION("""COMPUTED_VALUE"""),3824.95)</f>
        <v>3824.95</v>
      </c>
      <c r="C55" s="6">
        <f>IFERROR(__xludf.DUMMYFUNCTION("""COMPUTED_VALUE"""),3927.0)</f>
        <v>3927</v>
      </c>
      <c r="D55" s="6">
        <f>IFERROR(__xludf.DUMMYFUNCTION("""COMPUTED_VALUE"""),3730.0)</f>
        <v>3730</v>
      </c>
      <c r="E55" s="6">
        <f>IFERROR(__xludf.DUMMYFUNCTION("""COMPUTED_VALUE"""),3864.8)</f>
        <v>3864.8</v>
      </c>
      <c r="F55" s="6">
        <f>IFERROR(__xludf.DUMMYFUNCTION("""COMPUTED_VALUE"""),2260406.0)</f>
        <v>2260406</v>
      </c>
    </row>
    <row r="56">
      <c r="A56" s="7">
        <f>IFERROR(__xludf.DUMMYFUNCTION("""COMPUTED_VALUE"""),45569.64583333333)</f>
        <v>45569.64583</v>
      </c>
      <c r="B56" s="6">
        <f>IFERROR(__xludf.DUMMYFUNCTION("""COMPUTED_VALUE"""),3864.15)</f>
        <v>3864.15</v>
      </c>
      <c r="C56" s="6">
        <f>IFERROR(__xludf.DUMMYFUNCTION("""COMPUTED_VALUE"""),3891.7)</f>
        <v>3891.7</v>
      </c>
      <c r="D56" s="6">
        <f>IFERROR(__xludf.DUMMYFUNCTION("""COMPUTED_VALUE"""),3607.9)</f>
        <v>3607.9</v>
      </c>
      <c r="E56" s="6">
        <f>IFERROR(__xludf.DUMMYFUNCTION("""COMPUTED_VALUE"""),3623.5)</f>
        <v>3623.5</v>
      </c>
      <c r="F56" s="6">
        <f>IFERROR(__xludf.DUMMYFUNCTION("""COMPUTED_VALUE"""),1778428.0)</f>
        <v>1778428</v>
      </c>
    </row>
    <row r="57">
      <c r="A57" s="7">
        <f>IFERROR(__xludf.DUMMYFUNCTION("""COMPUTED_VALUE"""),45576.64583333333)</f>
        <v>45576.64583</v>
      </c>
      <c r="B57" s="6">
        <f>IFERROR(__xludf.DUMMYFUNCTION("""COMPUTED_VALUE"""),3580.35)</f>
        <v>3580.35</v>
      </c>
      <c r="C57" s="6">
        <f>IFERROR(__xludf.DUMMYFUNCTION("""COMPUTED_VALUE"""),3825.0)</f>
        <v>3825</v>
      </c>
      <c r="D57" s="6">
        <f>IFERROR(__xludf.DUMMYFUNCTION("""COMPUTED_VALUE"""),3526.0)</f>
        <v>3526</v>
      </c>
      <c r="E57" s="6">
        <f>IFERROR(__xludf.DUMMYFUNCTION("""COMPUTED_VALUE"""),3614.15)</f>
        <v>3614.15</v>
      </c>
      <c r="F57" s="6">
        <f>IFERROR(__xludf.DUMMYFUNCTION("""COMPUTED_VALUE"""),3141506.0)</f>
        <v>3141506</v>
      </c>
    </row>
    <row r="58">
      <c r="A58" s="7">
        <f>IFERROR(__xludf.DUMMYFUNCTION("""COMPUTED_VALUE"""),45583.64583333333)</f>
        <v>45583.64583</v>
      </c>
      <c r="B58" s="6">
        <f>IFERROR(__xludf.DUMMYFUNCTION("""COMPUTED_VALUE"""),3614.15)</f>
        <v>3614.15</v>
      </c>
      <c r="C58" s="6">
        <f>IFERROR(__xludf.DUMMYFUNCTION("""COMPUTED_VALUE"""),3846.1)</f>
        <v>3846.1</v>
      </c>
      <c r="D58" s="6">
        <f>IFERROR(__xludf.DUMMYFUNCTION("""COMPUTED_VALUE"""),3589.5)</f>
        <v>3589.5</v>
      </c>
      <c r="E58" s="6">
        <f>IFERROR(__xludf.DUMMYFUNCTION("""COMPUTED_VALUE"""),3710.1)</f>
        <v>3710.1</v>
      </c>
      <c r="F58" s="6">
        <f>IFERROR(__xludf.DUMMYFUNCTION("""COMPUTED_VALUE"""),2455971.0)</f>
        <v>2455971</v>
      </c>
    </row>
    <row r="59">
      <c r="A59" s="7">
        <f>IFERROR(__xludf.DUMMYFUNCTION("""COMPUTED_VALUE"""),45590.64583333333)</f>
        <v>45590.64583</v>
      </c>
      <c r="B59" s="6">
        <f>IFERROR(__xludf.DUMMYFUNCTION("""COMPUTED_VALUE"""),3711.75)</f>
        <v>3711.75</v>
      </c>
      <c r="C59" s="6">
        <f>IFERROR(__xludf.DUMMYFUNCTION("""COMPUTED_VALUE"""),3738.35)</f>
        <v>3738.35</v>
      </c>
      <c r="D59" s="6">
        <f>IFERROR(__xludf.DUMMYFUNCTION("""COMPUTED_VALUE"""),3311.2)</f>
        <v>3311.2</v>
      </c>
      <c r="E59" s="6">
        <f>IFERROR(__xludf.DUMMYFUNCTION("""COMPUTED_VALUE"""),3370.15)</f>
        <v>3370.15</v>
      </c>
      <c r="F59" s="6">
        <f>IFERROR(__xludf.DUMMYFUNCTION("""COMPUTED_VALUE"""),1831615.0)</f>
        <v>1831615</v>
      </c>
    </row>
    <row r="60">
      <c r="A60" s="7">
        <f>IFERROR(__xludf.DUMMYFUNCTION("""COMPUTED_VALUE"""),45604.64583333333)</f>
        <v>45604.64583</v>
      </c>
      <c r="B60" s="6">
        <f>IFERROR(__xludf.DUMMYFUNCTION("""COMPUTED_VALUE"""),3514.95)</f>
        <v>3514.95</v>
      </c>
      <c r="C60" s="6">
        <f>IFERROR(__xludf.DUMMYFUNCTION("""COMPUTED_VALUE"""),3691.95)</f>
        <v>3691.95</v>
      </c>
      <c r="D60" s="6">
        <f>IFERROR(__xludf.DUMMYFUNCTION("""COMPUTED_VALUE"""),3401.0)</f>
        <v>3401</v>
      </c>
      <c r="E60" s="6">
        <f>IFERROR(__xludf.DUMMYFUNCTION("""COMPUTED_VALUE"""),3655.35)</f>
        <v>3655.35</v>
      </c>
      <c r="F60" s="6">
        <f>IFERROR(__xludf.DUMMYFUNCTION("""COMPUTED_VALUE"""),4636665.0)</f>
        <v>4636665</v>
      </c>
    </row>
    <row r="61">
      <c r="A61" s="7">
        <f>IFERROR(__xludf.DUMMYFUNCTION("""COMPUTED_VALUE"""),45610.64583333333)</f>
        <v>45610.64583</v>
      </c>
      <c r="B61" s="6">
        <f>IFERROR(__xludf.DUMMYFUNCTION("""COMPUTED_VALUE"""),3645.0)</f>
        <v>3645</v>
      </c>
      <c r="C61" s="6">
        <f>IFERROR(__xludf.DUMMYFUNCTION("""COMPUTED_VALUE"""),3645.0)</f>
        <v>3645</v>
      </c>
      <c r="D61" s="6">
        <f>IFERROR(__xludf.DUMMYFUNCTION("""COMPUTED_VALUE"""),3273.05)</f>
        <v>3273.05</v>
      </c>
      <c r="E61" s="6">
        <f>IFERROR(__xludf.DUMMYFUNCTION("""COMPUTED_VALUE"""),3329.8)</f>
        <v>3329.8</v>
      </c>
      <c r="F61" s="6">
        <f>IFERROR(__xludf.DUMMYFUNCTION("""COMPUTED_VALUE"""),3081057.0)</f>
        <v>3081057</v>
      </c>
    </row>
    <row r="62">
      <c r="A62" s="7">
        <f>IFERROR(__xludf.DUMMYFUNCTION("""COMPUTED_VALUE"""),45618.64583333333)</f>
        <v>45618.64583</v>
      </c>
      <c r="B62" s="6">
        <f>IFERROR(__xludf.DUMMYFUNCTION("""COMPUTED_VALUE"""),3300.0)</f>
        <v>3300</v>
      </c>
      <c r="C62" s="6">
        <f>IFERROR(__xludf.DUMMYFUNCTION("""COMPUTED_VALUE"""),3406.25)</f>
        <v>3406.25</v>
      </c>
      <c r="D62" s="6">
        <f>IFERROR(__xludf.DUMMYFUNCTION("""COMPUTED_VALUE"""),3244.25)</f>
        <v>3244.25</v>
      </c>
      <c r="E62" s="6">
        <f>IFERROR(__xludf.DUMMYFUNCTION("""COMPUTED_VALUE"""),3319.4)</f>
        <v>3319.4</v>
      </c>
      <c r="F62" s="6">
        <f>IFERROR(__xludf.DUMMYFUNCTION("""COMPUTED_VALUE"""),2682335.0)</f>
        <v>2682335</v>
      </c>
    </row>
    <row r="63">
      <c r="A63" s="7">
        <f>IFERROR(__xludf.DUMMYFUNCTION("""COMPUTED_VALUE"""),45625.64583333333)</f>
        <v>45625.64583</v>
      </c>
      <c r="B63" s="6">
        <f>IFERROR(__xludf.DUMMYFUNCTION("""COMPUTED_VALUE"""),3400.0)</f>
        <v>3400</v>
      </c>
      <c r="C63" s="6">
        <f>IFERROR(__xludf.DUMMYFUNCTION("""COMPUTED_VALUE"""),3556.4)</f>
        <v>3556.4</v>
      </c>
      <c r="D63" s="6">
        <f>IFERROR(__xludf.DUMMYFUNCTION("""COMPUTED_VALUE"""),3361.6)</f>
        <v>3361.6</v>
      </c>
      <c r="E63" s="6">
        <f>IFERROR(__xludf.DUMMYFUNCTION("""COMPUTED_VALUE"""),3483.7)</f>
        <v>3483.7</v>
      </c>
      <c r="F63" s="6">
        <f>IFERROR(__xludf.DUMMYFUNCTION("""COMPUTED_VALUE"""),2457884.0)</f>
        <v>2457884</v>
      </c>
    </row>
    <row r="64">
      <c r="A64" s="7">
        <f>IFERROR(__xludf.DUMMYFUNCTION("""COMPUTED_VALUE"""),45632.64583333333)</f>
        <v>45632.64583</v>
      </c>
      <c r="B64" s="6">
        <f>IFERROR(__xludf.DUMMYFUNCTION("""COMPUTED_VALUE"""),3500.0)</f>
        <v>3500</v>
      </c>
      <c r="C64" s="6">
        <f>IFERROR(__xludf.DUMMYFUNCTION("""COMPUTED_VALUE"""),3584.0)</f>
        <v>3584</v>
      </c>
      <c r="D64" s="6">
        <f>IFERROR(__xludf.DUMMYFUNCTION("""COMPUTED_VALUE"""),3415.2)</f>
        <v>3415.2</v>
      </c>
      <c r="E64" s="6">
        <f>IFERROR(__xludf.DUMMYFUNCTION("""COMPUTED_VALUE"""),3465.0)</f>
        <v>3465</v>
      </c>
      <c r="F64" s="6">
        <f>IFERROR(__xludf.DUMMYFUNCTION("""COMPUTED_VALUE"""),2535345.0)</f>
        <v>2535345</v>
      </c>
    </row>
    <row r="65">
      <c r="A65" s="7">
        <f>IFERROR(__xludf.DUMMYFUNCTION("""COMPUTED_VALUE"""),45639.64583333333)</f>
        <v>45639.64583</v>
      </c>
      <c r="B65" s="6">
        <f>IFERROR(__xludf.DUMMYFUNCTION("""COMPUTED_VALUE"""),3469.95)</f>
        <v>3469.95</v>
      </c>
      <c r="C65" s="6">
        <f>IFERROR(__xludf.DUMMYFUNCTION("""COMPUTED_VALUE"""),3647.8)</f>
        <v>3647.8</v>
      </c>
      <c r="D65" s="6">
        <f>IFERROR(__xludf.DUMMYFUNCTION("""COMPUTED_VALUE"""),3460.0)</f>
        <v>3460</v>
      </c>
      <c r="E65" s="6">
        <f>IFERROR(__xludf.DUMMYFUNCTION("""COMPUTED_VALUE"""),3599.9)</f>
        <v>3599.9</v>
      </c>
      <c r="F65" s="6">
        <f>IFERROR(__xludf.DUMMYFUNCTION("""COMPUTED_VALUE"""),1604483.0)</f>
        <v>1604483</v>
      </c>
    </row>
    <row r="66">
      <c r="A66" s="7">
        <f>IFERROR(__xludf.DUMMYFUNCTION("""COMPUTED_VALUE"""),45646.64583333333)</f>
        <v>45646.64583</v>
      </c>
      <c r="B66" s="6">
        <f>IFERROR(__xludf.DUMMYFUNCTION("""COMPUTED_VALUE"""),3619.9)</f>
        <v>3619.9</v>
      </c>
      <c r="C66" s="6">
        <f>IFERROR(__xludf.DUMMYFUNCTION("""COMPUTED_VALUE"""),3691.0)</f>
        <v>3691</v>
      </c>
      <c r="D66" s="6">
        <f>IFERROR(__xludf.DUMMYFUNCTION("""COMPUTED_VALUE"""),3304.05)</f>
        <v>3304.05</v>
      </c>
      <c r="E66" s="6">
        <f>IFERROR(__xludf.DUMMYFUNCTION("""COMPUTED_VALUE"""),3312.9)</f>
        <v>3312.9</v>
      </c>
      <c r="F66" s="6">
        <f>IFERROR(__xludf.DUMMYFUNCTION("""COMPUTED_VALUE"""),2670104.0)</f>
        <v>2670104</v>
      </c>
    </row>
    <row r="67">
      <c r="A67" s="7">
        <f>IFERROR(__xludf.DUMMYFUNCTION("""COMPUTED_VALUE"""),45653.64583333333)</f>
        <v>45653.64583</v>
      </c>
      <c r="B67" s="6">
        <f>IFERROR(__xludf.DUMMYFUNCTION("""COMPUTED_VALUE"""),3343.0)</f>
        <v>3343</v>
      </c>
      <c r="C67" s="6">
        <f>IFERROR(__xludf.DUMMYFUNCTION("""COMPUTED_VALUE"""),3400.0)</f>
        <v>3400</v>
      </c>
      <c r="D67" s="6">
        <f>IFERROR(__xludf.DUMMYFUNCTION("""COMPUTED_VALUE"""),3178.1)</f>
        <v>3178.1</v>
      </c>
      <c r="E67" s="6">
        <f>IFERROR(__xludf.DUMMYFUNCTION("""COMPUTED_VALUE"""),3297.65)</f>
        <v>3297.65</v>
      </c>
      <c r="F67" s="6">
        <f>IFERROR(__xludf.DUMMYFUNCTION("""COMPUTED_VALUE"""),3131925.0)</f>
        <v>3131925</v>
      </c>
    </row>
    <row r="68">
      <c r="A68" s="7">
        <f>IFERROR(__xludf.DUMMYFUNCTION("""COMPUTED_VALUE"""),45660.64583333333)</f>
        <v>45660.64583</v>
      </c>
      <c r="B68" s="6">
        <f>IFERROR(__xludf.DUMMYFUNCTION("""COMPUTED_VALUE"""),3274.7)</f>
        <v>3274.7</v>
      </c>
      <c r="C68" s="6">
        <f>IFERROR(__xludf.DUMMYFUNCTION("""COMPUTED_VALUE"""),3308.0)</f>
        <v>3308</v>
      </c>
      <c r="D68" s="6">
        <f>IFERROR(__xludf.DUMMYFUNCTION("""COMPUTED_VALUE"""),3192.75)</f>
        <v>3192.75</v>
      </c>
      <c r="E68" s="6">
        <f>IFERROR(__xludf.DUMMYFUNCTION("""COMPUTED_VALUE"""),3216.9)</f>
        <v>3216.9</v>
      </c>
      <c r="F68" s="6">
        <f>IFERROR(__xludf.DUMMYFUNCTION("""COMPUTED_VALUE"""),4934419.0)</f>
        <v>4934419</v>
      </c>
    </row>
    <row r="69">
      <c r="A69" s="7">
        <f>IFERROR(__xludf.DUMMYFUNCTION("""COMPUTED_VALUE"""),45667.64583333333)</f>
        <v>45667.64583</v>
      </c>
      <c r="B69" s="6">
        <f>IFERROR(__xludf.DUMMYFUNCTION("""COMPUTED_VALUE"""),3237.95)</f>
        <v>3237.95</v>
      </c>
      <c r="C69" s="6">
        <f>IFERROR(__xludf.DUMMYFUNCTION("""COMPUTED_VALUE"""),3239.95)</f>
        <v>3239.95</v>
      </c>
      <c r="D69" s="6">
        <f>IFERROR(__xludf.DUMMYFUNCTION("""COMPUTED_VALUE"""),2988.9)</f>
        <v>2988.9</v>
      </c>
      <c r="E69" s="6">
        <f>IFERROR(__xludf.DUMMYFUNCTION("""COMPUTED_VALUE"""),2999.45)</f>
        <v>2999.45</v>
      </c>
      <c r="F69" s="6">
        <f>IFERROR(__xludf.DUMMYFUNCTION("""COMPUTED_VALUE"""),3354574.0)</f>
        <v>3354574</v>
      </c>
    </row>
    <row r="70">
      <c r="A70" s="7">
        <f>IFERROR(__xludf.DUMMYFUNCTION("""COMPUTED_VALUE"""),45674.64583333333)</f>
        <v>45674.64583</v>
      </c>
      <c r="B70" s="6">
        <f>IFERROR(__xludf.DUMMYFUNCTION("""COMPUTED_VALUE"""),2952.6)</f>
        <v>2952.6</v>
      </c>
      <c r="C70" s="6">
        <f>IFERROR(__xludf.DUMMYFUNCTION("""COMPUTED_VALUE"""),2988.6)</f>
        <v>2988.6</v>
      </c>
      <c r="D70" s="6">
        <f>IFERROR(__xludf.DUMMYFUNCTION("""COMPUTED_VALUE"""),2840.1)</f>
        <v>2840.1</v>
      </c>
      <c r="E70" s="6">
        <f>IFERROR(__xludf.DUMMYFUNCTION("""COMPUTED_VALUE"""),2935.25)</f>
        <v>2935.25</v>
      </c>
      <c r="F70" s="6">
        <f>IFERROR(__xludf.DUMMYFUNCTION("""COMPUTED_VALUE"""),2418822.0)</f>
        <v>2418822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IFERROR(__xludf.DUMMYFUNCTION("""COMPUTED_VALUE"""),2959.0)</f>
        <v>2959</v>
      </c>
      <c r="C71" s="6">
        <f>IFERROR(__xludf.DUMMYFUNCTION("""COMPUTED_VALUE"""),2973.0)</f>
        <v>2973</v>
      </c>
      <c r="D71" s="6">
        <f>IFERROR(__xludf.DUMMYFUNCTION("""COMPUTED_VALUE"""),2799.95)</f>
        <v>2799.95</v>
      </c>
      <c r="E71" s="6">
        <f>IFERROR(__xludf.DUMMYFUNCTION("""COMPUTED_VALUE"""),2804.05)</f>
        <v>2804.05</v>
      </c>
      <c r="F71" s="6">
        <f>IFERROR(__xludf.DUMMYFUNCTION("""COMPUTED_VALUE"""),1776301.0)</f>
        <v>1776301</v>
      </c>
    </row>
    <row r="72">
      <c r="A72" s="7">
        <f>IFERROR(__xludf.DUMMYFUNCTION("""COMPUTED_VALUE"""),45695.64583333333)</f>
        <v>45695.64583</v>
      </c>
      <c r="B72" s="6">
        <f>IFERROR(__xludf.DUMMYFUNCTION("""COMPUTED_VALUE"""),2790.0)</f>
        <v>2790</v>
      </c>
      <c r="C72" s="6">
        <f>IFERROR(__xludf.DUMMYFUNCTION("""COMPUTED_VALUE"""),3090.0)</f>
        <v>3090</v>
      </c>
      <c r="D72" s="6">
        <f>IFERROR(__xludf.DUMMYFUNCTION("""COMPUTED_VALUE"""),2660.6)</f>
        <v>2660.6</v>
      </c>
      <c r="E72" s="6">
        <f>IFERROR(__xludf.DUMMYFUNCTION("""COMPUTED_VALUE"""),2871.9)</f>
        <v>2871.9</v>
      </c>
      <c r="F72" s="6">
        <f>IFERROR(__xludf.DUMMYFUNCTION("""COMPUTED_VALUE"""),7352858.0)</f>
        <v>7352858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IFERROR(__xludf.DUMMYFUNCTION("""COMPUTED_VALUE"""),2876.4)</f>
        <v>2876.4</v>
      </c>
      <c r="C73" s="6">
        <f>IFERROR(__xludf.DUMMYFUNCTION("""COMPUTED_VALUE"""),2976.0)</f>
        <v>2976</v>
      </c>
      <c r="D73" s="6">
        <f>IFERROR(__xludf.DUMMYFUNCTION("""COMPUTED_VALUE"""),2696.2)</f>
        <v>2696.2</v>
      </c>
      <c r="E73" s="6">
        <f>IFERROR(__xludf.DUMMYFUNCTION("""COMPUTED_VALUE"""),2734.8)</f>
        <v>2734.8</v>
      </c>
      <c r="F73" s="6">
        <f>IFERROR(__xludf.DUMMYFUNCTION("""COMPUTED_VALUE"""),3219415.0)</f>
        <v>3219415</v>
      </c>
    </row>
    <row r="74">
      <c r="A74" s="7">
        <f>IFERROR(__xludf.DUMMYFUNCTION("""COMPUTED_VALUE"""),45709.64583333333)</f>
        <v>45709.64583</v>
      </c>
      <c r="B74" s="6">
        <f>IFERROR(__xludf.DUMMYFUNCTION("""COMPUTED_VALUE"""),2700.0)</f>
        <v>2700</v>
      </c>
      <c r="C74" s="6">
        <f>IFERROR(__xludf.DUMMYFUNCTION("""COMPUTED_VALUE"""),2860.3)</f>
        <v>2860.3</v>
      </c>
      <c r="D74" s="6">
        <f>IFERROR(__xludf.DUMMYFUNCTION("""COMPUTED_VALUE"""),2636.75)</f>
        <v>2636.75</v>
      </c>
      <c r="E74" s="6">
        <f>IFERROR(__xludf.DUMMYFUNCTION("""COMPUTED_VALUE"""),2836.15)</f>
        <v>2836.15</v>
      </c>
      <c r="F74" s="6">
        <f>IFERROR(__xludf.DUMMYFUNCTION("""COMPUTED_VALUE"""),3144000.0)</f>
        <v>3144000</v>
      </c>
    </row>
    <row r="75">
      <c r="A75" s="7">
        <f>IFERROR(__xludf.DUMMYFUNCTION("""COMPUTED_VALUE"""),45716.64583333333)</f>
        <v>45716.64583</v>
      </c>
      <c r="B75" s="6">
        <f>IFERROR(__xludf.DUMMYFUNCTION("""COMPUTED_VALUE"""),2800.0)</f>
        <v>2800</v>
      </c>
      <c r="C75" s="6">
        <f>IFERROR(__xludf.DUMMYFUNCTION("""COMPUTED_VALUE"""),2846.05)</f>
        <v>2846.05</v>
      </c>
      <c r="D75" s="6">
        <f>IFERROR(__xludf.DUMMYFUNCTION("""COMPUTED_VALUE"""),2701.45)</f>
        <v>2701.45</v>
      </c>
      <c r="E75" s="6">
        <f>IFERROR(__xludf.DUMMYFUNCTION("""COMPUTED_VALUE"""),2717.95)</f>
        <v>2717.95</v>
      </c>
      <c r="F75" s="6">
        <f>IFERROR(__xludf.DUMMYFUNCTION("""COMPUTED_VALUE"""),2007917.0)</f>
        <v>2007917</v>
      </c>
    </row>
    <row r="76">
      <c r="A76" s="7">
        <f>IFERROR(__xludf.DUMMYFUNCTION("""COMPUTED_VALUE"""),45723.64583333333)</f>
        <v>45723.64583</v>
      </c>
      <c r="B76" s="6">
        <f>IFERROR(__xludf.DUMMYFUNCTION("""COMPUTED_VALUE"""),2724.95)</f>
        <v>2724.95</v>
      </c>
      <c r="C76" s="6">
        <f>IFERROR(__xludf.DUMMYFUNCTION("""COMPUTED_VALUE"""),3050.0)</f>
        <v>3050</v>
      </c>
      <c r="D76" s="6">
        <f>IFERROR(__xludf.DUMMYFUNCTION("""COMPUTED_VALUE"""),2693.05)</f>
        <v>2693.05</v>
      </c>
      <c r="E76" s="6">
        <f>IFERROR(__xludf.DUMMYFUNCTION("""COMPUTED_VALUE"""),2899.05)</f>
        <v>2899.05</v>
      </c>
      <c r="F76" s="6">
        <f>IFERROR(__xludf.DUMMYFUNCTION("""COMPUTED_VALUE"""),3335099.0)</f>
        <v>3335099</v>
      </c>
    </row>
    <row r="77">
      <c r="A77" s="7">
        <f>IFERROR(__xludf.DUMMYFUNCTION("""COMPUTED_VALUE"""),45729.64583333333)</f>
        <v>45729.64583</v>
      </c>
      <c r="B77" s="6">
        <f>IFERROR(__xludf.DUMMYFUNCTION("""COMPUTED_VALUE"""),2893.0)</f>
        <v>2893</v>
      </c>
      <c r="C77" s="6">
        <f>IFERROR(__xludf.DUMMYFUNCTION("""COMPUTED_VALUE"""),2934.95)</f>
        <v>2934.95</v>
      </c>
      <c r="D77" s="6">
        <f>IFERROR(__xludf.DUMMYFUNCTION("""COMPUTED_VALUE"""),2781.0)</f>
        <v>2781</v>
      </c>
      <c r="E77" s="6">
        <f>IFERROR(__xludf.DUMMYFUNCTION("""COMPUTED_VALUE"""),2835.25)</f>
        <v>2835.25</v>
      </c>
      <c r="F77" s="6">
        <f>IFERROR(__xludf.DUMMYFUNCTION("""COMPUTED_VALUE"""),1462481.0)</f>
        <v>1462481</v>
      </c>
    </row>
    <row r="78">
      <c r="A78" s="7">
        <f>IFERROR(__xludf.DUMMYFUNCTION("""COMPUTED_VALUE"""),45737.64583333333)</f>
        <v>45737.64583</v>
      </c>
      <c r="B78" s="6">
        <f>IFERROR(__xludf.DUMMYFUNCTION("""COMPUTED_VALUE"""),2831.0)</f>
        <v>2831</v>
      </c>
      <c r="C78" s="6">
        <f>IFERROR(__xludf.DUMMYFUNCTION("""COMPUTED_VALUE"""),3029.9)</f>
        <v>3029.9</v>
      </c>
      <c r="D78" s="6">
        <f>IFERROR(__xludf.DUMMYFUNCTION("""COMPUTED_VALUE"""),2817.1)</f>
        <v>2817.1</v>
      </c>
      <c r="E78" s="6">
        <f>IFERROR(__xludf.DUMMYFUNCTION("""COMPUTED_VALUE"""),2937.75)</f>
        <v>2937.75</v>
      </c>
      <c r="F78" s="6">
        <f>IFERROR(__xludf.DUMMYFUNCTION("""COMPUTED_VALUE"""),1723277.0)</f>
        <v>1723277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IFERROR(__xludf.DUMMYFUNCTION("""COMPUTED_VALUE"""),2945.0)</f>
        <v>2945</v>
      </c>
      <c r="C79" s="6">
        <f>IFERROR(__xludf.DUMMYFUNCTION("""COMPUTED_VALUE"""),3085.0)</f>
        <v>3085</v>
      </c>
      <c r="D79" s="6">
        <f>IFERROR(__xludf.DUMMYFUNCTION("""COMPUTED_VALUE"""),2945.0)</f>
        <v>2945</v>
      </c>
      <c r="E79" s="6">
        <f>IFERROR(__xludf.DUMMYFUNCTION("""COMPUTED_VALUE"""),3051.85)</f>
        <v>3051.85</v>
      </c>
      <c r="F79" s="6">
        <f>IFERROR(__xludf.DUMMYFUNCTION("""COMPUTED_VALUE"""),2778006.0)</f>
        <v>2778006</v>
      </c>
    </row>
    <row r="80">
      <c r="A80" s="7">
        <f>IFERROR(__xludf.DUMMYFUNCTION("""COMPUTED_VALUE"""),45751.64583333333)</f>
        <v>45751.64583</v>
      </c>
      <c r="B80" s="6">
        <f>IFERROR(__xludf.DUMMYFUNCTION("""COMPUTED_VALUE"""),3052.6)</f>
        <v>3052.6</v>
      </c>
      <c r="C80" s="6">
        <f>IFERROR(__xludf.DUMMYFUNCTION("""COMPUTED_VALUE"""),3078.0)</f>
        <v>3078</v>
      </c>
      <c r="D80" s="6">
        <f>IFERROR(__xludf.DUMMYFUNCTION("""COMPUTED_VALUE"""),2832.0)</f>
        <v>2832</v>
      </c>
      <c r="E80" s="6">
        <f>IFERROR(__xludf.DUMMYFUNCTION("""COMPUTED_VALUE"""),2844.95)</f>
        <v>2844.95</v>
      </c>
      <c r="F80" s="6">
        <f>IFERROR(__xludf.DUMMYFUNCTION("""COMPUTED_VALUE"""),1365572.0)</f>
        <v>1365572</v>
      </c>
    </row>
    <row r="81">
      <c r="A81" s="7">
        <f>IFERROR(__xludf.DUMMYFUNCTION("""COMPUTED_VALUE"""),45758.64583333333)</f>
        <v>45758.64583</v>
      </c>
      <c r="B81" s="6">
        <f>IFERROR(__xludf.DUMMYFUNCTION("""COMPUTED_VALUE"""),2580.0)</f>
        <v>2580</v>
      </c>
      <c r="C81" s="6">
        <f>IFERROR(__xludf.DUMMYFUNCTION("""COMPUTED_VALUE"""),2852.0)</f>
        <v>2852</v>
      </c>
      <c r="D81" s="6">
        <f>IFERROR(__xludf.DUMMYFUNCTION("""COMPUTED_VALUE"""),2580.0)</f>
        <v>2580</v>
      </c>
      <c r="E81" s="6">
        <f>IFERROR(__xludf.DUMMYFUNCTION("""COMPUTED_VALUE"""),2814.95)</f>
        <v>2814.95</v>
      </c>
      <c r="F81" s="6">
        <f>IFERROR(__xludf.DUMMYFUNCTION("""COMPUTED_VALUE"""),2337817.0)</f>
        <v>2337817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IFERROR(__xludf.DUMMYFUNCTION("""COMPUTED_VALUE"""),2900.0)</f>
        <v>2900</v>
      </c>
      <c r="C82" s="6">
        <f>IFERROR(__xludf.DUMMYFUNCTION("""COMPUTED_VALUE"""),2948.0)</f>
        <v>2948</v>
      </c>
      <c r="D82" s="6">
        <f>IFERROR(__xludf.DUMMYFUNCTION("""COMPUTED_VALUE"""),2831.6)</f>
        <v>2831.6</v>
      </c>
      <c r="E82" s="6">
        <f>IFERROR(__xludf.DUMMYFUNCTION("""COMPUTED_VALUE"""),2891.2)</f>
        <v>2891.2</v>
      </c>
      <c r="F82" s="6">
        <f>IFERROR(__xludf.DUMMYFUNCTION("""COMPUTED_VALUE"""),1161634.0)</f>
        <v>1161634</v>
      </c>
    </row>
    <row r="83">
      <c r="A83" s="7">
        <f>IFERROR(__xludf.DUMMYFUNCTION("""COMPUTED_VALUE"""),45772.64583333333)</f>
        <v>45772.64583</v>
      </c>
      <c r="B83" s="6">
        <f>IFERROR(__xludf.DUMMYFUNCTION("""COMPUTED_VALUE"""),2891.2)</f>
        <v>2891.2</v>
      </c>
      <c r="C83" s="6">
        <f>IFERROR(__xludf.DUMMYFUNCTION("""COMPUTED_VALUE"""),2972.6)</f>
        <v>2972.6</v>
      </c>
      <c r="D83" s="6">
        <f>IFERROR(__xludf.DUMMYFUNCTION("""COMPUTED_VALUE"""),2798.1)</f>
        <v>2798.1</v>
      </c>
      <c r="E83" s="6">
        <f>IFERROR(__xludf.DUMMYFUNCTION("""COMPUTED_VALUE"""),2861.1)</f>
        <v>2861.1</v>
      </c>
      <c r="F83" s="6">
        <f>IFERROR(__xludf.DUMMYFUNCTION("""COMPUTED_VALUE"""),2014051.0)</f>
        <v>2014051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IFERROR(__xludf.DUMMYFUNCTION("""COMPUTED_VALUE"""),2850.0)</f>
        <v>2850</v>
      </c>
      <c r="C84" s="6">
        <f>IFERROR(__xludf.DUMMYFUNCTION("""COMPUTED_VALUE"""),2961.7)</f>
        <v>2961.7</v>
      </c>
      <c r="D84" s="6">
        <f>IFERROR(__xludf.DUMMYFUNCTION("""COMPUTED_VALUE"""),2850.0)</f>
        <v>2850</v>
      </c>
      <c r="E84" s="6">
        <f>IFERROR(__xludf.DUMMYFUNCTION("""COMPUTED_VALUE"""),2888.7)</f>
        <v>2888.7</v>
      </c>
      <c r="F84" s="6">
        <f>IFERROR(__xludf.DUMMYFUNCTION("""COMPUTED_VALUE"""),1128295.0)</f>
        <v>1128295</v>
      </c>
    </row>
    <row r="85">
      <c r="A85" s="7">
        <f>IFERROR(__xludf.DUMMYFUNCTION("""COMPUTED_VALUE"""),45786.64583333333)</f>
        <v>45786.64583</v>
      </c>
      <c r="B85" s="6">
        <f>IFERROR(__xludf.DUMMYFUNCTION("""COMPUTED_VALUE"""),2899.9)</f>
        <v>2899.9</v>
      </c>
      <c r="C85" s="6">
        <f>IFERROR(__xludf.DUMMYFUNCTION("""COMPUTED_VALUE"""),2963.8)</f>
        <v>2963.8</v>
      </c>
      <c r="D85" s="6">
        <f>IFERROR(__xludf.DUMMYFUNCTION("""COMPUTED_VALUE"""),2706.0)</f>
        <v>2706</v>
      </c>
      <c r="E85" s="6">
        <f>IFERROR(__xludf.DUMMYFUNCTION("""COMPUTED_VALUE"""),2736.3)</f>
        <v>2736.3</v>
      </c>
      <c r="F85" s="6">
        <f>IFERROR(__xludf.DUMMYFUNCTION("""COMPUTED_VALUE"""),4498764.0)</f>
        <v>4498764</v>
      </c>
    </row>
    <row r="86">
      <c r="A86" s="7">
        <f>IFERROR(__xludf.DUMMYFUNCTION("""COMPUTED_VALUE"""),45793.64583333333)</f>
        <v>45793.64583</v>
      </c>
      <c r="B86" s="6">
        <f>IFERROR(__xludf.DUMMYFUNCTION("""COMPUTED_VALUE"""),2778.5)</f>
        <v>2778.5</v>
      </c>
      <c r="C86" s="6">
        <f>IFERROR(__xludf.DUMMYFUNCTION("""COMPUTED_VALUE"""),3043.0)</f>
        <v>3043</v>
      </c>
      <c r="D86" s="6">
        <f>IFERROR(__xludf.DUMMYFUNCTION("""COMPUTED_VALUE"""),2778.5)</f>
        <v>2778.5</v>
      </c>
      <c r="E86" s="6">
        <f>IFERROR(__xludf.DUMMYFUNCTION("""COMPUTED_VALUE"""),3035.6)</f>
        <v>3035.6</v>
      </c>
      <c r="F86" s="6">
        <f>IFERROR(__xludf.DUMMYFUNCTION("""COMPUTED_VALUE"""),2487354.0)</f>
        <v>2487354</v>
      </c>
    </row>
    <row r="87">
      <c r="A87" s="7">
        <f>IFERROR(__xludf.DUMMYFUNCTION("""COMPUTED_VALUE"""),45800.64583333333)</f>
        <v>45800.64583</v>
      </c>
      <c r="B87" s="6">
        <f>IFERROR(__xludf.DUMMYFUNCTION("""COMPUTED_VALUE"""),3030.0)</f>
        <v>3030</v>
      </c>
      <c r="C87" s="6">
        <f>IFERROR(__xludf.DUMMYFUNCTION("""COMPUTED_VALUE"""),3063.6)</f>
        <v>3063.6</v>
      </c>
      <c r="D87" s="6">
        <f>IFERROR(__xludf.DUMMYFUNCTION("""COMPUTED_VALUE"""),2926.2)</f>
        <v>2926.2</v>
      </c>
      <c r="E87" s="6">
        <f>IFERROR(__xludf.DUMMYFUNCTION("""COMPUTED_VALUE"""),2940.4)</f>
        <v>2940.4</v>
      </c>
      <c r="F87" s="6">
        <f>IFERROR(__xludf.DUMMYFUNCTION("""COMPUTED_VALUE"""),3243043.0)</f>
        <v>3243043</v>
      </c>
    </row>
    <row r="88">
      <c r="A88" s="7">
        <f>IFERROR(__xludf.DUMMYFUNCTION("""COMPUTED_VALUE"""),45807.64583333333)</f>
        <v>45807.64583</v>
      </c>
      <c r="B88" s="6">
        <f>IFERROR(__xludf.DUMMYFUNCTION("""COMPUTED_VALUE"""),2961.0)</f>
        <v>2961</v>
      </c>
      <c r="C88" s="6">
        <f>IFERROR(__xludf.DUMMYFUNCTION("""COMPUTED_VALUE"""),3289.1)</f>
        <v>3289.1</v>
      </c>
      <c r="D88" s="6">
        <f>IFERROR(__xludf.DUMMYFUNCTION("""COMPUTED_VALUE"""),2915.6)</f>
        <v>2915.6</v>
      </c>
      <c r="E88" s="6">
        <f>IFERROR(__xludf.DUMMYFUNCTION("""COMPUTED_VALUE"""),3268.1)</f>
        <v>3268.1</v>
      </c>
      <c r="F88" s="6">
        <f>IFERROR(__xludf.DUMMYFUNCTION("""COMPUTED_VALUE"""),8510526.0)</f>
        <v>8510526</v>
      </c>
    </row>
    <row r="89">
      <c r="A89" s="7">
        <f>IFERROR(__xludf.DUMMYFUNCTION("""COMPUTED_VALUE"""),45814.64583333333)</f>
        <v>45814.64583</v>
      </c>
      <c r="B89" s="6">
        <f>IFERROR(__xludf.DUMMYFUNCTION("""COMPUTED_VALUE"""),3267.0)</f>
        <v>3267</v>
      </c>
      <c r="C89" s="6">
        <f>IFERROR(__xludf.DUMMYFUNCTION("""COMPUTED_VALUE"""),3408.3)</f>
        <v>3408.3</v>
      </c>
      <c r="D89" s="6">
        <f>IFERROR(__xludf.DUMMYFUNCTION("""COMPUTED_VALUE"""),3222.6)</f>
        <v>3222.6</v>
      </c>
      <c r="E89" s="6">
        <f>IFERROR(__xludf.DUMMYFUNCTION("""COMPUTED_VALUE"""),3384.1)</f>
        <v>3384.1</v>
      </c>
      <c r="F89" s="6">
        <f>IFERROR(__xludf.DUMMYFUNCTION("""COMPUTED_VALUE"""),4095377.0)</f>
        <v>4095377</v>
      </c>
    </row>
    <row r="90">
      <c r="A90" s="7">
        <f>IFERROR(__xludf.DUMMYFUNCTION("""COMPUTED_VALUE"""),45821.64583333333)</f>
        <v>45821.64583</v>
      </c>
      <c r="B90" s="6">
        <f>IFERROR(__xludf.DUMMYFUNCTION("""COMPUTED_VALUE"""),3400.0)</f>
        <v>3400</v>
      </c>
      <c r="C90" s="6">
        <f>IFERROR(__xludf.DUMMYFUNCTION("""COMPUTED_VALUE"""),3419.5)</f>
        <v>3419.5</v>
      </c>
      <c r="D90" s="6">
        <f>IFERROR(__xludf.DUMMYFUNCTION("""COMPUTED_VALUE"""),3248.1)</f>
        <v>3248.1</v>
      </c>
      <c r="E90" s="6">
        <f>IFERROR(__xludf.DUMMYFUNCTION("""COMPUTED_VALUE"""),3310.0)</f>
        <v>3310</v>
      </c>
      <c r="F90" s="6">
        <f>IFERROR(__xludf.DUMMYFUNCTION("""COMPUTED_VALUE"""),1466701.0)</f>
        <v>1466701</v>
      </c>
    </row>
    <row r="91">
      <c r="A91" s="7">
        <f>IFERROR(__xludf.DUMMYFUNCTION("""COMPUTED_VALUE"""),45828.64583333333)</f>
        <v>45828.64583</v>
      </c>
      <c r="B91" s="6">
        <f>IFERROR(__xludf.DUMMYFUNCTION("""COMPUTED_VALUE"""),3314.9)</f>
        <v>3314.9</v>
      </c>
      <c r="C91" s="6">
        <f>IFERROR(__xludf.DUMMYFUNCTION("""COMPUTED_VALUE"""),3347.9)</f>
        <v>3347.9</v>
      </c>
      <c r="D91" s="6">
        <f>IFERROR(__xludf.DUMMYFUNCTION("""COMPUTED_VALUE"""),3212.2)</f>
        <v>3212.2</v>
      </c>
      <c r="E91" s="6">
        <f>IFERROR(__xludf.DUMMYFUNCTION("""COMPUTED_VALUE"""),3271.5)</f>
        <v>3271.5</v>
      </c>
      <c r="F91" s="6">
        <f>IFERROR(__xludf.DUMMYFUNCTION("""COMPUTED_VALUE"""),2533084.0)</f>
        <v>2533084</v>
      </c>
    </row>
    <row r="92">
      <c r="A92" s="7">
        <f>IFERROR(__xludf.DUMMYFUNCTION("""COMPUTED_VALUE"""),45835.64583333333)</f>
        <v>45835.64583</v>
      </c>
      <c r="B92" s="6">
        <f>IFERROR(__xludf.DUMMYFUNCTION("""COMPUTED_VALUE"""),3235.4)</f>
        <v>3235.4</v>
      </c>
      <c r="C92" s="6">
        <f>IFERROR(__xludf.DUMMYFUNCTION("""COMPUTED_VALUE"""),3430.0)</f>
        <v>3430</v>
      </c>
      <c r="D92" s="6">
        <f>IFERROR(__xludf.DUMMYFUNCTION("""COMPUTED_VALUE"""),3218.6)</f>
        <v>3218.6</v>
      </c>
      <c r="E92" s="6">
        <f>IFERROR(__xludf.DUMMYFUNCTION("""COMPUTED_VALUE"""),3337.2)</f>
        <v>3337.2</v>
      </c>
      <c r="F92" s="6">
        <f>IFERROR(__xludf.DUMMYFUNCTION("""COMPUTED_VALUE"""),2986579.0)</f>
        <v>2986579</v>
      </c>
    </row>
    <row r="93">
      <c r="A93" s="7">
        <f>IFERROR(__xludf.DUMMYFUNCTION("""COMPUTED_VALUE"""),45842.64583333333)</f>
        <v>45842.64583</v>
      </c>
      <c r="B93" s="6">
        <f>IFERROR(__xludf.DUMMYFUNCTION("""COMPUTED_VALUE"""),3377.4)</f>
        <v>3377.4</v>
      </c>
      <c r="C93" s="6">
        <f>IFERROR(__xludf.DUMMYFUNCTION("""COMPUTED_VALUE"""),3450.8)</f>
        <v>3450.8</v>
      </c>
      <c r="D93" s="6">
        <f>IFERROR(__xludf.DUMMYFUNCTION("""COMPUTED_VALUE"""),3312.4)</f>
        <v>3312.4</v>
      </c>
      <c r="E93" s="6">
        <f>IFERROR(__xludf.DUMMYFUNCTION("""COMPUTED_VALUE"""),3342.0)</f>
        <v>3342</v>
      </c>
      <c r="F93" s="6">
        <f>IFERROR(__xludf.DUMMYFUNCTION("""COMPUTED_VALUE"""),1581994.0)</f>
        <v>1581994</v>
      </c>
    </row>
    <row r="94">
      <c r="A94" s="7">
        <f>IFERROR(__xludf.DUMMYFUNCTION("""COMPUTED_VALUE"""),45849.64583333333)</f>
        <v>45849.64583</v>
      </c>
      <c r="B94" s="6">
        <f>IFERROR(__xludf.DUMMYFUNCTION("""COMPUTED_VALUE"""),3350.4)</f>
        <v>3350.4</v>
      </c>
      <c r="C94" s="6">
        <f>IFERROR(__xludf.DUMMYFUNCTION("""COMPUTED_VALUE"""),3569.0)</f>
        <v>3569</v>
      </c>
      <c r="D94" s="6">
        <f>IFERROR(__xludf.DUMMYFUNCTION("""COMPUTED_VALUE"""),3330.3)</f>
        <v>3330.3</v>
      </c>
      <c r="E94" s="6">
        <f>IFERROR(__xludf.DUMMYFUNCTION("""COMPUTED_VALUE"""),3546.4)</f>
        <v>3546.4</v>
      </c>
      <c r="F94" s="6">
        <f>IFERROR(__xludf.DUMMYFUNCTION("""COMPUTED_VALUE"""),3422544.0)</f>
        <v>3422544</v>
      </c>
    </row>
    <row r="95">
      <c r="A95" s="7">
        <f>IFERROR(__xludf.DUMMYFUNCTION("""COMPUTED_VALUE"""),45856.64583333333)</f>
        <v>45856.64583</v>
      </c>
      <c r="B95" s="6">
        <f>IFERROR(__xludf.DUMMYFUNCTION("""COMPUTED_VALUE"""),3567.0)</f>
        <v>3567</v>
      </c>
      <c r="C95" s="6">
        <f>IFERROR(__xludf.DUMMYFUNCTION("""COMPUTED_VALUE"""),3605.0)</f>
        <v>3605</v>
      </c>
      <c r="D95" s="6">
        <f>IFERROR(__xludf.DUMMYFUNCTION("""COMPUTED_VALUE"""),3465.0)</f>
        <v>3465</v>
      </c>
      <c r="E95" s="6">
        <f>IFERROR(__xludf.DUMMYFUNCTION("""COMPUTED_VALUE"""),3536.0)</f>
        <v>3536</v>
      </c>
      <c r="F95" s="6">
        <f>IFERROR(__xludf.DUMMYFUNCTION("""COMPUTED_VALUE"""),2541947.0)</f>
        <v>2541947</v>
      </c>
    </row>
    <row r="96">
      <c r="A96" s="7">
        <f>IFERROR(__xludf.DUMMYFUNCTION("""COMPUTED_VALUE"""),45863.64583333333)</f>
        <v>45863.64583</v>
      </c>
      <c r="B96" s="6">
        <f>IFERROR(__xludf.DUMMYFUNCTION("""COMPUTED_VALUE"""),3536.1)</f>
        <v>3536.1</v>
      </c>
      <c r="C96" s="6">
        <f>IFERROR(__xludf.DUMMYFUNCTION("""COMPUTED_VALUE"""),3633.0)</f>
        <v>3633</v>
      </c>
      <c r="D96" s="6">
        <f>IFERROR(__xludf.DUMMYFUNCTION("""COMPUTED_VALUE"""),3515.0)</f>
        <v>3515</v>
      </c>
      <c r="E96" s="6">
        <f>IFERROR(__xludf.DUMMYFUNCTION("""COMPUTED_VALUE"""),3535.1)</f>
        <v>3535.1</v>
      </c>
      <c r="F96" s="6">
        <f>IFERROR(__xludf.DUMMYFUNCTION("""COMPUTED_VALUE"""),2238165.0)</f>
        <v>2238165</v>
      </c>
    </row>
    <row r="97">
      <c r="A97" s="7">
        <f>IFERROR(__xludf.DUMMYFUNCTION("""COMPUTED_VALUE"""),45870.64583333333)</f>
        <v>45870.64583</v>
      </c>
      <c r="B97" s="6">
        <f>IFERROR(__xludf.DUMMYFUNCTION("""COMPUTED_VALUE"""),3535.9)</f>
        <v>3535.9</v>
      </c>
      <c r="C97" s="6">
        <f>IFERROR(__xludf.DUMMYFUNCTION("""COMPUTED_VALUE"""),3617.2)</f>
        <v>3617.2</v>
      </c>
      <c r="D97" s="6">
        <f>IFERROR(__xludf.DUMMYFUNCTION("""COMPUTED_VALUE"""),3481.5)</f>
        <v>3481.5</v>
      </c>
      <c r="E97" s="6">
        <f>IFERROR(__xludf.DUMMYFUNCTION("""COMPUTED_VALUE"""),3568.7)</f>
        <v>3568.7</v>
      </c>
      <c r="F97" s="6">
        <f>IFERROR(__xludf.DUMMYFUNCTION("""COMPUTED_VALUE"""),2481445.0)</f>
        <v>2481445</v>
      </c>
    </row>
    <row r="98">
      <c r="A98" s="7">
        <f>IFERROR(__xludf.DUMMYFUNCTION("""COMPUTED_VALUE"""),45877.64583333333)</f>
        <v>45877.64583</v>
      </c>
      <c r="B98" s="6">
        <f>IFERROR(__xludf.DUMMYFUNCTION("""COMPUTED_VALUE"""),3568.7)</f>
        <v>3568.7</v>
      </c>
      <c r="C98" s="6">
        <f>IFERROR(__xludf.DUMMYFUNCTION("""COMPUTED_VALUE"""),3900.1)</f>
        <v>3900.1</v>
      </c>
      <c r="D98" s="6">
        <f>IFERROR(__xludf.DUMMYFUNCTION("""COMPUTED_VALUE"""),3494.2)</f>
        <v>3494.2</v>
      </c>
      <c r="E98" s="6">
        <f>IFERROR(__xludf.DUMMYFUNCTION("""COMPUTED_VALUE"""),3806.9)</f>
        <v>3806.9</v>
      </c>
      <c r="F98" s="6">
        <f>IFERROR(__xludf.DUMMYFUNCTION("""COMPUTED_VALUE"""),6207858.0)</f>
        <v>6207858</v>
      </c>
    </row>
    <row r="99">
      <c r="A99" s="7">
        <f>IFERROR(__xludf.DUMMYFUNCTION("""COMPUTED_VALUE"""),45883.64583333333)</f>
        <v>45883.64583</v>
      </c>
      <c r="B99" s="6">
        <f>IFERROR(__xludf.DUMMYFUNCTION("""COMPUTED_VALUE"""),3806.9)</f>
        <v>3806.9</v>
      </c>
      <c r="C99" s="6">
        <f>IFERROR(__xludf.DUMMYFUNCTION("""COMPUTED_VALUE"""),3824.0)</f>
        <v>3824</v>
      </c>
      <c r="D99" s="6">
        <f>IFERROR(__xludf.DUMMYFUNCTION("""COMPUTED_VALUE"""),3750.3)</f>
        <v>3750.3</v>
      </c>
      <c r="E99" s="6">
        <f>IFERROR(__xludf.DUMMYFUNCTION("""COMPUTED_VALUE"""),3784.5)</f>
        <v>3784.5</v>
      </c>
      <c r="F99" s="6">
        <f>IFERROR(__xludf.DUMMYFUNCTION("""COMPUTED_VALUE"""),2155934.0)</f>
        <v>2155934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IFERROR(__xludf.DUMMYFUNCTION("""COMPUTED_VALUE"""),3818.3)</f>
        <v>3818.3</v>
      </c>
      <c r="C100" s="6">
        <f>IFERROR(__xludf.DUMMYFUNCTION("""COMPUTED_VALUE"""),3932.0)</f>
        <v>3932</v>
      </c>
      <c r="D100" s="6">
        <f>IFERROR(__xludf.DUMMYFUNCTION("""COMPUTED_VALUE"""),3729.5)</f>
        <v>3729.5</v>
      </c>
      <c r="E100" s="6">
        <f>IFERROR(__xludf.DUMMYFUNCTION("""COMPUTED_VALUE"""),3916.0)</f>
        <v>3916</v>
      </c>
      <c r="F100" s="6">
        <f>IFERROR(__xludf.DUMMYFUNCTION("""COMPUTED_VALUE"""),2696722.0)</f>
        <v>2696722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IFERROR(__xludf.DUMMYFUNCTION("""COMPUTED_VALUE"""),3930.8)</f>
        <v>3930.8</v>
      </c>
      <c r="C101" s="6">
        <f>IFERROR(__xludf.DUMMYFUNCTION("""COMPUTED_VALUE"""),3930.8)</f>
        <v>3930.8</v>
      </c>
      <c r="D101" s="6">
        <f>IFERROR(__xludf.DUMMYFUNCTION("""COMPUTED_VALUE"""),3815.0)</f>
        <v>3815</v>
      </c>
      <c r="E101" s="6">
        <f>IFERROR(__xludf.DUMMYFUNCTION("""COMPUTED_VALUE"""),3836.5)</f>
        <v>3836.5</v>
      </c>
      <c r="F101" s="6">
        <f>IFERROR(__xludf.DUMMYFUNCTION("""COMPUTED_VALUE"""),5553816.0)</f>
        <v>5553816</v>
      </c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IFERROR(__xludf.DUMMYFUNCTION("GOOGLEFINANCE(""NSE:DABUR"",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IFERROR(__xludf.DUMMYFUNCTION("""COMPUTED_VALUE"""),558.15)</f>
        <v>558.15</v>
      </c>
      <c r="C2" s="6">
        <f>IFERROR(__xludf.DUMMYFUNCTION("""COMPUTED_VALUE"""),559.85)</f>
        <v>559.85</v>
      </c>
      <c r="D2" s="6">
        <f>IFERROR(__xludf.DUMMYFUNCTION("""COMPUTED_VALUE"""),546.1)</f>
        <v>546.1</v>
      </c>
      <c r="E2" s="6">
        <f>IFERROR(__xludf.DUMMYFUNCTION("""COMPUTED_VALUE"""),553.35)</f>
        <v>553.35</v>
      </c>
      <c r="F2" s="6">
        <f>IFERROR(__xludf.DUMMYFUNCTION("""COMPUTED_VALUE"""),1.0630873E7)</f>
        <v>10630873</v>
      </c>
    </row>
    <row r="3">
      <c r="A3" s="7">
        <f>IFERROR(__xludf.DUMMYFUNCTION("""COMPUTED_VALUE"""),45177.64583333333)</f>
        <v>45177.64583</v>
      </c>
      <c r="B3" s="6">
        <f>IFERROR(__xludf.DUMMYFUNCTION("""COMPUTED_VALUE"""),554.15)</f>
        <v>554.15</v>
      </c>
      <c r="C3" s="6">
        <f>IFERROR(__xludf.DUMMYFUNCTION("""COMPUTED_VALUE"""),568.9)</f>
        <v>568.9</v>
      </c>
      <c r="D3" s="6">
        <f>IFERROR(__xludf.DUMMYFUNCTION("""COMPUTED_VALUE"""),551.05)</f>
        <v>551.05</v>
      </c>
      <c r="E3" s="6">
        <f>IFERROR(__xludf.DUMMYFUNCTION("""COMPUTED_VALUE"""),567.1)</f>
        <v>567.1</v>
      </c>
      <c r="F3" s="6">
        <f>IFERROR(__xludf.DUMMYFUNCTION("""COMPUTED_VALUE"""),4620822.0)</f>
        <v>4620822</v>
      </c>
    </row>
    <row r="4">
      <c r="A4" s="7">
        <f>IFERROR(__xludf.DUMMYFUNCTION("""COMPUTED_VALUE"""),45184.64583333333)</f>
        <v>45184.64583</v>
      </c>
      <c r="B4" s="6">
        <f>IFERROR(__xludf.DUMMYFUNCTION("""COMPUTED_VALUE"""),567.25)</f>
        <v>567.25</v>
      </c>
      <c r="C4" s="6">
        <f>IFERROR(__xludf.DUMMYFUNCTION("""COMPUTED_VALUE"""),572.95)</f>
        <v>572.95</v>
      </c>
      <c r="D4" s="6">
        <f>IFERROR(__xludf.DUMMYFUNCTION("""COMPUTED_VALUE"""),560.2)</f>
        <v>560.2</v>
      </c>
      <c r="E4" s="6">
        <f>IFERROR(__xludf.DUMMYFUNCTION("""COMPUTED_VALUE"""),565.5)</f>
        <v>565.5</v>
      </c>
      <c r="F4" s="6">
        <f>IFERROR(__xludf.DUMMYFUNCTION("""COMPUTED_VALUE"""),6446255.0)</f>
        <v>6446255</v>
      </c>
    </row>
    <row r="5">
      <c r="A5" s="7">
        <f>IFERROR(__xludf.DUMMYFUNCTION("""COMPUTED_VALUE"""),45191.64583333333)</f>
        <v>45191.64583</v>
      </c>
      <c r="B5" s="6">
        <f>IFERROR(__xludf.DUMMYFUNCTION("""COMPUTED_VALUE"""),571.0)</f>
        <v>571</v>
      </c>
      <c r="C5" s="6">
        <f>IFERROR(__xludf.DUMMYFUNCTION("""COMPUTED_VALUE"""),576.6)</f>
        <v>576.6</v>
      </c>
      <c r="D5" s="6">
        <f>IFERROR(__xludf.DUMMYFUNCTION("""COMPUTED_VALUE"""),553.55)</f>
        <v>553.55</v>
      </c>
      <c r="E5" s="6">
        <f>IFERROR(__xludf.DUMMYFUNCTION("""COMPUTED_VALUE"""),561.3)</f>
        <v>561.3</v>
      </c>
      <c r="F5" s="6">
        <f>IFERROR(__xludf.DUMMYFUNCTION("""COMPUTED_VALUE"""),7063951.0)</f>
        <v>7063951</v>
      </c>
    </row>
    <row r="6">
      <c r="A6" s="7">
        <f>IFERROR(__xludf.DUMMYFUNCTION("""COMPUTED_VALUE"""),45198.64583333333)</f>
        <v>45198.64583</v>
      </c>
      <c r="B6" s="6">
        <f>IFERROR(__xludf.DUMMYFUNCTION("""COMPUTED_VALUE"""),561.3)</f>
        <v>561.3</v>
      </c>
      <c r="C6" s="6">
        <f>IFERROR(__xludf.DUMMYFUNCTION("""COMPUTED_VALUE"""),563.0)</f>
        <v>563</v>
      </c>
      <c r="D6" s="6">
        <f>IFERROR(__xludf.DUMMYFUNCTION("""COMPUTED_VALUE"""),545.55)</f>
        <v>545.55</v>
      </c>
      <c r="E6" s="6">
        <f>IFERROR(__xludf.DUMMYFUNCTION("""COMPUTED_VALUE"""),551.6)</f>
        <v>551.6</v>
      </c>
      <c r="F6" s="6">
        <f>IFERROR(__xludf.DUMMYFUNCTION("""COMPUTED_VALUE"""),7112583.0)</f>
        <v>7112583</v>
      </c>
    </row>
    <row r="7">
      <c r="A7" s="7">
        <f>IFERROR(__xludf.DUMMYFUNCTION("""COMPUTED_VALUE"""),45205.64583333333)</f>
        <v>45205.64583</v>
      </c>
      <c r="B7" s="6">
        <f>IFERROR(__xludf.DUMMYFUNCTION("""COMPUTED_VALUE"""),555.2)</f>
        <v>555.2</v>
      </c>
      <c r="C7" s="6">
        <f>IFERROR(__xludf.DUMMYFUNCTION("""COMPUTED_VALUE"""),558.0)</f>
        <v>558</v>
      </c>
      <c r="D7" s="6">
        <f>IFERROR(__xludf.DUMMYFUNCTION("""COMPUTED_VALUE"""),545.8)</f>
        <v>545.8</v>
      </c>
      <c r="E7" s="6">
        <f>IFERROR(__xludf.DUMMYFUNCTION("""COMPUTED_VALUE"""),547.15)</f>
        <v>547.15</v>
      </c>
      <c r="F7" s="6">
        <f>IFERROR(__xludf.DUMMYFUNCTION("""COMPUTED_VALUE"""),5592439.0)</f>
        <v>5592439</v>
      </c>
    </row>
    <row r="8">
      <c r="A8" s="7">
        <f>IFERROR(__xludf.DUMMYFUNCTION("""COMPUTED_VALUE"""),45212.64583333333)</f>
        <v>45212.64583</v>
      </c>
      <c r="B8" s="6">
        <f>IFERROR(__xludf.DUMMYFUNCTION("""COMPUTED_VALUE"""),543.15)</f>
        <v>543.15</v>
      </c>
      <c r="C8" s="6">
        <f>IFERROR(__xludf.DUMMYFUNCTION("""COMPUTED_VALUE"""),546.7)</f>
        <v>546.7</v>
      </c>
      <c r="D8" s="6">
        <f>IFERROR(__xludf.DUMMYFUNCTION("""COMPUTED_VALUE"""),536.5)</f>
        <v>536.5</v>
      </c>
      <c r="E8" s="6">
        <f>IFERROR(__xludf.DUMMYFUNCTION("""COMPUTED_VALUE"""),538.85)</f>
        <v>538.85</v>
      </c>
      <c r="F8" s="6">
        <f>IFERROR(__xludf.DUMMYFUNCTION("""COMPUTED_VALUE"""),5442815.0)</f>
        <v>5442815</v>
      </c>
    </row>
    <row r="9">
      <c r="A9" s="7">
        <f>IFERROR(__xludf.DUMMYFUNCTION("""COMPUTED_VALUE"""),45219.64583333333)</f>
        <v>45219.64583</v>
      </c>
      <c r="B9" s="6">
        <f>IFERROR(__xludf.DUMMYFUNCTION("""COMPUTED_VALUE"""),538.0)</f>
        <v>538</v>
      </c>
      <c r="C9" s="6">
        <f>IFERROR(__xludf.DUMMYFUNCTION("""COMPUTED_VALUE"""),543.0)</f>
        <v>543</v>
      </c>
      <c r="D9" s="6">
        <f>IFERROR(__xludf.DUMMYFUNCTION("""COMPUTED_VALUE"""),516.0)</f>
        <v>516</v>
      </c>
      <c r="E9" s="6">
        <f>IFERROR(__xludf.DUMMYFUNCTION("""COMPUTED_VALUE"""),524.8)</f>
        <v>524.8</v>
      </c>
      <c r="F9" s="6">
        <f>IFERROR(__xludf.DUMMYFUNCTION("""COMPUTED_VALUE"""),1.6792857E7)</f>
        <v>16792857</v>
      </c>
    </row>
    <row r="10">
      <c r="A10" s="7">
        <f>IFERROR(__xludf.DUMMYFUNCTION("""COMPUTED_VALUE"""),45226.64583333333)</f>
        <v>45226.64583</v>
      </c>
      <c r="B10" s="6">
        <f>IFERROR(__xludf.DUMMYFUNCTION("""COMPUTED_VALUE"""),524.8)</f>
        <v>524.8</v>
      </c>
      <c r="C10" s="6">
        <f>IFERROR(__xludf.DUMMYFUNCTION("""COMPUTED_VALUE"""),526.0)</f>
        <v>526</v>
      </c>
      <c r="D10" s="6">
        <f>IFERROR(__xludf.DUMMYFUNCTION("""COMPUTED_VALUE"""),504.1)</f>
        <v>504.1</v>
      </c>
      <c r="E10" s="6">
        <f>IFERROR(__xludf.DUMMYFUNCTION("""COMPUTED_VALUE"""),524.55)</f>
        <v>524.55</v>
      </c>
      <c r="F10" s="6">
        <f>IFERROR(__xludf.DUMMYFUNCTION("""COMPUTED_VALUE"""),8077126.0)</f>
        <v>8077126</v>
      </c>
    </row>
    <row r="11">
      <c r="A11" s="7">
        <f>IFERROR(__xludf.DUMMYFUNCTION("""COMPUTED_VALUE"""),45233.64583333333)</f>
        <v>45233.64583</v>
      </c>
      <c r="B11" s="6">
        <f>IFERROR(__xludf.DUMMYFUNCTION("""COMPUTED_VALUE"""),524.5)</f>
        <v>524.5</v>
      </c>
      <c r="C11" s="6">
        <f>IFERROR(__xludf.DUMMYFUNCTION("""COMPUTED_VALUE"""),537.85)</f>
        <v>537.85</v>
      </c>
      <c r="D11" s="6">
        <f>IFERROR(__xludf.DUMMYFUNCTION("""COMPUTED_VALUE"""),516.2)</f>
        <v>516.2</v>
      </c>
      <c r="E11" s="6">
        <f>IFERROR(__xludf.DUMMYFUNCTION("""COMPUTED_VALUE"""),535.5)</f>
        <v>535.5</v>
      </c>
      <c r="F11" s="6">
        <f>IFERROR(__xludf.DUMMYFUNCTION("""COMPUTED_VALUE"""),9367669.0)</f>
        <v>9367669</v>
      </c>
    </row>
    <row r="12">
      <c r="A12" s="7">
        <f>IFERROR(__xludf.DUMMYFUNCTION("""COMPUTED_VALUE"""),45240.64583333333)</f>
        <v>45240.64583</v>
      </c>
      <c r="B12" s="6">
        <f>IFERROR(__xludf.DUMMYFUNCTION("""COMPUTED_VALUE"""),536.9)</f>
        <v>536.9</v>
      </c>
      <c r="C12" s="6">
        <f>IFERROR(__xludf.DUMMYFUNCTION("""COMPUTED_VALUE"""),540.0)</f>
        <v>540</v>
      </c>
      <c r="D12" s="6">
        <f>IFERROR(__xludf.DUMMYFUNCTION("""COMPUTED_VALUE"""),526.7)</f>
        <v>526.7</v>
      </c>
      <c r="E12" s="6">
        <f>IFERROR(__xludf.DUMMYFUNCTION("""COMPUTED_VALUE"""),533.35)</f>
        <v>533.35</v>
      </c>
      <c r="F12" s="6">
        <f>IFERROR(__xludf.DUMMYFUNCTION("""COMPUTED_VALUE"""),4807078.0)</f>
        <v>4807078</v>
      </c>
    </row>
    <row r="13">
      <c r="A13" s="7">
        <f>IFERROR(__xludf.DUMMYFUNCTION("""COMPUTED_VALUE"""),45247.64583333333)</f>
        <v>45247.64583</v>
      </c>
      <c r="B13" s="6">
        <f>IFERROR(__xludf.DUMMYFUNCTION("""COMPUTED_VALUE"""),535.0)</f>
        <v>535</v>
      </c>
      <c r="C13" s="6">
        <f>IFERROR(__xludf.DUMMYFUNCTION("""COMPUTED_VALUE"""),542.6)</f>
        <v>542.6</v>
      </c>
      <c r="D13" s="6">
        <f>IFERROR(__xludf.DUMMYFUNCTION("""COMPUTED_VALUE"""),516.7)</f>
        <v>516.7</v>
      </c>
      <c r="E13" s="6">
        <f>IFERROR(__xludf.DUMMYFUNCTION("""COMPUTED_VALUE"""),540.7)</f>
        <v>540.7</v>
      </c>
      <c r="F13" s="6">
        <f>IFERROR(__xludf.DUMMYFUNCTION("""COMPUTED_VALUE"""),7591868.0)</f>
        <v>7591868</v>
      </c>
    </row>
    <row r="14">
      <c r="A14" s="7">
        <f>IFERROR(__xludf.DUMMYFUNCTION("""COMPUTED_VALUE"""),45254.64583333333)</f>
        <v>45254.64583</v>
      </c>
      <c r="B14" s="6">
        <f>IFERROR(__xludf.DUMMYFUNCTION("""COMPUTED_VALUE"""),540.7)</f>
        <v>540.7</v>
      </c>
      <c r="C14" s="6">
        <f>IFERROR(__xludf.DUMMYFUNCTION("""COMPUTED_VALUE"""),545.65)</f>
        <v>545.65</v>
      </c>
      <c r="D14" s="6">
        <f>IFERROR(__xludf.DUMMYFUNCTION("""COMPUTED_VALUE"""),535.25)</f>
        <v>535.25</v>
      </c>
      <c r="E14" s="6">
        <f>IFERROR(__xludf.DUMMYFUNCTION("""COMPUTED_VALUE"""),537.35)</f>
        <v>537.35</v>
      </c>
      <c r="F14" s="6">
        <f>IFERROR(__xludf.DUMMYFUNCTION("""COMPUTED_VALUE"""),5212091.0)</f>
        <v>5212091</v>
      </c>
    </row>
    <row r="15">
      <c r="A15" s="7">
        <f>IFERROR(__xludf.DUMMYFUNCTION("""COMPUTED_VALUE"""),45261.64583333333)</f>
        <v>45261.64583</v>
      </c>
      <c r="B15" s="6">
        <f>IFERROR(__xludf.DUMMYFUNCTION("""COMPUTED_VALUE"""),536.5)</f>
        <v>536.5</v>
      </c>
      <c r="C15" s="6">
        <f>IFERROR(__xludf.DUMMYFUNCTION("""COMPUTED_VALUE"""),544.4)</f>
        <v>544.4</v>
      </c>
      <c r="D15" s="6">
        <f>IFERROR(__xludf.DUMMYFUNCTION("""COMPUTED_VALUE"""),531.05)</f>
        <v>531.05</v>
      </c>
      <c r="E15" s="6">
        <f>IFERROR(__xludf.DUMMYFUNCTION("""COMPUTED_VALUE"""),541.15)</f>
        <v>541.15</v>
      </c>
      <c r="F15" s="6">
        <f>IFERROR(__xludf.DUMMYFUNCTION("""COMPUTED_VALUE"""),8819300.0)</f>
        <v>8819300</v>
      </c>
    </row>
    <row r="16">
      <c r="A16" s="7">
        <f>IFERROR(__xludf.DUMMYFUNCTION("""COMPUTED_VALUE"""),45268.64583333333)</f>
        <v>45268.64583</v>
      </c>
      <c r="B16" s="6">
        <f>IFERROR(__xludf.DUMMYFUNCTION("""COMPUTED_VALUE"""),544.9)</f>
        <v>544.9</v>
      </c>
      <c r="C16" s="6">
        <f>IFERROR(__xludf.DUMMYFUNCTION("""COMPUTED_VALUE"""),556.25)</f>
        <v>556.25</v>
      </c>
      <c r="D16" s="6">
        <f>IFERROR(__xludf.DUMMYFUNCTION("""COMPUTED_VALUE"""),537.45)</f>
        <v>537.45</v>
      </c>
      <c r="E16" s="6">
        <f>IFERROR(__xludf.DUMMYFUNCTION("""COMPUTED_VALUE"""),547.5)</f>
        <v>547.5</v>
      </c>
      <c r="F16" s="6">
        <f>IFERROR(__xludf.DUMMYFUNCTION("""COMPUTED_VALUE"""),8507384.0)</f>
        <v>8507384</v>
      </c>
    </row>
    <row r="17">
      <c r="A17" s="7">
        <f>IFERROR(__xludf.DUMMYFUNCTION("""COMPUTED_VALUE"""),45275.64583333333)</f>
        <v>45275.64583</v>
      </c>
      <c r="B17" s="6">
        <f>IFERROR(__xludf.DUMMYFUNCTION("""COMPUTED_VALUE"""),548.0)</f>
        <v>548</v>
      </c>
      <c r="C17" s="6">
        <f>IFERROR(__xludf.DUMMYFUNCTION("""COMPUTED_VALUE"""),553.6)</f>
        <v>553.6</v>
      </c>
      <c r="D17" s="6">
        <f>IFERROR(__xludf.DUMMYFUNCTION("""COMPUTED_VALUE"""),537.25)</f>
        <v>537.25</v>
      </c>
      <c r="E17" s="6">
        <f>IFERROR(__xludf.DUMMYFUNCTION("""COMPUTED_VALUE"""),539.7)</f>
        <v>539.7</v>
      </c>
      <c r="F17" s="6">
        <f>IFERROR(__xludf.DUMMYFUNCTION("""COMPUTED_VALUE"""),9059804.0)</f>
        <v>9059804</v>
      </c>
    </row>
    <row r="18">
      <c r="A18" s="7">
        <f>IFERROR(__xludf.DUMMYFUNCTION("""COMPUTED_VALUE"""),45282.64583333333)</f>
        <v>45282.64583</v>
      </c>
      <c r="B18" s="6">
        <f>IFERROR(__xludf.DUMMYFUNCTION("""COMPUTED_VALUE"""),539.7)</f>
        <v>539.7</v>
      </c>
      <c r="C18" s="6">
        <f>IFERROR(__xludf.DUMMYFUNCTION("""COMPUTED_VALUE"""),551.5)</f>
        <v>551.5</v>
      </c>
      <c r="D18" s="6">
        <f>IFERROR(__xludf.DUMMYFUNCTION("""COMPUTED_VALUE"""),526.5)</f>
        <v>526.5</v>
      </c>
      <c r="E18" s="6">
        <f>IFERROR(__xludf.DUMMYFUNCTION("""COMPUTED_VALUE"""),529.3)</f>
        <v>529.3</v>
      </c>
      <c r="F18" s="6">
        <f>IFERROR(__xludf.DUMMYFUNCTION("""COMPUTED_VALUE"""),1.8562244E7)</f>
        <v>18562244</v>
      </c>
    </row>
    <row r="19">
      <c r="A19" s="7">
        <f>IFERROR(__xludf.DUMMYFUNCTION("""COMPUTED_VALUE"""),45289.64583333333)</f>
        <v>45289.64583</v>
      </c>
      <c r="B19" s="6">
        <f>IFERROR(__xludf.DUMMYFUNCTION("""COMPUTED_VALUE"""),530.0)</f>
        <v>530</v>
      </c>
      <c r="C19" s="6">
        <f>IFERROR(__xludf.DUMMYFUNCTION("""COMPUTED_VALUE"""),560.0)</f>
        <v>560</v>
      </c>
      <c r="D19" s="6">
        <f>IFERROR(__xludf.DUMMYFUNCTION("""COMPUTED_VALUE"""),529.0)</f>
        <v>529</v>
      </c>
      <c r="E19" s="6">
        <f>IFERROR(__xludf.DUMMYFUNCTION("""COMPUTED_VALUE"""),557.2)</f>
        <v>557.2</v>
      </c>
      <c r="F19" s="6">
        <f>IFERROR(__xludf.DUMMYFUNCTION("""COMPUTED_VALUE"""),1.2597273E7)</f>
        <v>12597273</v>
      </c>
    </row>
    <row r="20">
      <c r="A20" s="7">
        <f>IFERROR(__xludf.DUMMYFUNCTION("""COMPUTED_VALUE"""),45296.64583333333)</f>
        <v>45296.64583</v>
      </c>
      <c r="B20" s="6">
        <f>IFERROR(__xludf.DUMMYFUNCTION("""COMPUTED_VALUE"""),560.0)</f>
        <v>560</v>
      </c>
      <c r="C20" s="6">
        <f>IFERROR(__xludf.DUMMYFUNCTION("""COMPUTED_VALUE"""),571.65)</f>
        <v>571.65</v>
      </c>
      <c r="D20" s="6">
        <f>IFERROR(__xludf.DUMMYFUNCTION("""COMPUTED_VALUE"""),546.6)</f>
        <v>546.6</v>
      </c>
      <c r="E20" s="6">
        <f>IFERROR(__xludf.DUMMYFUNCTION("""COMPUTED_VALUE"""),569.05)</f>
        <v>569.05</v>
      </c>
      <c r="F20" s="6">
        <f>IFERROR(__xludf.DUMMYFUNCTION("""COMPUTED_VALUE"""),1.1252183E7)</f>
        <v>11252183</v>
      </c>
    </row>
    <row r="21">
      <c r="A21" s="7">
        <f>IFERROR(__xludf.DUMMYFUNCTION("""COMPUTED_VALUE"""),45303.64583333333)</f>
        <v>45303.64583</v>
      </c>
      <c r="B21" s="6">
        <f>IFERROR(__xludf.DUMMYFUNCTION("""COMPUTED_VALUE"""),572.5)</f>
        <v>572.5</v>
      </c>
      <c r="C21" s="6">
        <f>IFERROR(__xludf.DUMMYFUNCTION("""COMPUTED_VALUE"""),572.5)</f>
        <v>572.5</v>
      </c>
      <c r="D21" s="6">
        <f>IFERROR(__xludf.DUMMYFUNCTION("""COMPUTED_VALUE"""),542.3)</f>
        <v>542.3</v>
      </c>
      <c r="E21" s="6">
        <f>IFERROR(__xludf.DUMMYFUNCTION("""COMPUTED_VALUE"""),549.7)</f>
        <v>549.7</v>
      </c>
      <c r="F21" s="6">
        <f>IFERROR(__xludf.DUMMYFUNCTION("""COMPUTED_VALUE"""),9137067.0)</f>
        <v>9137067</v>
      </c>
    </row>
    <row r="22">
      <c r="A22" s="7">
        <f>IFERROR(__xludf.DUMMYFUNCTION("""COMPUTED_VALUE"""),45316.64583333333)</f>
        <v>45316.64583</v>
      </c>
      <c r="B22" s="6">
        <f>IFERROR(__xludf.DUMMYFUNCTION("""COMPUTED_VALUE"""),544.4)</f>
        <v>544.4</v>
      </c>
      <c r="C22" s="6">
        <f>IFERROR(__xludf.DUMMYFUNCTION("""COMPUTED_VALUE"""),544.4)</f>
        <v>544.4</v>
      </c>
      <c r="D22" s="6">
        <f>IFERROR(__xludf.DUMMYFUNCTION("""COMPUTED_VALUE"""),522.2)</f>
        <v>522.2</v>
      </c>
      <c r="E22" s="6">
        <f>IFERROR(__xludf.DUMMYFUNCTION("""COMPUTED_VALUE"""),531.6)</f>
        <v>531.6</v>
      </c>
      <c r="F22" s="6">
        <f>IFERROR(__xludf.DUMMYFUNCTION("""COMPUTED_VALUE"""),4095201.0)</f>
        <v>4095201</v>
      </c>
    </row>
    <row r="23">
      <c r="A23" s="7">
        <f>IFERROR(__xludf.DUMMYFUNCTION("""COMPUTED_VALUE"""),45324.64583333333)</f>
        <v>45324.64583</v>
      </c>
      <c r="B23" s="6">
        <f>IFERROR(__xludf.DUMMYFUNCTION("""COMPUTED_VALUE"""),515.0)</f>
        <v>515</v>
      </c>
      <c r="C23" s="6">
        <f>IFERROR(__xludf.DUMMYFUNCTION("""COMPUTED_VALUE"""),575.5)</f>
        <v>575.5</v>
      </c>
      <c r="D23" s="6">
        <f>IFERROR(__xludf.DUMMYFUNCTION("""COMPUTED_VALUE"""),515.0)</f>
        <v>515</v>
      </c>
      <c r="E23" s="6">
        <f>IFERROR(__xludf.DUMMYFUNCTION("""COMPUTED_VALUE"""),544.65)</f>
        <v>544.65</v>
      </c>
      <c r="F23" s="6">
        <f>IFERROR(__xludf.DUMMYFUNCTION("""COMPUTED_VALUE"""),2.0831947E7)</f>
        <v>20831947</v>
      </c>
    </row>
    <row r="24">
      <c r="A24" s="7">
        <f>IFERROR(__xludf.DUMMYFUNCTION("""COMPUTED_VALUE"""),45331.64583333333)</f>
        <v>45331.64583</v>
      </c>
      <c r="B24" s="6">
        <f>IFERROR(__xludf.DUMMYFUNCTION("""COMPUTED_VALUE"""),543.0)</f>
        <v>543</v>
      </c>
      <c r="C24" s="6">
        <f>IFERROR(__xludf.DUMMYFUNCTION("""COMPUTED_VALUE"""),544.8)</f>
        <v>544.8</v>
      </c>
      <c r="D24" s="6">
        <f>IFERROR(__xludf.DUMMYFUNCTION("""COMPUTED_VALUE"""),528.65)</f>
        <v>528.65</v>
      </c>
      <c r="E24" s="6">
        <f>IFERROR(__xludf.DUMMYFUNCTION("""COMPUTED_VALUE"""),539.2)</f>
        <v>539.2</v>
      </c>
      <c r="F24" s="6">
        <f>IFERROR(__xludf.DUMMYFUNCTION("""COMPUTED_VALUE"""),7724595.0)</f>
        <v>7724595</v>
      </c>
    </row>
    <row r="25">
      <c r="A25" s="7">
        <f>IFERROR(__xludf.DUMMYFUNCTION("""COMPUTED_VALUE"""),45338.64583333333)</f>
        <v>45338.64583</v>
      </c>
      <c r="B25" s="6">
        <f>IFERROR(__xludf.DUMMYFUNCTION("""COMPUTED_VALUE"""),539.2)</f>
        <v>539.2</v>
      </c>
      <c r="C25" s="6">
        <f>IFERROR(__xludf.DUMMYFUNCTION("""COMPUTED_VALUE"""),547.85)</f>
        <v>547.85</v>
      </c>
      <c r="D25" s="6">
        <f>IFERROR(__xludf.DUMMYFUNCTION("""COMPUTED_VALUE"""),531.15)</f>
        <v>531.15</v>
      </c>
      <c r="E25" s="6">
        <f>IFERROR(__xludf.DUMMYFUNCTION("""COMPUTED_VALUE"""),544.5)</f>
        <v>544.5</v>
      </c>
      <c r="F25" s="6">
        <f>IFERROR(__xludf.DUMMYFUNCTION("""COMPUTED_VALUE"""),4854761.0)</f>
        <v>4854761</v>
      </c>
    </row>
    <row r="26">
      <c r="A26" s="7">
        <f>IFERROR(__xludf.DUMMYFUNCTION("""COMPUTED_VALUE"""),45345.64583333333)</f>
        <v>45345.64583</v>
      </c>
      <c r="B26" s="6">
        <f>IFERROR(__xludf.DUMMYFUNCTION("""COMPUTED_VALUE"""),545.0)</f>
        <v>545</v>
      </c>
      <c r="C26" s="6">
        <f>IFERROR(__xludf.DUMMYFUNCTION("""COMPUTED_VALUE"""),551.2)</f>
        <v>551.2</v>
      </c>
      <c r="D26" s="6">
        <f>IFERROR(__xludf.DUMMYFUNCTION("""COMPUTED_VALUE"""),534.25)</f>
        <v>534.25</v>
      </c>
      <c r="E26" s="6">
        <f>IFERROR(__xludf.DUMMYFUNCTION("""COMPUTED_VALUE"""),535.3)</f>
        <v>535.3</v>
      </c>
      <c r="F26" s="6">
        <f>IFERROR(__xludf.DUMMYFUNCTION("""COMPUTED_VALUE"""),6472648.0)</f>
        <v>6472648</v>
      </c>
    </row>
    <row r="27">
      <c r="A27" s="7">
        <f>IFERROR(__xludf.DUMMYFUNCTION("""COMPUTED_VALUE"""),45358.64583333333)</f>
        <v>45358.64583</v>
      </c>
      <c r="B27" s="6">
        <f>IFERROR(__xludf.DUMMYFUNCTION("""COMPUTED_VALUE"""),538.0)</f>
        <v>538</v>
      </c>
      <c r="C27" s="6">
        <f>IFERROR(__xludf.DUMMYFUNCTION("""COMPUTED_VALUE"""),539.7)</f>
        <v>539.7</v>
      </c>
      <c r="D27" s="6">
        <f>IFERROR(__xludf.DUMMYFUNCTION("""COMPUTED_VALUE"""),528.25)</f>
        <v>528.25</v>
      </c>
      <c r="E27" s="6">
        <f>IFERROR(__xludf.DUMMYFUNCTION("""COMPUTED_VALUE"""),535.25)</f>
        <v>535.25</v>
      </c>
      <c r="F27" s="6">
        <f>IFERROR(__xludf.DUMMYFUNCTION("""COMPUTED_VALUE"""),5472280.0)</f>
        <v>5472280</v>
      </c>
    </row>
    <row r="28">
      <c r="A28" s="7">
        <f>IFERROR(__xludf.DUMMYFUNCTION("""COMPUTED_VALUE"""),45366.64583333333)</f>
        <v>45366.64583</v>
      </c>
      <c r="B28" s="6">
        <f>IFERROR(__xludf.DUMMYFUNCTION("""COMPUTED_VALUE"""),535.25)</f>
        <v>535.25</v>
      </c>
      <c r="C28" s="6">
        <f>IFERROR(__xludf.DUMMYFUNCTION("""COMPUTED_VALUE"""),538.4)</f>
        <v>538.4</v>
      </c>
      <c r="D28" s="6">
        <f>IFERROR(__xludf.DUMMYFUNCTION("""COMPUTED_VALUE"""),515.8)</f>
        <v>515.8</v>
      </c>
      <c r="E28" s="6">
        <f>IFERROR(__xludf.DUMMYFUNCTION("""COMPUTED_VALUE"""),526.55)</f>
        <v>526.55</v>
      </c>
      <c r="F28" s="6">
        <f>IFERROR(__xludf.DUMMYFUNCTION("""COMPUTED_VALUE"""),8421159.0)</f>
        <v>8421159</v>
      </c>
    </row>
    <row r="29">
      <c r="A29" s="7">
        <f>IFERROR(__xludf.DUMMYFUNCTION("""COMPUTED_VALUE"""),45373.64583333333)</f>
        <v>45373.64583</v>
      </c>
      <c r="B29" s="6">
        <f>IFERROR(__xludf.DUMMYFUNCTION("""COMPUTED_VALUE"""),526.55)</f>
        <v>526.55</v>
      </c>
      <c r="C29" s="6">
        <f>IFERROR(__xludf.DUMMYFUNCTION("""COMPUTED_VALUE"""),530.0)</f>
        <v>530</v>
      </c>
      <c r="D29" s="6">
        <f>IFERROR(__xludf.DUMMYFUNCTION("""COMPUTED_VALUE"""),512.0)</f>
        <v>512</v>
      </c>
      <c r="E29" s="6">
        <f>IFERROR(__xludf.DUMMYFUNCTION("""COMPUTED_VALUE"""),520.8)</f>
        <v>520.8</v>
      </c>
      <c r="F29" s="6">
        <f>IFERROR(__xludf.DUMMYFUNCTION("""COMPUTED_VALUE"""),6289594.0)</f>
        <v>6289594</v>
      </c>
    </row>
    <row r="30">
      <c r="A30" s="7">
        <f>IFERROR(__xludf.DUMMYFUNCTION("""COMPUTED_VALUE"""),45379.64583333333)</f>
        <v>45379.64583</v>
      </c>
      <c r="B30" s="6">
        <f>IFERROR(__xludf.DUMMYFUNCTION("""COMPUTED_VALUE"""),512.6)</f>
        <v>512.6</v>
      </c>
      <c r="C30" s="6">
        <f>IFERROR(__xludf.DUMMYFUNCTION("""COMPUTED_VALUE"""),526.0)</f>
        <v>526</v>
      </c>
      <c r="D30" s="6">
        <f>IFERROR(__xludf.DUMMYFUNCTION("""COMPUTED_VALUE"""),512.6)</f>
        <v>512.6</v>
      </c>
      <c r="E30" s="6">
        <f>IFERROR(__xludf.DUMMYFUNCTION("""COMPUTED_VALUE"""),523.15)</f>
        <v>523.15</v>
      </c>
      <c r="F30" s="6">
        <f>IFERROR(__xludf.DUMMYFUNCTION("""COMPUTED_VALUE"""),6912626.0)</f>
        <v>6912626</v>
      </c>
    </row>
    <row r="31">
      <c r="A31" s="7">
        <f>IFERROR(__xludf.DUMMYFUNCTION("""COMPUTED_VALUE"""),45387.64583333333)</f>
        <v>45387.64583</v>
      </c>
      <c r="B31" s="6">
        <f>IFERROR(__xludf.DUMMYFUNCTION("""COMPUTED_VALUE"""),523.5)</f>
        <v>523.5</v>
      </c>
      <c r="C31" s="6">
        <f>IFERROR(__xludf.DUMMYFUNCTION("""COMPUTED_VALUE"""),532.55)</f>
        <v>532.55</v>
      </c>
      <c r="D31" s="6">
        <f>IFERROR(__xludf.DUMMYFUNCTION("""COMPUTED_VALUE"""),502.3)</f>
        <v>502.3</v>
      </c>
      <c r="E31" s="6">
        <f>IFERROR(__xludf.DUMMYFUNCTION("""COMPUTED_VALUE"""),507.9)</f>
        <v>507.9</v>
      </c>
      <c r="F31" s="6">
        <f>IFERROR(__xludf.DUMMYFUNCTION("""COMPUTED_VALUE"""),2.1259788E7)</f>
        <v>21259788</v>
      </c>
    </row>
    <row r="32">
      <c r="A32" s="7">
        <f>IFERROR(__xludf.DUMMYFUNCTION("""COMPUTED_VALUE"""),45394.64583333333)</f>
        <v>45394.64583</v>
      </c>
      <c r="B32" s="6">
        <f>IFERROR(__xludf.DUMMYFUNCTION("""COMPUTED_VALUE"""),508.05)</f>
        <v>508.05</v>
      </c>
      <c r="C32" s="6">
        <f>IFERROR(__xludf.DUMMYFUNCTION("""COMPUTED_VALUE"""),509.85)</f>
        <v>509.85</v>
      </c>
      <c r="D32" s="6">
        <f>IFERROR(__xludf.DUMMYFUNCTION("""COMPUTED_VALUE"""),499.1)</f>
        <v>499.1</v>
      </c>
      <c r="E32" s="6">
        <f>IFERROR(__xludf.DUMMYFUNCTION("""COMPUTED_VALUE"""),500.6)</f>
        <v>500.6</v>
      </c>
      <c r="F32" s="6">
        <f>IFERROR(__xludf.DUMMYFUNCTION("""COMPUTED_VALUE"""),1.1964365E7)</f>
        <v>11964365</v>
      </c>
    </row>
    <row r="33">
      <c r="A33" s="7">
        <f>IFERROR(__xludf.DUMMYFUNCTION("""COMPUTED_VALUE"""),45401.64583333333)</f>
        <v>45401.64583</v>
      </c>
      <c r="B33" s="6">
        <f>IFERROR(__xludf.DUMMYFUNCTION("""COMPUTED_VALUE"""),495.9)</f>
        <v>495.9</v>
      </c>
      <c r="C33" s="6">
        <f>IFERROR(__xludf.DUMMYFUNCTION("""COMPUTED_VALUE"""),507.95)</f>
        <v>507.95</v>
      </c>
      <c r="D33" s="6">
        <f>IFERROR(__xludf.DUMMYFUNCTION("""COMPUTED_VALUE"""),489.2)</f>
        <v>489.2</v>
      </c>
      <c r="E33" s="6">
        <f>IFERROR(__xludf.DUMMYFUNCTION("""COMPUTED_VALUE"""),504.2)</f>
        <v>504.2</v>
      </c>
      <c r="F33" s="6">
        <f>IFERROR(__xludf.DUMMYFUNCTION("""COMPUTED_VALUE"""),1.1316824E7)</f>
        <v>11316824</v>
      </c>
    </row>
    <row r="34">
      <c r="A34" s="7">
        <f>IFERROR(__xludf.DUMMYFUNCTION("""COMPUTED_VALUE"""),45408.64583333333)</f>
        <v>45408.64583</v>
      </c>
      <c r="B34" s="6">
        <f>IFERROR(__xludf.DUMMYFUNCTION("""COMPUTED_VALUE"""),507.4)</f>
        <v>507.4</v>
      </c>
      <c r="C34" s="6">
        <f>IFERROR(__xludf.DUMMYFUNCTION("""COMPUTED_VALUE"""),511.55)</f>
        <v>511.55</v>
      </c>
      <c r="D34" s="6">
        <f>IFERROR(__xludf.DUMMYFUNCTION("""COMPUTED_VALUE"""),503.3)</f>
        <v>503.3</v>
      </c>
      <c r="E34" s="6">
        <f>IFERROR(__xludf.DUMMYFUNCTION("""COMPUTED_VALUE"""),509.0)</f>
        <v>509</v>
      </c>
      <c r="F34" s="6">
        <f>IFERROR(__xludf.DUMMYFUNCTION("""COMPUTED_VALUE"""),7363492.0)</f>
        <v>7363492</v>
      </c>
    </row>
    <row r="35">
      <c r="A35" s="7">
        <f>IFERROR(__xludf.DUMMYFUNCTION("""COMPUTED_VALUE"""),45415.64583333333)</f>
        <v>45415.64583</v>
      </c>
      <c r="B35" s="6">
        <f>IFERROR(__xludf.DUMMYFUNCTION("""COMPUTED_VALUE"""),512.4)</f>
        <v>512.4</v>
      </c>
      <c r="C35" s="6">
        <f>IFERROR(__xludf.DUMMYFUNCTION("""COMPUTED_VALUE"""),538.0)</f>
        <v>538</v>
      </c>
      <c r="D35" s="6">
        <f>IFERROR(__xludf.DUMMYFUNCTION("""COMPUTED_VALUE"""),505.15)</f>
        <v>505.15</v>
      </c>
      <c r="E35" s="6">
        <f>IFERROR(__xludf.DUMMYFUNCTION("""COMPUTED_VALUE"""),531.75)</f>
        <v>531.75</v>
      </c>
      <c r="F35" s="6">
        <f>IFERROR(__xludf.DUMMYFUNCTION("""COMPUTED_VALUE"""),1.7566107E7)</f>
        <v>17566107</v>
      </c>
    </row>
    <row r="36">
      <c r="A36" s="7">
        <f>IFERROR(__xludf.DUMMYFUNCTION("""COMPUTED_VALUE"""),45422.64583333333)</f>
        <v>45422.64583</v>
      </c>
      <c r="B36" s="6">
        <f>IFERROR(__xludf.DUMMYFUNCTION("""COMPUTED_VALUE"""),535.0)</f>
        <v>535</v>
      </c>
      <c r="C36" s="6">
        <f>IFERROR(__xludf.DUMMYFUNCTION("""COMPUTED_VALUE"""),566.9)</f>
        <v>566.9</v>
      </c>
      <c r="D36" s="6">
        <f>IFERROR(__xludf.DUMMYFUNCTION("""COMPUTED_VALUE"""),524.25)</f>
        <v>524.25</v>
      </c>
      <c r="E36" s="6">
        <f>IFERROR(__xludf.DUMMYFUNCTION("""COMPUTED_VALUE"""),550.8)</f>
        <v>550.8</v>
      </c>
      <c r="F36" s="6">
        <f>IFERROR(__xludf.DUMMYFUNCTION("""COMPUTED_VALUE"""),2.980647E7)</f>
        <v>29806470</v>
      </c>
    </row>
    <row r="37">
      <c r="A37" s="7">
        <f>IFERROR(__xludf.DUMMYFUNCTION("""COMPUTED_VALUE"""),45436.64583333333)</f>
        <v>45436.64583</v>
      </c>
      <c r="B37" s="6">
        <f>IFERROR(__xludf.DUMMYFUNCTION("""COMPUTED_VALUE"""),538.1)</f>
        <v>538.1</v>
      </c>
      <c r="C37" s="6">
        <f>IFERROR(__xludf.DUMMYFUNCTION("""COMPUTED_VALUE"""),564.9)</f>
        <v>564.9</v>
      </c>
      <c r="D37" s="6">
        <f>IFERROR(__xludf.DUMMYFUNCTION("""COMPUTED_VALUE"""),533.6)</f>
        <v>533.6</v>
      </c>
      <c r="E37" s="6">
        <f>IFERROR(__xludf.DUMMYFUNCTION("""COMPUTED_VALUE"""),558.1)</f>
        <v>558.1</v>
      </c>
      <c r="F37" s="6">
        <f>IFERROR(__xludf.DUMMYFUNCTION("""COMPUTED_VALUE"""),1.1439091E7)</f>
        <v>11439091</v>
      </c>
    </row>
    <row r="38">
      <c r="A38" s="7">
        <f>IFERROR(__xludf.DUMMYFUNCTION("""COMPUTED_VALUE"""),45443.64583333333)</f>
        <v>45443.64583</v>
      </c>
      <c r="B38" s="6">
        <f>IFERROR(__xludf.DUMMYFUNCTION("""COMPUTED_VALUE"""),559.85)</f>
        <v>559.85</v>
      </c>
      <c r="C38" s="6">
        <f>IFERROR(__xludf.DUMMYFUNCTION("""COMPUTED_VALUE"""),578.9)</f>
        <v>578.9</v>
      </c>
      <c r="D38" s="6">
        <f>IFERROR(__xludf.DUMMYFUNCTION("""COMPUTED_VALUE"""),540.55)</f>
        <v>540.55</v>
      </c>
      <c r="E38" s="6">
        <f>IFERROR(__xludf.DUMMYFUNCTION("""COMPUTED_VALUE"""),545.1)</f>
        <v>545.1</v>
      </c>
      <c r="F38" s="6">
        <f>IFERROR(__xludf.DUMMYFUNCTION("""COMPUTED_VALUE"""),2.3003651E7)</f>
        <v>23003651</v>
      </c>
    </row>
    <row r="39">
      <c r="A39" s="7">
        <f>IFERROR(__xludf.DUMMYFUNCTION("""COMPUTED_VALUE"""),45450.64583333333)</f>
        <v>45450.64583</v>
      </c>
      <c r="B39" s="6">
        <f>IFERROR(__xludf.DUMMYFUNCTION("""COMPUTED_VALUE"""),560.0)</f>
        <v>560</v>
      </c>
      <c r="C39" s="6">
        <f>IFERROR(__xludf.DUMMYFUNCTION("""COMPUTED_VALUE"""),633.4)</f>
        <v>633.4</v>
      </c>
      <c r="D39" s="6">
        <f>IFERROR(__xludf.DUMMYFUNCTION("""COMPUTED_VALUE"""),536.75)</f>
        <v>536.75</v>
      </c>
      <c r="E39" s="6">
        <f>IFERROR(__xludf.DUMMYFUNCTION("""COMPUTED_VALUE"""),613.1)</f>
        <v>613.1</v>
      </c>
      <c r="F39" s="6">
        <f>IFERROR(__xludf.DUMMYFUNCTION("""COMPUTED_VALUE"""),5.4891671E7)</f>
        <v>54891671</v>
      </c>
    </row>
    <row r="40">
      <c r="A40" s="7">
        <f>IFERROR(__xludf.DUMMYFUNCTION("""COMPUTED_VALUE"""),45457.64583333333)</f>
        <v>45457.64583</v>
      </c>
      <c r="B40" s="6">
        <f>IFERROR(__xludf.DUMMYFUNCTION("""COMPUTED_VALUE"""),604.2)</f>
        <v>604.2</v>
      </c>
      <c r="C40" s="6">
        <f>IFERROR(__xludf.DUMMYFUNCTION("""COMPUTED_VALUE"""),627.45)</f>
        <v>627.45</v>
      </c>
      <c r="D40" s="6">
        <f>IFERROR(__xludf.DUMMYFUNCTION("""COMPUTED_VALUE"""),588.15)</f>
        <v>588.15</v>
      </c>
      <c r="E40" s="6">
        <f>IFERROR(__xludf.DUMMYFUNCTION("""COMPUTED_VALUE"""),608.65)</f>
        <v>608.65</v>
      </c>
      <c r="F40" s="6">
        <f>IFERROR(__xludf.DUMMYFUNCTION("""COMPUTED_VALUE"""),2.3377157E7)</f>
        <v>23377157</v>
      </c>
    </row>
    <row r="41">
      <c r="A41" s="7">
        <f>IFERROR(__xludf.DUMMYFUNCTION("""COMPUTED_VALUE"""),45464.64583333333)</f>
        <v>45464.64583</v>
      </c>
      <c r="B41" s="6">
        <f>IFERROR(__xludf.DUMMYFUNCTION("""COMPUTED_VALUE"""),608.1)</f>
        <v>608.1</v>
      </c>
      <c r="C41" s="6">
        <f>IFERROR(__xludf.DUMMYFUNCTION("""COMPUTED_VALUE"""),613.75)</f>
        <v>613.75</v>
      </c>
      <c r="D41" s="6">
        <f>IFERROR(__xludf.DUMMYFUNCTION("""COMPUTED_VALUE"""),588.55)</f>
        <v>588.55</v>
      </c>
      <c r="E41" s="6">
        <f>IFERROR(__xludf.DUMMYFUNCTION("""COMPUTED_VALUE"""),589.95)</f>
        <v>589.95</v>
      </c>
      <c r="F41" s="6">
        <f>IFERROR(__xludf.DUMMYFUNCTION("""COMPUTED_VALUE"""),1.2762613E7)</f>
        <v>12762613</v>
      </c>
    </row>
    <row r="42">
      <c r="A42" s="7">
        <f>IFERROR(__xludf.DUMMYFUNCTION("""COMPUTED_VALUE"""),45471.64583333333)</f>
        <v>45471.64583</v>
      </c>
      <c r="B42" s="6">
        <f>IFERROR(__xludf.DUMMYFUNCTION("""COMPUTED_VALUE"""),590.75)</f>
        <v>590.75</v>
      </c>
      <c r="C42" s="6">
        <f>IFERROR(__xludf.DUMMYFUNCTION("""COMPUTED_VALUE"""),609.65)</f>
        <v>609.65</v>
      </c>
      <c r="D42" s="6">
        <f>IFERROR(__xludf.DUMMYFUNCTION("""COMPUTED_VALUE"""),588.85)</f>
        <v>588.85</v>
      </c>
      <c r="E42" s="6">
        <f>IFERROR(__xludf.DUMMYFUNCTION("""COMPUTED_VALUE"""),600.7)</f>
        <v>600.7</v>
      </c>
      <c r="F42" s="6">
        <f>IFERROR(__xludf.DUMMYFUNCTION("""COMPUTED_VALUE"""),9912218.0)</f>
        <v>9912218</v>
      </c>
    </row>
    <row r="43">
      <c r="A43" s="7">
        <f>IFERROR(__xludf.DUMMYFUNCTION("""COMPUTED_VALUE"""),45478.64583333333)</f>
        <v>45478.64583</v>
      </c>
      <c r="B43" s="6">
        <f>IFERROR(__xludf.DUMMYFUNCTION("""COMPUTED_VALUE"""),600.7)</f>
        <v>600.7</v>
      </c>
      <c r="C43" s="6">
        <f>IFERROR(__xludf.DUMMYFUNCTION("""COMPUTED_VALUE"""),616.8)</f>
        <v>616.8</v>
      </c>
      <c r="D43" s="6">
        <f>IFERROR(__xludf.DUMMYFUNCTION("""COMPUTED_VALUE"""),600.7)</f>
        <v>600.7</v>
      </c>
      <c r="E43" s="6">
        <f>IFERROR(__xludf.DUMMYFUNCTION("""COMPUTED_VALUE"""),606.45)</f>
        <v>606.45</v>
      </c>
      <c r="F43" s="6">
        <f>IFERROR(__xludf.DUMMYFUNCTION("""COMPUTED_VALUE"""),1.1331582E7)</f>
        <v>11331582</v>
      </c>
    </row>
    <row r="44">
      <c r="A44" s="7">
        <f>IFERROR(__xludf.DUMMYFUNCTION("""COMPUTED_VALUE"""),45485.64583333333)</f>
        <v>45485.64583</v>
      </c>
      <c r="B44" s="6">
        <f>IFERROR(__xludf.DUMMYFUNCTION("""COMPUTED_VALUE"""),610.4)</f>
        <v>610.4</v>
      </c>
      <c r="C44" s="6">
        <f>IFERROR(__xludf.DUMMYFUNCTION("""COMPUTED_VALUE"""),637.25)</f>
        <v>637.25</v>
      </c>
      <c r="D44" s="6">
        <f>IFERROR(__xludf.DUMMYFUNCTION("""COMPUTED_VALUE"""),610.4)</f>
        <v>610.4</v>
      </c>
      <c r="E44" s="6">
        <f>IFERROR(__xludf.DUMMYFUNCTION("""COMPUTED_VALUE"""),630.0)</f>
        <v>630</v>
      </c>
      <c r="F44" s="6">
        <f>IFERROR(__xludf.DUMMYFUNCTION("""COMPUTED_VALUE"""),1.6046668E7)</f>
        <v>16046668</v>
      </c>
    </row>
    <row r="45">
      <c r="A45" s="7">
        <f>IFERROR(__xludf.DUMMYFUNCTION("""COMPUTED_VALUE"""),45492.64583333333)</f>
        <v>45492.64583</v>
      </c>
      <c r="B45" s="6">
        <f>IFERROR(__xludf.DUMMYFUNCTION("""COMPUTED_VALUE"""),632.9)</f>
        <v>632.9</v>
      </c>
      <c r="C45" s="6">
        <f>IFERROR(__xludf.DUMMYFUNCTION("""COMPUTED_VALUE"""),651.0)</f>
        <v>651</v>
      </c>
      <c r="D45" s="6">
        <f>IFERROR(__xludf.DUMMYFUNCTION("""COMPUTED_VALUE"""),630.0)</f>
        <v>630</v>
      </c>
      <c r="E45" s="6">
        <f>IFERROR(__xludf.DUMMYFUNCTION("""COMPUTED_VALUE"""),632.9)</f>
        <v>632.9</v>
      </c>
      <c r="F45" s="6">
        <f>IFERROR(__xludf.DUMMYFUNCTION("""COMPUTED_VALUE"""),9390369.0)</f>
        <v>9390369</v>
      </c>
    </row>
    <row r="46">
      <c r="A46" s="7">
        <f>IFERROR(__xludf.DUMMYFUNCTION("""COMPUTED_VALUE"""),45499.64583333333)</f>
        <v>45499.64583</v>
      </c>
      <c r="B46" s="6">
        <f>IFERROR(__xludf.DUMMYFUNCTION("""COMPUTED_VALUE"""),628.25)</f>
        <v>628.25</v>
      </c>
      <c r="C46" s="6">
        <f>IFERROR(__xludf.DUMMYFUNCTION("""COMPUTED_VALUE"""),662.35)</f>
        <v>662.35</v>
      </c>
      <c r="D46" s="6">
        <f>IFERROR(__xludf.DUMMYFUNCTION("""COMPUTED_VALUE"""),618.05)</f>
        <v>618.05</v>
      </c>
      <c r="E46" s="6">
        <f>IFERROR(__xludf.DUMMYFUNCTION("""COMPUTED_VALUE"""),632.45)</f>
        <v>632.45</v>
      </c>
      <c r="F46" s="6">
        <f>IFERROR(__xludf.DUMMYFUNCTION("""COMPUTED_VALUE"""),2.0203634E7)</f>
        <v>20203634</v>
      </c>
    </row>
    <row r="47">
      <c r="A47" s="7">
        <f>IFERROR(__xludf.DUMMYFUNCTION("""COMPUTED_VALUE"""),45506.64583333333)</f>
        <v>45506.64583</v>
      </c>
      <c r="B47" s="6">
        <f>IFERROR(__xludf.DUMMYFUNCTION("""COMPUTED_VALUE"""),635.85)</f>
        <v>635.85</v>
      </c>
      <c r="C47" s="6">
        <f>IFERROR(__xludf.DUMMYFUNCTION("""COMPUTED_VALUE"""),655.85)</f>
        <v>655.85</v>
      </c>
      <c r="D47" s="6">
        <f>IFERROR(__xludf.DUMMYFUNCTION("""COMPUTED_VALUE"""),625.0)</f>
        <v>625</v>
      </c>
      <c r="E47" s="6">
        <f>IFERROR(__xludf.DUMMYFUNCTION("""COMPUTED_VALUE"""),627.55)</f>
        <v>627.55</v>
      </c>
      <c r="F47" s="6">
        <f>IFERROR(__xludf.DUMMYFUNCTION("""COMPUTED_VALUE"""),1.9007259E7)</f>
        <v>19007259</v>
      </c>
    </row>
    <row r="48">
      <c r="A48" s="7">
        <f>IFERROR(__xludf.DUMMYFUNCTION("""COMPUTED_VALUE"""),45513.64583333333)</f>
        <v>45513.64583</v>
      </c>
      <c r="B48" s="6">
        <f>IFERROR(__xludf.DUMMYFUNCTION("""COMPUTED_VALUE"""),615.0)</f>
        <v>615</v>
      </c>
      <c r="C48" s="6">
        <f>IFERROR(__xludf.DUMMYFUNCTION("""COMPUTED_VALUE"""),643.0)</f>
        <v>643</v>
      </c>
      <c r="D48" s="6">
        <f>IFERROR(__xludf.DUMMYFUNCTION("""COMPUTED_VALUE"""),614.05)</f>
        <v>614.05</v>
      </c>
      <c r="E48" s="6">
        <f>IFERROR(__xludf.DUMMYFUNCTION("""COMPUTED_VALUE"""),623.95)</f>
        <v>623.95</v>
      </c>
      <c r="F48" s="6">
        <f>IFERROR(__xludf.DUMMYFUNCTION("""COMPUTED_VALUE"""),1.2623277E7)</f>
        <v>12623277</v>
      </c>
    </row>
    <row r="49">
      <c r="A49" s="7">
        <f>IFERROR(__xludf.DUMMYFUNCTION("""COMPUTED_VALUE"""),45520.64583333333)</f>
        <v>45520.64583</v>
      </c>
      <c r="B49" s="6">
        <f>IFERROR(__xludf.DUMMYFUNCTION("""COMPUTED_VALUE"""),626.9)</f>
        <v>626.9</v>
      </c>
      <c r="C49" s="6">
        <f>IFERROR(__xludf.DUMMYFUNCTION("""COMPUTED_VALUE"""),627.25)</f>
        <v>627.25</v>
      </c>
      <c r="D49" s="6">
        <f>IFERROR(__xludf.DUMMYFUNCTION("""COMPUTED_VALUE"""),598.6)</f>
        <v>598.6</v>
      </c>
      <c r="E49" s="6">
        <f>IFERROR(__xludf.DUMMYFUNCTION("""COMPUTED_VALUE"""),617.6)</f>
        <v>617.6</v>
      </c>
      <c r="F49" s="6">
        <f>IFERROR(__xludf.DUMMYFUNCTION("""COMPUTED_VALUE"""),7102525.0)</f>
        <v>7102525</v>
      </c>
    </row>
    <row r="50">
      <c r="A50" s="7">
        <f>IFERROR(__xludf.DUMMYFUNCTION("""COMPUTED_VALUE"""),45527.64583333333)</f>
        <v>45527.64583</v>
      </c>
      <c r="B50" s="6">
        <f>IFERROR(__xludf.DUMMYFUNCTION("""COMPUTED_VALUE"""),618.0)</f>
        <v>618</v>
      </c>
      <c r="C50" s="6">
        <f>IFERROR(__xludf.DUMMYFUNCTION("""COMPUTED_VALUE"""),651.2)</f>
        <v>651.2</v>
      </c>
      <c r="D50" s="6">
        <f>IFERROR(__xludf.DUMMYFUNCTION("""COMPUTED_VALUE"""),614.85)</f>
        <v>614.85</v>
      </c>
      <c r="E50" s="6">
        <f>IFERROR(__xludf.DUMMYFUNCTION("""COMPUTED_VALUE"""),643.25)</f>
        <v>643.25</v>
      </c>
      <c r="F50" s="6">
        <f>IFERROR(__xludf.DUMMYFUNCTION("""COMPUTED_VALUE"""),1.2691816E7)</f>
        <v>12691816</v>
      </c>
    </row>
    <row r="51">
      <c r="A51" s="7">
        <f>IFERROR(__xludf.DUMMYFUNCTION("""COMPUTED_VALUE"""),45534.64583333333)</f>
        <v>45534.64583</v>
      </c>
      <c r="B51" s="6">
        <f>IFERROR(__xludf.DUMMYFUNCTION("""COMPUTED_VALUE"""),646.0)</f>
        <v>646</v>
      </c>
      <c r="C51" s="6">
        <f>IFERROR(__xludf.DUMMYFUNCTION("""COMPUTED_VALUE"""),655.4)</f>
        <v>655.4</v>
      </c>
      <c r="D51" s="6">
        <f>IFERROR(__xludf.DUMMYFUNCTION("""COMPUTED_VALUE"""),636.1)</f>
        <v>636.1</v>
      </c>
      <c r="E51" s="6">
        <f>IFERROR(__xludf.DUMMYFUNCTION("""COMPUTED_VALUE"""),637.15)</f>
        <v>637.15</v>
      </c>
      <c r="F51" s="6">
        <f>IFERROR(__xludf.DUMMYFUNCTION("""COMPUTED_VALUE"""),9894879.0)</f>
        <v>9894879</v>
      </c>
    </row>
    <row r="52">
      <c r="A52" s="7">
        <f>IFERROR(__xludf.DUMMYFUNCTION("""COMPUTED_VALUE"""),45541.64583333333)</f>
        <v>45541.64583</v>
      </c>
      <c r="B52" s="6">
        <f>IFERROR(__xludf.DUMMYFUNCTION("""COMPUTED_VALUE"""),637.8)</f>
        <v>637.8</v>
      </c>
      <c r="C52" s="6">
        <f>IFERROR(__xludf.DUMMYFUNCTION("""COMPUTED_VALUE"""),655.0)</f>
        <v>655</v>
      </c>
      <c r="D52" s="6">
        <f>IFERROR(__xludf.DUMMYFUNCTION("""COMPUTED_VALUE"""),634.2)</f>
        <v>634.2</v>
      </c>
      <c r="E52" s="6">
        <f>IFERROR(__xludf.DUMMYFUNCTION("""COMPUTED_VALUE"""),644.4)</f>
        <v>644.4</v>
      </c>
      <c r="F52" s="6">
        <f>IFERROR(__xludf.DUMMYFUNCTION("""COMPUTED_VALUE"""),9667567.0)</f>
        <v>9667567</v>
      </c>
    </row>
    <row r="53">
      <c r="A53" s="7">
        <f>IFERROR(__xludf.DUMMYFUNCTION("""COMPUTED_VALUE"""),45548.64583333333)</f>
        <v>45548.64583</v>
      </c>
      <c r="B53" s="6">
        <f>IFERROR(__xludf.DUMMYFUNCTION("""COMPUTED_VALUE"""),645.0)</f>
        <v>645</v>
      </c>
      <c r="C53" s="6">
        <f>IFERROR(__xludf.DUMMYFUNCTION("""COMPUTED_VALUE"""),671.5)</f>
        <v>671.5</v>
      </c>
      <c r="D53" s="6">
        <f>IFERROR(__xludf.DUMMYFUNCTION("""COMPUTED_VALUE"""),644.05)</f>
        <v>644.05</v>
      </c>
      <c r="E53" s="6">
        <f>IFERROR(__xludf.DUMMYFUNCTION("""COMPUTED_VALUE"""),660.9)</f>
        <v>660.9</v>
      </c>
      <c r="F53" s="6">
        <f>IFERROR(__xludf.DUMMYFUNCTION("""COMPUTED_VALUE"""),1.8256985E7)</f>
        <v>18256985</v>
      </c>
    </row>
    <row r="54">
      <c r="A54" s="7">
        <f>IFERROR(__xludf.DUMMYFUNCTION("""COMPUTED_VALUE"""),45555.64583333333)</f>
        <v>45555.64583</v>
      </c>
      <c r="B54" s="6">
        <f>IFERROR(__xludf.DUMMYFUNCTION("""COMPUTED_VALUE"""),660.0)</f>
        <v>660</v>
      </c>
      <c r="C54" s="6">
        <f>IFERROR(__xludf.DUMMYFUNCTION("""COMPUTED_VALUE"""),672.0)</f>
        <v>672</v>
      </c>
      <c r="D54" s="6">
        <f>IFERROR(__xludf.DUMMYFUNCTION("""COMPUTED_VALUE"""),650.55)</f>
        <v>650.55</v>
      </c>
      <c r="E54" s="6">
        <f>IFERROR(__xludf.DUMMYFUNCTION("""COMPUTED_VALUE"""),667.55)</f>
        <v>667.55</v>
      </c>
      <c r="F54" s="6">
        <f>IFERROR(__xludf.DUMMYFUNCTION("""COMPUTED_VALUE"""),7632637.0)</f>
        <v>7632637</v>
      </c>
    </row>
    <row r="55">
      <c r="A55" s="7">
        <f>IFERROR(__xludf.DUMMYFUNCTION("""COMPUTED_VALUE"""),45562.64583333333)</f>
        <v>45562.64583</v>
      </c>
      <c r="B55" s="6">
        <f>IFERROR(__xludf.DUMMYFUNCTION("""COMPUTED_VALUE"""),668.0)</f>
        <v>668</v>
      </c>
      <c r="C55" s="6">
        <f>IFERROR(__xludf.DUMMYFUNCTION("""COMPUTED_VALUE"""),671.5)</f>
        <v>671.5</v>
      </c>
      <c r="D55" s="6">
        <f>IFERROR(__xludf.DUMMYFUNCTION("""COMPUTED_VALUE"""),620.6)</f>
        <v>620.6</v>
      </c>
      <c r="E55" s="6">
        <f>IFERROR(__xludf.DUMMYFUNCTION("""COMPUTED_VALUE"""),633.0)</f>
        <v>633</v>
      </c>
      <c r="F55" s="6">
        <f>IFERROR(__xludf.DUMMYFUNCTION("""COMPUTED_VALUE"""),1.786876E7)</f>
        <v>17868760</v>
      </c>
    </row>
    <row r="56">
      <c r="A56" s="7">
        <f>IFERROR(__xludf.DUMMYFUNCTION("""COMPUTED_VALUE"""),45569.64583333333)</f>
        <v>45569.64583</v>
      </c>
      <c r="B56" s="6">
        <f>IFERROR(__xludf.DUMMYFUNCTION("""COMPUTED_VALUE"""),633.0)</f>
        <v>633</v>
      </c>
      <c r="C56" s="6">
        <f>IFERROR(__xludf.DUMMYFUNCTION("""COMPUTED_VALUE"""),635.8)</f>
        <v>635.8</v>
      </c>
      <c r="D56" s="6">
        <f>IFERROR(__xludf.DUMMYFUNCTION("""COMPUTED_VALUE"""),571.0)</f>
        <v>571</v>
      </c>
      <c r="E56" s="6">
        <f>IFERROR(__xludf.DUMMYFUNCTION("""COMPUTED_VALUE"""),572.45)</f>
        <v>572.45</v>
      </c>
      <c r="F56" s="6">
        <f>IFERROR(__xludf.DUMMYFUNCTION("""COMPUTED_VALUE"""),2.7045646E7)</f>
        <v>27045646</v>
      </c>
    </row>
    <row r="57">
      <c r="A57" s="7">
        <f>IFERROR(__xludf.DUMMYFUNCTION("""COMPUTED_VALUE"""),45576.64583333333)</f>
        <v>45576.64583</v>
      </c>
      <c r="B57" s="6">
        <f>IFERROR(__xludf.DUMMYFUNCTION("""COMPUTED_VALUE"""),575.0)</f>
        <v>575</v>
      </c>
      <c r="C57" s="6">
        <f>IFERROR(__xludf.DUMMYFUNCTION("""COMPUTED_VALUE"""),581.15)</f>
        <v>581.15</v>
      </c>
      <c r="D57" s="6">
        <f>IFERROR(__xludf.DUMMYFUNCTION("""COMPUTED_VALUE"""),562.0)</f>
        <v>562</v>
      </c>
      <c r="E57" s="6">
        <f>IFERROR(__xludf.DUMMYFUNCTION("""COMPUTED_VALUE"""),570.85)</f>
        <v>570.85</v>
      </c>
      <c r="F57" s="6">
        <f>IFERROR(__xludf.DUMMYFUNCTION("""COMPUTED_VALUE"""),1.5221449E7)</f>
        <v>15221449</v>
      </c>
    </row>
    <row r="58">
      <c r="A58" s="7">
        <f>IFERROR(__xludf.DUMMYFUNCTION("""COMPUTED_VALUE"""),45583.64583333333)</f>
        <v>45583.64583</v>
      </c>
      <c r="B58" s="6">
        <f>IFERROR(__xludf.DUMMYFUNCTION("""COMPUTED_VALUE"""),570.85)</f>
        <v>570.85</v>
      </c>
      <c r="C58" s="6">
        <f>IFERROR(__xludf.DUMMYFUNCTION("""COMPUTED_VALUE"""),579.35)</f>
        <v>579.35</v>
      </c>
      <c r="D58" s="6">
        <f>IFERROR(__xludf.DUMMYFUNCTION("""COMPUTED_VALUE"""),564.95)</f>
        <v>564.95</v>
      </c>
      <c r="E58" s="6">
        <f>IFERROR(__xludf.DUMMYFUNCTION("""COMPUTED_VALUE"""),571.4)</f>
        <v>571.4</v>
      </c>
      <c r="F58" s="6">
        <f>IFERROR(__xludf.DUMMYFUNCTION("""COMPUTED_VALUE"""),1.0235835E7)</f>
        <v>10235835</v>
      </c>
    </row>
    <row r="59">
      <c r="A59" s="7">
        <f>IFERROR(__xludf.DUMMYFUNCTION("""COMPUTED_VALUE"""),45590.64583333333)</f>
        <v>45590.64583</v>
      </c>
      <c r="B59" s="6">
        <f>IFERROR(__xludf.DUMMYFUNCTION("""COMPUTED_VALUE"""),571.0)</f>
        <v>571</v>
      </c>
      <c r="C59" s="6">
        <f>IFERROR(__xludf.DUMMYFUNCTION("""COMPUTED_VALUE"""),575.0)</f>
        <v>575</v>
      </c>
      <c r="D59" s="6">
        <f>IFERROR(__xludf.DUMMYFUNCTION("""COMPUTED_VALUE"""),535.25)</f>
        <v>535.25</v>
      </c>
      <c r="E59" s="6">
        <f>IFERROR(__xludf.DUMMYFUNCTION("""COMPUTED_VALUE"""),538.7)</f>
        <v>538.7</v>
      </c>
      <c r="F59" s="6">
        <f>IFERROR(__xludf.DUMMYFUNCTION("""COMPUTED_VALUE"""),8837832.0)</f>
        <v>8837832</v>
      </c>
    </row>
    <row r="60">
      <c r="A60" s="7">
        <f>IFERROR(__xludf.DUMMYFUNCTION("""COMPUTED_VALUE"""),45604.64583333333)</f>
        <v>45604.64583</v>
      </c>
      <c r="B60" s="6">
        <f>IFERROR(__xludf.DUMMYFUNCTION("""COMPUTED_VALUE"""),545.05)</f>
        <v>545.05</v>
      </c>
      <c r="C60" s="6">
        <f>IFERROR(__xludf.DUMMYFUNCTION("""COMPUTED_VALUE"""),545.4)</f>
        <v>545.4</v>
      </c>
      <c r="D60" s="6">
        <f>IFERROR(__xludf.DUMMYFUNCTION("""COMPUTED_VALUE"""),528.6)</f>
        <v>528.6</v>
      </c>
      <c r="E60" s="6">
        <f>IFERROR(__xludf.DUMMYFUNCTION("""COMPUTED_VALUE"""),531.5)</f>
        <v>531.5</v>
      </c>
      <c r="F60" s="6">
        <f>IFERROR(__xludf.DUMMYFUNCTION("""COMPUTED_VALUE"""),9947942.0)</f>
        <v>9947942</v>
      </c>
    </row>
    <row r="61">
      <c r="A61" s="7">
        <f>IFERROR(__xludf.DUMMYFUNCTION("""COMPUTED_VALUE"""),45610.64583333333)</f>
        <v>45610.64583</v>
      </c>
      <c r="B61" s="6">
        <f>IFERROR(__xludf.DUMMYFUNCTION("""COMPUTED_VALUE"""),530.0)</f>
        <v>530</v>
      </c>
      <c r="C61" s="6">
        <f>IFERROR(__xludf.DUMMYFUNCTION("""COMPUTED_VALUE"""),531.4)</f>
        <v>531.4</v>
      </c>
      <c r="D61" s="6">
        <f>IFERROR(__xludf.DUMMYFUNCTION("""COMPUTED_VALUE"""),502.65)</f>
        <v>502.65</v>
      </c>
      <c r="E61" s="6">
        <f>IFERROR(__xludf.DUMMYFUNCTION("""COMPUTED_VALUE"""),508.1)</f>
        <v>508.1</v>
      </c>
      <c r="F61" s="6">
        <f>IFERROR(__xludf.DUMMYFUNCTION("""COMPUTED_VALUE"""),1.0701925E7)</f>
        <v>10701925</v>
      </c>
    </row>
    <row r="62">
      <c r="A62" s="7">
        <f>IFERROR(__xludf.DUMMYFUNCTION("""COMPUTED_VALUE"""),45618.64583333333)</f>
        <v>45618.64583</v>
      </c>
      <c r="B62" s="6">
        <f>IFERROR(__xludf.DUMMYFUNCTION("""COMPUTED_VALUE"""),509.1)</f>
        <v>509.1</v>
      </c>
      <c r="C62" s="6">
        <f>IFERROR(__xludf.DUMMYFUNCTION("""COMPUTED_VALUE"""),515.1)</f>
        <v>515.1</v>
      </c>
      <c r="D62" s="6">
        <f>IFERROR(__xludf.DUMMYFUNCTION("""COMPUTED_VALUE"""),499.0)</f>
        <v>499</v>
      </c>
      <c r="E62" s="6">
        <f>IFERROR(__xludf.DUMMYFUNCTION("""COMPUTED_VALUE"""),513.0)</f>
        <v>513</v>
      </c>
      <c r="F62" s="6">
        <f>IFERROR(__xludf.DUMMYFUNCTION("""COMPUTED_VALUE"""),8278709.0)</f>
        <v>8278709</v>
      </c>
    </row>
    <row r="63">
      <c r="A63" s="7">
        <f>IFERROR(__xludf.DUMMYFUNCTION("""COMPUTED_VALUE"""),45625.64583333333)</f>
        <v>45625.64583</v>
      </c>
      <c r="B63" s="6">
        <f>IFERROR(__xludf.DUMMYFUNCTION("""COMPUTED_VALUE"""),516.35)</f>
        <v>516.35</v>
      </c>
      <c r="C63" s="6">
        <f>IFERROR(__xludf.DUMMYFUNCTION("""COMPUTED_VALUE"""),534.35)</f>
        <v>534.35</v>
      </c>
      <c r="D63" s="6">
        <f>IFERROR(__xludf.DUMMYFUNCTION("""COMPUTED_VALUE"""),515.2)</f>
        <v>515.2</v>
      </c>
      <c r="E63" s="6">
        <f>IFERROR(__xludf.DUMMYFUNCTION("""COMPUTED_VALUE"""),527.15)</f>
        <v>527.15</v>
      </c>
      <c r="F63" s="6">
        <f>IFERROR(__xludf.DUMMYFUNCTION("""COMPUTED_VALUE"""),1.0543227E7)</f>
        <v>10543227</v>
      </c>
    </row>
    <row r="64">
      <c r="A64" s="7">
        <f>IFERROR(__xludf.DUMMYFUNCTION("""COMPUTED_VALUE"""),45632.64583333333)</f>
        <v>45632.64583</v>
      </c>
      <c r="B64" s="6">
        <f>IFERROR(__xludf.DUMMYFUNCTION("""COMPUTED_VALUE"""),522.5)</f>
        <v>522.5</v>
      </c>
      <c r="C64" s="6">
        <f>IFERROR(__xludf.DUMMYFUNCTION("""COMPUTED_VALUE"""),529.05)</f>
        <v>529.05</v>
      </c>
      <c r="D64" s="6">
        <f>IFERROR(__xludf.DUMMYFUNCTION("""COMPUTED_VALUE"""),516.65)</f>
        <v>516.65</v>
      </c>
      <c r="E64" s="6">
        <f>IFERROR(__xludf.DUMMYFUNCTION("""COMPUTED_VALUE"""),523.8)</f>
        <v>523.8</v>
      </c>
      <c r="F64" s="6">
        <f>IFERROR(__xludf.DUMMYFUNCTION("""COMPUTED_VALUE"""),1.2141779E7)</f>
        <v>12141779</v>
      </c>
    </row>
    <row r="65">
      <c r="A65" s="7">
        <f>IFERROR(__xludf.DUMMYFUNCTION("""COMPUTED_VALUE"""),45639.64583333333)</f>
        <v>45639.64583</v>
      </c>
      <c r="B65" s="6">
        <f>IFERROR(__xludf.DUMMYFUNCTION("""COMPUTED_VALUE"""),519.0)</f>
        <v>519</v>
      </c>
      <c r="C65" s="6">
        <f>IFERROR(__xludf.DUMMYFUNCTION("""COMPUTED_VALUE"""),520.75)</f>
        <v>520.75</v>
      </c>
      <c r="D65" s="6">
        <f>IFERROR(__xludf.DUMMYFUNCTION("""COMPUTED_VALUE"""),499.5)</f>
        <v>499.5</v>
      </c>
      <c r="E65" s="6">
        <f>IFERROR(__xludf.DUMMYFUNCTION("""COMPUTED_VALUE"""),512.8)</f>
        <v>512.8</v>
      </c>
      <c r="F65" s="6">
        <f>IFERROR(__xludf.DUMMYFUNCTION("""COMPUTED_VALUE"""),1.8811457E7)</f>
        <v>18811457</v>
      </c>
    </row>
    <row r="66">
      <c r="A66" s="7">
        <f>IFERROR(__xludf.DUMMYFUNCTION("""COMPUTED_VALUE"""),45646.64583333333)</f>
        <v>45646.64583</v>
      </c>
      <c r="B66" s="6">
        <f>IFERROR(__xludf.DUMMYFUNCTION("""COMPUTED_VALUE"""),514.05)</f>
        <v>514.05</v>
      </c>
      <c r="C66" s="6">
        <f>IFERROR(__xludf.DUMMYFUNCTION("""COMPUTED_VALUE"""),516.0)</f>
        <v>516</v>
      </c>
      <c r="D66" s="6">
        <f>IFERROR(__xludf.DUMMYFUNCTION("""COMPUTED_VALUE"""),499.5)</f>
        <v>499.5</v>
      </c>
      <c r="E66" s="6">
        <f>IFERROR(__xludf.DUMMYFUNCTION("""COMPUTED_VALUE"""),502.55)</f>
        <v>502.55</v>
      </c>
      <c r="F66" s="6">
        <f>IFERROR(__xludf.DUMMYFUNCTION("""COMPUTED_VALUE"""),1.0975359E7)</f>
        <v>10975359</v>
      </c>
    </row>
    <row r="67">
      <c r="A67" s="7">
        <f>IFERROR(__xludf.DUMMYFUNCTION("""COMPUTED_VALUE"""),45653.64583333333)</f>
        <v>45653.64583</v>
      </c>
      <c r="B67" s="6">
        <f>IFERROR(__xludf.DUMMYFUNCTION("""COMPUTED_VALUE"""),502.7)</f>
        <v>502.7</v>
      </c>
      <c r="C67" s="6">
        <f>IFERROR(__xludf.DUMMYFUNCTION("""COMPUTED_VALUE"""),515.95)</f>
        <v>515.95</v>
      </c>
      <c r="D67" s="6">
        <f>IFERROR(__xludf.DUMMYFUNCTION("""COMPUTED_VALUE"""),500.9)</f>
        <v>500.9</v>
      </c>
      <c r="E67" s="6">
        <f>IFERROR(__xludf.DUMMYFUNCTION("""COMPUTED_VALUE"""),507.15)</f>
        <v>507.15</v>
      </c>
      <c r="F67" s="6">
        <f>IFERROR(__xludf.DUMMYFUNCTION("""COMPUTED_VALUE"""),8373473.0)</f>
        <v>8373473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IFERROR(__xludf.DUMMYFUNCTION("""COMPUTED_VALUE"""),507.0)</f>
        <v>507</v>
      </c>
      <c r="C68" s="6">
        <f>IFERROR(__xludf.DUMMYFUNCTION("""COMPUTED_VALUE"""),529.0)</f>
        <v>529</v>
      </c>
      <c r="D68" s="6">
        <f>IFERROR(__xludf.DUMMYFUNCTION("""COMPUTED_VALUE"""),502.3)</f>
        <v>502.3</v>
      </c>
      <c r="E68" s="6">
        <f>IFERROR(__xludf.DUMMYFUNCTION("""COMPUTED_VALUE"""),524.9)</f>
        <v>524.9</v>
      </c>
      <c r="F68" s="6">
        <f>IFERROR(__xludf.DUMMYFUNCTION("""COMPUTED_VALUE"""),1.171144E7)</f>
        <v>11711440</v>
      </c>
    </row>
    <row r="69">
      <c r="A69" s="7">
        <f>IFERROR(__xludf.DUMMYFUNCTION("""COMPUTED_VALUE"""),45667.64583333333)</f>
        <v>45667.64583</v>
      </c>
      <c r="B69" s="6">
        <f>IFERROR(__xludf.DUMMYFUNCTION("""COMPUTED_VALUE"""),522.3)</f>
        <v>522.3</v>
      </c>
      <c r="C69" s="6">
        <f>IFERROR(__xludf.DUMMYFUNCTION("""COMPUTED_VALUE"""),530.9)</f>
        <v>530.9</v>
      </c>
      <c r="D69" s="6">
        <f>IFERROR(__xludf.DUMMYFUNCTION("""COMPUTED_VALUE"""),501.1)</f>
        <v>501.1</v>
      </c>
      <c r="E69" s="6">
        <f>IFERROR(__xludf.DUMMYFUNCTION("""COMPUTED_VALUE"""),517.9)</f>
        <v>517.9</v>
      </c>
      <c r="F69" s="6">
        <f>IFERROR(__xludf.DUMMYFUNCTION("""COMPUTED_VALUE"""),1.534262E7)</f>
        <v>15342620</v>
      </c>
    </row>
    <row r="70">
      <c r="A70" s="7">
        <f>IFERROR(__xludf.DUMMYFUNCTION("""COMPUTED_VALUE"""),45674.64583333333)</f>
        <v>45674.64583</v>
      </c>
      <c r="B70" s="6">
        <f>IFERROR(__xludf.DUMMYFUNCTION("""COMPUTED_VALUE"""),515.95)</f>
        <v>515.95</v>
      </c>
      <c r="C70" s="6">
        <f>IFERROR(__xludf.DUMMYFUNCTION("""COMPUTED_VALUE"""),531.85)</f>
        <v>531.85</v>
      </c>
      <c r="D70" s="6">
        <f>IFERROR(__xludf.DUMMYFUNCTION("""COMPUTED_VALUE"""),509.5)</f>
        <v>509.5</v>
      </c>
      <c r="E70" s="6">
        <f>IFERROR(__xludf.DUMMYFUNCTION("""COMPUTED_VALUE"""),526.05)</f>
        <v>526.05</v>
      </c>
      <c r="F70" s="6">
        <f>IFERROR(__xludf.DUMMYFUNCTION("""COMPUTED_VALUE"""),1.3018168E7)</f>
        <v>13018168</v>
      </c>
    </row>
    <row r="71">
      <c r="A71" s="7">
        <f>IFERROR(__xludf.DUMMYFUNCTION("""COMPUTED_VALUE"""),45681.64583333333)</f>
        <v>45681.64583</v>
      </c>
      <c r="B71" s="6">
        <f>IFERROR(__xludf.DUMMYFUNCTION("""COMPUTED_VALUE"""),528.65)</f>
        <v>528.65</v>
      </c>
      <c r="C71" s="6">
        <f>IFERROR(__xludf.DUMMYFUNCTION("""COMPUTED_VALUE"""),529.0)</f>
        <v>529</v>
      </c>
      <c r="D71" s="6">
        <f>IFERROR(__xludf.DUMMYFUNCTION("""COMPUTED_VALUE"""),515.15)</f>
        <v>515.15</v>
      </c>
      <c r="E71" s="6">
        <f>IFERROR(__xludf.DUMMYFUNCTION("""COMPUTED_VALUE"""),521.65)</f>
        <v>521.65</v>
      </c>
      <c r="F71" s="6">
        <f>IFERROR(__xludf.DUMMYFUNCTION("""COMPUTED_VALUE"""),7057400.0)</f>
        <v>7057400</v>
      </c>
    </row>
    <row r="72">
      <c r="A72" s="7">
        <f>IFERROR(__xludf.DUMMYFUNCTION("""COMPUTED_VALUE"""),45695.64583333333)</f>
        <v>45695.64583</v>
      </c>
      <c r="B72" s="6">
        <f>IFERROR(__xludf.DUMMYFUNCTION("""COMPUTED_VALUE"""),540.4)</f>
        <v>540.4</v>
      </c>
      <c r="C72" s="6">
        <f>IFERROR(__xludf.DUMMYFUNCTION("""COMPUTED_VALUE"""),546.4)</f>
        <v>546.4</v>
      </c>
      <c r="D72" s="6">
        <f>IFERROR(__xludf.DUMMYFUNCTION("""COMPUTED_VALUE"""),520.15)</f>
        <v>520.15</v>
      </c>
      <c r="E72" s="6">
        <f>IFERROR(__xludf.DUMMYFUNCTION("""COMPUTED_VALUE"""),527.1)</f>
        <v>527.1</v>
      </c>
      <c r="F72" s="6">
        <f>IFERROR(__xludf.DUMMYFUNCTION("""COMPUTED_VALUE"""),1.320322E7)</f>
        <v>13203220</v>
      </c>
    </row>
    <row r="73">
      <c r="A73" s="7">
        <f>IFERROR(__xludf.DUMMYFUNCTION("""COMPUTED_VALUE"""),45702.64583333333)</f>
        <v>45702.64583</v>
      </c>
      <c r="B73" s="6">
        <f>IFERROR(__xludf.DUMMYFUNCTION("""COMPUTED_VALUE"""),527.1)</f>
        <v>527.1</v>
      </c>
      <c r="C73" s="6">
        <f>IFERROR(__xludf.DUMMYFUNCTION("""COMPUTED_VALUE"""),535.45)</f>
        <v>535.45</v>
      </c>
      <c r="D73" s="6">
        <f>IFERROR(__xludf.DUMMYFUNCTION("""COMPUTED_VALUE"""),515.65)</f>
        <v>515.65</v>
      </c>
      <c r="E73" s="6">
        <f>IFERROR(__xludf.DUMMYFUNCTION("""COMPUTED_VALUE"""),519.9)</f>
        <v>519.9</v>
      </c>
      <c r="F73" s="6">
        <f>IFERROR(__xludf.DUMMYFUNCTION("""COMPUTED_VALUE"""),7645067.0)</f>
        <v>7645067</v>
      </c>
    </row>
    <row r="74">
      <c r="A74" s="7">
        <f>IFERROR(__xludf.DUMMYFUNCTION("""COMPUTED_VALUE"""),45709.64583333333)</f>
        <v>45709.64583</v>
      </c>
      <c r="B74" s="6">
        <f>IFERROR(__xludf.DUMMYFUNCTION("""COMPUTED_VALUE"""),518.1)</f>
        <v>518.1</v>
      </c>
      <c r="C74" s="6">
        <f>IFERROR(__xludf.DUMMYFUNCTION("""COMPUTED_VALUE"""),522.3)</f>
        <v>522.3</v>
      </c>
      <c r="D74" s="6">
        <f>IFERROR(__xludf.DUMMYFUNCTION("""COMPUTED_VALUE"""),500.15)</f>
        <v>500.15</v>
      </c>
      <c r="E74" s="6">
        <f>IFERROR(__xludf.DUMMYFUNCTION("""COMPUTED_VALUE"""),508.65)</f>
        <v>508.65</v>
      </c>
      <c r="F74" s="6">
        <f>IFERROR(__xludf.DUMMYFUNCTION("""COMPUTED_VALUE"""),9404450.0)</f>
        <v>9404450</v>
      </c>
    </row>
    <row r="75">
      <c r="A75" s="7">
        <f>IFERROR(__xludf.DUMMYFUNCTION("""COMPUTED_VALUE"""),45716.64583333333)</f>
        <v>45716.64583</v>
      </c>
      <c r="B75" s="6">
        <f>IFERROR(__xludf.DUMMYFUNCTION("""COMPUTED_VALUE"""),503.6)</f>
        <v>503.6</v>
      </c>
      <c r="C75" s="6">
        <f>IFERROR(__xludf.DUMMYFUNCTION("""COMPUTED_VALUE"""),515.0)</f>
        <v>515</v>
      </c>
      <c r="D75" s="6">
        <f>IFERROR(__xludf.DUMMYFUNCTION("""COMPUTED_VALUE"""),490.85)</f>
        <v>490.85</v>
      </c>
      <c r="E75" s="6">
        <f>IFERROR(__xludf.DUMMYFUNCTION("""COMPUTED_VALUE"""),493.3)</f>
        <v>493.3</v>
      </c>
      <c r="F75" s="6">
        <f>IFERROR(__xludf.DUMMYFUNCTION("""COMPUTED_VALUE"""),8933471.0)</f>
        <v>8933471</v>
      </c>
    </row>
    <row r="76">
      <c r="A76" s="7">
        <f>IFERROR(__xludf.DUMMYFUNCTION("""COMPUTED_VALUE"""),45723.64583333333)</f>
        <v>45723.64583</v>
      </c>
      <c r="B76" s="6">
        <f>IFERROR(__xludf.DUMMYFUNCTION("""COMPUTED_VALUE"""),493.0)</f>
        <v>493</v>
      </c>
      <c r="C76" s="6">
        <f>IFERROR(__xludf.DUMMYFUNCTION("""COMPUTED_VALUE"""),499.1)</f>
        <v>499.1</v>
      </c>
      <c r="D76" s="6">
        <f>IFERROR(__xludf.DUMMYFUNCTION("""COMPUTED_VALUE"""),480.0)</f>
        <v>480</v>
      </c>
      <c r="E76" s="6">
        <f>IFERROR(__xludf.DUMMYFUNCTION("""COMPUTED_VALUE"""),495.8)</f>
        <v>495.8</v>
      </c>
      <c r="F76" s="6">
        <f>IFERROR(__xludf.DUMMYFUNCTION("""COMPUTED_VALUE"""),9544223.0)</f>
        <v>9544223</v>
      </c>
    </row>
    <row r="77">
      <c r="A77" s="7">
        <f>IFERROR(__xludf.DUMMYFUNCTION("""COMPUTED_VALUE"""),45729.64583333333)</f>
        <v>45729.64583</v>
      </c>
      <c r="B77" s="6">
        <f>IFERROR(__xludf.DUMMYFUNCTION("""COMPUTED_VALUE"""),495.0)</f>
        <v>495</v>
      </c>
      <c r="C77" s="6">
        <f>IFERROR(__xludf.DUMMYFUNCTION("""COMPUTED_VALUE"""),504.0)</f>
        <v>504</v>
      </c>
      <c r="D77" s="6">
        <f>IFERROR(__xludf.DUMMYFUNCTION("""COMPUTED_VALUE"""),489.55)</f>
        <v>489.55</v>
      </c>
      <c r="E77" s="6">
        <f>IFERROR(__xludf.DUMMYFUNCTION("""COMPUTED_VALUE"""),500.95)</f>
        <v>500.95</v>
      </c>
      <c r="F77" s="6">
        <f>IFERROR(__xludf.DUMMYFUNCTION("""COMPUTED_VALUE"""),7096465.0)</f>
        <v>7096465</v>
      </c>
    </row>
    <row r="78">
      <c r="A78" s="7">
        <f>IFERROR(__xludf.DUMMYFUNCTION("""COMPUTED_VALUE"""),45737.64583333333)</f>
        <v>45737.64583</v>
      </c>
      <c r="B78" s="6">
        <f>IFERROR(__xludf.DUMMYFUNCTION("""COMPUTED_VALUE"""),498.4)</f>
        <v>498.4</v>
      </c>
      <c r="C78" s="6">
        <f>IFERROR(__xludf.DUMMYFUNCTION("""COMPUTED_VALUE"""),507.9)</f>
        <v>507.9</v>
      </c>
      <c r="D78" s="6">
        <f>IFERROR(__xludf.DUMMYFUNCTION("""COMPUTED_VALUE"""),490.1)</f>
        <v>490.1</v>
      </c>
      <c r="E78" s="6">
        <f>IFERROR(__xludf.DUMMYFUNCTION("""COMPUTED_VALUE"""),506.8)</f>
        <v>506.8</v>
      </c>
      <c r="F78" s="6">
        <f>IFERROR(__xludf.DUMMYFUNCTION("""COMPUTED_VALUE"""),1.2428262E7)</f>
        <v>12428262</v>
      </c>
    </row>
    <row r="79">
      <c r="A79" s="7">
        <f>IFERROR(__xludf.DUMMYFUNCTION("""COMPUTED_VALUE"""),45744.64583333333)</f>
        <v>45744.64583</v>
      </c>
      <c r="B79" s="6">
        <f>IFERROR(__xludf.DUMMYFUNCTION("""COMPUTED_VALUE"""),507.45)</f>
        <v>507.45</v>
      </c>
      <c r="C79" s="6">
        <f>IFERROR(__xludf.DUMMYFUNCTION("""COMPUTED_VALUE"""),519.45)</f>
        <v>519.45</v>
      </c>
      <c r="D79" s="6">
        <f>IFERROR(__xludf.DUMMYFUNCTION("""COMPUTED_VALUE"""),502.2)</f>
        <v>502.2</v>
      </c>
      <c r="E79" s="6">
        <f>IFERROR(__xludf.DUMMYFUNCTION("""COMPUTED_VALUE"""),506.5)</f>
        <v>506.5</v>
      </c>
      <c r="F79" s="6">
        <f>IFERROR(__xludf.DUMMYFUNCTION("""COMPUTED_VALUE"""),1.1007289E7)</f>
        <v>11007289</v>
      </c>
    </row>
    <row r="80">
      <c r="A80" s="7">
        <f>IFERROR(__xludf.DUMMYFUNCTION("""COMPUTED_VALUE"""),45751.64583333333)</f>
        <v>45751.64583</v>
      </c>
      <c r="B80" s="6">
        <f>IFERROR(__xludf.DUMMYFUNCTION("""COMPUTED_VALUE"""),505.85)</f>
        <v>505.85</v>
      </c>
      <c r="C80" s="6">
        <f>IFERROR(__xludf.DUMMYFUNCTION("""COMPUTED_VALUE"""),512.55)</f>
        <v>512.55</v>
      </c>
      <c r="D80" s="6">
        <f>IFERROR(__xludf.DUMMYFUNCTION("""COMPUTED_VALUE"""),458.2)</f>
        <v>458.2</v>
      </c>
      <c r="E80" s="6">
        <f>IFERROR(__xludf.DUMMYFUNCTION("""COMPUTED_VALUE"""),461.75)</f>
        <v>461.75</v>
      </c>
      <c r="F80" s="6">
        <f>IFERROR(__xludf.DUMMYFUNCTION("""COMPUTED_VALUE"""),2.1017838E7)</f>
        <v>21017838</v>
      </c>
    </row>
    <row r="81">
      <c r="A81" s="7">
        <f>IFERROR(__xludf.DUMMYFUNCTION("""COMPUTED_VALUE"""),45758.64583333333)</f>
        <v>45758.64583</v>
      </c>
      <c r="B81" s="6">
        <f>IFERROR(__xludf.DUMMYFUNCTION("""COMPUTED_VALUE"""),435.0)</f>
        <v>435</v>
      </c>
      <c r="C81" s="6">
        <f>IFERROR(__xludf.DUMMYFUNCTION("""COMPUTED_VALUE"""),468.45)</f>
        <v>468.45</v>
      </c>
      <c r="D81" s="6">
        <f>IFERROR(__xludf.DUMMYFUNCTION("""COMPUTED_VALUE"""),433.3)</f>
        <v>433.3</v>
      </c>
      <c r="E81" s="6">
        <f>IFERROR(__xludf.DUMMYFUNCTION("""COMPUTED_VALUE"""),461.3)</f>
        <v>461.3</v>
      </c>
      <c r="F81" s="6">
        <f>IFERROR(__xludf.DUMMYFUNCTION("""COMPUTED_VALUE"""),1.0811875E7)</f>
        <v>10811875</v>
      </c>
    </row>
    <row r="82">
      <c r="A82" s="7">
        <f>IFERROR(__xludf.DUMMYFUNCTION("""COMPUTED_VALUE"""),45764.64583333333)</f>
        <v>45764.64583</v>
      </c>
      <c r="B82" s="6">
        <f>IFERROR(__xludf.DUMMYFUNCTION("""COMPUTED_VALUE"""),467.65)</f>
        <v>467.65</v>
      </c>
      <c r="C82" s="6">
        <f>IFERROR(__xludf.DUMMYFUNCTION("""COMPUTED_VALUE"""),481.7)</f>
        <v>481.7</v>
      </c>
      <c r="D82" s="6">
        <f>IFERROR(__xludf.DUMMYFUNCTION("""COMPUTED_VALUE"""),462.6)</f>
        <v>462.6</v>
      </c>
      <c r="E82" s="6">
        <f>IFERROR(__xludf.DUMMYFUNCTION("""COMPUTED_VALUE"""),479.3)</f>
        <v>479.3</v>
      </c>
      <c r="F82" s="6">
        <f>IFERROR(__xludf.DUMMYFUNCTION("""COMPUTED_VALUE"""),4601032.0)</f>
        <v>4601032</v>
      </c>
    </row>
    <row r="83">
      <c r="A83" s="7">
        <f>IFERROR(__xludf.DUMMYFUNCTION("""COMPUTED_VALUE"""),45772.64583333333)</f>
        <v>45772.64583</v>
      </c>
      <c r="B83" s="6">
        <f>IFERROR(__xludf.DUMMYFUNCTION("""COMPUTED_VALUE"""),481.3)</f>
        <v>481.3</v>
      </c>
      <c r="C83" s="6">
        <f>IFERROR(__xludf.DUMMYFUNCTION("""COMPUTED_VALUE"""),494.5)</f>
        <v>494.5</v>
      </c>
      <c r="D83" s="6">
        <f>IFERROR(__xludf.DUMMYFUNCTION("""COMPUTED_VALUE"""),474.8)</f>
        <v>474.8</v>
      </c>
      <c r="E83" s="6">
        <f>IFERROR(__xludf.DUMMYFUNCTION("""COMPUTED_VALUE"""),484.6)</f>
        <v>484.6</v>
      </c>
      <c r="F83" s="6">
        <f>IFERROR(__xludf.DUMMYFUNCTION("""COMPUTED_VALUE"""),9841280.0)</f>
        <v>9841280</v>
      </c>
    </row>
    <row r="84">
      <c r="A84" s="7">
        <f>IFERROR(__xludf.DUMMYFUNCTION("""COMPUTED_VALUE"""),45779.64583333333)</f>
        <v>45779.64583</v>
      </c>
      <c r="B84" s="6">
        <f>IFERROR(__xludf.DUMMYFUNCTION("""COMPUTED_VALUE"""),483.0)</f>
        <v>483</v>
      </c>
      <c r="C84" s="6">
        <f>IFERROR(__xludf.DUMMYFUNCTION("""COMPUTED_VALUE"""),490.45)</f>
        <v>490.45</v>
      </c>
      <c r="D84" s="6">
        <f>IFERROR(__xludf.DUMMYFUNCTION("""COMPUTED_VALUE"""),476.6)</f>
        <v>476.6</v>
      </c>
      <c r="E84" s="6">
        <f>IFERROR(__xludf.DUMMYFUNCTION("""COMPUTED_VALUE"""),480.5)</f>
        <v>480.5</v>
      </c>
      <c r="F84" s="6">
        <f>IFERROR(__xludf.DUMMYFUNCTION("""COMPUTED_VALUE"""),6676493.0)</f>
        <v>6676493</v>
      </c>
    </row>
    <row r="85">
      <c r="A85" s="7">
        <f>IFERROR(__xludf.DUMMYFUNCTION("""COMPUTED_VALUE"""),45786.64583333333)</f>
        <v>45786.64583</v>
      </c>
      <c r="B85" s="6">
        <f>IFERROR(__xludf.DUMMYFUNCTION("""COMPUTED_VALUE"""),481.0)</f>
        <v>481</v>
      </c>
      <c r="C85" s="6">
        <f>IFERROR(__xludf.DUMMYFUNCTION("""COMPUTED_VALUE"""),486.25)</f>
        <v>486.25</v>
      </c>
      <c r="D85" s="6">
        <f>IFERROR(__xludf.DUMMYFUNCTION("""COMPUTED_VALUE"""),458.6)</f>
        <v>458.6</v>
      </c>
      <c r="E85" s="6">
        <f>IFERROR(__xludf.DUMMYFUNCTION("""COMPUTED_VALUE"""),462.75)</f>
        <v>462.75</v>
      </c>
      <c r="F85" s="6">
        <f>IFERROR(__xludf.DUMMYFUNCTION("""COMPUTED_VALUE"""),1.5353701E7)</f>
        <v>15353701</v>
      </c>
    </row>
    <row r="86">
      <c r="A86" s="7">
        <f>IFERROR(__xludf.DUMMYFUNCTION("""COMPUTED_VALUE"""),45793.64583333333)</f>
        <v>45793.64583</v>
      </c>
      <c r="B86" s="6">
        <f>IFERROR(__xludf.DUMMYFUNCTION("""COMPUTED_VALUE"""),468.05)</f>
        <v>468.05</v>
      </c>
      <c r="C86" s="6">
        <f>IFERROR(__xludf.DUMMYFUNCTION("""COMPUTED_VALUE"""),479.2)</f>
        <v>479.2</v>
      </c>
      <c r="D86" s="6">
        <f>IFERROR(__xludf.DUMMYFUNCTION("""COMPUTED_VALUE"""),467.0)</f>
        <v>467</v>
      </c>
      <c r="E86" s="6">
        <f>IFERROR(__xludf.DUMMYFUNCTION("""COMPUTED_VALUE"""),476.65)</f>
        <v>476.65</v>
      </c>
      <c r="F86" s="6">
        <f>IFERROR(__xludf.DUMMYFUNCTION("""COMPUTED_VALUE"""),1.4064181E7)</f>
        <v>14064181</v>
      </c>
    </row>
    <row r="87">
      <c r="A87" s="7">
        <f>IFERROR(__xludf.DUMMYFUNCTION("""COMPUTED_VALUE"""),45800.64583333333)</f>
        <v>45800.64583</v>
      </c>
      <c r="B87" s="6">
        <f>IFERROR(__xludf.DUMMYFUNCTION("""COMPUTED_VALUE"""),477.6)</f>
        <v>477.6</v>
      </c>
      <c r="C87" s="6">
        <f>IFERROR(__xludf.DUMMYFUNCTION("""COMPUTED_VALUE"""),486.4)</f>
        <v>486.4</v>
      </c>
      <c r="D87" s="6">
        <f>IFERROR(__xludf.DUMMYFUNCTION("""COMPUTED_VALUE"""),475.0)</f>
        <v>475</v>
      </c>
      <c r="E87" s="6">
        <f>IFERROR(__xludf.DUMMYFUNCTION("""COMPUTED_VALUE"""),481.95)</f>
        <v>481.95</v>
      </c>
      <c r="F87" s="6">
        <f>IFERROR(__xludf.DUMMYFUNCTION("""COMPUTED_VALUE"""),8865345.0)</f>
        <v>8865345</v>
      </c>
    </row>
    <row r="88">
      <c r="A88" s="7">
        <f>IFERROR(__xludf.DUMMYFUNCTION("""COMPUTED_VALUE"""),45807.64583333333)</f>
        <v>45807.64583</v>
      </c>
      <c r="B88" s="6">
        <f>IFERROR(__xludf.DUMMYFUNCTION("""COMPUTED_VALUE"""),482.0)</f>
        <v>482</v>
      </c>
      <c r="C88" s="6">
        <f>IFERROR(__xludf.DUMMYFUNCTION("""COMPUTED_VALUE"""),486.8)</f>
        <v>486.8</v>
      </c>
      <c r="D88" s="6">
        <f>IFERROR(__xludf.DUMMYFUNCTION("""COMPUTED_VALUE"""),478.7)</f>
        <v>478.7</v>
      </c>
      <c r="E88" s="6">
        <f>IFERROR(__xludf.DUMMYFUNCTION("""COMPUTED_VALUE"""),482.95)</f>
        <v>482.95</v>
      </c>
      <c r="F88" s="6">
        <f>IFERROR(__xludf.DUMMYFUNCTION("""COMPUTED_VALUE"""),1.3771261E7)</f>
        <v>13771261</v>
      </c>
    </row>
    <row r="89">
      <c r="A89" s="7">
        <f>IFERROR(__xludf.DUMMYFUNCTION("""COMPUTED_VALUE"""),45814.64583333333)</f>
        <v>45814.64583</v>
      </c>
      <c r="B89" s="6">
        <f>IFERROR(__xludf.DUMMYFUNCTION("""COMPUTED_VALUE"""),484.45)</f>
        <v>484.45</v>
      </c>
      <c r="C89" s="6">
        <f>IFERROR(__xludf.DUMMYFUNCTION("""COMPUTED_VALUE"""),494.35)</f>
        <v>494.35</v>
      </c>
      <c r="D89" s="6">
        <f>IFERROR(__xludf.DUMMYFUNCTION("""COMPUTED_VALUE"""),480.55)</f>
        <v>480.55</v>
      </c>
      <c r="E89" s="6">
        <f>IFERROR(__xludf.DUMMYFUNCTION("""COMPUTED_VALUE"""),481.25)</f>
        <v>481.25</v>
      </c>
      <c r="F89" s="6">
        <f>IFERROR(__xludf.DUMMYFUNCTION("""COMPUTED_VALUE"""),1.0892092E7)</f>
        <v>10892092</v>
      </c>
    </row>
    <row r="90">
      <c r="A90" s="7">
        <f>IFERROR(__xludf.DUMMYFUNCTION("""COMPUTED_VALUE"""),45821.64583333333)</f>
        <v>45821.64583</v>
      </c>
      <c r="B90" s="6">
        <f>IFERROR(__xludf.DUMMYFUNCTION("""COMPUTED_VALUE"""),483.65)</f>
        <v>483.65</v>
      </c>
      <c r="C90" s="6">
        <f>IFERROR(__xludf.DUMMYFUNCTION("""COMPUTED_VALUE"""),493.7)</f>
        <v>493.7</v>
      </c>
      <c r="D90" s="6">
        <f>IFERROR(__xludf.DUMMYFUNCTION("""COMPUTED_VALUE"""),464.25)</f>
        <v>464.25</v>
      </c>
      <c r="E90" s="6">
        <f>IFERROR(__xludf.DUMMYFUNCTION("""COMPUTED_VALUE"""),466.5)</f>
        <v>466.5</v>
      </c>
      <c r="F90" s="6">
        <f>IFERROR(__xludf.DUMMYFUNCTION("""COMPUTED_VALUE"""),1.2632148E7)</f>
        <v>12632148</v>
      </c>
    </row>
    <row r="91">
      <c r="A91" s="7">
        <f>IFERROR(__xludf.DUMMYFUNCTION("""COMPUTED_VALUE"""),45828.64583333333)</f>
        <v>45828.64583</v>
      </c>
      <c r="B91" s="6">
        <f>IFERROR(__xludf.DUMMYFUNCTION("""COMPUTED_VALUE"""),467.6)</f>
        <v>467.6</v>
      </c>
      <c r="C91" s="6">
        <f>IFERROR(__xludf.DUMMYFUNCTION("""COMPUTED_VALUE"""),474.35)</f>
        <v>474.35</v>
      </c>
      <c r="D91" s="6">
        <f>IFERROR(__xludf.DUMMYFUNCTION("""COMPUTED_VALUE"""),463.9)</f>
        <v>463.9</v>
      </c>
      <c r="E91" s="6">
        <f>IFERROR(__xludf.DUMMYFUNCTION("""COMPUTED_VALUE"""),466.9)</f>
        <v>466.9</v>
      </c>
      <c r="F91" s="6">
        <f>IFERROR(__xludf.DUMMYFUNCTION("""COMPUTED_VALUE"""),1.0429901E7)</f>
        <v>10429901</v>
      </c>
    </row>
    <row r="92">
      <c r="A92" s="7">
        <f>IFERROR(__xludf.DUMMYFUNCTION("""COMPUTED_VALUE"""),45835.64583333333)</f>
        <v>45835.64583</v>
      </c>
      <c r="B92" s="6">
        <f>IFERROR(__xludf.DUMMYFUNCTION("""COMPUTED_VALUE"""),465.65)</f>
        <v>465.65</v>
      </c>
      <c r="C92" s="6">
        <f>IFERROR(__xludf.DUMMYFUNCTION("""COMPUTED_VALUE"""),488.3)</f>
        <v>488.3</v>
      </c>
      <c r="D92" s="6">
        <f>IFERROR(__xludf.DUMMYFUNCTION("""COMPUTED_VALUE"""),463.1)</f>
        <v>463.1</v>
      </c>
      <c r="E92" s="6">
        <f>IFERROR(__xludf.DUMMYFUNCTION("""COMPUTED_VALUE"""),486.35)</f>
        <v>486.35</v>
      </c>
      <c r="F92" s="6">
        <f>IFERROR(__xludf.DUMMYFUNCTION("""COMPUTED_VALUE"""),1.1305036E7)</f>
        <v>11305036</v>
      </c>
    </row>
    <row r="93">
      <c r="A93" s="7">
        <f>IFERROR(__xludf.DUMMYFUNCTION("""COMPUTED_VALUE"""),45842.64583333333)</f>
        <v>45842.64583</v>
      </c>
      <c r="B93" s="6">
        <f>IFERROR(__xludf.DUMMYFUNCTION("""COMPUTED_VALUE"""),487.4)</f>
        <v>487.4</v>
      </c>
      <c r="C93" s="6">
        <f>IFERROR(__xludf.DUMMYFUNCTION("""COMPUTED_VALUE"""),497.4)</f>
        <v>497.4</v>
      </c>
      <c r="D93" s="6">
        <f>IFERROR(__xludf.DUMMYFUNCTION("""COMPUTED_VALUE"""),479.4)</f>
        <v>479.4</v>
      </c>
      <c r="E93" s="6">
        <f>IFERROR(__xludf.DUMMYFUNCTION("""COMPUTED_VALUE"""),495.1)</f>
        <v>495.1</v>
      </c>
      <c r="F93" s="6">
        <f>IFERROR(__xludf.DUMMYFUNCTION("""COMPUTED_VALUE"""),1.3064515E7)</f>
        <v>13064515</v>
      </c>
    </row>
    <row r="94">
      <c r="A94" s="7">
        <f>IFERROR(__xludf.DUMMYFUNCTION("""COMPUTED_VALUE"""),45849.64583333333)</f>
        <v>45849.64583</v>
      </c>
      <c r="B94" s="6">
        <f>IFERROR(__xludf.DUMMYFUNCTION("""COMPUTED_VALUE"""),501.9)</f>
        <v>501.9</v>
      </c>
      <c r="C94" s="6">
        <f>IFERROR(__xludf.DUMMYFUNCTION("""COMPUTED_VALUE"""),535.9)</f>
        <v>535.9</v>
      </c>
      <c r="D94" s="6">
        <f>IFERROR(__xludf.DUMMYFUNCTION("""COMPUTED_VALUE"""),496.05)</f>
        <v>496.05</v>
      </c>
      <c r="E94" s="6">
        <f>IFERROR(__xludf.DUMMYFUNCTION("""COMPUTED_VALUE"""),530.85)</f>
        <v>530.85</v>
      </c>
      <c r="F94" s="6">
        <f>IFERROR(__xludf.DUMMYFUNCTION("""COMPUTED_VALUE"""),2.2231146E7)</f>
        <v>22231146</v>
      </c>
    </row>
    <row r="95">
      <c r="A95" s="7">
        <f>IFERROR(__xludf.DUMMYFUNCTION("""COMPUTED_VALUE"""),45856.64583333333)</f>
        <v>45856.64583</v>
      </c>
      <c r="B95" s="6">
        <f>IFERROR(__xludf.DUMMYFUNCTION("""COMPUTED_VALUE"""),533.5)</f>
        <v>533.5</v>
      </c>
      <c r="C95" s="6">
        <f>IFERROR(__xludf.DUMMYFUNCTION("""COMPUTED_VALUE"""),536.5)</f>
        <v>536.5</v>
      </c>
      <c r="D95" s="6">
        <f>IFERROR(__xludf.DUMMYFUNCTION("""COMPUTED_VALUE"""),518.35)</f>
        <v>518.35</v>
      </c>
      <c r="E95" s="6">
        <f>IFERROR(__xludf.DUMMYFUNCTION("""COMPUTED_VALUE"""),522.6)</f>
        <v>522.6</v>
      </c>
      <c r="F95" s="6">
        <f>IFERROR(__xludf.DUMMYFUNCTION("""COMPUTED_VALUE"""),8127994.0)</f>
        <v>8127994</v>
      </c>
    </row>
    <row r="96">
      <c r="A96" s="7">
        <f>IFERROR(__xludf.DUMMYFUNCTION("""COMPUTED_VALUE"""),45863.64583333333)</f>
        <v>45863.64583</v>
      </c>
      <c r="B96" s="6">
        <f>IFERROR(__xludf.DUMMYFUNCTION("""COMPUTED_VALUE"""),520.1)</f>
        <v>520.1</v>
      </c>
      <c r="C96" s="6">
        <f>IFERROR(__xludf.DUMMYFUNCTION("""COMPUTED_VALUE"""),522.15)</f>
        <v>522.15</v>
      </c>
      <c r="D96" s="6">
        <f>IFERROR(__xludf.DUMMYFUNCTION("""COMPUTED_VALUE"""),508.35)</f>
        <v>508.35</v>
      </c>
      <c r="E96" s="6">
        <f>IFERROR(__xludf.DUMMYFUNCTION("""COMPUTED_VALUE"""),511.35)</f>
        <v>511.35</v>
      </c>
      <c r="F96" s="6">
        <f>IFERROR(__xludf.DUMMYFUNCTION("""COMPUTED_VALUE"""),1.0390937E7)</f>
        <v>10390937</v>
      </c>
    </row>
    <row r="97">
      <c r="A97" s="7">
        <f>IFERROR(__xludf.DUMMYFUNCTION("""COMPUTED_VALUE"""),45870.64583333333)</f>
        <v>45870.64583</v>
      </c>
      <c r="B97" s="6">
        <f>IFERROR(__xludf.DUMMYFUNCTION("""COMPUTED_VALUE"""),507.0)</f>
        <v>507</v>
      </c>
      <c r="C97" s="6">
        <f>IFERROR(__xludf.DUMMYFUNCTION("""COMPUTED_VALUE"""),547.7)</f>
        <v>547.7</v>
      </c>
      <c r="D97" s="6">
        <f>IFERROR(__xludf.DUMMYFUNCTION("""COMPUTED_VALUE"""),507.0)</f>
        <v>507</v>
      </c>
      <c r="E97" s="6">
        <f>IFERROR(__xludf.DUMMYFUNCTION("""COMPUTED_VALUE"""),534.35)</f>
        <v>534.35</v>
      </c>
      <c r="F97" s="6">
        <f>IFERROR(__xludf.DUMMYFUNCTION("""COMPUTED_VALUE"""),1.8088232E7)</f>
        <v>18088232</v>
      </c>
    </row>
    <row r="98">
      <c r="A98" s="7">
        <f>IFERROR(__xludf.DUMMYFUNCTION("""COMPUTED_VALUE"""),45877.64583333333)</f>
        <v>45877.64583</v>
      </c>
      <c r="B98" s="6">
        <f>IFERROR(__xludf.DUMMYFUNCTION("""COMPUTED_VALUE"""),534.35)</f>
        <v>534.35</v>
      </c>
      <c r="C98" s="6">
        <f>IFERROR(__xludf.DUMMYFUNCTION("""COMPUTED_VALUE"""),538.85)</f>
        <v>538.85</v>
      </c>
      <c r="D98" s="6">
        <f>IFERROR(__xludf.DUMMYFUNCTION("""COMPUTED_VALUE"""),506.0)</f>
        <v>506</v>
      </c>
      <c r="E98" s="6">
        <f>IFERROR(__xludf.DUMMYFUNCTION("""COMPUTED_VALUE"""),507.25)</f>
        <v>507.25</v>
      </c>
      <c r="F98" s="6">
        <f>IFERROR(__xludf.DUMMYFUNCTION("""COMPUTED_VALUE"""),7028923.0)</f>
        <v>7028923</v>
      </c>
    </row>
    <row r="99">
      <c r="A99" s="7">
        <f>IFERROR(__xludf.DUMMYFUNCTION("""COMPUTED_VALUE"""),45883.64583333333)</f>
        <v>45883.64583</v>
      </c>
      <c r="B99" s="6">
        <f>IFERROR(__xludf.DUMMYFUNCTION("""COMPUTED_VALUE"""),507.7)</f>
        <v>507.7</v>
      </c>
      <c r="C99" s="6">
        <f>IFERROR(__xludf.DUMMYFUNCTION("""COMPUTED_VALUE"""),511.55)</f>
        <v>511.55</v>
      </c>
      <c r="D99" s="6">
        <f>IFERROR(__xludf.DUMMYFUNCTION("""COMPUTED_VALUE"""),498.65)</f>
        <v>498.65</v>
      </c>
      <c r="E99" s="6">
        <f>IFERROR(__xludf.DUMMYFUNCTION("""COMPUTED_VALUE"""),500.9)</f>
        <v>500.9</v>
      </c>
      <c r="F99" s="6">
        <f>IFERROR(__xludf.DUMMYFUNCTION("""COMPUTED_VALUE"""),4030420.0)</f>
        <v>4030420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IFERROR(__xludf.DUMMYFUNCTION("""COMPUTED_VALUE"""),513.9)</f>
        <v>513.9</v>
      </c>
      <c r="C100" s="6">
        <f>IFERROR(__xludf.DUMMYFUNCTION("""COMPUTED_VALUE"""),536.45)</f>
        <v>536.45</v>
      </c>
      <c r="D100" s="6">
        <f>IFERROR(__xludf.DUMMYFUNCTION("""COMPUTED_VALUE"""),512.0)</f>
        <v>512</v>
      </c>
      <c r="E100" s="6">
        <f>IFERROR(__xludf.DUMMYFUNCTION("""COMPUTED_VALUE"""),515.95)</f>
        <v>515.95</v>
      </c>
      <c r="F100" s="6">
        <f>IFERROR(__xludf.DUMMYFUNCTION("""COMPUTED_VALUE"""),2.5439203E7)</f>
        <v>25439203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IFERROR(__xludf.DUMMYFUNCTION("""COMPUTED_VALUE"""),515.9)</f>
        <v>515.9</v>
      </c>
      <c r="C101" s="6">
        <f>IFERROR(__xludf.DUMMYFUNCTION("""COMPUTED_VALUE"""),526.8)</f>
        <v>526.8</v>
      </c>
      <c r="D101" s="6">
        <f>IFERROR(__xludf.DUMMYFUNCTION("""COMPUTED_VALUE"""),513.45)</f>
        <v>513.45</v>
      </c>
      <c r="E101" s="6">
        <f>IFERROR(__xludf.DUMMYFUNCTION("""COMPUTED_VALUE"""),522.4)</f>
        <v>522.4</v>
      </c>
      <c r="F101" s="6">
        <f>IFERROR(__xludf.DUMMYFUNCTION("""COMPUTED_VALUE"""),2.6641804E7)</f>
        <v>26641804</v>
      </c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IFERROR(__xludf.DUMMYFUNCTION("GOOGLEFINANCE(""NSE:DIVISLAB"",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IFERROR(__xludf.DUMMYFUNCTION("""COMPUTED_VALUE"""),3630.0)</f>
        <v>3630</v>
      </c>
      <c r="C2" s="6">
        <f>IFERROR(__xludf.DUMMYFUNCTION("""COMPUTED_VALUE"""),3678.2)</f>
        <v>3678.2</v>
      </c>
      <c r="D2" s="6">
        <f>IFERROR(__xludf.DUMMYFUNCTION("""COMPUTED_VALUE"""),3529.75)</f>
        <v>3529.75</v>
      </c>
      <c r="E2" s="6">
        <f>IFERROR(__xludf.DUMMYFUNCTION("""COMPUTED_VALUE"""),3589.3)</f>
        <v>3589.3</v>
      </c>
      <c r="F2" s="6">
        <f>IFERROR(__xludf.DUMMYFUNCTION("""COMPUTED_VALUE"""),1931015.0)</f>
        <v>1931015</v>
      </c>
    </row>
    <row r="3">
      <c r="A3" s="7">
        <f>IFERROR(__xludf.DUMMYFUNCTION("""COMPUTED_VALUE"""),45177.64583333333)</f>
        <v>45177.64583</v>
      </c>
      <c r="B3" s="6">
        <f>IFERROR(__xludf.DUMMYFUNCTION("""COMPUTED_VALUE"""),3590.05)</f>
        <v>3590.05</v>
      </c>
      <c r="C3" s="6">
        <f>IFERROR(__xludf.DUMMYFUNCTION("""COMPUTED_VALUE"""),3732.75)</f>
        <v>3732.75</v>
      </c>
      <c r="D3" s="6">
        <f>IFERROR(__xludf.DUMMYFUNCTION("""COMPUTED_VALUE"""),3587.0)</f>
        <v>3587</v>
      </c>
      <c r="E3" s="6">
        <f>IFERROR(__xludf.DUMMYFUNCTION("""COMPUTED_VALUE"""),3698.8)</f>
        <v>3698.8</v>
      </c>
      <c r="F3" s="6">
        <f>IFERROR(__xludf.DUMMYFUNCTION("""COMPUTED_VALUE"""),1997273.0)</f>
        <v>1997273</v>
      </c>
    </row>
    <row r="4">
      <c r="A4" s="7">
        <f>IFERROR(__xludf.DUMMYFUNCTION("""COMPUTED_VALUE"""),45184.64583333333)</f>
        <v>45184.64583</v>
      </c>
      <c r="B4" s="6">
        <f>IFERROR(__xludf.DUMMYFUNCTION("""COMPUTED_VALUE"""),3700.0)</f>
        <v>3700</v>
      </c>
      <c r="C4" s="6">
        <f>IFERROR(__xludf.DUMMYFUNCTION("""COMPUTED_VALUE"""),3848.0)</f>
        <v>3848</v>
      </c>
      <c r="D4" s="6">
        <f>IFERROR(__xludf.DUMMYFUNCTION("""COMPUTED_VALUE"""),3691.8)</f>
        <v>3691.8</v>
      </c>
      <c r="E4" s="6">
        <f>IFERROR(__xludf.DUMMYFUNCTION("""COMPUTED_VALUE"""),3815.5)</f>
        <v>3815.5</v>
      </c>
      <c r="F4" s="6">
        <f>IFERROR(__xludf.DUMMYFUNCTION("""COMPUTED_VALUE"""),2234924.0)</f>
        <v>2234924</v>
      </c>
    </row>
    <row r="5">
      <c r="A5" s="7">
        <f>IFERROR(__xludf.DUMMYFUNCTION("""COMPUTED_VALUE"""),45191.64583333333)</f>
        <v>45191.64583</v>
      </c>
      <c r="B5" s="6">
        <f>IFERROR(__xludf.DUMMYFUNCTION("""COMPUTED_VALUE"""),3808.2)</f>
        <v>3808.2</v>
      </c>
      <c r="C5" s="6">
        <f>IFERROR(__xludf.DUMMYFUNCTION("""COMPUTED_VALUE"""),3820.0)</f>
        <v>3820</v>
      </c>
      <c r="D5" s="6">
        <f>IFERROR(__xludf.DUMMYFUNCTION("""COMPUTED_VALUE"""),3685.0)</f>
        <v>3685</v>
      </c>
      <c r="E5" s="6">
        <f>IFERROR(__xludf.DUMMYFUNCTION("""COMPUTED_VALUE"""),3705.05)</f>
        <v>3705.05</v>
      </c>
      <c r="F5" s="6">
        <f>IFERROR(__xludf.DUMMYFUNCTION("""COMPUTED_VALUE"""),839244.0)</f>
        <v>839244</v>
      </c>
    </row>
    <row r="6">
      <c r="A6" s="7">
        <f>IFERROR(__xludf.DUMMYFUNCTION("""COMPUTED_VALUE"""),45198.64583333333)</f>
        <v>45198.64583</v>
      </c>
      <c r="B6" s="6">
        <f>IFERROR(__xludf.DUMMYFUNCTION("""COMPUTED_VALUE"""),3690.0)</f>
        <v>3690</v>
      </c>
      <c r="C6" s="6">
        <f>IFERROR(__xludf.DUMMYFUNCTION("""COMPUTED_VALUE"""),3859.5)</f>
        <v>3859.5</v>
      </c>
      <c r="D6" s="6">
        <f>IFERROR(__xludf.DUMMYFUNCTION("""COMPUTED_VALUE"""),3651.0)</f>
        <v>3651</v>
      </c>
      <c r="E6" s="6">
        <f>IFERROR(__xludf.DUMMYFUNCTION("""COMPUTED_VALUE"""),3765.15)</f>
        <v>3765.15</v>
      </c>
      <c r="F6" s="6">
        <f>IFERROR(__xludf.DUMMYFUNCTION("""COMPUTED_VALUE"""),1905577.0)</f>
        <v>1905577</v>
      </c>
    </row>
    <row r="7">
      <c r="A7" s="7">
        <f>IFERROR(__xludf.DUMMYFUNCTION("""COMPUTED_VALUE"""),45205.64583333333)</f>
        <v>45205.64583</v>
      </c>
      <c r="B7" s="6">
        <f>IFERROR(__xludf.DUMMYFUNCTION("""COMPUTED_VALUE"""),3760.05)</f>
        <v>3760.05</v>
      </c>
      <c r="C7" s="6">
        <f>IFERROR(__xludf.DUMMYFUNCTION("""COMPUTED_VALUE"""),3764.0)</f>
        <v>3764</v>
      </c>
      <c r="D7" s="6">
        <f>IFERROR(__xludf.DUMMYFUNCTION("""COMPUTED_VALUE"""),3653.4)</f>
        <v>3653.4</v>
      </c>
      <c r="E7" s="6">
        <f>IFERROR(__xludf.DUMMYFUNCTION("""COMPUTED_VALUE"""),3721.8)</f>
        <v>3721.8</v>
      </c>
      <c r="F7" s="6">
        <f>IFERROR(__xludf.DUMMYFUNCTION("""COMPUTED_VALUE"""),1041420.0)</f>
        <v>1041420</v>
      </c>
    </row>
    <row r="8">
      <c r="A8" s="7">
        <f>IFERROR(__xludf.DUMMYFUNCTION("""COMPUTED_VALUE"""),45212.64583333333)</f>
        <v>45212.64583</v>
      </c>
      <c r="B8" s="6">
        <f>IFERROR(__xludf.DUMMYFUNCTION("""COMPUTED_VALUE"""),3700.0)</f>
        <v>3700</v>
      </c>
      <c r="C8" s="6">
        <f>IFERROR(__xludf.DUMMYFUNCTION("""COMPUTED_VALUE"""),3799.0)</f>
        <v>3799</v>
      </c>
      <c r="D8" s="6">
        <f>IFERROR(__xludf.DUMMYFUNCTION("""COMPUTED_VALUE"""),3683.85)</f>
        <v>3683.85</v>
      </c>
      <c r="E8" s="6">
        <f>IFERROR(__xludf.DUMMYFUNCTION("""COMPUTED_VALUE"""),3735.35)</f>
        <v>3735.35</v>
      </c>
      <c r="F8" s="6">
        <f>IFERROR(__xludf.DUMMYFUNCTION("""COMPUTED_VALUE"""),1233799.0)</f>
        <v>1233799</v>
      </c>
    </row>
    <row r="9">
      <c r="A9" s="7">
        <f>IFERROR(__xludf.DUMMYFUNCTION("""COMPUTED_VALUE"""),45219.64583333333)</f>
        <v>45219.64583</v>
      </c>
      <c r="B9" s="6">
        <f>IFERROR(__xludf.DUMMYFUNCTION("""COMPUTED_VALUE"""),3711.05)</f>
        <v>3711.05</v>
      </c>
      <c r="C9" s="6">
        <f>IFERROR(__xludf.DUMMYFUNCTION("""COMPUTED_VALUE"""),3726.6)</f>
        <v>3726.6</v>
      </c>
      <c r="D9" s="6">
        <f>IFERROR(__xludf.DUMMYFUNCTION("""COMPUTED_VALUE"""),3534.0)</f>
        <v>3534</v>
      </c>
      <c r="E9" s="6">
        <f>IFERROR(__xludf.DUMMYFUNCTION("""COMPUTED_VALUE"""),3554.3)</f>
        <v>3554.3</v>
      </c>
      <c r="F9" s="6">
        <f>IFERROR(__xludf.DUMMYFUNCTION("""COMPUTED_VALUE"""),1556455.0)</f>
        <v>1556455</v>
      </c>
    </row>
    <row r="10">
      <c r="A10" s="7">
        <f>IFERROR(__xludf.DUMMYFUNCTION("""COMPUTED_VALUE"""),45226.64583333333)</f>
        <v>45226.64583</v>
      </c>
      <c r="B10" s="6">
        <f>IFERROR(__xludf.DUMMYFUNCTION("""COMPUTED_VALUE"""),3536.15)</f>
        <v>3536.15</v>
      </c>
      <c r="C10" s="6">
        <f>IFERROR(__xludf.DUMMYFUNCTION("""COMPUTED_VALUE"""),3625.0)</f>
        <v>3625</v>
      </c>
      <c r="D10" s="6">
        <f>IFERROR(__xludf.DUMMYFUNCTION("""COMPUTED_VALUE"""),3380.0)</f>
        <v>3380</v>
      </c>
      <c r="E10" s="6">
        <f>IFERROR(__xludf.DUMMYFUNCTION("""COMPUTED_VALUE"""),3411.95)</f>
        <v>3411.95</v>
      </c>
      <c r="F10" s="6">
        <f>IFERROR(__xludf.DUMMYFUNCTION("""COMPUTED_VALUE"""),1772954.0)</f>
        <v>1772954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IFERROR(__xludf.DUMMYFUNCTION("""COMPUTED_VALUE"""),3429.0)</f>
        <v>3429</v>
      </c>
      <c r="C11" s="6">
        <f>IFERROR(__xludf.DUMMYFUNCTION("""COMPUTED_VALUE"""),3447.2)</f>
        <v>3447.2</v>
      </c>
      <c r="D11" s="6">
        <f>IFERROR(__xludf.DUMMYFUNCTION("""COMPUTED_VALUE"""),3330.05)</f>
        <v>3330.05</v>
      </c>
      <c r="E11" s="6">
        <f>IFERROR(__xludf.DUMMYFUNCTION("""COMPUTED_VALUE"""),3350.7)</f>
        <v>3350.7</v>
      </c>
      <c r="F11" s="6">
        <f>IFERROR(__xludf.DUMMYFUNCTION("""COMPUTED_VALUE"""),1516780.0)</f>
        <v>1516780</v>
      </c>
    </row>
    <row r="12">
      <c r="A12" s="7">
        <f>IFERROR(__xludf.DUMMYFUNCTION("""COMPUTED_VALUE"""),45240.64583333333)</f>
        <v>45240.64583</v>
      </c>
      <c r="B12" s="6">
        <f>IFERROR(__xludf.DUMMYFUNCTION("""COMPUTED_VALUE"""),3360.0)</f>
        <v>3360</v>
      </c>
      <c r="C12" s="6">
        <f>IFERROR(__xludf.DUMMYFUNCTION("""COMPUTED_VALUE"""),3568.8)</f>
        <v>3568.8</v>
      </c>
      <c r="D12" s="6">
        <f>IFERROR(__xludf.DUMMYFUNCTION("""COMPUTED_VALUE"""),3295.3)</f>
        <v>3295.3</v>
      </c>
      <c r="E12" s="6">
        <f>IFERROR(__xludf.DUMMYFUNCTION("""COMPUTED_VALUE"""),3493.2)</f>
        <v>3493.2</v>
      </c>
      <c r="F12" s="6">
        <f>IFERROR(__xludf.DUMMYFUNCTION("""COMPUTED_VALUE"""),4011703.0)</f>
        <v>4011703</v>
      </c>
    </row>
    <row r="13">
      <c r="A13" s="7">
        <f>IFERROR(__xludf.DUMMYFUNCTION("""COMPUTED_VALUE"""),45247.64583333333)</f>
        <v>45247.64583</v>
      </c>
      <c r="B13" s="6">
        <f>IFERROR(__xludf.DUMMYFUNCTION("""COMPUTED_VALUE"""),3496.9)</f>
        <v>3496.9</v>
      </c>
      <c r="C13" s="6">
        <f>IFERROR(__xludf.DUMMYFUNCTION("""COMPUTED_VALUE"""),3619.0)</f>
        <v>3619</v>
      </c>
      <c r="D13" s="6">
        <f>IFERROR(__xludf.DUMMYFUNCTION("""COMPUTED_VALUE"""),3487.25)</f>
        <v>3487.25</v>
      </c>
      <c r="E13" s="6">
        <f>IFERROR(__xludf.DUMMYFUNCTION("""COMPUTED_VALUE"""),3600.85)</f>
        <v>3600.85</v>
      </c>
      <c r="F13" s="6">
        <f>IFERROR(__xludf.DUMMYFUNCTION("""COMPUTED_VALUE"""),1079384.0)</f>
        <v>1079384</v>
      </c>
    </row>
    <row r="14">
      <c r="A14" s="7">
        <f>IFERROR(__xludf.DUMMYFUNCTION("""COMPUTED_VALUE"""),45254.64583333333)</f>
        <v>45254.64583</v>
      </c>
      <c r="B14" s="6">
        <f>IFERROR(__xludf.DUMMYFUNCTION("""COMPUTED_VALUE"""),3609.95)</f>
        <v>3609.95</v>
      </c>
      <c r="C14" s="6">
        <f>IFERROR(__xludf.DUMMYFUNCTION("""COMPUTED_VALUE"""),3778.95)</f>
        <v>3778.95</v>
      </c>
      <c r="D14" s="6">
        <f>IFERROR(__xludf.DUMMYFUNCTION("""COMPUTED_VALUE"""),3604.1)</f>
        <v>3604.1</v>
      </c>
      <c r="E14" s="6">
        <f>IFERROR(__xludf.DUMMYFUNCTION("""COMPUTED_VALUE"""),3764.8)</f>
        <v>3764.8</v>
      </c>
      <c r="F14" s="6">
        <f>IFERROR(__xludf.DUMMYFUNCTION("""COMPUTED_VALUE"""),3388795.0)</f>
        <v>3388795</v>
      </c>
    </row>
    <row r="15">
      <c r="A15" s="7">
        <f>IFERROR(__xludf.DUMMYFUNCTION("""COMPUTED_VALUE"""),45261.64583333333)</f>
        <v>45261.64583</v>
      </c>
      <c r="B15" s="6">
        <f>IFERROR(__xludf.DUMMYFUNCTION("""COMPUTED_VALUE"""),3770.0)</f>
        <v>3770</v>
      </c>
      <c r="C15" s="6">
        <f>IFERROR(__xludf.DUMMYFUNCTION("""COMPUTED_VALUE"""),3819.7)</f>
        <v>3819.7</v>
      </c>
      <c r="D15" s="6">
        <f>IFERROR(__xludf.DUMMYFUNCTION("""COMPUTED_VALUE"""),3720.95)</f>
        <v>3720.95</v>
      </c>
      <c r="E15" s="6">
        <f>IFERROR(__xludf.DUMMYFUNCTION("""COMPUTED_VALUE"""),3792.7)</f>
        <v>3792.7</v>
      </c>
      <c r="F15" s="6">
        <f>IFERROR(__xludf.DUMMYFUNCTION("""COMPUTED_VALUE"""),1674575.0)</f>
        <v>1674575</v>
      </c>
    </row>
    <row r="16">
      <c r="A16" s="7">
        <f>IFERROR(__xludf.DUMMYFUNCTION("""COMPUTED_VALUE"""),45268.64583333333)</f>
        <v>45268.64583</v>
      </c>
      <c r="B16" s="6">
        <f>IFERROR(__xludf.DUMMYFUNCTION("""COMPUTED_VALUE"""),3810.0)</f>
        <v>3810</v>
      </c>
      <c r="C16" s="6">
        <f>IFERROR(__xludf.DUMMYFUNCTION("""COMPUTED_VALUE"""),3835.05)</f>
        <v>3835.05</v>
      </c>
      <c r="D16" s="6">
        <f>IFERROR(__xludf.DUMMYFUNCTION("""COMPUTED_VALUE"""),3662.4)</f>
        <v>3662.4</v>
      </c>
      <c r="E16" s="6">
        <f>IFERROR(__xludf.DUMMYFUNCTION("""COMPUTED_VALUE"""),3681.75)</f>
        <v>3681.75</v>
      </c>
      <c r="F16" s="6">
        <f>IFERROR(__xludf.DUMMYFUNCTION("""COMPUTED_VALUE"""),1803599.0)</f>
        <v>1803599</v>
      </c>
    </row>
    <row r="17">
      <c r="A17" s="7">
        <f>IFERROR(__xludf.DUMMYFUNCTION("""COMPUTED_VALUE"""),45275.64583333333)</f>
        <v>45275.64583</v>
      </c>
      <c r="B17" s="6">
        <f>IFERROR(__xludf.DUMMYFUNCTION("""COMPUTED_VALUE"""),3679.0)</f>
        <v>3679</v>
      </c>
      <c r="C17" s="6">
        <f>IFERROR(__xludf.DUMMYFUNCTION("""COMPUTED_VALUE"""),3720.3)</f>
        <v>3720.3</v>
      </c>
      <c r="D17" s="6">
        <f>IFERROR(__xludf.DUMMYFUNCTION("""COMPUTED_VALUE"""),3612.0)</f>
        <v>3612</v>
      </c>
      <c r="E17" s="6">
        <f>IFERROR(__xludf.DUMMYFUNCTION("""COMPUTED_VALUE"""),3697.05)</f>
        <v>3697.05</v>
      </c>
      <c r="F17" s="6">
        <f>IFERROR(__xludf.DUMMYFUNCTION("""COMPUTED_VALUE"""),1577886.0)</f>
        <v>1577886</v>
      </c>
    </row>
    <row r="18">
      <c r="A18" s="7">
        <f>IFERROR(__xludf.DUMMYFUNCTION("""COMPUTED_VALUE"""),45282.64583333333)</f>
        <v>45282.64583</v>
      </c>
      <c r="B18" s="6">
        <f>IFERROR(__xludf.DUMMYFUNCTION("""COMPUTED_VALUE"""),3690.0)</f>
        <v>3690</v>
      </c>
      <c r="C18" s="6">
        <f>IFERROR(__xludf.DUMMYFUNCTION("""COMPUTED_VALUE"""),3773.95)</f>
        <v>3773.95</v>
      </c>
      <c r="D18" s="6">
        <f>IFERROR(__xludf.DUMMYFUNCTION("""COMPUTED_VALUE"""),3565.55)</f>
        <v>3565.55</v>
      </c>
      <c r="E18" s="6">
        <f>IFERROR(__xludf.DUMMYFUNCTION("""COMPUTED_VALUE"""),3694.95)</f>
        <v>3694.95</v>
      </c>
      <c r="F18" s="6">
        <f>IFERROR(__xludf.DUMMYFUNCTION("""COMPUTED_VALUE"""),2342762.0)</f>
        <v>2342762</v>
      </c>
    </row>
    <row r="19">
      <c r="A19" s="7">
        <f>IFERROR(__xludf.DUMMYFUNCTION("""COMPUTED_VALUE"""),45289.64583333333)</f>
        <v>45289.64583</v>
      </c>
      <c r="B19" s="6">
        <f>IFERROR(__xludf.DUMMYFUNCTION("""COMPUTED_VALUE"""),3699.05)</f>
        <v>3699.05</v>
      </c>
      <c r="C19" s="6">
        <f>IFERROR(__xludf.DUMMYFUNCTION("""COMPUTED_VALUE"""),3952.0)</f>
        <v>3952</v>
      </c>
      <c r="D19" s="6">
        <f>IFERROR(__xludf.DUMMYFUNCTION("""COMPUTED_VALUE"""),3694.0)</f>
        <v>3694</v>
      </c>
      <c r="E19" s="6">
        <f>IFERROR(__xludf.DUMMYFUNCTION("""COMPUTED_VALUE"""),3903.9)</f>
        <v>3903.9</v>
      </c>
      <c r="F19" s="6">
        <f>IFERROR(__xludf.DUMMYFUNCTION("""COMPUTED_VALUE"""),2779116.0)</f>
        <v>2779116</v>
      </c>
    </row>
    <row r="20">
      <c r="A20" s="7">
        <f>IFERROR(__xludf.DUMMYFUNCTION("""COMPUTED_VALUE"""),45296.64583333333)</f>
        <v>45296.64583</v>
      </c>
      <c r="B20" s="6">
        <f>IFERROR(__xludf.DUMMYFUNCTION("""COMPUTED_VALUE"""),3910.0)</f>
        <v>3910</v>
      </c>
      <c r="C20" s="6">
        <f>IFERROR(__xludf.DUMMYFUNCTION("""COMPUTED_VALUE"""),4074.4)</f>
        <v>4074.4</v>
      </c>
      <c r="D20" s="6">
        <f>IFERROR(__xludf.DUMMYFUNCTION("""COMPUTED_VALUE"""),3882.15)</f>
        <v>3882.15</v>
      </c>
      <c r="E20" s="6">
        <f>IFERROR(__xludf.DUMMYFUNCTION("""COMPUTED_VALUE"""),4014.75)</f>
        <v>4014.75</v>
      </c>
      <c r="F20" s="6">
        <f>IFERROR(__xludf.DUMMYFUNCTION("""COMPUTED_VALUE"""),2878734.0)</f>
        <v>2878734</v>
      </c>
    </row>
    <row r="21">
      <c r="A21" s="7">
        <f>IFERROR(__xludf.DUMMYFUNCTION("""COMPUTED_VALUE"""),45303.64583333333)</f>
        <v>45303.64583</v>
      </c>
      <c r="B21" s="6">
        <f>IFERROR(__xludf.DUMMYFUNCTION("""COMPUTED_VALUE"""),3999.0)</f>
        <v>3999</v>
      </c>
      <c r="C21" s="6">
        <f>IFERROR(__xludf.DUMMYFUNCTION("""COMPUTED_VALUE"""),4025.35)</f>
        <v>4025.35</v>
      </c>
      <c r="D21" s="6">
        <f>IFERROR(__xludf.DUMMYFUNCTION("""COMPUTED_VALUE"""),3860.5)</f>
        <v>3860.5</v>
      </c>
      <c r="E21" s="6">
        <f>IFERROR(__xludf.DUMMYFUNCTION("""COMPUTED_VALUE"""),3883.95)</f>
        <v>3883.95</v>
      </c>
      <c r="F21" s="6">
        <f>IFERROR(__xludf.DUMMYFUNCTION("""COMPUTED_VALUE"""),1753648.0)</f>
        <v>1753648</v>
      </c>
    </row>
    <row r="22">
      <c r="A22" s="7">
        <f>IFERROR(__xludf.DUMMYFUNCTION("""COMPUTED_VALUE"""),45316.64583333333)</f>
        <v>45316.64583</v>
      </c>
      <c r="B22" s="6">
        <f>IFERROR(__xludf.DUMMYFUNCTION("""COMPUTED_VALUE"""),3700.0)</f>
        <v>3700</v>
      </c>
      <c r="C22" s="6">
        <f>IFERROR(__xludf.DUMMYFUNCTION("""COMPUTED_VALUE"""),3700.0)</f>
        <v>3700</v>
      </c>
      <c r="D22" s="6">
        <f>IFERROR(__xludf.DUMMYFUNCTION("""COMPUTED_VALUE"""),3547.25)</f>
        <v>3547.25</v>
      </c>
      <c r="E22" s="6">
        <f>IFERROR(__xludf.DUMMYFUNCTION("""COMPUTED_VALUE"""),3578.9)</f>
        <v>3578.9</v>
      </c>
      <c r="F22" s="6">
        <f>IFERROR(__xludf.DUMMYFUNCTION("""COMPUTED_VALUE"""),1173037.0)</f>
        <v>1173037</v>
      </c>
    </row>
    <row r="23">
      <c r="A23" s="7">
        <f>IFERROR(__xludf.DUMMYFUNCTION("""COMPUTED_VALUE"""),45324.64583333333)</f>
        <v>45324.64583</v>
      </c>
      <c r="B23" s="6">
        <f>IFERROR(__xludf.DUMMYFUNCTION("""COMPUTED_VALUE"""),3578.0)</f>
        <v>3578</v>
      </c>
      <c r="C23" s="6">
        <f>IFERROR(__xludf.DUMMYFUNCTION("""COMPUTED_VALUE"""),3744.7)</f>
        <v>3744.7</v>
      </c>
      <c r="D23" s="6">
        <f>IFERROR(__xludf.DUMMYFUNCTION("""COMPUTED_VALUE"""),3540.3)</f>
        <v>3540.3</v>
      </c>
      <c r="E23" s="6">
        <f>IFERROR(__xludf.DUMMYFUNCTION("""COMPUTED_VALUE"""),3699.4)</f>
        <v>3699.4</v>
      </c>
      <c r="F23" s="6">
        <f>IFERROR(__xludf.DUMMYFUNCTION("""COMPUTED_VALUE"""),3476334.0)</f>
        <v>3476334</v>
      </c>
    </row>
    <row r="24">
      <c r="A24" s="7">
        <f>IFERROR(__xludf.DUMMYFUNCTION("""COMPUTED_VALUE"""),45331.64583333333)</f>
        <v>45331.64583</v>
      </c>
      <c r="B24" s="6">
        <f>IFERROR(__xludf.DUMMYFUNCTION("""COMPUTED_VALUE"""),3699.4)</f>
        <v>3699.4</v>
      </c>
      <c r="C24" s="6">
        <f>IFERROR(__xludf.DUMMYFUNCTION("""COMPUTED_VALUE"""),3771.0)</f>
        <v>3771</v>
      </c>
      <c r="D24" s="6">
        <f>IFERROR(__xludf.DUMMYFUNCTION("""COMPUTED_VALUE"""),3613.5)</f>
        <v>3613.5</v>
      </c>
      <c r="E24" s="6">
        <f>IFERROR(__xludf.DUMMYFUNCTION("""COMPUTED_VALUE"""),3652.3)</f>
        <v>3652.3</v>
      </c>
      <c r="F24" s="6">
        <f>IFERROR(__xludf.DUMMYFUNCTION("""COMPUTED_VALUE"""),1836896.0)</f>
        <v>1836896</v>
      </c>
    </row>
    <row r="25">
      <c r="A25" s="7">
        <f>IFERROR(__xludf.DUMMYFUNCTION("""COMPUTED_VALUE"""),45338.64583333333)</f>
        <v>45338.64583</v>
      </c>
      <c r="B25" s="6">
        <f>IFERROR(__xludf.DUMMYFUNCTION("""COMPUTED_VALUE"""),3650.0)</f>
        <v>3650</v>
      </c>
      <c r="C25" s="6">
        <f>IFERROR(__xludf.DUMMYFUNCTION("""COMPUTED_VALUE"""),3832.8)</f>
        <v>3832.8</v>
      </c>
      <c r="D25" s="6">
        <f>IFERROR(__xludf.DUMMYFUNCTION("""COMPUTED_VALUE"""),3632.05)</f>
        <v>3632.05</v>
      </c>
      <c r="E25" s="6">
        <f>IFERROR(__xludf.DUMMYFUNCTION("""COMPUTED_VALUE"""),3729.2)</f>
        <v>3729.2</v>
      </c>
      <c r="F25" s="6">
        <f>IFERROR(__xludf.DUMMYFUNCTION("""COMPUTED_VALUE"""),3483725.0)</f>
        <v>3483725</v>
      </c>
    </row>
    <row r="26">
      <c r="A26" s="7">
        <f>IFERROR(__xludf.DUMMYFUNCTION("""COMPUTED_VALUE"""),45345.64583333333)</f>
        <v>45345.64583</v>
      </c>
      <c r="B26" s="6">
        <f>IFERROR(__xludf.DUMMYFUNCTION("""COMPUTED_VALUE"""),3730.0)</f>
        <v>3730</v>
      </c>
      <c r="C26" s="6">
        <f>IFERROR(__xludf.DUMMYFUNCTION("""COMPUTED_VALUE"""),3763.25)</f>
        <v>3763.25</v>
      </c>
      <c r="D26" s="6">
        <f>IFERROR(__xludf.DUMMYFUNCTION("""COMPUTED_VALUE"""),3597.05)</f>
        <v>3597.05</v>
      </c>
      <c r="E26" s="6">
        <f>IFERROR(__xludf.DUMMYFUNCTION("""COMPUTED_VALUE"""),3648.1)</f>
        <v>3648.1</v>
      </c>
      <c r="F26" s="6">
        <f>IFERROR(__xludf.DUMMYFUNCTION("""COMPUTED_VALUE"""),1745125.0)</f>
        <v>1745125</v>
      </c>
    </row>
    <row r="27">
      <c r="A27" s="7">
        <f>IFERROR(__xludf.DUMMYFUNCTION("""COMPUTED_VALUE"""),45358.64583333333)</f>
        <v>45358.64583</v>
      </c>
      <c r="B27" s="6">
        <f>IFERROR(__xludf.DUMMYFUNCTION("""COMPUTED_VALUE"""),3514.8)</f>
        <v>3514.8</v>
      </c>
      <c r="C27" s="6">
        <f>IFERROR(__xludf.DUMMYFUNCTION("""COMPUTED_VALUE"""),3620.0)</f>
        <v>3620</v>
      </c>
      <c r="D27" s="6">
        <f>IFERROR(__xludf.DUMMYFUNCTION("""COMPUTED_VALUE"""),3450.0)</f>
        <v>3450</v>
      </c>
      <c r="E27" s="6">
        <f>IFERROR(__xludf.DUMMYFUNCTION("""COMPUTED_VALUE"""),3601.6)</f>
        <v>3601.6</v>
      </c>
      <c r="F27" s="6">
        <f>IFERROR(__xludf.DUMMYFUNCTION("""COMPUTED_VALUE"""),2246303.0)</f>
        <v>2246303</v>
      </c>
    </row>
    <row r="28">
      <c r="A28" s="7">
        <f>IFERROR(__xludf.DUMMYFUNCTION("""COMPUTED_VALUE"""),45366.64583333333)</f>
        <v>45366.64583</v>
      </c>
      <c r="B28" s="6">
        <f>IFERROR(__xludf.DUMMYFUNCTION("""COMPUTED_VALUE"""),3601.6)</f>
        <v>3601.6</v>
      </c>
      <c r="C28" s="6">
        <f>IFERROR(__xludf.DUMMYFUNCTION("""COMPUTED_VALUE"""),3652.05)</f>
        <v>3652.05</v>
      </c>
      <c r="D28" s="6">
        <f>IFERROR(__xludf.DUMMYFUNCTION("""COMPUTED_VALUE"""),3441.0)</f>
        <v>3441</v>
      </c>
      <c r="E28" s="6">
        <f>IFERROR(__xludf.DUMMYFUNCTION("""COMPUTED_VALUE"""),3485.4)</f>
        <v>3485.4</v>
      </c>
      <c r="F28" s="6">
        <f>IFERROR(__xludf.DUMMYFUNCTION("""COMPUTED_VALUE"""),1928284.0)</f>
        <v>1928284</v>
      </c>
    </row>
    <row r="29">
      <c r="A29" s="7">
        <f>IFERROR(__xludf.DUMMYFUNCTION("""COMPUTED_VALUE"""),45373.64583333333)</f>
        <v>45373.64583</v>
      </c>
      <c r="B29" s="6">
        <f>IFERROR(__xludf.DUMMYFUNCTION("""COMPUTED_VALUE"""),3485.4)</f>
        <v>3485.4</v>
      </c>
      <c r="C29" s="6">
        <f>IFERROR(__xludf.DUMMYFUNCTION("""COMPUTED_VALUE"""),3520.0)</f>
        <v>3520</v>
      </c>
      <c r="D29" s="6">
        <f>IFERROR(__xludf.DUMMYFUNCTION("""COMPUTED_VALUE"""),3397.15)</f>
        <v>3397.15</v>
      </c>
      <c r="E29" s="6">
        <f>IFERROR(__xludf.DUMMYFUNCTION("""COMPUTED_VALUE"""),3431.45)</f>
        <v>3431.45</v>
      </c>
      <c r="F29" s="6">
        <f>IFERROR(__xludf.DUMMYFUNCTION("""COMPUTED_VALUE"""),1902279.0)</f>
        <v>1902279</v>
      </c>
    </row>
    <row r="30">
      <c r="A30" s="7">
        <f>IFERROR(__xludf.DUMMYFUNCTION("""COMPUTED_VALUE"""),45379.64583333333)</f>
        <v>45379.64583</v>
      </c>
      <c r="B30" s="6">
        <f>IFERROR(__xludf.DUMMYFUNCTION("""COMPUTED_VALUE"""),3400.0)</f>
        <v>3400</v>
      </c>
      <c r="C30" s="6">
        <f>IFERROR(__xludf.DUMMYFUNCTION("""COMPUTED_VALUE"""),3469.7)</f>
        <v>3469.7</v>
      </c>
      <c r="D30" s="6">
        <f>IFERROR(__xludf.DUMMYFUNCTION("""COMPUTED_VALUE"""),3350.0)</f>
        <v>3350</v>
      </c>
      <c r="E30" s="6">
        <f>IFERROR(__xludf.DUMMYFUNCTION("""COMPUTED_VALUE"""),3445.3)</f>
        <v>3445.3</v>
      </c>
      <c r="F30" s="6">
        <f>IFERROR(__xludf.DUMMYFUNCTION("""COMPUTED_VALUE"""),2130304.0)</f>
        <v>2130304</v>
      </c>
    </row>
    <row r="31">
      <c r="A31" s="7">
        <f>IFERROR(__xludf.DUMMYFUNCTION("""COMPUTED_VALUE"""),45387.64583333333)</f>
        <v>45387.64583</v>
      </c>
      <c r="B31" s="6">
        <f>IFERROR(__xludf.DUMMYFUNCTION("""COMPUTED_VALUE"""),3450.0)</f>
        <v>3450</v>
      </c>
      <c r="C31" s="6">
        <f>IFERROR(__xludf.DUMMYFUNCTION("""COMPUTED_VALUE"""),3784.0)</f>
        <v>3784</v>
      </c>
      <c r="D31" s="6">
        <f>IFERROR(__xludf.DUMMYFUNCTION("""COMPUTED_VALUE"""),3450.0)</f>
        <v>3450</v>
      </c>
      <c r="E31" s="6">
        <f>IFERROR(__xludf.DUMMYFUNCTION("""COMPUTED_VALUE"""),3748.15)</f>
        <v>3748.15</v>
      </c>
      <c r="F31" s="6">
        <f>IFERROR(__xludf.DUMMYFUNCTION("""COMPUTED_VALUE"""),3656384.0)</f>
        <v>3656384</v>
      </c>
    </row>
    <row r="32">
      <c r="A32" s="7">
        <f>IFERROR(__xludf.DUMMYFUNCTION("""COMPUTED_VALUE"""),45394.64583333333)</f>
        <v>45394.64583</v>
      </c>
      <c r="B32" s="6">
        <f>IFERROR(__xludf.DUMMYFUNCTION("""COMPUTED_VALUE"""),3750.0)</f>
        <v>3750</v>
      </c>
      <c r="C32" s="6">
        <f>IFERROR(__xludf.DUMMYFUNCTION("""COMPUTED_VALUE"""),3822.0)</f>
        <v>3822</v>
      </c>
      <c r="D32" s="6">
        <f>IFERROR(__xludf.DUMMYFUNCTION("""COMPUTED_VALUE"""),3705.15)</f>
        <v>3705.15</v>
      </c>
      <c r="E32" s="6">
        <f>IFERROR(__xludf.DUMMYFUNCTION("""COMPUTED_VALUE"""),3779.7)</f>
        <v>3779.7</v>
      </c>
      <c r="F32" s="6">
        <f>IFERROR(__xludf.DUMMYFUNCTION("""COMPUTED_VALUE"""),2466615.0)</f>
        <v>2466615</v>
      </c>
    </row>
    <row r="33">
      <c r="A33" s="7">
        <f>IFERROR(__xludf.DUMMYFUNCTION("""COMPUTED_VALUE"""),45401.64583333333)</f>
        <v>45401.64583</v>
      </c>
      <c r="B33" s="6">
        <f>IFERROR(__xludf.DUMMYFUNCTION("""COMPUTED_VALUE"""),3770.0)</f>
        <v>3770</v>
      </c>
      <c r="C33" s="6">
        <f>IFERROR(__xludf.DUMMYFUNCTION("""COMPUTED_VALUE"""),3781.1)</f>
        <v>3781.1</v>
      </c>
      <c r="D33" s="6">
        <f>IFERROR(__xludf.DUMMYFUNCTION("""COMPUTED_VALUE"""),3641.0)</f>
        <v>3641</v>
      </c>
      <c r="E33" s="6">
        <f>IFERROR(__xludf.DUMMYFUNCTION("""COMPUTED_VALUE"""),3671.7)</f>
        <v>3671.7</v>
      </c>
      <c r="F33" s="6">
        <f>IFERROR(__xludf.DUMMYFUNCTION("""COMPUTED_VALUE"""),2295626.0)</f>
        <v>2295626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IFERROR(__xludf.DUMMYFUNCTION("""COMPUTED_VALUE"""),3689.75)</f>
        <v>3689.75</v>
      </c>
      <c r="C34" s="6">
        <f>IFERROR(__xludf.DUMMYFUNCTION("""COMPUTED_VALUE"""),4039.0)</f>
        <v>4039</v>
      </c>
      <c r="D34" s="6">
        <f>IFERROR(__xludf.DUMMYFUNCTION("""COMPUTED_VALUE"""),3675.0)</f>
        <v>3675</v>
      </c>
      <c r="E34" s="6">
        <f>IFERROR(__xludf.DUMMYFUNCTION("""COMPUTED_VALUE"""),4016.35)</f>
        <v>4016.35</v>
      </c>
      <c r="F34" s="6">
        <f>IFERROR(__xludf.DUMMYFUNCTION("""COMPUTED_VALUE"""),3211312.0)</f>
        <v>3211312</v>
      </c>
    </row>
    <row r="35">
      <c r="A35" s="7">
        <f>IFERROR(__xludf.DUMMYFUNCTION("""COMPUTED_VALUE"""),45415.64583333333)</f>
        <v>45415.64583</v>
      </c>
      <c r="B35" s="6">
        <f>IFERROR(__xludf.DUMMYFUNCTION("""COMPUTED_VALUE"""),4025.0)</f>
        <v>4025</v>
      </c>
      <c r="C35" s="6">
        <f>IFERROR(__xludf.DUMMYFUNCTION("""COMPUTED_VALUE"""),4100.0)</f>
        <v>4100</v>
      </c>
      <c r="D35" s="6">
        <f>IFERROR(__xludf.DUMMYFUNCTION("""COMPUTED_VALUE"""),3900.0)</f>
        <v>3900</v>
      </c>
      <c r="E35" s="6">
        <f>IFERROR(__xludf.DUMMYFUNCTION("""COMPUTED_VALUE"""),3950.95)</f>
        <v>3950.95</v>
      </c>
      <c r="F35" s="6">
        <f>IFERROR(__xludf.DUMMYFUNCTION("""COMPUTED_VALUE"""),2329828.0)</f>
        <v>2329828</v>
      </c>
    </row>
    <row r="36">
      <c r="A36" s="7">
        <f>IFERROR(__xludf.DUMMYFUNCTION("""COMPUTED_VALUE"""),45422.64583333333)</f>
        <v>45422.64583</v>
      </c>
      <c r="B36" s="6">
        <f>IFERROR(__xludf.DUMMYFUNCTION("""COMPUTED_VALUE"""),3950.95)</f>
        <v>3950.95</v>
      </c>
      <c r="C36" s="6">
        <f>IFERROR(__xludf.DUMMYFUNCTION("""COMPUTED_VALUE"""),3989.0)</f>
        <v>3989</v>
      </c>
      <c r="D36" s="6">
        <f>IFERROR(__xludf.DUMMYFUNCTION("""COMPUTED_VALUE"""),3755.2)</f>
        <v>3755.2</v>
      </c>
      <c r="E36" s="6">
        <f>IFERROR(__xludf.DUMMYFUNCTION("""COMPUTED_VALUE"""),3793.5)</f>
        <v>3793.5</v>
      </c>
      <c r="F36" s="6">
        <f>IFERROR(__xludf.DUMMYFUNCTION("""COMPUTED_VALUE"""),1773792.0)</f>
        <v>1773792</v>
      </c>
    </row>
    <row r="37">
      <c r="A37" s="7">
        <f>IFERROR(__xludf.DUMMYFUNCTION("""COMPUTED_VALUE"""),45436.64583333333)</f>
        <v>45436.64583</v>
      </c>
      <c r="B37" s="6">
        <f>IFERROR(__xludf.DUMMYFUNCTION("""COMPUTED_VALUE"""),3861.7)</f>
        <v>3861.7</v>
      </c>
      <c r="C37" s="6">
        <f>IFERROR(__xludf.DUMMYFUNCTION("""COMPUTED_VALUE"""),4175.0)</f>
        <v>4175</v>
      </c>
      <c r="D37" s="6">
        <f>IFERROR(__xludf.DUMMYFUNCTION("""COMPUTED_VALUE"""),3850.0)</f>
        <v>3850</v>
      </c>
      <c r="E37" s="6">
        <f>IFERROR(__xludf.DUMMYFUNCTION("""COMPUTED_VALUE"""),4122.4)</f>
        <v>4122.4</v>
      </c>
      <c r="F37" s="6">
        <f>IFERROR(__xludf.DUMMYFUNCTION("""COMPUTED_VALUE"""),2176339.0)</f>
        <v>2176339</v>
      </c>
    </row>
    <row r="38">
      <c r="A38" s="7">
        <f>IFERROR(__xludf.DUMMYFUNCTION("""COMPUTED_VALUE"""),45443.64583333333)</f>
        <v>45443.64583</v>
      </c>
      <c r="B38" s="6">
        <f>IFERROR(__xludf.DUMMYFUNCTION("""COMPUTED_VALUE"""),4298.75)</f>
        <v>4298.75</v>
      </c>
      <c r="C38" s="6">
        <f>IFERROR(__xludf.DUMMYFUNCTION("""COMPUTED_VALUE"""),4467.5)</f>
        <v>4467.5</v>
      </c>
      <c r="D38" s="6">
        <f>IFERROR(__xludf.DUMMYFUNCTION("""COMPUTED_VALUE"""),4215.6)</f>
        <v>4215.6</v>
      </c>
      <c r="E38" s="6">
        <f>IFERROR(__xludf.DUMMYFUNCTION("""COMPUTED_VALUE"""),4307.2)</f>
        <v>4307.2</v>
      </c>
      <c r="F38" s="6">
        <f>IFERROR(__xludf.DUMMYFUNCTION("""COMPUTED_VALUE"""),7646024.0)</f>
        <v>7646024</v>
      </c>
    </row>
    <row r="39">
      <c r="A39" s="7">
        <f>IFERROR(__xludf.DUMMYFUNCTION("""COMPUTED_VALUE"""),45450.64583333333)</f>
        <v>45450.64583</v>
      </c>
      <c r="B39" s="6">
        <f>IFERROR(__xludf.DUMMYFUNCTION("""COMPUTED_VALUE"""),4400.0)</f>
        <v>4400</v>
      </c>
      <c r="C39" s="6">
        <f>IFERROR(__xludf.DUMMYFUNCTION("""COMPUTED_VALUE"""),4540.4)</f>
        <v>4540.4</v>
      </c>
      <c r="D39" s="6">
        <f>IFERROR(__xludf.DUMMYFUNCTION("""COMPUTED_VALUE"""),4180.5)</f>
        <v>4180.5</v>
      </c>
      <c r="E39" s="6">
        <f>IFERROR(__xludf.DUMMYFUNCTION("""COMPUTED_VALUE"""),4524.05)</f>
        <v>4524.05</v>
      </c>
      <c r="F39" s="6">
        <f>IFERROR(__xludf.DUMMYFUNCTION("""COMPUTED_VALUE"""),3663678.0)</f>
        <v>3663678</v>
      </c>
    </row>
    <row r="40">
      <c r="A40" s="7">
        <f>IFERROR(__xludf.DUMMYFUNCTION("""COMPUTED_VALUE"""),45457.64583333333)</f>
        <v>45457.64583</v>
      </c>
      <c r="B40" s="6">
        <f>IFERROR(__xludf.DUMMYFUNCTION("""COMPUTED_VALUE"""),4524.05)</f>
        <v>4524.05</v>
      </c>
      <c r="C40" s="6">
        <f>IFERROR(__xludf.DUMMYFUNCTION("""COMPUTED_VALUE"""),4627.95)</f>
        <v>4627.95</v>
      </c>
      <c r="D40" s="6">
        <f>IFERROR(__xludf.DUMMYFUNCTION("""COMPUTED_VALUE"""),4433.9)</f>
        <v>4433.9</v>
      </c>
      <c r="E40" s="6">
        <f>IFERROR(__xludf.DUMMYFUNCTION("""COMPUTED_VALUE"""),4588.6)</f>
        <v>4588.6</v>
      </c>
      <c r="F40" s="6">
        <f>IFERROR(__xludf.DUMMYFUNCTION("""COMPUTED_VALUE"""),2580394.0)</f>
        <v>2580394</v>
      </c>
    </row>
    <row r="41">
      <c r="A41" s="7">
        <f>IFERROR(__xludf.DUMMYFUNCTION("""COMPUTED_VALUE"""),45464.64583333333)</f>
        <v>45464.64583</v>
      </c>
      <c r="B41" s="6">
        <f>IFERROR(__xludf.DUMMYFUNCTION("""COMPUTED_VALUE"""),4521.0)</f>
        <v>4521</v>
      </c>
      <c r="C41" s="6">
        <f>IFERROR(__xludf.DUMMYFUNCTION("""COMPUTED_VALUE"""),4583.9)</f>
        <v>4583.9</v>
      </c>
      <c r="D41" s="6">
        <f>IFERROR(__xludf.DUMMYFUNCTION("""COMPUTED_VALUE"""),4439.7)</f>
        <v>4439.7</v>
      </c>
      <c r="E41" s="6">
        <f>IFERROR(__xludf.DUMMYFUNCTION("""COMPUTED_VALUE"""),4522.15)</f>
        <v>4522.15</v>
      </c>
      <c r="F41" s="6">
        <f>IFERROR(__xludf.DUMMYFUNCTION("""COMPUTED_VALUE"""),1460733.0)</f>
        <v>1460733</v>
      </c>
    </row>
    <row r="42">
      <c r="A42" s="7">
        <f>IFERROR(__xludf.DUMMYFUNCTION("""COMPUTED_VALUE"""),45471.64583333333)</f>
        <v>45471.64583</v>
      </c>
      <c r="B42" s="6">
        <f>IFERROR(__xludf.DUMMYFUNCTION("""COMPUTED_VALUE"""),4512.6)</f>
        <v>4512.6</v>
      </c>
      <c r="C42" s="6">
        <f>IFERROR(__xludf.DUMMYFUNCTION("""COMPUTED_VALUE"""),4648.45)</f>
        <v>4648.45</v>
      </c>
      <c r="D42" s="6">
        <f>IFERROR(__xludf.DUMMYFUNCTION("""COMPUTED_VALUE"""),4488.05)</f>
        <v>4488.05</v>
      </c>
      <c r="E42" s="6">
        <f>IFERROR(__xludf.DUMMYFUNCTION("""COMPUTED_VALUE"""),4596.45)</f>
        <v>4596.45</v>
      </c>
      <c r="F42" s="6">
        <f>IFERROR(__xludf.DUMMYFUNCTION("""COMPUTED_VALUE"""),1668333.0)</f>
        <v>1668333</v>
      </c>
    </row>
    <row r="43">
      <c r="A43" s="7">
        <f>IFERROR(__xludf.DUMMYFUNCTION("""COMPUTED_VALUE"""),45478.64583333333)</f>
        <v>45478.64583</v>
      </c>
      <c r="B43" s="6">
        <f>IFERROR(__xludf.DUMMYFUNCTION("""COMPUTED_VALUE"""),4596.45)</f>
        <v>4596.45</v>
      </c>
      <c r="C43" s="6">
        <f>IFERROR(__xludf.DUMMYFUNCTION("""COMPUTED_VALUE"""),4670.0)</f>
        <v>4670</v>
      </c>
      <c r="D43" s="6">
        <f>IFERROR(__xludf.DUMMYFUNCTION("""COMPUTED_VALUE"""),4505.0)</f>
        <v>4505</v>
      </c>
      <c r="E43" s="6">
        <f>IFERROR(__xludf.DUMMYFUNCTION("""COMPUTED_VALUE"""),4629.7)</f>
        <v>4629.7</v>
      </c>
      <c r="F43" s="6">
        <f>IFERROR(__xludf.DUMMYFUNCTION("""COMPUTED_VALUE"""),2868085.0)</f>
        <v>2868085</v>
      </c>
    </row>
    <row r="44">
      <c r="A44" s="7">
        <f>IFERROR(__xludf.DUMMYFUNCTION("""COMPUTED_VALUE"""),45485.64583333333)</f>
        <v>45485.64583</v>
      </c>
      <c r="B44" s="6">
        <f>IFERROR(__xludf.DUMMYFUNCTION("""COMPUTED_VALUE"""),4629.4)</f>
        <v>4629.4</v>
      </c>
      <c r="C44" s="6">
        <f>IFERROR(__xludf.DUMMYFUNCTION("""COMPUTED_VALUE"""),4660.0)</f>
        <v>4660</v>
      </c>
      <c r="D44" s="6">
        <f>IFERROR(__xludf.DUMMYFUNCTION("""COMPUTED_VALUE"""),4445.0)</f>
        <v>4445</v>
      </c>
      <c r="E44" s="6">
        <f>IFERROR(__xludf.DUMMYFUNCTION("""COMPUTED_VALUE"""),4539.3)</f>
        <v>4539.3</v>
      </c>
      <c r="F44" s="6">
        <f>IFERROR(__xludf.DUMMYFUNCTION("""COMPUTED_VALUE"""),3429771.0)</f>
        <v>3429771</v>
      </c>
    </row>
    <row r="45">
      <c r="A45" s="7">
        <f>IFERROR(__xludf.DUMMYFUNCTION("""COMPUTED_VALUE"""),45492.64583333333)</f>
        <v>45492.64583</v>
      </c>
      <c r="B45" s="6">
        <f>IFERROR(__xludf.DUMMYFUNCTION("""COMPUTED_VALUE"""),4542.0)</f>
        <v>4542</v>
      </c>
      <c r="C45" s="6">
        <f>IFERROR(__xludf.DUMMYFUNCTION("""COMPUTED_VALUE"""),4604.35)</f>
        <v>4604.35</v>
      </c>
      <c r="D45" s="6">
        <f>IFERROR(__xludf.DUMMYFUNCTION("""COMPUTED_VALUE"""),4496.45)</f>
        <v>4496.45</v>
      </c>
      <c r="E45" s="6">
        <f>IFERROR(__xludf.DUMMYFUNCTION("""COMPUTED_VALUE"""),4519.8)</f>
        <v>4519.8</v>
      </c>
      <c r="F45" s="6">
        <f>IFERROR(__xludf.DUMMYFUNCTION("""COMPUTED_VALUE"""),1594933.0)</f>
        <v>1594933</v>
      </c>
    </row>
    <row r="46">
      <c r="A46" s="7">
        <f>IFERROR(__xludf.DUMMYFUNCTION("""COMPUTED_VALUE"""),45499.64583333333)</f>
        <v>45499.64583</v>
      </c>
      <c r="B46" s="6">
        <f>IFERROR(__xludf.DUMMYFUNCTION("""COMPUTED_VALUE"""),4500.0)</f>
        <v>4500</v>
      </c>
      <c r="C46" s="6">
        <f>IFERROR(__xludf.DUMMYFUNCTION("""COMPUTED_VALUE"""),4810.0)</f>
        <v>4810</v>
      </c>
      <c r="D46" s="6">
        <f>IFERROR(__xludf.DUMMYFUNCTION("""COMPUTED_VALUE"""),4395.3)</f>
        <v>4395.3</v>
      </c>
      <c r="E46" s="6">
        <f>IFERROR(__xludf.DUMMYFUNCTION("""COMPUTED_VALUE"""),4790.6)</f>
        <v>4790.6</v>
      </c>
      <c r="F46" s="6">
        <f>IFERROR(__xludf.DUMMYFUNCTION("""COMPUTED_VALUE"""),2695417.0)</f>
        <v>2695417</v>
      </c>
    </row>
    <row r="47">
      <c r="A47" s="7">
        <f>IFERROR(__xludf.DUMMYFUNCTION("""COMPUTED_VALUE"""),45506.64583333333)</f>
        <v>45506.64583</v>
      </c>
      <c r="B47" s="6">
        <f>IFERROR(__xludf.DUMMYFUNCTION("""COMPUTED_VALUE"""),4804.0)</f>
        <v>4804</v>
      </c>
      <c r="C47" s="6">
        <f>IFERROR(__xludf.DUMMYFUNCTION("""COMPUTED_VALUE"""),5010.0)</f>
        <v>5010</v>
      </c>
      <c r="D47" s="6">
        <f>IFERROR(__xludf.DUMMYFUNCTION("""COMPUTED_VALUE"""),4771.7)</f>
        <v>4771.7</v>
      </c>
      <c r="E47" s="6">
        <f>IFERROR(__xludf.DUMMYFUNCTION("""COMPUTED_VALUE"""),4991.25)</f>
        <v>4991.25</v>
      </c>
      <c r="F47" s="6">
        <f>IFERROR(__xludf.DUMMYFUNCTION("""COMPUTED_VALUE"""),4152891.0)</f>
        <v>4152891</v>
      </c>
    </row>
    <row r="48">
      <c r="A48" s="7">
        <f>IFERROR(__xludf.DUMMYFUNCTION("""COMPUTED_VALUE"""),45513.64583333333)</f>
        <v>45513.64583</v>
      </c>
      <c r="B48" s="6">
        <f>IFERROR(__xludf.DUMMYFUNCTION("""COMPUTED_VALUE"""),4933.55)</f>
        <v>4933.55</v>
      </c>
      <c r="C48" s="6">
        <f>IFERROR(__xludf.DUMMYFUNCTION("""COMPUTED_VALUE"""),5024.85)</f>
        <v>5024.85</v>
      </c>
      <c r="D48" s="6">
        <f>IFERROR(__xludf.DUMMYFUNCTION("""COMPUTED_VALUE"""),4778.0)</f>
        <v>4778</v>
      </c>
      <c r="E48" s="6">
        <f>IFERROR(__xludf.DUMMYFUNCTION("""COMPUTED_VALUE"""),4829.95)</f>
        <v>4829.95</v>
      </c>
      <c r="F48" s="6">
        <f>IFERROR(__xludf.DUMMYFUNCTION("""COMPUTED_VALUE"""),3388803.0)</f>
        <v>3388803</v>
      </c>
    </row>
    <row r="49">
      <c r="A49" s="7">
        <f>IFERROR(__xludf.DUMMYFUNCTION("""COMPUTED_VALUE"""),45520.64583333333)</f>
        <v>45520.64583</v>
      </c>
      <c r="B49" s="6">
        <f>IFERROR(__xludf.DUMMYFUNCTION("""COMPUTED_VALUE"""),4828.95)</f>
        <v>4828.95</v>
      </c>
      <c r="C49" s="6">
        <f>IFERROR(__xludf.DUMMYFUNCTION("""COMPUTED_VALUE"""),4919.95)</f>
        <v>4919.95</v>
      </c>
      <c r="D49" s="6">
        <f>IFERROR(__xludf.DUMMYFUNCTION("""COMPUTED_VALUE"""),4623.3)</f>
        <v>4623.3</v>
      </c>
      <c r="E49" s="6">
        <f>IFERROR(__xludf.DUMMYFUNCTION("""COMPUTED_VALUE"""),4633.9)</f>
        <v>4633.9</v>
      </c>
      <c r="F49" s="6">
        <f>IFERROR(__xludf.DUMMYFUNCTION("""COMPUTED_VALUE"""),1887044.0)</f>
        <v>1887044</v>
      </c>
    </row>
    <row r="50">
      <c r="A50" s="7">
        <f>IFERROR(__xludf.DUMMYFUNCTION("""COMPUTED_VALUE"""),45527.64583333333)</f>
        <v>45527.64583</v>
      </c>
      <c r="B50" s="6">
        <f>IFERROR(__xludf.DUMMYFUNCTION("""COMPUTED_VALUE"""),4665.0)</f>
        <v>4665</v>
      </c>
      <c r="C50" s="6">
        <f>IFERROR(__xludf.DUMMYFUNCTION("""COMPUTED_VALUE"""),4963.35)</f>
        <v>4963.35</v>
      </c>
      <c r="D50" s="6">
        <f>IFERROR(__xludf.DUMMYFUNCTION("""COMPUTED_VALUE"""),4615.55)</f>
        <v>4615.55</v>
      </c>
      <c r="E50" s="6">
        <f>IFERROR(__xludf.DUMMYFUNCTION("""COMPUTED_VALUE"""),4855.95)</f>
        <v>4855.95</v>
      </c>
      <c r="F50" s="6">
        <f>IFERROR(__xludf.DUMMYFUNCTION("""COMPUTED_VALUE"""),2760586.0)</f>
        <v>2760586</v>
      </c>
    </row>
    <row r="51">
      <c r="A51" s="7">
        <f>IFERROR(__xludf.DUMMYFUNCTION("""COMPUTED_VALUE"""),45534.64583333333)</f>
        <v>45534.64583</v>
      </c>
      <c r="B51" s="6">
        <f>IFERROR(__xludf.DUMMYFUNCTION("""COMPUTED_VALUE"""),4860.0)</f>
        <v>4860</v>
      </c>
      <c r="C51" s="6">
        <f>IFERROR(__xludf.DUMMYFUNCTION("""COMPUTED_VALUE"""),5132.5)</f>
        <v>5132.5</v>
      </c>
      <c r="D51" s="6">
        <f>IFERROR(__xludf.DUMMYFUNCTION("""COMPUTED_VALUE"""),4858.95)</f>
        <v>4858.95</v>
      </c>
      <c r="E51" s="6">
        <f>IFERROR(__xludf.DUMMYFUNCTION("""COMPUTED_VALUE"""),5093.9)</f>
        <v>5093.9</v>
      </c>
      <c r="F51" s="6">
        <f>IFERROR(__xludf.DUMMYFUNCTION("""COMPUTED_VALUE"""),2936559.0)</f>
        <v>2936559</v>
      </c>
    </row>
    <row r="52">
      <c r="A52" s="7">
        <f>IFERROR(__xludf.DUMMYFUNCTION("""COMPUTED_VALUE"""),45541.64583333333)</f>
        <v>45541.64583</v>
      </c>
      <c r="B52" s="6">
        <f>IFERROR(__xludf.DUMMYFUNCTION("""COMPUTED_VALUE"""),5124.8)</f>
        <v>5124.8</v>
      </c>
      <c r="C52" s="6">
        <f>IFERROR(__xludf.DUMMYFUNCTION("""COMPUTED_VALUE"""),5170.0)</f>
        <v>5170</v>
      </c>
      <c r="D52" s="6">
        <f>IFERROR(__xludf.DUMMYFUNCTION("""COMPUTED_VALUE"""),5015.25)</f>
        <v>5015.25</v>
      </c>
      <c r="E52" s="6">
        <f>IFERROR(__xludf.DUMMYFUNCTION("""COMPUTED_VALUE"""),5137.8)</f>
        <v>5137.8</v>
      </c>
      <c r="F52" s="6">
        <f>IFERROR(__xludf.DUMMYFUNCTION("""COMPUTED_VALUE"""),1722088.0)</f>
        <v>1722088</v>
      </c>
    </row>
    <row r="53">
      <c r="A53" s="7">
        <f>IFERROR(__xludf.DUMMYFUNCTION("""COMPUTED_VALUE"""),45548.64583333333)</f>
        <v>45548.64583</v>
      </c>
      <c r="B53" s="6">
        <f>IFERROR(__xludf.DUMMYFUNCTION("""COMPUTED_VALUE"""),5105.0)</f>
        <v>5105</v>
      </c>
      <c r="C53" s="6">
        <f>IFERROR(__xludf.DUMMYFUNCTION("""COMPUTED_VALUE"""),5531.75)</f>
        <v>5531.75</v>
      </c>
      <c r="D53" s="6">
        <f>IFERROR(__xludf.DUMMYFUNCTION("""COMPUTED_VALUE"""),5082.2)</f>
        <v>5082.2</v>
      </c>
      <c r="E53" s="6">
        <f>IFERROR(__xludf.DUMMYFUNCTION("""COMPUTED_VALUE"""),5498.65)</f>
        <v>5498.65</v>
      </c>
      <c r="F53" s="6">
        <f>IFERROR(__xludf.DUMMYFUNCTION("""COMPUTED_VALUE"""),3743803.0)</f>
        <v>3743803</v>
      </c>
    </row>
    <row r="54">
      <c r="A54" s="7">
        <f>IFERROR(__xludf.DUMMYFUNCTION("""COMPUTED_VALUE"""),45555.64583333333)</f>
        <v>45555.64583</v>
      </c>
      <c r="B54" s="6">
        <f>IFERROR(__xludf.DUMMYFUNCTION("""COMPUTED_VALUE"""),5495.0)</f>
        <v>5495</v>
      </c>
      <c r="C54" s="6">
        <f>IFERROR(__xludf.DUMMYFUNCTION("""COMPUTED_VALUE"""),5560.0)</f>
        <v>5560</v>
      </c>
      <c r="D54" s="6">
        <f>IFERROR(__xludf.DUMMYFUNCTION("""COMPUTED_VALUE"""),5392.05)</f>
        <v>5392.05</v>
      </c>
      <c r="E54" s="6">
        <f>IFERROR(__xludf.DUMMYFUNCTION("""COMPUTED_VALUE"""),5450.75)</f>
        <v>5450.75</v>
      </c>
      <c r="F54" s="6">
        <f>IFERROR(__xludf.DUMMYFUNCTION("""COMPUTED_VALUE"""),1954072.0)</f>
        <v>1954072</v>
      </c>
    </row>
    <row r="55">
      <c r="A55" s="7">
        <f>IFERROR(__xludf.DUMMYFUNCTION("""COMPUTED_VALUE"""),45562.64583333333)</f>
        <v>45562.64583</v>
      </c>
      <c r="B55" s="6">
        <f>IFERROR(__xludf.DUMMYFUNCTION("""COMPUTED_VALUE"""),5490.0)</f>
        <v>5490</v>
      </c>
      <c r="C55" s="6">
        <f>IFERROR(__xludf.DUMMYFUNCTION("""COMPUTED_VALUE"""),5582.95)</f>
        <v>5582.95</v>
      </c>
      <c r="D55" s="6">
        <f>IFERROR(__xludf.DUMMYFUNCTION("""COMPUTED_VALUE"""),5292.25)</f>
        <v>5292.25</v>
      </c>
      <c r="E55" s="6">
        <f>IFERROR(__xludf.DUMMYFUNCTION("""COMPUTED_VALUE"""),5457.9)</f>
        <v>5457.9</v>
      </c>
      <c r="F55" s="6">
        <f>IFERROR(__xludf.DUMMYFUNCTION("""COMPUTED_VALUE"""),9238947.0)</f>
        <v>9238947</v>
      </c>
    </row>
    <row r="56">
      <c r="A56" s="7">
        <f>IFERROR(__xludf.DUMMYFUNCTION("""COMPUTED_VALUE"""),45569.64583333333)</f>
        <v>45569.64583</v>
      </c>
      <c r="B56" s="6">
        <f>IFERROR(__xludf.DUMMYFUNCTION("""COMPUTED_VALUE"""),5472.95)</f>
        <v>5472.95</v>
      </c>
      <c r="C56" s="6">
        <f>IFERROR(__xludf.DUMMYFUNCTION("""COMPUTED_VALUE"""),5522.2)</f>
        <v>5522.2</v>
      </c>
      <c r="D56" s="6">
        <f>IFERROR(__xludf.DUMMYFUNCTION("""COMPUTED_VALUE"""),5241.7)</f>
        <v>5241.7</v>
      </c>
      <c r="E56" s="6">
        <f>IFERROR(__xludf.DUMMYFUNCTION("""COMPUTED_VALUE"""),5425.55)</f>
        <v>5425.55</v>
      </c>
      <c r="F56" s="6">
        <f>IFERROR(__xludf.DUMMYFUNCTION("""COMPUTED_VALUE"""),2633943.0)</f>
        <v>2633943</v>
      </c>
    </row>
    <row r="57">
      <c r="A57" s="7">
        <f>IFERROR(__xludf.DUMMYFUNCTION("""COMPUTED_VALUE"""),45576.64583333333)</f>
        <v>45576.64583</v>
      </c>
      <c r="B57" s="6">
        <f>IFERROR(__xludf.DUMMYFUNCTION("""COMPUTED_VALUE"""),5448.0)</f>
        <v>5448</v>
      </c>
      <c r="C57" s="6">
        <f>IFERROR(__xludf.DUMMYFUNCTION("""COMPUTED_VALUE"""),6159.85)</f>
        <v>6159.85</v>
      </c>
      <c r="D57" s="6">
        <f>IFERROR(__xludf.DUMMYFUNCTION("""COMPUTED_VALUE"""),5376.7)</f>
        <v>5376.7</v>
      </c>
      <c r="E57" s="6">
        <f>IFERROR(__xludf.DUMMYFUNCTION("""COMPUTED_VALUE"""),6142.25)</f>
        <v>6142.25</v>
      </c>
      <c r="F57" s="6">
        <f>IFERROR(__xludf.DUMMYFUNCTION("""COMPUTED_VALUE"""),5533085.0)</f>
        <v>5533085</v>
      </c>
    </row>
    <row r="58">
      <c r="A58" s="7">
        <f>IFERROR(__xludf.DUMMYFUNCTION("""COMPUTED_VALUE"""),45583.64583333333)</f>
        <v>45583.64583</v>
      </c>
      <c r="B58" s="6">
        <f>IFERROR(__xludf.DUMMYFUNCTION("""COMPUTED_VALUE"""),6140.0)</f>
        <v>6140</v>
      </c>
      <c r="C58" s="6">
        <f>IFERROR(__xludf.DUMMYFUNCTION("""COMPUTED_VALUE"""),6275.85)</f>
        <v>6275.85</v>
      </c>
      <c r="D58" s="6">
        <f>IFERROR(__xludf.DUMMYFUNCTION("""COMPUTED_VALUE"""),6004.65)</f>
        <v>6004.65</v>
      </c>
      <c r="E58" s="6">
        <f>IFERROR(__xludf.DUMMYFUNCTION("""COMPUTED_VALUE"""),6022.25)</f>
        <v>6022.25</v>
      </c>
      <c r="F58" s="6">
        <f>IFERROR(__xludf.DUMMYFUNCTION("""COMPUTED_VALUE"""),3119136.0)</f>
        <v>3119136</v>
      </c>
    </row>
    <row r="59">
      <c r="A59" s="7">
        <f>IFERROR(__xludf.DUMMYFUNCTION("""COMPUTED_VALUE"""),45590.64583333333)</f>
        <v>45590.64583</v>
      </c>
      <c r="B59" s="6">
        <f>IFERROR(__xludf.DUMMYFUNCTION("""COMPUTED_VALUE"""),6029.95)</f>
        <v>6029.95</v>
      </c>
      <c r="C59" s="6">
        <f>IFERROR(__xludf.DUMMYFUNCTION("""COMPUTED_VALUE"""),6108.4)</f>
        <v>6108.4</v>
      </c>
      <c r="D59" s="6">
        <f>IFERROR(__xludf.DUMMYFUNCTION("""COMPUTED_VALUE"""),5692.25)</f>
        <v>5692.25</v>
      </c>
      <c r="E59" s="6">
        <f>IFERROR(__xludf.DUMMYFUNCTION("""COMPUTED_VALUE"""),5780.75)</f>
        <v>5780.75</v>
      </c>
      <c r="F59" s="6">
        <f>IFERROR(__xludf.DUMMYFUNCTION("""COMPUTED_VALUE"""),3032621.0)</f>
        <v>3032621</v>
      </c>
    </row>
    <row r="60">
      <c r="A60" s="7">
        <f>IFERROR(__xludf.DUMMYFUNCTION("""COMPUTED_VALUE"""),45604.64583333333)</f>
        <v>45604.64583</v>
      </c>
      <c r="B60" s="6">
        <f>IFERROR(__xludf.DUMMYFUNCTION("""COMPUTED_VALUE"""),5904.25)</f>
        <v>5904.25</v>
      </c>
      <c r="C60" s="6">
        <f>IFERROR(__xludf.DUMMYFUNCTION("""COMPUTED_VALUE"""),6062.0)</f>
        <v>6062</v>
      </c>
      <c r="D60" s="6">
        <f>IFERROR(__xludf.DUMMYFUNCTION("""COMPUTED_VALUE"""),5678.35)</f>
        <v>5678.35</v>
      </c>
      <c r="E60" s="6">
        <f>IFERROR(__xludf.DUMMYFUNCTION("""COMPUTED_VALUE"""),5949.85)</f>
        <v>5949.85</v>
      </c>
      <c r="F60" s="6">
        <f>IFERROR(__xludf.DUMMYFUNCTION("""COMPUTED_VALUE"""),2611795.0)</f>
        <v>2611795</v>
      </c>
    </row>
    <row r="61">
      <c r="A61" s="7">
        <f>IFERROR(__xludf.DUMMYFUNCTION("""COMPUTED_VALUE"""),45610.64583333333)</f>
        <v>45610.64583</v>
      </c>
      <c r="B61" s="6">
        <f>IFERROR(__xludf.DUMMYFUNCTION("""COMPUTED_VALUE"""),6155.0)</f>
        <v>6155</v>
      </c>
      <c r="C61" s="6">
        <f>IFERROR(__xludf.DUMMYFUNCTION("""COMPUTED_VALUE"""),6155.0)</f>
        <v>6155</v>
      </c>
      <c r="D61" s="6">
        <f>IFERROR(__xludf.DUMMYFUNCTION("""COMPUTED_VALUE"""),5710.55)</f>
        <v>5710.55</v>
      </c>
      <c r="E61" s="6">
        <f>IFERROR(__xludf.DUMMYFUNCTION("""COMPUTED_VALUE"""),5750.1)</f>
        <v>5750.1</v>
      </c>
      <c r="F61" s="6">
        <f>IFERROR(__xludf.DUMMYFUNCTION("""COMPUTED_VALUE"""),2243220.0)</f>
        <v>2243220</v>
      </c>
    </row>
    <row r="62">
      <c r="A62" s="7">
        <f>IFERROR(__xludf.DUMMYFUNCTION("""COMPUTED_VALUE"""),45618.64583333333)</f>
        <v>45618.64583</v>
      </c>
      <c r="B62" s="6">
        <f>IFERROR(__xludf.DUMMYFUNCTION("""COMPUTED_VALUE"""),5700.0)</f>
        <v>5700</v>
      </c>
      <c r="C62" s="6">
        <f>IFERROR(__xludf.DUMMYFUNCTION("""COMPUTED_VALUE"""),6056.95)</f>
        <v>6056.95</v>
      </c>
      <c r="D62" s="6">
        <f>IFERROR(__xludf.DUMMYFUNCTION("""COMPUTED_VALUE"""),5690.5)</f>
        <v>5690.5</v>
      </c>
      <c r="E62" s="6">
        <f>IFERROR(__xludf.DUMMYFUNCTION("""COMPUTED_VALUE"""),5998.35)</f>
        <v>5998.35</v>
      </c>
      <c r="F62" s="6">
        <f>IFERROR(__xludf.DUMMYFUNCTION("""COMPUTED_VALUE"""),1576375.0)</f>
        <v>1576375</v>
      </c>
    </row>
    <row r="63">
      <c r="A63" s="7">
        <f>IFERROR(__xludf.DUMMYFUNCTION("""COMPUTED_VALUE"""),45625.64583333333)</f>
        <v>45625.64583</v>
      </c>
      <c r="B63" s="6">
        <f>IFERROR(__xludf.DUMMYFUNCTION("""COMPUTED_VALUE"""),6029.95)</f>
        <v>6029.95</v>
      </c>
      <c r="C63" s="6">
        <f>IFERROR(__xludf.DUMMYFUNCTION("""COMPUTED_VALUE"""),6208.3)</f>
        <v>6208.3</v>
      </c>
      <c r="D63" s="6">
        <f>IFERROR(__xludf.DUMMYFUNCTION("""COMPUTED_VALUE"""),5902.1)</f>
        <v>5902.1</v>
      </c>
      <c r="E63" s="6">
        <f>IFERROR(__xludf.DUMMYFUNCTION("""COMPUTED_VALUE"""),6172.7)</f>
        <v>6172.7</v>
      </c>
      <c r="F63" s="6">
        <f>IFERROR(__xludf.DUMMYFUNCTION("""COMPUTED_VALUE"""),2552549.0)</f>
        <v>2552549</v>
      </c>
    </row>
    <row r="64">
      <c r="A64" s="7">
        <f>IFERROR(__xludf.DUMMYFUNCTION("""COMPUTED_VALUE"""),45632.64583333333)</f>
        <v>45632.64583</v>
      </c>
      <c r="B64" s="6">
        <f>IFERROR(__xludf.DUMMYFUNCTION("""COMPUTED_VALUE"""),6185.0)</f>
        <v>6185</v>
      </c>
      <c r="C64" s="6">
        <f>IFERROR(__xludf.DUMMYFUNCTION("""COMPUTED_VALUE"""),6285.45)</f>
        <v>6285.45</v>
      </c>
      <c r="D64" s="6">
        <f>IFERROR(__xludf.DUMMYFUNCTION("""COMPUTED_VALUE"""),5866.1)</f>
        <v>5866.1</v>
      </c>
      <c r="E64" s="6">
        <f>IFERROR(__xludf.DUMMYFUNCTION("""COMPUTED_VALUE"""),6130.75)</f>
        <v>6130.75</v>
      </c>
      <c r="F64" s="6">
        <f>IFERROR(__xludf.DUMMYFUNCTION("""COMPUTED_VALUE"""),4096069.0)</f>
        <v>4096069</v>
      </c>
    </row>
    <row r="65">
      <c r="A65" s="7">
        <f>IFERROR(__xludf.DUMMYFUNCTION("""COMPUTED_VALUE"""),45639.64583333333)</f>
        <v>45639.64583</v>
      </c>
      <c r="B65" s="6">
        <f>IFERROR(__xludf.DUMMYFUNCTION("""COMPUTED_VALUE"""),5999.95)</f>
        <v>5999.95</v>
      </c>
      <c r="C65" s="6">
        <f>IFERROR(__xludf.DUMMYFUNCTION("""COMPUTED_VALUE"""),6055.0)</f>
        <v>6055</v>
      </c>
      <c r="D65" s="6">
        <f>IFERROR(__xludf.DUMMYFUNCTION("""COMPUTED_VALUE"""),5844.2)</f>
        <v>5844.2</v>
      </c>
      <c r="E65" s="6">
        <f>IFERROR(__xludf.DUMMYFUNCTION("""COMPUTED_VALUE"""),5876.7)</f>
        <v>5876.7</v>
      </c>
      <c r="F65" s="6">
        <f>IFERROR(__xludf.DUMMYFUNCTION("""COMPUTED_VALUE"""),2676226.0)</f>
        <v>2676226</v>
      </c>
    </row>
    <row r="66">
      <c r="A66" s="7">
        <f>IFERROR(__xludf.DUMMYFUNCTION("""COMPUTED_VALUE"""),45646.64583333333)</f>
        <v>45646.64583</v>
      </c>
      <c r="B66" s="6">
        <f>IFERROR(__xludf.DUMMYFUNCTION("""COMPUTED_VALUE"""),5883.5)</f>
        <v>5883.5</v>
      </c>
      <c r="C66" s="6">
        <f>IFERROR(__xludf.DUMMYFUNCTION("""COMPUTED_VALUE"""),5957.25)</f>
        <v>5957.25</v>
      </c>
      <c r="D66" s="6">
        <f>IFERROR(__xludf.DUMMYFUNCTION("""COMPUTED_VALUE"""),5780.0)</f>
        <v>5780</v>
      </c>
      <c r="E66" s="6">
        <f>IFERROR(__xludf.DUMMYFUNCTION("""COMPUTED_VALUE"""),5846.75)</f>
        <v>5846.75</v>
      </c>
      <c r="F66" s="6">
        <f>IFERROR(__xludf.DUMMYFUNCTION("""COMPUTED_VALUE"""),1931299.0)</f>
        <v>1931299</v>
      </c>
    </row>
    <row r="67">
      <c r="A67" s="7">
        <f>IFERROR(__xludf.DUMMYFUNCTION("""COMPUTED_VALUE"""),45653.64583333333)</f>
        <v>45653.64583</v>
      </c>
      <c r="B67" s="6">
        <f>IFERROR(__xludf.DUMMYFUNCTION("""COMPUTED_VALUE"""),5846.75)</f>
        <v>5846.75</v>
      </c>
      <c r="C67" s="6">
        <f>IFERROR(__xludf.DUMMYFUNCTION("""COMPUTED_VALUE"""),5935.0)</f>
        <v>5935</v>
      </c>
      <c r="D67" s="6">
        <f>IFERROR(__xludf.DUMMYFUNCTION("""COMPUTED_VALUE"""),5716.5)</f>
        <v>5716.5</v>
      </c>
      <c r="E67" s="6">
        <f>IFERROR(__xludf.DUMMYFUNCTION("""COMPUTED_VALUE"""),5881.05)</f>
        <v>5881.05</v>
      </c>
      <c r="F67" s="6">
        <f>IFERROR(__xludf.DUMMYFUNCTION("""COMPUTED_VALUE"""),1086865.0)</f>
        <v>1086865</v>
      </c>
    </row>
    <row r="68">
      <c r="A68" s="7">
        <f>IFERROR(__xludf.DUMMYFUNCTION("""COMPUTED_VALUE"""),45660.64583333333)</f>
        <v>45660.64583</v>
      </c>
      <c r="B68" s="6">
        <f>IFERROR(__xludf.DUMMYFUNCTION("""COMPUTED_VALUE"""),5881.05)</f>
        <v>5881.05</v>
      </c>
      <c r="C68" s="6">
        <f>IFERROR(__xludf.DUMMYFUNCTION("""COMPUTED_VALUE"""),6248.9)</f>
        <v>6248.9</v>
      </c>
      <c r="D68" s="6">
        <f>IFERROR(__xludf.DUMMYFUNCTION("""COMPUTED_VALUE"""),5880.0)</f>
        <v>5880</v>
      </c>
      <c r="E68" s="6">
        <f>IFERROR(__xludf.DUMMYFUNCTION("""COMPUTED_VALUE"""),6048.3)</f>
        <v>6048.3</v>
      </c>
      <c r="F68" s="6">
        <f>IFERROR(__xludf.DUMMYFUNCTION("""COMPUTED_VALUE"""),3263832.0)</f>
        <v>3263832</v>
      </c>
    </row>
    <row r="69">
      <c r="A69" s="7">
        <f>IFERROR(__xludf.DUMMYFUNCTION("""COMPUTED_VALUE"""),45667.64583333333)</f>
        <v>45667.64583</v>
      </c>
      <c r="B69" s="6">
        <f>IFERROR(__xludf.DUMMYFUNCTION("""COMPUTED_VALUE"""),6068.2)</f>
        <v>6068.2</v>
      </c>
      <c r="C69" s="6">
        <f>IFERROR(__xludf.DUMMYFUNCTION("""COMPUTED_VALUE"""),6068.2)</f>
        <v>6068.2</v>
      </c>
      <c r="D69" s="6">
        <f>IFERROR(__xludf.DUMMYFUNCTION("""COMPUTED_VALUE"""),5715.2)</f>
        <v>5715.2</v>
      </c>
      <c r="E69" s="6">
        <f>IFERROR(__xludf.DUMMYFUNCTION("""COMPUTED_VALUE"""),5771.35)</f>
        <v>5771.35</v>
      </c>
      <c r="F69" s="6">
        <f>IFERROR(__xludf.DUMMYFUNCTION("""COMPUTED_VALUE"""),1334504.0)</f>
        <v>1334504</v>
      </c>
    </row>
    <row r="70">
      <c r="A70" s="7">
        <f>IFERROR(__xludf.DUMMYFUNCTION("""COMPUTED_VALUE"""),45674.64583333333)</f>
        <v>45674.64583</v>
      </c>
      <c r="B70" s="6">
        <f>IFERROR(__xludf.DUMMYFUNCTION("""COMPUTED_VALUE"""),5824.0)</f>
        <v>5824</v>
      </c>
      <c r="C70" s="6">
        <f>IFERROR(__xludf.DUMMYFUNCTION("""COMPUTED_VALUE"""),6006.45)</f>
        <v>6006.45</v>
      </c>
      <c r="D70" s="6">
        <f>IFERROR(__xludf.DUMMYFUNCTION("""COMPUTED_VALUE"""),5654.35)</f>
        <v>5654.35</v>
      </c>
      <c r="E70" s="6">
        <f>IFERROR(__xludf.DUMMYFUNCTION("""COMPUTED_VALUE"""),5916.05)</f>
        <v>5916.05</v>
      </c>
      <c r="F70" s="6">
        <f>IFERROR(__xludf.DUMMYFUNCTION("""COMPUTED_VALUE"""),2299275.0)</f>
        <v>2299275</v>
      </c>
    </row>
    <row r="71">
      <c r="A71" s="7">
        <f>IFERROR(__xludf.DUMMYFUNCTION("""COMPUTED_VALUE"""),45681.64583333333)</f>
        <v>45681.64583</v>
      </c>
      <c r="B71" s="6">
        <f>IFERROR(__xludf.DUMMYFUNCTION("""COMPUTED_VALUE"""),5917.0)</f>
        <v>5917</v>
      </c>
      <c r="C71" s="6">
        <f>IFERROR(__xludf.DUMMYFUNCTION("""COMPUTED_VALUE"""),6068.05)</f>
        <v>6068.05</v>
      </c>
      <c r="D71" s="6">
        <f>IFERROR(__xludf.DUMMYFUNCTION("""COMPUTED_VALUE"""),5707.3)</f>
        <v>5707.3</v>
      </c>
      <c r="E71" s="6">
        <f>IFERROR(__xludf.DUMMYFUNCTION("""COMPUTED_VALUE"""),5762.6)</f>
        <v>5762.6</v>
      </c>
      <c r="F71" s="6">
        <f>IFERROR(__xludf.DUMMYFUNCTION("""COMPUTED_VALUE"""),2098577.0)</f>
        <v>2098577</v>
      </c>
    </row>
    <row r="72">
      <c r="A72" s="7">
        <f>IFERROR(__xludf.DUMMYFUNCTION("""COMPUTED_VALUE"""),45695.64583333333)</f>
        <v>45695.64583</v>
      </c>
      <c r="B72" s="6">
        <f>IFERROR(__xludf.DUMMYFUNCTION("""COMPUTED_VALUE"""),5619.0)</f>
        <v>5619</v>
      </c>
      <c r="C72" s="6">
        <f>IFERROR(__xludf.DUMMYFUNCTION("""COMPUTED_VALUE"""),6230.0)</f>
        <v>6230</v>
      </c>
      <c r="D72" s="6">
        <f>IFERROR(__xludf.DUMMYFUNCTION("""COMPUTED_VALUE"""),5471.0)</f>
        <v>5471</v>
      </c>
      <c r="E72" s="6">
        <f>IFERROR(__xludf.DUMMYFUNCTION("""COMPUTED_VALUE"""),6140.55)</f>
        <v>6140.55</v>
      </c>
      <c r="F72" s="6">
        <f>IFERROR(__xludf.DUMMYFUNCTION("""COMPUTED_VALUE"""),3523376.0)</f>
        <v>3523376</v>
      </c>
    </row>
    <row r="73">
      <c r="A73" s="7">
        <f>IFERROR(__xludf.DUMMYFUNCTION("""COMPUTED_VALUE"""),45702.64583333333)</f>
        <v>45702.64583</v>
      </c>
      <c r="B73" s="6">
        <f>IFERROR(__xludf.DUMMYFUNCTION("""COMPUTED_VALUE"""),6142.0)</f>
        <v>6142</v>
      </c>
      <c r="C73" s="6">
        <f>IFERROR(__xludf.DUMMYFUNCTION("""COMPUTED_VALUE"""),6179.0)</f>
        <v>6179</v>
      </c>
      <c r="D73" s="6">
        <f>IFERROR(__xludf.DUMMYFUNCTION("""COMPUTED_VALUE"""),5766.05)</f>
        <v>5766.05</v>
      </c>
      <c r="E73" s="6">
        <f>IFERROR(__xludf.DUMMYFUNCTION("""COMPUTED_VALUE"""),5843.75)</f>
        <v>5843.75</v>
      </c>
      <c r="F73" s="6">
        <f>IFERROR(__xludf.DUMMYFUNCTION("""COMPUTED_VALUE"""),1982203.0)</f>
        <v>1982203</v>
      </c>
    </row>
    <row r="74">
      <c r="A74" s="7">
        <f>IFERROR(__xludf.DUMMYFUNCTION("""COMPUTED_VALUE"""),45709.64583333333)</f>
        <v>45709.64583</v>
      </c>
      <c r="B74" s="6">
        <f>IFERROR(__xludf.DUMMYFUNCTION("""COMPUTED_VALUE"""),5832.0)</f>
        <v>5832</v>
      </c>
      <c r="C74" s="6">
        <f>IFERROR(__xludf.DUMMYFUNCTION("""COMPUTED_VALUE"""),5998.3)</f>
        <v>5998.3</v>
      </c>
      <c r="D74" s="6">
        <f>IFERROR(__xludf.DUMMYFUNCTION("""COMPUTED_VALUE"""),5684.15)</f>
        <v>5684.15</v>
      </c>
      <c r="E74" s="6">
        <f>IFERROR(__xludf.DUMMYFUNCTION("""COMPUTED_VALUE"""),5757.05)</f>
        <v>5757.05</v>
      </c>
      <c r="F74" s="6">
        <f>IFERROR(__xludf.DUMMYFUNCTION("""COMPUTED_VALUE"""),2124018.0)</f>
        <v>2124018</v>
      </c>
    </row>
    <row r="75">
      <c r="A75" s="7">
        <f>IFERROR(__xludf.DUMMYFUNCTION("""COMPUTED_VALUE"""),45716.64583333333)</f>
        <v>45716.64583</v>
      </c>
      <c r="B75" s="6">
        <f>IFERROR(__xludf.DUMMYFUNCTION("""COMPUTED_VALUE"""),5680.4)</f>
        <v>5680.4</v>
      </c>
      <c r="C75" s="6">
        <f>IFERROR(__xludf.DUMMYFUNCTION("""COMPUTED_VALUE"""),5785.0)</f>
        <v>5785</v>
      </c>
      <c r="D75" s="6">
        <f>IFERROR(__xludf.DUMMYFUNCTION("""COMPUTED_VALUE"""),5364.85)</f>
        <v>5364.85</v>
      </c>
      <c r="E75" s="6">
        <f>IFERROR(__xludf.DUMMYFUNCTION("""COMPUTED_VALUE"""),5480.25)</f>
        <v>5480.25</v>
      </c>
      <c r="F75" s="6">
        <f>IFERROR(__xludf.DUMMYFUNCTION("""COMPUTED_VALUE"""),1316706.0)</f>
        <v>1316706</v>
      </c>
    </row>
    <row r="76">
      <c r="A76" s="7">
        <f>IFERROR(__xludf.DUMMYFUNCTION("""COMPUTED_VALUE"""),45723.64583333333)</f>
        <v>45723.64583</v>
      </c>
      <c r="B76" s="6">
        <f>IFERROR(__xludf.DUMMYFUNCTION("""COMPUTED_VALUE"""),5480.25)</f>
        <v>5480.25</v>
      </c>
      <c r="C76" s="6">
        <f>IFERROR(__xludf.DUMMYFUNCTION("""COMPUTED_VALUE"""),5645.95)</f>
        <v>5645.95</v>
      </c>
      <c r="D76" s="6">
        <f>IFERROR(__xludf.DUMMYFUNCTION("""COMPUTED_VALUE"""),5360.65)</f>
        <v>5360.65</v>
      </c>
      <c r="E76" s="6">
        <f>IFERROR(__xludf.DUMMYFUNCTION("""COMPUTED_VALUE"""),5578.75)</f>
        <v>5578.75</v>
      </c>
      <c r="F76" s="6">
        <f>IFERROR(__xludf.DUMMYFUNCTION("""COMPUTED_VALUE"""),1310735.0)</f>
        <v>1310735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IFERROR(__xludf.DUMMYFUNCTION("""COMPUTED_VALUE"""),5578.75)</f>
        <v>5578.75</v>
      </c>
      <c r="C77" s="6">
        <f>IFERROR(__xludf.DUMMYFUNCTION("""COMPUTED_VALUE"""),5758.25)</f>
        <v>5758.25</v>
      </c>
      <c r="D77" s="6">
        <f>IFERROR(__xludf.DUMMYFUNCTION("""COMPUTED_VALUE"""),5414.25)</f>
        <v>5414.25</v>
      </c>
      <c r="E77" s="6">
        <f>IFERROR(__xludf.DUMMYFUNCTION("""COMPUTED_VALUE"""),5620.45)</f>
        <v>5620.45</v>
      </c>
      <c r="F77" s="6">
        <f>IFERROR(__xludf.DUMMYFUNCTION("""COMPUTED_VALUE"""),1058084.0)</f>
        <v>1058084</v>
      </c>
    </row>
    <row r="78">
      <c r="A78" s="7">
        <f>IFERROR(__xludf.DUMMYFUNCTION("""COMPUTED_VALUE"""),45737.64583333333)</f>
        <v>45737.64583</v>
      </c>
      <c r="B78" s="6">
        <f>IFERROR(__xludf.DUMMYFUNCTION("""COMPUTED_VALUE"""),5680.0)</f>
        <v>5680</v>
      </c>
      <c r="C78" s="6">
        <f>IFERROR(__xludf.DUMMYFUNCTION("""COMPUTED_VALUE"""),5865.8)</f>
        <v>5865.8</v>
      </c>
      <c r="D78" s="6">
        <f>IFERROR(__xludf.DUMMYFUNCTION("""COMPUTED_VALUE"""),5627.0)</f>
        <v>5627</v>
      </c>
      <c r="E78" s="6">
        <f>IFERROR(__xludf.DUMMYFUNCTION("""COMPUTED_VALUE"""),5797.35)</f>
        <v>5797.35</v>
      </c>
      <c r="F78" s="6">
        <f>IFERROR(__xludf.DUMMYFUNCTION("""COMPUTED_VALUE"""),1417576.0)</f>
        <v>1417576</v>
      </c>
    </row>
    <row r="79">
      <c r="A79" s="7">
        <f>IFERROR(__xludf.DUMMYFUNCTION("""COMPUTED_VALUE"""),45744.64583333333)</f>
        <v>45744.64583</v>
      </c>
      <c r="B79" s="6">
        <f>IFERROR(__xludf.DUMMYFUNCTION("""COMPUTED_VALUE"""),5795.9)</f>
        <v>5795.9</v>
      </c>
      <c r="C79" s="6">
        <f>IFERROR(__xludf.DUMMYFUNCTION("""COMPUTED_VALUE"""),5940.25)</f>
        <v>5940.25</v>
      </c>
      <c r="D79" s="6">
        <f>IFERROR(__xludf.DUMMYFUNCTION("""COMPUTED_VALUE"""),5727.2)</f>
        <v>5727.2</v>
      </c>
      <c r="E79" s="6">
        <f>IFERROR(__xludf.DUMMYFUNCTION("""COMPUTED_VALUE"""),5775.45)</f>
        <v>5775.45</v>
      </c>
      <c r="F79" s="6">
        <f>IFERROR(__xludf.DUMMYFUNCTION("""COMPUTED_VALUE"""),1568570.0)</f>
        <v>1568570</v>
      </c>
    </row>
    <row r="80">
      <c r="A80" s="7">
        <f>IFERROR(__xludf.DUMMYFUNCTION("""COMPUTED_VALUE"""),45751.64583333333)</f>
        <v>45751.64583</v>
      </c>
      <c r="B80" s="6">
        <f>IFERROR(__xludf.DUMMYFUNCTION("""COMPUTED_VALUE"""),5749.5)</f>
        <v>5749.5</v>
      </c>
      <c r="C80" s="6">
        <f>IFERROR(__xludf.DUMMYFUNCTION("""COMPUTED_VALUE"""),5970.0)</f>
        <v>5970</v>
      </c>
      <c r="D80" s="6">
        <f>IFERROR(__xludf.DUMMYFUNCTION("""COMPUTED_VALUE"""),5384.95)</f>
        <v>5384.95</v>
      </c>
      <c r="E80" s="6">
        <f>IFERROR(__xludf.DUMMYFUNCTION("""COMPUTED_VALUE"""),5482.85)</f>
        <v>5482.85</v>
      </c>
      <c r="F80" s="6">
        <f>IFERROR(__xludf.DUMMYFUNCTION("""COMPUTED_VALUE"""),1877011.0)</f>
        <v>1877011</v>
      </c>
    </row>
    <row r="81">
      <c r="A81" s="7">
        <f>IFERROR(__xludf.DUMMYFUNCTION("""COMPUTED_VALUE"""),45758.64583333333)</f>
        <v>45758.64583</v>
      </c>
      <c r="B81" s="6">
        <f>IFERROR(__xludf.DUMMYFUNCTION("""COMPUTED_VALUE"""),4955.0)</f>
        <v>4955</v>
      </c>
      <c r="C81" s="6">
        <f>IFERROR(__xludf.DUMMYFUNCTION("""COMPUTED_VALUE"""),5625.0)</f>
        <v>5625</v>
      </c>
      <c r="D81" s="6">
        <f>IFERROR(__xludf.DUMMYFUNCTION("""COMPUTED_VALUE"""),4955.0)</f>
        <v>4955</v>
      </c>
      <c r="E81" s="6">
        <f>IFERROR(__xludf.DUMMYFUNCTION("""COMPUTED_VALUE"""),5589.3)</f>
        <v>5589.3</v>
      </c>
      <c r="F81" s="6">
        <f>IFERROR(__xludf.DUMMYFUNCTION("""COMPUTED_VALUE"""),2187407.0)</f>
        <v>2187407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IFERROR(__xludf.DUMMYFUNCTION("""COMPUTED_VALUE"""),5638.5)</f>
        <v>5638.5</v>
      </c>
      <c r="C82" s="6">
        <f>IFERROR(__xludf.DUMMYFUNCTION("""COMPUTED_VALUE"""),5805.5)</f>
        <v>5805.5</v>
      </c>
      <c r="D82" s="6">
        <f>IFERROR(__xludf.DUMMYFUNCTION("""COMPUTED_VALUE"""),5596.0)</f>
        <v>5596</v>
      </c>
      <c r="E82" s="6">
        <f>IFERROR(__xludf.DUMMYFUNCTION("""COMPUTED_VALUE"""),5640.0)</f>
        <v>5640</v>
      </c>
      <c r="F82" s="6">
        <f>IFERROR(__xludf.DUMMYFUNCTION("""COMPUTED_VALUE"""),1399092.0)</f>
        <v>1399092</v>
      </c>
    </row>
    <row r="83">
      <c r="A83" s="7">
        <f>IFERROR(__xludf.DUMMYFUNCTION("""COMPUTED_VALUE"""),45772.64583333333)</f>
        <v>45772.64583</v>
      </c>
      <c r="B83" s="6">
        <f>IFERROR(__xludf.DUMMYFUNCTION("""COMPUTED_VALUE"""),5850.0)</f>
        <v>5850</v>
      </c>
      <c r="C83" s="6">
        <f>IFERROR(__xludf.DUMMYFUNCTION("""COMPUTED_VALUE"""),6308.5)</f>
        <v>6308.5</v>
      </c>
      <c r="D83" s="6">
        <f>IFERROR(__xludf.DUMMYFUNCTION("""COMPUTED_VALUE"""),5799.0)</f>
        <v>5799</v>
      </c>
      <c r="E83" s="6">
        <f>IFERROR(__xludf.DUMMYFUNCTION("""COMPUTED_VALUE"""),6012.5)</f>
        <v>6012.5</v>
      </c>
      <c r="F83" s="6">
        <f>IFERROR(__xludf.DUMMYFUNCTION("""COMPUTED_VALUE"""),5066821.0)</f>
        <v>5066821</v>
      </c>
    </row>
    <row r="84">
      <c r="A84" s="7">
        <f>IFERROR(__xludf.DUMMYFUNCTION("""COMPUTED_VALUE"""),45779.64583333333)</f>
        <v>45779.64583</v>
      </c>
      <c r="B84" s="6">
        <f>IFERROR(__xludf.DUMMYFUNCTION("""COMPUTED_VALUE"""),6015.0)</f>
        <v>6015</v>
      </c>
      <c r="C84" s="6">
        <f>IFERROR(__xludf.DUMMYFUNCTION("""COMPUTED_VALUE"""),6153.0)</f>
        <v>6153</v>
      </c>
      <c r="D84" s="6">
        <f>IFERROR(__xludf.DUMMYFUNCTION("""COMPUTED_VALUE"""),5916.0)</f>
        <v>5916</v>
      </c>
      <c r="E84" s="6">
        <f>IFERROR(__xludf.DUMMYFUNCTION("""COMPUTED_VALUE"""),6104.0)</f>
        <v>6104</v>
      </c>
      <c r="F84" s="6">
        <f>IFERROR(__xludf.DUMMYFUNCTION("""COMPUTED_VALUE"""),2404868.0)</f>
        <v>2404868</v>
      </c>
    </row>
    <row r="85">
      <c r="A85" s="7">
        <f>IFERROR(__xludf.DUMMYFUNCTION("""COMPUTED_VALUE"""),45786.64583333333)</f>
        <v>45786.64583</v>
      </c>
      <c r="B85" s="6">
        <f>IFERROR(__xludf.DUMMYFUNCTION("""COMPUTED_VALUE"""),6205.5)</f>
        <v>6205.5</v>
      </c>
      <c r="C85" s="6">
        <f>IFERROR(__xludf.DUMMYFUNCTION("""COMPUTED_VALUE"""),6208.0)</f>
        <v>6208</v>
      </c>
      <c r="D85" s="6">
        <f>IFERROR(__xludf.DUMMYFUNCTION("""COMPUTED_VALUE"""),5841.5)</f>
        <v>5841.5</v>
      </c>
      <c r="E85" s="6">
        <f>IFERROR(__xludf.DUMMYFUNCTION("""COMPUTED_VALUE"""),6025.5)</f>
        <v>6025.5</v>
      </c>
      <c r="F85" s="6">
        <f>IFERROR(__xludf.DUMMYFUNCTION("""COMPUTED_VALUE"""),1905224.0)</f>
        <v>1905224</v>
      </c>
    </row>
    <row r="86">
      <c r="A86" s="7">
        <f>IFERROR(__xludf.DUMMYFUNCTION("""COMPUTED_VALUE"""),45793.64583333333)</f>
        <v>45793.64583</v>
      </c>
      <c r="B86" s="6">
        <f>IFERROR(__xludf.DUMMYFUNCTION("""COMPUTED_VALUE"""),6035.0)</f>
        <v>6035</v>
      </c>
      <c r="C86" s="6">
        <f>IFERROR(__xludf.DUMMYFUNCTION("""COMPUTED_VALUE"""),6323.0)</f>
        <v>6323</v>
      </c>
      <c r="D86" s="6">
        <f>IFERROR(__xludf.DUMMYFUNCTION("""COMPUTED_VALUE"""),5878.5)</f>
        <v>5878.5</v>
      </c>
      <c r="E86" s="6">
        <f>IFERROR(__xludf.DUMMYFUNCTION("""COMPUTED_VALUE"""),6279.5)</f>
        <v>6279.5</v>
      </c>
      <c r="F86" s="6">
        <f>IFERROR(__xludf.DUMMYFUNCTION("""COMPUTED_VALUE"""),3059733.0)</f>
        <v>3059733</v>
      </c>
    </row>
    <row r="87">
      <c r="A87" s="7">
        <f>IFERROR(__xludf.DUMMYFUNCTION("""COMPUTED_VALUE"""),45800.64583333333)</f>
        <v>45800.64583</v>
      </c>
      <c r="B87" s="6">
        <f>IFERROR(__xludf.DUMMYFUNCTION("""COMPUTED_VALUE"""),6400.0)</f>
        <v>6400</v>
      </c>
      <c r="C87" s="6">
        <f>IFERROR(__xludf.DUMMYFUNCTION("""COMPUTED_VALUE"""),6705.0)</f>
        <v>6705</v>
      </c>
      <c r="D87" s="6">
        <f>IFERROR(__xludf.DUMMYFUNCTION("""COMPUTED_VALUE"""),6333.5)</f>
        <v>6333.5</v>
      </c>
      <c r="E87" s="6">
        <f>IFERROR(__xludf.DUMMYFUNCTION("""COMPUTED_VALUE"""),6483.0)</f>
        <v>6483</v>
      </c>
      <c r="F87" s="6">
        <f>IFERROR(__xludf.DUMMYFUNCTION("""COMPUTED_VALUE"""),4222162.0)</f>
        <v>4222162</v>
      </c>
    </row>
    <row r="88">
      <c r="A88" s="7">
        <f>IFERROR(__xludf.DUMMYFUNCTION("""COMPUTED_VALUE"""),45807.64583333333)</f>
        <v>45807.64583</v>
      </c>
      <c r="B88" s="6">
        <f>IFERROR(__xludf.DUMMYFUNCTION("""COMPUTED_VALUE"""),6640.0)</f>
        <v>6640</v>
      </c>
      <c r="C88" s="6">
        <f>IFERROR(__xludf.DUMMYFUNCTION("""COMPUTED_VALUE"""),6764.0)</f>
        <v>6764</v>
      </c>
      <c r="D88" s="6">
        <f>IFERROR(__xludf.DUMMYFUNCTION("""COMPUTED_VALUE"""),6541.0)</f>
        <v>6541</v>
      </c>
      <c r="E88" s="6">
        <f>IFERROR(__xludf.DUMMYFUNCTION("""COMPUTED_VALUE"""),6612.0)</f>
        <v>6612</v>
      </c>
      <c r="F88" s="6">
        <f>IFERROR(__xludf.DUMMYFUNCTION("""COMPUTED_VALUE"""),3225586.0)</f>
        <v>3225586</v>
      </c>
    </row>
    <row r="89">
      <c r="A89" s="7">
        <f>IFERROR(__xludf.DUMMYFUNCTION("""COMPUTED_VALUE"""),45814.64583333333)</f>
        <v>45814.64583</v>
      </c>
      <c r="B89" s="6">
        <f>IFERROR(__xludf.DUMMYFUNCTION("""COMPUTED_VALUE"""),6614.5)</f>
        <v>6614.5</v>
      </c>
      <c r="C89" s="6">
        <f>IFERROR(__xludf.DUMMYFUNCTION("""COMPUTED_VALUE"""),6679.0)</f>
        <v>6679</v>
      </c>
      <c r="D89" s="6">
        <f>IFERROR(__xludf.DUMMYFUNCTION("""COMPUTED_VALUE"""),6505.0)</f>
        <v>6505</v>
      </c>
      <c r="E89" s="6">
        <f>IFERROR(__xludf.DUMMYFUNCTION("""COMPUTED_VALUE"""),6544.5)</f>
        <v>6544.5</v>
      </c>
      <c r="F89" s="6">
        <f>IFERROR(__xludf.DUMMYFUNCTION("""COMPUTED_VALUE"""),1651012.0)</f>
        <v>1651012</v>
      </c>
    </row>
    <row r="90">
      <c r="A90" s="7">
        <f>IFERROR(__xludf.DUMMYFUNCTION("""COMPUTED_VALUE"""),45821.64583333333)</f>
        <v>45821.64583</v>
      </c>
      <c r="B90" s="6">
        <f>IFERROR(__xludf.DUMMYFUNCTION("""COMPUTED_VALUE"""),6557.5)</f>
        <v>6557.5</v>
      </c>
      <c r="C90" s="6">
        <f>IFERROR(__xludf.DUMMYFUNCTION("""COMPUTED_VALUE"""),6862.5)</f>
        <v>6862.5</v>
      </c>
      <c r="D90" s="6">
        <f>IFERROR(__xludf.DUMMYFUNCTION("""COMPUTED_VALUE"""),6547.5)</f>
        <v>6547.5</v>
      </c>
      <c r="E90" s="6">
        <f>IFERROR(__xludf.DUMMYFUNCTION("""COMPUTED_VALUE"""),6667.0)</f>
        <v>6667</v>
      </c>
      <c r="F90" s="6">
        <f>IFERROR(__xludf.DUMMYFUNCTION("""COMPUTED_VALUE"""),2161733.0)</f>
        <v>2161733</v>
      </c>
    </row>
    <row r="91">
      <c r="A91" s="7">
        <f>IFERROR(__xludf.DUMMYFUNCTION("""COMPUTED_VALUE"""),45828.64583333333)</f>
        <v>45828.64583</v>
      </c>
      <c r="B91" s="6">
        <f>IFERROR(__xludf.DUMMYFUNCTION("""COMPUTED_VALUE"""),6632.0)</f>
        <v>6632</v>
      </c>
      <c r="C91" s="6">
        <f>IFERROR(__xludf.DUMMYFUNCTION("""COMPUTED_VALUE"""),6702.5)</f>
        <v>6702.5</v>
      </c>
      <c r="D91" s="6">
        <f>IFERROR(__xludf.DUMMYFUNCTION("""COMPUTED_VALUE"""),6455.5)</f>
        <v>6455.5</v>
      </c>
      <c r="E91" s="6">
        <f>IFERROR(__xludf.DUMMYFUNCTION("""COMPUTED_VALUE"""),6592.0)</f>
        <v>6592</v>
      </c>
      <c r="F91" s="6">
        <f>IFERROR(__xludf.DUMMYFUNCTION("""COMPUTED_VALUE"""),1756030.0)</f>
        <v>1756030</v>
      </c>
    </row>
    <row r="92">
      <c r="A92" s="7">
        <f>IFERROR(__xludf.DUMMYFUNCTION("""COMPUTED_VALUE"""),45835.64583333333)</f>
        <v>45835.64583</v>
      </c>
      <c r="B92" s="6">
        <f>IFERROR(__xludf.DUMMYFUNCTION("""COMPUTED_VALUE"""),6570.0)</f>
        <v>6570</v>
      </c>
      <c r="C92" s="6">
        <f>IFERROR(__xludf.DUMMYFUNCTION("""COMPUTED_VALUE"""),6694.0)</f>
        <v>6694</v>
      </c>
      <c r="D92" s="6">
        <f>IFERROR(__xludf.DUMMYFUNCTION("""COMPUTED_VALUE"""),6520.0)</f>
        <v>6520</v>
      </c>
      <c r="E92" s="6">
        <f>IFERROR(__xludf.DUMMYFUNCTION("""COMPUTED_VALUE"""),6658.0)</f>
        <v>6658</v>
      </c>
      <c r="F92" s="6">
        <f>IFERROR(__xludf.DUMMYFUNCTION("""COMPUTED_VALUE"""),1932787.0)</f>
        <v>1932787</v>
      </c>
    </row>
    <row r="93">
      <c r="A93" s="7">
        <f>IFERROR(__xludf.DUMMYFUNCTION("""COMPUTED_VALUE"""),45842.64583333333)</f>
        <v>45842.64583</v>
      </c>
      <c r="B93" s="6">
        <f>IFERROR(__xludf.DUMMYFUNCTION("""COMPUTED_VALUE"""),6680.0)</f>
        <v>6680</v>
      </c>
      <c r="C93" s="6">
        <f>IFERROR(__xludf.DUMMYFUNCTION("""COMPUTED_VALUE"""),6945.0)</f>
        <v>6945</v>
      </c>
      <c r="D93" s="6">
        <f>IFERROR(__xludf.DUMMYFUNCTION("""COMPUTED_VALUE"""),6666.0)</f>
        <v>6666</v>
      </c>
      <c r="E93" s="6">
        <f>IFERROR(__xludf.DUMMYFUNCTION("""COMPUTED_VALUE"""),6906.5)</f>
        <v>6906.5</v>
      </c>
      <c r="F93" s="6">
        <f>IFERROR(__xludf.DUMMYFUNCTION("""COMPUTED_VALUE"""),1969333.0)</f>
        <v>1969333</v>
      </c>
    </row>
    <row r="94">
      <c r="A94" s="7">
        <f>IFERROR(__xludf.DUMMYFUNCTION("""COMPUTED_VALUE"""),45849.64583333333)</f>
        <v>45849.64583</v>
      </c>
      <c r="B94" s="6">
        <f>IFERROR(__xludf.DUMMYFUNCTION("""COMPUTED_VALUE"""),6915.0)</f>
        <v>6915</v>
      </c>
      <c r="C94" s="6">
        <f>IFERROR(__xludf.DUMMYFUNCTION("""COMPUTED_VALUE"""),7071.5)</f>
        <v>7071.5</v>
      </c>
      <c r="D94" s="6">
        <f>IFERROR(__xludf.DUMMYFUNCTION("""COMPUTED_VALUE"""),6825.0)</f>
        <v>6825</v>
      </c>
      <c r="E94" s="6">
        <f>IFERROR(__xludf.DUMMYFUNCTION("""COMPUTED_VALUE"""),6835.0)</f>
        <v>6835</v>
      </c>
      <c r="F94" s="6">
        <f>IFERROR(__xludf.DUMMYFUNCTION("""COMPUTED_VALUE"""),1406733.0)</f>
        <v>1406733</v>
      </c>
    </row>
    <row r="95">
      <c r="A95" s="7">
        <f>IFERROR(__xludf.DUMMYFUNCTION("""COMPUTED_VALUE"""),45856.64583333333)</f>
        <v>45856.64583</v>
      </c>
      <c r="B95" s="6">
        <f>IFERROR(__xludf.DUMMYFUNCTION("""COMPUTED_VALUE"""),6650.0)</f>
        <v>6650</v>
      </c>
      <c r="C95" s="6">
        <f>IFERROR(__xludf.DUMMYFUNCTION("""COMPUTED_VALUE"""),6881.0)</f>
        <v>6881</v>
      </c>
      <c r="D95" s="6">
        <f>IFERROR(__xludf.DUMMYFUNCTION("""COMPUTED_VALUE"""),6545.0)</f>
        <v>6545</v>
      </c>
      <c r="E95" s="6">
        <f>IFERROR(__xludf.DUMMYFUNCTION("""COMPUTED_VALUE"""),6731.5)</f>
        <v>6731.5</v>
      </c>
      <c r="F95" s="6">
        <f>IFERROR(__xludf.DUMMYFUNCTION("""COMPUTED_VALUE"""),1917077.0)</f>
        <v>1917077</v>
      </c>
    </row>
    <row r="96">
      <c r="A96" s="7">
        <f>IFERROR(__xludf.DUMMYFUNCTION("""COMPUTED_VALUE"""),45863.64583333333)</f>
        <v>45863.64583</v>
      </c>
      <c r="B96" s="6">
        <f>IFERROR(__xludf.DUMMYFUNCTION("""COMPUTED_VALUE"""),6742.0)</f>
        <v>6742</v>
      </c>
      <c r="C96" s="6">
        <f>IFERROR(__xludf.DUMMYFUNCTION("""COMPUTED_VALUE"""),6746.0)</f>
        <v>6746</v>
      </c>
      <c r="D96" s="6">
        <f>IFERROR(__xludf.DUMMYFUNCTION("""COMPUTED_VALUE"""),6569.0)</f>
        <v>6569</v>
      </c>
      <c r="E96" s="6">
        <f>IFERROR(__xludf.DUMMYFUNCTION("""COMPUTED_VALUE"""),6616.5)</f>
        <v>6616.5</v>
      </c>
      <c r="F96" s="6">
        <f>IFERROR(__xludf.DUMMYFUNCTION("""COMPUTED_VALUE"""),994365.0)</f>
        <v>994365</v>
      </c>
    </row>
    <row r="97">
      <c r="A97" s="7">
        <f>IFERROR(__xludf.DUMMYFUNCTION("""COMPUTED_VALUE"""),45870.64583333333)</f>
        <v>45870.64583</v>
      </c>
      <c r="B97" s="6">
        <f>IFERROR(__xludf.DUMMYFUNCTION("""COMPUTED_VALUE"""),6616.5)</f>
        <v>6616.5</v>
      </c>
      <c r="C97" s="6">
        <f>IFERROR(__xludf.DUMMYFUNCTION("""COMPUTED_VALUE"""),6733.5)</f>
        <v>6733.5</v>
      </c>
      <c r="D97" s="6">
        <f>IFERROR(__xludf.DUMMYFUNCTION("""COMPUTED_VALUE"""),6335.5)</f>
        <v>6335.5</v>
      </c>
      <c r="E97" s="6">
        <f>IFERROR(__xludf.DUMMYFUNCTION("""COMPUTED_VALUE"""),6361.5)</f>
        <v>6361.5</v>
      </c>
      <c r="F97" s="6">
        <f>IFERROR(__xludf.DUMMYFUNCTION("""COMPUTED_VALUE"""),1265365.0)</f>
        <v>1265365</v>
      </c>
    </row>
    <row r="98">
      <c r="A98" s="7">
        <f>IFERROR(__xludf.DUMMYFUNCTION("""COMPUTED_VALUE"""),45877.64583333333)</f>
        <v>45877.64583</v>
      </c>
      <c r="B98" s="6">
        <f>IFERROR(__xludf.DUMMYFUNCTION("""COMPUTED_VALUE"""),6372.0)</f>
        <v>6372</v>
      </c>
      <c r="C98" s="6">
        <f>IFERROR(__xludf.DUMMYFUNCTION("""COMPUTED_VALUE"""),6530.5)</f>
        <v>6530.5</v>
      </c>
      <c r="D98" s="6">
        <f>IFERROR(__xludf.DUMMYFUNCTION("""COMPUTED_VALUE"""),5893.5)</f>
        <v>5893.5</v>
      </c>
      <c r="E98" s="6">
        <f>IFERROR(__xludf.DUMMYFUNCTION("""COMPUTED_VALUE"""),5914.5)</f>
        <v>5914.5</v>
      </c>
      <c r="F98" s="6">
        <f>IFERROR(__xludf.DUMMYFUNCTION("""COMPUTED_VALUE"""),3258982.0)</f>
        <v>3258982</v>
      </c>
    </row>
    <row r="99">
      <c r="A99" s="7">
        <f>IFERROR(__xludf.DUMMYFUNCTION("""COMPUTED_VALUE"""),45883.64583333333)</f>
        <v>45883.64583</v>
      </c>
      <c r="B99" s="6">
        <f>IFERROR(__xludf.DUMMYFUNCTION("""COMPUTED_VALUE"""),5891.0)</f>
        <v>5891</v>
      </c>
      <c r="C99" s="6">
        <f>IFERROR(__xludf.DUMMYFUNCTION("""COMPUTED_VALUE"""),6205.0)</f>
        <v>6205</v>
      </c>
      <c r="D99" s="6">
        <f>IFERROR(__xludf.DUMMYFUNCTION("""COMPUTED_VALUE"""),5856.5)</f>
        <v>5856.5</v>
      </c>
      <c r="E99" s="6">
        <f>IFERROR(__xludf.DUMMYFUNCTION("""COMPUTED_VALUE"""),6132.5)</f>
        <v>6132.5</v>
      </c>
      <c r="F99" s="6">
        <f>IFERROR(__xludf.DUMMYFUNCTION("""COMPUTED_VALUE"""),1957446.0)</f>
        <v>1957446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IFERROR(__xludf.DUMMYFUNCTION("""COMPUTED_VALUE"""),6148.0)</f>
        <v>6148</v>
      </c>
      <c r="C100" s="6">
        <f>IFERROR(__xludf.DUMMYFUNCTION("""COMPUTED_VALUE"""),6211.5)</f>
        <v>6211.5</v>
      </c>
      <c r="D100" s="6">
        <f>IFERROR(__xludf.DUMMYFUNCTION("""COMPUTED_VALUE"""),5952.5)</f>
        <v>5952.5</v>
      </c>
      <c r="E100" s="6">
        <f>IFERROR(__xludf.DUMMYFUNCTION("""COMPUTED_VALUE"""),6151.5)</f>
        <v>6151.5</v>
      </c>
      <c r="F100" s="6">
        <f>IFERROR(__xludf.DUMMYFUNCTION("""COMPUTED_VALUE"""),2054771.0)</f>
        <v>2054771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IFERROR(__xludf.DUMMYFUNCTION("""COMPUTED_VALUE"""),6255.0)</f>
        <v>6255</v>
      </c>
      <c r="C101" s="6">
        <f>IFERROR(__xludf.DUMMYFUNCTION("""COMPUTED_VALUE"""),6314.5)</f>
        <v>6314.5</v>
      </c>
      <c r="D101" s="6">
        <f>IFERROR(__xludf.DUMMYFUNCTION("""COMPUTED_VALUE"""),6120.0)</f>
        <v>6120</v>
      </c>
      <c r="E101" s="6">
        <f>IFERROR(__xludf.DUMMYFUNCTION("""COMPUTED_VALUE"""),6190.5)</f>
        <v>6190.5</v>
      </c>
      <c r="F101" s="6">
        <f>IFERROR(__xludf.DUMMYFUNCTION("""COMPUTED_VALUE"""),7902874.0)</f>
        <v>7902874</v>
      </c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IFERROR(__xludf.DUMMYFUNCTION("GOOGLEFINANCE(""NSE:DIXON"",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IFERROR(__xludf.DUMMYFUNCTION("""COMPUTED_VALUE"""),4851.3)</f>
        <v>4851.3</v>
      </c>
      <c r="C2" s="6">
        <f>IFERROR(__xludf.DUMMYFUNCTION("""COMPUTED_VALUE"""),5163.0)</f>
        <v>5163</v>
      </c>
      <c r="D2" s="6">
        <f>IFERROR(__xludf.DUMMYFUNCTION("""COMPUTED_VALUE"""),4815.05)</f>
        <v>4815.05</v>
      </c>
      <c r="E2" s="6">
        <f>IFERROR(__xludf.DUMMYFUNCTION("""COMPUTED_VALUE"""),5057.25)</f>
        <v>5057.25</v>
      </c>
      <c r="F2" s="6">
        <f>IFERROR(__xludf.DUMMYFUNCTION("""COMPUTED_VALUE"""),2035384.0)</f>
        <v>2035384</v>
      </c>
    </row>
    <row r="3">
      <c r="A3" s="7">
        <f>IFERROR(__xludf.DUMMYFUNCTION("""COMPUTED_VALUE"""),45177.64583333333)</f>
        <v>45177.64583</v>
      </c>
      <c r="B3" s="6">
        <f>IFERROR(__xludf.DUMMYFUNCTION("""COMPUTED_VALUE"""),5081.8)</f>
        <v>5081.8</v>
      </c>
      <c r="C3" s="6">
        <f>IFERROR(__xludf.DUMMYFUNCTION("""COMPUTED_VALUE"""),5224.95)</f>
        <v>5224.95</v>
      </c>
      <c r="D3" s="6">
        <f>IFERROR(__xludf.DUMMYFUNCTION("""COMPUTED_VALUE"""),4960.0)</f>
        <v>4960</v>
      </c>
      <c r="E3" s="6">
        <f>IFERROR(__xludf.DUMMYFUNCTION("""COMPUTED_VALUE"""),5121.2)</f>
        <v>5121.2</v>
      </c>
      <c r="F3" s="6">
        <f>IFERROR(__xludf.DUMMYFUNCTION("""COMPUTED_VALUE"""),2099976.0)</f>
        <v>2099976</v>
      </c>
    </row>
    <row r="4">
      <c r="A4" s="7">
        <f>IFERROR(__xludf.DUMMYFUNCTION("""COMPUTED_VALUE"""),45184.64583333333)</f>
        <v>45184.64583</v>
      </c>
      <c r="B4" s="6">
        <f>IFERROR(__xludf.DUMMYFUNCTION("""COMPUTED_VALUE"""),5139.0)</f>
        <v>5139</v>
      </c>
      <c r="C4" s="6">
        <f>IFERROR(__xludf.DUMMYFUNCTION("""COMPUTED_VALUE"""),5207.5)</f>
        <v>5207.5</v>
      </c>
      <c r="D4" s="6">
        <f>IFERROR(__xludf.DUMMYFUNCTION("""COMPUTED_VALUE"""),4985.05)</f>
        <v>4985.05</v>
      </c>
      <c r="E4" s="6">
        <f>IFERROR(__xludf.DUMMYFUNCTION("""COMPUTED_VALUE"""),5059.0)</f>
        <v>5059</v>
      </c>
      <c r="F4" s="6">
        <f>IFERROR(__xludf.DUMMYFUNCTION("""COMPUTED_VALUE"""),1261137.0)</f>
        <v>1261137</v>
      </c>
    </row>
    <row r="5">
      <c r="A5" s="7">
        <f>IFERROR(__xludf.DUMMYFUNCTION("""COMPUTED_VALUE"""),45191.64583333333)</f>
        <v>45191.64583</v>
      </c>
      <c r="B5" s="6">
        <f>IFERROR(__xludf.DUMMYFUNCTION("""COMPUTED_VALUE"""),5040.0)</f>
        <v>5040</v>
      </c>
      <c r="C5" s="6">
        <f>IFERROR(__xludf.DUMMYFUNCTION("""COMPUTED_VALUE"""),5070.0)</f>
        <v>5070</v>
      </c>
      <c r="D5" s="6">
        <f>IFERROR(__xludf.DUMMYFUNCTION("""COMPUTED_VALUE"""),4785.75)</f>
        <v>4785.75</v>
      </c>
      <c r="E5" s="6">
        <f>IFERROR(__xludf.DUMMYFUNCTION("""COMPUTED_VALUE"""),4808.4)</f>
        <v>4808.4</v>
      </c>
      <c r="F5" s="6">
        <f>IFERROR(__xludf.DUMMYFUNCTION("""COMPUTED_VALUE"""),888452.0)</f>
        <v>888452</v>
      </c>
    </row>
    <row r="6">
      <c r="A6" s="7">
        <f>IFERROR(__xludf.DUMMYFUNCTION("""COMPUTED_VALUE"""),45198.64583333333)</f>
        <v>45198.64583</v>
      </c>
      <c r="B6" s="6">
        <f>IFERROR(__xludf.DUMMYFUNCTION("""COMPUTED_VALUE"""),4810.0)</f>
        <v>4810</v>
      </c>
      <c r="C6" s="6">
        <f>IFERROR(__xludf.DUMMYFUNCTION("""COMPUTED_VALUE"""),5378.85)</f>
        <v>5378.85</v>
      </c>
      <c r="D6" s="6">
        <f>IFERROR(__xludf.DUMMYFUNCTION("""COMPUTED_VALUE"""),4733.45)</f>
        <v>4733.45</v>
      </c>
      <c r="E6" s="6">
        <f>IFERROR(__xludf.DUMMYFUNCTION("""COMPUTED_VALUE"""),5289.25)</f>
        <v>5289.25</v>
      </c>
      <c r="F6" s="6">
        <f>IFERROR(__xludf.DUMMYFUNCTION("""COMPUTED_VALUE"""),4201700.0)</f>
        <v>4201700</v>
      </c>
    </row>
    <row r="7">
      <c r="A7" s="7">
        <f>IFERROR(__xludf.DUMMYFUNCTION("""COMPUTED_VALUE"""),45205.64583333333)</f>
        <v>45205.64583</v>
      </c>
      <c r="B7" s="6">
        <f>IFERROR(__xludf.DUMMYFUNCTION("""COMPUTED_VALUE"""),5280.0)</f>
        <v>5280</v>
      </c>
      <c r="C7" s="6">
        <f>IFERROR(__xludf.DUMMYFUNCTION("""COMPUTED_VALUE"""),5335.0)</f>
        <v>5335</v>
      </c>
      <c r="D7" s="6">
        <f>IFERROR(__xludf.DUMMYFUNCTION("""COMPUTED_VALUE"""),5062.1)</f>
        <v>5062.1</v>
      </c>
      <c r="E7" s="6">
        <f>IFERROR(__xludf.DUMMYFUNCTION("""COMPUTED_VALUE"""),5128.75)</f>
        <v>5128.75</v>
      </c>
      <c r="F7" s="6">
        <f>IFERROR(__xludf.DUMMYFUNCTION("""COMPUTED_VALUE"""),1435198.0)</f>
        <v>1435198</v>
      </c>
    </row>
    <row r="8">
      <c r="A8" s="7">
        <f>IFERROR(__xludf.DUMMYFUNCTION("""COMPUTED_VALUE"""),45212.64583333333)</f>
        <v>45212.64583</v>
      </c>
      <c r="B8" s="6">
        <f>IFERROR(__xludf.DUMMYFUNCTION("""COMPUTED_VALUE"""),5032.15)</f>
        <v>5032.15</v>
      </c>
      <c r="C8" s="6">
        <f>IFERROR(__xludf.DUMMYFUNCTION("""COMPUTED_VALUE"""),5364.8)</f>
        <v>5364.8</v>
      </c>
      <c r="D8" s="6">
        <f>IFERROR(__xludf.DUMMYFUNCTION("""COMPUTED_VALUE"""),5028.0)</f>
        <v>5028</v>
      </c>
      <c r="E8" s="6">
        <f>IFERROR(__xludf.DUMMYFUNCTION("""COMPUTED_VALUE"""),5339.95)</f>
        <v>5339.95</v>
      </c>
      <c r="F8" s="6">
        <f>IFERROR(__xludf.DUMMYFUNCTION("""COMPUTED_VALUE"""),1650500.0)</f>
        <v>1650500</v>
      </c>
    </row>
    <row r="9">
      <c r="A9" s="7">
        <f>IFERROR(__xludf.DUMMYFUNCTION("""COMPUTED_VALUE"""),45219.64583333333)</f>
        <v>45219.64583</v>
      </c>
      <c r="B9" s="6">
        <f>IFERROR(__xludf.DUMMYFUNCTION("""COMPUTED_VALUE"""),5291.0)</f>
        <v>5291</v>
      </c>
      <c r="C9" s="6">
        <f>IFERROR(__xludf.DUMMYFUNCTION("""COMPUTED_VALUE"""),5575.0)</f>
        <v>5575</v>
      </c>
      <c r="D9" s="6">
        <f>IFERROR(__xludf.DUMMYFUNCTION("""COMPUTED_VALUE"""),5291.0)</f>
        <v>5291</v>
      </c>
      <c r="E9" s="6">
        <f>IFERROR(__xludf.DUMMYFUNCTION("""COMPUTED_VALUE"""),5520.9)</f>
        <v>5520.9</v>
      </c>
      <c r="F9" s="6">
        <f>IFERROR(__xludf.DUMMYFUNCTION("""COMPUTED_VALUE"""),1815569.0)</f>
        <v>1815569</v>
      </c>
    </row>
    <row r="10">
      <c r="A10" s="7">
        <f>IFERROR(__xludf.DUMMYFUNCTION("""COMPUTED_VALUE"""),45226.64583333333)</f>
        <v>45226.64583</v>
      </c>
      <c r="B10" s="6">
        <f>IFERROR(__xludf.DUMMYFUNCTION("""COMPUTED_VALUE"""),5520.0)</f>
        <v>5520</v>
      </c>
      <c r="C10" s="6">
        <f>IFERROR(__xludf.DUMMYFUNCTION("""COMPUTED_VALUE"""),5607.1)</f>
        <v>5607.1</v>
      </c>
      <c r="D10" s="6">
        <f>IFERROR(__xludf.DUMMYFUNCTION("""COMPUTED_VALUE"""),5288.25)</f>
        <v>5288.25</v>
      </c>
      <c r="E10" s="6">
        <f>IFERROR(__xludf.DUMMYFUNCTION("""COMPUTED_VALUE"""),5374.75)</f>
        <v>5374.75</v>
      </c>
      <c r="F10" s="6">
        <f>IFERROR(__xludf.DUMMYFUNCTION("""COMPUTED_VALUE"""),2649755.0)</f>
        <v>2649755</v>
      </c>
    </row>
    <row r="11">
      <c r="A11" s="7">
        <f>IFERROR(__xludf.DUMMYFUNCTION("""COMPUTED_VALUE"""),45233.64583333333)</f>
        <v>45233.64583</v>
      </c>
      <c r="B11" s="6">
        <f>IFERROR(__xludf.DUMMYFUNCTION("""COMPUTED_VALUE"""),5379.9)</f>
        <v>5379.9</v>
      </c>
      <c r="C11" s="6">
        <f>IFERROR(__xludf.DUMMYFUNCTION("""COMPUTED_VALUE"""),5397.0)</f>
        <v>5397</v>
      </c>
      <c r="D11" s="6">
        <f>IFERROR(__xludf.DUMMYFUNCTION("""COMPUTED_VALUE"""),5076.0)</f>
        <v>5076</v>
      </c>
      <c r="E11" s="6">
        <f>IFERROR(__xludf.DUMMYFUNCTION("""COMPUTED_VALUE"""),5274.2)</f>
        <v>5274.2</v>
      </c>
      <c r="F11" s="6">
        <f>IFERROR(__xludf.DUMMYFUNCTION("""COMPUTED_VALUE"""),2928008.0)</f>
        <v>2928008</v>
      </c>
    </row>
    <row r="12">
      <c r="A12" s="7">
        <f>IFERROR(__xludf.DUMMYFUNCTION("""COMPUTED_VALUE"""),45240.64583333333)</f>
        <v>45240.64583</v>
      </c>
      <c r="B12" s="6">
        <f>IFERROR(__xludf.DUMMYFUNCTION("""COMPUTED_VALUE"""),5317.9)</f>
        <v>5317.9</v>
      </c>
      <c r="C12" s="6">
        <f>IFERROR(__xludf.DUMMYFUNCTION("""COMPUTED_VALUE"""),5425.0)</f>
        <v>5425</v>
      </c>
      <c r="D12" s="6">
        <f>IFERROR(__xludf.DUMMYFUNCTION("""COMPUTED_VALUE"""),5223.25)</f>
        <v>5223.25</v>
      </c>
      <c r="E12" s="6">
        <f>IFERROR(__xludf.DUMMYFUNCTION("""COMPUTED_VALUE"""),5274.9)</f>
        <v>5274.9</v>
      </c>
      <c r="F12" s="6">
        <f>IFERROR(__xludf.DUMMYFUNCTION("""COMPUTED_VALUE"""),1264642.0)</f>
        <v>1264642</v>
      </c>
    </row>
    <row r="13">
      <c r="A13" s="7">
        <f>IFERROR(__xludf.DUMMYFUNCTION("""COMPUTED_VALUE"""),45247.64583333333)</f>
        <v>45247.64583</v>
      </c>
      <c r="B13" s="6">
        <f>IFERROR(__xludf.DUMMYFUNCTION("""COMPUTED_VALUE"""),5315.6)</f>
        <v>5315.6</v>
      </c>
      <c r="C13" s="6">
        <f>IFERROR(__xludf.DUMMYFUNCTION("""COMPUTED_VALUE"""),5488.5)</f>
        <v>5488.5</v>
      </c>
      <c r="D13" s="6">
        <f>IFERROR(__xludf.DUMMYFUNCTION("""COMPUTED_VALUE"""),5206.6)</f>
        <v>5206.6</v>
      </c>
      <c r="E13" s="6">
        <f>IFERROR(__xludf.DUMMYFUNCTION("""COMPUTED_VALUE"""),5426.85)</f>
        <v>5426.85</v>
      </c>
      <c r="F13" s="6">
        <f>IFERROR(__xludf.DUMMYFUNCTION("""COMPUTED_VALUE"""),1369193.0)</f>
        <v>1369193</v>
      </c>
    </row>
    <row r="14">
      <c r="A14" s="7">
        <f>IFERROR(__xludf.DUMMYFUNCTION("""COMPUTED_VALUE"""),45254.64583333333)</f>
        <v>45254.64583</v>
      </c>
      <c r="B14" s="6">
        <f>IFERROR(__xludf.DUMMYFUNCTION("""COMPUTED_VALUE"""),5475.0)</f>
        <v>5475</v>
      </c>
      <c r="C14" s="6">
        <f>IFERROR(__xludf.DUMMYFUNCTION("""COMPUTED_VALUE"""),5565.8)</f>
        <v>5565.8</v>
      </c>
      <c r="D14" s="6">
        <f>IFERROR(__xludf.DUMMYFUNCTION("""COMPUTED_VALUE"""),5265.0)</f>
        <v>5265</v>
      </c>
      <c r="E14" s="6">
        <f>IFERROR(__xludf.DUMMYFUNCTION("""COMPUTED_VALUE"""),5277.85)</f>
        <v>5277.85</v>
      </c>
      <c r="F14" s="6">
        <f>IFERROR(__xludf.DUMMYFUNCTION("""COMPUTED_VALUE"""),1320618.0)</f>
        <v>1320618</v>
      </c>
    </row>
    <row r="15">
      <c r="A15" s="7">
        <f>IFERROR(__xludf.DUMMYFUNCTION("""COMPUTED_VALUE"""),45261.64583333333)</f>
        <v>45261.64583</v>
      </c>
      <c r="B15" s="6">
        <f>IFERROR(__xludf.DUMMYFUNCTION("""COMPUTED_VALUE"""),5280.0)</f>
        <v>5280</v>
      </c>
      <c r="C15" s="6">
        <f>IFERROR(__xludf.DUMMYFUNCTION("""COMPUTED_VALUE"""),6034.95)</f>
        <v>6034.95</v>
      </c>
      <c r="D15" s="6">
        <f>IFERROR(__xludf.DUMMYFUNCTION("""COMPUTED_VALUE"""),5272.05)</f>
        <v>5272.05</v>
      </c>
      <c r="E15" s="6">
        <f>IFERROR(__xludf.DUMMYFUNCTION("""COMPUTED_VALUE"""),5951.65)</f>
        <v>5951.65</v>
      </c>
      <c r="F15" s="6">
        <f>IFERROR(__xludf.DUMMYFUNCTION("""COMPUTED_VALUE"""),3042279.0)</f>
        <v>3042279</v>
      </c>
    </row>
    <row r="16">
      <c r="A16" s="7">
        <f>IFERROR(__xludf.DUMMYFUNCTION("""COMPUTED_VALUE"""),45268.64583333333)</f>
        <v>45268.64583</v>
      </c>
      <c r="B16" s="6">
        <f>IFERROR(__xludf.DUMMYFUNCTION("""COMPUTED_VALUE"""),6110.0)</f>
        <v>6110</v>
      </c>
      <c r="C16" s="6">
        <f>IFERROR(__xludf.DUMMYFUNCTION("""COMPUTED_VALUE"""),6186.15)</f>
        <v>6186.15</v>
      </c>
      <c r="D16" s="6">
        <f>IFERROR(__xludf.DUMMYFUNCTION("""COMPUTED_VALUE"""),5876.0)</f>
        <v>5876</v>
      </c>
      <c r="E16" s="6">
        <f>IFERROR(__xludf.DUMMYFUNCTION("""COMPUTED_VALUE"""),5964.9)</f>
        <v>5964.9</v>
      </c>
      <c r="F16" s="6">
        <f>IFERROR(__xludf.DUMMYFUNCTION("""COMPUTED_VALUE"""),2108667.0)</f>
        <v>2108667</v>
      </c>
    </row>
    <row r="17">
      <c r="A17" s="7">
        <f>IFERROR(__xludf.DUMMYFUNCTION("""COMPUTED_VALUE"""),45275.64583333333)</f>
        <v>45275.64583</v>
      </c>
      <c r="B17" s="6">
        <f>IFERROR(__xludf.DUMMYFUNCTION("""COMPUTED_VALUE"""),5980.0)</f>
        <v>5980</v>
      </c>
      <c r="C17" s="6">
        <f>IFERROR(__xludf.DUMMYFUNCTION("""COMPUTED_VALUE"""),6765.0)</f>
        <v>6765</v>
      </c>
      <c r="D17" s="6">
        <f>IFERROR(__xludf.DUMMYFUNCTION("""COMPUTED_VALUE"""),5961.0)</f>
        <v>5961</v>
      </c>
      <c r="E17" s="6">
        <f>IFERROR(__xludf.DUMMYFUNCTION("""COMPUTED_VALUE"""),6316.9)</f>
        <v>6316.9</v>
      </c>
      <c r="F17" s="6">
        <f>IFERROR(__xludf.DUMMYFUNCTION("""COMPUTED_VALUE"""),7312115.0)</f>
        <v>7312115</v>
      </c>
    </row>
    <row r="18">
      <c r="A18" s="7">
        <f>IFERROR(__xludf.DUMMYFUNCTION("""COMPUTED_VALUE"""),45282.64583333333)</f>
        <v>45282.64583</v>
      </c>
      <c r="B18" s="6">
        <f>IFERROR(__xludf.DUMMYFUNCTION("""COMPUTED_VALUE"""),6315.0)</f>
        <v>6315</v>
      </c>
      <c r="C18" s="6">
        <f>IFERROR(__xludf.DUMMYFUNCTION("""COMPUTED_VALUE"""),6584.0)</f>
        <v>6584</v>
      </c>
      <c r="D18" s="6">
        <f>IFERROR(__xludf.DUMMYFUNCTION("""COMPUTED_VALUE"""),6220.0)</f>
        <v>6220</v>
      </c>
      <c r="E18" s="6">
        <f>IFERROR(__xludf.DUMMYFUNCTION("""COMPUTED_VALUE"""),6478.35)</f>
        <v>6478.35</v>
      </c>
      <c r="F18" s="6">
        <f>IFERROR(__xludf.DUMMYFUNCTION("""COMPUTED_VALUE"""),3475223.0)</f>
        <v>3475223</v>
      </c>
    </row>
    <row r="19">
      <c r="A19" s="7">
        <f>IFERROR(__xludf.DUMMYFUNCTION("""COMPUTED_VALUE"""),45289.64583333333)</f>
        <v>45289.64583</v>
      </c>
      <c r="B19" s="6">
        <f>IFERROR(__xludf.DUMMYFUNCTION("""COMPUTED_VALUE"""),6460.0)</f>
        <v>6460</v>
      </c>
      <c r="C19" s="6">
        <f>IFERROR(__xludf.DUMMYFUNCTION("""COMPUTED_VALUE"""),6619.4)</f>
        <v>6619.4</v>
      </c>
      <c r="D19" s="6">
        <f>IFERROR(__xludf.DUMMYFUNCTION("""COMPUTED_VALUE"""),6413.0)</f>
        <v>6413</v>
      </c>
      <c r="E19" s="6">
        <f>IFERROR(__xludf.DUMMYFUNCTION("""COMPUTED_VALUE"""),6566.75)</f>
        <v>6566.75</v>
      </c>
      <c r="F19" s="6">
        <f>IFERROR(__xludf.DUMMYFUNCTION("""COMPUTED_VALUE"""),1184805.0)</f>
        <v>1184805</v>
      </c>
    </row>
    <row r="20">
      <c r="A20" s="7">
        <f>IFERROR(__xludf.DUMMYFUNCTION("""COMPUTED_VALUE"""),45296.64583333333)</f>
        <v>45296.64583</v>
      </c>
      <c r="B20" s="6">
        <f>IFERROR(__xludf.DUMMYFUNCTION("""COMPUTED_VALUE"""),6560.0)</f>
        <v>6560</v>
      </c>
      <c r="C20" s="6">
        <f>IFERROR(__xludf.DUMMYFUNCTION("""COMPUTED_VALUE"""),6585.8)</f>
        <v>6585.8</v>
      </c>
      <c r="D20" s="6">
        <f>IFERROR(__xludf.DUMMYFUNCTION("""COMPUTED_VALUE"""),6243.15)</f>
        <v>6243.15</v>
      </c>
      <c r="E20" s="6">
        <f>IFERROR(__xludf.DUMMYFUNCTION("""COMPUTED_VALUE"""),6378.4)</f>
        <v>6378.4</v>
      </c>
      <c r="F20" s="6">
        <f>IFERROR(__xludf.DUMMYFUNCTION("""COMPUTED_VALUE"""),1604992.0)</f>
        <v>1604992</v>
      </c>
    </row>
    <row r="21">
      <c r="A21" s="7">
        <f>IFERROR(__xludf.DUMMYFUNCTION("""COMPUTED_VALUE"""),45303.64583333333)</f>
        <v>45303.64583</v>
      </c>
      <c r="B21" s="6">
        <f>IFERROR(__xludf.DUMMYFUNCTION("""COMPUTED_VALUE"""),6399.85)</f>
        <v>6399.85</v>
      </c>
      <c r="C21" s="6">
        <f>IFERROR(__xludf.DUMMYFUNCTION("""COMPUTED_VALUE"""),6600.0)</f>
        <v>6600</v>
      </c>
      <c r="D21" s="6">
        <f>IFERROR(__xludf.DUMMYFUNCTION("""COMPUTED_VALUE"""),6280.0)</f>
        <v>6280</v>
      </c>
      <c r="E21" s="6">
        <f>IFERROR(__xludf.DUMMYFUNCTION("""COMPUTED_VALUE"""),6553.95)</f>
        <v>6553.95</v>
      </c>
      <c r="F21" s="6">
        <f>IFERROR(__xludf.DUMMYFUNCTION("""COMPUTED_VALUE"""),1350838.0)</f>
        <v>1350838</v>
      </c>
    </row>
    <row r="22">
      <c r="A22" s="7">
        <f>IFERROR(__xludf.DUMMYFUNCTION("""COMPUTED_VALUE"""),45316.64583333333)</f>
        <v>45316.64583</v>
      </c>
      <c r="B22" s="6">
        <f>IFERROR(__xludf.DUMMYFUNCTION("""COMPUTED_VALUE"""),6025.05)</f>
        <v>6025.05</v>
      </c>
      <c r="C22" s="6">
        <f>IFERROR(__xludf.DUMMYFUNCTION("""COMPUTED_VALUE"""),6102.15)</f>
        <v>6102.15</v>
      </c>
      <c r="D22" s="6">
        <f>IFERROR(__xludf.DUMMYFUNCTION("""COMPUTED_VALUE"""),5782.85)</f>
        <v>5782.85</v>
      </c>
      <c r="E22" s="6">
        <f>IFERROR(__xludf.DUMMYFUNCTION("""COMPUTED_VALUE"""),5879.45)</f>
        <v>5879.45</v>
      </c>
      <c r="F22" s="6">
        <f>IFERROR(__xludf.DUMMYFUNCTION("""COMPUTED_VALUE"""),970020.0)</f>
        <v>970020</v>
      </c>
    </row>
    <row r="23">
      <c r="A23" s="7">
        <f>IFERROR(__xludf.DUMMYFUNCTION("""COMPUTED_VALUE"""),45324.64583333333)</f>
        <v>45324.64583</v>
      </c>
      <c r="B23" s="6">
        <f>IFERROR(__xludf.DUMMYFUNCTION("""COMPUTED_VALUE"""),5898.0)</f>
        <v>5898</v>
      </c>
      <c r="C23" s="6">
        <f>IFERROR(__xludf.DUMMYFUNCTION("""COMPUTED_VALUE"""),6348.0)</f>
        <v>6348</v>
      </c>
      <c r="D23" s="6">
        <f>IFERROR(__xludf.DUMMYFUNCTION("""COMPUTED_VALUE"""),5800.2)</f>
        <v>5800.2</v>
      </c>
      <c r="E23" s="6">
        <f>IFERROR(__xludf.DUMMYFUNCTION("""COMPUTED_VALUE"""),6237.8)</f>
        <v>6237.8</v>
      </c>
      <c r="F23" s="6">
        <f>IFERROR(__xludf.DUMMYFUNCTION("""COMPUTED_VALUE"""),2509379.0)</f>
        <v>2509379</v>
      </c>
    </row>
    <row r="24">
      <c r="A24" s="7">
        <f>IFERROR(__xludf.DUMMYFUNCTION("""COMPUTED_VALUE"""),45331.64583333333)</f>
        <v>45331.64583</v>
      </c>
      <c r="B24" s="6">
        <f>IFERROR(__xludf.DUMMYFUNCTION("""COMPUTED_VALUE"""),6251.0)</f>
        <v>6251</v>
      </c>
      <c r="C24" s="6">
        <f>IFERROR(__xludf.DUMMYFUNCTION("""COMPUTED_VALUE"""),6462.2)</f>
        <v>6462.2</v>
      </c>
      <c r="D24" s="6">
        <f>IFERROR(__xludf.DUMMYFUNCTION("""COMPUTED_VALUE"""),6125.4)</f>
        <v>6125.4</v>
      </c>
      <c r="E24" s="6">
        <f>IFERROR(__xludf.DUMMYFUNCTION("""COMPUTED_VALUE"""),6277.9)</f>
        <v>6277.9</v>
      </c>
      <c r="F24" s="6">
        <f>IFERROR(__xludf.DUMMYFUNCTION("""COMPUTED_VALUE"""),1298780.0)</f>
        <v>1298780</v>
      </c>
    </row>
    <row r="25">
      <c r="A25" s="7">
        <f>IFERROR(__xludf.DUMMYFUNCTION("""COMPUTED_VALUE"""),45338.64583333333)</f>
        <v>45338.64583</v>
      </c>
      <c r="B25" s="6">
        <f>IFERROR(__xludf.DUMMYFUNCTION("""COMPUTED_VALUE"""),6295.0)</f>
        <v>6295</v>
      </c>
      <c r="C25" s="6">
        <f>IFERROR(__xludf.DUMMYFUNCTION("""COMPUTED_VALUE"""),6472.0)</f>
        <v>6472</v>
      </c>
      <c r="D25" s="6">
        <f>IFERROR(__xludf.DUMMYFUNCTION("""COMPUTED_VALUE"""),6131.0)</f>
        <v>6131</v>
      </c>
      <c r="E25" s="6">
        <f>IFERROR(__xludf.DUMMYFUNCTION("""COMPUTED_VALUE"""),6378.1)</f>
        <v>6378.1</v>
      </c>
      <c r="F25" s="6">
        <f>IFERROR(__xludf.DUMMYFUNCTION("""COMPUTED_VALUE"""),861356.0)</f>
        <v>861356</v>
      </c>
    </row>
    <row r="26">
      <c r="A26" s="7">
        <f>IFERROR(__xludf.DUMMYFUNCTION("""COMPUTED_VALUE"""),45345.64583333333)</f>
        <v>45345.64583</v>
      </c>
      <c r="B26" s="6">
        <f>IFERROR(__xludf.DUMMYFUNCTION("""COMPUTED_VALUE"""),6425.2)</f>
        <v>6425.2</v>
      </c>
      <c r="C26" s="6">
        <f>IFERROR(__xludf.DUMMYFUNCTION("""COMPUTED_VALUE"""),6929.0)</f>
        <v>6929</v>
      </c>
      <c r="D26" s="6">
        <f>IFERROR(__xludf.DUMMYFUNCTION("""COMPUTED_VALUE"""),6410.0)</f>
        <v>6410</v>
      </c>
      <c r="E26" s="6">
        <f>IFERROR(__xludf.DUMMYFUNCTION("""COMPUTED_VALUE"""),6867.5)</f>
        <v>6867.5</v>
      </c>
      <c r="F26" s="6">
        <f>IFERROR(__xludf.DUMMYFUNCTION("""COMPUTED_VALUE"""),2776300.0)</f>
        <v>2776300</v>
      </c>
    </row>
    <row r="27">
      <c r="A27" s="7">
        <f>IFERROR(__xludf.DUMMYFUNCTION("""COMPUTED_VALUE"""),45358.64583333333)</f>
        <v>45358.64583</v>
      </c>
      <c r="B27" s="6">
        <f>IFERROR(__xludf.DUMMYFUNCTION("""COMPUTED_VALUE"""),7043.2)</f>
        <v>7043.2</v>
      </c>
      <c r="C27" s="6">
        <f>IFERROR(__xludf.DUMMYFUNCTION("""COMPUTED_VALUE"""),7236.0)</f>
        <v>7236</v>
      </c>
      <c r="D27" s="6">
        <f>IFERROR(__xludf.DUMMYFUNCTION("""COMPUTED_VALUE"""),6922.15)</f>
        <v>6922.15</v>
      </c>
      <c r="E27" s="6">
        <f>IFERROR(__xludf.DUMMYFUNCTION("""COMPUTED_VALUE"""),7142.95)</f>
        <v>7142.95</v>
      </c>
      <c r="F27" s="6">
        <f>IFERROR(__xludf.DUMMYFUNCTION("""COMPUTED_VALUE"""),1182239.0)</f>
        <v>1182239</v>
      </c>
    </row>
    <row r="28">
      <c r="A28" s="7">
        <f>IFERROR(__xludf.DUMMYFUNCTION("""COMPUTED_VALUE"""),45366.64583333333)</f>
        <v>45366.64583</v>
      </c>
      <c r="B28" s="6">
        <f>IFERROR(__xludf.DUMMYFUNCTION("""COMPUTED_VALUE"""),7184.0)</f>
        <v>7184</v>
      </c>
      <c r="C28" s="6">
        <f>IFERROR(__xludf.DUMMYFUNCTION("""COMPUTED_VALUE"""),7229.8)</f>
        <v>7229.8</v>
      </c>
      <c r="D28" s="6">
        <f>IFERROR(__xludf.DUMMYFUNCTION("""COMPUTED_VALUE"""),6503.5)</f>
        <v>6503.5</v>
      </c>
      <c r="E28" s="6">
        <f>IFERROR(__xludf.DUMMYFUNCTION("""COMPUTED_VALUE"""),6962.0)</f>
        <v>6962</v>
      </c>
      <c r="F28" s="6">
        <f>IFERROR(__xludf.DUMMYFUNCTION("""COMPUTED_VALUE"""),1366359.0)</f>
        <v>1366359</v>
      </c>
    </row>
    <row r="29">
      <c r="A29" s="7">
        <f>IFERROR(__xludf.DUMMYFUNCTION("""COMPUTED_VALUE"""),45373.64583333333)</f>
        <v>45373.64583</v>
      </c>
      <c r="B29" s="6">
        <f>IFERROR(__xludf.DUMMYFUNCTION("""COMPUTED_VALUE"""),6963.0)</f>
        <v>6963</v>
      </c>
      <c r="C29" s="6">
        <f>IFERROR(__xludf.DUMMYFUNCTION("""COMPUTED_VALUE"""),7189.85)</f>
        <v>7189.85</v>
      </c>
      <c r="D29" s="6">
        <f>IFERROR(__xludf.DUMMYFUNCTION("""COMPUTED_VALUE"""),6839.1)</f>
        <v>6839.1</v>
      </c>
      <c r="E29" s="6">
        <f>IFERROR(__xludf.DUMMYFUNCTION("""COMPUTED_VALUE"""),7165.15)</f>
        <v>7165.15</v>
      </c>
      <c r="F29" s="6">
        <f>IFERROR(__xludf.DUMMYFUNCTION("""COMPUTED_VALUE"""),1078269.0)</f>
        <v>1078269</v>
      </c>
    </row>
    <row r="30">
      <c r="A30" s="7">
        <f>IFERROR(__xludf.DUMMYFUNCTION("""COMPUTED_VALUE"""),45379.64583333333)</f>
        <v>45379.64583</v>
      </c>
      <c r="B30" s="6">
        <f>IFERROR(__xludf.DUMMYFUNCTION("""COMPUTED_VALUE"""),7157.0)</f>
        <v>7157</v>
      </c>
      <c r="C30" s="6">
        <f>IFERROR(__xludf.DUMMYFUNCTION("""COMPUTED_VALUE"""),7580.0)</f>
        <v>7580</v>
      </c>
      <c r="D30" s="6">
        <f>IFERROR(__xludf.DUMMYFUNCTION("""COMPUTED_VALUE"""),7108.7)</f>
        <v>7108.7</v>
      </c>
      <c r="E30" s="6">
        <f>IFERROR(__xludf.DUMMYFUNCTION("""COMPUTED_VALUE"""),7479.25)</f>
        <v>7479.25</v>
      </c>
      <c r="F30" s="6">
        <f>IFERROR(__xludf.DUMMYFUNCTION("""COMPUTED_VALUE"""),772797.0)</f>
        <v>772797</v>
      </c>
    </row>
    <row r="31">
      <c r="A31" s="7">
        <f>IFERROR(__xludf.DUMMYFUNCTION("""COMPUTED_VALUE"""),45387.64583333333)</f>
        <v>45387.64583</v>
      </c>
      <c r="B31" s="6">
        <f>IFERROR(__xludf.DUMMYFUNCTION("""COMPUTED_VALUE"""),7520.0)</f>
        <v>7520</v>
      </c>
      <c r="C31" s="6">
        <f>IFERROR(__xludf.DUMMYFUNCTION("""COMPUTED_VALUE"""),7950.0)</f>
        <v>7950</v>
      </c>
      <c r="D31" s="6">
        <f>IFERROR(__xludf.DUMMYFUNCTION("""COMPUTED_VALUE"""),7480.05)</f>
        <v>7480.05</v>
      </c>
      <c r="E31" s="6">
        <f>IFERROR(__xludf.DUMMYFUNCTION("""COMPUTED_VALUE"""),7660.5)</f>
        <v>7660.5</v>
      </c>
      <c r="F31" s="6">
        <f>IFERROR(__xludf.DUMMYFUNCTION("""COMPUTED_VALUE"""),1728315.0)</f>
        <v>1728315</v>
      </c>
    </row>
    <row r="32">
      <c r="A32" s="7">
        <f>IFERROR(__xludf.DUMMYFUNCTION("""COMPUTED_VALUE"""),45394.64583333333)</f>
        <v>45394.64583</v>
      </c>
      <c r="B32" s="6">
        <f>IFERROR(__xludf.DUMMYFUNCTION("""COMPUTED_VALUE"""),7682.05)</f>
        <v>7682.05</v>
      </c>
      <c r="C32" s="6">
        <f>IFERROR(__xludf.DUMMYFUNCTION("""COMPUTED_VALUE"""),7983.0)</f>
        <v>7983</v>
      </c>
      <c r="D32" s="6">
        <f>IFERROR(__xludf.DUMMYFUNCTION("""COMPUTED_VALUE"""),7590.0)</f>
        <v>7590</v>
      </c>
      <c r="E32" s="6">
        <f>IFERROR(__xludf.DUMMYFUNCTION("""COMPUTED_VALUE"""),7845.4)</f>
        <v>7845.4</v>
      </c>
      <c r="F32" s="6">
        <f>IFERROR(__xludf.DUMMYFUNCTION("""COMPUTED_VALUE"""),1557120.0)</f>
        <v>1557120</v>
      </c>
    </row>
    <row r="33">
      <c r="A33" s="7">
        <f>IFERROR(__xludf.DUMMYFUNCTION("""COMPUTED_VALUE"""),45401.64583333333)</f>
        <v>45401.64583</v>
      </c>
      <c r="B33" s="6">
        <f>IFERROR(__xludf.DUMMYFUNCTION("""COMPUTED_VALUE"""),7700.0)</f>
        <v>7700</v>
      </c>
      <c r="C33" s="6">
        <f>IFERROR(__xludf.DUMMYFUNCTION("""COMPUTED_VALUE"""),7829.0)</f>
        <v>7829</v>
      </c>
      <c r="D33" s="6">
        <f>IFERROR(__xludf.DUMMYFUNCTION("""COMPUTED_VALUE"""),7198.35)</f>
        <v>7198.35</v>
      </c>
      <c r="E33" s="6">
        <f>IFERROR(__xludf.DUMMYFUNCTION("""COMPUTED_VALUE"""),7531.95)</f>
        <v>7531.95</v>
      </c>
      <c r="F33" s="6">
        <f>IFERROR(__xludf.DUMMYFUNCTION("""COMPUTED_VALUE"""),1259561.0)</f>
        <v>1259561</v>
      </c>
    </row>
    <row r="34">
      <c r="A34" s="7">
        <f>IFERROR(__xludf.DUMMYFUNCTION("""COMPUTED_VALUE"""),45408.64583333333)</f>
        <v>45408.64583</v>
      </c>
      <c r="B34" s="6">
        <f>IFERROR(__xludf.DUMMYFUNCTION("""COMPUTED_VALUE"""),7680.0)</f>
        <v>7680</v>
      </c>
      <c r="C34" s="6">
        <f>IFERROR(__xludf.DUMMYFUNCTION("""COMPUTED_VALUE"""),8607.0)</f>
        <v>8607</v>
      </c>
      <c r="D34" s="6">
        <f>IFERROR(__xludf.DUMMYFUNCTION("""COMPUTED_VALUE"""),7627.45)</f>
        <v>7627.45</v>
      </c>
      <c r="E34" s="6">
        <f>IFERROR(__xludf.DUMMYFUNCTION("""COMPUTED_VALUE"""),8580.15)</f>
        <v>8580.15</v>
      </c>
      <c r="F34" s="6">
        <f>IFERROR(__xludf.DUMMYFUNCTION("""COMPUTED_VALUE"""),2867047.0)</f>
        <v>2867047</v>
      </c>
    </row>
    <row r="35">
      <c r="A35" s="7">
        <f>IFERROR(__xludf.DUMMYFUNCTION("""COMPUTED_VALUE"""),45415.64583333333)</f>
        <v>45415.64583</v>
      </c>
      <c r="B35" s="6">
        <f>IFERROR(__xludf.DUMMYFUNCTION("""COMPUTED_VALUE"""),8568.05)</f>
        <v>8568.05</v>
      </c>
      <c r="C35" s="6">
        <f>IFERROR(__xludf.DUMMYFUNCTION("""COMPUTED_VALUE"""),8655.0)</f>
        <v>8655</v>
      </c>
      <c r="D35" s="6">
        <f>IFERROR(__xludf.DUMMYFUNCTION("""COMPUTED_VALUE"""),8270.45)</f>
        <v>8270.45</v>
      </c>
      <c r="E35" s="6">
        <f>IFERROR(__xludf.DUMMYFUNCTION("""COMPUTED_VALUE"""),8451.65)</f>
        <v>8451.65</v>
      </c>
      <c r="F35" s="6">
        <f>IFERROR(__xludf.DUMMYFUNCTION("""COMPUTED_VALUE"""),1085795.0)</f>
        <v>1085795</v>
      </c>
    </row>
    <row r="36">
      <c r="A36" s="7">
        <f>IFERROR(__xludf.DUMMYFUNCTION("""COMPUTED_VALUE"""),45422.64583333333)</f>
        <v>45422.64583</v>
      </c>
      <c r="B36" s="6">
        <f>IFERROR(__xludf.DUMMYFUNCTION("""COMPUTED_VALUE"""),8500.0)</f>
        <v>8500</v>
      </c>
      <c r="C36" s="6">
        <f>IFERROR(__xludf.DUMMYFUNCTION("""COMPUTED_VALUE"""),8509.95)</f>
        <v>8509.95</v>
      </c>
      <c r="D36" s="6">
        <f>IFERROR(__xludf.DUMMYFUNCTION("""COMPUTED_VALUE"""),8232.1)</f>
        <v>8232.1</v>
      </c>
      <c r="E36" s="6">
        <f>IFERROR(__xludf.DUMMYFUNCTION("""COMPUTED_VALUE"""),8418.55)</f>
        <v>8418.55</v>
      </c>
      <c r="F36" s="6">
        <f>IFERROR(__xludf.DUMMYFUNCTION("""COMPUTED_VALUE"""),999323.0)</f>
        <v>999323</v>
      </c>
    </row>
    <row r="37">
      <c r="A37" s="7">
        <f>IFERROR(__xludf.DUMMYFUNCTION("""COMPUTED_VALUE"""),45436.64583333333)</f>
        <v>45436.64583</v>
      </c>
      <c r="B37" s="6">
        <f>IFERROR(__xludf.DUMMYFUNCTION("""COMPUTED_VALUE"""),8962.05)</f>
        <v>8962.05</v>
      </c>
      <c r="C37" s="6">
        <f>IFERROR(__xludf.DUMMYFUNCTION("""COMPUTED_VALUE"""),9488.2)</f>
        <v>9488.2</v>
      </c>
      <c r="D37" s="6">
        <f>IFERROR(__xludf.DUMMYFUNCTION("""COMPUTED_VALUE"""),8890.6)</f>
        <v>8890.6</v>
      </c>
      <c r="E37" s="6">
        <f>IFERROR(__xludf.DUMMYFUNCTION("""COMPUTED_VALUE"""),9298.2)</f>
        <v>9298.2</v>
      </c>
      <c r="F37" s="6">
        <f>IFERROR(__xludf.DUMMYFUNCTION("""COMPUTED_VALUE"""),2034311.0)</f>
        <v>2034311</v>
      </c>
    </row>
    <row r="38">
      <c r="A38" s="7">
        <f>IFERROR(__xludf.DUMMYFUNCTION("""COMPUTED_VALUE"""),45443.64583333333)</f>
        <v>45443.64583</v>
      </c>
      <c r="B38" s="6">
        <f>IFERROR(__xludf.DUMMYFUNCTION("""COMPUTED_VALUE"""),9360.9)</f>
        <v>9360.9</v>
      </c>
      <c r="C38" s="6">
        <f>IFERROR(__xludf.DUMMYFUNCTION("""COMPUTED_VALUE"""),9458.0)</f>
        <v>9458</v>
      </c>
      <c r="D38" s="6">
        <f>IFERROR(__xludf.DUMMYFUNCTION("""COMPUTED_VALUE"""),9008.0)</f>
        <v>9008</v>
      </c>
      <c r="E38" s="6">
        <f>IFERROR(__xludf.DUMMYFUNCTION("""COMPUTED_VALUE"""),9396.35)</f>
        <v>9396.35</v>
      </c>
      <c r="F38" s="6">
        <f>IFERROR(__xludf.DUMMYFUNCTION("""COMPUTED_VALUE"""),1607137.0)</f>
        <v>1607137</v>
      </c>
    </row>
    <row r="39">
      <c r="A39" s="7">
        <f>IFERROR(__xludf.DUMMYFUNCTION("""COMPUTED_VALUE"""),45450.64583333333)</f>
        <v>45450.64583</v>
      </c>
      <c r="B39" s="6">
        <f>IFERROR(__xludf.DUMMYFUNCTION("""COMPUTED_VALUE"""),9639.9)</f>
        <v>9639.9</v>
      </c>
      <c r="C39" s="6">
        <f>IFERROR(__xludf.DUMMYFUNCTION("""COMPUTED_VALUE"""),10088.1)</f>
        <v>10088.1</v>
      </c>
      <c r="D39" s="6">
        <f>IFERROR(__xludf.DUMMYFUNCTION("""COMPUTED_VALUE"""),8453.0)</f>
        <v>8453</v>
      </c>
      <c r="E39" s="6">
        <f>IFERROR(__xludf.DUMMYFUNCTION("""COMPUTED_VALUE"""),9985.1)</f>
        <v>9985.1</v>
      </c>
      <c r="F39" s="6">
        <f>IFERROR(__xludf.DUMMYFUNCTION("""COMPUTED_VALUE"""),2927954.0)</f>
        <v>2927954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IFERROR(__xludf.DUMMYFUNCTION("""COMPUTED_VALUE"""),10059.4)</f>
        <v>10059.4</v>
      </c>
      <c r="C40" s="6">
        <f>IFERROR(__xludf.DUMMYFUNCTION("""COMPUTED_VALUE"""),11458.9)</f>
        <v>11458.9</v>
      </c>
      <c r="D40" s="6">
        <f>IFERROR(__xludf.DUMMYFUNCTION("""COMPUTED_VALUE"""),10007.55)</f>
        <v>10007.55</v>
      </c>
      <c r="E40" s="6">
        <f>IFERROR(__xludf.DUMMYFUNCTION("""COMPUTED_VALUE"""),11242.85)</f>
        <v>11242.85</v>
      </c>
      <c r="F40" s="6">
        <f>IFERROR(__xludf.DUMMYFUNCTION("""COMPUTED_VALUE"""),2855611.0)</f>
        <v>2855611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IFERROR(__xludf.DUMMYFUNCTION("""COMPUTED_VALUE"""),11335.0)</f>
        <v>11335</v>
      </c>
      <c r="C41" s="6">
        <f>IFERROR(__xludf.DUMMYFUNCTION("""COMPUTED_VALUE"""),11679.9)</f>
        <v>11679.9</v>
      </c>
      <c r="D41" s="6">
        <f>IFERROR(__xludf.DUMMYFUNCTION("""COMPUTED_VALUE"""),11140.0)</f>
        <v>11140</v>
      </c>
      <c r="E41" s="6">
        <f>IFERROR(__xludf.DUMMYFUNCTION("""COMPUTED_VALUE"""),11539.1)</f>
        <v>11539.1</v>
      </c>
      <c r="F41" s="6">
        <f>IFERROR(__xludf.DUMMYFUNCTION("""COMPUTED_VALUE"""),1686342.0)</f>
        <v>1686342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IFERROR(__xludf.DUMMYFUNCTION("""COMPUTED_VALUE"""),11500.0)</f>
        <v>11500</v>
      </c>
      <c r="C42" s="6">
        <f>IFERROR(__xludf.DUMMYFUNCTION("""COMPUTED_VALUE"""),12149.0)</f>
        <v>12149</v>
      </c>
      <c r="D42" s="6">
        <f>IFERROR(__xludf.DUMMYFUNCTION("""COMPUTED_VALUE"""),11372.15)</f>
        <v>11372.15</v>
      </c>
      <c r="E42" s="6">
        <f>IFERROR(__xludf.DUMMYFUNCTION("""COMPUTED_VALUE"""),11971.3)</f>
        <v>11971.3</v>
      </c>
      <c r="F42" s="6">
        <f>IFERROR(__xludf.DUMMYFUNCTION("""COMPUTED_VALUE"""),2090597.0)</f>
        <v>2090597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IFERROR(__xludf.DUMMYFUNCTION("""COMPUTED_VALUE"""),12099.0)</f>
        <v>12099</v>
      </c>
      <c r="C43" s="6">
        <f>IFERROR(__xludf.DUMMYFUNCTION("""COMPUTED_VALUE"""),12879.0)</f>
        <v>12879</v>
      </c>
      <c r="D43" s="6">
        <f>IFERROR(__xludf.DUMMYFUNCTION("""COMPUTED_VALUE"""),12086.45)</f>
        <v>12086.45</v>
      </c>
      <c r="E43" s="6">
        <f>IFERROR(__xludf.DUMMYFUNCTION("""COMPUTED_VALUE"""),12505.95)</f>
        <v>12505.95</v>
      </c>
      <c r="F43" s="6">
        <f>IFERROR(__xludf.DUMMYFUNCTION("""COMPUTED_VALUE"""),2339311.0)</f>
        <v>2339311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IFERROR(__xludf.DUMMYFUNCTION("""COMPUTED_VALUE"""),12549.0)</f>
        <v>12549</v>
      </c>
      <c r="C44" s="6">
        <f>IFERROR(__xludf.DUMMYFUNCTION("""COMPUTED_VALUE"""),12689.4)</f>
        <v>12689.4</v>
      </c>
      <c r="D44" s="6">
        <f>IFERROR(__xludf.DUMMYFUNCTION("""COMPUTED_VALUE"""),12164.3)</f>
        <v>12164.3</v>
      </c>
      <c r="E44" s="6">
        <f>IFERROR(__xludf.DUMMYFUNCTION("""COMPUTED_VALUE"""),12410.0)</f>
        <v>12410</v>
      </c>
      <c r="F44" s="6">
        <f>IFERROR(__xludf.DUMMYFUNCTION("""COMPUTED_VALUE"""),1256082.0)</f>
        <v>1256082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IFERROR(__xludf.DUMMYFUNCTION("""COMPUTED_VALUE"""),12500.0)</f>
        <v>12500</v>
      </c>
      <c r="C45" s="6">
        <f>IFERROR(__xludf.DUMMYFUNCTION("""COMPUTED_VALUE"""),12754.55)</f>
        <v>12754.55</v>
      </c>
      <c r="D45" s="6">
        <f>IFERROR(__xludf.DUMMYFUNCTION("""COMPUTED_VALUE"""),11210.55)</f>
        <v>11210.55</v>
      </c>
      <c r="E45" s="6">
        <f>IFERROR(__xludf.DUMMYFUNCTION("""COMPUTED_VALUE"""),11267.2)</f>
        <v>11267.2</v>
      </c>
      <c r="F45" s="6">
        <f>IFERROR(__xludf.DUMMYFUNCTION("""COMPUTED_VALUE"""),1933896.0)</f>
        <v>1933896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IFERROR(__xludf.DUMMYFUNCTION("""COMPUTED_VALUE"""),11267.2)</f>
        <v>11267.2</v>
      </c>
      <c r="C46" s="6">
        <f>IFERROR(__xludf.DUMMYFUNCTION("""COMPUTED_VALUE"""),11475.0)</f>
        <v>11475</v>
      </c>
      <c r="D46" s="6">
        <f>IFERROR(__xludf.DUMMYFUNCTION("""COMPUTED_VALUE"""),10620.0)</f>
        <v>10620</v>
      </c>
      <c r="E46" s="6">
        <f>IFERROR(__xludf.DUMMYFUNCTION("""COMPUTED_VALUE"""),11272.6)</f>
        <v>11272.6</v>
      </c>
      <c r="F46" s="6">
        <f>IFERROR(__xludf.DUMMYFUNCTION("""COMPUTED_VALUE"""),2285921.0)</f>
        <v>2285921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IFERROR(__xludf.DUMMYFUNCTION("""COMPUTED_VALUE"""),11349.95)</f>
        <v>11349.95</v>
      </c>
      <c r="C47" s="6">
        <f>IFERROR(__xludf.DUMMYFUNCTION("""COMPUTED_VALUE"""),12690.0)</f>
        <v>12690</v>
      </c>
      <c r="D47" s="6">
        <f>IFERROR(__xludf.DUMMYFUNCTION("""COMPUTED_VALUE"""),11225.0)</f>
        <v>11225</v>
      </c>
      <c r="E47" s="6">
        <f>IFERROR(__xludf.DUMMYFUNCTION("""COMPUTED_VALUE"""),11654.55)</f>
        <v>11654.55</v>
      </c>
      <c r="F47" s="6">
        <f>IFERROR(__xludf.DUMMYFUNCTION("""COMPUTED_VALUE"""),4317411.0)</f>
        <v>4317411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IFERROR(__xludf.DUMMYFUNCTION("""COMPUTED_VALUE"""),10950.05)</f>
        <v>10950.05</v>
      </c>
      <c r="C48" s="6">
        <f>IFERROR(__xludf.DUMMYFUNCTION("""COMPUTED_VALUE"""),11800.05)</f>
        <v>11800.05</v>
      </c>
      <c r="D48" s="6">
        <f>IFERROR(__xludf.DUMMYFUNCTION("""COMPUTED_VALUE"""),10950.05)</f>
        <v>10950.05</v>
      </c>
      <c r="E48" s="6">
        <f>IFERROR(__xludf.DUMMYFUNCTION("""COMPUTED_VALUE"""),11740.45)</f>
        <v>11740.45</v>
      </c>
      <c r="F48" s="6">
        <f>IFERROR(__xludf.DUMMYFUNCTION("""COMPUTED_VALUE"""),2166579.0)</f>
        <v>2166579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IFERROR(__xludf.DUMMYFUNCTION("""COMPUTED_VALUE"""),11739.65)</f>
        <v>11739.65</v>
      </c>
      <c r="C49" s="6">
        <f>IFERROR(__xludf.DUMMYFUNCTION("""COMPUTED_VALUE"""),12423.6)</f>
        <v>12423.6</v>
      </c>
      <c r="D49" s="6">
        <f>IFERROR(__xludf.DUMMYFUNCTION("""COMPUTED_VALUE"""),11559.9)</f>
        <v>11559.9</v>
      </c>
      <c r="E49" s="6">
        <f>IFERROR(__xludf.DUMMYFUNCTION("""COMPUTED_VALUE"""),12374.9)</f>
        <v>12374.9</v>
      </c>
      <c r="F49" s="6">
        <f>IFERROR(__xludf.DUMMYFUNCTION("""COMPUTED_VALUE"""),2290426.0)</f>
        <v>2290426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IFERROR(__xludf.DUMMYFUNCTION("""COMPUTED_VALUE"""),12550.0)</f>
        <v>12550</v>
      </c>
      <c r="C50" s="6">
        <f>IFERROR(__xludf.DUMMYFUNCTION("""COMPUTED_VALUE"""),13394.9)</f>
        <v>13394.9</v>
      </c>
      <c r="D50" s="6">
        <f>IFERROR(__xludf.DUMMYFUNCTION("""COMPUTED_VALUE"""),12419.8)</f>
        <v>12419.8</v>
      </c>
      <c r="E50" s="6">
        <f>IFERROR(__xludf.DUMMYFUNCTION("""COMPUTED_VALUE"""),13270.55)</f>
        <v>13270.55</v>
      </c>
      <c r="F50" s="6">
        <f>IFERROR(__xludf.DUMMYFUNCTION("""COMPUTED_VALUE"""),2721313.0)</f>
        <v>2721313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IFERROR(__xludf.DUMMYFUNCTION("""COMPUTED_VALUE"""),13399.0)</f>
        <v>13399</v>
      </c>
      <c r="C51" s="6">
        <f>IFERROR(__xludf.DUMMYFUNCTION("""COMPUTED_VALUE"""),13639.8)</f>
        <v>13639.8</v>
      </c>
      <c r="D51" s="6">
        <f>IFERROR(__xludf.DUMMYFUNCTION("""COMPUTED_VALUE"""),12865.0)</f>
        <v>12865</v>
      </c>
      <c r="E51" s="6">
        <f>IFERROR(__xludf.DUMMYFUNCTION("""COMPUTED_VALUE"""),13170.95)</f>
        <v>13170.95</v>
      </c>
      <c r="F51" s="6">
        <f>IFERROR(__xludf.DUMMYFUNCTION("""COMPUTED_VALUE"""),6436266.0)</f>
        <v>6436266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IFERROR(__xludf.DUMMYFUNCTION("""COMPUTED_VALUE"""),13160.0)</f>
        <v>13160</v>
      </c>
      <c r="C52" s="6">
        <f>IFERROR(__xludf.DUMMYFUNCTION("""COMPUTED_VALUE"""),13160.0)</f>
        <v>13160</v>
      </c>
      <c r="D52" s="6">
        <f>IFERROR(__xludf.DUMMYFUNCTION("""COMPUTED_VALUE"""),12043.05)</f>
        <v>12043.05</v>
      </c>
      <c r="E52" s="6">
        <f>IFERROR(__xludf.DUMMYFUNCTION("""COMPUTED_VALUE"""),12063.85)</f>
        <v>12063.85</v>
      </c>
      <c r="F52" s="6">
        <f>IFERROR(__xludf.DUMMYFUNCTION("""COMPUTED_VALUE"""),2580753.0)</f>
        <v>2580753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IFERROR(__xludf.DUMMYFUNCTION("""COMPUTED_VALUE"""),12040.0)</f>
        <v>12040</v>
      </c>
      <c r="C53" s="6">
        <f>IFERROR(__xludf.DUMMYFUNCTION("""COMPUTED_VALUE"""),13120.0)</f>
        <v>13120</v>
      </c>
      <c r="D53" s="6">
        <f>IFERROR(__xludf.DUMMYFUNCTION("""COMPUTED_VALUE"""),12022.0)</f>
        <v>12022</v>
      </c>
      <c r="E53" s="6">
        <f>IFERROR(__xludf.DUMMYFUNCTION("""COMPUTED_VALUE"""),13027.65)</f>
        <v>13027.65</v>
      </c>
      <c r="F53" s="6">
        <f>IFERROR(__xludf.DUMMYFUNCTION("""COMPUTED_VALUE"""),2263349.0)</f>
        <v>2263349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IFERROR(__xludf.DUMMYFUNCTION("""COMPUTED_VALUE"""),13170.0)</f>
        <v>13170</v>
      </c>
      <c r="C54" s="6">
        <f>IFERROR(__xludf.DUMMYFUNCTION("""COMPUTED_VALUE"""),14399.95)</f>
        <v>14399.95</v>
      </c>
      <c r="D54" s="6">
        <f>IFERROR(__xludf.DUMMYFUNCTION("""COMPUTED_VALUE"""),13050.5)</f>
        <v>13050.5</v>
      </c>
      <c r="E54" s="6">
        <f>IFERROR(__xludf.DUMMYFUNCTION("""COMPUTED_VALUE"""),13995.6)</f>
        <v>13995.6</v>
      </c>
      <c r="F54" s="6">
        <f>IFERROR(__xludf.DUMMYFUNCTION("""COMPUTED_VALUE"""),4419230.0)</f>
        <v>4419230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IFERROR(__xludf.DUMMYFUNCTION("""COMPUTED_VALUE"""),14100.0)</f>
        <v>14100</v>
      </c>
      <c r="C55" s="6">
        <f>IFERROR(__xludf.DUMMYFUNCTION("""COMPUTED_VALUE"""),14498.0)</f>
        <v>14498</v>
      </c>
      <c r="D55" s="6">
        <f>IFERROR(__xludf.DUMMYFUNCTION("""COMPUTED_VALUE"""),13825.0)</f>
        <v>13825</v>
      </c>
      <c r="E55" s="6">
        <f>IFERROR(__xludf.DUMMYFUNCTION("""COMPUTED_VALUE"""),14037.65)</f>
        <v>14037.65</v>
      </c>
      <c r="F55" s="6">
        <f>IFERROR(__xludf.DUMMYFUNCTION("""COMPUTED_VALUE"""),2011260.0)</f>
        <v>2011260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IFERROR(__xludf.DUMMYFUNCTION("""COMPUTED_VALUE"""),14024.6)</f>
        <v>14024.6</v>
      </c>
      <c r="C56" s="6">
        <f>IFERROR(__xludf.DUMMYFUNCTION("""COMPUTED_VALUE"""),14265.0)</f>
        <v>14265</v>
      </c>
      <c r="D56" s="6">
        <f>IFERROR(__xludf.DUMMYFUNCTION("""COMPUTED_VALUE"""),13425.0)</f>
        <v>13425</v>
      </c>
      <c r="E56" s="6">
        <f>IFERROR(__xludf.DUMMYFUNCTION("""COMPUTED_VALUE"""),13634.0)</f>
        <v>13634</v>
      </c>
      <c r="F56" s="6">
        <f>IFERROR(__xludf.DUMMYFUNCTION("""COMPUTED_VALUE"""),1668855.0)</f>
        <v>1668855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IFERROR(__xludf.DUMMYFUNCTION("""COMPUTED_VALUE"""),13722.3)</f>
        <v>13722.3</v>
      </c>
      <c r="C57" s="6">
        <f>IFERROR(__xludf.DUMMYFUNCTION("""COMPUTED_VALUE"""),15188.9)</f>
        <v>15188.9</v>
      </c>
      <c r="D57" s="6">
        <f>IFERROR(__xludf.DUMMYFUNCTION("""COMPUTED_VALUE"""),13350.0)</f>
        <v>13350</v>
      </c>
      <c r="E57" s="6">
        <f>IFERROR(__xludf.DUMMYFUNCTION("""COMPUTED_VALUE"""),15143.65)</f>
        <v>15143.65</v>
      </c>
      <c r="F57" s="6">
        <f>IFERROR(__xludf.DUMMYFUNCTION("""COMPUTED_VALUE"""),2963326.0)</f>
        <v>2963326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IFERROR(__xludf.DUMMYFUNCTION("""COMPUTED_VALUE"""),15129.55)</f>
        <v>15129.55</v>
      </c>
      <c r="C58" s="6">
        <f>IFERROR(__xludf.DUMMYFUNCTION("""COMPUTED_VALUE"""),15494.0)</f>
        <v>15494</v>
      </c>
      <c r="D58" s="6">
        <f>IFERROR(__xludf.DUMMYFUNCTION("""COMPUTED_VALUE"""),14909.0)</f>
        <v>14909</v>
      </c>
      <c r="E58" s="6">
        <f>IFERROR(__xludf.DUMMYFUNCTION("""COMPUTED_VALUE"""),15381.8)</f>
        <v>15381.8</v>
      </c>
      <c r="F58" s="6">
        <f>IFERROR(__xludf.DUMMYFUNCTION("""COMPUTED_VALUE"""),1200384.0)</f>
        <v>1200384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IFERROR(__xludf.DUMMYFUNCTION("""COMPUTED_VALUE"""),15470.0)</f>
        <v>15470</v>
      </c>
      <c r="C59" s="6">
        <f>IFERROR(__xludf.DUMMYFUNCTION("""COMPUTED_VALUE"""),15900.0)</f>
        <v>15900</v>
      </c>
      <c r="D59" s="6">
        <f>IFERROR(__xludf.DUMMYFUNCTION("""COMPUTED_VALUE"""),13062.3)</f>
        <v>13062.3</v>
      </c>
      <c r="E59" s="6">
        <f>IFERROR(__xludf.DUMMYFUNCTION("""COMPUTED_VALUE"""),13937.2)</f>
        <v>13937.2</v>
      </c>
      <c r="F59" s="6">
        <f>IFERROR(__xludf.DUMMYFUNCTION("""COMPUTED_VALUE"""),5479916.0)</f>
        <v>5479916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IFERROR(__xludf.DUMMYFUNCTION("""COMPUTED_VALUE"""),14120.0)</f>
        <v>14120</v>
      </c>
      <c r="C60" s="6">
        <f>IFERROR(__xludf.DUMMYFUNCTION("""COMPUTED_VALUE"""),15969.2)</f>
        <v>15969.2</v>
      </c>
      <c r="D60" s="6">
        <f>IFERROR(__xludf.DUMMYFUNCTION("""COMPUTED_VALUE"""),13711.05)</f>
        <v>13711.05</v>
      </c>
      <c r="E60" s="6">
        <f>IFERROR(__xludf.DUMMYFUNCTION("""COMPUTED_VALUE"""),15621.1)</f>
        <v>15621.1</v>
      </c>
      <c r="F60" s="6">
        <f>IFERROR(__xludf.DUMMYFUNCTION("""COMPUTED_VALUE"""),4556023.0)</f>
        <v>4556023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IFERROR(__xludf.DUMMYFUNCTION("""COMPUTED_VALUE"""),15621.1)</f>
        <v>15621.1</v>
      </c>
      <c r="C61" s="6">
        <f>IFERROR(__xludf.DUMMYFUNCTION("""COMPUTED_VALUE"""),15778.0)</f>
        <v>15778</v>
      </c>
      <c r="D61" s="6">
        <f>IFERROR(__xludf.DUMMYFUNCTION("""COMPUTED_VALUE"""),14540.0)</f>
        <v>14540</v>
      </c>
      <c r="E61" s="6">
        <f>IFERROR(__xludf.DUMMYFUNCTION("""COMPUTED_VALUE"""),14776.1)</f>
        <v>14776.1</v>
      </c>
      <c r="F61" s="6">
        <f>IFERROR(__xludf.DUMMYFUNCTION("""COMPUTED_VALUE"""),2000437.0)</f>
        <v>2000437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IFERROR(__xludf.DUMMYFUNCTION("""COMPUTED_VALUE"""),14950.0)</f>
        <v>14950</v>
      </c>
      <c r="C62" s="6">
        <f>IFERROR(__xludf.DUMMYFUNCTION("""COMPUTED_VALUE"""),15490.0)</f>
        <v>15490</v>
      </c>
      <c r="D62" s="6">
        <f>IFERROR(__xludf.DUMMYFUNCTION("""COMPUTED_VALUE"""),14725.0)</f>
        <v>14725</v>
      </c>
      <c r="E62" s="6">
        <f>IFERROR(__xludf.DUMMYFUNCTION("""COMPUTED_VALUE"""),15348.7)</f>
        <v>15348.7</v>
      </c>
      <c r="F62" s="6">
        <f>IFERROR(__xludf.DUMMYFUNCTION("""COMPUTED_VALUE"""),1908028.0)</f>
        <v>1908028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IFERROR(__xludf.DUMMYFUNCTION("""COMPUTED_VALUE"""),15704.95)</f>
        <v>15704.95</v>
      </c>
      <c r="C63" s="6">
        <f>IFERROR(__xludf.DUMMYFUNCTION("""COMPUTED_VALUE"""),15987.95)</f>
        <v>15987.95</v>
      </c>
      <c r="D63" s="6">
        <f>IFERROR(__xludf.DUMMYFUNCTION("""COMPUTED_VALUE"""),15365.3)</f>
        <v>15365.3</v>
      </c>
      <c r="E63" s="6">
        <f>IFERROR(__xludf.DUMMYFUNCTION("""COMPUTED_VALUE"""),15807.4)</f>
        <v>15807.4</v>
      </c>
      <c r="F63" s="6">
        <f>IFERROR(__xludf.DUMMYFUNCTION("""COMPUTED_VALUE"""),2082244.0)</f>
        <v>2082244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IFERROR(__xludf.DUMMYFUNCTION("""COMPUTED_VALUE"""),16025.0)</f>
        <v>16025</v>
      </c>
      <c r="C64" s="6">
        <f>IFERROR(__xludf.DUMMYFUNCTION("""COMPUTED_VALUE"""),17530.0)</f>
        <v>17530</v>
      </c>
      <c r="D64" s="6">
        <f>IFERROR(__xludf.DUMMYFUNCTION("""COMPUTED_VALUE"""),16020.0)</f>
        <v>16020</v>
      </c>
      <c r="E64" s="6">
        <f>IFERROR(__xludf.DUMMYFUNCTION("""COMPUTED_VALUE"""),17421.05)</f>
        <v>17421.05</v>
      </c>
      <c r="F64" s="6">
        <f>IFERROR(__xludf.DUMMYFUNCTION("""COMPUTED_VALUE"""),3607999.0)</f>
        <v>3607999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IFERROR(__xludf.DUMMYFUNCTION("""COMPUTED_VALUE"""),17421.05)</f>
        <v>17421.05</v>
      </c>
      <c r="C65" s="6">
        <f>IFERROR(__xludf.DUMMYFUNCTION("""COMPUTED_VALUE"""),18034.0)</f>
        <v>18034</v>
      </c>
      <c r="D65" s="6">
        <f>IFERROR(__xludf.DUMMYFUNCTION("""COMPUTED_VALUE"""),17121.05)</f>
        <v>17121.05</v>
      </c>
      <c r="E65" s="6">
        <f>IFERROR(__xludf.DUMMYFUNCTION("""COMPUTED_VALUE"""),17954.4)</f>
        <v>17954.4</v>
      </c>
      <c r="F65" s="6">
        <f>IFERROR(__xludf.DUMMYFUNCTION("""COMPUTED_VALUE"""),1727382.0)</f>
        <v>1727382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IFERROR(__xludf.DUMMYFUNCTION("""COMPUTED_VALUE"""),18212.0)</f>
        <v>18212</v>
      </c>
      <c r="C66" s="6">
        <f>IFERROR(__xludf.DUMMYFUNCTION("""COMPUTED_VALUE"""),19148.9)</f>
        <v>19148.9</v>
      </c>
      <c r="D66" s="6">
        <f>IFERROR(__xludf.DUMMYFUNCTION("""COMPUTED_VALUE"""),17770.55)</f>
        <v>17770.55</v>
      </c>
      <c r="E66" s="6">
        <f>IFERROR(__xludf.DUMMYFUNCTION("""COMPUTED_VALUE"""),17944.9)</f>
        <v>17944.9</v>
      </c>
      <c r="F66" s="6">
        <f>IFERROR(__xludf.DUMMYFUNCTION("""COMPUTED_VALUE"""),3138581.0)</f>
        <v>3138581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IFERROR(__xludf.DUMMYFUNCTION("""COMPUTED_VALUE"""),18058.0)</f>
        <v>18058</v>
      </c>
      <c r="C67" s="6">
        <f>IFERROR(__xludf.DUMMYFUNCTION("""COMPUTED_VALUE"""),18608.65)</f>
        <v>18608.65</v>
      </c>
      <c r="D67" s="6">
        <f>IFERROR(__xludf.DUMMYFUNCTION("""COMPUTED_VALUE"""),17615.0)</f>
        <v>17615</v>
      </c>
      <c r="E67" s="6">
        <f>IFERROR(__xludf.DUMMYFUNCTION("""COMPUTED_VALUE"""),17972.3)</f>
        <v>17972.3</v>
      </c>
      <c r="F67" s="6">
        <f>IFERROR(__xludf.DUMMYFUNCTION("""COMPUTED_VALUE"""),963272.0)</f>
        <v>963272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IFERROR(__xludf.DUMMYFUNCTION("""COMPUTED_VALUE"""),18035.0)</f>
        <v>18035</v>
      </c>
      <c r="C68" s="6">
        <f>IFERROR(__xludf.DUMMYFUNCTION("""COMPUTED_VALUE"""),18584.65)</f>
        <v>18584.65</v>
      </c>
      <c r="D68" s="6">
        <f>IFERROR(__xludf.DUMMYFUNCTION("""COMPUTED_VALUE"""),17472.0)</f>
        <v>17472</v>
      </c>
      <c r="E68" s="6">
        <f>IFERROR(__xludf.DUMMYFUNCTION("""COMPUTED_VALUE"""),18397.65)</f>
        <v>18397.65</v>
      </c>
      <c r="F68" s="6">
        <f>IFERROR(__xludf.DUMMYFUNCTION("""COMPUTED_VALUE"""),1198914.0)</f>
        <v>1198914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IFERROR(__xludf.DUMMYFUNCTION("""COMPUTED_VALUE"""),18412.0)</f>
        <v>18412</v>
      </c>
      <c r="C69" s="6">
        <f>IFERROR(__xludf.DUMMYFUNCTION("""COMPUTED_VALUE"""),18700.0)</f>
        <v>18700</v>
      </c>
      <c r="D69" s="6">
        <f>IFERROR(__xludf.DUMMYFUNCTION("""COMPUTED_VALUE"""),16611.0)</f>
        <v>16611</v>
      </c>
      <c r="E69" s="6">
        <f>IFERROR(__xludf.DUMMYFUNCTION("""COMPUTED_VALUE"""),16709.2)</f>
        <v>16709.2</v>
      </c>
      <c r="F69" s="6">
        <f>IFERROR(__xludf.DUMMYFUNCTION("""COMPUTED_VALUE"""),2386744.0)</f>
        <v>2386744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IFERROR(__xludf.DUMMYFUNCTION("""COMPUTED_VALUE"""),16500.0)</f>
        <v>16500</v>
      </c>
      <c r="C70" s="6">
        <f>IFERROR(__xludf.DUMMYFUNCTION("""COMPUTED_VALUE"""),17330.5)</f>
        <v>17330.5</v>
      </c>
      <c r="D70" s="6">
        <f>IFERROR(__xludf.DUMMYFUNCTION("""COMPUTED_VALUE"""),15741.0)</f>
        <v>15741</v>
      </c>
      <c r="E70" s="6">
        <f>IFERROR(__xludf.DUMMYFUNCTION("""COMPUTED_VALUE"""),17224.45)</f>
        <v>17224.45</v>
      </c>
      <c r="F70" s="6">
        <f>IFERROR(__xludf.DUMMYFUNCTION("""COMPUTED_VALUE"""),2043545.0)</f>
        <v>2043545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IFERROR(__xludf.DUMMYFUNCTION("""COMPUTED_VALUE"""),17324.0)</f>
        <v>17324</v>
      </c>
      <c r="C71" s="6">
        <f>IFERROR(__xludf.DUMMYFUNCTION("""COMPUTED_VALUE"""),17687.9)</f>
        <v>17687.9</v>
      </c>
      <c r="D71" s="6">
        <f>IFERROR(__xludf.DUMMYFUNCTION("""COMPUTED_VALUE"""),14280.0)</f>
        <v>14280</v>
      </c>
      <c r="E71" s="6">
        <f>IFERROR(__xludf.DUMMYFUNCTION("""COMPUTED_VALUE"""),15584.9)</f>
        <v>15584.9</v>
      </c>
      <c r="F71" s="6">
        <f>IFERROR(__xludf.DUMMYFUNCTION("""COMPUTED_VALUE"""),5118194.0)</f>
        <v>5118194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IFERROR(__xludf.DUMMYFUNCTION("""COMPUTED_VALUE"""),14580.1)</f>
        <v>14580.1</v>
      </c>
      <c r="C72" s="6">
        <f>IFERROR(__xludf.DUMMYFUNCTION("""COMPUTED_VALUE"""),15340.0)</f>
        <v>15340</v>
      </c>
      <c r="D72" s="6">
        <f>IFERROR(__xludf.DUMMYFUNCTION("""COMPUTED_VALUE"""),14225.0)</f>
        <v>14225</v>
      </c>
      <c r="E72" s="6">
        <f>IFERROR(__xludf.DUMMYFUNCTION("""COMPUTED_VALUE"""),15154.65)</f>
        <v>15154.65</v>
      </c>
      <c r="F72" s="6">
        <f>IFERROR(__xludf.DUMMYFUNCTION("""COMPUTED_VALUE"""),1505866.0)</f>
        <v>1505866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IFERROR(__xludf.DUMMYFUNCTION("""COMPUTED_VALUE"""),15231.6)</f>
        <v>15231.6</v>
      </c>
      <c r="C73" s="6">
        <f>IFERROR(__xludf.DUMMYFUNCTION("""COMPUTED_VALUE"""),15244.45)</f>
        <v>15244.45</v>
      </c>
      <c r="D73" s="6">
        <f>IFERROR(__xludf.DUMMYFUNCTION("""COMPUTED_VALUE"""),13781.4)</f>
        <v>13781.4</v>
      </c>
      <c r="E73" s="6">
        <f>IFERROR(__xludf.DUMMYFUNCTION("""COMPUTED_VALUE"""),14010.7)</f>
        <v>14010.7</v>
      </c>
      <c r="F73" s="6">
        <f>IFERROR(__xludf.DUMMYFUNCTION("""COMPUTED_VALUE"""),1389372.0)</f>
        <v>1389372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IFERROR(__xludf.DUMMYFUNCTION("""COMPUTED_VALUE"""),13863.2)</f>
        <v>13863.2</v>
      </c>
      <c r="C74" s="6">
        <f>IFERROR(__xludf.DUMMYFUNCTION("""COMPUTED_VALUE"""),14425.0)</f>
        <v>14425</v>
      </c>
      <c r="D74" s="6">
        <f>IFERROR(__xludf.DUMMYFUNCTION("""COMPUTED_VALUE"""),13592.25)</f>
        <v>13592.25</v>
      </c>
      <c r="E74" s="6">
        <f>IFERROR(__xludf.DUMMYFUNCTION("""COMPUTED_VALUE"""),13971.9)</f>
        <v>13971.9</v>
      </c>
      <c r="F74" s="6">
        <f>IFERROR(__xludf.DUMMYFUNCTION("""COMPUTED_VALUE"""),1081725.0)</f>
        <v>1081725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IFERROR(__xludf.DUMMYFUNCTION("""COMPUTED_VALUE"""),13762.0)</f>
        <v>13762</v>
      </c>
      <c r="C75" s="6">
        <f>IFERROR(__xludf.DUMMYFUNCTION("""COMPUTED_VALUE"""),14326.6)</f>
        <v>14326.6</v>
      </c>
      <c r="D75" s="6">
        <f>IFERROR(__xludf.DUMMYFUNCTION("""COMPUTED_VALUE"""),13453.0)</f>
        <v>13453</v>
      </c>
      <c r="E75" s="6">
        <f>IFERROR(__xludf.DUMMYFUNCTION("""COMPUTED_VALUE"""),13935.85)</f>
        <v>13935.85</v>
      </c>
      <c r="F75" s="6">
        <f>IFERROR(__xludf.DUMMYFUNCTION("""COMPUTED_VALUE"""),1540612.0)</f>
        <v>1540612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IFERROR(__xludf.DUMMYFUNCTION("""COMPUTED_VALUE"""),13935.85)</f>
        <v>13935.85</v>
      </c>
      <c r="C76" s="6">
        <f>IFERROR(__xludf.DUMMYFUNCTION("""COMPUTED_VALUE"""),14710.0)</f>
        <v>14710</v>
      </c>
      <c r="D76" s="6">
        <f>IFERROR(__xludf.DUMMYFUNCTION("""COMPUTED_VALUE"""),13350.1)</f>
        <v>13350.1</v>
      </c>
      <c r="E76" s="6">
        <f>IFERROR(__xludf.DUMMYFUNCTION("""COMPUTED_VALUE"""),13911.25)</f>
        <v>13911.25</v>
      </c>
      <c r="F76" s="6">
        <f>IFERROR(__xludf.DUMMYFUNCTION("""COMPUTED_VALUE"""),1389937.0)</f>
        <v>1389937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IFERROR(__xludf.DUMMYFUNCTION("""COMPUTED_VALUE"""),13911.25)</f>
        <v>13911.25</v>
      </c>
      <c r="C77" s="6">
        <f>IFERROR(__xludf.DUMMYFUNCTION("""COMPUTED_VALUE"""),14087.95)</f>
        <v>14087.95</v>
      </c>
      <c r="D77" s="6">
        <f>IFERROR(__xludf.DUMMYFUNCTION("""COMPUTED_VALUE"""),12750.1)</f>
        <v>12750.1</v>
      </c>
      <c r="E77" s="6">
        <f>IFERROR(__xludf.DUMMYFUNCTION("""COMPUTED_VALUE"""),13324.05)</f>
        <v>13324.05</v>
      </c>
      <c r="F77" s="6">
        <f>IFERROR(__xludf.DUMMYFUNCTION("""COMPUTED_VALUE"""),1600463.0)</f>
        <v>1600463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IFERROR(__xludf.DUMMYFUNCTION("""COMPUTED_VALUE"""),13144.85)</f>
        <v>13144.85</v>
      </c>
      <c r="C78" s="6">
        <f>IFERROR(__xludf.DUMMYFUNCTION("""COMPUTED_VALUE"""),14122.95)</f>
        <v>14122.95</v>
      </c>
      <c r="D78" s="6">
        <f>IFERROR(__xludf.DUMMYFUNCTION("""COMPUTED_VALUE"""),13054.6)</f>
        <v>13054.6</v>
      </c>
      <c r="E78" s="6">
        <f>IFERROR(__xludf.DUMMYFUNCTION("""COMPUTED_VALUE"""),14056.8)</f>
        <v>14056.8</v>
      </c>
      <c r="F78" s="6">
        <f>IFERROR(__xludf.DUMMYFUNCTION("""COMPUTED_VALUE"""),1234284.0)</f>
        <v>1234284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IFERROR(__xludf.DUMMYFUNCTION("""COMPUTED_VALUE"""),14122.0)</f>
        <v>14122</v>
      </c>
      <c r="C79" s="6">
        <f>IFERROR(__xludf.DUMMYFUNCTION("""COMPUTED_VALUE"""),14740.0)</f>
        <v>14740</v>
      </c>
      <c r="D79" s="6">
        <f>IFERROR(__xludf.DUMMYFUNCTION("""COMPUTED_VALUE"""),13009.4)</f>
        <v>13009.4</v>
      </c>
      <c r="E79" s="6">
        <f>IFERROR(__xludf.DUMMYFUNCTION("""COMPUTED_VALUE"""),13179.5)</f>
        <v>13179.5</v>
      </c>
      <c r="F79" s="6">
        <f>IFERROR(__xludf.DUMMYFUNCTION("""COMPUTED_VALUE"""),2541271.0)</f>
        <v>2541271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IFERROR(__xludf.DUMMYFUNCTION("""COMPUTED_VALUE"""),13199.0)</f>
        <v>13199</v>
      </c>
      <c r="C80" s="6">
        <f>IFERROR(__xludf.DUMMYFUNCTION("""COMPUTED_VALUE"""),13567.45)</f>
        <v>13567.45</v>
      </c>
      <c r="D80" s="6">
        <f>IFERROR(__xludf.DUMMYFUNCTION("""COMPUTED_VALUE"""),12880.0)</f>
        <v>12880</v>
      </c>
      <c r="E80" s="6">
        <f>IFERROR(__xludf.DUMMYFUNCTION("""COMPUTED_VALUE"""),13137.55)</f>
        <v>13137.55</v>
      </c>
      <c r="F80" s="6">
        <f>IFERROR(__xludf.DUMMYFUNCTION("""COMPUTED_VALUE"""),1318686.0)</f>
        <v>1318686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IFERROR(__xludf.DUMMYFUNCTION("""COMPUTED_VALUE"""),12202.2)</f>
        <v>12202.2</v>
      </c>
      <c r="C81" s="6">
        <f>IFERROR(__xludf.DUMMYFUNCTION("""COMPUTED_VALUE"""),14339.0)</f>
        <v>14339</v>
      </c>
      <c r="D81" s="6">
        <f>IFERROR(__xludf.DUMMYFUNCTION("""COMPUTED_VALUE"""),12202.2)</f>
        <v>12202.2</v>
      </c>
      <c r="E81" s="6">
        <f>IFERROR(__xludf.DUMMYFUNCTION("""COMPUTED_VALUE"""),14301.9)</f>
        <v>14301.9</v>
      </c>
      <c r="F81" s="6">
        <f>IFERROR(__xludf.DUMMYFUNCTION("""COMPUTED_VALUE"""),2291957.0)</f>
        <v>2291957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IFERROR(__xludf.DUMMYFUNCTION("""COMPUTED_VALUE"""),14800.0)</f>
        <v>14800</v>
      </c>
      <c r="C82" s="6">
        <f>IFERROR(__xludf.DUMMYFUNCTION("""COMPUTED_VALUE"""),15419.0)</f>
        <v>15419</v>
      </c>
      <c r="D82" s="6">
        <f>IFERROR(__xludf.DUMMYFUNCTION("""COMPUTED_VALUE"""),14502.0)</f>
        <v>14502</v>
      </c>
      <c r="E82" s="6">
        <f>IFERROR(__xludf.DUMMYFUNCTION("""COMPUTED_VALUE"""),15323.0)</f>
        <v>15323</v>
      </c>
      <c r="F82" s="6">
        <f>IFERROR(__xludf.DUMMYFUNCTION("""COMPUTED_VALUE"""),1773050.0)</f>
        <v>1773050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IFERROR(__xludf.DUMMYFUNCTION("""COMPUTED_VALUE"""),15399.0)</f>
        <v>15399</v>
      </c>
      <c r="C83" s="6">
        <f>IFERROR(__xludf.DUMMYFUNCTION("""COMPUTED_VALUE"""),17069.0)</f>
        <v>17069</v>
      </c>
      <c r="D83" s="6">
        <f>IFERROR(__xludf.DUMMYFUNCTION("""COMPUTED_VALUE"""),15386.0)</f>
        <v>15386</v>
      </c>
      <c r="E83" s="6">
        <f>IFERROR(__xludf.DUMMYFUNCTION("""COMPUTED_VALUE"""),16219.0)</f>
        <v>16219</v>
      </c>
      <c r="F83" s="6">
        <f>IFERROR(__xludf.DUMMYFUNCTION("""COMPUTED_VALUE"""),3354184.0)</f>
        <v>3354184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IFERROR(__xludf.DUMMYFUNCTION("""COMPUTED_VALUE"""),16305.0)</f>
        <v>16305</v>
      </c>
      <c r="C84" s="6">
        <f>IFERROR(__xludf.DUMMYFUNCTION("""COMPUTED_VALUE"""),16857.0)</f>
        <v>16857</v>
      </c>
      <c r="D84" s="6">
        <f>IFERROR(__xludf.DUMMYFUNCTION("""COMPUTED_VALUE"""),16271.0)</f>
        <v>16271</v>
      </c>
      <c r="E84" s="6">
        <f>IFERROR(__xludf.DUMMYFUNCTION("""COMPUTED_VALUE"""),16347.0)</f>
        <v>16347</v>
      </c>
      <c r="F84" s="6">
        <f>IFERROR(__xludf.DUMMYFUNCTION("""COMPUTED_VALUE"""),1271302.0)</f>
        <v>1271302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IFERROR(__xludf.DUMMYFUNCTION("""COMPUTED_VALUE"""),16469.0)</f>
        <v>16469</v>
      </c>
      <c r="C85" s="6">
        <f>IFERROR(__xludf.DUMMYFUNCTION("""COMPUTED_VALUE"""),16759.0)</f>
        <v>16759</v>
      </c>
      <c r="D85" s="6">
        <f>IFERROR(__xludf.DUMMYFUNCTION("""COMPUTED_VALUE"""),15051.0)</f>
        <v>15051</v>
      </c>
      <c r="E85" s="6">
        <f>IFERROR(__xludf.DUMMYFUNCTION("""COMPUTED_VALUE"""),15190.0)</f>
        <v>15190</v>
      </c>
      <c r="F85" s="6">
        <f>IFERROR(__xludf.DUMMYFUNCTION("""COMPUTED_VALUE"""),1629924.0)</f>
        <v>1629924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IFERROR(__xludf.DUMMYFUNCTION("""COMPUTED_VALUE"""),15980.0)</f>
        <v>15980</v>
      </c>
      <c r="C86" s="6">
        <f>IFERROR(__xludf.DUMMYFUNCTION("""COMPUTED_VALUE"""),16749.0)</f>
        <v>16749</v>
      </c>
      <c r="D86" s="6">
        <f>IFERROR(__xludf.DUMMYFUNCTION("""COMPUTED_VALUE"""),15565.0)</f>
        <v>15565</v>
      </c>
      <c r="E86" s="6">
        <f>IFERROR(__xludf.DUMMYFUNCTION("""COMPUTED_VALUE"""),16660.0)</f>
        <v>16660</v>
      </c>
      <c r="F86" s="6">
        <f>IFERROR(__xludf.DUMMYFUNCTION("""COMPUTED_VALUE"""),2134544.0)</f>
        <v>2134544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IFERROR(__xludf.DUMMYFUNCTION("""COMPUTED_VALUE"""),16700.0)</f>
        <v>16700</v>
      </c>
      <c r="C87" s="6">
        <f>IFERROR(__xludf.DUMMYFUNCTION("""COMPUTED_VALUE"""),17025.0)</f>
        <v>17025</v>
      </c>
      <c r="D87" s="6">
        <f>IFERROR(__xludf.DUMMYFUNCTION("""COMPUTED_VALUE"""),14862.0)</f>
        <v>14862</v>
      </c>
      <c r="E87" s="6">
        <f>IFERROR(__xludf.DUMMYFUNCTION("""COMPUTED_VALUE"""),15019.0)</f>
        <v>15019</v>
      </c>
      <c r="F87" s="6">
        <f>IFERROR(__xludf.DUMMYFUNCTION("""COMPUTED_VALUE"""),4240853.0)</f>
        <v>4240853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IFERROR(__xludf.DUMMYFUNCTION("""COMPUTED_VALUE"""),15097.0)</f>
        <v>15097</v>
      </c>
      <c r="C88" s="6">
        <f>IFERROR(__xludf.DUMMYFUNCTION("""COMPUTED_VALUE"""),15295.0)</f>
        <v>15295</v>
      </c>
      <c r="D88" s="6">
        <f>IFERROR(__xludf.DUMMYFUNCTION("""COMPUTED_VALUE"""),14600.0)</f>
        <v>14600</v>
      </c>
      <c r="E88" s="6">
        <f>IFERROR(__xludf.DUMMYFUNCTION("""COMPUTED_VALUE"""),14692.0)</f>
        <v>14692</v>
      </c>
      <c r="F88" s="6">
        <f>IFERROR(__xludf.DUMMYFUNCTION("""COMPUTED_VALUE"""),2129019.0)</f>
        <v>2129019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IFERROR(__xludf.DUMMYFUNCTION("""COMPUTED_VALUE"""),14680.0)</f>
        <v>14680</v>
      </c>
      <c r="C89" s="6">
        <f>IFERROR(__xludf.DUMMYFUNCTION("""COMPUTED_VALUE"""),15070.0)</f>
        <v>15070</v>
      </c>
      <c r="D89" s="6">
        <f>IFERROR(__xludf.DUMMYFUNCTION("""COMPUTED_VALUE"""),14381.0)</f>
        <v>14381</v>
      </c>
      <c r="E89" s="6">
        <f>IFERROR(__xludf.DUMMYFUNCTION("""COMPUTED_VALUE"""),14855.0)</f>
        <v>14855</v>
      </c>
      <c r="F89" s="6">
        <f>IFERROR(__xludf.DUMMYFUNCTION("""COMPUTED_VALUE"""),1715612.0)</f>
        <v>1715612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IFERROR(__xludf.DUMMYFUNCTION("""COMPUTED_VALUE"""),14922.0)</f>
        <v>14922</v>
      </c>
      <c r="C90" s="6">
        <f>IFERROR(__xludf.DUMMYFUNCTION("""COMPUTED_VALUE"""),15065.0)</f>
        <v>15065</v>
      </c>
      <c r="D90" s="6">
        <f>IFERROR(__xludf.DUMMYFUNCTION("""COMPUTED_VALUE"""),14203.0)</f>
        <v>14203</v>
      </c>
      <c r="E90" s="6">
        <f>IFERROR(__xludf.DUMMYFUNCTION("""COMPUTED_VALUE"""),14311.0)</f>
        <v>14311</v>
      </c>
      <c r="F90" s="6">
        <f>IFERROR(__xludf.DUMMYFUNCTION("""COMPUTED_VALUE"""),1114863.0)</f>
        <v>1114863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IFERROR(__xludf.DUMMYFUNCTION("""COMPUTED_VALUE"""),14311.0)</f>
        <v>14311</v>
      </c>
      <c r="C91" s="6">
        <f>IFERROR(__xludf.DUMMYFUNCTION("""COMPUTED_VALUE"""),14548.0)</f>
        <v>14548</v>
      </c>
      <c r="D91" s="6">
        <f>IFERROR(__xludf.DUMMYFUNCTION("""COMPUTED_VALUE"""),13862.0)</f>
        <v>13862</v>
      </c>
      <c r="E91" s="6">
        <f>IFERROR(__xludf.DUMMYFUNCTION("""COMPUTED_VALUE"""),14047.0)</f>
        <v>14047</v>
      </c>
      <c r="F91" s="6">
        <f>IFERROR(__xludf.DUMMYFUNCTION("""COMPUTED_VALUE"""),1985202.0)</f>
        <v>1985202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IFERROR(__xludf.DUMMYFUNCTION("""COMPUTED_VALUE"""),13800.0)</f>
        <v>13800</v>
      </c>
      <c r="C92" s="6">
        <f>IFERROR(__xludf.DUMMYFUNCTION("""COMPUTED_VALUE"""),14954.0)</f>
        <v>14954</v>
      </c>
      <c r="D92" s="6">
        <f>IFERROR(__xludf.DUMMYFUNCTION("""COMPUTED_VALUE"""),13280.0)</f>
        <v>13280</v>
      </c>
      <c r="E92" s="6">
        <f>IFERROR(__xludf.DUMMYFUNCTION("""COMPUTED_VALUE"""),14473.0)</f>
        <v>14473</v>
      </c>
      <c r="F92" s="6">
        <f>IFERROR(__xludf.DUMMYFUNCTION("""COMPUTED_VALUE"""),3954774.0)</f>
        <v>3954774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IFERROR(__xludf.DUMMYFUNCTION("""COMPUTED_VALUE"""),14588.0)</f>
        <v>14588</v>
      </c>
      <c r="C93" s="6">
        <f>IFERROR(__xludf.DUMMYFUNCTION("""COMPUTED_VALUE"""),15291.0)</f>
        <v>15291</v>
      </c>
      <c r="D93" s="6">
        <f>IFERROR(__xludf.DUMMYFUNCTION("""COMPUTED_VALUE"""),14376.0)</f>
        <v>14376</v>
      </c>
      <c r="E93" s="6">
        <f>IFERROR(__xludf.DUMMYFUNCTION("""COMPUTED_VALUE"""),15202.0)</f>
        <v>15202</v>
      </c>
      <c r="F93" s="6">
        <f>IFERROR(__xludf.DUMMYFUNCTION("""COMPUTED_VALUE"""),3471201.0)</f>
        <v>3471201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IFERROR(__xludf.DUMMYFUNCTION("""COMPUTED_VALUE"""),15240.0)</f>
        <v>15240</v>
      </c>
      <c r="C94" s="6">
        <f>IFERROR(__xludf.DUMMYFUNCTION("""COMPUTED_VALUE"""),15930.0)</f>
        <v>15930</v>
      </c>
      <c r="D94" s="6">
        <f>IFERROR(__xludf.DUMMYFUNCTION("""COMPUTED_VALUE"""),15118.0)</f>
        <v>15118</v>
      </c>
      <c r="E94" s="6">
        <f>IFERROR(__xludf.DUMMYFUNCTION("""COMPUTED_VALUE"""),15786.0)</f>
        <v>15786</v>
      </c>
      <c r="F94" s="6">
        <f>IFERROR(__xludf.DUMMYFUNCTION("""COMPUTED_VALUE"""),2103339.0)</f>
        <v>2103339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IFERROR(__xludf.DUMMYFUNCTION("""COMPUTED_VALUE"""),15779.0)</f>
        <v>15779</v>
      </c>
      <c r="C95" s="6">
        <f>IFERROR(__xludf.DUMMYFUNCTION("""COMPUTED_VALUE"""),16450.0)</f>
        <v>16450</v>
      </c>
      <c r="D95" s="6">
        <f>IFERROR(__xludf.DUMMYFUNCTION("""COMPUTED_VALUE"""),15710.0)</f>
        <v>15710</v>
      </c>
      <c r="E95" s="6">
        <f>IFERROR(__xludf.DUMMYFUNCTION("""COMPUTED_VALUE"""),15960.0)</f>
        <v>15960</v>
      </c>
      <c r="F95" s="6">
        <f>IFERROR(__xludf.DUMMYFUNCTION("""COMPUTED_VALUE"""),1729063.0)</f>
        <v>1729063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IFERROR(__xludf.DUMMYFUNCTION("""COMPUTED_VALUE"""),15978.0)</f>
        <v>15978</v>
      </c>
      <c r="C96" s="6">
        <f>IFERROR(__xludf.DUMMYFUNCTION("""COMPUTED_VALUE"""),16910.0)</f>
        <v>16910</v>
      </c>
      <c r="D96" s="6">
        <f>IFERROR(__xludf.DUMMYFUNCTION("""COMPUTED_VALUE"""),15860.0)</f>
        <v>15860</v>
      </c>
      <c r="E96" s="6">
        <f>IFERROR(__xludf.DUMMYFUNCTION("""COMPUTED_VALUE"""),16700.0)</f>
        <v>16700</v>
      </c>
      <c r="F96" s="6">
        <f>IFERROR(__xludf.DUMMYFUNCTION("""COMPUTED_VALUE"""),2475098.0)</f>
        <v>2475098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IFERROR(__xludf.DUMMYFUNCTION("""COMPUTED_VALUE"""),16749.0)</f>
        <v>16749</v>
      </c>
      <c r="C97" s="6">
        <f>IFERROR(__xludf.DUMMYFUNCTION("""COMPUTED_VALUE"""),17149.0)</f>
        <v>17149</v>
      </c>
      <c r="D97" s="6">
        <f>IFERROR(__xludf.DUMMYFUNCTION("""COMPUTED_VALUE"""),16128.0)</f>
        <v>16128</v>
      </c>
      <c r="E97" s="6">
        <f>IFERROR(__xludf.DUMMYFUNCTION("""COMPUTED_VALUE"""),16848.0)</f>
        <v>16848</v>
      </c>
      <c r="F97" s="6">
        <f>IFERROR(__xludf.DUMMYFUNCTION("""COMPUTED_VALUE"""),1553525.0)</f>
        <v>1553525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IFERROR(__xludf.DUMMYFUNCTION("""COMPUTED_VALUE"""),16896.0)</f>
        <v>16896</v>
      </c>
      <c r="C98" s="6">
        <f>IFERROR(__xludf.DUMMYFUNCTION("""COMPUTED_VALUE"""),17129.0)</f>
        <v>17129</v>
      </c>
      <c r="D98" s="6">
        <f>IFERROR(__xludf.DUMMYFUNCTION("""COMPUTED_VALUE"""),15810.0)</f>
        <v>15810</v>
      </c>
      <c r="E98" s="6">
        <f>IFERROR(__xludf.DUMMYFUNCTION("""COMPUTED_VALUE"""),15864.0)</f>
        <v>15864</v>
      </c>
      <c r="F98" s="6">
        <f>IFERROR(__xludf.DUMMYFUNCTION("""COMPUTED_VALUE"""),1229192.0)</f>
        <v>1229192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IFERROR(__xludf.DUMMYFUNCTION("""COMPUTED_VALUE"""),15780.0)</f>
        <v>15780</v>
      </c>
      <c r="C99" s="6">
        <f>IFERROR(__xludf.DUMMYFUNCTION("""COMPUTED_VALUE"""),16216.0)</f>
        <v>16216</v>
      </c>
      <c r="D99" s="6">
        <f>IFERROR(__xludf.DUMMYFUNCTION("""COMPUTED_VALUE"""),15593.0)</f>
        <v>15593</v>
      </c>
      <c r="E99" s="6">
        <f>IFERROR(__xludf.DUMMYFUNCTION("""COMPUTED_VALUE"""),16191.0)</f>
        <v>16191</v>
      </c>
      <c r="F99" s="6">
        <f>IFERROR(__xludf.DUMMYFUNCTION("""COMPUTED_VALUE"""),903403.0)</f>
        <v>903403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IFERROR(__xludf.DUMMYFUNCTION("""COMPUTED_VALUE"""),16500.0)</f>
        <v>16500</v>
      </c>
      <c r="C100" s="6">
        <f>IFERROR(__xludf.DUMMYFUNCTION("""COMPUTED_VALUE"""),17090.0)</f>
        <v>17090</v>
      </c>
      <c r="D100" s="6">
        <f>IFERROR(__xludf.DUMMYFUNCTION("""COMPUTED_VALUE"""),16416.0)</f>
        <v>16416</v>
      </c>
      <c r="E100" s="6">
        <f>IFERROR(__xludf.DUMMYFUNCTION("""COMPUTED_VALUE"""),16893.0)</f>
        <v>16893</v>
      </c>
      <c r="F100" s="6">
        <f>IFERROR(__xludf.DUMMYFUNCTION("""COMPUTED_VALUE"""),1228949.0)</f>
        <v>1228949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IFERROR(__xludf.DUMMYFUNCTION("""COMPUTED_VALUE"""),16950.0)</f>
        <v>16950</v>
      </c>
      <c r="C101" s="6">
        <f>IFERROR(__xludf.DUMMYFUNCTION("""COMPUTED_VALUE"""),17287.0)</f>
        <v>17287</v>
      </c>
      <c r="D101" s="6">
        <f>IFERROR(__xludf.DUMMYFUNCTION("""COMPUTED_VALUE"""),16591.0)</f>
        <v>16591</v>
      </c>
      <c r="E101" s="6">
        <f>IFERROR(__xludf.DUMMYFUNCTION("""COMPUTED_VALUE"""),16668.0)</f>
        <v>16668</v>
      </c>
      <c r="F101" s="6">
        <f>IFERROR(__xludf.DUMMYFUNCTION("""COMPUTED_VALUE"""),6890473.0)</f>
        <v>6890473</v>
      </c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IFERROR(__xludf.DUMMYFUNCTION("GOOGLEFINANCE(""NSE:DLF"",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IFERROR(__xludf.DUMMYFUNCTION("""COMPUTED_VALUE"""),478.05)</f>
        <v>478.05</v>
      </c>
      <c r="C2" s="6">
        <f>IFERROR(__xludf.DUMMYFUNCTION("""COMPUTED_VALUE"""),509.5)</f>
        <v>509.5</v>
      </c>
      <c r="D2" s="6">
        <f>IFERROR(__xludf.DUMMYFUNCTION("""COMPUTED_VALUE"""),476.5)</f>
        <v>476.5</v>
      </c>
      <c r="E2" s="6">
        <f>IFERROR(__xludf.DUMMYFUNCTION("""COMPUTED_VALUE"""),503.25)</f>
        <v>503.25</v>
      </c>
      <c r="F2" s="6">
        <f>IFERROR(__xludf.DUMMYFUNCTION("""COMPUTED_VALUE"""),2.1747198E7)</f>
        <v>21747198</v>
      </c>
    </row>
    <row r="3">
      <c r="A3" s="7">
        <f>IFERROR(__xludf.DUMMYFUNCTION("""COMPUTED_VALUE"""),45177.64583333333)</f>
        <v>45177.64583</v>
      </c>
      <c r="B3" s="6">
        <f>IFERROR(__xludf.DUMMYFUNCTION("""COMPUTED_VALUE"""),504.5)</f>
        <v>504.5</v>
      </c>
      <c r="C3" s="6">
        <f>IFERROR(__xludf.DUMMYFUNCTION("""COMPUTED_VALUE"""),544.45)</f>
        <v>544.45</v>
      </c>
      <c r="D3" s="6">
        <f>IFERROR(__xludf.DUMMYFUNCTION("""COMPUTED_VALUE"""),504.0)</f>
        <v>504</v>
      </c>
      <c r="E3" s="6">
        <f>IFERROR(__xludf.DUMMYFUNCTION("""COMPUTED_VALUE"""),540.0)</f>
        <v>540</v>
      </c>
      <c r="F3" s="6">
        <f>IFERROR(__xludf.DUMMYFUNCTION("""COMPUTED_VALUE"""),2.6912854E7)</f>
        <v>26912854</v>
      </c>
    </row>
    <row r="4">
      <c r="A4" s="7">
        <f>IFERROR(__xludf.DUMMYFUNCTION("""COMPUTED_VALUE"""),45184.64583333333)</f>
        <v>45184.64583</v>
      </c>
      <c r="B4" s="6">
        <f>IFERROR(__xludf.DUMMYFUNCTION("""COMPUTED_VALUE"""),541.95)</f>
        <v>541.95</v>
      </c>
      <c r="C4" s="6">
        <f>IFERROR(__xludf.DUMMYFUNCTION("""COMPUTED_VALUE"""),544.35)</f>
        <v>544.35</v>
      </c>
      <c r="D4" s="6">
        <f>IFERROR(__xludf.DUMMYFUNCTION("""COMPUTED_VALUE"""),520.1)</f>
        <v>520.1</v>
      </c>
      <c r="E4" s="6">
        <f>IFERROR(__xludf.DUMMYFUNCTION("""COMPUTED_VALUE"""),532.4)</f>
        <v>532.4</v>
      </c>
      <c r="F4" s="6">
        <f>IFERROR(__xludf.DUMMYFUNCTION("""COMPUTED_VALUE"""),1.3314267E7)</f>
        <v>13314267</v>
      </c>
    </row>
    <row r="5">
      <c r="A5" s="7">
        <f>IFERROR(__xludf.DUMMYFUNCTION("""COMPUTED_VALUE"""),45191.64583333333)</f>
        <v>45191.64583</v>
      </c>
      <c r="B5" s="6">
        <f>IFERROR(__xludf.DUMMYFUNCTION("""COMPUTED_VALUE"""),531.25)</f>
        <v>531.25</v>
      </c>
      <c r="C5" s="6">
        <f>IFERROR(__xludf.DUMMYFUNCTION("""COMPUTED_VALUE"""),535.35)</f>
        <v>535.35</v>
      </c>
      <c r="D5" s="6">
        <f>IFERROR(__xludf.DUMMYFUNCTION("""COMPUTED_VALUE"""),512.55)</f>
        <v>512.55</v>
      </c>
      <c r="E5" s="6">
        <f>IFERROR(__xludf.DUMMYFUNCTION("""COMPUTED_VALUE"""),516.55)</f>
        <v>516.55</v>
      </c>
      <c r="F5" s="6">
        <f>IFERROR(__xludf.DUMMYFUNCTION("""COMPUTED_VALUE"""),8845113.0)</f>
        <v>8845113</v>
      </c>
    </row>
    <row r="6">
      <c r="A6" s="7">
        <f>IFERROR(__xludf.DUMMYFUNCTION("""COMPUTED_VALUE"""),45198.64583333333)</f>
        <v>45198.64583</v>
      </c>
      <c r="B6" s="6">
        <f>IFERROR(__xludf.DUMMYFUNCTION("""COMPUTED_VALUE"""),517.15)</f>
        <v>517.15</v>
      </c>
      <c r="C6" s="6">
        <f>IFERROR(__xludf.DUMMYFUNCTION("""COMPUTED_VALUE"""),534.0)</f>
        <v>534</v>
      </c>
      <c r="D6" s="6">
        <f>IFERROR(__xludf.DUMMYFUNCTION("""COMPUTED_VALUE"""),513.4)</f>
        <v>513.4</v>
      </c>
      <c r="E6" s="6">
        <f>IFERROR(__xludf.DUMMYFUNCTION("""COMPUTED_VALUE"""),530.9)</f>
        <v>530.9</v>
      </c>
      <c r="F6" s="6">
        <f>IFERROR(__xludf.DUMMYFUNCTION("""COMPUTED_VALUE"""),1.3156557E7)</f>
        <v>13156557</v>
      </c>
    </row>
    <row r="7">
      <c r="A7" s="7">
        <f>IFERROR(__xludf.DUMMYFUNCTION("""COMPUTED_VALUE"""),45205.64583333333)</f>
        <v>45205.64583</v>
      </c>
      <c r="B7" s="6">
        <f>IFERROR(__xludf.DUMMYFUNCTION("""COMPUTED_VALUE"""),530.8)</f>
        <v>530.8</v>
      </c>
      <c r="C7" s="6">
        <f>IFERROR(__xludf.DUMMYFUNCTION("""COMPUTED_VALUE"""),550.5)</f>
        <v>550.5</v>
      </c>
      <c r="D7" s="6">
        <f>IFERROR(__xludf.DUMMYFUNCTION("""COMPUTED_VALUE"""),515.75)</f>
        <v>515.75</v>
      </c>
      <c r="E7" s="6">
        <f>IFERROR(__xludf.DUMMYFUNCTION("""COMPUTED_VALUE"""),548.7)</f>
        <v>548.7</v>
      </c>
      <c r="F7" s="6">
        <f>IFERROR(__xludf.DUMMYFUNCTION("""COMPUTED_VALUE"""),1.7624483E7)</f>
        <v>17624483</v>
      </c>
    </row>
    <row r="8">
      <c r="A8" s="7">
        <f>IFERROR(__xludf.DUMMYFUNCTION("""COMPUTED_VALUE"""),45212.64583333333)</f>
        <v>45212.64583</v>
      </c>
      <c r="B8" s="6">
        <f>IFERROR(__xludf.DUMMYFUNCTION("""COMPUTED_VALUE"""),547.05)</f>
        <v>547.05</v>
      </c>
      <c r="C8" s="6">
        <f>IFERROR(__xludf.DUMMYFUNCTION("""COMPUTED_VALUE"""),576.75)</f>
        <v>576.75</v>
      </c>
      <c r="D8" s="6">
        <f>IFERROR(__xludf.DUMMYFUNCTION("""COMPUTED_VALUE"""),536.55)</f>
        <v>536.55</v>
      </c>
      <c r="E8" s="6">
        <f>IFERROR(__xludf.DUMMYFUNCTION("""COMPUTED_VALUE"""),568.4)</f>
        <v>568.4</v>
      </c>
      <c r="F8" s="6">
        <f>IFERROR(__xludf.DUMMYFUNCTION("""COMPUTED_VALUE"""),2.6666904E7)</f>
        <v>26666904</v>
      </c>
    </row>
    <row r="9">
      <c r="A9" s="7">
        <f>IFERROR(__xludf.DUMMYFUNCTION("""COMPUTED_VALUE"""),45219.64583333333)</f>
        <v>45219.64583</v>
      </c>
      <c r="B9" s="6">
        <f>IFERROR(__xludf.DUMMYFUNCTION("""COMPUTED_VALUE"""),566.0)</f>
        <v>566</v>
      </c>
      <c r="C9" s="6">
        <f>IFERROR(__xludf.DUMMYFUNCTION("""COMPUTED_VALUE"""),571.9)</f>
        <v>571.9</v>
      </c>
      <c r="D9" s="6">
        <f>IFERROR(__xludf.DUMMYFUNCTION("""COMPUTED_VALUE"""),548.1)</f>
        <v>548.1</v>
      </c>
      <c r="E9" s="6">
        <f>IFERROR(__xludf.DUMMYFUNCTION("""COMPUTED_VALUE"""),552.2)</f>
        <v>552.2</v>
      </c>
      <c r="F9" s="6">
        <f>IFERROR(__xludf.DUMMYFUNCTION("""COMPUTED_VALUE"""),1.1841562E7)</f>
        <v>11841562</v>
      </c>
    </row>
    <row r="10">
      <c r="A10" s="7">
        <f>IFERROR(__xludf.DUMMYFUNCTION("""COMPUTED_VALUE"""),45226.64583333333)</f>
        <v>45226.64583</v>
      </c>
      <c r="B10" s="6">
        <f>IFERROR(__xludf.DUMMYFUNCTION("""COMPUTED_VALUE"""),552.1)</f>
        <v>552.1</v>
      </c>
      <c r="C10" s="6">
        <f>IFERROR(__xludf.DUMMYFUNCTION("""COMPUTED_VALUE"""),555.65)</f>
        <v>555.65</v>
      </c>
      <c r="D10" s="6">
        <f>IFERROR(__xludf.DUMMYFUNCTION("""COMPUTED_VALUE"""),513.5)</f>
        <v>513.5</v>
      </c>
      <c r="E10" s="6">
        <f>IFERROR(__xludf.DUMMYFUNCTION("""COMPUTED_VALUE"""),536.15)</f>
        <v>536.15</v>
      </c>
      <c r="F10" s="6">
        <f>IFERROR(__xludf.DUMMYFUNCTION("""COMPUTED_VALUE"""),1.2475832E7)</f>
        <v>12475832</v>
      </c>
    </row>
    <row r="11">
      <c r="A11" s="7">
        <f>IFERROR(__xludf.DUMMYFUNCTION("""COMPUTED_VALUE"""),45233.64583333333)</f>
        <v>45233.64583</v>
      </c>
      <c r="B11" s="6">
        <f>IFERROR(__xludf.DUMMYFUNCTION("""COMPUTED_VALUE"""),537.0)</f>
        <v>537</v>
      </c>
      <c r="C11" s="6">
        <f>IFERROR(__xludf.DUMMYFUNCTION("""COMPUTED_VALUE"""),600.05)</f>
        <v>600.05</v>
      </c>
      <c r="D11" s="6">
        <f>IFERROR(__xludf.DUMMYFUNCTION("""COMPUTED_VALUE"""),531.25)</f>
        <v>531.25</v>
      </c>
      <c r="E11" s="6">
        <f>IFERROR(__xludf.DUMMYFUNCTION("""COMPUTED_VALUE"""),595.85)</f>
        <v>595.85</v>
      </c>
      <c r="F11" s="6">
        <f>IFERROR(__xludf.DUMMYFUNCTION("""COMPUTED_VALUE"""),4.1462002E7)</f>
        <v>41462002</v>
      </c>
    </row>
    <row r="12">
      <c r="A12" s="7">
        <f>IFERROR(__xludf.DUMMYFUNCTION("""COMPUTED_VALUE"""),45240.64583333333)</f>
        <v>45240.64583</v>
      </c>
      <c r="B12" s="6">
        <f>IFERROR(__xludf.DUMMYFUNCTION("""COMPUTED_VALUE"""),597.65)</f>
        <v>597.65</v>
      </c>
      <c r="C12" s="6">
        <f>IFERROR(__xludf.DUMMYFUNCTION("""COMPUTED_VALUE"""),607.9)</f>
        <v>607.9</v>
      </c>
      <c r="D12" s="6">
        <f>IFERROR(__xludf.DUMMYFUNCTION("""COMPUTED_VALUE"""),586.5)</f>
        <v>586.5</v>
      </c>
      <c r="E12" s="6">
        <f>IFERROR(__xludf.DUMMYFUNCTION("""COMPUTED_VALUE"""),606.05)</f>
        <v>606.05</v>
      </c>
      <c r="F12" s="6">
        <f>IFERROR(__xludf.DUMMYFUNCTION("""COMPUTED_VALUE"""),1.8365942E7)</f>
        <v>18365942</v>
      </c>
    </row>
    <row r="13">
      <c r="A13" s="7">
        <f>IFERROR(__xludf.DUMMYFUNCTION("""COMPUTED_VALUE"""),45247.64583333333)</f>
        <v>45247.64583</v>
      </c>
      <c r="B13" s="6">
        <f>IFERROR(__xludf.DUMMYFUNCTION("""COMPUTED_VALUE"""),610.7)</f>
        <v>610.7</v>
      </c>
      <c r="C13" s="6">
        <f>IFERROR(__xludf.DUMMYFUNCTION("""COMPUTED_VALUE"""),633.3)</f>
        <v>633.3</v>
      </c>
      <c r="D13" s="6">
        <f>IFERROR(__xludf.DUMMYFUNCTION("""COMPUTED_VALUE"""),604.35)</f>
        <v>604.35</v>
      </c>
      <c r="E13" s="6">
        <f>IFERROR(__xludf.DUMMYFUNCTION("""COMPUTED_VALUE"""),631.15)</f>
        <v>631.15</v>
      </c>
      <c r="F13" s="6">
        <f>IFERROR(__xludf.DUMMYFUNCTION("""COMPUTED_VALUE"""),1.2222843E7)</f>
        <v>12222843</v>
      </c>
    </row>
    <row r="14">
      <c r="A14" s="7">
        <f>IFERROR(__xludf.DUMMYFUNCTION("""COMPUTED_VALUE"""),45254.64583333333)</f>
        <v>45254.64583</v>
      </c>
      <c r="B14" s="6">
        <f>IFERROR(__xludf.DUMMYFUNCTION("""COMPUTED_VALUE"""),632.0)</f>
        <v>632</v>
      </c>
      <c r="C14" s="6">
        <f>IFERROR(__xludf.DUMMYFUNCTION("""COMPUTED_VALUE"""),641.2)</f>
        <v>641.2</v>
      </c>
      <c r="D14" s="6">
        <f>IFERROR(__xludf.DUMMYFUNCTION("""COMPUTED_VALUE"""),623.5)</f>
        <v>623.5</v>
      </c>
      <c r="E14" s="6">
        <f>IFERROR(__xludf.DUMMYFUNCTION("""COMPUTED_VALUE"""),629.35)</f>
        <v>629.35</v>
      </c>
      <c r="F14" s="6">
        <f>IFERROR(__xludf.DUMMYFUNCTION("""COMPUTED_VALUE"""),1.8585527E7)</f>
        <v>18585527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IFERROR(__xludf.DUMMYFUNCTION("""COMPUTED_VALUE"""),625.0)</f>
        <v>625</v>
      </c>
      <c r="C15" s="6">
        <f>IFERROR(__xludf.DUMMYFUNCTION("""COMPUTED_VALUE"""),641.75)</f>
        <v>641.75</v>
      </c>
      <c r="D15" s="6">
        <f>IFERROR(__xludf.DUMMYFUNCTION("""COMPUTED_VALUE"""),619.25)</f>
        <v>619.25</v>
      </c>
      <c r="E15" s="6">
        <f>IFERROR(__xludf.DUMMYFUNCTION("""COMPUTED_VALUE"""),629.25)</f>
        <v>629.25</v>
      </c>
      <c r="F15" s="6">
        <f>IFERROR(__xludf.DUMMYFUNCTION("""COMPUTED_VALUE"""),2.870074E7)</f>
        <v>28700740</v>
      </c>
    </row>
    <row r="16">
      <c r="A16" s="7">
        <f>IFERROR(__xludf.DUMMYFUNCTION("""COMPUTED_VALUE"""),45268.64583333333)</f>
        <v>45268.64583</v>
      </c>
      <c r="B16" s="6">
        <f>IFERROR(__xludf.DUMMYFUNCTION("""COMPUTED_VALUE"""),639.0)</f>
        <v>639</v>
      </c>
      <c r="C16" s="6">
        <f>IFERROR(__xludf.DUMMYFUNCTION("""COMPUTED_VALUE"""),663.9)</f>
        <v>663.9</v>
      </c>
      <c r="D16" s="6">
        <f>IFERROR(__xludf.DUMMYFUNCTION("""COMPUTED_VALUE"""),632.8)</f>
        <v>632.8</v>
      </c>
      <c r="E16" s="6">
        <f>IFERROR(__xludf.DUMMYFUNCTION("""COMPUTED_VALUE"""),649.9)</f>
        <v>649.9</v>
      </c>
      <c r="F16" s="6">
        <f>IFERROR(__xludf.DUMMYFUNCTION("""COMPUTED_VALUE"""),1.6259551E7)</f>
        <v>16259551</v>
      </c>
    </row>
    <row r="17">
      <c r="A17" s="7">
        <f>IFERROR(__xludf.DUMMYFUNCTION("""COMPUTED_VALUE"""),45275.64583333333)</f>
        <v>45275.64583</v>
      </c>
      <c r="B17" s="6">
        <f>IFERROR(__xludf.DUMMYFUNCTION("""COMPUTED_VALUE"""),654.45)</f>
        <v>654.45</v>
      </c>
      <c r="C17" s="6">
        <f>IFERROR(__xludf.DUMMYFUNCTION("""COMPUTED_VALUE"""),709.0)</f>
        <v>709</v>
      </c>
      <c r="D17" s="6">
        <f>IFERROR(__xludf.DUMMYFUNCTION("""COMPUTED_VALUE"""),653.3)</f>
        <v>653.3</v>
      </c>
      <c r="E17" s="6">
        <f>IFERROR(__xludf.DUMMYFUNCTION("""COMPUTED_VALUE"""),705.3)</f>
        <v>705.3</v>
      </c>
      <c r="F17" s="6">
        <f>IFERROR(__xludf.DUMMYFUNCTION("""COMPUTED_VALUE"""),2.466925E7)</f>
        <v>24669250</v>
      </c>
    </row>
    <row r="18">
      <c r="A18" s="7">
        <f>IFERROR(__xludf.DUMMYFUNCTION("""COMPUTED_VALUE"""),45282.64583333333)</f>
        <v>45282.64583</v>
      </c>
      <c r="B18" s="6">
        <f>IFERROR(__xludf.DUMMYFUNCTION("""COMPUTED_VALUE"""),702.45)</f>
        <v>702.45</v>
      </c>
      <c r="C18" s="6">
        <f>IFERROR(__xludf.DUMMYFUNCTION("""COMPUTED_VALUE"""),718.7)</f>
        <v>718.7</v>
      </c>
      <c r="D18" s="6">
        <f>IFERROR(__xludf.DUMMYFUNCTION("""COMPUTED_VALUE"""),670.2)</f>
        <v>670.2</v>
      </c>
      <c r="E18" s="6">
        <f>IFERROR(__xludf.DUMMYFUNCTION("""COMPUTED_VALUE"""),715.95)</f>
        <v>715.95</v>
      </c>
      <c r="F18" s="6">
        <f>IFERROR(__xludf.DUMMYFUNCTION("""COMPUTED_VALUE"""),1.8260994E7)</f>
        <v>18260994</v>
      </c>
    </row>
    <row r="19">
      <c r="A19" s="7">
        <f>IFERROR(__xludf.DUMMYFUNCTION("""COMPUTED_VALUE"""),45289.64583333333)</f>
        <v>45289.64583</v>
      </c>
      <c r="B19" s="6">
        <f>IFERROR(__xludf.DUMMYFUNCTION("""COMPUTED_VALUE"""),719.55)</f>
        <v>719.55</v>
      </c>
      <c r="C19" s="6">
        <f>IFERROR(__xludf.DUMMYFUNCTION("""COMPUTED_VALUE"""),730.0)</f>
        <v>730</v>
      </c>
      <c r="D19" s="6">
        <f>IFERROR(__xludf.DUMMYFUNCTION("""COMPUTED_VALUE"""),711.4)</f>
        <v>711.4</v>
      </c>
      <c r="E19" s="6">
        <f>IFERROR(__xludf.DUMMYFUNCTION("""COMPUTED_VALUE"""),726.4)</f>
        <v>726.4</v>
      </c>
      <c r="F19" s="6">
        <f>IFERROR(__xludf.DUMMYFUNCTION("""COMPUTED_VALUE"""),1.207369E7)</f>
        <v>12073690</v>
      </c>
    </row>
    <row r="20">
      <c r="A20" s="7">
        <f>IFERROR(__xludf.DUMMYFUNCTION("""COMPUTED_VALUE"""),45296.64583333333)</f>
        <v>45296.64583</v>
      </c>
      <c r="B20" s="6">
        <f>IFERROR(__xludf.DUMMYFUNCTION("""COMPUTED_VALUE"""),727.2)</f>
        <v>727.2</v>
      </c>
      <c r="C20" s="6">
        <f>IFERROR(__xludf.DUMMYFUNCTION("""COMPUTED_VALUE"""),770.0)</f>
        <v>770</v>
      </c>
      <c r="D20" s="6">
        <f>IFERROR(__xludf.DUMMYFUNCTION("""COMPUTED_VALUE"""),704.45)</f>
        <v>704.45</v>
      </c>
      <c r="E20" s="6">
        <f>IFERROR(__xludf.DUMMYFUNCTION("""COMPUTED_VALUE"""),752.95)</f>
        <v>752.95</v>
      </c>
      <c r="F20" s="6">
        <f>IFERROR(__xludf.DUMMYFUNCTION("""COMPUTED_VALUE"""),2.4867514E7)</f>
        <v>24867514</v>
      </c>
    </row>
    <row r="21">
      <c r="A21" s="7">
        <f>IFERROR(__xludf.DUMMYFUNCTION("""COMPUTED_VALUE"""),45303.64583333333)</f>
        <v>45303.64583</v>
      </c>
      <c r="B21" s="6">
        <f>IFERROR(__xludf.DUMMYFUNCTION("""COMPUTED_VALUE"""),760.5)</f>
        <v>760.5</v>
      </c>
      <c r="C21" s="6">
        <f>IFERROR(__xludf.DUMMYFUNCTION("""COMPUTED_VALUE"""),811.4)</f>
        <v>811.4</v>
      </c>
      <c r="D21" s="6">
        <f>IFERROR(__xludf.DUMMYFUNCTION("""COMPUTED_VALUE"""),751.3)</f>
        <v>751.3</v>
      </c>
      <c r="E21" s="6">
        <f>IFERROR(__xludf.DUMMYFUNCTION("""COMPUTED_VALUE"""),800.55)</f>
        <v>800.55</v>
      </c>
      <c r="F21" s="6">
        <f>IFERROR(__xludf.DUMMYFUNCTION("""COMPUTED_VALUE"""),2.8429313E7)</f>
        <v>28429313</v>
      </c>
    </row>
    <row r="22">
      <c r="A22" s="7">
        <f>IFERROR(__xludf.DUMMYFUNCTION("""COMPUTED_VALUE"""),45316.64583333333)</f>
        <v>45316.64583</v>
      </c>
      <c r="B22" s="6">
        <f>IFERROR(__xludf.DUMMYFUNCTION("""COMPUTED_VALUE"""),790.0)</f>
        <v>790</v>
      </c>
      <c r="C22" s="6">
        <f>IFERROR(__xludf.DUMMYFUNCTION("""COMPUTED_VALUE"""),791.9)</f>
        <v>791.9</v>
      </c>
      <c r="D22" s="6">
        <f>IFERROR(__xludf.DUMMYFUNCTION("""COMPUTED_VALUE"""),732.3)</f>
        <v>732.3</v>
      </c>
      <c r="E22" s="6">
        <f>IFERROR(__xludf.DUMMYFUNCTION("""COMPUTED_VALUE"""),758.65)</f>
        <v>758.65</v>
      </c>
      <c r="F22" s="6">
        <f>IFERROR(__xludf.DUMMYFUNCTION("""COMPUTED_VALUE"""),3.5982854E7)</f>
        <v>35982854</v>
      </c>
    </row>
    <row r="23">
      <c r="A23" s="7">
        <f>IFERROR(__xludf.DUMMYFUNCTION("""COMPUTED_VALUE"""),45324.64583333333)</f>
        <v>45324.64583</v>
      </c>
      <c r="B23" s="6">
        <f>IFERROR(__xludf.DUMMYFUNCTION("""COMPUTED_VALUE"""),761.0)</f>
        <v>761</v>
      </c>
      <c r="C23" s="6">
        <f>IFERROR(__xludf.DUMMYFUNCTION("""COMPUTED_VALUE"""),808.75)</f>
        <v>808.75</v>
      </c>
      <c r="D23" s="6">
        <f>IFERROR(__xludf.DUMMYFUNCTION("""COMPUTED_VALUE"""),755.25)</f>
        <v>755.25</v>
      </c>
      <c r="E23" s="6">
        <f>IFERROR(__xludf.DUMMYFUNCTION("""COMPUTED_VALUE"""),791.45)</f>
        <v>791.45</v>
      </c>
      <c r="F23" s="6">
        <f>IFERROR(__xludf.DUMMYFUNCTION("""COMPUTED_VALUE"""),3.3204269E7)</f>
        <v>33204269</v>
      </c>
    </row>
    <row r="24">
      <c r="A24" s="7">
        <f>IFERROR(__xludf.DUMMYFUNCTION("""COMPUTED_VALUE"""),45331.64583333333)</f>
        <v>45331.64583</v>
      </c>
      <c r="B24" s="6">
        <f>IFERROR(__xludf.DUMMYFUNCTION("""COMPUTED_VALUE"""),784.9)</f>
        <v>784.9</v>
      </c>
      <c r="C24" s="6">
        <f>IFERROR(__xludf.DUMMYFUNCTION("""COMPUTED_VALUE"""),840.9)</f>
        <v>840.9</v>
      </c>
      <c r="D24" s="6">
        <f>IFERROR(__xludf.DUMMYFUNCTION("""COMPUTED_VALUE"""),783.2)</f>
        <v>783.2</v>
      </c>
      <c r="E24" s="6">
        <f>IFERROR(__xludf.DUMMYFUNCTION("""COMPUTED_VALUE"""),834.4)</f>
        <v>834.4</v>
      </c>
      <c r="F24" s="6">
        <f>IFERROR(__xludf.DUMMYFUNCTION("""COMPUTED_VALUE"""),2.5276883E7)</f>
        <v>25276883</v>
      </c>
    </row>
    <row r="25">
      <c r="A25" s="7">
        <f>IFERROR(__xludf.DUMMYFUNCTION("""COMPUTED_VALUE"""),45338.64583333333)</f>
        <v>45338.64583</v>
      </c>
      <c r="B25" s="6">
        <f>IFERROR(__xludf.DUMMYFUNCTION("""COMPUTED_VALUE"""),833.0)</f>
        <v>833</v>
      </c>
      <c r="C25" s="6">
        <f>IFERROR(__xludf.DUMMYFUNCTION("""COMPUTED_VALUE"""),869.3)</f>
        <v>869.3</v>
      </c>
      <c r="D25" s="6">
        <f>IFERROR(__xludf.DUMMYFUNCTION("""COMPUTED_VALUE"""),799.05)</f>
        <v>799.05</v>
      </c>
      <c r="E25" s="6">
        <f>IFERROR(__xludf.DUMMYFUNCTION("""COMPUTED_VALUE"""),863.3)</f>
        <v>863.3</v>
      </c>
      <c r="F25" s="6">
        <f>IFERROR(__xludf.DUMMYFUNCTION("""COMPUTED_VALUE"""),1.6009257E7)</f>
        <v>16009257</v>
      </c>
    </row>
    <row r="26">
      <c r="A26" s="7">
        <f>IFERROR(__xludf.DUMMYFUNCTION("""COMPUTED_VALUE"""),45345.64583333333)</f>
        <v>45345.64583</v>
      </c>
      <c r="B26" s="6">
        <f>IFERROR(__xludf.DUMMYFUNCTION("""COMPUTED_VALUE"""),864.3)</f>
        <v>864.3</v>
      </c>
      <c r="C26" s="6">
        <f>IFERROR(__xludf.DUMMYFUNCTION("""COMPUTED_VALUE"""),905.0)</f>
        <v>905</v>
      </c>
      <c r="D26" s="6">
        <f>IFERROR(__xludf.DUMMYFUNCTION("""COMPUTED_VALUE"""),845.35)</f>
        <v>845.35</v>
      </c>
      <c r="E26" s="6">
        <f>IFERROR(__xludf.DUMMYFUNCTION("""COMPUTED_VALUE"""),899.25)</f>
        <v>899.25</v>
      </c>
      <c r="F26" s="6">
        <f>IFERROR(__xludf.DUMMYFUNCTION("""COMPUTED_VALUE"""),2.2516493E7)</f>
        <v>22516493</v>
      </c>
    </row>
    <row r="27">
      <c r="A27" s="7">
        <f>IFERROR(__xludf.DUMMYFUNCTION("""COMPUTED_VALUE"""),45358.64583333333)</f>
        <v>45358.64583</v>
      </c>
      <c r="B27" s="6">
        <f>IFERROR(__xludf.DUMMYFUNCTION("""COMPUTED_VALUE"""),925.2)</f>
        <v>925.2</v>
      </c>
      <c r="C27" s="6">
        <f>IFERROR(__xludf.DUMMYFUNCTION("""COMPUTED_VALUE"""),941.9)</f>
        <v>941.9</v>
      </c>
      <c r="D27" s="6">
        <f>IFERROR(__xludf.DUMMYFUNCTION("""COMPUTED_VALUE"""),908.1)</f>
        <v>908.1</v>
      </c>
      <c r="E27" s="6">
        <f>IFERROR(__xludf.DUMMYFUNCTION("""COMPUTED_VALUE"""),920.3)</f>
        <v>920.3</v>
      </c>
      <c r="F27" s="6">
        <f>IFERROR(__xludf.DUMMYFUNCTION("""COMPUTED_VALUE"""),1.216412E7)</f>
        <v>12164120</v>
      </c>
    </row>
    <row r="28">
      <c r="A28" s="7">
        <f>IFERROR(__xludf.DUMMYFUNCTION("""COMPUTED_VALUE"""),45366.64583333333)</f>
        <v>45366.64583</v>
      </c>
      <c r="B28" s="6">
        <f>IFERROR(__xludf.DUMMYFUNCTION("""COMPUTED_VALUE"""),928.0)</f>
        <v>928</v>
      </c>
      <c r="C28" s="6">
        <f>IFERROR(__xludf.DUMMYFUNCTION("""COMPUTED_VALUE"""),933.3)</f>
        <v>933.3</v>
      </c>
      <c r="D28" s="6">
        <f>IFERROR(__xludf.DUMMYFUNCTION("""COMPUTED_VALUE"""),809.3)</f>
        <v>809.3</v>
      </c>
      <c r="E28" s="6">
        <f>IFERROR(__xludf.DUMMYFUNCTION("""COMPUTED_VALUE"""),823.7)</f>
        <v>823.7</v>
      </c>
      <c r="F28" s="6">
        <f>IFERROR(__xludf.DUMMYFUNCTION("""COMPUTED_VALUE"""),3.3536853E7)</f>
        <v>33536853</v>
      </c>
    </row>
    <row r="29">
      <c r="A29" s="7">
        <f>IFERROR(__xludf.DUMMYFUNCTION("""COMPUTED_VALUE"""),45373.64583333333)</f>
        <v>45373.64583</v>
      </c>
      <c r="B29" s="6">
        <f>IFERROR(__xludf.DUMMYFUNCTION("""COMPUTED_VALUE"""),826.05)</f>
        <v>826.05</v>
      </c>
      <c r="C29" s="6">
        <f>IFERROR(__xludf.DUMMYFUNCTION("""COMPUTED_VALUE"""),869.9)</f>
        <v>869.9</v>
      </c>
      <c r="D29" s="6">
        <f>IFERROR(__xludf.DUMMYFUNCTION("""COMPUTED_VALUE"""),805.3)</f>
        <v>805.3</v>
      </c>
      <c r="E29" s="6">
        <f>IFERROR(__xludf.DUMMYFUNCTION("""COMPUTED_VALUE"""),865.9)</f>
        <v>865.9</v>
      </c>
      <c r="F29" s="6">
        <f>IFERROR(__xludf.DUMMYFUNCTION("""COMPUTED_VALUE"""),1.6958799E7)</f>
        <v>16958799</v>
      </c>
    </row>
    <row r="30">
      <c r="A30" s="7">
        <f>IFERROR(__xludf.DUMMYFUNCTION("""COMPUTED_VALUE"""),45379.64583333333)</f>
        <v>45379.64583</v>
      </c>
      <c r="B30" s="6">
        <f>IFERROR(__xludf.DUMMYFUNCTION("""COMPUTED_VALUE"""),864.9)</f>
        <v>864.9</v>
      </c>
      <c r="C30" s="6">
        <f>IFERROR(__xludf.DUMMYFUNCTION("""COMPUTED_VALUE"""),907.0)</f>
        <v>907</v>
      </c>
      <c r="D30" s="6">
        <f>IFERROR(__xludf.DUMMYFUNCTION("""COMPUTED_VALUE"""),858.15)</f>
        <v>858.15</v>
      </c>
      <c r="E30" s="6">
        <f>IFERROR(__xludf.DUMMYFUNCTION("""COMPUTED_VALUE"""),897.0)</f>
        <v>897</v>
      </c>
      <c r="F30" s="6">
        <f>IFERROR(__xludf.DUMMYFUNCTION("""COMPUTED_VALUE"""),9791538.0)</f>
        <v>9791538</v>
      </c>
    </row>
    <row r="31">
      <c r="A31" s="7">
        <f>IFERROR(__xludf.DUMMYFUNCTION("""COMPUTED_VALUE"""),45387.64583333333)</f>
        <v>45387.64583</v>
      </c>
      <c r="B31" s="6">
        <f>IFERROR(__xludf.DUMMYFUNCTION("""COMPUTED_VALUE"""),904.0)</f>
        <v>904</v>
      </c>
      <c r="C31" s="6">
        <f>IFERROR(__xludf.DUMMYFUNCTION("""COMPUTED_VALUE"""),967.6)</f>
        <v>967.6</v>
      </c>
      <c r="D31" s="6">
        <f>IFERROR(__xludf.DUMMYFUNCTION("""COMPUTED_VALUE"""),883.6)</f>
        <v>883.6</v>
      </c>
      <c r="E31" s="6">
        <f>IFERROR(__xludf.DUMMYFUNCTION("""COMPUTED_VALUE"""),905.85)</f>
        <v>905.85</v>
      </c>
      <c r="F31" s="6">
        <f>IFERROR(__xludf.DUMMYFUNCTION("""COMPUTED_VALUE"""),2.8123054E7)</f>
        <v>28123054</v>
      </c>
    </row>
    <row r="32">
      <c r="A32" s="7">
        <f>IFERROR(__xludf.DUMMYFUNCTION("""COMPUTED_VALUE"""),45394.64583333333)</f>
        <v>45394.64583</v>
      </c>
      <c r="B32" s="6">
        <f>IFERROR(__xludf.DUMMYFUNCTION("""COMPUTED_VALUE"""),908.0)</f>
        <v>908</v>
      </c>
      <c r="C32" s="6">
        <f>IFERROR(__xludf.DUMMYFUNCTION("""COMPUTED_VALUE"""),930.65)</f>
        <v>930.65</v>
      </c>
      <c r="D32" s="6">
        <f>IFERROR(__xludf.DUMMYFUNCTION("""COMPUTED_VALUE"""),903.95)</f>
        <v>903.95</v>
      </c>
      <c r="E32" s="6">
        <f>IFERROR(__xludf.DUMMYFUNCTION("""COMPUTED_VALUE"""),908.6)</f>
        <v>908.6</v>
      </c>
      <c r="F32" s="6">
        <f>IFERROR(__xludf.DUMMYFUNCTION("""COMPUTED_VALUE"""),1.180803E7)</f>
        <v>11808030</v>
      </c>
    </row>
    <row r="33">
      <c r="A33" s="7">
        <f>IFERROR(__xludf.DUMMYFUNCTION("""COMPUTED_VALUE"""),45401.64583333333)</f>
        <v>45401.64583</v>
      </c>
      <c r="B33" s="6">
        <f>IFERROR(__xludf.DUMMYFUNCTION("""COMPUTED_VALUE"""),892.5)</f>
        <v>892.5</v>
      </c>
      <c r="C33" s="6">
        <f>IFERROR(__xludf.DUMMYFUNCTION("""COMPUTED_VALUE"""),898.8)</f>
        <v>898.8</v>
      </c>
      <c r="D33" s="6">
        <f>IFERROR(__xludf.DUMMYFUNCTION("""COMPUTED_VALUE"""),834.0)</f>
        <v>834</v>
      </c>
      <c r="E33" s="6">
        <f>IFERROR(__xludf.DUMMYFUNCTION("""COMPUTED_VALUE"""),855.65)</f>
        <v>855.65</v>
      </c>
      <c r="F33" s="6">
        <f>IFERROR(__xludf.DUMMYFUNCTION("""COMPUTED_VALUE"""),1.5424409E7)</f>
        <v>15424409</v>
      </c>
    </row>
    <row r="34">
      <c r="A34" s="7">
        <f>IFERROR(__xludf.DUMMYFUNCTION("""COMPUTED_VALUE"""),45408.64583333333)</f>
        <v>45408.64583</v>
      </c>
      <c r="B34" s="6">
        <f>IFERROR(__xludf.DUMMYFUNCTION("""COMPUTED_VALUE"""),860.0)</f>
        <v>860</v>
      </c>
      <c r="C34" s="6">
        <f>IFERROR(__xludf.DUMMYFUNCTION("""COMPUTED_VALUE"""),911.6)</f>
        <v>911.6</v>
      </c>
      <c r="D34" s="6">
        <f>IFERROR(__xludf.DUMMYFUNCTION("""COMPUTED_VALUE"""),854.3)</f>
        <v>854.3</v>
      </c>
      <c r="E34" s="6">
        <f>IFERROR(__xludf.DUMMYFUNCTION("""COMPUTED_VALUE"""),908.0)</f>
        <v>908</v>
      </c>
      <c r="F34" s="6">
        <f>IFERROR(__xludf.DUMMYFUNCTION("""COMPUTED_VALUE"""),1.8322029E7)</f>
        <v>18322029</v>
      </c>
    </row>
    <row r="35">
      <c r="A35" s="7">
        <f>IFERROR(__xludf.DUMMYFUNCTION("""COMPUTED_VALUE"""),45415.64583333333)</f>
        <v>45415.64583</v>
      </c>
      <c r="B35" s="6">
        <f>IFERROR(__xludf.DUMMYFUNCTION("""COMPUTED_VALUE"""),913.0)</f>
        <v>913</v>
      </c>
      <c r="C35" s="6">
        <f>IFERROR(__xludf.DUMMYFUNCTION("""COMPUTED_VALUE"""),915.0)</f>
        <v>915</v>
      </c>
      <c r="D35" s="6">
        <f>IFERROR(__xludf.DUMMYFUNCTION("""COMPUTED_VALUE"""),862.8)</f>
        <v>862.8</v>
      </c>
      <c r="E35" s="6">
        <f>IFERROR(__xludf.DUMMYFUNCTION("""COMPUTED_VALUE"""),878.2)</f>
        <v>878.2</v>
      </c>
      <c r="F35" s="6">
        <f>IFERROR(__xludf.DUMMYFUNCTION("""COMPUTED_VALUE"""),1.5988043E7)</f>
        <v>15988043</v>
      </c>
    </row>
    <row r="36">
      <c r="A36" s="7">
        <f>IFERROR(__xludf.DUMMYFUNCTION("""COMPUTED_VALUE"""),45422.64583333333)</f>
        <v>45422.64583</v>
      </c>
      <c r="B36" s="6">
        <f>IFERROR(__xludf.DUMMYFUNCTION("""COMPUTED_VALUE"""),882.5)</f>
        <v>882.5</v>
      </c>
      <c r="C36" s="6">
        <f>IFERROR(__xludf.DUMMYFUNCTION("""COMPUTED_VALUE"""),902.0)</f>
        <v>902</v>
      </c>
      <c r="D36" s="6">
        <f>IFERROR(__xludf.DUMMYFUNCTION("""COMPUTED_VALUE"""),817.4)</f>
        <v>817.4</v>
      </c>
      <c r="E36" s="6">
        <f>IFERROR(__xludf.DUMMYFUNCTION("""COMPUTED_VALUE"""),825.85)</f>
        <v>825.85</v>
      </c>
      <c r="F36" s="6">
        <f>IFERROR(__xludf.DUMMYFUNCTION("""COMPUTED_VALUE"""),2.5095293E7)</f>
        <v>25095293</v>
      </c>
    </row>
    <row r="37">
      <c r="A37" s="7">
        <f>IFERROR(__xludf.DUMMYFUNCTION("""COMPUTED_VALUE"""),45436.64583333333)</f>
        <v>45436.64583</v>
      </c>
      <c r="B37" s="6">
        <f>IFERROR(__xludf.DUMMYFUNCTION("""COMPUTED_VALUE"""),852.0)</f>
        <v>852</v>
      </c>
      <c r="C37" s="6">
        <f>IFERROR(__xludf.DUMMYFUNCTION("""COMPUTED_VALUE"""),860.55)</f>
        <v>860.55</v>
      </c>
      <c r="D37" s="6">
        <f>IFERROR(__xludf.DUMMYFUNCTION("""COMPUTED_VALUE"""),834.2)</f>
        <v>834.2</v>
      </c>
      <c r="E37" s="6">
        <f>IFERROR(__xludf.DUMMYFUNCTION("""COMPUTED_VALUE"""),840.15)</f>
        <v>840.15</v>
      </c>
      <c r="F37" s="6">
        <f>IFERROR(__xludf.DUMMYFUNCTION("""COMPUTED_VALUE"""),1.3924613E7)</f>
        <v>13924613</v>
      </c>
    </row>
    <row r="38">
      <c r="A38" s="7">
        <f>IFERROR(__xludf.DUMMYFUNCTION("""COMPUTED_VALUE"""),45443.64583333333)</f>
        <v>45443.64583</v>
      </c>
      <c r="B38" s="6">
        <f>IFERROR(__xludf.DUMMYFUNCTION("""COMPUTED_VALUE"""),840.2)</f>
        <v>840.2</v>
      </c>
      <c r="C38" s="6">
        <f>IFERROR(__xludf.DUMMYFUNCTION("""COMPUTED_VALUE"""),848.35)</f>
        <v>848.35</v>
      </c>
      <c r="D38" s="6">
        <f>IFERROR(__xludf.DUMMYFUNCTION("""COMPUTED_VALUE"""),799.6)</f>
        <v>799.6</v>
      </c>
      <c r="E38" s="6">
        <f>IFERROR(__xludf.DUMMYFUNCTION("""COMPUTED_VALUE"""),815.65)</f>
        <v>815.65</v>
      </c>
      <c r="F38" s="6">
        <f>IFERROR(__xludf.DUMMYFUNCTION("""COMPUTED_VALUE"""),2.7638999E7)</f>
        <v>27638999</v>
      </c>
    </row>
    <row r="39">
      <c r="A39" s="7">
        <f>IFERROR(__xludf.DUMMYFUNCTION("""COMPUTED_VALUE"""),45450.64583333333)</f>
        <v>45450.64583</v>
      </c>
      <c r="B39" s="6">
        <f>IFERROR(__xludf.DUMMYFUNCTION("""COMPUTED_VALUE"""),855.9)</f>
        <v>855.9</v>
      </c>
      <c r="C39" s="6">
        <f>IFERROR(__xludf.DUMMYFUNCTION("""COMPUTED_VALUE"""),880.0)</f>
        <v>880</v>
      </c>
      <c r="D39" s="6">
        <f>IFERROR(__xludf.DUMMYFUNCTION("""COMPUTED_VALUE"""),687.05)</f>
        <v>687.05</v>
      </c>
      <c r="E39" s="6">
        <f>IFERROR(__xludf.DUMMYFUNCTION("""COMPUTED_VALUE"""),843.45)</f>
        <v>843.45</v>
      </c>
      <c r="F39" s="6">
        <f>IFERROR(__xludf.DUMMYFUNCTION("""COMPUTED_VALUE"""),3.9440357E7)</f>
        <v>39440357</v>
      </c>
    </row>
    <row r="40">
      <c r="A40" s="7">
        <f>IFERROR(__xludf.DUMMYFUNCTION("""COMPUTED_VALUE"""),45457.64583333333)</f>
        <v>45457.64583</v>
      </c>
      <c r="B40" s="6">
        <f>IFERROR(__xludf.DUMMYFUNCTION("""COMPUTED_VALUE"""),845.95)</f>
        <v>845.95</v>
      </c>
      <c r="C40" s="6">
        <f>IFERROR(__xludf.DUMMYFUNCTION("""COMPUTED_VALUE"""),883.65)</f>
        <v>883.65</v>
      </c>
      <c r="D40" s="6">
        <f>IFERROR(__xludf.DUMMYFUNCTION("""COMPUTED_VALUE"""),838.0)</f>
        <v>838</v>
      </c>
      <c r="E40" s="6">
        <f>IFERROR(__xludf.DUMMYFUNCTION("""COMPUTED_VALUE"""),878.6)</f>
        <v>878.6</v>
      </c>
      <c r="F40" s="6">
        <f>IFERROR(__xludf.DUMMYFUNCTION("""COMPUTED_VALUE"""),1.7252621E7)</f>
        <v>17252621</v>
      </c>
    </row>
    <row r="41">
      <c r="A41" s="7">
        <f>IFERROR(__xludf.DUMMYFUNCTION("""COMPUTED_VALUE"""),45464.64583333333)</f>
        <v>45464.64583</v>
      </c>
      <c r="B41" s="6">
        <f>IFERROR(__xludf.DUMMYFUNCTION("""COMPUTED_VALUE"""),881.0)</f>
        <v>881</v>
      </c>
      <c r="C41" s="6">
        <f>IFERROR(__xludf.DUMMYFUNCTION("""COMPUTED_VALUE"""),887.9)</f>
        <v>887.9</v>
      </c>
      <c r="D41" s="6">
        <f>IFERROR(__xludf.DUMMYFUNCTION("""COMPUTED_VALUE"""),850.6)</f>
        <v>850.6</v>
      </c>
      <c r="E41" s="6">
        <f>IFERROR(__xludf.DUMMYFUNCTION("""COMPUTED_VALUE"""),856.1)</f>
        <v>856.1</v>
      </c>
      <c r="F41" s="6">
        <f>IFERROR(__xludf.DUMMYFUNCTION("""COMPUTED_VALUE"""),1.1020873E7)</f>
        <v>11020873</v>
      </c>
    </row>
    <row r="42">
      <c r="A42" s="7">
        <f>IFERROR(__xludf.DUMMYFUNCTION("""COMPUTED_VALUE"""),45471.64583333333)</f>
        <v>45471.64583</v>
      </c>
      <c r="B42" s="6">
        <f>IFERROR(__xludf.DUMMYFUNCTION("""COMPUTED_VALUE"""),849.5)</f>
        <v>849.5</v>
      </c>
      <c r="C42" s="6">
        <f>IFERROR(__xludf.DUMMYFUNCTION("""COMPUTED_VALUE"""),849.5)</f>
        <v>849.5</v>
      </c>
      <c r="D42" s="6">
        <f>IFERROR(__xludf.DUMMYFUNCTION("""COMPUTED_VALUE"""),811.8)</f>
        <v>811.8</v>
      </c>
      <c r="E42" s="6">
        <f>IFERROR(__xludf.DUMMYFUNCTION("""COMPUTED_VALUE"""),824.75)</f>
        <v>824.75</v>
      </c>
      <c r="F42" s="6">
        <f>IFERROR(__xludf.DUMMYFUNCTION("""COMPUTED_VALUE"""),2.5604483E7)</f>
        <v>25604483</v>
      </c>
    </row>
    <row r="43">
      <c r="A43" s="7">
        <f>IFERROR(__xludf.DUMMYFUNCTION("""COMPUTED_VALUE"""),45478.64583333333)</f>
        <v>45478.64583</v>
      </c>
      <c r="B43" s="6">
        <f>IFERROR(__xludf.DUMMYFUNCTION("""COMPUTED_VALUE"""),826.0)</f>
        <v>826</v>
      </c>
      <c r="C43" s="6">
        <f>IFERROR(__xludf.DUMMYFUNCTION("""COMPUTED_VALUE"""),847.0)</f>
        <v>847</v>
      </c>
      <c r="D43" s="6">
        <f>IFERROR(__xludf.DUMMYFUNCTION("""COMPUTED_VALUE"""),817.95)</f>
        <v>817.95</v>
      </c>
      <c r="E43" s="6">
        <f>IFERROR(__xludf.DUMMYFUNCTION("""COMPUTED_VALUE"""),832.8)</f>
        <v>832.8</v>
      </c>
      <c r="F43" s="6">
        <f>IFERROR(__xludf.DUMMYFUNCTION("""COMPUTED_VALUE"""),1.2004518E7)</f>
        <v>12004518</v>
      </c>
    </row>
    <row r="44">
      <c r="A44" s="7">
        <f>IFERROR(__xludf.DUMMYFUNCTION("""COMPUTED_VALUE"""),45485.64583333333)</f>
        <v>45485.64583</v>
      </c>
      <c r="B44" s="6">
        <f>IFERROR(__xludf.DUMMYFUNCTION("""COMPUTED_VALUE"""),832.8)</f>
        <v>832.8</v>
      </c>
      <c r="C44" s="6">
        <f>IFERROR(__xludf.DUMMYFUNCTION("""COMPUTED_VALUE"""),853.0)</f>
        <v>853</v>
      </c>
      <c r="D44" s="6">
        <f>IFERROR(__xludf.DUMMYFUNCTION("""COMPUTED_VALUE"""),819.55)</f>
        <v>819.55</v>
      </c>
      <c r="E44" s="6">
        <f>IFERROR(__xludf.DUMMYFUNCTION("""COMPUTED_VALUE"""),821.7)</f>
        <v>821.7</v>
      </c>
      <c r="F44" s="6">
        <f>IFERROR(__xludf.DUMMYFUNCTION("""COMPUTED_VALUE"""),1.1225466E7)</f>
        <v>11225466</v>
      </c>
    </row>
    <row r="45">
      <c r="A45" s="7">
        <f>IFERROR(__xludf.DUMMYFUNCTION("""COMPUTED_VALUE"""),45492.64583333333)</f>
        <v>45492.64583</v>
      </c>
      <c r="B45" s="6">
        <f>IFERROR(__xludf.DUMMYFUNCTION("""COMPUTED_VALUE"""),827.0)</f>
        <v>827</v>
      </c>
      <c r="C45" s="6">
        <f>IFERROR(__xludf.DUMMYFUNCTION("""COMPUTED_VALUE"""),851.7)</f>
        <v>851.7</v>
      </c>
      <c r="D45" s="6">
        <f>IFERROR(__xludf.DUMMYFUNCTION("""COMPUTED_VALUE"""),808.0)</f>
        <v>808</v>
      </c>
      <c r="E45" s="6">
        <f>IFERROR(__xludf.DUMMYFUNCTION("""COMPUTED_VALUE"""),816.4)</f>
        <v>816.4</v>
      </c>
      <c r="F45" s="6">
        <f>IFERROR(__xludf.DUMMYFUNCTION("""COMPUTED_VALUE"""),1.3687956E7)</f>
        <v>13687956</v>
      </c>
    </row>
    <row r="46">
      <c r="A46" s="7">
        <f>IFERROR(__xludf.DUMMYFUNCTION("""COMPUTED_VALUE"""),45499.64583333333)</f>
        <v>45499.64583</v>
      </c>
      <c r="B46" s="6">
        <f>IFERROR(__xludf.DUMMYFUNCTION("""COMPUTED_VALUE"""),815.05)</f>
        <v>815.05</v>
      </c>
      <c r="C46" s="6">
        <f>IFERROR(__xludf.DUMMYFUNCTION("""COMPUTED_VALUE"""),843.65)</f>
        <v>843.65</v>
      </c>
      <c r="D46" s="6">
        <f>IFERROR(__xludf.DUMMYFUNCTION("""COMPUTED_VALUE"""),778.2)</f>
        <v>778.2</v>
      </c>
      <c r="E46" s="6">
        <f>IFERROR(__xludf.DUMMYFUNCTION("""COMPUTED_VALUE"""),829.7)</f>
        <v>829.7</v>
      </c>
      <c r="F46" s="6">
        <f>IFERROR(__xludf.DUMMYFUNCTION("""COMPUTED_VALUE"""),3.032192E7)</f>
        <v>30321920</v>
      </c>
    </row>
    <row r="47">
      <c r="A47" s="7">
        <f>IFERROR(__xludf.DUMMYFUNCTION("""COMPUTED_VALUE"""),45506.64583333333)</f>
        <v>45506.64583</v>
      </c>
      <c r="B47" s="6">
        <f>IFERROR(__xludf.DUMMYFUNCTION("""COMPUTED_VALUE"""),833.95)</f>
        <v>833.95</v>
      </c>
      <c r="C47" s="6">
        <f>IFERROR(__xludf.DUMMYFUNCTION("""COMPUTED_VALUE"""),901.0)</f>
        <v>901</v>
      </c>
      <c r="D47" s="6">
        <f>IFERROR(__xludf.DUMMYFUNCTION("""COMPUTED_VALUE"""),830.5)</f>
        <v>830.5</v>
      </c>
      <c r="E47" s="6">
        <f>IFERROR(__xludf.DUMMYFUNCTION("""COMPUTED_VALUE"""),844.45)</f>
        <v>844.45</v>
      </c>
      <c r="F47" s="6">
        <f>IFERROR(__xludf.DUMMYFUNCTION("""COMPUTED_VALUE"""),2.6425527E7)</f>
        <v>26425527</v>
      </c>
    </row>
    <row r="48">
      <c r="A48" s="7">
        <f>IFERROR(__xludf.DUMMYFUNCTION("""COMPUTED_VALUE"""),45513.64583333333)</f>
        <v>45513.64583</v>
      </c>
      <c r="B48" s="6">
        <f>IFERROR(__xludf.DUMMYFUNCTION("""COMPUTED_VALUE"""),832.75)</f>
        <v>832.75</v>
      </c>
      <c r="C48" s="6">
        <f>IFERROR(__xludf.DUMMYFUNCTION("""COMPUTED_VALUE"""),853.0)</f>
        <v>853</v>
      </c>
      <c r="D48" s="6">
        <f>IFERROR(__xludf.DUMMYFUNCTION("""COMPUTED_VALUE"""),800.4)</f>
        <v>800.4</v>
      </c>
      <c r="E48" s="6">
        <f>IFERROR(__xludf.DUMMYFUNCTION("""COMPUTED_VALUE"""),830.9)</f>
        <v>830.9</v>
      </c>
      <c r="F48" s="6">
        <f>IFERROR(__xludf.DUMMYFUNCTION("""COMPUTED_VALUE"""),1.6868782E7)</f>
        <v>16868782</v>
      </c>
    </row>
    <row r="49">
      <c r="A49" s="7">
        <f>IFERROR(__xludf.DUMMYFUNCTION("""COMPUTED_VALUE"""),45520.64583333333)</f>
        <v>45520.64583</v>
      </c>
      <c r="B49" s="6">
        <f>IFERROR(__xludf.DUMMYFUNCTION("""COMPUTED_VALUE"""),827.0)</f>
        <v>827</v>
      </c>
      <c r="C49" s="6">
        <f>IFERROR(__xludf.DUMMYFUNCTION("""COMPUTED_VALUE"""),874.0)</f>
        <v>874</v>
      </c>
      <c r="D49" s="6">
        <f>IFERROR(__xludf.DUMMYFUNCTION("""COMPUTED_VALUE"""),809.2)</f>
        <v>809.2</v>
      </c>
      <c r="E49" s="6">
        <f>IFERROR(__xludf.DUMMYFUNCTION("""COMPUTED_VALUE"""),866.9)</f>
        <v>866.9</v>
      </c>
      <c r="F49" s="6">
        <f>IFERROR(__xludf.DUMMYFUNCTION("""COMPUTED_VALUE"""),1.4033682E7)</f>
        <v>14033682</v>
      </c>
    </row>
    <row r="50">
      <c r="A50" s="7">
        <f>IFERROR(__xludf.DUMMYFUNCTION("""COMPUTED_VALUE"""),45527.64583333333)</f>
        <v>45527.64583</v>
      </c>
      <c r="B50" s="6">
        <f>IFERROR(__xludf.DUMMYFUNCTION("""COMPUTED_VALUE"""),869.0)</f>
        <v>869</v>
      </c>
      <c r="C50" s="6">
        <f>IFERROR(__xludf.DUMMYFUNCTION("""COMPUTED_VALUE"""),872.65)</f>
        <v>872.65</v>
      </c>
      <c r="D50" s="6">
        <f>IFERROR(__xludf.DUMMYFUNCTION("""COMPUTED_VALUE"""),847.75)</f>
        <v>847.75</v>
      </c>
      <c r="E50" s="6">
        <f>IFERROR(__xludf.DUMMYFUNCTION("""COMPUTED_VALUE"""),849.5)</f>
        <v>849.5</v>
      </c>
      <c r="F50" s="6">
        <f>IFERROR(__xludf.DUMMYFUNCTION("""COMPUTED_VALUE"""),9141173.0)</f>
        <v>9141173</v>
      </c>
    </row>
    <row r="51">
      <c r="A51" s="7">
        <f>IFERROR(__xludf.DUMMYFUNCTION("""COMPUTED_VALUE"""),45534.64583333333)</f>
        <v>45534.64583</v>
      </c>
      <c r="B51" s="6">
        <f>IFERROR(__xludf.DUMMYFUNCTION("""COMPUTED_VALUE"""),857.75)</f>
        <v>857.75</v>
      </c>
      <c r="C51" s="6">
        <f>IFERROR(__xludf.DUMMYFUNCTION("""COMPUTED_VALUE"""),860.45)</f>
        <v>860.45</v>
      </c>
      <c r="D51" s="6">
        <f>IFERROR(__xludf.DUMMYFUNCTION("""COMPUTED_VALUE"""),818.5)</f>
        <v>818.5</v>
      </c>
      <c r="E51" s="6">
        <f>IFERROR(__xludf.DUMMYFUNCTION("""COMPUTED_VALUE"""),845.1)</f>
        <v>845.1</v>
      </c>
      <c r="F51" s="6">
        <f>IFERROR(__xludf.DUMMYFUNCTION("""COMPUTED_VALUE"""),1.5612222E7)</f>
        <v>15612222</v>
      </c>
    </row>
    <row r="52">
      <c r="A52" s="7">
        <f>IFERROR(__xludf.DUMMYFUNCTION("""COMPUTED_VALUE"""),45541.64583333333)</f>
        <v>45541.64583</v>
      </c>
      <c r="B52" s="6">
        <f>IFERROR(__xludf.DUMMYFUNCTION("""COMPUTED_VALUE"""),850.0)</f>
        <v>850</v>
      </c>
      <c r="C52" s="6">
        <f>IFERROR(__xludf.DUMMYFUNCTION("""COMPUTED_VALUE"""),859.25)</f>
        <v>859.25</v>
      </c>
      <c r="D52" s="6">
        <f>IFERROR(__xludf.DUMMYFUNCTION("""COMPUTED_VALUE"""),809.55)</f>
        <v>809.55</v>
      </c>
      <c r="E52" s="6">
        <f>IFERROR(__xludf.DUMMYFUNCTION("""COMPUTED_VALUE"""),814.25)</f>
        <v>814.25</v>
      </c>
      <c r="F52" s="6">
        <f>IFERROR(__xludf.DUMMYFUNCTION("""COMPUTED_VALUE"""),1.0198785E7)</f>
        <v>10198785</v>
      </c>
    </row>
    <row r="53">
      <c r="A53" s="7">
        <f>IFERROR(__xludf.DUMMYFUNCTION("""COMPUTED_VALUE"""),45548.64583333333)</f>
        <v>45548.64583</v>
      </c>
      <c r="B53" s="6">
        <f>IFERROR(__xludf.DUMMYFUNCTION("""COMPUTED_VALUE"""),813.55)</f>
        <v>813.55</v>
      </c>
      <c r="C53" s="6">
        <f>IFERROR(__xludf.DUMMYFUNCTION("""COMPUTED_VALUE"""),866.45)</f>
        <v>866.45</v>
      </c>
      <c r="D53" s="6">
        <f>IFERROR(__xludf.DUMMYFUNCTION("""COMPUTED_VALUE"""),812.05)</f>
        <v>812.05</v>
      </c>
      <c r="E53" s="6">
        <f>IFERROR(__xludf.DUMMYFUNCTION("""COMPUTED_VALUE"""),863.6)</f>
        <v>863.6</v>
      </c>
      <c r="F53" s="6">
        <f>IFERROR(__xludf.DUMMYFUNCTION("""COMPUTED_VALUE"""),1.2223041E7)</f>
        <v>12223041</v>
      </c>
    </row>
    <row r="54">
      <c r="A54" s="7">
        <f>IFERROR(__xludf.DUMMYFUNCTION("""COMPUTED_VALUE"""),45555.64583333333)</f>
        <v>45555.64583</v>
      </c>
      <c r="B54" s="6">
        <f>IFERROR(__xludf.DUMMYFUNCTION("""COMPUTED_VALUE"""),869.0)</f>
        <v>869</v>
      </c>
      <c r="C54" s="6">
        <f>IFERROR(__xludf.DUMMYFUNCTION("""COMPUTED_VALUE"""),881.0)</f>
        <v>881</v>
      </c>
      <c r="D54" s="6">
        <f>IFERROR(__xludf.DUMMYFUNCTION("""COMPUTED_VALUE"""),833.3)</f>
        <v>833.3</v>
      </c>
      <c r="E54" s="6">
        <f>IFERROR(__xludf.DUMMYFUNCTION("""COMPUTED_VALUE"""),877.6)</f>
        <v>877.6</v>
      </c>
      <c r="F54" s="6">
        <f>IFERROR(__xludf.DUMMYFUNCTION("""COMPUTED_VALUE"""),1.3248563E7)</f>
        <v>13248563</v>
      </c>
    </row>
    <row r="55">
      <c r="A55" s="7">
        <f>IFERROR(__xludf.DUMMYFUNCTION("""COMPUTED_VALUE"""),45562.64583333333)</f>
        <v>45562.64583</v>
      </c>
      <c r="B55" s="6">
        <f>IFERROR(__xludf.DUMMYFUNCTION("""COMPUTED_VALUE"""),883.7)</f>
        <v>883.7</v>
      </c>
      <c r="C55" s="6">
        <f>IFERROR(__xludf.DUMMYFUNCTION("""COMPUTED_VALUE"""),929.0)</f>
        <v>929</v>
      </c>
      <c r="D55" s="6">
        <f>IFERROR(__xludf.DUMMYFUNCTION("""COMPUTED_VALUE"""),880.3)</f>
        <v>880.3</v>
      </c>
      <c r="E55" s="6">
        <f>IFERROR(__xludf.DUMMYFUNCTION("""COMPUTED_VALUE"""),914.05)</f>
        <v>914.05</v>
      </c>
      <c r="F55" s="6">
        <f>IFERROR(__xludf.DUMMYFUNCTION("""COMPUTED_VALUE"""),2.4137885E7)</f>
        <v>24137885</v>
      </c>
    </row>
    <row r="56">
      <c r="A56" s="7">
        <f>IFERROR(__xludf.DUMMYFUNCTION("""COMPUTED_VALUE"""),45569.64583333333)</f>
        <v>45569.64583</v>
      </c>
      <c r="B56" s="6">
        <f>IFERROR(__xludf.DUMMYFUNCTION("""COMPUTED_VALUE"""),909.95)</f>
        <v>909.95</v>
      </c>
      <c r="C56" s="6">
        <f>IFERROR(__xludf.DUMMYFUNCTION("""COMPUTED_VALUE"""),917.9)</f>
        <v>917.9</v>
      </c>
      <c r="D56" s="6">
        <f>IFERROR(__xludf.DUMMYFUNCTION("""COMPUTED_VALUE"""),832.3)</f>
        <v>832.3</v>
      </c>
      <c r="E56" s="6">
        <f>IFERROR(__xludf.DUMMYFUNCTION("""COMPUTED_VALUE"""),844.85)</f>
        <v>844.85</v>
      </c>
      <c r="F56" s="6">
        <f>IFERROR(__xludf.DUMMYFUNCTION("""COMPUTED_VALUE"""),1.8305209E7)</f>
        <v>18305209</v>
      </c>
    </row>
    <row r="57">
      <c r="A57" s="7">
        <f>IFERROR(__xludf.DUMMYFUNCTION("""COMPUTED_VALUE"""),45576.64583333333)</f>
        <v>45576.64583</v>
      </c>
      <c r="B57" s="6">
        <f>IFERROR(__xludf.DUMMYFUNCTION("""COMPUTED_VALUE"""),848.45)</f>
        <v>848.45</v>
      </c>
      <c r="C57" s="6">
        <f>IFERROR(__xludf.DUMMYFUNCTION("""COMPUTED_VALUE"""),878.7)</f>
        <v>878.7</v>
      </c>
      <c r="D57" s="6">
        <f>IFERROR(__xludf.DUMMYFUNCTION("""COMPUTED_VALUE"""),815.7)</f>
        <v>815.7</v>
      </c>
      <c r="E57" s="6">
        <f>IFERROR(__xludf.DUMMYFUNCTION("""COMPUTED_VALUE"""),846.6)</f>
        <v>846.6</v>
      </c>
      <c r="F57" s="6">
        <f>IFERROR(__xludf.DUMMYFUNCTION("""COMPUTED_VALUE"""),1.7376431E7)</f>
        <v>17376431</v>
      </c>
    </row>
    <row r="58">
      <c r="A58" s="7">
        <f>IFERROR(__xludf.DUMMYFUNCTION("""COMPUTED_VALUE"""),45583.64583333333)</f>
        <v>45583.64583</v>
      </c>
      <c r="B58" s="6">
        <f>IFERROR(__xludf.DUMMYFUNCTION("""COMPUTED_VALUE"""),850.0)</f>
        <v>850</v>
      </c>
      <c r="C58" s="6">
        <f>IFERROR(__xludf.DUMMYFUNCTION("""COMPUTED_VALUE"""),888.1)</f>
        <v>888.1</v>
      </c>
      <c r="D58" s="6">
        <f>IFERROR(__xludf.DUMMYFUNCTION("""COMPUTED_VALUE"""),843.8)</f>
        <v>843.8</v>
      </c>
      <c r="E58" s="6">
        <f>IFERROR(__xludf.DUMMYFUNCTION("""COMPUTED_VALUE"""),875.15)</f>
        <v>875.15</v>
      </c>
      <c r="F58" s="6">
        <f>IFERROR(__xludf.DUMMYFUNCTION("""COMPUTED_VALUE"""),1.4445288E7)</f>
        <v>14445288</v>
      </c>
    </row>
    <row r="59">
      <c r="A59" s="7">
        <f>IFERROR(__xludf.DUMMYFUNCTION("""COMPUTED_VALUE"""),45590.64583333333)</f>
        <v>45590.64583</v>
      </c>
      <c r="B59" s="6">
        <f>IFERROR(__xludf.DUMMYFUNCTION("""COMPUTED_VALUE"""),875.05)</f>
        <v>875.05</v>
      </c>
      <c r="C59" s="6">
        <f>IFERROR(__xludf.DUMMYFUNCTION("""COMPUTED_VALUE"""),884.4)</f>
        <v>884.4</v>
      </c>
      <c r="D59" s="6">
        <f>IFERROR(__xludf.DUMMYFUNCTION("""COMPUTED_VALUE"""),766.6)</f>
        <v>766.6</v>
      </c>
      <c r="E59" s="6">
        <f>IFERROR(__xludf.DUMMYFUNCTION("""COMPUTED_VALUE"""),777.0)</f>
        <v>777</v>
      </c>
      <c r="F59" s="6">
        <f>IFERROR(__xludf.DUMMYFUNCTION("""COMPUTED_VALUE"""),1.9481991E7)</f>
        <v>19481991</v>
      </c>
    </row>
    <row r="60">
      <c r="A60" s="7">
        <f>IFERROR(__xludf.DUMMYFUNCTION("""COMPUTED_VALUE"""),45604.64583333333)</f>
        <v>45604.64583</v>
      </c>
      <c r="B60" s="6">
        <f>IFERROR(__xludf.DUMMYFUNCTION("""COMPUTED_VALUE"""),824.25)</f>
        <v>824.25</v>
      </c>
      <c r="C60" s="6">
        <f>IFERROR(__xludf.DUMMYFUNCTION("""COMPUTED_VALUE"""),831.0)</f>
        <v>831</v>
      </c>
      <c r="D60" s="6">
        <f>IFERROR(__xludf.DUMMYFUNCTION("""COMPUTED_VALUE"""),773.55)</f>
        <v>773.55</v>
      </c>
      <c r="E60" s="6">
        <f>IFERROR(__xludf.DUMMYFUNCTION("""COMPUTED_VALUE"""),786.0)</f>
        <v>786</v>
      </c>
      <c r="F60" s="6">
        <f>IFERROR(__xludf.DUMMYFUNCTION("""COMPUTED_VALUE"""),1.5279658E7)</f>
        <v>15279658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IFERROR(__xludf.DUMMYFUNCTION("""COMPUTED_VALUE"""),785.0)</f>
        <v>785</v>
      </c>
      <c r="C61" s="6">
        <f>IFERROR(__xludf.DUMMYFUNCTION("""COMPUTED_VALUE"""),791.5)</f>
        <v>791.5</v>
      </c>
      <c r="D61" s="6">
        <f>IFERROR(__xludf.DUMMYFUNCTION("""COMPUTED_VALUE"""),743.95)</f>
        <v>743.95</v>
      </c>
      <c r="E61" s="6">
        <f>IFERROR(__xludf.DUMMYFUNCTION("""COMPUTED_VALUE"""),762.7)</f>
        <v>762.7</v>
      </c>
      <c r="F61" s="6">
        <f>IFERROR(__xludf.DUMMYFUNCTION("""COMPUTED_VALUE"""),1.0415108E7)</f>
        <v>10415108</v>
      </c>
    </row>
    <row r="62">
      <c r="A62" s="7">
        <f>IFERROR(__xludf.DUMMYFUNCTION("""COMPUTED_VALUE"""),45618.64583333333)</f>
        <v>45618.64583</v>
      </c>
      <c r="B62" s="6">
        <f>IFERROR(__xludf.DUMMYFUNCTION("""COMPUTED_VALUE"""),779.95)</f>
        <v>779.95</v>
      </c>
      <c r="C62" s="6">
        <f>IFERROR(__xludf.DUMMYFUNCTION("""COMPUTED_VALUE"""),808.9)</f>
        <v>808.9</v>
      </c>
      <c r="D62" s="6">
        <f>IFERROR(__xludf.DUMMYFUNCTION("""COMPUTED_VALUE"""),744.65)</f>
        <v>744.65</v>
      </c>
      <c r="E62" s="6">
        <f>IFERROR(__xludf.DUMMYFUNCTION("""COMPUTED_VALUE"""),803.4)</f>
        <v>803.4</v>
      </c>
      <c r="F62" s="6">
        <f>IFERROR(__xludf.DUMMYFUNCTION("""COMPUTED_VALUE"""),1.4536582E7)</f>
        <v>14536582</v>
      </c>
    </row>
    <row r="63">
      <c r="A63" s="7">
        <f>IFERROR(__xludf.DUMMYFUNCTION("""COMPUTED_VALUE"""),45625.64583333333)</f>
        <v>45625.64583</v>
      </c>
      <c r="B63" s="6">
        <f>IFERROR(__xludf.DUMMYFUNCTION("""COMPUTED_VALUE"""),822.0)</f>
        <v>822</v>
      </c>
      <c r="C63" s="6">
        <f>IFERROR(__xludf.DUMMYFUNCTION("""COMPUTED_VALUE"""),838.95)</f>
        <v>838.95</v>
      </c>
      <c r="D63" s="6">
        <f>IFERROR(__xludf.DUMMYFUNCTION("""COMPUTED_VALUE"""),807.2)</f>
        <v>807.2</v>
      </c>
      <c r="E63" s="6">
        <f>IFERROR(__xludf.DUMMYFUNCTION("""COMPUTED_VALUE"""),822.95)</f>
        <v>822.95</v>
      </c>
      <c r="F63" s="6">
        <f>IFERROR(__xludf.DUMMYFUNCTION("""COMPUTED_VALUE"""),1.8087463E7)</f>
        <v>18087463</v>
      </c>
    </row>
    <row r="64">
      <c r="A64" s="7">
        <f>IFERROR(__xludf.DUMMYFUNCTION("""COMPUTED_VALUE"""),45632.64583333333)</f>
        <v>45632.64583</v>
      </c>
      <c r="B64" s="6">
        <f>IFERROR(__xludf.DUMMYFUNCTION("""COMPUTED_VALUE"""),828.0)</f>
        <v>828</v>
      </c>
      <c r="C64" s="6">
        <f>IFERROR(__xludf.DUMMYFUNCTION("""COMPUTED_VALUE"""),862.0)</f>
        <v>862</v>
      </c>
      <c r="D64" s="6">
        <f>IFERROR(__xludf.DUMMYFUNCTION("""COMPUTED_VALUE"""),822.25)</f>
        <v>822.25</v>
      </c>
      <c r="E64" s="6">
        <f>IFERROR(__xludf.DUMMYFUNCTION("""COMPUTED_VALUE"""),856.85)</f>
        <v>856.85</v>
      </c>
      <c r="F64" s="6">
        <f>IFERROR(__xludf.DUMMYFUNCTION("""COMPUTED_VALUE"""),1.4649651E7)</f>
        <v>14649651</v>
      </c>
    </row>
    <row r="65">
      <c r="A65" s="7">
        <f>IFERROR(__xludf.DUMMYFUNCTION("""COMPUTED_VALUE"""),45639.64583333333)</f>
        <v>45639.64583</v>
      </c>
      <c r="B65" s="6">
        <f>IFERROR(__xludf.DUMMYFUNCTION("""COMPUTED_VALUE"""),856.85)</f>
        <v>856.85</v>
      </c>
      <c r="C65" s="6">
        <f>IFERROR(__xludf.DUMMYFUNCTION("""COMPUTED_VALUE"""),882.65)</f>
        <v>882.65</v>
      </c>
      <c r="D65" s="6">
        <f>IFERROR(__xludf.DUMMYFUNCTION("""COMPUTED_VALUE"""),846.1)</f>
        <v>846.1</v>
      </c>
      <c r="E65" s="6">
        <f>IFERROR(__xludf.DUMMYFUNCTION("""COMPUTED_VALUE"""),870.85)</f>
        <v>870.85</v>
      </c>
      <c r="F65" s="6">
        <f>IFERROR(__xludf.DUMMYFUNCTION("""COMPUTED_VALUE"""),1.2859208E7)</f>
        <v>12859208</v>
      </c>
    </row>
    <row r="66">
      <c r="A66" s="7">
        <f>IFERROR(__xludf.DUMMYFUNCTION("""COMPUTED_VALUE"""),45646.64583333333)</f>
        <v>45646.64583</v>
      </c>
      <c r="B66" s="6">
        <f>IFERROR(__xludf.DUMMYFUNCTION("""COMPUTED_VALUE"""),870.85)</f>
        <v>870.85</v>
      </c>
      <c r="C66" s="6">
        <f>IFERROR(__xludf.DUMMYFUNCTION("""COMPUTED_VALUE"""),896.6)</f>
        <v>896.6</v>
      </c>
      <c r="D66" s="6">
        <f>IFERROR(__xludf.DUMMYFUNCTION("""COMPUTED_VALUE"""),824.5)</f>
        <v>824.5</v>
      </c>
      <c r="E66" s="6">
        <f>IFERROR(__xludf.DUMMYFUNCTION("""COMPUTED_VALUE"""),830.7)</f>
        <v>830.7</v>
      </c>
      <c r="F66" s="6">
        <f>IFERROR(__xludf.DUMMYFUNCTION("""COMPUTED_VALUE"""),1.9182905E7)</f>
        <v>19182905</v>
      </c>
    </row>
    <row r="67">
      <c r="A67" s="7">
        <f>IFERROR(__xludf.DUMMYFUNCTION("""COMPUTED_VALUE"""),45653.64583333333)</f>
        <v>45653.64583</v>
      </c>
      <c r="B67" s="6">
        <f>IFERROR(__xludf.DUMMYFUNCTION("""COMPUTED_VALUE"""),837.8)</f>
        <v>837.8</v>
      </c>
      <c r="C67" s="6">
        <f>IFERROR(__xludf.DUMMYFUNCTION("""COMPUTED_VALUE"""),854.0)</f>
        <v>854</v>
      </c>
      <c r="D67" s="6">
        <f>IFERROR(__xludf.DUMMYFUNCTION("""COMPUTED_VALUE"""),818.1)</f>
        <v>818.1</v>
      </c>
      <c r="E67" s="6">
        <f>IFERROR(__xludf.DUMMYFUNCTION("""COMPUTED_VALUE"""),834.85)</f>
        <v>834.85</v>
      </c>
      <c r="F67" s="6">
        <f>IFERROR(__xludf.DUMMYFUNCTION("""COMPUTED_VALUE"""),8577374.0)</f>
        <v>8577374</v>
      </c>
    </row>
    <row r="68">
      <c r="A68" s="7">
        <f>IFERROR(__xludf.DUMMYFUNCTION("""COMPUTED_VALUE"""),45660.64583333333)</f>
        <v>45660.64583</v>
      </c>
      <c r="B68" s="6">
        <f>IFERROR(__xludf.DUMMYFUNCTION("""COMPUTED_VALUE"""),832.0)</f>
        <v>832</v>
      </c>
      <c r="C68" s="6">
        <f>IFERROR(__xludf.DUMMYFUNCTION("""COMPUTED_VALUE"""),839.85)</f>
        <v>839.85</v>
      </c>
      <c r="D68" s="6">
        <f>IFERROR(__xludf.DUMMYFUNCTION("""COMPUTED_VALUE"""),809.9)</f>
        <v>809.9</v>
      </c>
      <c r="E68" s="6">
        <f>IFERROR(__xludf.DUMMYFUNCTION("""COMPUTED_VALUE"""),828.05)</f>
        <v>828.05</v>
      </c>
      <c r="F68" s="6">
        <f>IFERROR(__xludf.DUMMYFUNCTION("""COMPUTED_VALUE"""),1.1438253E7)</f>
        <v>11438253</v>
      </c>
    </row>
    <row r="69">
      <c r="A69" s="7">
        <f>IFERROR(__xludf.DUMMYFUNCTION("""COMPUTED_VALUE"""),45667.64583333333)</f>
        <v>45667.64583</v>
      </c>
      <c r="B69" s="6">
        <f>IFERROR(__xludf.DUMMYFUNCTION("""COMPUTED_VALUE"""),829.0)</f>
        <v>829</v>
      </c>
      <c r="C69" s="6">
        <f>IFERROR(__xludf.DUMMYFUNCTION("""COMPUTED_VALUE"""),834.0)</f>
        <v>834</v>
      </c>
      <c r="D69" s="6">
        <f>IFERROR(__xludf.DUMMYFUNCTION("""COMPUTED_VALUE"""),750.15)</f>
        <v>750.15</v>
      </c>
      <c r="E69" s="6">
        <f>IFERROR(__xludf.DUMMYFUNCTION("""COMPUTED_VALUE"""),752.15)</f>
        <v>752.15</v>
      </c>
      <c r="F69" s="6">
        <f>IFERROR(__xludf.DUMMYFUNCTION("""COMPUTED_VALUE"""),1.5239555E7)</f>
        <v>15239555</v>
      </c>
    </row>
    <row r="70">
      <c r="A70" s="7">
        <f>IFERROR(__xludf.DUMMYFUNCTION("""COMPUTED_VALUE"""),45674.64583333333)</f>
        <v>45674.64583</v>
      </c>
      <c r="B70" s="6">
        <f>IFERROR(__xludf.DUMMYFUNCTION("""COMPUTED_VALUE"""),743.0)</f>
        <v>743</v>
      </c>
      <c r="C70" s="6">
        <f>IFERROR(__xludf.DUMMYFUNCTION("""COMPUTED_VALUE"""),760.5)</f>
        <v>760.5</v>
      </c>
      <c r="D70" s="6">
        <f>IFERROR(__xludf.DUMMYFUNCTION("""COMPUTED_VALUE"""),707.05)</f>
        <v>707.05</v>
      </c>
      <c r="E70" s="6">
        <f>IFERROR(__xludf.DUMMYFUNCTION("""COMPUTED_VALUE"""),749.0)</f>
        <v>749</v>
      </c>
      <c r="F70" s="6">
        <f>IFERROR(__xludf.DUMMYFUNCTION("""COMPUTED_VALUE"""),2.1064505E7)</f>
        <v>21064505</v>
      </c>
    </row>
    <row r="71">
      <c r="A71" s="7">
        <f>IFERROR(__xludf.DUMMYFUNCTION("""COMPUTED_VALUE"""),45681.64583333333)</f>
        <v>45681.64583</v>
      </c>
      <c r="B71" s="6">
        <f>IFERROR(__xludf.DUMMYFUNCTION("""COMPUTED_VALUE"""),753.85)</f>
        <v>753.85</v>
      </c>
      <c r="C71" s="6">
        <f>IFERROR(__xludf.DUMMYFUNCTION("""COMPUTED_VALUE"""),764.35)</f>
        <v>764.35</v>
      </c>
      <c r="D71" s="6">
        <f>IFERROR(__xludf.DUMMYFUNCTION("""COMPUTED_VALUE"""),691.1)</f>
        <v>691.1</v>
      </c>
      <c r="E71" s="6">
        <f>IFERROR(__xludf.DUMMYFUNCTION("""COMPUTED_VALUE"""),695.25)</f>
        <v>695.25</v>
      </c>
      <c r="F71" s="6">
        <f>IFERROR(__xludf.DUMMYFUNCTION("""COMPUTED_VALUE"""),1.5984942E7)</f>
        <v>15984942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IFERROR(__xludf.DUMMYFUNCTION("""COMPUTED_VALUE"""),756.75)</f>
        <v>756.75</v>
      </c>
      <c r="C72" s="6">
        <f>IFERROR(__xludf.DUMMYFUNCTION("""COMPUTED_VALUE"""),793.5)</f>
        <v>793.5</v>
      </c>
      <c r="D72" s="6">
        <f>IFERROR(__xludf.DUMMYFUNCTION("""COMPUTED_VALUE"""),734.75)</f>
        <v>734.75</v>
      </c>
      <c r="E72" s="6">
        <f>IFERROR(__xludf.DUMMYFUNCTION("""COMPUTED_VALUE"""),757.45)</f>
        <v>757.45</v>
      </c>
      <c r="F72" s="6">
        <f>IFERROR(__xludf.DUMMYFUNCTION("""COMPUTED_VALUE"""),1.6542245E7)</f>
        <v>16542245</v>
      </c>
    </row>
    <row r="73">
      <c r="A73" s="7">
        <f>IFERROR(__xludf.DUMMYFUNCTION("""COMPUTED_VALUE"""),45702.64583333333)</f>
        <v>45702.64583</v>
      </c>
      <c r="B73" s="6">
        <f>IFERROR(__xludf.DUMMYFUNCTION("""COMPUTED_VALUE"""),758.0)</f>
        <v>758</v>
      </c>
      <c r="C73" s="6">
        <f>IFERROR(__xludf.DUMMYFUNCTION("""COMPUTED_VALUE"""),760.95)</f>
        <v>760.95</v>
      </c>
      <c r="D73" s="6">
        <f>IFERROR(__xludf.DUMMYFUNCTION("""COMPUTED_VALUE"""),660.1)</f>
        <v>660.1</v>
      </c>
      <c r="E73" s="6">
        <f>IFERROR(__xludf.DUMMYFUNCTION("""COMPUTED_VALUE"""),673.3)</f>
        <v>673.3</v>
      </c>
      <c r="F73" s="6">
        <f>IFERROR(__xludf.DUMMYFUNCTION("""COMPUTED_VALUE"""),2.2296843E7)</f>
        <v>22296843</v>
      </c>
    </row>
    <row r="74">
      <c r="A74" s="7">
        <f>IFERROR(__xludf.DUMMYFUNCTION("""COMPUTED_VALUE"""),45709.64583333333)</f>
        <v>45709.64583</v>
      </c>
      <c r="B74" s="6">
        <f>IFERROR(__xludf.DUMMYFUNCTION("""COMPUTED_VALUE"""),670.0)</f>
        <v>670</v>
      </c>
      <c r="C74" s="6">
        <f>IFERROR(__xludf.DUMMYFUNCTION("""COMPUTED_VALUE"""),707.5)</f>
        <v>707.5</v>
      </c>
      <c r="D74" s="6">
        <f>IFERROR(__xludf.DUMMYFUNCTION("""COMPUTED_VALUE"""),650.35)</f>
        <v>650.35</v>
      </c>
      <c r="E74" s="6">
        <f>IFERROR(__xludf.DUMMYFUNCTION("""COMPUTED_VALUE"""),686.25)</f>
        <v>686.25</v>
      </c>
      <c r="F74" s="6">
        <f>IFERROR(__xludf.DUMMYFUNCTION("""COMPUTED_VALUE"""),1.4104699E7)</f>
        <v>14104699</v>
      </c>
    </row>
    <row r="75">
      <c r="A75" s="7">
        <f>IFERROR(__xludf.DUMMYFUNCTION("""COMPUTED_VALUE"""),45716.64583333333)</f>
        <v>45716.64583</v>
      </c>
      <c r="B75" s="6">
        <f>IFERROR(__xludf.DUMMYFUNCTION("""COMPUTED_VALUE"""),679.95)</f>
        <v>679.95</v>
      </c>
      <c r="C75" s="6">
        <f>IFERROR(__xludf.DUMMYFUNCTION("""COMPUTED_VALUE"""),680.95)</f>
        <v>680.95</v>
      </c>
      <c r="D75" s="6">
        <f>IFERROR(__xludf.DUMMYFUNCTION("""COMPUTED_VALUE"""),625.1)</f>
        <v>625.1</v>
      </c>
      <c r="E75" s="6">
        <f>IFERROR(__xludf.DUMMYFUNCTION("""COMPUTED_VALUE"""),635.55)</f>
        <v>635.55</v>
      </c>
      <c r="F75" s="6">
        <f>IFERROR(__xludf.DUMMYFUNCTION("""COMPUTED_VALUE"""),1.5698003E7)</f>
        <v>15698003</v>
      </c>
    </row>
    <row r="76">
      <c r="A76" s="7">
        <f>IFERROR(__xludf.DUMMYFUNCTION("""COMPUTED_VALUE"""),45723.64583333333)</f>
        <v>45723.64583</v>
      </c>
      <c r="B76" s="6">
        <f>IFERROR(__xludf.DUMMYFUNCTION("""COMPUTED_VALUE"""),639.95)</f>
        <v>639.95</v>
      </c>
      <c r="C76" s="6">
        <f>IFERROR(__xludf.DUMMYFUNCTION("""COMPUTED_VALUE"""),679.3)</f>
        <v>679.3</v>
      </c>
      <c r="D76" s="6">
        <f>IFERROR(__xludf.DUMMYFUNCTION("""COMPUTED_VALUE"""),622.0)</f>
        <v>622</v>
      </c>
      <c r="E76" s="6">
        <f>IFERROR(__xludf.DUMMYFUNCTION("""COMPUTED_VALUE"""),667.05)</f>
        <v>667.05</v>
      </c>
      <c r="F76" s="6">
        <f>IFERROR(__xludf.DUMMYFUNCTION("""COMPUTED_VALUE"""),1.5828723E7)</f>
        <v>15828723</v>
      </c>
    </row>
    <row r="77">
      <c r="A77" s="7">
        <f>IFERROR(__xludf.DUMMYFUNCTION("""COMPUTED_VALUE"""),45729.64583333333)</f>
        <v>45729.64583</v>
      </c>
      <c r="B77" s="6">
        <f>IFERROR(__xludf.DUMMYFUNCTION("""COMPUTED_VALUE"""),666.85)</f>
        <v>666.85</v>
      </c>
      <c r="C77" s="6">
        <f>IFERROR(__xludf.DUMMYFUNCTION("""COMPUTED_VALUE"""),683.0)</f>
        <v>683</v>
      </c>
      <c r="D77" s="6">
        <f>IFERROR(__xludf.DUMMYFUNCTION("""COMPUTED_VALUE"""),636.05)</f>
        <v>636.05</v>
      </c>
      <c r="E77" s="6">
        <f>IFERROR(__xludf.DUMMYFUNCTION("""COMPUTED_VALUE"""),658.1)</f>
        <v>658.1</v>
      </c>
      <c r="F77" s="6">
        <f>IFERROR(__xludf.DUMMYFUNCTION("""COMPUTED_VALUE"""),1.3332131E7)</f>
        <v>13332131</v>
      </c>
    </row>
    <row r="78">
      <c r="A78" s="7">
        <f>IFERROR(__xludf.DUMMYFUNCTION("""COMPUTED_VALUE"""),45737.64583333333)</f>
        <v>45737.64583</v>
      </c>
      <c r="B78" s="6">
        <f>IFERROR(__xludf.DUMMYFUNCTION("""COMPUTED_VALUE"""),660.5)</f>
        <v>660.5</v>
      </c>
      <c r="C78" s="6">
        <f>IFERROR(__xludf.DUMMYFUNCTION("""COMPUTED_VALUE"""),717.5)</f>
        <v>717.5</v>
      </c>
      <c r="D78" s="6">
        <f>IFERROR(__xludf.DUMMYFUNCTION("""COMPUTED_VALUE"""),660.5)</f>
        <v>660.5</v>
      </c>
      <c r="E78" s="6">
        <f>IFERROR(__xludf.DUMMYFUNCTION("""COMPUTED_VALUE"""),695.9)</f>
        <v>695.9</v>
      </c>
      <c r="F78" s="6">
        <f>IFERROR(__xludf.DUMMYFUNCTION("""COMPUTED_VALUE"""),1.8866165E7)</f>
        <v>18866165</v>
      </c>
    </row>
    <row r="79">
      <c r="A79" s="7">
        <f>IFERROR(__xludf.DUMMYFUNCTION("""COMPUTED_VALUE"""),45744.64583333333)</f>
        <v>45744.64583</v>
      </c>
      <c r="B79" s="6">
        <f>IFERROR(__xludf.DUMMYFUNCTION("""COMPUTED_VALUE"""),710.05)</f>
        <v>710.05</v>
      </c>
      <c r="C79" s="6">
        <f>IFERROR(__xludf.DUMMYFUNCTION("""COMPUTED_VALUE"""),714.0)</f>
        <v>714</v>
      </c>
      <c r="D79" s="6">
        <f>IFERROR(__xludf.DUMMYFUNCTION("""COMPUTED_VALUE"""),672.0)</f>
        <v>672</v>
      </c>
      <c r="E79" s="6">
        <f>IFERROR(__xludf.DUMMYFUNCTION("""COMPUTED_VALUE"""),680.5)</f>
        <v>680.5</v>
      </c>
      <c r="F79" s="6">
        <f>IFERROR(__xludf.DUMMYFUNCTION("""COMPUTED_VALUE"""),2.0259911E7)</f>
        <v>20259911</v>
      </c>
    </row>
    <row r="80">
      <c r="A80" s="7">
        <f>IFERROR(__xludf.DUMMYFUNCTION("""COMPUTED_VALUE"""),45751.64583333333)</f>
        <v>45751.64583</v>
      </c>
      <c r="B80" s="6">
        <f>IFERROR(__xludf.DUMMYFUNCTION("""COMPUTED_VALUE"""),678.35)</f>
        <v>678.35</v>
      </c>
      <c r="C80" s="6">
        <f>IFERROR(__xludf.DUMMYFUNCTION("""COMPUTED_VALUE"""),691.7)</f>
        <v>691.7</v>
      </c>
      <c r="D80" s="6">
        <f>IFERROR(__xludf.DUMMYFUNCTION("""COMPUTED_VALUE"""),648.75)</f>
        <v>648.75</v>
      </c>
      <c r="E80" s="6">
        <f>IFERROR(__xludf.DUMMYFUNCTION("""COMPUTED_VALUE"""),653.95)</f>
        <v>653.95</v>
      </c>
      <c r="F80" s="6">
        <f>IFERROR(__xludf.DUMMYFUNCTION("""COMPUTED_VALUE"""),1.1976188E7)</f>
        <v>11976188</v>
      </c>
    </row>
    <row r="81">
      <c r="A81" s="7">
        <f>IFERROR(__xludf.DUMMYFUNCTION("""COMPUTED_VALUE"""),45758.64583333333)</f>
        <v>45758.64583</v>
      </c>
      <c r="B81" s="6">
        <f>IFERROR(__xludf.DUMMYFUNCTION("""COMPUTED_VALUE"""),615.0)</f>
        <v>615</v>
      </c>
      <c r="C81" s="6">
        <f>IFERROR(__xludf.DUMMYFUNCTION("""COMPUTED_VALUE"""),632.9)</f>
        <v>632.9</v>
      </c>
      <c r="D81" s="6">
        <f>IFERROR(__xludf.DUMMYFUNCTION("""COMPUTED_VALUE"""),601.2)</f>
        <v>601.2</v>
      </c>
      <c r="E81" s="6">
        <f>IFERROR(__xludf.DUMMYFUNCTION("""COMPUTED_VALUE"""),623.6)</f>
        <v>623.6</v>
      </c>
      <c r="F81" s="6">
        <f>IFERROR(__xludf.DUMMYFUNCTION("""COMPUTED_VALUE"""),1.3214712E7)</f>
        <v>13214712</v>
      </c>
    </row>
    <row r="82">
      <c r="A82" s="7">
        <f>IFERROR(__xludf.DUMMYFUNCTION("""COMPUTED_VALUE"""),45764.64583333333)</f>
        <v>45764.64583</v>
      </c>
      <c r="B82" s="6">
        <f>IFERROR(__xludf.DUMMYFUNCTION("""COMPUTED_VALUE"""),635.0)</f>
        <v>635</v>
      </c>
      <c r="C82" s="6">
        <f>IFERROR(__xludf.DUMMYFUNCTION("""COMPUTED_VALUE"""),673.2)</f>
        <v>673.2</v>
      </c>
      <c r="D82" s="6">
        <f>IFERROR(__xludf.DUMMYFUNCTION("""COMPUTED_VALUE"""),630.4)</f>
        <v>630.4</v>
      </c>
      <c r="E82" s="6">
        <f>IFERROR(__xludf.DUMMYFUNCTION("""COMPUTED_VALUE"""),669.4)</f>
        <v>669.4</v>
      </c>
      <c r="F82" s="6">
        <f>IFERROR(__xludf.DUMMYFUNCTION("""COMPUTED_VALUE"""),1.0844503E7)</f>
        <v>10844503</v>
      </c>
    </row>
    <row r="83">
      <c r="A83" s="7">
        <f>IFERROR(__xludf.DUMMYFUNCTION("""COMPUTED_VALUE"""),45772.64583333333)</f>
        <v>45772.64583</v>
      </c>
      <c r="B83" s="6">
        <f>IFERROR(__xludf.DUMMYFUNCTION("""COMPUTED_VALUE"""),690.0)</f>
        <v>690</v>
      </c>
      <c r="C83" s="6">
        <f>IFERROR(__xludf.DUMMYFUNCTION("""COMPUTED_VALUE"""),695.9)</f>
        <v>695.9</v>
      </c>
      <c r="D83" s="6">
        <f>IFERROR(__xludf.DUMMYFUNCTION("""COMPUTED_VALUE"""),648.95)</f>
        <v>648.95</v>
      </c>
      <c r="E83" s="6">
        <f>IFERROR(__xludf.DUMMYFUNCTION("""COMPUTED_VALUE"""),653.55)</f>
        <v>653.55</v>
      </c>
      <c r="F83" s="6">
        <f>IFERROR(__xludf.DUMMYFUNCTION("""COMPUTED_VALUE"""),1.6777138E7)</f>
        <v>16777138</v>
      </c>
    </row>
    <row r="84">
      <c r="A84" s="7">
        <f>IFERROR(__xludf.DUMMYFUNCTION("""COMPUTED_VALUE"""),45779.64583333333)</f>
        <v>45779.64583</v>
      </c>
      <c r="B84" s="6">
        <f>IFERROR(__xludf.DUMMYFUNCTION("""COMPUTED_VALUE"""),655.0)</f>
        <v>655</v>
      </c>
      <c r="C84" s="6">
        <f>IFERROR(__xludf.DUMMYFUNCTION("""COMPUTED_VALUE"""),692.5)</f>
        <v>692.5</v>
      </c>
      <c r="D84" s="6">
        <f>IFERROR(__xludf.DUMMYFUNCTION("""COMPUTED_VALUE"""),653.0)</f>
        <v>653</v>
      </c>
      <c r="E84" s="6">
        <f>IFERROR(__xludf.DUMMYFUNCTION("""COMPUTED_VALUE"""),687.05)</f>
        <v>687.05</v>
      </c>
      <c r="F84" s="6">
        <f>IFERROR(__xludf.DUMMYFUNCTION("""COMPUTED_VALUE"""),1.6070867E7)</f>
        <v>16070867</v>
      </c>
    </row>
    <row r="85">
      <c r="A85" s="7">
        <f>IFERROR(__xludf.DUMMYFUNCTION("""COMPUTED_VALUE"""),45786.64583333333)</f>
        <v>45786.64583</v>
      </c>
      <c r="B85" s="6">
        <f>IFERROR(__xludf.DUMMYFUNCTION("""COMPUTED_VALUE"""),692.7)</f>
        <v>692.7</v>
      </c>
      <c r="C85" s="6">
        <f>IFERROR(__xludf.DUMMYFUNCTION("""COMPUTED_VALUE"""),699.0)</f>
        <v>699</v>
      </c>
      <c r="D85" s="6">
        <f>IFERROR(__xludf.DUMMYFUNCTION("""COMPUTED_VALUE"""),617.9)</f>
        <v>617.9</v>
      </c>
      <c r="E85" s="6">
        <f>IFERROR(__xludf.DUMMYFUNCTION("""COMPUTED_VALUE"""),631.7)</f>
        <v>631.7</v>
      </c>
      <c r="F85" s="6">
        <f>IFERROR(__xludf.DUMMYFUNCTION("""COMPUTED_VALUE"""),2.1450608E7)</f>
        <v>21450608</v>
      </c>
    </row>
    <row r="86">
      <c r="A86" s="7">
        <f>IFERROR(__xludf.DUMMYFUNCTION("""COMPUTED_VALUE"""),45793.64583333333)</f>
        <v>45793.64583</v>
      </c>
      <c r="B86" s="6">
        <f>IFERROR(__xludf.DUMMYFUNCTION("""COMPUTED_VALUE"""),658.0)</f>
        <v>658</v>
      </c>
      <c r="C86" s="6">
        <f>IFERROR(__xludf.DUMMYFUNCTION("""COMPUTED_VALUE"""),723.2)</f>
        <v>723.2</v>
      </c>
      <c r="D86" s="6">
        <f>IFERROR(__xludf.DUMMYFUNCTION("""COMPUTED_VALUE"""),655.0)</f>
        <v>655</v>
      </c>
      <c r="E86" s="6">
        <f>IFERROR(__xludf.DUMMYFUNCTION("""COMPUTED_VALUE"""),715.9)</f>
        <v>715.9</v>
      </c>
      <c r="F86" s="6">
        <f>IFERROR(__xludf.DUMMYFUNCTION("""COMPUTED_VALUE"""),1.8641112E7)</f>
        <v>18641112</v>
      </c>
    </row>
    <row r="87">
      <c r="A87" s="7">
        <f>IFERROR(__xludf.DUMMYFUNCTION("""COMPUTED_VALUE"""),45800.64583333333)</f>
        <v>45800.64583</v>
      </c>
      <c r="B87" s="6">
        <f>IFERROR(__xludf.DUMMYFUNCTION("""COMPUTED_VALUE"""),719.0)</f>
        <v>719</v>
      </c>
      <c r="C87" s="6">
        <f>IFERROR(__xludf.DUMMYFUNCTION("""COMPUTED_VALUE"""),782.9)</f>
        <v>782.9</v>
      </c>
      <c r="D87" s="6">
        <f>IFERROR(__xludf.DUMMYFUNCTION("""COMPUTED_VALUE"""),713.25)</f>
        <v>713.25</v>
      </c>
      <c r="E87" s="6">
        <f>IFERROR(__xludf.DUMMYFUNCTION("""COMPUTED_VALUE"""),776.5)</f>
        <v>776.5</v>
      </c>
      <c r="F87" s="6">
        <f>IFERROR(__xludf.DUMMYFUNCTION("""COMPUTED_VALUE"""),4.2571427E7)</f>
        <v>42571427</v>
      </c>
    </row>
    <row r="88">
      <c r="A88" s="7">
        <f>IFERROR(__xludf.DUMMYFUNCTION("""COMPUTED_VALUE"""),45807.64583333333)</f>
        <v>45807.64583</v>
      </c>
      <c r="B88" s="6">
        <f>IFERROR(__xludf.DUMMYFUNCTION("""COMPUTED_VALUE"""),780.0)</f>
        <v>780</v>
      </c>
      <c r="C88" s="6">
        <f>IFERROR(__xludf.DUMMYFUNCTION("""COMPUTED_VALUE"""),802.75)</f>
        <v>802.75</v>
      </c>
      <c r="D88" s="6">
        <f>IFERROR(__xludf.DUMMYFUNCTION("""COMPUTED_VALUE"""),767.7)</f>
        <v>767.7</v>
      </c>
      <c r="E88" s="6">
        <f>IFERROR(__xludf.DUMMYFUNCTION("""COMPUTED_VALUE"""),797.85)</f>
        <v>797.85</v>
      </c>
      <c r="F88" s="6">
        <f>IFERROR(__xludf.DUMMYFUNCTION("""COMPUTED_VALUE"""),2.2439769E7)</f>
        <v>22439769</v>
      </c>
    </row>
    <row r="89">
      <c r="A89" s="7">
        <f>IFERROR(__xludf.DUMMYFUNCTION("""COMPUTED_VALUE"""),45814.64583333333)</f>
        <v>45814.64583</v>
      </c>
      <c r="B89" s="6">
        <f>IFERROR(__xludf.DUMMYFUNCTION("""COMPUTED_VALUE"""),797.0)</f>
        <v>797</v>
      </c>
      <c r="C89" s="6">
        <f>IFERROR(__xludf.DUMMYFUNCTION("""COMPUTED_VALUE"""),884.45)</f>
        <v>884.45</v>
      </c>
      <c r="D89" s="6">
        <f>IFERROR(__xludf.DUMMYFUNCTION("""COMPUTED_VALUE"""),789.65)</f>
        <v>789.65</v>
      </c>
      <c r="E89" s="6">
        <f>IFERROR(__xludf.DUMMYFUNCTION("""COMPUTED_VALUE"""),880.35)</f>
        <v>880.35</v>
      </c>
      <c r="F89" s="6">
        <f>IFERROR(__xludf.DUMMYFUNCTION("""COMPUTED_VALUE"""),2.844302E7)</f>
        <v>28443020</v>
      </c>
    </row>
    <row r="90">
      <c r="A90" s="7">
        <f>IFERROR(__xludf.DUMMYFUNCTION("""COMPUTED_VALUE"""),45821.64583333333)</f>
        <v>45821.64583</v>
      </c>
      <c r="B90" s="6">
        <f>IFERROR(__xludf.DUMMYFUNCTION("""COMPUTED_VALUE"""),886.45)</f>
        <v>886.45</v>
      </c>
      <c r="C90" s="6">
        <f>IFERROR(__xludf.DUMMYFUNCTION("""COMPUTED_VALUE"""),886.8)</f>
        <v>886.8</v>
      </c>
      <c r="D90" s="6">
        <f>IFERROR(__xludf.DUMMYFUNCTION("""COMPUTED_VALUE"""),826.0)</f>
        <v>826</v>
      </c>
      <c r="E90" s="6">
        <f>IFERROR(__xludf.DUMMYFUNCTION("""COMPUTED_VALUE"""),851.25)</f>
        <v>851.25</v>
      </c>
      <c r="F90" s="6">
        <f>IFERROR(__xludf.DUMMYFUNCTION("""COMPUTED_VALUE"""),1.4607696E7)</f>
        <v>14607696</v>
      </c>
    </row>
    <row r="91">
      <c r="A91" s="7">
        <f>IFERROR(__xludf.DUMMYFUNCTION("""COMPUTED_VALUE"""),45828.64583333333)</f>
        <v>45828.64583</v>
      </c>
      <c r="B91" s="6">
        <f>IFERROR(__xludf.DUMMYFUNCTION("""COMPUTED_VALUE"""),852.25)</f>
        <v>852.25</v>
      </c>
      <c r="C91" s="6">
        <f>IFERROR(__xludf.DUMMYFUNCTION("""COMPUTED_VALUE"""),882.45)</f>
        <v>882.45</v>
      </c>
      <c r="D91" s="6">
        <f>IFERROR(__xludf.DUMMYFUNCTION("""COMPUTED_VALUE"""),833.85)</f>
        <v>833.85</v>
      </c>
      <c r="E91" s="6">
        <f>IFERROR(__xludf.DUMMYFUNCTION("""COMPUTED_VALUE"""),854.25)</f>
        <v>854.25</v>
      </c>
      <c r="F91" s="6">
        <f>IFERROR(__xludf.DUMMYFUNCTION("""COMPUTED_VALUE"""),2.0934015E7)</f>
        <v>20934015</v>
      </c>
    </row>
    <row r="92">
      <c r="A92" s="7">
        <f>IFERROR(__xludf.DUMMYFUNCTION("""COMPUTED_VALUE"""),45835.64583333333)</f>
        <v>45835.64583</v>
      </c>
      <c r="B92" s="6">
        <f>IFERROR(__xludf.DUMMYFUNCTION("""COMPUTED_VALUE"""),847.7)</f>
        <v>847.7</v>
      </c>
      <c r="C92" s="6">
        <f>IFERROR(__xludf.DUMMYFUNCTION("""COMPUTED_VALUE"""),868.7)</f>
        <v>868.7</v>
      </c>
      <c r="D92" s="6">
        <f>IFERROR(__xludf.DUMMYFUNCTION("""COMPUTED_VALUE"""),834.45)</f>
        <v>834.45</v>
      </c>
      <c r="E92" s="6">
        <f>IFERROR(__xludf.DUMMYFUNCTION("""COMPUTED_VALUE"""),845.8)</f>
        <v>845.8</v>
      </c>
      <c r="F92" s="6">
        <f>IFERROR(__xludf.DUMMYFUNCTION("""COMPUTED_VALUE"""),1.7310667E7)</f>
        <v>17310667</v>
      </c>
    </row>
    <row r="93">
      <c r="A93" s="7">
        <f>IFERROR(__xludf.DUMMYFUNCTION("""COMPUTED_VALUE"""),45842.64583333333)</f>
        <v>45842.64583</v>
      </c>
      <c r="B93" s="6">
        <f>IFERROR(__xludf.DUMMYFUNCTION("""COMPUTED_VALUE"""),849.0)</f>
        <v>849</v>
      </c>
      <c r="C93" s="6">
        <f>IFERROR(__xludf.DUMMYFUNCTION("""COMPUTED_VALUE"""),851.4)</f>
        <v>851.4</v>
      </c>
      <c r="D93" s="6">
        <f>IFERROR(__xludf.DUMMYFUNCTION("""COMPUTED_VALUE"""),824.5)</f>
        <v>824.5</v>
      </c>
      <c r="E93" s="6">
        <f>IFERROR(__xludf.DUMMYFUNCTION("""COMPUTED_VALUE"""),836.0)</f>
        <v>836</v>
      </c>
      <c r="F93" s="6">
        <f>IFERROR(__xludf.DUMMYFUNCTION("""COMPUTED_VALUE"""),1.2115573E7)</f>
        <v>12115573</v>
      </c>
    </row>
    <row r="94">
      <c r="A94" s="7">
        <f>IFERROR(__xludf.DUMMYFUNCTION("""COMPUTED_VALUE"""),45849.64583333333)</f>
        <v>45849.64583</v>
      </c>
      <c r="B94" s="6">
        <f>IFERROR(__xludf.DUMMYFUNCTION("""COMPUTED_VALUE"""),835.6)</f>
        <v>835.6</v>
      </c>
      <c r="C94" s="6">
        <f>IFERROR(__xludf.DUMMYFUNCTION("""COMPUTED_VALUE"""),844.5)</f>
        <v>844.5</v>
      </c>
      <c r="D94" s="6">
        <f>IFERROR(__xludf.DUMMYFUNCTION("""COMPUTED_VALUE"""),811.25)</f>
        <v>811.25</v>
      </c>
      <c r="E94" s="6">
        <f>IFERROR(__xludf.DUMMYFUNCTION("""COMPUTED_VALUE"""),815.1)</f>
        <v>815.1</v>
      </c>
      <c r="F94" s="6">
        <f>IFERROR(__xludf.DUMMYFUNCTION("""COMPUTED_VALUE"""),1.0120759E7)</f>
        <v>10120759</v>
      </c>
    </row>
    <row r="95">
      <c r="A95" s="7">
        <f>IFERROR(__xludf.DUMMYFUNCTION("""COMPUTED_VALUE"""),45856.64583333333)</f>
        <v>45856.64583</v>
      </c>
      <c r="B95" s="6">
        <f>IFERROR(__xludf.DUMMYFUNCTION("""COMPUTED_VALUE"""),817.0)</f>
        <v>817</v>
      </c>
      <c r="C95" s="6">
        <f>IFERROR(__xludf.DUMMYFUNCTION("""COMPUTED_VALUE"""),856.0)</f>
        <v>856</v>
      </c>
      <c r="D95" s="6">
        <f>IFERROR(__xludf.DUMMYFUNCTION("""COMPUTED_VALUE"""),815.15)</f>
        <v>815.15</v>
      </c>
      <c r="E95" s="6">
        <f>IFERROR(__xludf.DUMMYFUNCTION("""COMPUTED_VALUE"""),845.2)</f>
        <v>845.2</v>
      </c>
      <c r="F95" s="6">
        <f>IFERROR(__xludf.DUMMYFUNCTION("""COMPUTED_VALUE"""),1.3711828E7)</f>
        <v>13711828</v>
      </c>
    </row>
    <row r="96">
      <c r="A96" s="7">
        <f>IFERROR(__xludf.DUMMYFUNCTION("""COMPUTED_VALUE"""),45863.64583333333)</f>
        <v>45863.64583</v>
      </c>
      <c r="B96" s="6">
        <f>IFERROR(__xludf.DUMMYFUNCTION("""COMPUTED_VALUE"""),845.2)</f>
        <v>845.2</v>
      </c>
      <c r="C96" s="6">
        <f>IFERROR(__xludf.DUMMYFUNCTION("""COMPUTED_VALUE"""),856.45)</f>
        <v>856.45</v>
      </c>
      <c r="D96" s="6">
        <f>IFERROR(__xludf.DUMMYFUNCTION("""COMPUTED_VALUE"""),822.4)</f>
        <v>822.4</v>
      </c>
      <c r="E96" s="6">
        <f>IFERROR(__xludf.DUMMYFUNCTION("""COMPUTED_VALUE"""),826.3)</f>
        <v>826.3</v>
      </c>
      <c r="F96" s="6">
        <f>IFERROR(__xludf.DUMMYFUNCTION("""COMPUTED_VALUE"""),1.1857949E7)</f>
        <v>11857949</v>
      </c>
    </row>
    <row r="97">
      <c r="A97" s="7">
        <f>IFERROR(__xludf.DUMMYFUNCTION("""COMPUTED_VALUE"""),45870.64583333333)</f>
        <v>45870.64583</v>
      </c>
      <c r="B97" s="6">
        <f>IFERROR(__xludf.DUMMYFUNCTION("""COMPUTED_VALUE"""),819.0)</f>
        <v>819</v>
      </c>
      <c r="C97" s="6">
        <f>IFERROR(__xludf.DUMMYFUNCTION("""COMPUTED_VALUE"""),820.45)</f>
        <v>820.45</v>
      </c>
      <c r="D97" s="6">
        <f>IFERROR(__xludf.DUMMYFUNCTION("""COMPUTED_VALUE"""),775.0)</f>
        <v>775</v>
      </c>
      <c r="E97" s="6">
        <f>IFERROR(__xludf.DUMMYFUNCTION("""COMPUTED_VALUE"""),777.4)</f>
        <v>777.4</v>
      </c>
      <c r="F97" s="6">
        <f>IFERROR(__xludf.DUMMYFUNCTION("""COMPUTED_VALUE"""),1.1817091E7)</f>
        <v>11817091</v>
      </c>
    </row>
    <row r="98">
      <c r="A98" s="7">
        <f>IFERROR(__xludf.DUMMYFUNCTION("""COMPUTED_VALUE"""),45877.64583333333)</f>
        <v>45877.64583</v>
      </c>
      <c r="B98" s="6">
        <f>IFERROR(__xludf.DUMMYFUNCTION("""COMPUTED_VALUE"""),780.0)</f>
        <v>780</v>
      </c>
      <c r="C98" s="6">
        <f>IFERROR(__xludf.DUMMYFUNCTION("""COMPUTED_VALUE"""),798.8)</f>
        <v>798.8</v>
      </c>
      <c r="D98" s="6">
        <f>IFERROR(__xludf.DUMMYFUNCTION("""COMPUTED_VALUE"""),743.15)</f>
        <v>743.15</v>
      </c>
      <c r="E98" s="6">
        <f>IFERROR(__xludf.DUMMYFUNCTION("""COMPUTED_VALUE"""),747.2)</f>
        <v>747.2</v>
      </c>
      <c r="F98" s="6">
        <f>IFERROR(__xludf.DUMMYFUNCTION("""COMPUTED_VALUE"""),1.6662589E7)</f>
        <v>16662589</v>
      </c>
    </row>
    <row r="99">
      <c r="A99" s="7">
        <f>IFERROR(__xludf.DUMMYFUNCTION("""COMPUTED_VALUE"""),45883.64583333333)</f>
        <v>45883.64583</v>
      </c>
      <c r="B99" s="6">
        <f>IFERROR(__xludf.DUMMYFUNCTION("""COMPUTED_VALUE"""),747.25)</f>
        <v>747.25</v>
      </c>
      <c r="C99" s="6">
        <f>IFERROR(__xludf.DUMMYFUNCTION("""COMPUTED_VALUE"""),768.5)</f>
        <v>768.5</v>
      </c>
      <c r="D99" s="6">
        <f>IFERROR(__xludf.DUMMYFUNCTION("""COMPUTED_VALUE"""),742.15)</f>
        <v>742.15</v>
      </c>
      <c r="E99" s="6">
        <f>IFERROR(__xludf.DUMMYFUNCTION("""COMPUTED_VALUE"""),751.55)</f>
        <v>751.55</v>
      </c>
      <c r="F99" s="6">
        <f>IFERROR(__xludf.DUMMYFUNCTION("""COMPUTED_VALUE"""),8190148.0)</f>
        <v>8190148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IFERROR(__xludf.DUMMYFUNCTION("""COMPUTED_VALUE"""),766.0)</f>
        <v>766</v>
      </c>
      <c r="C100" s="6">
        <f>IFERROR(__xludf.DUMMYFUNCTION("""COMPUTED_VALUE"""),783.9)</f>
        <v>783.9</v>
      </c>
      <c r="D100" s="6">
        <f>IFERROR(__xludf.DUMMYFUNCTION("""COMPUTED_VALUE"""),759.05)</f>
        <v>759.05</v>
      </c>
      <c r="E100" s="6">
        <f>IFERROR(__xludf.DUMMYFUNCTION("""COMPUTED_VALUE"""),762.55)</f>
        <v>762.55</v>
      </c>
      <c r="F100" s="6">
        <f>IFERROR(__xludf.DUMMYFUNCTION("""COMPUTED_VALUE"""),1.0349044E7)</f>
        <v>10349044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IFERROR(__xludf.DUMMYFUNCTION("""COMPUTED_VALUE"""),764.45)</f>
        <v>764.45</v>
      </c>
      <c r="C101" s="6">
        <f>IFERROR(__xludf.DUMMYFUNCTION("""COMPUTED_VALUE"""),775.85)</f>
        <v>775.85</v>
      </c>
      <c r="D101" s="6">
        <f>IFERROR(__xludf.DUMMYFUNCTION("""COMPUTED_VALUE"""),753.0)</f>
        <v>753</v>
      </c>
      <c r="E101" s="6">
        <f>IFERROR(__xludf.DUMMYFUNCTION("""COMPUTED_VALUE"""),754.6)</f>
        <v>754.6</v>
      </c>
      <c r="F101" s="6">
        <f>IFERROR(__xludf.DUMMYFUNCTION("""COMPUTED_VALUE"""),3.043548E7)</f>
        <v>30435480</v>
      </c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IFERROR(__xludf.DUMMYFUNCTION("GOOGLEFINANCE(""NSE:DMART"",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IFERROR(__xludf.DUMMYFUNCTION("""COMPUTED_VALUE"""),3533.0)</f>
        <v>3533</v>
      </c>
      <c r="C2" s="6">
        <f>IFERROR(__xludf.DUMMYFUNCTION("""COMPUTED_VALUE"""),3765.0)</f>
        <v>3765</v>
      </c>
      <c r="D2" s="6">
        <f>IFERROR(__xludf.DUMMYFUNCTION("""COMPUTED_VALUE"""),3533.0)</f>
        <v>3533</v>
      </c>
      <c r="E2" s="6">
        <f>IFERROR(__xludf.DUMMYFUNCTION("""COMPUTED_VALUE"""),3761.05)</f>
        <v>3761.05</v>
      </c>
      <c r="F2" s="6">
        <f>IFERROR(__xludf.DUMMYFUNCTION("""COMPUTED_VALUE"""),2708491.0)</f>
        <v>2708491</v>
      </c>
    </row>
    <row r="3">
      <c r="A3" s="7">
        <f>IFERROR(__xludf.DUMMYFUNCTION("""COMPUTED_VALUE"""),45177.64583333333)</f>
        <v>45177.64583</v>
      </c>
      <c r="B3" s="6">
        <f>IFERROR(__xludf.DUMMYFUNCTION("""COMPUTED_VALUE"""),3771.95)</f>
        <v>3771.95</v>
      </c>
      <c r="C3" s="6">
        <f>IFERROR(__xludf.DUMMYFUNCTION("""COMPUTED_VALUE"""),3856.8)</f>
        <v>3856.8</v>
      </c>
      <c r="D3" s="6">
        <f>IFERROR(__xludf.DUMMYFUNCTION("""COMPUTED_VALUE"""),3727.7)</f>
        <v>3727.7</v>
      </c>
      <c r="E3" s="6">
        <f>IFERROR(__xludf.DUMMYFUNCTION("""COMPUTED_VALUE"""),3782.4)</f>
        <v>3782.4</v>
      </c>
      <c r="F3" s="6">
        <f>IFERROR(__xludf.DUMMYFUNCTION("""COMPUTED_VALUE"""),1201916.0)</f>
        <v>1201916</v>
      </c>
    </row>
    <row r="4">
      <c r="A4" s="7">
        <f>IFERROR(__xludf.DUMMYFUNCTION("""COMPUTED_VALUE"""),45184.64583333333)</f>
        <v>45184.64583</v>
      </c>
      <c r="B4" s="6">
        <f>IFERROR(__xludf.DUMMYFUNCTION("""COMPUTED_VALUE"""),3791.7)</f>
        <v>3791.7</v>
      </c>
      <c r="C4" s="6">
        <f>IFERROR(__xludf.DUMMYFUNCTION("""COMPUTED_VALUE"""),3850.0)</f>
        <v>3850</v>
      </c>
      <c r="D4" s="6">
        <f>IFERROR(__xludf.DUMMYFUNCTION("""COMPUTED_VALUE"""),3731.2)</f>
        <v>3731.2</v>
      </c>
      <c r="E4" s="6">
        <f>IFERROR(__xludf.DUMMYFUNCTION("""COMPUTED_VALUE"""),3796.0)</f>
        <v>3796</v>
      </c>
      <c r="F4" s="6">
        <f>IFERROR(__xludf.DUMMYFUNCTION("""COMPUTED_VALUE"""),1276176.0)</f>
        <v>1276176</v>
      </c>
    </row>
    <row r="5">
      <c r="A5" s="7">
        <f>IFERROR(__xludf.DUMMYFUNCTION("""COMPUTED_VALUE"""),45191.64583333333)</f>
        <v>45191.64583</v>
      </c>
      <c r="B5" s="6">
        <f>IFERROR(__xludf.DUMMYFUNCTION("""COMPUTED_VALUE"""),3795.8)</f>
        <v>3795.8</v>
      </c>
      <c r="C5" s="6">
        <f>IFERROR(__xludf.DUMMYFUNCTION("""COMPUTED_VALUE"""),3810.0)</f>
        <v>3810</v>
      </c>
      <c r="D5" s="6">
        <f>IFERROR(__xludf.DUMMYFUNCTION("""COMPUTED_VALUE"""),3653.95)</f>
        <v>3653.95</v>
      </c>
      <c r="E5" s="6">
        <f>IFERROR(__xludf.DUMMYFUNCTION("""COMPUTED_VALUE"""),3689.1)</f>
        <v>3689.1</v>
      </c>
      <c r="F5" s="6">
        <f>IFERROR(__xludf.DUMMYFUNCTION("""COMPUTED_VALUE"""),635980.0)</f>
        <v>635980</v>
      </c>
    </row>
    <row r="6">
      <c r="A6" s="7">
        <f>IFERROR(__xludf.DUMMYFUNCTION("""COMPUTED_VALUE"""),45198.64583333333)</f>
        <v>45198.64583</v>
      </c>
      <c r="B6" s="6">
        <f>IFERROR(__xludf.DUMMYFUNCTION("""COMPUTED_VALUE"""),3700.0)</f>
        <v>3700</v>
      </c>
      <c r="C6" s="6">
        <f>IFERROR(__xludf.DUMMYFUNCTION("""COMPUTED_VALUE"""),3702.95)</f>
        <v>3702.95</v>
      </c>
      <c r="D6" s="6">
        <f>IFERROR(__xludf.DUMMYFUNCTION("""COMPUTED_VALUE"""),3625.0)</f>
        <v>3625</v>
      </c>
      <c r="E6" s="6">
        <f>IFERROR(__xludf.DUMMYFUNCTION("""COMPUTED_VALUE"""),3675.6)</f>
        <v>3675.6</v>
      </c>
      <c r="F6" s="6">
        <f>IFERROR(__xludf.DUMMYFUNCTION("""COMPUTED_VALUE"""),1483000.0)</f>
        <v>1483000</v>
      </c>
    </row>
    <row r="7">
      <c r="A7" s="7">
        <f>IFERROR(__xludf.DUMMYFUNCTION("""COMPUTED_VALUE"""),45205.64583333333)</f>
        <v>45205.64583</v>
      </c>
      <c r="B7" s="6">
        <f>IFERROR(__xludf.DUMMYFUNCTION("""COMPUTED_VALUE"""),3675.4)</f>
        <v>3675.4</v>
      </c>
      <c r="C7" s="6">
        <f>IFERROR(__xludf.DUMMYFUNCTION("""COMPUTED_VALUE"""),3938.4)</f>
        <v>3938.4</v>
      </c>
      <c r="D7" s="6">
        <f>IFERROR(__xludf.DUMMYFUNCTION("""COMPUTED_VALUE"""),3616.0)</f>
        <v>3616</v>
      </c>
      <c r="E7" s="6">
        <f>IFERROR(__xludf.DUMMYFUNCTION("""COMPUTED_VALUE"""),3833.95)</f>
        <v>3833.95</v>
      </c>
      <c r="F7" s="6">
        <f>IFERROR(__xludf.DUMMYFUNCTION("""COMPUTED_VALUE"""),2924840.0)</f>
        <v>2924840</v>
      </c>
    </row>
    <row r="8">
      <c r="A8" s="7">
        <f>IFERROR(__xludf.DUMMYFUNCTION("""COMPUTED_VALUE"""),45212.64583333333)</f>
        <v>45212.64583</v>
      </c>
      <c r="B8" s="6">
        <f>IFERROR(__xludf.DUMMYFUNCTION("""COMPUTED_VALUE"""),3809.6)</f>
        <v>3809.6</v>
      </c>
      <c r="C8" s="6">
        <f>IFERROR(__xludf.DUMMYFUNCTION("""COMPUTED_VALUE"""),3941.0)</f>
        <v>3941</v>
      </c>
      <c r="D8" s="6">
        <f>IFERROR(__xludf.DUMMYFUNCTION("""COMPUTED_VALUE"""),3771.0)</f>
        <v>3771</v>
      </c>
      <c r="E8" s="6">
        <f>IFERROR(__xludf.DUMMYFUNCTION("""COMPUTED_VALUE"""),3935.85)</f>
        <v>3935.85</v>
      </c>
      <c r="F8" s="6">
        <f>IFERROR(__xludf.DUMMYFUNCTION("""COMPUTED_VALUE"""),1649429.0)</f>
        <v>1649429</v>
      </c>
    </row>
    <row r="9">
      <c r="A9" s="7">
        <f>IFERROR(__xludf.DUMMYFUNCTION("""COMPUTED_VALUE"""),45219.64583333333)</f>
        <v>45219.64583</v>
      </c>
      <c r="B9" s="6">
        <f>IFERROR(__xludf.DUMMYFUNCTION("""COMPUTED_VALUE"""),3825.05)</f>
        <v>3825.05</v>
      </c>
      <c r="C9" s="6">
        <f>IFERROR(__xludf.DUMMYFUNCTION("""COMPUTED_VALUE"""),3885.0)</f>
        <v>3885</v>
      </c>
      <c r="D9" s="6">
        <f>IFERROR(__xludf.DUMMYFUNCTION("""COMPUTED_VALUE"""),3742.1)</f>
        <v>3742.1</v>
      </c>
      <c r="E9" s="6">
        <f>IFERROR(__xludf.DUMMYFUNCTION("""COMPUTED_VALUE"""),3749.5)</f>
        <v>3749.5</v>
      </c>
      <c r="F9" s="6">
        <f>IFERROR(__xludf.DUMMYFUNCTION("""COMPUTED_VALUE"""),2221346.0)</f>
        <v>2221346</v>
      </c>
    </row>
    <row r="10">
      <c r="A10" s="7">
        <f>IFERROR(__xludf.DUMMYFUNCTION("""COMPUTED_VALUE"""),45226.64583333333)</f>
        <v>45226.64583</v>
      </c>
      <c r="B10" s="6">
        <f>IFERROR(__xludf.DUMMYFUNCTION("""COMPUTED_VALUE"""),3750.05)</f>
        <v>3750.05</v>
      </c>
      <c r="C10" s="6">
        <f>IFERROR(__xludf.DUMMYFUNCTION("""COMPUTED_VALUE"""),3768.0)</f>
        <v>3768</v>
      </c>
      <c r="D10" s="6">
        <f>IFERROR(__xludf.DUMMYFUNCTION("""COMPUTED_VALUE"""),3620.1)</f>
        <v>3620.1</v>
      </c>
      <c r="E10" s="6">
        <f>IFERROR(__xludf.DUMMYFUNCTION("""COMPUTED_VALUE"""),3665.45)</f>
        <v>3665.45</v>
      </c>
      <c r="F10" s="6">
        <f>IFERROR(__xludf.DUMMYFUNCTION("""COMPUTED_VALUE"""),1285594.0)</f>
        <v>1285594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IFERROR(__xludf.DUMMYFUNCTION("""COMPUTED_VALUE"""),3686.7)</f>
        <v>3686.7</v>
      </c>
      <c r="C11" s="6">
        <f>IFERROR(__xludf.DUMMYFUNCTION("""COMPUTED_VALUE"""),3688.0)</f>
        <v>3688</v>
      </c>
      <c r="D11" s="6">
        <f>IFERROR(__xludf.DUMMYFUNCTION("""COMPUTED_VALUE"""),3620.0)</f>
        <v>3620</v>
      </c>
      <c r="E11" s="6">
        <f>IFERROR(__xludf.DUMMYFUNCTION("""COMPUTED_VALUE"""),3649.7)</f>
        <v>3649.7</v>
      </c>
      <c r="F11" s="6">
        <f>IFERROR(__xludf.DUMMYFUNCTION("""COMPUTED_VALUE"""),1849430.0)</f>
        <v>1849430</v>
      </c>
    </row>
    <row r="12">
      <c r="A12" s="7">
        <f>IFERROR(__xludf.DUMMYFUNCTION("""COMPUTED_VALUE"""),45240.64583333333)</f>
        <v>45240.64583</v>
      </c>
      <c r="B12" s="6">
        <f>IFERROR(__xludf.DUMMYFUNCTION("""COMPUTED_VALUE"""),3654.55)</f>
        <v>3654.55</v>
      </c>
      <c r="C12" s="6">
        <f>IFERROR(__xludf.DUMMYFUNCTION("""COMPUTED_VALUE"""),3800.0)</f>
        <v>3800</v>
      </c>
      <c r="D12" s="6">
        <f>IFERROR(__xludf.DUMMYFUNCTION("""COMPUTED_VALUE"""),3635.3)</f>
        <v>3635.3</v>
      </c>
      <c r="E12" s="6">
        <f>IFERROR(__xludf.DUMMYFUNCTION("""COMPUTED_VALUE"""),3798.4)</f>
        <v>3798.4</v>
      </c>
      <c r="F12" s="6">
        <f>IFERROR(__xludf.DUMMYFUNCTION("""COMPUTED_VALUE"""),1265182.0)</f>
        <v>1265182</v>
      </c>
    </row>
    <row r="13">
      <c r="A13" s="7">
        <f>IFERROR(__xludf.DUMMYFUNCTION("""COMPUTED_VALUE"""),45247.64583333333)</f>
        <v>45247.64583</v>
      </c>
      <c r="B13" s="6">
        <f>IFERROR(__xludf.DUMMYFUNCTION("""COMPUTED_VALUE"""),3815.0)</f>
        <v>3815</v>
      </c>
      <c r="C13" s="6">
        <f>IFERROR(__xludf.DUMMYFUNCTION("""COMPUTED_VALUE"""),3843.0)</f>
        <v>3843</v>
      </c>
      <c r="D13" s="6">
        <f>IFERROR(__xludf.DUMMYFUNCTION("""COMPUTED_VALUE"""),3740.2)</f>
        <v>3740.2</v>
      </c>
      <c r="E13" s="6">
        <f>IFERROR(__xludf.DUMMYFUNCTION("""COMPUTED_VALUE"""),3810.9)</f>
        <v>3810.9</v>
      </c>
      <c r="F13" s="6">
        <f>IFERROR(__xludf.DUMMYFUNCTION("""COMPUTED_VALUE"""),994396.0)</f>
        <v>994396</v>
      </c>
    </row>
    <row r="14">
      <c r="A14" s="7">
        <f>IFERROR(__xludf.DUMMYFUNCTION("""COMPUTED_VALUE"""),45254.64583333333)</f>
        <v>45254.64583</v>
      </c>
      <c r="B14" s="6">
        <f>IFERROR(__xludf.DUMMYFUNCTION("""COMPUTED_VALUE"""),3810.9)</f>
        <v>3810.9</v>
      </c>
      <c r="C14" s="6">
        <f>IFERROR(__xludf.DUMMYFUNCTION("""COMPUTED_VALUE"""),3873.85)</f>
        <v>3873.85</v>
      </c>
      <c r="D14" s="6">
        <f>IFERROR(__xludf.DUMMYFUNCTION("""COMPUTED_VALUE"""),3771.7)</f>
        <v>3771.7</v>
      </c>
      <c r="E14" s="6">
        <f>IFERROR(__xludf.DUMMYFUNCTION("""COMPUTED_VALUE"""),3842.9)</f>
        <v>3842.9</v>
      </c>
      <c r="F14" s="6">
        <f>IFERROR(__xludf.DUMMYFUNCTION("""COMPUTED_VALUE"""),947069.0)</f>
        <v>947069</v>
      </c>
    </row>
    <row r="15">
      <c r="A15" s="7">
        <f>IFERROR(__xludf.DUMMYFUNCTION("""COMPUTED_VALUE"""),45261.64583333333)</f>
        <v>45261.64583</v>
      </c>
      <c r="B15" s="6">
        <f>IFERROR(__xludf.DUMMYFUNCTION("""COMPUTED_VALUE"""),3815.0)</f>
        <v>3815</v>
      </c>
      <c r="C15" s="6">
        <f>IFERROR(__xludf.DUMMYFUNCTION("""COMPUTED_VALUE"""),3995.0)</f>
        <v>3995</v>
      </c>
      <c r="D15" s="6">
        <f>IFERROR(__xludf.DUMMYFUNCTION("""COMPUTED_VALUE"""),3815.0)</f>
        <v>3815</v>
      </c>
      <c r="E15" s="6">
        <f>IFERROR(__xludf.DUMMYFUNCTION("""COMPUTED_VALUE"""),3988.4)</f>
        <v>3988.4</v>
      </c>
      <c r="F15" s="6">
        <f>IFERROR(__xludf.DUMMYFUNCTION("""COMPUTED_VALUE"""),1862441.0)</f>
        <v>1862441</v>
      </c>
    </row>
    <row r="16">
      <c r="A16" s="7">
        <f>IFERROR(__xludf.DUMMYFUNCTION("""COMPUTED_VALUE"""),45268.64583333333)</f>
        <v>45268.64583</v>
      </c>
      <c r="B16" s="6">
        <f>IFERROR(__xludf.DUMMYFUNCTION("""COMPUTED_VALUE"""),4000.0)</f>
        <v>4000</v>
      </c>
      <c r="C16" s="6">
        <f>IFERROR(__xludf.DUMMYFUNCTION("""COMPUTED_VALUE"""),4206.0)</f>
        <v>4206</v>
      </c>
      <c r="D16" s="6">
        <f>IFERROR(__xludf.DUMMYFUNCTION("""COMPUTED_VALUE"""),3949.0)</f>
        <v>3949</v>
      </c>
      <c r="E16" s="6">
        <f>IFERROR(__xludf.DUMMYFUNCTION("""COMPUTED_VALUE"""),4070.65)</f>
        <v>4070.65</v>
      </c>
      <c r="F16" s="6">
        <f>IFERROR(__xludf.DUMMYFUNCTION("""COMPUTED_VALUE"""),2604291.0)</f>
        <v>2604291</v>
      </c>
    </row>
    <row r="17">
      <c r="A17" s="7">
        <f>IFERROR(__xludf.DUMMYFUNCTION("""COMPUTED_VALUE"""),45275.64583333333)</f>
        <v>45275.64583</v>
      </c>
      <c r="B17" s="6">
        <f>IFERROR(__xludf.DUMMYFUNCTION("""COMPUTED_VALUE"""),4070.65)</f>
        <v>4070.65</v>
      </c>
      <c r="C17" s="6">
        <f>IFERROR(__xludf.DUMMYFUNCTION("""COMPUTED_VALUE"""),4100.0)</f>
        <v>4100</v>
      </c>
      <c r="D17" s="6">
        <f>IFERROR(__xludf.DUMMYFUNCTION("""COMPUTED_VALUE"""),3945.1)</f>
        <v>3945.1</v>
      </c>
      <c r="E17" s="6">
        <f>IFERROR(__xludf.DUMMYFUNCTION("""COMPUTED_VALUE"""),4045.65)</f>
        <v>4045.65</v>
      </c>
      <c r="F17" s="6">
        <f>IFERROR(__xludf.DUMMYFUNCTION("""COMPUTED_VALUE"""),1542911.0)</f>
        <v>1542911</v>
      </c>
    </row>
    <row r="18">
      <c r="A18" s="7">
        <f>IFERROR(__xludf.DUMMYFUNCTION("""COMPUTED_VALUE"""),45282.64583333333)</f>
        <v>45282.64583</v>
      </c>
      <c r="B18" s="6">
        <f>IFERROR(__xludf.DUMMYFUNCTION("""COMPUTED_VALUE"""),4045.0)</f>
        <v>4045</v>
      </c>
      <c r="C18" s="6">
        <f>IFERROR(__xludf.DUMMYFUNCTION("""COMPUTED_VALUE"""),4079.8)</f>
        <v>4079.8</v>
      </c>
      <c r="D18" s="6">
        <f>IFERROR(__xludf.DUMMYFUNCTION("""COMPUTED_VALUE"""),3905.0)</f>
        <v>3905</v>
      </c>
      <c r="E18" s="6">
        <f>IFERROR(__xludf.DUMMYFUNCTION("""COMPUTED_VALUE"""),4007.95)</f>
        <v>4007.95</v>
      </c>
      <c r="F18" s="6">
        <f>IFERROR(__xludf.DUMMYFUNCTION("""COMPUTED_VALUE"""),1163070.0)</f>
        <v>1163070</v>
      </c>
    </row>
    <row r="19">
      <c r="A19" s="7">
        <f>IFERROR(__xludf.DUMMYFUNCTION("""COMPUTED_VALUE"""),45289.64583333333)</f>
        <v>45289.64583</v>
      </c>
      <c r="B19" s="6">
        <f>IFERROR(__xludf.DUMMYFUNCTION("""COMPUTED_VALUE"""),4009.95)</f>
        <v>4009.95</v>
      </c>
      <c r="C19" s="6">
        <f>IFERROR(__xludf.DUMMYFUNCTION("""COMPUTED_VALUE"""),4098.9)</f>
        <v>4098.9</v>
      </c>
      <c r="D19" s="6">
        <f>IFERROR(__xludf.DUMMYFUNCTION("""COMPUTED_VALUE"""),3984.2)</f>
        <v>3984.2</v>
      </c>
      <c r="E19" s="6">
        <f>IFERROR(__xludf.DUMMYFUNCTION("""COMPUTED_VALUE"""),4082.65)</f>
        <v>4082.65</v>
      </c>
      <c r="F19" s="6">
        <f>IFERROR(__xludf.DUMMYFUNCTION("""COMPUTED_VALUE"""),1277028.0)</f>
        <v>1277028</v>
      </c>
    </row>
    <row r="20">
      <c r="A20" s="7">
        <f>IFERROR(__xludf.DUMMYFUNCTION("""COMPUTED_VALUE"""),45296.64583333333)</f>
        <v>45296.64583</v>
      </c>
      <c r="B20" s="6">
        <f>IFERROR(__xludf.DUMMYFUNCTION("""COMPUTED_VALUE"""),4075.0)</f>
        <v>4075</v>
      </c>
      <c r="C20" s="6">
        <f>IFERROR(__xludf.DUMMYFUNCTION("""COMPUTED_VALUE"""),4155.0)</f>
        <v>4155</v>
      </c>
      <c r="D20" s="6">
        <f>IFERROR(__xludf.DUMMYFUNCTION("""COMPUTED_VALUE"""),3810.0)</f>
        <v>3810</v>
      </c>
      <c r="E20" s="6">
        <f>IFERROR(__xludf.DUMMYFUNCTION("""COMPUTED_VALUE"""),3863.5)</f>
        <v>3863.5</v>
      </c>
      <c r="F20" s="6">
        <f>IFERROR(__xludf.DUMMYFUNCTION("""COMPUTED_VALUE"""),3207649.0)</f>
        <v>3207649</v>
      </c>
    </row>
    <row r="21">
      <c r="A21" s="7">
        <f>IFERROR(__xludf.DUMMYFUNCTION("""COMPUTED_VALUE"""),45303.64583333333)</f>
        <v>45303.64583</v>
      </c>
      <c r="B21" s="6">
        <f>IFERROR(__xludf.DUMMYFUNCTION("""COMPUTED_VALUE"""),3893.95)</f>
        <v>3893.95</v>
      </c>
      <c r="C21" s="6">
        <f>IFERROR(__xludf.DUMMYFUNCTION("""COMPUTED_VALUE"""),3919.9)</f>
        <v>3919.9</v>
      </c>
      <c r="D21" s="6">
        <f>IFERROR(__xludf.DUMMYFUNCTION("""COMPUTED_VALUE"""),3787.0)</f>
        <v>3787</v>
      </c>
      <c r="E21" s="6">
        <f>IFERROR(__xludf.DUMMYFUNCTION("""COMPUTED_VALUE"""),3841.0)</f>
        <v>3841</v>
      </c>
      <c r="F21" s="6">
        <f>IFERROR(__xludf.DUMMYFUNCTION("""COMPUTED_VALUE"""),2141956.0)</f>
        <v>2141956</v>
      </c>
    </row>
    <row r="22">
      <c r="A22" s="7">
        <f>IFERROR(__xludf.DUMMYFUNCTION("""COMPUTED_VALUE"""),45316.64583333333)</f>
        <v>45316.64583</v>
      </c>
      <c r="B22" s="6">
        <f>IFERROR(__xludf.DUMMYFUNCTION("""COMPUTED_VALUE"""),3675.0)</f>
        <v>3675</v>
      </c>
      <c r="C22" s="6">
        <f>IFERROR(__xludf.DUMMYFUNCTION("""COMPUTED_VALUE"""),3750.0)</f>
        <v>3750</v>
      </c>
      <c r="D22" s="6">
        <f>IFERROR(__xludf.DUMMYFUNCTION("""COMPUTED_VALUE"""),3646.05)</f>
        <v>3646.05</v>
      </c>
      <c r="E22" s="6">
        <f>IFERROR(__xludf.DUMMYFUNCTION("""COMPUTED_VALUE"""),3734.25)</f>
        <v>3734.25</v>
      </c>
      <c r="F22" s="6">
        <f>IFERROR(__xludf.DUMMYFUNCTION("""COMPUTED_VALUE"""),816670.0)</f>
        <v>816670</v>
      </c>
    </row>
    <row r="23">
      <c r="A23" s="7">
        <f>IFERROR(__xludf.DUMMYFUNCTION("""COMPUTED_VALUE"""),45324.64583333333)</f>
        <v>45324.64583</v>
      </c>
      <c r="B23" s="6">
        <f>IFERROR(__xludf.DUMMYFUNCTION("""COMPUTED_VALUE"""),3700.0)</f>
        <v>3700</v>
      </c>
      <c r="C23" s="6">
        <f>IFERROR(__xludf.DUMMYFUNCTION("""COMPUTED_VALUE"""),3826.6)</f>
        <v>3826.6</v>
      </c>
      <c r="D23" s="6">
        <f>IFERROR(__xludf.DUMMYFUNCTION("""COMPUTED_VALUE"""),3652.75)</f>
        <v>3652.75</v>
      </c>
      <c r="E23" s="6">
        <f>IFERROR(__xludf.DUMMYFUNCTION("""COMPUTED_VALUE"""),3784.3)</f>
        <v>3784.3</v>
      </c>
      <c r="F23" s="6">
        <f>IFERROR(__xludf.DUMMYFUNCTION("""COMPUTED_VALUE"""),1208282.0)</f>
        <v>1208282</v>
      </c>
    </row>
    <row r="24">
      <c r="A24" s="7">
        <f>IFERROR(__xludf.DUMMYFUNCTION("""COMPUTED_VALUE"""),45331.64583333333)</f>
        <v>45331.64583</v>
      </c>
      <c r="B24" s="6">
        <f>IFERROR(__xludf.DUMMYFUNCTION("""COMPUTED_VALUE"""),3785.0)</f>
        <v>3785</v>
      </c>
      <c r="C24" s="6">
        <f>IFERROR(__xludf.DUMMYFUNCTION("""COMPUTED_VALUE"""),3791.55)</f>
        <v>3791.55</v>
      </c>
      <c r="D24" s="6">
        <f>IFERROR(__xludf.DUMMYFUNCTION("""COMPUTED_VALUE"""),3699.0)</f>
        <v>3699</v>
      </c>
      <c r="E24" s="6">
        <f>IFERROR(__xludf.DUMMYFUNCTION("""COMPUTED_VALUE"""),3719.2)</f>
        <v>3719.2</v>
      </c>
      <c r="F24" s="6">
        <f>IFERROR(__xludf.DUMMYFUNCTION("""COMPUTED_VALUE"""),1105363.0)</f>
        <v>1105363</v>
      </c>
    </row>
    <row r="25">
      <c r="A25" s="7">
        <f>IFERROR(__xludf.DUMMYFUNCTION("""COMPUTED_VALUE"""),45338.64583333333)</f>
        <v>45338.64583</v>
      </c>
      <c r="B25" s="6">
        <f>IFERROR(__xludf.DUMMYFUNCTION("""COMPUTED_VALUE"""),3719.2)</f>
        <v>3719.2</v>
      </c>
      <c r="C25" s="6">
        <f>IFERROR(__xludf.DUMMYFUNCTION("""COMPUTED_VALUE"""),3739.0)</f>
        <v>3739</v>
      </c>
      <c r="D25" s="6">
        <f>IFERROR(__xludf.DUMMYFUNCTION("""COMPUTED_VALUE"""),3644.3)</f>
        <v>3644.3</v>
      </c>
      <c r="E25" s="6">
        <f>IFERROR(__xludf.DUMMYFUNCTION("""COMPUTED_VALUE"""),3693.3)</f>
        <v>3693.3</v>
      </c>
      <c r="F25" s="6">
        <f>IFERROR(__xludf.DUMMYFUNCTION("""COMPUTED_VALUE"""),1984995.0)</f>
        <v>1984995</v>
      </c>
    </row>
    <row r="26">
      <c r="A26" s="7">
        <f>IFERROR(__xludf.DUMMYFUNCTION("""COMPUTED_VALUE"""),45345.64583333333)</f>
        <v>45345.64583</v>
      </c>
      <c r="B26" s="6">
        <f>IFERROR(__xludf.DUMMYFUNCTION("""COMPUTED_VALUE"""),3673.3)</f>
        <v>3673.3</v>
      </c>
      <c r="C26" s="6">
        <f>IFERROR(__xludf.DUMMYFUNCTION("""COMPUTED_VALUE"""),3889.0)</f>
        <v>3889</v>
      </c>
      <c r="D26" s="6">
        <f>IFERROR(__xludf.DUMMYFUNCTION("""COMPUTED_VALUE"""),3673.3)</f>
        <v>3673.3</v>
      </c>
      <c r="E26" s="6">
        <f>IFERROR(__xludf.DUMMYFUNCTION("""COMPUTED_VALUE"""),3840.55)</f>
        <v>3840.55</v>
      </c>
      <c r="F26" s="6">
        <f>IFERROR(__xludf.DUMMYFUNCTION("""COMPUTED_VALUE"""),1599838.0)</f>
        <v>1599838</v>
      </c>
    </row>
    <row r="27">
      <c r="A27" s="7">
        <f>IFERROR(__xludf.DUMMYFUNCTION("""COMPUTED_VALUE"""),45358.64583333333)</f>
        <v>45358.64583</v>
      </c>
      <c r="B27" s="6">
        <f>IFERROR(__xludf.DUMMYFUNCTION("""COMPUTED_VALUE"""),3870.95)</f>
        <v>3870.95</v>
      </c>
      <c r="C27" s="6">
        <f>IFERROR(__xludf.DUMMYFUNCTION("""COMPUTED_VALUE"""),3942.65)</f>
        <v>3942.65</v>
      </c>
      <c r="D27" s="6">
        <f>IFERROR(__xludf.DUMMYFUNCTION("""COMPUTED_VALUE"""),3811.3)</f>
        <v>3811.3</v>
      </c>
      <c r="E27" s="6">
        <f>IFERROR(__xludf.DUMMYFUNCTION("""COMPUTED_VALUE"""),3925.95)</f>
        <v>3925.95</v>
      </c>
      <c r="F27" s="6">
        <f>IFERROR(__xludf.DUMMYFUNCTION("""COMPUTED_VALUE"""),978229.0)</f>
        <v>978229</v>
      </c>
    </row>
    <row r="28">
      <c r="A28" s="7">
        <f>IFERROR(__xludf.DUMMYFUNCTION("""COMPUTED_VALUE"""),45366.64583333333)</f>
        <v>45366.64583</v>
      </c>
      <c r="B28" s="6">
        <f>IFERROR(__xludf.DUMMYFUNCTION("""COMPUTED_VALUE"""),3948.85)</f>
        <v>3948.85</v>
      </c>
      <c r="C28" s="6">
        <f>IFERROR(__xludf.DUMMYFUNCTION("""COMPUTED_VALUE"""),4056.0)</f>
        <v>4056</v>
      </c>
      <c r="D28" s="6">
        <f>IFERROR(__xludf.DUMMYFUNCTION("""COMPUTED_VALUE"""),3890.0)</f>
        <v>3890</v>
      </c>
      <c r="E28" s="6">
        <f>IFERROR(__xludf.DUMMYFUNCTION("""COMPUTED_VALUE"""),3932.1)</f>
        <v>3932.1</v>
      </c>
      <c r="F28" s="6">
        <f>IFERROR(__xludf.DUMMYFUNCTION("""COMPUTED_VALUE"""),2414908.0)</f>
        <v>2414908</v>
      </c>
    </row>
    <row r="29">
      <c r="A29" s="7">
        <f>IFERROR(__xludf.DUMMYFUNCTION("""COMPUTED_VALUE"""),45373.64583333333)</f>
        <v>45373.64583</v>
      </c>
      <c r="B29" s="6">
        <f>IFERROR(__xludf.DUMMYFUNCTION("""COMPUTED_VALUE"""),3932.1)</f>
        <v>3932.1</v>
      </c>
      <c r="C29" s="6">
        <f>IFERROR(__xludf.DUMMYFUNCTION("""COMPUTED_VALUE"""),4330.5)</f>
        <v>4330.5</v>
      </c>
      <c r="D29" s="6">
        <f>IFERROR(__xludf.DUMMYFUNCTION("""COMPUTED_VALUE"""),3918.7)</f>
        <v>3918.7</v>
      </c>
      <c r="E29" s="6">
        <f>IFERROR(__xludf.DUMMYFUNCTION("""COMPUTED_VALUE"""),4297.6)</f>
        <v>4297.6</v>
      </c>
      <c r="F29" s="6">
        <f>IFERROR(__xludf.DUMMYFUNCTION("""COMPUTED_VALUE"""),3080688.0)</f>
        <v>3080688</v>
      </c>
    </row>
    <row r="30">
      <c r="A30" s="7">
        <f>IFERROR(__xludf.DUMMYFUNCTION("""COMPUTED_VALUE"""),45379.64583333333)</f>
        <v>45379.64583</v>
      </c>
      <c r="B30" s="6">
        <f>IFERROR(__xludf.DUMMYFUNCTION("""COMPUTED_VALUE"""),4315.75)</f>
        <v>4315.75</v>
      </c>
      <c r="C30" s="6">
        <f>IFERROR(__xludf.DUMMYFUNCTION("""COMPUTED_VALUE"""),4560.0)</f>
        <v>4560</v>
      </c>
      <c r="D30" s="6">
        <f>IFERROR(__xludf.DUMMYFUNCTION("""COMPUTED_VALUE"""),4297.25)</f>
        <v>4297.25</v>
      </c>
      <c r="E30" s="6">
        <f>IFERROR(__xludf.DUMMYFUNCTION("""COMPUTED_VALUE"""),4525.6)</f>
        <v>4525.6</v>
      </c>
      <c r="F30" s="6">
        <f>IFERROR(__xludf.DUMMYFUNCTION("""COMPUTED_VALUE"""),3545288.0)</f>
        <v>3545288</v>
      </c>
    </row>
    <row r="31">
      <c r="A31" s="7">
        <f>IFERROR(__xludf.DUMMYFUNCTION("""COMPUTED_VALUE"""),45387.64583333333)</f>
        <v>45387.64583</v>
      </c>
      <c r="B31" s="6">
        <f>IFERROR(__xludf.DUMMYFUNCTION("""COMPUTED_VALUE"""),4570.0)</f>
        <v>4570</v>
      </c>
      <c r="C31" s="6">
        <f>IFERROR(__xludf.DUMMYFUNCTION("""COMPUTED_VALUE"""),4715.0)</f>
        <v>4715</v>
      </c>
      <c r="D31" s="6">
        <f>IFERROR(__xludf.DUMMYFUNCTION("""COMPUTED_VALUE"""),4400.05)</f>
        <v>4400.05</v>
      </c>
      <c r="E31" s="6">
        <f>IFERROR(__xludf.DUMMYFUNCTION("""COMPUTED_VALUE"""),4619.25)</f>
        <v>4619.25</v>
      </c>
      <c r="F31" s="6">
        <f>IFERROR(__xludf.DUMMYFUNCTION("""COMPUTED_VALUE"""),3093702.0)</f>
        <v>3093702</v>
      </c>
    </row>
    <row r="32">
      <c r="A32" s="7">
        <f>IFERROR(__xludf.DUMMYFUNCTION("""COMPUTED_VALUE"""),45394.64583333333)</f>
        <v>45394.64583</v>
      </c>
      <c r="B32" s="6">
        <f>IFERROR(__xludf.DUMMYFUNCTION("""COMPUTED_VALUE"""),4648.15)</f>
        <v>4648.15</v>
      </c>
      <c r="C32" s="6">
        <f>IFERROR(__xludf.DUMMYFUNCTION("""COMPUTED_VALUE"""),4831.85)</f>
        <v>4831.85</v>
      </c>
      <c r="D32" s="6">
        <f>IFERROR(__xludf.DUMMYFUNCTION("""COMPUTED_VALUE"""),4622.0)</f>
        <v>4622</v>
      </c>
      <c r="E32" s="6">
        <f>IFERROR(__xludf.DUMMYFUNCTION("""COMPUTED_VALUE"""),4765.05)</f>
        <v>4765.05</v>
      </c>
      <c r="F32" s="6">
        <f>IFERROR(__xludf.DUMMYFUNCTION("""COMPUTED_VALUE"""),2152303.0)</f>
        <v>2152303</v>
      </c>
    </row>
    <row r="33">
      <c r="A33" s="7">
        <f>IFERROR(__xludf.DUMMYFUNCTION("""COMPUTED_VALUE"""),45401.64583333333)</f>
        <v>45401.64583</v>
      </c>
      <c r="B33" s="6">
        <f>IFERROR(__xludf.DUMMYFUNCTION("""COMPUTED_VALUE"""),4680.0)</f>
        <v>4680</v>
      </c>
      <c r="C33" s="6">
        <f>IFERROR(__xludf.DUMMYFUNCTION("""COMPUTED_VALUE"""),4836.7)</f>
        <v>4836.7</v>
      </c>
      <c r="D33" s="6">
        <f>IFERROR(__xludf.DUMMYFUNCTION("""COMPUTED_VALUE"""),4605.0)</f>
        <v>4605</v>
      </c>
      <c r="E33" s="6">
        <f>IFERROR(__xludf.DUMMYFUNCTION("""COMPUTED_VALUE"""),4696.0)</f>
        <v>4696</v>
      </c>
      <c r="F33" s="6">
        <f>IFERROR(__xludf.DUMMYFUNCTION("""COMPUTED_VALUE"""),1799794.0)</f>
        <v>1799794</v>
      </c>
    </row>
    <row r="34">
      <c r="A34" s="7">
        <f>IFERROR(__xludf.DUMMYFUNCTION("""COMPUTED_VALUE"""),45408.64583333333)</f>
        <v>45408.64583</v>
      </c>
      <c r="B34" s="6">
        <f>IFERROR(__xludf.DUMMYFUNCTION("""COMPUTED_VALUE"""),4743.0)</f>
        <v>4743</v>
      </c>
      <c r="C34" s="6">
        <f>IFERROR(__xludf.DUMMYFUNCTION("""COMPUTED_VALUE"""),4890.0)</f>
        <v>4890</v>
      </c>
      <c r="D34" s="6">
        <f>IFERROR(__xludf.DUMMYFUNCTION("""COMPUTED_VALUE"""),4531.5)</f>
        <v>4531.5</v>
      </c>
      <c r="E34" s="6">
        <f>IFERROR(__xludf.DUMMYFUNCTION("""COMPUTED_VALUE"""),4553.15)</f>
        <v>4553.15</v>
      </c>
      <c r="F34" s="6">
        <f>IFERROR(__xludf.DUMMYFUNCTION("""COMPUTED_VALUE"""),1632261.0)</f>
        <v>1632261</v>
      </c>
    </row>
    <row r="35">
      <c r="A35" s="7">
        <f>IFERROR(__xludf.DUMMYFUNCTION("""COMPUTED_VALUE"""),45415.64583333333)</f>
        <v>45415.64583</v>
      </c>
      <c r="B35" s="6">
        <f>IFERROR(__xludf.DUMMYFUNCTION("""COMPUTED_VALUE"""),4560.5)</f>
        <v>4560.5</v>
      </c>
      <c r="C35" s="6">
        <f>IFERROR(__xludf.DUMMYFUNCTION("""COMPUTED_VALUE"""),4650.0)</f>
        <v>4650</v>
      </c>
      <c r="D35" s="6">
        <f>IFERROR(__xludf.DUMMYFUNCTION("""COMPUTED_VALUE"""),4450.0)</f>
        <v>4450</v>
      </c>
      <c r="E35" s="6">
        <f>IFERROR(__xludf.DUMMYFUNCTION("""COMPUTED_VALUE"""),4612.35)</f>
        <v>4612.35</v>
      </c>
      <c r="F35" s="6">
        <f>IFERROR(__xludf.DUMMYFUNCTION("""COMPUTED_VALUE"""),1716144.0)</f>
        <v>1716144</v>
      </c>
    </row>
    <row r="36">
      <c r="A36" s="7">
        <f>IFERROR(__xludf.DUMMYFUNCTION("""COMPUTED_VALUE"""),45422.64583333333)</f>
        <v>45422.64583</v>
      </c>
      <c r="B36" s="6">
        <f>IFERROR(__xludf.DUMMYFUNCTION("""COMPUTED_VALUE"""),4620.0)</f>
        <v>4620</v>
      </c>
      <c r="C36" s="6">
        <f>IFERROR(__xludf.DUMMYFUNCTION("""COMPUTED_VALUE"""),4895.6)</f>
        <v>4895.6</v>
      </c>
      <c r="D36" s="6">
        <f>IFERROR(__xludf.DUMMYFUNCTION("""COMPUTED_VALUE"""),4576.0)</f>
        <v>4576</v>
      </c>
      <c r="E36" s="6">
        <f>IFERROR(__xludf.DUMMYFUNCTION("""COMPUTED_VALUE"""),4796.8)</f>
        <v>4796.8</v>
      </c>
      <c r="F36" s="6">
        <f>IFERROR(__xludf.DUMMYFUNCTION("""COMPUTED_VALUE"""),2812409.0)</f>
        <v>2812409</v>
      </c>
    </row>
    <row r="37">
      <c r="A37" s="7">
        <f>IFERROR(__xludf.DUMMYFUNCTION("""COMPUTED_VALUE"""),45436.64583333333)</f>
        <v>45436.64583</v>
      </c>
      <c r="B37" s="6">
        <f>IFERROR(__xludf.DUMMYFUNCTION("""COMPUTED_VALUE"""),4670.0)</f>
        <v>4670</v>
      </c>
      <c r="C37" s="6">
        <f>IFERROR(__xludf.DUMMYFUNCTION("""COMPUTED_VALUE"""),4924.2)</f>
        <v>4924.2</v>
      </c>
      <c r="D37" s="6">
        <f>IFERROR(__xludf.DUMMYFUNCTION("""COMPUTED_VALUE"""),4605.45)</f>
        <v>4605.45</v>
      </c>
      <c r="E37" s="6">
        <f>IFERROR(__xludf.DUMMYFUNCTION("""COMPUTED_VALUE"""),4684.5)</f>
        <v>4684.5</v>
      </c>
      <c r="F37" s="6">
        <f>IFERROR(__xludf.DUMMYFUNCTION("""COMPUTED_VALUE"""),1354493.0)</f>
        <v>1354493</v>
      </c>
    </row>
    <row r="38">
      <c r="A38" s="7">
        <f>IFERROR(__xludf.DUMMYFUNCTION("""COMPUTED_VALUE"""),45443.64583333333)</f>
        <v>45443.64583</v>
      </c>
      <c r="B38" s="6">
        <f>IFERROR(__xludf.DUMMYFUNCTION("""COMPUTED_VALUE"""),4651.55)</f>
        <v>4651.55</v>
      </c>
      <c r="C38" s="6">
        <f>IFERROR(__xludf.DUMMYFUNCTION("""COMPUTED_VALUE"""),4669.0)</f>
        <v>4669</v>
      </c>
      <c r="D38" s="6">
        <f>IFERROR(__xludf.DUMMYFUNCTION("""COMPUTED_VALUE"""),4250.4)</f>
        <v>4250.4</v>
      </c>
      <c r="E38" s="6">
        <f>IFERROR(__xludf.DUMMYFUNCTION("""COMPUTED_VALUE"""),4302.15)</f>
        <v>4302.15</v>
      </c>
      <c r="F38" s="6">
        <f>IFERROR(__xludf.DUMMYFUNCTION("""COMPUTED_VALUE"""),1860214.0)</f>
        <v>1860214</v>
      </c>
    </row>
    <row r="39">
      <c r="A39" s="7">
        <f>IFERROR(__xludf.DUMMYFUNCTION("""COMPUTED_VALUE"""),45450.64583333333)</f>
        <v>45450.64583</v>
      </c>
      <c r="B39" s="6">
        <f>IFERROR(__xludf.DUMMYFUNCTION("""COMPUTED_VALUE"""),4392.95)</f>
        <v>4392.95</v>
      </c>
      <c r="C39" s="6">
        <f>IFERROR(__xludf.DUMMYFUNCTION("""COMPUTED_VALUE"""),4900.0)</f>
        <v>4900</v>
      </c>
      <c r="D39" s="6">
        <f>IFERROR(__xludf.DUMMYFUNCTION("""COMPUTED_VALUE"""),4301.0)</f>
        <v>4301</v>
      </c>
      <c r="E39" s="6">
        <f>IFERROR(__xludf.DUMMYFUNCTION("""COMPUTED_VALUE"""),4747.25)</f>
        <v>4747.25</v>
      </c>
      <c r="F39" s="6">
        <f>IFERROR(__xludf.DUMMYFUNCTION("""COMPUTED_VALUE"""),3886217.0)</f>
        <v>3886217</v>
      </c>
    </row>
    <row r="40">
      <c r="A40" s="7">
        <f>IFERROR(__xludf.DUMMYFUNCTION("""COMPUTED_VALUE"""),45457.64583333333)</f>
        <v>45457.64583</v>
      </c>
      <c r="B40" s="6">
        <f>IFERROR(__xludf.DUMMYFUNCTION("""COMPUTED_VALUE"""),4769.05)</f>
        <v>4769.05</v>
      </c>
      <c r="C40" s="6">
        <f>IFERROR(__xludf.DUMMYFUNCTION("""COMPUTED_VALUE"""),4829.9)</f>
        <v>4829.9</v>
      </c>
      <c r="D40" s="6">
        <f>IFERROR(__xludf.DUMMYFUNCTION("""COMPUTED_VALUE"""),4640.05)</f>
        <v>4640.05</v>
      </c>
      <c r="E40" s="6">
        <f>IFERROR(__xludf.DUMMYFUNCTION("""COMPUTED_VALUE"""),4739.95)</f>
        <v>4739.95</v>
      </c>
      <c r="F40" s="6">
        <f>IFERROR(__xludf.DUMMYFUNCTION("""COMPUTED_VALUE"""),1596054.0)</f>
        <v>1596054</v>
      </c>
    </row>
    <row r="41">
      <c r="A41" s="7">
        <f>IFERROR(__xludf.DUMMYFUNCTION("""COMPUTED_VALUE"""),45464.64583333333)</f>
        <v>45464.64583</v>
      </c>
      <c r="B41" s="6">
        <f>IFERROR(__xludf.DUMMYFUNCTION("""COMPUTED_VALUE"""),4739.95)</f>
        <v>4739.95</v>
      </c>
      <c r="C41" s="6">
        <f>IFERROR(__xludf.DUMMYFUNCTION("""COMPUTED_VALUE"""),5219.0)</f>
        <v>5219</v>
      </c>
      <c r="D41" s="6">
        <f>IFERROR(__xludf.DUMMYFUNCTION("""COMPUTED_VALUE"""),4734.8)</f>
        <v>4734.8</v>
      </c>
      <c r="E41" s="6">
        <f>IFERROR(__xludf.DUMMYFUNCTION("""COMPUTED_VALUE"""),4804.85)</f>
        <v>4804.85</v>
      </c>
      <c r="F41" s="6">
        <f>IFERROR(__xludf.DUMMYFUNCTION("""COMPUTED_VALUE"""),4797280.0)</f>
        <v>4797280</v>
      </c>
    </row>
    <row r="42">
      <c r="A42" s="7">
        <f>IFERROR(__xludf.DUMMYFUNCTION("""COMPUTED_VALUE"""),45471.64583333333)</f>
        <v>45471.64583</v>
      </c>
      <c r="B42" s="6">
        <f>IFERROR(__xludf.DUMMYFUNCTION("""COMPUTED_VALUE"""),4792.0)</f>
        <v>4792</v>
      </c>
      <c r="C42" s="6">
        <f>IFERROR(__xludf.DUMMYFUNCTION("""COMPUTED_VALUE"""),4960.0)</f>
        <v>4960</v>
      </c>
      <c r="D42" s="6">
        <f>IFERROR(__xludf.DUMMYFUNCTION("""COMPUTED_VALUE"""),4680.0)</f>
        <v>4680</v>
      </c>
      <c r="E42" s="6">
        <f>IFERROR(__xludf.DUMMYFUNCTION("""COMPUTED_VALUE"""),4716.75)</f>
        <v>4716.75</v>
      </c>
      <c r="F42" s="6">
        <f>IFERROR(__xludf.DUMMYFUNCTION("""COMPUTED_VALUE"""),2468755.0)</f>
        <v>2468755</v>
      </c>
    </row>
    <row r="43">
      <c r="A43" s="7">
        <f>IFERROR(__xludf.DUMMYFUNCTION("""COMPUTED_VALUE"""),45478.64583333333)</f>
        <v>45478.64583</v>
      </c>
      <c r="B43" s="6">
        <f>IFERROR(__xludf.DUMMYFUNCTION("""COMPUTED_VALUE"""),4725.1)</f>
        <v>4725.1</v>
      </c>
      <c r="C43" s="6">
        <f>IFERROR(__xludf.DUMMYFUNCTION("""COMPUTED_VALUE"""),4871.0)</f>
        <v>4871</v>
      </c>
      <c r="D43" s="6">
        <f>IFERROR(__xludf.DUMMYFUNCTION("""COMPUTED_VALUE"""),4612.5)</f>
        <v>4612.5</v>
      </c>
      <c r="E43" s="6">
        <f>IFERROR(__xludf.DUMMYFUNCTION("""COMPUTED_VALUE"""),4853.1)</f>
        <v>4853.1</v>
      </c>
      <c r="F43" s="6">
        <f>IFERROR(__xludf.DUMMYFUNCTION("""COMPUTED_VALUE"""),2478739.0)</f>
        <v>2478739</v>
      </c>
    </row>
    <row r="44">
      <c r="A44" s="7">
        <f>IFERROR(__xludf.DUMMYFUNCTION("""COMPUTED_VALUE"""),45485.64583333333)</f>
        <v>45485.64583</v>
      </c>
      <c r="B44" s="6">
        <f>IFERROR(__xludf.DUMMYFUNCTION("""COMPUTED_VALUE"""),4860.0)</f>
        <v>4860</v>
      </c>
      <c r="C44" s="6">
        <f>IFERROR(__xludf.DUMMYFUNCTION("""COMPUTED_VALUE"""),5016.95)</f>
        <v>5016.95</v>
      </c>
      <c r="D44" s="6">
        <f>IFERROR(__xludf.DUMMYFUNCTION("""COMPUTED_VALUE"""),4731.1)</f>
        <v>4731.1</v>
      </c>
      <c r="E44" s="6">
        <f>IFERROR(__xludf.DUMMYFUNCTION("""COMPUTED_VALUE"""),4943.65)</f>
        <v>4943.65</v>
      </c>
      <c r="F44" s="6">
        <f>IFERROR(__xludf.DUMMYFUNCTION("""COMPUTED_VALUE"""),2578794.0)</f>
        <v>2578794</v>
      </c>
    </row>
    <row r="45">
      <c r="A45" s="7">
        <f>IFERROR(__xludf.DUMMYFUNCTION("""COMPUTED_VALUE"""),45492.64583333333)</f>
        <v>45492.64583</v>
      </c>
      <c r="B45" s="6">
        <f>IFERROR(__xludf.DUMMYFUNCTION("""COMPUTED_VALUE"""),5126.45)</f>
        <v>5126.45</v>
      </c>
      <c r="C45" s="6">
        <f>IFERROR(__xludf.DUMMYFUNCTION("""COMPUTED_VALUE"""),5164.0)</f>
        <v>5164</v>
      </c>
      <c r="D45" s="6">
        <f>IFERROR(__xludf.DUMMYFUNCTION("""COMPUTED_VALUE"""),4943.65)</f>
        <v>4943.65</v>
      </c>
      <c r="E45" s="6">
        <f>IFERROR(__xludf.DUMMYFUNCTION("""COMPUTED_VALUE"""),5010.7)</f>
        <v>5010.7</v>
      </c>
      <c r="F45" s="6">
        <f>IFERROR(__xludf.DUMMYFUNCTION("""COMPUTED_VALUE"""),3750963.0)</f>
        <v>3750963</v>
      </c>
    </row>
    <row r="46">
      <c r="A46" s="7">
        <f>IFERROR(__xludf.DUMMYFUNCTION("""COMPUTED_VALUE"""),45499.64583333333)</f>
        <v>45499.64583</v>
      </c>
      <c r="B46" s="6">
        <f>IFERROR(__xludf.DUMMYFUNCTION("""COMPUTED_VALUE"""),4955.0)</f>
        <v>4955</v>
      </c>
      <c r="C46" s="6">
        <f>IFERROR(__xludf.DUMMYFUNCTION("""COMPUTED_VALUE"""),5205.0)</f>
        <v>5205</v>
      </c>
      <c r="D46" s="6">
        <f>IFERROR(__xludf.DUMMYFUNCTION("""COMPUTED_VALUE"""),4922.75)</f>
        <v>4922.75</v>
      </c>
      <c r="E46" s="6">
        <f>IFERROR(__xludf.DUMMYFUNCTION("""COMPUTED_VALUE"""),5071.6)</f>
        <v>5071.6</v>
      </c>
      <c r="F46" s="6">
        <f>IFERROR(__xludf.DUMMYFUNCTION("""COMPUTED_VALUE"""),2249183.0)</f>
        <v>2249183</v>
      </c>
    </row>
    <row r="47">
      <c r="A47" s="7">
        <f>IFERROR(__xludf.DUMMYFUNCTION("""COMPUTED_VALUE"""),45506.64583333333)</f>
        <v>45506.64583</v>
      </c>
      <c r="B47" s="6">
        <f>IFERROR(__xludf.DUMMYFUNCTION("""COMPUTED_VALUE"""),5144.0)</f>
        <v>5144</v>
      </c>
      <c r="C47" s="6">
        <f>IFERROR(__xludf.DUMMYFUNCTION("""COMPUTED_VALUE"""),5175.55)</f>
        <v>5175.55</v>
      </c>
      <c r="D47" s="6">
        <f>IFERROR(__xludf.DUMMYFUNCTION("""COMPUTED_VALUE"""),4883.0)</f>
        <v>4883</v>
      </c>
      <c r="E47" s="6">
        <f>IFERROR(__xludf.DUMMYFUNCTION("""COMPUTED_VALUE"""),4909.7)</f>
        <v>4909.7</v>
      </c>
      <c r="F47" s="6">
        <f>IFERROR(__xludf.DUMMYFUNCTION("""COMPUTED_VALUE"""),2107424.0)</f>
        <v>2107424</v>
      </c>
    </row>
    <row r="48">
      <c r="A48" s="7">
        <f>IFERROR(__xludf.DUMMYFUNCTION("""COMPUTED_VALUE"""),45513.64583333333)</f>
        <v>45513.64583</v>
      </c>
      <c r="B48" s="6">
        <f>IFERROR(__xludf.DUMMYFUNCTION("""COMPUTED_VALUE"""),4861.5)</f>
        <v>4861.5</v>
      </c>
      <c r="C48" s="6">
        <f>IFERROR(__xludf.DUMMYFUNCTION("""COMPUTED_VALUE"""),5063.9)</f>
        <v>5063.9</v>
      </c>
      <c r="D48" s="6">
        <f>IFERROR(__xludf.DUMMYFUNCTION("""COMPUTED_VALUE"""),4801.0)</f>
        <v>4801</v>
      </c>
      <c r="E48" s="6">
        <f>IFERROR(__xludf.DUMMYFUNCTION("""COMPUTED_VALUE"""),4989.95)</f>
        <v>4989.95</v>
      </c>
      <c r="F48" s="6">
        <f>IFERROR(__xludf.DUMMYFUNCTION("""COMPUTED_VALUE"""),2286673.0)</f>
        <v>2286673</v>
      </c>
    </row>
    <row r="49">
      <c r="A49" s="7">
        <f>IFERROR(__xludf.DUMMYFUNCTION("""COMPUTED_VALUE"""),45520.64583333333)</f>
        <v>45520.64583</v>
      </c>
      <c r="B49" s="6">
        <f>IFERROR(__xludf.DUMMYFUNCTION("""COMPUTED_VALUE"""),4999.0)</f>
        <v>4999</v>
      </c>
      <c r="C49" s="6">
        <f>IFERROR(__xludf.DUMMYFUNCTION("""COMPUTED_VALUE"""),5048.0)</f>
        <v>5048</v>
      </c>
      <c r="D49" s="6">
        <f>IFERROR(__xludf.DUMMYFUNCTION("""COMPUTED_VALUE"""),4902.7)</f>
        <v>4902.7</v>
      </c>
      <c r="E49" s="6">
        <f>IFERROR(__xludf.DUMMYFUNCTION("""COMPUTED_VALUE"""),5021.3)</f>
        <v>5021.3</v>
      </c>
      <c r="F49" s="6">
        <f>IFERROR(__xludf.DUMMYFUNCTION("""COMPUTED_VALUE"""),782256.0)</f>
        <v>782256</v>
      </c>
    </row>
    <row r="50">
      <c r="A50" s="7">
        <f>IFERROR(__xludf.DUMMYFUNCTION("""COMPUTED_VALUE"""),45527.64583333333)</f>
        <v>45527.64583</v>
      </c>
      <c r="B50" s="6">
        <f>IFERROR(__xludf.DUMMYFUNCTION("""COMPUTED_VALUE"""),5040.0)</f>
        <v>5040</v>
      </c>
      <c r="C50" s="6">
        <f>IFERROR(__xludf.DUMMYFUNCTION("""COMPUTED_VALUE"""),5164.0)</f>
        <v>5164</v>
      </c>
      <c r="D50" s="6">
        <f>IFERROR(__xludf.DUMMYFUNCTION("""COMPUTED_VALUE"""),4880.0)</f>
        <v>4880</v>
      </c>
      <c r="E50" s="6">
        <f>IFERROR(__xludf.DUMMYFUNCTION("""COMPUTED_VALUE"""),4901.5)</f>
        <v>4901.5</v>
      </c>
      <c r="F50" s="6">
        <f>IFERROR(__xludf.DUMMYFUNCTION("""COMPUTED_VALUE"""),2444554.0)</f>
        <v>2444554</v>
      </c>
    </row>
    <row r="51">
      <c r="A51" s="7">
        <f>IFERROR(__xludf.DUMMYFUNCTION("""COMPUTED_VALUE"""),45534.64583333333)</f>
        <v>45534.64583</v>
      </c>
      <c r="B51" s="6">
        <f>IFERROR(__xludf.DUMMYFUNCTION("""COMPUTED_VALUE"""),4903.0)</f>
        <v>4903</v>
      </c>
      <c r="C51" s="6">
        <f>IFERROR(__xludf.DUMMYFUNCTION("""COMPUTED_VALUE"""),5155.55)</f>
        <v>5155.55</v>
      </c>
      <c r="D51" s="6">
        <f>IFERROR(__xludf.DUMMYFUNCTION("""COMPUTED_VALUE"""),4900.0)</f>
        <v>4900</v>
      </c>
      <c r="E51" s="6">
        <f>IFERROR(__xludf.DUMMYFUNCTION("""COMPUTED_VALUE"""),4927.45)</f>
        <v>4927.45</v>
      </c>
      <c r="F51" s="6">
        <f>IFERROR(__xludf.DUMMYFUNCTION("""COMPUTED_VALUE"""),2628210.0)</f>
        <v>2628210</v>
      </c>
    </row>
    <row r="52">
      <c r="A52" s="7">
        <f>IFERROR(__xludf.DUMMYFUNCTION("""COMPUTED_VALUE"""),45541.64583333333)</f>
        <v>45541.64583</v>
      </c>
      <c r="B52" s="6">
        <f>IFERROR(__xludf.DUMMYFUNCTION("""COMPUTED_VALUE"""),4977.0)</f>
        <v>4977</v>
      </c>
      <c r="C52" s="6">
        <f>IFERROR(__xludf.DUMMYFUNCTION("""COMPUTED_VALUE"""),5361.15)</f>
        <v>5361.15</v>
      </c>
      <c r="D52" s="6">
        <f>IFERROR(__xludf.DUMMYFUNCTION("""COMPUTED_VALUE"""),4951.0)</f>
        <v>4951</v>
      </c>
      <c r="E52" s="6">
        <f>IFERROR(__xludf.DUMMYFUNCTION("""COMPUTED_VALUE"""),5303.45)</f>
        <v>5303.45</v>
      </c>
      <c r="F52" s="6">
        <f>IFERROR(__xludf.DUMMYFUNCTION("""COMPUTED_VALUE"""),2877063.0)</f>
        <v>2877063</v>
      </c>
    </row>
    <row r="53">
      <c r="A53" s="7">
        <f>IFERROR(__xludf.DUMMYFUNCTION("""COMPUTED_VALUE"""),45548.64583333333)</f>
        <v>45548.64583</v>
      </c>
      <c r="B53" s="6">
        <f>IFERROR(__xludf.DUMMYFUNCTION("""COMPUTED_VALUE"""),5303.45)</f>
        <v>5303.45</v>
      </c>
      <c r="C53" s="6">
        <f>IFERROR(__xludf.DUMMYFUNCTION("""COMPUTED_VALUE"""),5449.0)</f>
        <v>5449</v>
      </c>
      <c r="D53" s="6">
        <f>IFERROR(__xludf.DUMMYFUNCTION("""COMPUTED_VALUE"""),5155.0)</f>
        <v>5155</v>
      </c>
      <c r="E53" s="6">
        <f>IFERROR(__xludf.DUMMYFUNCTION("""COMPUTED_VALUE"""),5187.05)</f>
        <v>5187.05</v>
      </c>
      <c r="F53" s="6">
        <f>IFERROR(__xludf.DUMMYFUNCTION("""COMPUTED_VALUE"""),2233777.0)</f>
        <v>2233777</v>
      </c>
    </row>
    <row r="54">
      <c r="A54" s="7">
        <f>IFERROR(__xludf.DUMMYFUNCTION("""COMPUTED_VALUE"""),45555.64583333333)</f>
        <v>45555.64583</v>
      </c>
      <c r="B54" s="6">
        <f>IFERROR(__xludf.DUMMYFUNCTION("""COMPUTED_VALUE"""),5188.05)</f>
        <v>5188.05</v>
      </c>
      <c r="C54" s="6">
        <f>IFERROR(__xludf.DUMMYFUNCTION("""COMPUTED_VALUE"""),5443.95)</f>
        <v>5443.95</v>
      </c>
      <c r="D54" s="6">
        <f>IFERROR(__xludf.DUMMYFUNCTION("""COMPUTED_VALUE"""),5176.15)</f>
        <v>5176.15</v>
      </c>
      <c r="E54" s="6">
        <f>IFERROR(__xludf.DUMMYFUNCTION("""COMPUTED_VALUE"""),5320.55)</f>
        <v>5320.55</v>
      </c>
      <c r="F54" s="6">
        <f>IFERROR(__xludf.DUMMYFUNCTION("""COMPUTED_VALUE"""),1547072.0)</f>
        <v>1547072</v>
      </c>
    </row>
    <row r="55">
      <c r="A55" s="7">
        <f>IFERROR(__xludf.DUMMYFUNCTION("""COMPUTED_VALUE"""),45562.64583333333)</f>
        <v>45562.64583</v>
      </c>
      <c r="B55" s="6">
        <f>IFERROR(__xludf.DUMMYFUNCTION("""COMPUTED_VALUE"""),5355.15)</f>
        <v>5355.15</v>
      </c>
      <c r="C55" s="6">
        <f>IFERROR(__xludf.DUMMYFUNCTION("""COMPUTED_VALUE"""),5484.85)</f>
        <v>5484.85</v>
      </c>
      <c r="D55" s="6">
        <f>IFERROR(__xludf.DUMMYFUNCTION("""COMPUTED_VALUE"""),5090.0)</f>
        <v>5090</v>
      </c>
      <c r="E55" s="6">
        <f>IFERROR(__xludf.DUMMYFUNCTION("""COMPUTED_VALUE"""),5102.3)</f>
        <v>5102.3</v>
      </c>
      <c r="F55" s="6">
        <f>IFERROR(__xludf.DUMMYFUNCTION("""COMPUTED_VALUE"""),2320945.0)</f>
        <v>2320945</v>
      </c>
    </row>
    <row r="56">
      <c r="A56" s="7">
        <f>IFERROR(__xludf.DUMMYFUNCTION("""COMPUTED_VALUE"""),45569.64583333333)</f>
        <v>45569.64583</v>
      </c>
      <c r="B56" s="6">
        <f>IFERROR(__xludf.DUMMYFUNCTION("""COMPUTED_VALUE"""),5102.3)</f>
        <v>5102.3</v>
      </c>
      <c r="C56" s="6">
        <f>IFERROR(__xludf.DUMMYFUNCTION("""COMPUTED_VALUE"""),5215.0)</f>
        <v>5215</v>
      </c>
      <c r="D56" s="6">
        <f>IFERROR(__xludf.DUMMYFUNCTION("""COMPUTED_VALUE"""),4696.1)</f>
        <v>4696.1</v>
      </c>
      <c r="E56" s="6">
        <f>IFERROR(__xludf.DUMMYFUNCTION("""COMPUTED_VALUE"""),4737.55)</f>
        <v>4737.55</v>
      </c>
      <c r="F56" s="6">
        <f>IFERROR(__xludf.DUMMYFUNCTION("""COMPUTED_VALUE"""),4598805.0)</f>
        <v>4598805</v>
      </c>
    </row>
    <row r="57">
      <c r="A57" s="7">
        <f>IFERROR(__xludf.DUMMYFUNCTION("""COMPUTED_VALUE"""),45576.64583333333)</f>
        <v>45576.64583</v>
      </c>
      <c r="B57" s="6">
        <f>IFERROR(__xludf.DUMMYFUNCTION("""COMPUTED_VALUE"""),4741.0)</f>
        <v>4741</v>
      </c>
      <c r="C57" s="6">
        <f>IFERROR(__xludf.DUMMYFUNCTION("""COMPUTED_VALUE"""),4752.9)</f>
        <v>4752.9</v>
      </c>
      <c r="D57" s="6">
        <f>IFERROR(__xludf.DUMMYFUNCTION("""COMPUTED_VALUE"""),4435.0)</f>
        <v>4435</v>
      </c>
      <c r="E57" s="6">
        <f>IFERROR(__xludf.DUMMYFUNCTION("""COMPUTED_VALUE"""),4572.7)</f>
        <v>4572.7</v>
      </c>
      <c r="F57" s="6">
        <f>IFERROR(__xludf.DUMMYFUNCTION("""COMPUTED_VALUE"""),4661035.0)</f>
        <v>4661035</v>
      </c>
    </row>
    <row r="58">
      <c r="A58" s="7">
        <f>IFERROR(__xludf.DUMMYFUNCTION("""COMPUTED_VALUE"""),45583.64583333333)</f>
        <v>45583.64583</v>
      </c>
      <c r="B58" s="6">
        <f>IFERROR(__xludf.DUMMYFUNCTION("""COMPUTED_VALUE"""),4204.0)</f>
        <v>4204</v>
      </c>
      <c r="C58" s="6">
        <f>IFERROR(__xludf.DUMMYFUNCTION("""COMPUTED_VALUE"""),4299.0)</f>
        <v>4299</v>
      </c>
      <c r="D58" s="6">
        <f>IFERROR(__xludf.DUMMYFUNCTION("""COMPUTED_VALUE"""),3975.1)</f>
        <v>3975.1</v>
      </c>
      <c r="E58" s="6">
        <f>IFERROR(__xludf.DUMMYFUNCTION("""COMPUTED_VALUE"""),3986.7)</f>
        <v>3986.7</v>
      </c>
      <c r="F58" s="6">
        <f>IFERROR(__xludf.DUMMYFUNCTION("""COMPUTED_VALUE"""),8747513.0)</f>
        <v>8747513</v>
      </c>
    </row>
    <row r="59">
      <c r="A59" s="7">
        <f>IFERROR(__xludf.DUMMYFUNCTION("""COMPUTED_VALUE"""),45590.64583333333)</f>
        <v>45590.64583</v>
      </c>
      <c r="B59" s="6">
        <f>IFERROR(__xludf.DUMMYFUNCTION("""COMPUTED_VALUE"""),4000.05)</f>
        <v>4000.05</v>
      </c>
      <c r="C59" s="6">
        <f>IFERROR(__xludf.DUMMYFUNCTION("""COMPUTED_VALUE"""),4224.8)</f>
        <v>4224.8</v>
      </c>
      <c r="D59" s="6">
        <f>IFERROR(__xludf.DUMMYFUNCTION("""COMPUTED_VALUE"""),3961.0)</f>
        <v>3961</v>
      </c>
      <c r="E59" s="6">
        <f>IFERROR(__xludf.DUMMYFUNCTION("""COMPUTED_VALUE"""),4052.2)</f>
        <v>4052.2</v>
      </c>
      <c r="F59" s="6">
        <f>IFERROR(__xludf.DUMMYFUNCTION("""COMPUTED_VALUE"""),2738848.0)</f>
        <v>2738848</v>
      </c>
    </row>
    <row r="60">
      <c r="A60" s="7">
        <f>IFERROR(__xludf.DUMMYFUNCTION("""COMPUTED_VALUE"""),45604.64583333333)</f>
        <v>45604.64583</v>
      </c>
      <c r="B60" s="6">
        <f>IFERROR(__xludf.DUMMYFUNCTION("""COMPUTED_VALUE"""),4000.75)</f>
        <v>4000.75</v>
      </c>
      <c r="C60" s="6">
        <f>IFERROR(__xludf.DUMMYFUNCTION("""COMPUTED_VALUE"""),4006.1)</f>
        <v>4006.1</v>
      </c>
      <c r="D60" s="6">
        <f>IFERROR(__xludf.DUMMYFUNCTION("""COMPUTED_VALUE"""),3860.15)</f>
        <v>3860.15</v>
      </c>
      <c r="E60" s="6">
        <f>IFERROR(__xludf.DUMMYFUNCTION("""COMPUTED_VALUE"""),3874.5)</f>
        <v>3874.5</v>
      </c>
      <c r="F60" s="6">
        <f>IFERROR(__xludf.DUMMYFUNCTION("""COMPUTED_VALUE"""),1810975.0)</f>
        <v>1810975</v>
      </c>
    </row>
    <row r="61">
      <c r="A61" s="7">
        <f>IFERROR(__xludf.DUMMYFUNCTION("""COMPUTED_VALUE"""),45610.64583333333)</f>
        <v>45610.64583</v>
      </c>
      <c r="B61" s="6">
        <f>IFERROR(__xludf.DUMMYFUNCTION("""COMPUTED_VALUE"""),3899.65)</f>
        <v>3899.65</v>
      </c>
      <c r="C61" s="6">
        <f>IFERROR(__xludf.DUMMYFUNCTION("""COMPUTED_VALUE"""),3940.0)</f>
        <v>3940</v>
      </c>
      <c r="D61" s="6">
        <f>IFERROR(__xludf.DUMMYFUNCTION("""COMPUTED_VALUE"""),3751.0)</f>
        <v>3751</v>
      </c>
      <c r="E61" s="6">
        <f>IFERROR(__xludf.DUMMYFUNCTION("""COMPUTED_VALUE"""),3823.85)</f>
        <v>3823.85</v>
      </c>
      <c r="F61" s="6">
        <f>IFERROR(__xludf.DUMMYFUNCTION("""COMPUTED_VALUE"""),1827153.0)</f>
        <v>1827153</v>
      </c>
    </row>
    <row r="62">
      <c r="A62" s="7">
        <f>IFERROR(__xludf.DUMMYFUNCTION("""COMPUTED_VALUE"""),45618.64583333333)</f>
        <v>45618.64583</v>
      </c>
      <c r="B62" s="6">
        <f>IFERROR(__xludf.DUMMYFUNCTION("""COMPUTED_VALUE"""),3948.0)</f>
        <v>3948</v>
      </c>
      <c r="C62" s="6">
        <f>IFERROR(__xludf.DUMMYFUNCTION("""COMPUTED_VALUE"""),3948.0)</f>
        <v>3948</v>
      </c>
      <c r="D62" s="6">
        <f>IFERROR(__xludf.DUMMYFUNCTION("""COMPUTED_VALUE"""),3564.0)</f>
        <v>3564</v>
      </c>
      <c r="E62" s="6">
        <f>IFERROR(__xludf.DUMMYFUNCTION("""COMPUTED_VALUE"""),3613.65)</f>
        <v>3613.65</v>
      </c>
      <c r="F62" s="6">
        <f>IFERROR(__xludf.DUMMYFUNCTION("""COMPUTED_VALUE"""),3344437.0)</f>
        <v>3344437</v>
      </c>
    </row>
    <row r="63">
      <c r="A63" s="7">
        <f>IFERROR(__xludf.DUMMYFUNCTION("""COMPUTED_VALUE"""),45625.64583333333)</f>
        <v>45625.64583</v>
      </c>
      <c r="B63" s="6">
        <f>IFERROR(__xludf.DUMMYFUNCTION("""COMPUTED_VALUE"""),3686.0)</f>
        <v>3686</v>
      </c>
      <c r="C63" s="6">
        <f>IFERROR(__xludf.DUMMYFUNCTION("""COMPUTED_VALUE"""),3757.9)</f>
        <v>3757.9</v>
      </c>
      <c r="D63" s="6">
        <f>IFERROR(__xludf.DUMMYFUNCTION("""COMPUTED_VALUE"""),3592.1)</f>
        <v>3592.1</v>
      </c>
      <c r="E63" s="6">
        <f>IFERROR(__xludf.DUMMYFUNCTION("""COMPUTED_VALUE"""),3709.6)</f>
        <v>3709.6</v>
      </c>
      <c r="F63" s="6">
        <f>IFERROR(__xludf.DUMMYFUNCTION("""COMPUTED_VALUE"""),3521889.0)</f>
        <v>3521889</v>
      </c>
    </row>
    <row r="64">
      <c r="A64" s="7">
        <f>IFERROR(__xludf.DUMMYFUNCTION("""COMPUTED_VALUE"""),45632.64583333333)</f>
        <v>45632.64583</v>
      </c>
      <c r="B64" s="6">
        <f>IFERROR(__xludf.DUMMYFUNCTION("""COMPUTED_VALUE"""),3715.45)</f>
        <v>3715.45</v>
      </c>
      <c r="C64" s="6">
        <f>IFERROR(__xludf.DUMMYFUNCTION("""COMPUTED_VALUE"""),3920.45)</f>
        <v>3920.45</v>
      </c>
      <c r="D64" s="6">
        <f>IFERROR(__xludf.DUMMYFUNCTION("""COMPUTED_VALUE"""),3622.7)</f>
        <v>3622.7</v>
      </c>
      <c r="E64" s="6">
        <f>IFERROR(__xludf.DUMMYFUNCTION("""COMPUTED_VALUE"""),3805.55)</f>
        <v>3805.55</v>
      </c>
      <c r="F64" s="6">
        <f>IFERROR(__xludf.DUMMYFUNCTION("""COMPUTED_VALUE"""),4356276.0)</f>
        <v>4356276</v>
      </c>
    </row>
    <row r="65">
      <c r="A65" s="7">
        <f>IFERROR(__xludf.DUMMYFUNCTION("""COMPUTED_VALUE"""),45639.64583333333)</f>
        <v>45639.64583</v>
      </c>
      <c r="B65" s="6">
        <f>IFERROR(__xludf.DUMMYFUNCTION("""COMPUTED_VALUE"""),3800.0)</f>
        <v>3800</v>
      </c>
      <c r="C65" s="6">
        <f>IFERROR(__xludf.DUMMYFUNCTION("""COMPUTED_VALUE"""),3853.0)</f>
        <v>3853</v>
      </c>
      <c r="D65" s="6">
        <f>IFERROR(__xludf.DUMMYFUNCTION("""COMPUTED_VALUE"""),3612.0)</f>
        <v>3612</v>
      </c>
      <c r="E65" s="6">
        <f>IFERROR(__xludf.DUMMYFUNCTION("""COMPUTED_VALUE"""),3652.3)</f>
        <v>3652.3</v>
      </c>
      <c r="F65" s="6">
        <f>IFERROR(__xludf.DUMMYFUNCTION("""COMPUTED_VALUE"""),4744458.0)</f>
        <v>4744458</v>
      </c>
    </row>
    <row r="66">
      <c r="A66" s="7">
        <f>IFERROR(__xludf.DUMMYFUNCTION("""COMPUTED_VALUE"""),45646.64583333333)</f>
        <v>45646.64583</v>
      </c>
      <c r="B66" s="6">
        <f>IFERROR(__xludf.DUMMYFUNCTION("""COMPUTED_VALUE"""),3650.0)</f>
        <v>3650</v>
      </c>
      <c r="C66" s="6">
        <f>IFERROR(__xludf.DUMMYFUNCTION("""COMPUTED_VALUE"""),3672.5)</f>
        <v>3672.5</v>
      </c>
      <c r="D66" s="6">
        <f>IFERROR(__xludf.DUMMYFUNCTION("""COMPUTED_VALUE"""),3399.0)</f>
        <v>3399</v>
      </c>
      <c r="E66" s="6">
        <f>IFERROR(__xludf.DUMMYFUNCTION("""COMPUTED_VALUE"""),3408.3)</f>
        <v>3408.3</v>
      </c>
      <c r="F66" s="6">
        <f>IFERROR(__xludf.DUMMYFUNCTION("""COMPUTED_VALUE"""),3932008.0)</f>
        <v>3932008</v>
      </c>
    </row>
    <row r="67">
      <c r="A67" s="7">
        <f>IFERROR(__xludf.DUMMYFUNCTION("""COMPUTED_VALUE"""),45653.64583333333)</f>
        <v>45653.64583</v>
      </c>
      <c r="B67" s="6">
        <f>IFERROR(__xludf.DUMMYFUNCTION("""COMPUTED_VALUE"""),3443.45)</f>
        <v>3443.45</v>
      </c>
      <c r="C67" s="6">
        <f>IFERROR(__xludf.DUMMYFUNCTION("""COMPUTED_VALUE"""),3573.4)</f>
        <v>3573.4</v>
      </c>
      <c r="D67" s="6">
        <f>IFERROR(__xludf.DUMMYFUNCTION("""COMPUTED_VALUE"""),3419.05)</f>
        <v>3419.05</v>
      </c>
      <c r="E67" s="6">
        <f>IFERROR(__xludf.DUMMYFUNCTION("""COMPUTED_VALUE"""),3568.35)</f>
        <v>3568.35</v>
      </c>
      <c r="F67" s="6">
        <f>IFERROR(__xludf.DUMMYFUNCTION("""COMPUTED_VALUE"""),2170591.0)</f>
        <v>2170591</v>
      </c>
    </row>
    <row r="68">
      <c r="A68" s="7">
        <f>IFERROR(__xludf.DUMMYFUNCTION("""COMPUTED_VALUE"""),45660.64583333333)</f>
        <v>45660.64583</v>
      </c>
      <c r="B68" s="6">
        <f>IFERROR(__xludf.DUMMYFUNCTION("""COMPUTED_VALUE"""),3570.0)</f>
        <v>3570</v>
      </c>
      <c r="C68" s="6">
        <f>IFERROR(__xludf.DUMMYFUNCTION("""COMPUTED_VALUE"""),4165.9)</f>
        <v>4165.9</v>
      </c>
      <c r="D68" s="6">
        <f>IFERROR(__xludf.DUMMYFUNCTION("""COMPUTED_VALUE"""),3495.05)</f>
        <v>3495.05</v>
      </c>
      <c r="E68" s="6">
        <f>IFERROR(__xludf.DUMMYFUNCTION("""COMPUTED_VALUE"""),4025.2)</f>
        <v>4025.2</v>
      </c>
      <c r="F68" s="6">
        <f>IFERROR(__xludf.DUMMYFUNCTION("""COMPUTED_VALUE"""),1.3133195E7)</f>
        <v>13133195</v>
      </c>
    </row>
    <row r="69">
      <c r="A69" s="7">
        <f>IFERROR(__xludf.DUMMYFUNCTION("""COMPUTED_VALUE"""),45667.64583333333)</f>
        <v>45667.64583</v>
      </c>
      <c r="B69" s="6">
        <f>IFERROR(__xludf.DUMMYFUNCTION("""COMPUTED_VALUE"""),4025.2)</f>
        <v>4025.2</v>
      </c>
      <c r="C69" s="6">
        <f>IFERROR(__xludf.DUMMYFUNCTION("""COMPUTED_VALUE"""),4061.75)</f>
        <v>4061.75</v>
      </c>
      <c r="D69" s="6">
        <f>IFERROR(__xludf.DUMMYFUNCTION("""COMPUTED_VALUE"""),3666.65)</f>
        <v>3666.65</v>
      </c>
      <c r="E69" s="6">
        <f>IFERROR(__xludf.DUMMYFUNCTION("""COMPUTED_VALUE"""),3686.25)</f>
        <v>3686.25</v>
      </c>
      <c r="F69" s="6">
        <f>IFERROR(__xludf.DUMMYFUNCTION("""COMPUTED_VALUE"""),4040905.0)</f>
        <v>4040905</v>
      </c>
    </row>
    <row r="70">
      <c r="A70" s="7">
        <f>IFERROR(__xludf.DUMMYFUNCTION("""COMPUTED_VALUE"""),45674.64583333333)</f>
        <v>45674.64583</v>
      </c>
      <c r="B70" s="6">
        <f>IFERROR(__xludf.DUMMYFUNCTION("""COMPUTED_VALUE"""),3501.0)</f>
        <v>3501</v>
      </c>
      <c r="C70" s="6">
        <f>IFERROR(__xludf.DUMMYFUNCTION("""COMPUTED_VALUE"""),3649.95)</f>
        <v>3649.95</v>
      </c>
      <c r="D70" s="6">
        <f>IFERROR(__xludf.DUMMYFUNCTION("""COMPUTED_VALUE"""),3443.0)</f>
        <v>3443</v>
      </c>
      <c r="E70" s="6">
        <f>IFERROR(__xludf.DUMMYFUNCTION("""COMPUTED_VALUE"""),3620.65)</f>
        <v>3620.65</v>
      </c>
      <c r="F70" s="6">
        <f>IFERROR(__xludf.DUMMYFUNCTION("""COMPUTED_VALUE"""),5083577.0)</f>
        <v>5083577</v>
      </c>
    </row>
    <row r="71">
      <c r="A71" s="7">
        <f>IFERROR(__xludf.DUMMYFUNCTION("""COMPUTED_VALUE"""),45681.64583333333)</f>
        <v>45681.64583</v>
      </c>
      <c r="B71" s="6">
        <f>IFERROR(__xludf.DUMMYFUNCTION("""COMPUTED_VALUE"""),3624.0)</f>
        <v>3624</v>
      </c>
      <c r="C71" s="6">
        <f>IFERROR(__xludf.DUMMYFUNCTION("""COMPUTED_VALUE"""),3640.0)</f>
        <v>3640</v>
      </c>
      <c r="D71" s="6">
        <f>IFERROR(__xludf.DUMMYFUNCTION("""COMPUTED_VALUE"""),3524.5)</f>
        <v>3524.5</v>
      </c>
      <c r="E71" s="6">
        <f>IFERROR(__xludf.DUMMYFUNCTION("""COMPUTED_VALUE"""),3579.95)</f>
        <v>3579.95</v>
      </c>
      <c r="F71" s="6">
        <f>IFERROR(__xludf.DUMMYFUNCTION("""COMPUTED_VALUE"""),1280200.0)</f>
        <v>1280200</v>
      </c>
    </row>
    <row r="72">
      <c r="A72" s="7">
        <f>IFERROR(__xludf.DUMMYFUNCTION("""COMPUTED_VALUE"""),45695.64583333333)</f>
        <v>45695.64583</v>
      </c>
      <c r="B72" s="6">
        <f>IFERROR(__xludf.DUMMYFUNCTION("""COMPUTED_VALUE"""),3899.95)</f>
        <v>3899.95</v>
      </c>
      <c r="C72" s="6">
        <f>IFERROR(__xludf.DUMMYFUNCTION("""COMPUTED_VALUE"""),4090.0)</f>
        <v>4090</v>
      </c>
      <c r="D72" s="6">
        <f>IFERROR(__xludf.DUMMYFUNCTION("""COMPUTED_VALUE"""),3695.4)</f>
        <v>3695.4</v>
      </c>
      <c r="E72" s="6">
        <f>IFERROR(__xludf.DUMMYFUNCTION("""COMPUTED_VALUE"""),3743.5)</f>
        <v>3743.5</v>
      </c>
      <c r="F72" s="6">
        <f>IFERROR(__xludf.DUMMYFUNCTION("""COMPUTED_VALUE"""),4008973.0)</f>
        <v>4008973</v>
      </c>
    </row>
    <row r="73">
      <c r="A73" s="7">
        <f>IFERROR(__xludf.DUMMYFUNCTION("""COMPUTED_VALUE"""),45702.64583333333)</f>
        <v>45702.64583</v>
      </c>
      <c r="B73" s="6">
        <f>IFERROR(__xludf.DUMMYFUNCTION("""COMPUTED_VALUE"""),3756.6)</f>
        <v>3756.6</v>
      </c>
      <c r="C73" s="6">
        <f>IFERROR(__xludf.DUMMYFUNCTION("""COMPUTED_VALUE"""),3813.0)</f>
        <v>3813</v>
      </c>
      <c r="D73" s="6">
        <f>IFERROR(__xludf.DUMMYFUNCTION("""COMPUTED_VALUE"""),3585.0)</f>
        <v>3585</v>
      </c>
      <c r="E73" s="6">
        <f>IFERROR(__xludf.DUMMYFUNCTION("""COMPUTED_VALUE"""),3682.65)</f>
        <v>3682.65</v>
      </c>
      <c r="F73" s="6">
        <f>IFERROR(__xludf.DUMMYFUNCTION("""COMPUTED_VALUE"""),1752303.0)</f>
        <v>1752303</v>
      </c>
    </row>
    <row r="74">
      <c r="A74" s="7">
        <f>IFERROR(__xludf.DUMMYFUNCTION("""COMPUTED_VALUE"""),45709.64583333333)</f>
        <v>45709.64583</v>
      </c>
      <c r="B74" s="6">
        <f>IFERROR(__xludf.DUMMYFUNCTION("""COMPUTED_VALUE"""),3645.05)</f>
        <v>3645.05</v>
      </c>
      <c r="C74" s="6">
        <f>IFERROR(__xludf.DUMMYFUNCTION("""COMPUTED_VALUE"""),3713.95)</f>
        <v>3713.95</v>
      </c>
      <c r="D74" s="6">
        <f>IFERROR(__xludf.DUMMYFUNCTION("""COMPUTED_VALUE"""),3569.5)</f>
        <v>3569.5</v>
      </c>
      <c r="E74" s="6">
        <f>IFERROR(__xludf.DUMMYFUNCTION("""COMPUTED_VALUE"""),3596.7)</f>
        <v>3596.7</v>
      </c>
      <c r="F74" s="6">
        <f>IFERROR(__xludf.DUMMYFUNCTION("""COMPUTED_VALUE"""),2295120.0)</f>
        <v>2295120</v>
      </c>
    </row>
    <row r="75">
      <c r="A75" s="7">
        <f>IFERROR(__xludf.DUMMYFUNCTION("""COMPUTED_VALUE"""),45716.64583333333)</f>
        <v>45716.64583</v>
      </c>
      <c r="B75" s="6">
        <f>IFERROR(__xludf.DUMMYFUNCTION("""COMPUTED_VALUE"""),3589.8)</f>
        <v>3589.8</v>
      </c>
      <c r="C75" s="6">
        <f>IFERROR(__xludf.DUMMYFUNCTION("""COMPUTED_VALUE"""),3611.4)</f>
        <v>3611.4</v>
      </c>
      <c r="D75" s="6">
        <f>IFERROR(__xludf.DUMMYFUNCTION("""COMPUTED_VALUE"""),3391.0)</f>
        <v>3391</v>
      </c>
      <c r="E75" s="6">
        <f>IFERROR(__xludf.DUMMYFUNCTION("""COMPUTED_VALUE"""),3403.95)</f>
        <v>3403.95</v>
      </c>
      <c r="F75" s="6">
        <f>IFERROR(__xludf.DUMMYFUNCTION("""COMPUTED_VALUE"""),2015147.0)</f>
        <v>2015147</v>
      </c>
    </row>
    <row r="76">
      <c r="A76" s="7">
        <f>IFERROR(__xludf.DUMMYFUNCTION("""COMPUTED_VALUE"""),45723.64583333333)</f>
        <v>45723.64583</v>
      </c>
      <c r="B76" s="6">
        <f>IFERROR(__xludf.DUMMYFUNCTION("""COMPUTED_VALUE"""),3425.0)</f>
        <v>3425</v>
      </c>
      <c r="C76" s="6">
        <f>IFERROR(__xludf.DUMMYFUNCTION("""COMPUTED_VALUE"""),3636.3)</f>
        <v>3636.3</v>
      </c>
      <c r="D76" s="6">
        <f>IFERROR(__xludf.DUMMYFUNCTION("""COMPUTED_VALUE"""),3340.0)</f>
        <v>3340</v>
      </c>
      <c r="E76" s="6">
        <f>IFERROR(__xludf.DUMMYFUNCTION("""COMPUTED_VALUE"""),3593.6)</f>
        <v>3593.6</v>
      </c>
      <c r="F76" s="6">
        <f>IFERROR(__xludf.DUMMYFUNCTION("""COMPUTED_VALUE"""),3342056.0)</f>
        <v>3342056</v>
      </c>
    </row>
    <row r="77">
      <c r="A77" s="7">
        <f>IFERROR(__xludf.DUMMYFUNCTION("""COMPUTED_VALUE"""),45729.64583333333)</f>
        <v>45729.64583</v>
      </c>
      <c r="B77" s="6">
        <f>IFERROR(__xludf.DUMMYFUNCTION("""COMPUTED_VALUE"""),3600.0)</f>
        <v>3600</v>
      </c>
      <c r="C77" s="6">
        <f>IFERROR(__xludf.DUMMYFUNCTION("""COMPUTED_VALUE"""),3877.05)</f>
        <v>3877.05</v>
      </c>
      <c r="D77" s="6">
        <f>IFERROR(__xludf.DUMMYFUNCTION("""COMPUTED_VALUE"""),3548.2)</f>
        <v>3548.2</v>
      </c>
      <c r="E77" s="6">
        <f>IFERROR(__xludf.DUMMYFUNCTION("""COMPUTED_VALUE"""),3797.1)</f>
        <v>3797.1</v>
      </c>
      <c r="F77" s="6">
        <f>IFERROR(__xludf.DUMMYFUNCTION("""COMPUTED_VALUE"""),3174610.0)</f>
        <v>3174610</v>
      </c>
    </row>
    <row r="78">
      <c r="A78" s="7">
        <f>IFERROR(__xludf.DUMMYFUNCTION("""COMPUTED_VALUE"""),45737.64583333333)</f>
        <v>45737.64583</v>
      </c>
      <c r="B78" s="6">
        <f>IFERROR(__xludf.DUMMYFUNCTION("""COMPUTED_VALUE"""),3797.1)</f>
        <v>3797.1</v>
      </c>
      <c r="C78" s="6">
        <f>IFERROR(__xludf.DUMMYFUNCTION("""COMPUTED_VALUE"""),3948.8)</f>
        <v>3948.8</v>
      </c>
      <c r="D78" s="6">
        <f>IFERROR(__xludf.DUMMYFUNCTION("""COMPUTED_VALUE"""),3783.0)</f>
        <v>3783</v>
      </c>
      <c r="E78" s="6">
        <f>IFERROR(__xludf.DUMMYFUNCTION("""COMPUTED_VALUE"""),3892.2)</f>
        <v>3892.2</v>
      </c>
      <c r="F78" s="6">
        <f>IFERROR(__xludf.DUMMYFUNCTION("""COMPUTED_VALUE"""),1706640.0)</f>
        <v>1706640</v>
      </c>
    </row>
    <row r="79">
      <c r="A79" s="7">
        <f>IFERROR(__xludf.DUMMYFUNCTION("""COMPUTED_VALUE"""),45744.64583333333)</f>
        <v>45744.64583</v>
      </c>
      <c r="B79" s="6">
        <f>IFERROR(__xludf.DUMMYFUNCTION("""COMPUTED_VALUE"""),3900.0)</f>
        <v>3900</v>
      </c>
      <c r="C79" s="6">
        <f>IFERROR(__xludf.DUMMYFUNCTION("""COMPUTED_VALUE"""),4190.0)</f>
        <v>4190</v>
      </c>
      <c r="D79" s="6">
        <f>IFERROR(__xludf.DUMMYFUNCTION("""COMPUTED_VALUE"""),3883.95)</f>
        <v>3883.95</v>
      </c>
      <c r="E79" s="6">
        <f>IFERROR(__xludf.DUMMYFUNCTION("""COMPUTED_VALUE"""),4083.2)</f>
        <v>4083.2</v>
      </c>
      <c r="F79" s="6">
        <f>IFERROR(__xludf.DUMMYFUNCTION("""COMPUTED_VALUE"""),2920685.0)</f>
        <v>2920685</v>
      </c>
    </row>
    <row r="80">
      <c r="A80" s="7">
        <f>IFERROR(__xludf.DUMMYFUNCTION("""COMPUTED_VALUE"""),45751.64583333333)</f>
        <v>45751.64583</v>
      </c>
      <c r="B80" s="6">
        <f>IFERROR(__xludf.DUMMYFUNCTION("""COMPUTED_VALUE"""),4109.75)</f>
        <v>4109.75</v>
      </c>
      <c r="C80" s="6">
        <f>IFERROR(__xludf.DUMMYFUNCTION("""COMPUTED_VALUE"""),4195.5)</f>
        <v>4195.5</v>
      </c>
      <c r="D80" s="6">
        <f>IFERROR(__xludf.DUMMYFUNCTION("""COMPUTED_VALUE"""),3943.0)</f>
        <v>3943</v>
      </c>
      <c r="E80" s="6">
        <f>IFERROR(__xludf.DUMMYFUNCTION("""COMPUTED_VALUE"""),4039.9)</f>
        <v>4039.9</v>
      </c>
      <c r="F80" s="6">
        <f>IFERROR(__xludf.DUMMYFUNCTION("""COMPUTED_VALUE"""),2037295.0)</f>
        <v>2037295</v>
      </c>
    </row>
    <row r="81">
      <c r="A81" s="7">
        <f>IFERROR(__xludf.DUMMYFUNCTION("""COMPUTED_VALUE"""),45758.64583333333)</f>
        <v>45758.64583</v>
      </c>
      <c r="B81" s="6">
        <f>IFERROR(__xludf.DUMMYFUNCTION("""COMPUTED_VALUE"""),3761.2)</f>
        <v>3761.2</v>
      </c>
      <c r="C81" s="6">
        <f>IFERROR(__xludf.DUMMYFUNCTION("""COMPUTED_VALUE"""),4192.0)</f>
        <v>4192</v>
      </c>
      <c r="D81" s="6">
        <f>IFERROR(__xludf.DUMMYFUNCTION("""COMPUTED_VALUE"""),3761.2)</f>
        <v>3761.2</v>
      </c>
      <c r="E81" s="6">
        <f>IFERROR(__xludf.DUMMYFUNCTION("""COMPUTED_VALUE"""),4131.5)</f>
        <v>4131.5</v>
      </c>
      <c r="F81" s="6">
        <f>IFERROR(__xludf.DUMMYFUNCTION("""COMPUTED_VALUE"""),2259401.0)</f>
        <v>2259401</v>
      </c>
    </row>
    <row r="82">
      <c r="A82" s="7">
        <f>IFERROR(__xludf.DUMMYFUNCTION("""COMPUTED_VALUE"""),45764.64583333333)</f>
        <v>45764.64583</v>
      </c>
      <c r="B82" s="6">
        <f>IFERROR(__xludf.DUMMYFUNCTION("""COMPUTED_VALUE"""),4200.0)</f>
        <v>4200</v>
      </c>
      <c r="C82" s="6">
        <f>IFERROR(__xludf.DUMMYFUNCTION("""COMPUTED_VALUE"""),4397.0)</f>
        <v>4397</v>
      </c>
      <c r="D82" s="6">
        <f>IFERROR(__xludf.DUMMYFUNCTION("""COMPUTED_VALUE"""),4088.0)</f>
        <v>4088</v>
      </c>
      <c r="E82" s="6">
        <f>IFERROR(__xludf.DUMMYFUNCTION("""COMPUTED_VALUE"""),4357.1)</f>
        <v>4357.1</v>
      </c>
      <c r="F82" s="6">
        <f>IFERROR(__xludf.DUMMYFUNCTION("""COMPUTED_VALUE"""),1921624.0)</f>
        <v>1921624</v>
      </c>
    </row>
    <row r="83">
      <c r="A83" s="7">
        <f>IFERROR(__xludf.DUMMYFUNCTION("""COMPUTED_VALUE"""),45772.64583333333)</f>
        <v>45772.64583</v>
      </c>
      <c r="B83" s="6">
        <f>IFERROR(__xludf.DUMMYFUNCTION("""COMPUTED_VALUE"""),4357.0)</f>
        <v>4357</v>
      </c>
      <c r="C83" s="6">
        <f>IFERROR(__xludf.DUMMYFUNCTION("""COMPUTED_VALUE"""),4557.7)</f>
        <v>4557.7</v>
      </c>
      <c r="D83" s="6">
        <f>IFERROR(__xludf.DUMMYFUNCTION("""COMPUTED_VALUE"""),4315.0)</f>
        <v>4315</v>
      </c>
      <c r="E83" s="6">
        <f>IFERROR(__xludf.DUMMYFUNCTION("""COMPUTED_VALUE"""),4375.2)</f>
        <v>4375.2</v>
      </c>
      <c r="F83" s="6">
        <f>IFERROR(__xludf.DUMMYFUNCTION("""COMPUTED_VALUE"""),5022756.0)</f>
        <v>5022756</v>
      </c>
    </row>
    <row r="84">
      <c r="A84" s="7">
        <f>IFERROR(__xludf.DUMMYFUNCTION("""COMPUTED_VALUE"""),45779.64583333333)</f>
        <v>45779.64583</v>
      </c>
      <c r="B84" s="6">
        <f>IFERROR(__xludf.DUMMYFUNCTION("""COMPUTED_VALUE"""),4375.2)</f>
        <v>4375.2</v>
      </c>
      <c r="C84" s="6">
        <f>IFERROR(__xludf.DUMMYFUNCTION("""COMPUTED_VALUE"""),4462.3)</f>
        <v>4462.3</v>
      </c>
      <c r="D84" s="6">
        <f>IFERROR(__xludf.DUMMYFUNCTION("""COMPUTED_VALUE"""),4022.0)</f>
        <v>4022</v>
      </c>
      <c r="E84" s="6">
        <f>IFERROR(__xludf.DUMMYFUNCTION("""COMPUTED_VALUE"""),4059.2)</f>
        <v>4059.2</v>
      </c>
      <c r="F84" s="6">
        <f>IFERROR(__xludf.DUMMYFUNCTION("""COMPUTED_VALUE"""),2520250.0)</f>
        <v>2520250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IFERROR(__xludf.DUMMYFUNCTION("""COMPUTED_VALUE"""),3956.0)</f>
        <v>3956</v>
      </c>
      <c r="C85" s="6">
        <f>IFERROR(__xludf.DUMMYFUNCTION("""COMPUTED_VALUE"""),4077.0)</f>
        <v>4077</v>
      </c>
      <c r="D85" s="6">
        <f>IFERROR(__xludf.DUMMYFUNCTION("""COMPUTED_VALUE"""),3850.0)</f>
        <v>3850</v>
      </c>
      <c r="E85" s="6">
        <f>IFERROR(__xludf.DUMMYFUNCTION("""COMPUTED_VALUE"""),3972.4)</f>
        <v>3972.4</v>
      </c>
      <c r="F85" s="6">
        <f>IFERROR(__xludf.DUMMYFUNCTION("""COMPUTED_VALUE"""),3087819.0)</f>
        <v>3087819</v>
      </c>
    </row>
    <row r="86">
      <c r="A86" s="7">
        <f>IFERROR(__xludf.DUMMYFUNCTION("""COMPUTED_VALUE"""),45793.64583333333)</f>
        <v>45793.64583</v>
      </c>
      <c r="B86" s="6">
        <f>IFERROR(__xludf.DUMMYFUNCTION("""COMPUTED_VALUE"""),4050.0)</f>
        <v>4050</v>
      </c>
      <c r="C86" s="6">
        <f>IFERROR(__xludf.DUMMYFUNCTION("""COMPUTED_VALUE"""),4196.0)</f>
        <v>4196</v>
      </c>
      <c r="D86" s="6">
        <f>IFERROR(__xludf.DUMMYFUNCTION("""COMPUTED_VALUE"""),3995.9)</f>
        <v>3995.9</v>
      </c>
      <c r="E86" s="6">
        <f>IFERROR(__xludf.DUMMYFUNCTION("""COMPUTED_VALUE"""),4189.7)</f>
        <v>4189.7</v>
      </c>
      <c r="F86" s="6">
        <f>IFERROR(__xludf.DUMMYFUNCTION("""COMPUTED_VALUE"""),1742206.0)</f>
        <v>1742206</v>
      </c>
    </row>
    <row r="87">
      <c r="A87" s="7">
        <f>IFERROR(__xludf.DUMMYFUNCTION("""COMPUTED_VALUE"""),45800.64583333333)</f>
        <v>45800.64583</v>
      </c>
      <c r="B87" s="6">
        <f>IFERROR(__xludf.DUMMYFUNCTION("""COMPUTED_VALUE"""),4200.0)</f>
        <v>4200</v>
      </c>
      <c r="C87" s="6">
        <f>IFERROR(__xludf.DUMMYFUNCTION("""COMPUTED_VALUE"""),4247.7)</f>
        <v>4247.7</v>
      </c>
      <c r="D87" s="6">
        <f>IFERROR(__xludf.DUMMYFUNCTION("""COMPUTED_VALUE"""),4051.0)</f>
        <v>4051</v>
      </c>
      <c r="E87" s="6">
        <f>IFERROR(__xludf.DUMMYFUNCTION("""COMPUTED_VALUE"""),4140.8)</f>
        <v>4140.8</v>
      </c>
      <c r="F87" s="6">
        <f>IFERROR(__xludf.DUMMYFUNCTION("""COMPUTED_VALUE"""),1539930.0)</f>
        <v>1539930</v>
      </c>
    </row>
    <row r="88">
      <c r="A88" s="7">
        <f>IFERROR(__xludf.DUMMYFUNCTION("""COMPUTED_VALUE"""),45807.64583333333)</f>
        <v>45807.64583</v>
      </c>
      <c r="B88" s="6">
        <f>IFERROR(__xludf.DUMMYFUNCTION("""COMPUTED_VALUE"""),4145.0)</f>
        <v>4145</v>
      </c>
      <c r="C88" s="6">
        <f>IFERROR(__xludf.DUMMYFUNCTION("""COMPUTED_VALUE"""),4170.0)</f>
        <v>4170</v>
      </c>
      <c r="D88" s="6">
        <f>IFERROR(__xludf.DUMMYFUNCTION("""COMPUTED_VALUE"""),3991.8)</f>
        <v>3991.8</v>
      </c>
      <c r="E88" s="6">
        <f>IFERROR(__xludf.DUMMYFUNCTION("""COMPUTED_VALUE"""),4002.1)</f>
        <v>4002.1</v>
      </c>
      <c r="F88" s="6">
        <f>IFERROR(__xludf.DUMMYFUNCTION("""COMPUTED_VALUE"""),1419777.0)</f>
        <v>1419777</v>
      </c>
    </row>
    <row r="89">
      <c r="A89" s="7">
        <f>IFERROR(__xludf.DUMMYFUNCTION("""COMPUTED_VALUE"""),45814.64583333333)</f>
        <v>45814.64583</v>
      </c>
      <c r="B89" s="6">
        <f>IFERROR(__xludf.DUMMYFUNCTION("""COMPUTED_VALUE"""),3990.0)</f>
        <v>3990</v>
      </c>
      <c r="C89" s="6">
        <f>IFERROR(__xludf.DUMMYFUNCTION("""COMPUTED_VALUE"""),4244.8)</f>
        <v>4244.8</v>
      </c>
      <c r="D89" s="6">
        <f>IFERROR(__xludf.DUMMYFUNCTION("""COMPUTED_VALUE"""),3981.3)</f>
        <v>3981.3</v>
      </c>
      <c r="E89" s="6">
        <f>IFERROR(__xludf.DUMMYFUNCTION("""COMPUTED_VALUE"""),4201.6)</f>
        <v>4201.6</v>
      </c>
      <c r="F89" s="6">
        <f>IFERROR(__xludf.DUMMYFUNCTION("""COMPUTED_VALUE"""),1877439.0)</f>
        <v>1877439</v>
      </c>
    </row>
    <row r="90">
      <c r="A90" s="7">
        <f>IFERROR(__xludf.DUMMYFUNCTION("""COMPUTED_VALUE"""),45821.64583333333)</f>
        <v>45821.64583</v>
      </c>
      <c r="B90" s="6">
        <f>IFERROR(__xludf.DUMMYFUNCTION("""COMPUTED_VALUE"""),4201.6)</f>
        <v>4201.6</v>
      </c>
      <c r="C90" s="6">
        <f>IFERROR(__xludf.DUMMYFUNCTION("""COMPUTED_VALUE"""),4227.1)</f>
        <v>4227.1</v>
      </c>
      <c r="D90" s="6">
        <f>IFERROR(__xludf.DUMMYFUNCTION("""COMPUTED_VALUE"""),3928.9)</f>
        <v>3928.9</v>
      </c>
      <c r="E90" s="6">
        <f>IFERROR(__xludf.DUMMYFUNCTION("""COMPUTED_VALUE"""),4051.9)</f>
        <v>4051.9</v>
      </c>
      <c r="F90" s="6">
        <f>IFERROR(__xludf.DUMMYFUNCTION("""COMPUTED_VALUE"""),5561650.0)</f>
        <v>5561650</v>
      </c>
    </row>
    <row r="91">
      <c r="A91" s="7">
        <f>IFERROR(__xludf.DUMMYFUNCTION("""COMPUTED_VALUE"""),45828.64583333333)</f>
        <v>45828.64583</v>
      </c>
      <c r="B91" s="6">
        <f>IFERROR(__xludf.DUMMYFUNCTION("""COMPUTED_VALUE"""),4034.8)</f>
        <v>4034.8</v>
      </c>
      <c r="C91" s="6">
        <f>IFERROR(__xludf.DUMMYFUNCTION("""COMPUTED_VALUE"""),4324.5)</f>
        <v>4324.5</v>
      </c>
      <c r="D91" s="6">
        <f>IFERROR(__xludf.DUMMYFUNCTION("""COMPUTED_VALUE"""),3983.6)</f>
        <v>3983.6</v>
      </c>
      <c r="E91" s="6">
        <f>IFERROR(__xludf.DUMMYFUNCTION("""COMPUTED_VALUE"""),4300.3)</f>
        <v>4300.3</v>
      </c>
      <c r="F91" s="6">
        <f>IFERROR(__xludf.DUMMYFUNCTION("""COMPUTED_VALUE"""),4064562.0)</f>
        <v>4064562</v>
      </c>
    </row>
    <row r="92">
      <c r="A92" s="7">
        <f>IFERROR(__xludf.DUMMYFUNCTION("""COMPUTED_VALUE"""),45835.64583333333)</f>
        <v>45835.64583</v>
      </c>
      <c r="B92" s="6">
        <f>IFERROR(__xludf.DUMMYFUNCTION("""COMPUTED_VALUE"""),4269.1)</f>
        <v>4269.1</v>
      </c>
      <c r="C92" s="6">
        <f>IFERROR(__xludf.DUMMYFUNCTION("""COMPUTED_VALUE"""),4358.6)</f>
        <v>4358.6</v>
      </c>
      <c r="D92" s="6">
        <f>IFERROR(__xludf.DUMMYFUNCTION("""COMPUTED_VALUE"""),4236.7)</f>
        <v>4236.7</v>
      </c>
      <c r="E92" s="6">
        <f>IFERROR(__xludf.DUMMYFUNCTION("""COMPUTED_VALUE"""),4313.5)</f>
        <v>4313.5</v>
      </c>
      <c r="F92" s="6">
        <f>IFERROR(__xludf.DUMMYFUNCTION("""COMPUTED_VALUE"""),2376858.0)</f>
        <v>2376858</v>
      </c>
    </row>
    <row r="93">
      <c r="A93" s="7">
        <f>IFERROR(__xludf.DUMMYFUNCTION("""COMPUTED_VALUE"""),45842.64583333333)</f>
        <v>45842.64583</v>
      </c>
      <c r="B93" s="6">
        <f>IFERROR(__xludf.DUMMYFUNCTION("""COMPUTED_VALUE"""),4319.8)</f>
        <v>4319.8</v>
      </c>
      <c r="C93" s="6">
        <f>IFERROR(__xludf.DUMMYFUNCTION("""COMPUTED_VALUE"""),4495.5)</f>
        <v>4495.5</v>
      </c>
      <c r="D93" s="6">
        <f>IFERROR(__xludf.DUMMYFUNCTION("""COMPUTED_VALUE"""),4217.9)</f>
        <v>4217.9</v>
      </c>
      <c r="E93" s="6">
        <f>IFERROR(__xludf.DUMMYFUNCTION("""COMPUTED_VALUE"""),4261.1)</f>
        <v>4261.1</v>
      </c>
      <c r="F93" s="6">
        <f>IFERROR(__xludf.DUMMYFUNCTION("""COMPUTED_VALUE"""),4860425.0)</f>
        <v>4860425</v>
      </c>
    </row>
    <row r="94">
      <c r="A94" s="7">
        <f>IFERROR(__xludf.DUMMYFUNCTION("""COMPUTED_VALUE"""),45849.64583333333)</f>
        <v>45849.64583</v>
      </c>
      <c r="B94" s="6">
        <f>IFERROR(__xludf.DUMMYFUNCTION("""COMPUTED_VALUE"""),4279.0)</f>
        <v>4279</v>
      </c>
      <c r="C94" s="6">
        <f>IFERROR(__xludf.DUMMYFUNCTION("""COMPUTED_VALUE"""),4297.0)</f>
        <v>4297</v>
      </c>
      <c r="D94" s="6">
        <f>IFERROR(__xludf.DUMMYFUNCTION("""COMPUTED_VALUE"""),4041.0)</f>
        <v>4041</v>
      </c>
      <c r="E94" s="6">
        <f>IFERROR(__xludf.DUMMYFUNCTION("""COMPUTED_VALUE"""),4064.2)</f>
        <v>4064.2</v>
      </c>
      <c r="F94" s="6">
        <f>IFERROR(__xludf.DUMMYFUNCTION("""COMPUTED_VALUE"""),1958058.0)</f>
        <v>1958058</v>
      </c>
    </row>
    <row r="95">
      <c r="A95" s="7">
        <f>IFERROR(__xludf.DUMMYFUNCTION("""COMPUTED_VALUE"""),45856.64583333333)</f>
        <v>45856.64583</v>
      </c>
      <c r="B95" s="6">
        <f>IFERROR(__xludf.DUMMYFUNCTION("""COMPUTED_VALUE"""),4090.0)</f>
        <v>4090</v>
      </c>
      <c r="C95" s="6">
        <f>IFERROR(__xludf.DUMMYFUNCTION("""COMPUTED_VALUE"""),4127.9)</f>
        <v>4127.9</v>
      </c>
      <c r="D95" s="6">
        <f>IFERROR(__xludf.DUMMYFUNCTION("""COMPUTED_VALUE"""),3930.0)</f>
        <v>3930</v>
      </c>
      <c r="E95" s="6">
        <f>IFERROR(__xludf.DUMMYFUNCTION("""COMPUTED_VALUE"""),4048.6)</f>
        <v>4048.6</v>
      </c>
      <c r="F95" s="6">
        <f>IFERROR(__xludf.DUMMYFUNCTION("""COMPUTED_VALUE"""),4749810.0)</f>
        <v>4749810</v>
      </c>
    </row>
    <row r="96">
      <c r="A96" s="7">
        <f>IFERROR(__xludf.DUMMYFUNCTION("""COMPUTED_VALUE"""),45863.64583333333)</f>
        <v>45863.64583</v>
      </c>
      <c r="B96" s="6">
        <f>IFERROR(__xludf.DUMMYFUNCTION("""COMPUTED_VALUE"""),4039.8)</f>
        <v>4039.8</v>
      </c>
      <c r="C96" s="6">
        <f>IFERROR(__xludf.DUMMYFUNCTION("""COMPUTED_VALUE"""),4084.0)</f>
        <v>4084</v>
      </c>
      <c r="D96" s="6">
        <f>IFERROR(__xludf.DUMMYFUNCTION("""COMPUTED_VALUE"""),3951.1)</f>
        <v>3951.1</v>
      </c>
      <c r="E96" s="6">
        <f>IFERROR(__xludf.DUMMYFUNCTION("""COMPUTED_VALUE"""),3997.0)</f>
        <v>3997</v>
      </c>
      <c r="F96" s="6">
        <f>IFERROR(__xludf.DUMMYFUNCTION("""COMPUTED_VALUE"""),2907643.0)</f>
        <v>2907643</v>
      </c>
    </row>
    <row r="97">
      <c r="A97" s="7">
        <f>IFERROR(__xludf.DUMMYFUNCTION("""COMPUTED_VALUE"""),45870.64583333333)</f>
        <v>45870.64583</v>
      </c>
      <c r="B97" s="6">
        <f>IFERROR(__xludf.DUMMYFUNCTION("""COMPUTED_VALUE"""),3991.0)</f>
        <v>3991</v>
      </c>
      <c r="C97" s="6">
        <f>IFERROR(__xludf.DUMMYFUNCTION("""COMPUTED_VALUE"""),4346.8)</f>
        <v>4346.8</v>
      </c>
      <c r="D97" s="6">
        <f>IFERROR(__xludf.DUMMYFUNCTION("""COMPUTED_VALUE"""),3931.0)</f>
        <v>3931</v>
      </c>
      <c r="E97" s="6">
        <f>IFERROR(__xludf.DUMMYFUNCTION("""COMPUTED_VALUE"""),4196.0)</f>
        <v>4196</v>
      </c>
      <c r="F97" s="6">
        <f>IFERROR(__xludf.DUMMYFUNCTION("""COMPUTED_VALUE"""),5429613.0)</f>
        <v>5429613</v>
      </c>
    </row>
    <row r="98">
      <c r="A98" s="7">
        <f>IFERROR(__xludf.DUMMYFUNCTION("""COMPUTED_VALUE"""),45877.64583333333)</f>
        <v>45877.64583</v>
      </c>
      <c r="B98" s="6">
        <f>IFERROR(__xludf.DUMMYFUNCTION("""COMPUTED_VALUE"""),4196.0)</f>
        <v>4196</v>
      </c>
      <c r="C98" s="6">
        <f>IFERROR(__xludf.DUMMYFUNCTION("""COMPUTED_VALUE"""),4290.0)</f>
        <v>4290</v>
      </c>
      <c r="D98" s="6">
        <f>IFERROR(__xludf.DUMMYFUNCTION("""COMPUTED_VALUE"""),4139.1)</f>
        <v>4139.1</v>
      </c>
      <c r="E98" s="6">
        <f>IFERROR(__xludf.DUMMYFUNCTION("""COMPUTED_VALUE"""),4170.1)</f>
        <v>4170.1</v>
      </c>
      <c r="F98" s="6">
        <f>IFERROR(__xludf.DUMMYFUNCTION("""COMPUTED_VALUE"""),1427796.0)</f>
        <v>1427796</v>
      </c>
    </row>
    <row r="99">
      <c r="A99" s="7">
        <f>IFERROR(__xludf.DUMMYFUNCTION("""COMPUTED_VALUE"""),45883.64583333333)</f>
        <v>45883.64583</v>
      </c>
      <c r="B99" s="6">
        <f>IFERROR(__xludf.DUMMYFUNCTION("""COMPUTED_VALUE"""),4150.1)</f>
        <v>4150.1</v>
      </c>
      <c r="C99" s="6">
        <f>IFERROR(__xludf.DUMMYFUNCTION("""COMPUTED_VALUE"""),4394.9)</f>
        <v>4394.9</v>
      </c>
      <c r="D99" s="6">
        <f>IFERROR(__xludf.DUMMYFUNCTION("""COMPUTED_VALUE"""),4150.1)</f>
        <v>4150.1</v>
      </c>
      <c r="E99" s="6">
        <f>IFERROR(__xludf.DUMMYFUNCTION("""COMPUTED_VALUE"""),4358.2)</f>
        <v>4358.2</v>
      </c>
      <c r="F99" s="6">
        <f>IFERROR(__xludf.DUMMYFUNCTION("""COMPUTED_VALUE"""),1639254.0)</f>
        <v>1639254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IFERROR(__xludf.DUMMYFUNCTION("""COMPUTED_VALUE"""),4446.0)</f>
        <v>4446</v>
      </c>
      <c r="C100" s="6">
        <f>IFERROR(__xludf.DUMMYFUNCTION("""COMPUTED_VALUE"""),4759.9)</f>
        <v>4759.9</v>
      </c>
      <c r="D100" s="6">
        <f>IFERROR(__xludf.DUMMYFUNCTION("""COMPUTED_VALUE"""),4401.5)</f>
        <v>4401.5</v>
      </c>
      <c r="E100" s="6">
        <f>IFERROR(__xludf.DUMMYFUNCTION("""COMPUTED_VALUE"""),4698.8)</f>
        <v>4698.8</v>
      </c>
      <c r="F100" s="6">
        <f>IFERROR(__xludf.DUMMYFUNCTION("""COMPUTED_VALUE"""),5038617.0)</f>
        <v>5038617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IFERROR(__xludf.DUMMYFUNCTION("""COMPUTED_VALUE"""),4714.5)</f>
        <v>4714.5</v>
      </c>
      <c r="C101" s="6">
        <f>IFERROR(__xludf.DUMMYFUNCTION("""COMPUTED_VALUE"""),4799.1)</f>
        <v>4799.1</v>
      </c>
      <c r="D101" s="6">
        <f>IFERROR(__xludf.DUMMYFUNCTION("""COMPUTED_VALUE"""),4696.2)</f>
        <v>4696.2</v>
      </c>
      <c r="E101" s="6">
        <f>IFERROR(__xludf.DUMMYFUNCTION("""COMPUTED_VALUE"""),4716.4)</f>
        <v>4716.4</v>
      </c>
      <c r="F101" s="6">
        <f>IFERROR(__xludf.DUMMYFUNCTION("""COMPUTED_VALUE"""),1.3884565E7)</f>
        <v>13884565</v>
      </c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IFERROR(__xludf.DUMMYFUNCTION("GOOGLEFINANCE(""NSE:DRREDDY"",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IFERROR(__xludf.DUMMYFUNCTION("""COMPUTED_VALUE"""),1156.0)</f>
        <v>1156</v>
      </c>
      <c r="C2" s="6">
        <f>IFERROR(__xludf.DUMMYFUNCTION("""COMPUTED_VALUE"""),1165.8)</f>
        <v>1165.8</v>
      </c>
      <c r="D2" s="6">
        <f>IFERROR(__xludf.DUMMYFUNCTION("""COMPUTED_VALUE"""),1110.02)</f>
        <v>1110.02</v>
      </c>
      <c r="E2" s="6">
        <f>IFERROR(__xludf.DUMMYFUNCTION("""COMPUTED_VALUE"""),1115.71)</f>
        <v>1115.71</v>
      </c>
      <c r="F2" s="6">
        <f>IFERROR(__xludf.DUMMYFUNCTION("""COMPUTED_VALUE"""),2688965.0)</f>
        <v>2688965</v>
      </c>
    </row>
    <row r="3">
      <c r="A3" s="7">
        <f>IFERROR(__xludf.DUMMYFUNCTION("""COMPUTED_VALUE"""),45177.64583333333)</f>
        <v>45177.64583</v>
      </c>
      <c r="B3" s="6">
        <f>IFERROR(__xludf.DUMMYFUNCTION("""COMPUTED_VALUE"""),1117.0)</f>
        <v>1117</v>
      </c>
      <c r="C3" s="6">
        <f>IFERROR(__xludf.DUMMYFUNCTION("""COMPUTED_VALUE"""),1133.34)</f>
        <v>1133.34</v>
      </c>
      <c r="D3" s="6">
        <f>IFERROR(__xludf.DUMMYFUNCTION("""COMPUTED_VALUE"""),1111.85)</f>
        <v>1111.85</v>
      </c>
      <c r="E3" s="6">
        <f>IFERROR(__xludf.DUMMYFUNCTION("""COMPUTED_VALUE"""),1116.76)</f>
        <v>1116.76</v>
      </c>
      <c r="F3" s="6">
        <f>IFERROR(__xludf.DUMMYFUNCTION("""COMPUTED_VALUE"""),1851260.0)</f>
        <v>1851260</v>
      </c>
    </row>
    <row r="4">
      <c r="A4" s="7">
        <f>IFERROR(__xludf.DUMMYFUNCTION("""COMPUTED_VALUE"""),45184.64583333333)</f>
        <v>45184.64583</v>
      </c>
      <c r="B4" s="6">
        <f>IFERROR(__xludf.DUMMYFUNCTION("""COMPUTED_VALUE"""),1119.0)</f>
        <v>1119</v>
      </c>
      <c r="C4" s="6">
        <f>IFERROR(__xludf.DUMMYFUNCTION("""COMPUTED_VALUE"""),1168.57)</f>
        <v>1168.57</v>
      </c>
      <c r="D4" s="6">
        <f>IFERROR(__xludf.DUMMYFUNCTION("""COMPUTED_VALUE"""),1117.01)</f>
        <v>1117.01</v>
      </c>
      <c r="E4" s="6">
        <f>IFERROR(__xludf.DUMMYFUNCTION("""COMPUTED_VALUE"""),1163.9)</f>
        <v>1163.9</v>
      </c>
      <c r="F4" s="6">
        <f>IFERROR(__xludf.DUMMYFUNCTION("""COMPUTED_VALUE"""),1735119.0)</f>
        <v>1735119</v>
      </c>
    </row>
    <row r="5">
      <c r="A5" s="7">
        <f>IFERROR(__xludf.DUMMYFUNCTION("""COMPUTED_VALUE"""),45191.64583333333)</f>
        <v>45191.64583</v>
      </c>
      <c r="B5" s="6">
        <f>IFERROR(__xludf.DUMMYFUNCTION("""COMPUTED_VALUE"""),1164.2)</f>
        <v>1164.2</v>
      </c>
      <c r="C5" s="6">
        <f>IFERROR(__xludf.DUMMYFUNCTION("""COMPUTED_VALUE"""),1165.76)</f>
        <v>1165.76</v>
      </c>
      <c r="D5" s="6">
        <f>IFERROR(__xludf.DUMMYFUNCTION("""COMPUTED_VALUE"""),1100.4)</f>
        <v>1100.4</v>
      </c>
      <c r="E5" s="6">
        <f>IFERROR(__xludf.DUMMYFUNCTION("""COMPUTED_VALUE"""),1103.41)</f>
        <v>1103.41</v>
      </c>
      <c r="F5" s="6">
        <f>IFERROR(__xludf.DUMMYFUNCTION("""COMPUTED_VALUE"""),1779529.0)</f>
        <v>1779529</v>
      </c>
    </row>
    <row r="6">
      <c r="A6" s="7">
        <f>IFERROR(__xludf.DUMMYFUNCTION("""COMPUTED_VALUE"""),45198.64583333333)</f>
        <v>45198.64583</v>
      </c>
      <c r="B6" s="6">
        <f>IFERROR(__xludf.DUMMYFUNCTION("""COMPUTED_VALUE"""),1105.97)</f>
        <v>1105.97</v>
      </c>
      <c r="C6" s="6">
        <f>IFERROR(__xludf.DUMMYFUNCTION("""COMPUTED_VALUE"""),1126.0)</f>
        <v>1126</v>
      </c>
      <c r="D6" s="6">
        <f>IFERROR(__xludf.DUMMYFUNCTION("""COMPUTED_VALUE"""),1082.2)</f>
        <v>1082.2</v>
      </c>
      <c r="E6" s="6">
        <f>IFERROR(__xludf.DUMMYFUNCTION("""COMPUTED_VALUE"""),1117.4)</f>
        <v>1117.4</v>
      </c>
      <c r="F6" s="6">
        <f>IFERROR(__xludf.DUMMYFUNCTION("""COMPUTED_VALUE"""),2014872.0)</f>
        <v>2014872</v>
      </c>
    </row>
    <row r="7">
      <c r="A7" s="7">
        <f>IFERROR(__xludf.DUMMYFUNCTION("""COMPUTED_VALUE"""),45205.64583333333)</f>
        <v>45205.64583</v>
      </c>
      <c r="B7" s="6">
        <f>IFERROR(__xludf.DUMMYFUNCTION("""COMPUTED_VALUE"""),1117.38)</f>
        <v>1117.38</v>
      </c>
      <c r="C7" s="6">
        <f>IFERROR(__xludf.DUMMYFUNCTION("""COMPUTED_VALUE"""),1117.38)</f>
        <v>1117.38</v>
      </c>
      <c r="D7" s="6">
        <f>IFERROR(__xludf.DUMMYFUNCTION("""COMPUTED_VALUE"""),1080.0)</f>
        <v>1080</v>
      </c>
      <c r="E7" s="6">
        <f>IFERROR(__xludf.DUMMYFUNCTION("""COMPUTED_VALUE"""),1084.98)</f>
        <v>1084.98</v>
      </c>
      <c r="F7" s="6">
        <f>IFERROR(__xludf.DUMMYFUNCTION("""COMPUTED_VALUE"""),1561258.0)</f>
        <v>1561258</v>
      </c>
    </row>
    <row r="8">
      <c r="A8" s="7">
        <f>IFERROR(__xludf.DUMMYFUNCTION("""COMPUTED_VALUE"""),45212.64583333333)</f>
        <v>45212.64583</v>
      </c>
      <c r="B8" s="6">
        <f>IFERROR(__xludf.DUMMYFUNCTION("""COMPUTED_VALUE"""),1082.01)</f>
        <v>1082.01</v>
      </c>
      <c r="C8" s="6">
        <f>IFERROR(__xludf.DUMMYFUNCTION("""COMPUTED_VALUE"""),1117.6)</f>
        <v>1117.6</v>
      </c>
      <c r="D8" s="6">
        <f>IFERROR(__xludf.DUMMYFUNCTION("""COMPUTED_VALUE"""),1080.03)</f>
        <v>1080.03</v>
      </c>
      <c r="E8" s="6">
        <f>IFERROR(__xludf.DUMMYFUNCTION("""COMPUTED_VALUE"""),1092.04)</f>
        <v>1092.04</v>
      </c>
      <c r="F8" s="6">
        <f>IFERROR(__xludf.DUMMYFUNCTION("""COMPUTED_VALUE"""),1835496.0)</f>
        <v>1835496</v>
      </c>
    </row>
    <row r="9">
      <c r="A9" s="7">
        <f>IFERROR(__xludf.DUMMYFUNCTION("""COMPUTED_VALUE"""),45219.64583333333)</f>
        <v>45219.64583</v>
      </c>
      <c r="B9" s="6">
        <f>IFERROR(__xludf.DUMMYFUNCTION("""COMPUTED_VALUE"""),1097.8)</f>
        <v>1097.8</v>
      </c>
      <c r="C9" s="6">
        <f>IFERROR(__xludf.DUMMYFUNCTION("""COMPUTED_VALUE"""),1138.95)</f>
        <v>1138.95</v>
      </c>
      <c r="D9" s="6">
        <f>IFERROR(__xludf.DUMMYFUNCTION("""COMPUTED_VALUE"""),1092.0)</f>
        <v>1092</v>
      </c>
      <c r="E9" s="6">
        <f>IFERROR(__xludf.DUMMYFUNCTION("""COMPUTED_VALUE"""),1113.86)</f>
        <v>1113.86</v>
      </c>
      <c r="F9" s="6">
        <f>IFERROR(__xludf.DUMMYFUNCTION("""COMPUTED_VALUE"""),1833611.0)</f>
        <v>1833611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IFERROR(__xludf.DUMMYFUNCTION("""COMPUTED_VALUE"""),1105.1)</f>
        <v>1105.1</v>
      </c>
      <c r="C10" s="6">
        <f>IFERROR(__xludf.DUMMYFUNCTION("""COMPUTED_VALUE"""),1133.39)</f>
        <v>1133.39</v>
      </c>
      <c r="D10" s="6">
        <f>IFERROR(__xludf.DUMMYFUNCTION("""COMPUTED_VALUE"""),1068.18)</f>
        <v>1068.18</v>
      </c>
      <c r="E10" s="6">
        <f>IFERROR(__xludf.DUMMYFUNCTION("""COMPUTED_VALUE"""),1079.46)</f>
        <v>1079.46</v>
      </c>
      <c r="F10" s="6">
        <f>IFERROR(__xludf.DUMMYFUNCTION("""COMPUTED_VALUE"""),1523627.0)</f>
        <v>1523627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IFERROR(__xludf.DUMMYFUNCTION("""COMPUTED_VALUE"""),1078.79)</f>
        <v>1078.79</v>
      </c>
      <c r="C11" s="6">
        <f>IFERROR(__xludf.DUMMYFUNCTION("""COMPUTED_VALUE"""),1088.19)</f>
        <v>1088.19</v>
      </c>
      <c r="D11" s="6">
        <f>IFERROR(__xludf.DUMMYFUNCTION("""COMPUTED_VALUE"""),1041.11)</f>
        <v>1041.11</v>
      </c>
      <c r="E11" s="6">
        <f>IFERROR(__xludf.DUMMYFUNCTION("""COMPUTED_VALUE"""),1052.61)</f>
        <v>1052.61</v>
      </c>
      <c r="F11" s="6">
        <f>IFERROR(__xludf.DUMMYFUNCTION("""COMPUTED_VALUE"""),2247995.0)</f>
        <v>2247995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IFERROR(__xludf.DUMMYFUNCTION("""COMPUTED_VALUE"""),1060.0)</f>
        <v>1060</v>
      </c>
      <c r="C12" s="6">
        <f>IFERROR(__xludf.DUMMYFUNCTION("""COMPUTED_VALUE"""),1100.07)</f>
        <v>1100.07</v>
      </c>
      <c r="D12" s="6">
        <f>IFERROR(__xludf.DUMMYFUNCTION("""COMPUTED_VALUE"""),1056.64)</f>
        <v>1056.64</v>
      </c>
      <c r="E12" s="6">
        <f>IFERROR(__xludf.DUMMYFUNCTION("""COMPUTED_VALUE"""),1084.98)</f>
        <v>1084.98</v>
      </c>
      <c r="F12" s="6">
        <f>IFERROR(__xludf.DUMMYFUNCTION("""COMPUTED_VALUE"""),2246151.0)</f>
        <v>2246151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IFERROR(__xludf.DUMMYFUNCTION("""COMPUTED_VALUE"""),1090.0)</f>
        <v>1090</v>
      </c>
      <c r="C13" s="6">
        <f>IFERROR(__xludf.DUMMYFUNCTION("""COMPUTED_VALUE"""),1127.9)</f>
        <v>1127.9</v>
      </c>
      <c r="D13" s="6">
        <f>IFERROR(__xludf.DUMMYFUNCTION("""COMPUTED_VALUE"""),1076.42)</f>
        <v>1076.42</v>
      </c>
      <c r="E13" s="6">
        <f>IFERROR(__xludf.DUMMYFUNCTION("""COMPUTED_VALUE"""),1122.31)</f>
        <v>1122.31</v>
      </c>
      <c r="F13" s="6">
        <f>IFERROR(__xludf.DUMMYFUNCTION("""COMPUTED_VALUE"""),1238913.0)</f>
        <v>1238913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IFERROR(__xludf.DUMMYFUNCTION("""COMPUTED_VALUE"""),1122.99)</f>
        <v>1122.99</v>
      </c>
      <c r="C14" s="6">
        <f>IFERROR(__xludf.DUMMYFUNCTION("""COMPUTED_VALUE"""),1151.37)</f>
        <v>1151.37</v>
      </c>
      <c r="D14" s="6">
        <f>IFERROR(__xludf.DUMMYFUNCTION("""COMPUTED_VALUE"""),1117.18)</f>
        <v>1117.18</v>
      </c>
      <c r="E14" s="6">
        <f>IFERROR(__xludf.DUMMYFUNCTION("""COMPUTED_VALUE"""),1129.23)</f>
        <v>1129.23</v>
      </c>
      <c r="F14" s="6">
        <f>IFERROR(__xludf.DUMMYFUNCTION("""COMPUTED_VALUE"""),1969275.0)</f>
        <v>1969275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IFERROR(__xludf.DUMMYFUNCTION("""COMPUTED_VALUE"""),1129.4)</f>
        <v>1129.4</v>
      </c>
      <c r="C15" s="6">
        <f>IFERROR(__xludf.DUMMYFUNCTION("""COMPUTED_VALUE"""),1171.31)</f>
        <v>1171.31</v>
      </c>
      <c r="D15" s="6">
        <f>IFERROR(__xludf.DUMMYFUNCTION("""COMPUTED_VALUE"""),1129.4)</f>
        <v>1129.4</v>
      </c>
      <c r="E15" s="6">
        <f>IFERROR(__xludf.DUMMYFUNCTION("""COMPUTED_VALUE"""),1149.88)</f>
        <v>1149.88</v>
      </c>
      <c r="F15" s="6">
        <f>IFERROR(__xludf.DUMMYFUNCTION("""COMPUTED_VALUE"""),1763487.0)</f>
        <v>1763487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IFERROR(__xludf.DUMMYFUNCTION("""COMPUTED_VALUE"""),1160.0)</f>
        <v>1160</v>
      </c>
      <c r="C16" s="6">
        <f>IFERROR(__xludf.DUMMYFUNCTION("""COMPUTED_VALUE"""),1169.98)</f>
        <v>1169.98</v>
      </c>
      <c r="D16" s="6">
        <f>IFERROR(__xludf.DUMMYFUNCTION("""COMPUTED_VALUE"""),1141.61)</f>
        <v>1141.61</v>
      </c>
      <c r="E16" s="6">
        <f>IFERROR(__xludf.DUMMYFUNCTION("""COMPUTED_VALUE"""),1152.78)</f>
        <v>1152.78</v>
      </c>
      <c r="F16" s="6">
        <f>IFERROR(__xludf.DUMMYFUNCTION("""COMPUTED_VALUE"""),1967311.0)</f>
        <v>1967311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IFERROR(__xludf.DUMMYFUNCTION("""COMPUTED_VALUE"""),1100.0)</f>
        <v>1100</v>
      </c>
      <c r="C17" s="6">
        <f>IFERROR(__xludf.DUMMYFUNCTION("""COMPUTED_VALUE"""),1126.96)</f>
        <v>1126.96</v>
      </c>
      <c r="D17" s="6">
        <f>IFERROR(__xludf.DUMMYFUNCTION("""COMPUTED_VALUE"""),1074.0)</f>
        <v>1074</v>
      </c>
      <c r="E17" s="6">
        <f>IFERROR(__xludf.DUMMYFUNCTION("""COMPUTED_VALUE"""),1117.89)</f>
        <v>1117.89</v>
      </c>
      <c r="F17" s="6">
        <f>IFERROR(__xludf.DUMMYFUNCTION("""COMPUTED_VALUE"""),4737486.0)</f>
        <v>4737486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IFERROR(__xludf.DUMMYFUNCTION("""COMPUTED_VALUE"""),1117.0)</f>
        <v>1117</v>
      </c>
      <c r="C18" s="6">
        <f>IFERROR(__xludf.DUMMYFUNCTION("""COMPUTED_VALUE"""),1137.8)</f>
        <v>1137.8</v>
      </c>
      <c r="D18" s="6">
        <f>IFERROR(__xludf.DUMMYFUNCTION("""COMPUTED_VALUE"""),1094.24)</f>
        <v>1094.24</v>
      </c>
      <c r="E18" s="6">
        <f>IFERROR(__xludf.DUMMYFUNCTION("""COMPUTED_VALUE"""),1125.54)</f>
        <v>1125.54</v>
      </c>
      <c r="F18" s="6">
        <f>IFERROR(__xludf.DUMMYFUNCTION("""COMPUTED_VALUE"""),1741360.0)</f>
        <v>1741360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IFERROR(__xludf.DUMMYFUNCTION("""COMPUTED_VALUE"""),1125.5)</f>
        <v>1125.5</v>
      </c>
      <c r="C19" s="6">
        <f>IFERROR(__xludf.DUMMYFUNCTION("""COMPUTED_VALUE"""),1178.16)</f>
        <v>1178.16</v>
      </c>
      <c r="D19" s="6">
        <f>IFERROR(__xludf.DUMMYFUNCTION("""COMPUTED_VALUE"""),1120.26)</f>
        <v>1120.26</v>
      </c>
      <c r="E19" s="6">
        <f>IFERROR(__xludf.DUMMYFUNCTION("""COMPUTED_VALUE"""),1159.58)</f>
        <v>1159.58</v>
      </c>
      <c r="F19" s="6">
        <f>IFERROR(__xludf.DUMMYFUNCTION("""COMPUTED_VALUE"""),1894661.0)</f>
        <v>1894661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IFERROR(__xludf.DUMMYFUNCTION("""COMPUTED_VALUE"""),1160.0)</f>
        <v>1160</v>
      </c>
      <c r="C20" s="6">
        <f>IFERROR(__xludf.DUMMYFUNCTION("""COMPUTED_VALUE"""),1194.0)</f>
        <v>1194</v>
      </c>
      <c r="D20" s="6">
        <f>IFERROR(__xludf.DUMMYFUNCTION("""COMPUTED_VALUE"""),1160.0)</f>
        <v>1160</v>
      </c>
      <c r="E20" s="6">
        <f>IFERROR(__xludf.DUMMYFUNCTION("""COMPUTED_VALUE"""),1167.13)</f>
        <v>1167.13</v>
      </c>
      <c r="F20" s="6">
        <f>IFERROR(__xludf.DUMMYFUNCTION("""COMPUTED_VALUE"""),1669054.0)</f>
        <v>1669054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IFERROR(__xludf.DUMMYFUNCTION("""COMPUTED_VALUE"""),1176.18)</f>
        <v>1176.18</v>
      </c>
      <c r="C21" s="6">
        <f>IFERROR(__xludf.DUMMYFUNCTION("""COMPUTED_VALUE"""),1176.2)</f>
        <v>1176.2</v>
      </c>
      <c r="D21" s="6">
        <f>IFERROR(__xludf.DUMMYFUNCTION("""COMPUTED_VALUE"""),1129.02)</f>
        <v>1129.02</v>
      </c>
      <c r="E21" s="6">
        <f>IFERROR(__xludf.DUMMYFUNCTION("""COMPUTED_VALUE"""),1137.77)</f>
        <v>1137.77</v>
      </c>
      <c r="F21" s="6">
        <f>IFERROR(__xludf.DUMMYFUNCTION("""COMPUTED_VALUE"""),1624482.0)</f>
        <v>1624482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IFERROR(__xludf.DUMMYFUNCTION("""COMPUTED_VALUE"""),1130.38)</f>
        <v>1130.38</v>
      </c>
      <c r="C22" s="6">
        <f>IFERROR(__xludf.DUMMYFUNCTION("""COMPUTED_VALUE"""),1185.0)</f>
        <v>1185</v>
      </c>
      <c r="D22" s="6">
        <f>IFERROR(__xludf.DUMMYFUNCTION("""COMPUTED_VALUE"""),1128.19)</f>
        <v>1128.19</v>
      </c>
      <c r="E22" s="6">
        <f>IFERROR(__xludf.DUMMYFUNCTION("""COMPUTED_VALUE"""),1171.1)</f>
        <v>1171.1</v>
      </c>
      <c r="F22" s="6">
        <f>IFERROR(__xludf.DUMMYFUNCTION("""COMPUTED_VALUE"""),2050343.0)</f>
        <v>2050343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IFERROR(__xludf.DUMMYFUNCTION("""COMPUTED_VALUE"""),1160.0)</f>
        <v>1160</v>
      </c>
      <c r="C23" s="6">
        <f>IFERROR(__xludf.DUMMYFUNCTION("""COMPUTED_VALUE"""),1229.88)</f>
        <v>1229.88</v>
      </c>
      <c r="D23" s="6">
        <f>IFERROR(__xludf.DUMMYFUNCTION("""COMPUTED_VALUE"""),1148.04)</f>
        <v>1148.04</v>
      </c>
      <c r="E23" s="6">
        <f>IFERROR(__xludf.DUMMYFUNCTION("""COMPUTED_VALUE"""),1207.9)</f>
        <v>1207.9</v>
      </c>
      <c r="F23" s="6">
        <f>IFERROR(__xludf.DUMMYFUNCTION("""COMPUTED_VALUE"""),3148473.0)</f>
        <v>3148473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IFERROR(__xludf.DUMMYFUNCTION("""COMPUTED_VALUE"""),1207.8)</f>
        <v>1207.8</v>
      </c>
      <c r="C24" s="6">
        <f>IFERROR(__xludf.DUMMYFUNCTION("""COMPUTED_VALUE"""),1243.99)</f>
        <v>1243.99</v>
      </c>
      <c r="D24" s="6">
        <f>IFERROR(__xludf.DUMMYFUNCTION("""COMPUTED_VALUE"""),1198.22)</f>
        <v>1198.22</v>
      </c>
      <c r="E24" s="6">
        <f>IFERROR(__xludf.DUMMYFUNCTION("""COMPUTED_VALUE"""),1231.17)</f>
        <v>1231.17</v>
      </c>
      <c r="F24" s="6">
        <f>IFERROR(__xludf.DUMMYFUNCTION("""COMPUTED_VALUE"""),2139400.0)</f>
        <v>2139400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IFERROR(__xludf.DUMMYFUNCTION("""COMPUTED_VALUE"""),1246.86)</f>
        <v>1246.86</v>
      </c>
      <c r="C25" s="6">
        <f>IFERROR(__xludf.DUMMYFUNCTION("""COMPUTED_VALUE"""),1281.97)</f>
        <v>1281.97</v>
      </c>
      <c r="D25" s="6">
        <f>IFERROR(__xludf.DUMMYFUNCTION("""COMPUTED_VALUE"""),1234.02)</f>
        <v>1234.02</v>
      </c>
      <c r="E25" s="6">
        <f>IFERROR(__xludf.DUMMYFUNCTION("""COMPUTED_VALUE"""),1263.43)</f>
        <v>1263.43</v>
      </c>
      <c r="F25" s="6">
        <f>IFERROR(__xludf.DUMMYFUNCTION("""COMPUTED_VALUE"""),2170498.0)</f>
        <v>2170498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IFERROR(__xludf.DUMMYFUNCTION("""COMPUTED_VALUE"""),1263.43)</f>
        <v>1263.43</v>
      </c>
      <c r="C26" s="6">
        <f>IFERROR(__xludf.DUMMYFUNCTION("""COMPUTED_VALUE"""),1298.81)</f>
        <v>1298.81</v>
      </c>
      <c r="D26" s="6">
        <f>IFERROR(__xludf.DUMMYFUNCTION("""COMPUTED_VALUE"""),1246.27)</f>
        <v>1246.27</v>
      </c>
      <c r="E26" s="6">
        <f>IFERROR(__xludf.DUMMYFUNCTION("""COMPUTED_VALUE"""),1288.43)</f>
        <v>1288.43</v>
      </c>
      <c r="F26" s="6">
        <f>IFERROR(__xludf.DUMMYFUNCTION("""COMPUTED_VALUE"""),1410255.0)</f>
        <v>1410255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IFERROR(__xludf.DUMMYFUNCTION("""COMPUTED_VALUE"""),1248.0)</f>
        <v>1248</v>
      </c>
      <c r="C27" s="6">
        <f>IFERROR(__xludf.DUMMYFUNCTION("""COMPUTED_VALUE"""),1287.87)</f>
        <v>1287.87</v>
      </c>
      <c r="D27" s="6">
        <f>IFERROR(__xludf.DUMMYFUNCTION("""COMPUTED_VALUE"""),1238.0)</f>
        <v>1238</v>
      </c>
      <c r="E27" s="6">
        <f>IFERROR(__xludf.DUMMYFUNCTION("""COMPUTED_VALUE"""),1264.83)</f>
        <v>1264.83</v>
      </c>
      <c r="F27" s="6">
        <f>IFERROR(__xludf.DUMMYFUNCTION("""COMPUTED_VALUE"""),1123593.0)</f>
        <v>1123593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IFERROR(__xludf.DUMMYFUNCTION("""COMPUTED_VALUE"""),1273.8)</f>
        <v>1273.8</v>
      </c>
      <c r="C28" s="6">
        <f>IFERROR(__xludf.DUMMYFUNCTION("""COMPUTED_VALUE"""),1285.6)</f>
        <v>1285.6</v>
      </c>
      <c r="D28" s="6">
        <f>IFERROR(__xludf.DUMMYFUNCTION("""COMPUTED_VALUE"""),1241.78)</f>
        <v>1241.78</v>
      </c>
      <c r="E28" s="6">
        <f>IFERROR(__xludf.DUMMYFUNCTION("""COMPUTED_VALUE"""),1256.98)</f>
        <v>1256.98</v>
      </c>
      <c r="F28" s="6">
        <f>IFERROR(__xludf.DUMMYFUNCTION("""COMPUTED_VALUE"""),1708308.0)</f>
        <v>1708308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IFERROR(__xludf.DUMMYFUNCTION("""COMPUTED_VALUE"""),1258.42)</f>
        <v>1258.42</v>
      </c>
      <c r="C29" s="6">
        <f>IFERROR(__xludf.DUMMYFUNCTION("""COMPUTED_VALUE"""),1270.98)</f>
        <v>1270.98</v>
      </c>
      <c r="D29" s="6">
        <f>IFERROR(__xludf.DUMMYFUNCTION("""COMPUTED_VALUE"""),1204.64)</f>
        <v>1204.64</v>
      </c>
      <c r="E29" s="6">
        <f>IFERROR(__xludf.DUMMYFUNCTION("""COMPUTED_VALUE"""),1240.64)</f>
        <v>1240.64</v>
      </c>
      <c r="F29" s="6">
        <f>IFERROR(__xludf.DUMMYFUNCTION("""COMPUTED_VALUE"""),1404862.0)</f>
        <v>1404862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IFERROR(__xludf.DUMMYFUNCTION("""COMPUTED_VALUE"""),1238.0)</f>
        <v>1238</v>
      </c>
      <c r="C30" s="6">
        <f>IFERROR(__xludf.DUMMYFUNCTION("""COMPUTED_VALUE"""),1242.29)</f>
        <v>1242.29</v>
      </c>
      <c r="D30" s="6">
        <f>IFERROR(__xludf.DUMMYFUNCTION("""COMPUTED_VALUE"""),1206.82)</f>
        <v>1206.82</v>
      </c>
      <c r="E30" s="6">
        <f>IFERROR(__xludf.DUMMYFUNCTION("""COMPUTED_VALUE"""),1231.58)</f>
        <v>1231.58</v>
      </c>
      <c r="F30" s="6">
        <f>IFERROR(__xludf.DUMMYFUNCTION("""COMPUTED_VALUE"""),1080231.0)</f>
        <v>1080231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IFERROR(__xludf.DUMMYFUNCTION("""COMPUTED_VALUE"""),1243.0)</f>
        <v>1243</v>
      </c>
      <c r="C31" s="6">
        <f>IFERROR(__xludf.DUMMYFUNCTION("""COMPUTED_VALUE"""),1261.17)</f>
        <v>1261.17</v>
      </c>
      <c r="D31" s="6">
        <f>IFERROR(__xludf.DUMMYFUNCTION("""COMPUTED_VALUE"""),1209.5)</f>
        <v>1209.5</v>
      </c>
      <c r="E31" s="6">
        <f>IFERROR(__xludf.DUMMYFUNCTION("""COMPUTED_VALUE"""),1235.86)</f>
        <v>1235.86</v>
      </c>
      <c r="F31" s="6">
        <f>IFERROR(__xludf.DUMMYFUNCTION("""COMPUTED_VALUE"""),1601865.0)</f>
        <v>1601865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IFERROR(__xludf.DUMMYFUNCTION("""COMPUTED_VALUE"""),1243.49)</f>
        <v>1243.49</v>
      </c>
      <c r="C32" s="6">
        <f>IFERROR(__xludf.DUMMYFUNCTION("""COMPUTED_VALUE"""),1246.04)</f>
        <v>1246.04</v>
      </c>
      <c r="D32" s="6">
        <f>IFERROR(__xludf.DUMMYFUNCTION("""COMPUTED_VALUE"""),1215.0)</f>
        <v>1215</v>
      </c>
      <c r="E32" s="6">
        <f>IFERROR(__xludf.DUMMYFUNCTION("""COMPUTED_VALUE"""),1216.77)</f>
        <v>1216.77</v>
      </c>
      <c r="F32" s="6">
        <f>IFERROR(__xludf.DUMMYFUNCTION("""COMPUTED_VALUE"""),1003764.0)</f>
        <v>1003764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IFERROR(__xludf.DUMMYFUNCTION("""COMPUTED_VALUE"""),1214.64)</f>
        <v>1214.64</v>
      </c>
      <c r="C33" s="6">
        <f>IFERROR(__xludf.DUMMYFUNCTION("""COMPUTED_VALUE"""),1225.5)</f>
        <v>1225.5</v>
      </c>
      <c r="D33" s="6">
        <f>IFERROR(__xludf.DUMMYFUNCTION("""COMPUTED_VALUE"""),1176.16)</f>
        <v>1176.16</v>
      </c>
      <c r="E33" s="6">
        <f>IFERROR(__xludf.DUMMYFUNCTION("""COMPUTED_VALUE"""),1188.57)</f>
        <v>1188.57</v>
      </c>
      <c r="F33" s="6">
        <f>IFERROR(__xludf.DUMMYFUNCTION("""COMPUTED_VALUE"""),1618618.0)</f>
        <v>1618618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IFERROR(__xludf.DUMMYFUNCTION("""COMPUTED_VALUE"""),1195.0)</f>
        <v>1195</v>
      </c>
      <c r="C34" s="6">
        <f>IFERROR(__xludf.DUMMYFUNCTION("""COMPUTED_VALUE"""),1261.77)</f>
        <v>1261.77</v>
      </c>
      <c r="D34" s="6">
        <f>IFERROR(__xludf.DUMMYFUNCTION("""COMPUTED_VALUE"""),1184.21)</f>
        <v>1184.21</v>
      </c>
      <c r="E34" s="6">
        <f>IFERROR(__xludf.DUMMYFUNCTION("""COMPUTED_VALUE"""),1250.42)</f>
        <v>1250.42</v>
      </c>
      <c r="F34" s="6">
        <f>IFERROR(__xludf.DUMMYFUNCTION("""COMPUTED_VALUE"""),2238882.0)</f>
        <v>2238882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IFERROR(__xludf.DUMMYFUNCTION("""COMPUTED_VALUE"""),1254.0)</f>
        <v>1254</v>
      </c>
      <c r="C35" s="6">
        <f>IFERROR(__xludf.DUMMYFUNCTION("""COMPUTED_VALUE"""),1283.98)</f>
        <v>1283.98</v>
      </c>
      <c r="D35" s="6">
        <f>IFERROR(__xludf.DUMMYFUNCTION("""COMPUTED_VALUE"""),1237.0)</f>
        <v>1237</v>
      </c>
      <c r="E35" s="6">
        <f>IFERROR(__xludf.DUMMYFUNCTION("""COMPUTED_VALUE"""),1269.91)</f>
        <v>1269.91</v>
      </c>
      <c r="F35" s="6">
        <f>IFERROR(__xludf.DUMMYFUNCTION("""COMPUTED_VALUE"""),1886731.0)</f>
        <v>1886731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IFERROR(__xludf.DUMMYFUNCTION("""COMPUTED_VALUE"""),1275.94)</f>
        <v>1275.94</v>
      </c>
      <c r="C36" s="6">
        <f>IFERROR(__xludf.DUMMYFUNCTION("""COMPUTED_VALUE"""),1276.0)</f>
        <v>1276</v>
      </c>
      <c r="D36" s="6">
        <f>IFERROR(__xludf.DUMMYFUNCTION("""COMPUTED_VALUE"""),1163.62)</f>
        <v>1163.62</v>
      </c>
      <c r="E36" s="6">
        <f>IFERROR(__xludf.DUMMYFUNCTION("""COMPUTED_VALUE"""),1184.2)</f>
        <v>1184.2</v>
      </c>
      <c r="F36" s="6">
        <f>IFERROR(__xludf.DUMMYFUNCTION("""COMPUTED_VALUE"""),2561335.0)</f>
        <v>2561335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IFERROR(__xludf.DUMMYFUNCTION("""COMPUTED_VALUE"""),1162.19)</f>
        <v>1162.19</v>
      </c>
      <c r="C37" s="6">
        <f>IFERROR(__xludf.DUMMYFUNCTION("""COMPUTED_VALUE"""),1186.6)</f>
        <v>1186.6</v>
      </c>
      <c r="D37" s="6">
        <f>IFERROR(__xludf.DUMMYFUNCTION("""COMPUTED_VALUE"""),1154.6)</f>
        <v>1154.6</v>
      </c>
      <c r="E37" s="6">
        <f>IFERROR(__xludf.DUMMYFUNCTION("""COMPUTED_VALUE"""),1173.15)</f>
        <v>1173.15</v>
      </c>
      <c r="F37" s="6">
        <f>IFERROR(__xludf.DUMMYFUNCTION("""COMPUTED_VALUE"""),2002421.0)</f>
        <v>2002421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IFERROR(__xludf.DUMMYFUNCTION("""COMPUTED_VALUE"""),1173.15)</f>
        <v>1173.15</v>
      </c>
      <c r="C38" s="6">
        <f>IFERROR(__xludf.DUMMYFUNCTION("""COMPUTED_VALUE"""),1203.59)</f>
        <v>1203.59</v>
      </c>
      <c r="D38" s="6">
        <f>IFERROR(__xludf.DUMMYFUNCTION("""COMPUTED_VALUE"""),1150.57)</f>
        <v>1150.57</v>
      </c>
      <c r="E38" s="6">
        <f>IFERROR(__xludf.DUMMYFUNCTION("""COMPUTED_VALUE"""),1158.37)</f>
        <v>1158.37</v>
      </c>
      <c r="F38" s="6">
        <f>IFERROR(__xludf.DUMMYFUNCTION("""COMPUTED_VALUE"""),3603620.0)</f>
        <v>3603620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IFERROR(__xludf.DUMMYFUNCTION("""COMPUTED_VALUE"""),1187.58)</f>
        <v>1187.58</v>
      </c>
      <c r="C39" s="6">
        <f>IFERROR(__xludf.DUMMYFUNCTION("""COMPUTED_VALUE"""),1216.82)</f>
        <v>1216.82</v>
      </c>
      <c r="D39" s="6">
        <f>IFERROR(__xludf.DUMMYFUNCTION("""COMPUTED_VALUE"""),1120.0)</f>
        <v>1120</v>
      </c>
      <c r="E39" s="6">
        <f>IFERROR(__xludf.DUMMYFUNCTION("""COMPUTED_VALUE"""),1212.26)</f>
        <v>1212.26</v>
      </c>
      <c r="F39" s="6">
        <f>IFERROR(__xludf.DUMMYFUNCTION("""COMPUTED_VALUE"""),3052691.0)</f>
        <v>3052691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IFERROR(__xludf.DUMMYFUNCTION("""COMPUTED_VALUE"""),1212.26)</f>
        <v>1212.26</v>
      </c>
      <c r="C40" s="6">
        <f>IFERROR(__xludf.DUMMYFUNCTION("""COMPUTED_VALUE"""),1231.53)</f>
        <v>1231.53</v>
      </c>
      <c r="D40" s="6">
        <f>IFERROR(__xludf.DUMMYFUNCTION("""COMPUTED_VALUE"""),1198.2)</f>
        <v>1198.2</v>
      </c>
      <c r="E40" s="6">
        <f>IFERROR(__xludf.DUMMYFUNCTION("""COMPUTED_VALUE"""),1217.05)</f>
        <v>1217.05</v>
      </c>
      <c r="F40" s="6">
        <f>IFERROR(__xludf.DUMMYFUNCTION("""COMPUTED_VALUE"""),2367836.0)</f>
        <v>2367836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IFERROR(__xludf.DUMMYFUNCTION("""COMPUTED_VALUE"""),1209.6)</f>
        <v>1209.6</v>
      </c>
      <c r="C41" s="6">
        <f>IFERROR(__xludf.DUMMYFUNCTION("""COMPUTED_VALUE"""),1212.4)</f>
        <v>1212.4</v>
      </c>
      <c r="D41" s="6">
        <f>IFERROR(__xludf.DUMMYFUNCTION("""COMPUTED_VALUE"""),1177.6)</f>
        <v>1177.6</v>
      </c>
      <c r="E41" s="6">
        <f>IFERROR(__xludf.DUMMYFUNCTION("""COMPUTED_VALUE"""),1202.29)</f>
        <v>1202.29</v>
      </c>
      <c r="F41" s="6">
        <f>IFERROR(__xludf.DUMMYFUNCTION("""COMPUTED_VALUE"""),2154768.0)</f>
        <v>2154768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IFERROR(__xludf.DUMMYFUNCTION("""COMPUTED_VALUE"""),1199.6)</f>
        <v>1199.6</v>
      </c>
      <c r="C42" s="6">
        <f>IFERROR(__xludf.DUMMYFUNCTION("""COMPUTED_VALUE"""),1284.0)</f>
        <v>1284</v>
      </c>
      <c r="D42" s="6">
        <f>IFERROR(__xludf.DUMMYFUNCTION("""COMPUTED_VALUE"""),1194.6)</f>
        <v>1194.6</v>
      </c>
      <c r="E42" s="6">
        <f>IFERROR(__xludf.DUMMYFUNCTION("""COMPUTED_VALUE"""),1280.47)</f>
        <v>1280.47</v>
      </c>
      <c r="F42" s="6">
        <f>IFERROR(__xludf.DUMMYFUNCTION("""COMPUTED_VALUE"""),4569364.0)</f>
        <v>4569364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IFERROR(__xludf.DUMMYFUNCTION("""COMPUTED_VALUE"""),1286.0)</f>
        <v>1286</v>
      </c>
      <c r="C43" s="6">
        <f>IFERROR(__xludf.DUMMYFUNCTION("""COMPUTED_VALUE"""),1309.43)</f>
        <v>1309.43</v>
      </c>
      <c r="D43" s="6">
        <f>IFERROR(__xludf.DUMMYFUNCTION("""COMPUTED_VALUE"""),1256.85)</f>
        <v>1256.85</v>
      </c>
      <c r="E43" s="6">
        <f>IFERROR(__xludf.DUMMYFUNCTION("""COMPUTED_VALUE"""),1304.0)</f>
        <v>1304</v>
      </c>
      <c r="F43" s="6">
        <f>IFERROR(__xludf.DUMMYFUNCTION("""COMPUTED_VALUE"""),1973524.0)</f>
        <v>1973524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IFERROR(__xludf.DUMMYFUNCTION("""COMPUTED_VALUE"""),1304.0)</f>
        <v>1304</v>
      </c>
      <c r="C44" s="6">
        <f>IFERROR(__xludf.DUMMYFUNCTION("""COMPUTED_VALUE"""),1349.0)</f>
        <v>1349</v>
      </c>
      <c r="D44" s="6">
        <f>IFERROR(__xludf.DUMMYFUNCTION("""COMPUTED_VALUE"""),1286.19)</f>
        <v>1286.19</v>
      </c>
      <c r="E44" s="6">
        <f>IFERROR(__xludf.DUMMYFUNCTION("""COMPUTED_VALUE"""),1343.89)</f>
        <v>1343.89</v>
      </c>
      <c r="F44" s="6">
        <f>IFERROR(__xludf.DUMMYFUNCTION("""COMPUTED_VALUE"""),1671062.0)</f>
        <v>1671062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IFERROR(__xludf.DUMMYFUNCTION("""COMPUTED_VALUE"""),1350.0)</f>
        <v>1350</v>
      </c>
      <c r="C45" s="6">
        <f>IFERROR(__xludf.DUMMYFUNCTION("""COMPUTED_VALUE"""),1376.99)</f>
        <v>1376.99</v>
      </c>
      <c r="D45" s="6">
        <f>IFERROR(__xludf.DUMMYFUNCTION("""COMPUTED_VALUE"""),1318.08)</f>
        <v>1318.08</v>
      </c>
      <c r="E45" s="6">
        <f>IFERROR(__xludf.DUMMYFUNCTION("""COMPUTED_VALUE"""),1327.2)</f>
        <v>1327.2</v>
      </c>
      <c r="F45" s="6">
        <f>IFERROR(__xludf.DUMMYFUNCTION("""COMPUTED_VALUE"""),1481854.0)</f>
        <v>1481854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IFERROR(__xludf.DUMMYFUNCTION("""COMPUTED_VALUE"""),1316.0)</f>
        <v>1316</v>
      </c>
      <c r="C46" s="6">
        <f>IFERROR(__xludf.DUMMYFUNCTION("""COMPUTED_VALUE"""),1393.2)</f>
        <v>1393.2</v>
      </c>
      <c r="D46" s="6">
        <f>IFERROR(__xludf.DUMMYFUNCTION("""COMPUTED_VALUE"""),1316.0)</f>
        <v>1316</v>
      </c>
      <c r="E46" s="6">
        <f>IFERROR(__xludf.DUMMYFUNCTION("""COMPUTED_VALUE"""),1375.73)</f>
        <v>1375.73</v>
      </c>
      <c r="F46" s="6">
        <f>IFERROR(__xludf.DUMMYFUNCTION("""COMPUTED_VALUE"""),2555755.0)</f>
        <v>2555755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IFERROR(__xludf.DUMMYFUNCTION("""COMPUTED_VALUE"""),1384.0)</f>
        <v>1384</v>
      </c>
      <c r="C47" s="6">
        <f>IFERROR(__xludf.DUMMYFUNCTION("""COMPUTED_VALUE"""),1396.2)</f>
        <v>1396.2</v>
      </c>
      <c r="D47" s="6">
        <f>IFERROR(__xludf.DUMMYFUNCTION("""COMPUTED_VALUE"""),1347.0)</f>
        <v>1347</v>
      </c>
      <c r="E47" s="6">
        <f>IFERROR(__xludf.DUMMYFUNCTION("""COMPUTED_VALUE"""),1392.83)</f>
        <v>1392.83</v>
      </c>
      <c r="F47" s="6">
        <f>IFERROR(__xludf.DUMMYFUNCTION("""COMPUTED_VALUE"""),2198343.0)</f>
        <v>2198343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IFERROR(__xludf.DUMMYFUNCTION("""COMPUTED_VALUE"""),1386.02)</f>
        <v>1386.02</v>
      </c>
      <c r="C48" s="6">
        <f>IFERROR(__xludf.DUMMYFUNCTION("""COMPUTED_VALUE"""),1407.0)</f>
        <v>1407</v>
      </c>
      <c r="D48" s="6">
        <f>IFERROR(__xludf.DUMMYFUNCTION("""COMPUTED_VALUE"""),1358.8)</f>
        <v>1358.8</v>
      </c>
      <c r="E48" s="6">
        <f>IFERROR(__xludf.DUMMYFUNCTION("""COMPUTED_VALUE"""),1402.7)</f>
        <v>1402.7</v>
      </c>
      <c r="F48" s="6">
        <f>IFERROR(__xludf.DUMMYFUNCTION("""COMPUTED_VALUE"""),1549008.0)</f>
        <v>1549008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IFERROR(__xludf.DUMMYFUNCTION("""COMPUTED_VALUE"""),1402.79)</f>
        <v>1402.79</v>
      </c>
      <c r="C49" s="6">
        <f>IFERROR(__xludf.DUMMYFUNCTION("""COMPUTED_VALUE"""),1406.0)</f>
        <v>1406</v>
      </c>
      <c r="D49" s="6">
        <f>IFERROR(__xludf.DUMMYFUNCTION("""COMPUTED_VALUE"""),1351.63)</f>
        <v>1351.63</v>
      </c>
      <c r="E49" s="6">
        <f>IFERROR(__xludf.DUMMYFUNCTION("""COMPUTED_VALUE"""),1358.72)</f>
        <v>1358.72</v>
      </c>
      <c r="F49" s="6">
        <f>IFERROR(__xludf.DUMMYFUNCTION("""COMPUTED_VALUE"""),1472845.0)</f>
        <v>1472845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IFERROR(__xludf.DUMMYFUNCTION("""COMPUTED_VALUE"""),1367.59)</f>
        <v>1367.59</v>
      </c>
      <c r="C50" s="6">
        <f>IFERROR(__xludf.DUMMYFUNCTION("""COMPUTED_VALUE"""),1421.49)</f>
        <v>1421.49</v>
      </c>
      <c r="D50" s="6">
        <f>IFERROR(__xludf.DUMMYFUNCTION("""COMPUTED_VALUE"""),1363.52)</f>
        <v>1363.52</v>
      </c>
      <c r="E50" s="6">
        <f>IFERROR(__xludf.DUMMYFUNCTION("""COMPUTED_VALUE"""),1390.9)</f>
        <v>1390.9</v>
      </c>
      <c r="F50" s="6">
        <f>IFERROR(__xludf.DUMMYFUNCTION("""COMPUTED_VALUE"""),1171528.0)</f>
        <v>1171528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IFERROR(__xludf.DUMMYFUNCTION("""COMPUTED_VALUE"""),1384.99)</f>
        <v>1384.99</v>
      </c>
      <c r="C51" s="6">
        <f>IFERROR(__xludf.DUMMYFUNCTION("""COMPUTED_VALUE"""),1409.65)</f>
        <v>1409.65</v>
      </c>
      <c r="D51" s="6">
        <f>IFERROR(__xludf.DUMMYFUNCTION("""COMPUTED_VALUE"""),1377.82)</f>
        <v>1377.82</v>
      </c>
      <c r="E51" s="6">
        <f>IFERROR(__xludf.DUMMYFUNCTION("""COMPUTED_VALUE"""),1406.27)</f>
        <v>1406.27</v>
      </c>
      <c r="F51" s="6">
        <f>IFERROR(__xludf.DUMMYFUNCTION("""COMPUTED_VALUE"""),2025591.0)</f>
        <v>2025591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IFERROR(__xludf.DUMMYFUNCTION("""COMPUTED_VALUE"""),1409.94)</f>
        <v>1409.94</v>
      </c>
      <c r="C52" s="6">
        <f>IFERROR(__xludf.DUMMYFUNCTION("""COMPUTED_VALUE"""),1414.99)</f>
        <v>1414.99</v>
      </c>
      <c r="D52" s="6">
        <f>IFERROR(__xludf.DUMMYFUNCTION("""COMPUTED_VALUE"""),1330.6)</f>
        <v>1330.6</v>
      </c>
      <c r="E52" s="6">
        <f>IFERROR(__xludf.DUMMYFUNCTION("""COMPUTED_VALUE"""),1333.43)</f>
        <v>1333.43</v>
      </c>
      <c r="F52" s="6">
        <f>IFERROR(__xludf.DUMMYFUNCTION("""COMPUTED_VALUE"""),1970822.0)</f>
        <v>1970822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IFERROR(__xludf.DUMMYFUNCTION("""COMPUTED_VALUE"""),1335.99)</f>
        <v>1335.99</v>
      </c>
      <c r="C53" s="6">
        <f>IFERROR(__xludf.DUMMYFUNCTION("""COMPUTED_VALUE"""),1349.87)</f>
        <v>1349.87</v>
      </c>
      <c r="D53" s="6">
        <f>IFERROR(__xludf.DUMMYFUNCTION("""COMPUTED_VALUE"""),1316.06)</f>
        <v>1316.06</v>
      </c>
      <c r="E53" s="6">
        <f>IFERROR(__xludf.DUMMYFUNCTION("""COMPUTED_VALUE"""),1332.14)</f>
        <v>1332.14</v>
      </c>
      <c r="F53" s="6">
        <f>IFERROR(__xludf.DUMMYFUNCTION("""COMPUTED_VALUE"""),1897930.0)</f>
        <v>1897930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IFERROR(__xludf.DUMMYFUNCTION("""COMPUTED_VALUE"""),1337.98)</f>
        <v>1337.98</v>
      </c>
      <c r="C54" s="6">
        <f>IFERROR(__xludf.DUMMYFUNCTION("""COMPUTED_VALUE"""),1337.98)</f>
        <v>1337.98</v>
      </c>
      <c r="D54" s="6">
        <f>IFERROR(__xludf.DUMMYFUNCTION("""COMPUTED_VALUE"""),1296.5)</f>
        <v>1296.5</v>
      </c>
      <c r="E54" s="6">
        <f>IFERROR(__xludf.DUMMYFUNCTION("""COMPUTED_VALUE"""),1310.23)</f>
        <v>1310.23</v>
      </c>
      <c r="F54" s="6">
        <f>IFERROR(__xludf.DUMMYFUNCTION("""COMPUTED_VALUE"""),2065641.0)</f>
        <v>2065641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IFERROR(__xludf.DUMMYFUNCTION("""COMPUTED_VALUE"""),1320.0)</f>
        <v>1320</v>
      </c>
      <c r="C55" s="6">
        <f>IFERROR(__xludf.DUMMYFUNCTION("""COMPUTED_VALUE"""),1354.48)</f>
        <v>1354.48</v>
      </c>
      <c r="D55" s="6">
        <f>IFERROR(__xludf.DUMMYFUNCTION("""COMPUTED_VALUE"""),1316.0)</f>
        <v>1316</v>
      </c>
      <c r="E55" s="6">
        <f>IFERROR(__xludf.DUMMYFUNCTION("""COMPUTED_VALUE"""),1349.98)</f>
        <v>1349.98</v>
      </c>
      <c r="F55" s="6">
        <f>IFERROR(__xludf.DUMMYFUNCTION("""COMPUTED_VALUE"""),2262737.0)</f>
        <v>2262737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IFERROR(__xludf.DUMMYFUNCTION("""COMPUTED_VALUE"""),1351.0)</f>
        <v>1351</v>
      </c>
      <c r="C56" s="6">
        <f>IFERROR(__xludf.DUMMYFUNCTION("""COMPUTED_VALUE"""),1359.0)</f>
        <v>1359</v>
      </c>
      <c r="D56" s="6">
        <f>IFERROR(__xludf.DUMMYFUNCTION("""COMPUTED_VALUE"""),1322.2)</f>
        <v>1322.2</v>
      </c>
      <c r="E56" s="6">
        <f>IFERROR(__xludf.DUMMYFUNCTION("""COMPUTED_VALUE"""),1326.65)</f>
        <v>1326.65</v>
      </c>
      <c r="F56" s="6">
        <f>IFERROR(__xludf.DUMMYFUNCTION("""COMPUTED_VALUE"""),1516997.0)</f>
        <v>1516997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IFERROR(__xludf.DUMMYFUNCTION("""COMPUTED_VALUE"""),1336.71)</f>
        <v>1336.71</v>
      </c>
      <c r="C57" s="6">
        <f>IFERROR(__xludf.DUMMYFUNCTION("""COMPUTED_VALUE"""),1350.98)</f>
        <v>1350.98</v>
      </c>
      <c r="D57" s="6">
        <f>IFERROR(__xludf.DUMMYFUNCTION("""COMPUTED_VALUE"""),1309.01)</f>
        <v>1309.01</v>
      </c>
      <c r="E57" s="6">
        <f>IFERROR(__xludf.DUMMYFUNCTION("""COMPUTED_VALUE"""),1319.84)</f>
        <v>1319.84</v>
      </c>
      <c r="F57" s="6">
        <f>IFERROR(__xludf.DUMMYFUNCTION("""COMPUTED_VALUE"""),1602613.0)</f>
        <v>1602613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IFERROR(__xludf.DUMMYFUNCTION("""COMPUTED_VALUE"""),1327.2)</f>
        <v>1327.2</v>
      </c>
      <c r="C58" s="6">
        <f>IFERROR(__xludf.DUMMYFUNCTION("""COMPUTED_VALUE"""),1355.0)</f>
        <v>1355</v>
      </c>
      <c r="D58" s="6">
        <f>IFERROR(__xludf.DUMMYFUNCTION("""COMPUTED_VALUE"""),1320.0)</f>
        <v>1320</v>
      </c>
      <c r="E58" s="6">
        <f>IFERROR(__xludf.DUMMYFUNCTION("""COMPUTED_VALUE"""),1348.22)</f>
        <v>1348.22</v>
      </c>
      <c r="F58" s="6">
        <f>IFERROR(__xludf.DUMMYFUNCTION("""COMPUTED_VALUE"""),1470542.0)</f>
        <v>1470542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IFERROR(__xludf.DUMMYFUNCTION("""COMPUTED_VALUE"""),1354.0)</f>
        <v>1354</v>
      </c>
      <c r="C59" s="6">
        <f>IFERROR(__xludf.DUMMYFUNCTION("""COMPUTED_VALUE"""),1354.0)</f>
        <v>1354</v>
      </c>
      <c r="D59" s="6">
        <f>IFERROR(__xludf.DUMMYFUNCTION("""COMPUTED_VALUE"""),1290.02)</f>
        <v>1290.02</v>
      </c>
      <c r="E59" s="6">
        <f>IFERROR(__xludf.DUMMYFUNCTION("""COMPUTED_VALUE"""),1302.94)</f>
        <v>1302.94</v>
      </c>
      <c r="F59" s="6">
        <f>IFERROR(__xludf.DUMMYFUNCTION("""COMPUTED_VALUE"""),1500451.0)</f>
        <v>1500451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IFERROR(__xludf.DUMMYFUNCTION("""COMPUTED_VALUE"""),1259.6)</f>
        <v>1259.6</v>
      </c>
      <c r="C60" s="6">
        <f>IFERROR(__xludf.DUMMYFUNCTION("""COMPUTED_VALUE"""),1321.9)</f>
        <v>1321.9</v>
      </c>
      <c r="D60" s="6">
        <f>IFERROR(__xludf.DUMMYFUNCTION("""COMPUTED_VALUE"""),1241.25)</f>
        <v>1241.25</v>
      </c>
      <c r="E60" s="6">
        <f>IFERROR(__xludf.DUMMYFUNCTION("""COMPUTED_VALUE"""),1283.65)</f>
        <v>1283.65</v>
      </c>
      <c r="F60" s="6">
        <f>IFERROR(__xludf.DUMMYFUNCTION("""COMPUTED_VALUE"""),1.0091315E7)</f>
        <v>10091315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IFERROR(__xludf.DUMMYFUNCTION("""COMPUTED_VALUE"""),1284.0)</f>
        <v>1284</v>
      </c>
      <c r="C61" s="6">
        <f>IFERROR(__xludf.DUMMYFUNCTION("""COMPUTED_VALUE"""),1295.25)</f>
        <v>1295.25</v>
      </c>
      <c r="D61" s="6">
        <f>IFERROR(__xludf.DUMMYFUNCTION("""COMPUTED_VALUE"""),1222.2)</f>
        <v>1222.2</v>
      </c>
      <c r="E61" s="6">
        <f>IFERROR(__xludf.DUMMYFUNCTION("""COMPUTED_VALUE"""),1226.7)</f>
        <v>1226.7</v>
      </c>
      <c r="F61" s="6">
        <f>IFERROR(__xludf.DUMMYFUNCTION("""COMPUTED_VALUE"""),4628484.0)</f>
        <v>4628484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IFERROR(__xludf.DUMMYFUNCTION("""COMPUTED_VALUE"""),1206.1)</f>
        <v>1206.1</v>
      </c>
      <c r="C62" s="6">
        <f>IFERROR(__xludf.DUMMYFUNCTION("""COMPUTED_VALUE"""),1232.0)</f>
        <v>1232</v>
      </c>
      <c r="D62" s="6">
        <f>IFERROR(__xludf.DUMMYFUNCTION("""COMPUTED_VALUE"""),1170.2)</f>
        <v>1170.2</v>
      </c>
      <c r="E62" s="6">
        <f>IFERROR(__xludf.DUMMYFUNCTION("""COMPUTED_VALUE"""),1214.45)</f>
        <v>1214.45</v>
      </c>
      <c r="F62" s="6">
        <f>IFERROR(__xludf.DUMMYFUNCTION("""COMPUTED_VALUE"""),7762762.0)</f>
        <v>7762762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IFERROR(__xludf.DUMMYFUNCTION("""COMPUTED_VALUE"""),1233.95)</f>
        <v>1233.95</v>
      </c>
      <c r="C63" s="6">
        <f>IFERROR(__xludf.DUMMYFUNCTION("""COMPUTED_VALUE"""),1247.0)</f>
        <v>1247</v>
      </c>
      <c r="D63" s="6">
        <f>IFERROR(__xludf.DUMMYFUNCTION("""COMPUTED_VALUE"""),1188.45)</f>
        <v>1188.45</v>
      </c>
      <c r="E63" s="6">
        <f>IFERROR(__xludf.DUMMYFUNCTION("""COMPUTED_VALUE"""),1202.3)</f>
        <v>1202.3</v>
      </c>
      <c r="F63" s="6">
        <f>IFERROR(__xludf.DUMMYFUNCTION("""COMPUTED_VALUE"""),1.1228618E7)</f>
        <v>11228618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IFERROR(__xludf.DUMMYFUNCTION("""COMPUTED_VALUE"""),1214.25)</f>
        <v>1214.25</v>
      </c>
      <c r="C64" s="6">
        <f>IFERROR(__xludf.DUMMYFUNCTION("""COMPUTED_VALUE"""),1255.15)</f>
        <v>1255.15</v>
      </c>
      <c r="D64" s="6">
        <f>IFERROR(__xludf.DUMMYFUNCTION("""COMPUTED_VALUE"""),1202.3)</f>
        <v>1202.3</v>
      </c>
      <c r="E64" s="6">
        <f>IFERROR(__xludf.DUMMYFUNCTION("""COMPUTED_VALUE"""),1253.7)</f>
        <v>1253.7</v>
      </c>
      <c r="F64" s="6">
        <f>IFERROR(__xludf.DUMMYFUNCTION("""COMPUTED_VALUE"""),1.0541458E7)</f>
        <v>10541458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IFERROR(__xludf.DUMMYFUNCTION("""COMPUTED_VALUE"""),1254.65)</f>
        <v>1254.65</v>
      </c>
      <c r="C65" s="6">
        <f>IFERROR(__xludf.DUMMYFUNCTION("""COMPUTED_VALUE"""),1261.8)</f>
        <v>1261.8</v>
      </c>
      <c r="D65" s="6">
        <f>IFERROR(__xludf.DUMMYFUNCTION("""COMPUTED_VALUE"""),1226.35)</f>
        <v>1226.35</v>
      </c>
      <c r="E65" s="6">
        <f>IFERROR(__xludf.DUMMYFUNCTION("""COMPUTED_VALUE"""),1246.35)</f>
        <v>1246.35</v>
      </c>
      <c r="F65" s="6">
        <f>IFERROR(__xludf.DUMMYFUNCTION("""COMPUTED_VALUE"""),7381849.0)</f>
        <v>7381849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IFERROR(__xludf.DUMMYFUNCTION("""COMPUTED_VALUE"""),1246.35)</f>
        <v>1246.35</v>
      </c>
      <c r="C66" s="6">
        <f>IFERROR(__xludf.DUMMYFUNCTION("""COMPUTED_VALUE"""),1368.7)</f>
        <v>1368.7</v>
      </c>
      <c r="D66" s="6">
        <f>IFERROR(__xludf.DUMMYFUNCTION("""COMPUTED_VALUE"""),1243.25)</f>
        <v>1243.25</v>
      </c>
      <c r="E66" s="6">
        <f>IFERROR(__xludf.DUMMYFUNCTION("""COMPUTED_VALUE"""),1343.65)</f>
        <v>1343.65</v>
      </c>
      <c r="F66" s="6">
        <f>IFERROR(__xludf.DUMMYFUNCTION("""COMPUTED_VALUE"""),2.2135939E7)</f>
        <v>22135939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IFERROR(__xludf.DUMMYFUNCTION("""COMPUTED_VALUE"""),1362.0)</f>
        <v>1362</v>
      </c>
      <c r="C67" s="6">
        <f>IFERROR(__xludf.DUMMYFUNCTION("""COMPUTED_VALUE"""),1398.25)</f>
        <v>1398.25</v>
      </c>
      <c r="D67" s="6">
        <f>IFERROR(__xludf.DUMMYFUNCTION("""COMPUTED_VALUE"""),1330.3)</f>
        <v>1330.3</v>
      </c>
      <c r="E67" s="6">
        <f>IFERROR(__xludf.DUMMYFUNCTION("""COMPUTED_VALUE"""),1389.45)</f>
        <v>1389.45</v>
      </c>
      <c r="F67" s="6">
        <f>IFERROR(__xludf.DUMMYFUNCTION("""COMPUTED_VALUE"""),1.1514863E7)</f>
        <v>11514863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IFERROR(__xludf.DUMMYFUNCTION("""COMPUTED_VALUE"""),1389.6)</f>
        <v>1389.6</v>
      </c>
      <c r="C68" s="6">
        <f>IFERROR(__xludf.DUMMYFUNCTION("""COMPUTED_VALUE"""),1395.0)</f>
        <v>1395</v>
      </c>
      <c r="D68" s="6">
        <f>IFERROR(__xludf.DUMMYFUNCTION("""COMPUTED_VALUE"""),1347.2)</f>
        <v>1347.2</v>
      </c>
      <c r="E68" s="6">
        <f>IFERROR(__xludf.DUMMYFUNCTION("""COMPUTED_VALUE"""),1352.65)</f>
        <v>1352.65</v>
      </c>
      <c r="F68" s="6">
        <f>IFERROR(__xludf.DUMMYFUNCTION("""COMPUTED_VALUE"""),9313360.0)</f>
        <v>9313360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IFERROR(__xludf.DUMMYFUNCTION("""COMPUTED_VALUE"""),1360.4)</f>
        <v>1360.4</v>
      </c>
      <c r="C69" s="6">
        <f>IFERROR(__xludf.DUMMYFUNCTION("""COMPUTED_VALUE"""),1405.9)</f>
        <v>1405.9</v>
      </c>
      <c r="D69" s="6">
        <f>IFERROR(__xludf.DUMMYFUNCTION("""COMPUTED_VALUE"""),1333.8)</f>
        <v>1333.8</v>
      </c>
      <c r="E69" s="6">
        <f>IFERROR(__xludf.DUMMYFUNCTION("""COMPUTED_VALUE"""),1354.4)</f>
        <v>1354.4</v>
      </c>
      <c r="F69" s="6">
        <f>IFERROR(__xludf.DUMMYFUNCTION("""COMPUTED_VALUE"""),9910598.0)</f>
        <v>9910598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IFERROR(__xludf.DUMMYFUNCTION("""COMPUTED_VALUE"""),1354.05)</f>
        <v>1354.05</v>
      </c>
      <c r="C70" s="6">
        <f>IFERROR(__xludf.DUMMYFUNCTION("""COMPUTED_VALUE"""),1354.15)</f>
        <v>1354.15</v>
      </c>
      <c r="D70" s="6">
        <f>IFERROR(__xludf.DUMMYFUNCTION("""COMPUTED_VALUE"""),1288.0)</f>
        <v>1288</v>
      </c>
      <c r="E70" s="6">
        <f>IFERROR(__xludf.DUMMYFUNCTION("""COMPUTED_VALUE"""),1309.4)</f>
        <v>1309.4</v>
      </c>
      <c r="F70" s="6">
        <f>IFERROR(__xludf.DUMMYFUNCTION("""COMPUTED_VALUE"""),8760849.0)</f>
        <v>8760849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IFERROR(__xludf.DUMMYFUNCTION("""COMPUTED_VALUE"""),1308.35)</f>
        <v>1308.35</v>
      </c>
      <c r="C71" s="6">
        <f>IFERROR(__xludf.DUMMYFUNCTION("""COMPUTED_VALUE"""),1312.95)</f>
        <v>1312.95</v>
      </c>
      <c r="D71" s="6">
        <f>IFERROR(__xludf.DUMMYFUNCTION("""COMPUTED_VALUE"""),1203.5)</f>
        <v>1203.5</v>
      </c>
      <c r="E71" s="6">
        <f>IFERROR(__xludf.DUMMYFUNCTION("""COMPUTED_VALUE"""),1224.4)</f>
        <v>1224.4</v>
      </c>
      <c r="F71" s="6">
        <f>IFERROR(__xludf.DUMMYFUNCTION("""COMPUTED_VALUE"""),1.1132977E7)</f>
        <v>11132977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IFERROR(__xludf.DUMMYFUNCTION("""COMPUTED_VALUE"""),1200.0)</f>
        <v>1200</v>
      </c>
      <c r="C72" s="6">
        <f>IFERROR(__xludf.DUMMYFUNCTION("""COMPUTED_VALUE"""),1254.0)</f>
        <v>1254</v>
      </c>
      <c r="D72" s="6">
        <f>IFERROR(__xludf.DUMMYFUNCTION("""COMPUTED_VALUE"""),1196.8)</f>
        <v>1196.8</v>
      </c>
      <c r="E72" s="6">
        <f>IFERROR(__xludf.DUMMYFUNCTION("""COMPUTED_VALUE"""),1240.4)</f>
        <v>1240.4</v>
      </c>
      <c r="F72" s="6">
        <f>IFERROR(__xludf.DUMMYFUNCTION("""COMPUTED_VALUE"""),9335510.0)</f>
        <v>9335510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IFERROR(__xludf.DUMMYFUNCTION("""COMPUTED_VALUE"""),1239.7)</f>
        <v>1239.7</v>
      </c>
      <c r="C73" s="6">
        <f>IFERROR(__xludf.DUMMYFUNCTION("""COMPUTED_VALUE"""),1243.0)</f>
        <v>1243</v>
      </c>
      <c r="D73" s="6">
        <f>IFERROR(__xludf.DUMMYFUNCTION("""COMPUTED_VALUE"""),1186.25)</f>
        <v>1186.25</v>
      </c>
      <c r="E73" s="6">
        <f>IFERROR(__xludf.DUMMYFUNCTION("""COMPUTED_VALUE"""),1197.05)</f>
        <v>1197.05</v>
      </c>
      <c r="F73" s="6">
        <f>IFERROR(__xludf.DUMMYFUNCTION("""COMPUTED_VALUE"""),1.0350551E7)</f>
        <v>10350551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IFERROR(__xludf.DUMMYFUNCTION("""COMPUTED_VALUE"""),1196.85)</f>
        <v>1196.85</v>
      </c>
      <c r="C74" s="6">
        <f>IFERROR(__xludf.DUMMYFUNCTION("""COMPUTED_VALUE"""),1204.95)</f>
        <v>1204.95</v>
      </c>
      <c r="D74" s="6">
        <f>IFERROR(__xludf.DUMMYFUNCTION("""COMPUTED_VALUE"""),1127.5)</f>
        <v>1127.5</v>
      </c>
      <c r="E74" s="6">
        <f>IFERROR(__xludf.DUMMYFUNCTION("""COMPUTED_VALUE"""),1151.8)</f>
        <v>1151.8</v>
      </c>
      <c r="F74" s="6">
        <f>IFERROR(__xludf.DUMMYFUNCTION("""COMPUTED_VALUE"""),1.379776E7)</f>
        <v>13797760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IFERROR(__xludf.DUMMYFUNCTION("""COMPUTED_VALUE"""),1151.8)</f>
        <v>1151.8</v>
      </c>
      <c r="C75" s="6">
        <f>IFERROR(__xludf.DUMMYFUNCTION("""COMPUTED_VALUE"""),1173.9)</f>
        <v>1173.9</v>
      </c>
      <c r="D75" s="6">
        <f>IFERROR(__xludf.DUMMYFUNCTION("""COMPUTED_VALUE"""),1104.55)</f>
        <v>1104.55</v>
      </c>
      <c r="E75" s="6">
        <f>IFERROR(__xludf.DUMMYFUNCTION("""COMPUTED_VALUE"""),1116.5)</f>
        <v>1116.5</v>
      </c>
      <c r="F75" s="6">
        <f>IFERROR(__xludf.DUMMYFUNCTION("""COMPUTED_VALUE"""),1.5810861E7)</f>
        <v>15810861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IFERROR(__xludf.DUMMYFUNCTION("""COMPUTED_VALUE"""),1118.35)</f>
        <v>1118.35</v>
      </c>
      <c r="C76" s="6">
        <f>IFERROR(__xludf.DUMMYFUNCTION("""COMPUTED_VALUE"""),1145.7)</f>
        <v>1145.7</v>
      </c>
      <c r="D76" s="6">
        <f>IFERROR(__xludf.DUMMYFUNCTION("""COMPUTED_VALUE"""),1103.9)</f>
        <v>1103.9</v>
      </c>
      <c r="E76" s="6">
        <f>IFERROR(__xludf.DUMMYFUNCTION("""COMPUTED_VALUE"""),1133.25)</f>
        <v>1133.25</v>
      </c>
      <c r="F76" s="6">
        <f>IFERROR(__xludf.DUMMYFUNCTION("""COMPUTED_VALUE"""),6584191.0)</f>
        <v>6584191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IFERROR(__xludf.DUMMYFUNCTION("""COMPUTED_VALUE"""),1134.95)</f>
        <v>1134.95</v>
      </c>
      <c r="C77" s="6">
        <f>IFERROR(__xludf.DUMMYFUNCTION("""COMPUTED_VALUE"""),1137.15)</f>
        <v>1137.15</v>
      </c>
      <c r="D77" s="6">
        <f>IFERROR(__xludf.DUMMYFUNCTION("""COMPUTED_VALUE"""),1092.45)</f>
        <v>1092.45</v>
      </c>
      <c r="E77" s="6">
        <f>IFERROR(__xludf.DUMMYFUNCTION("""COMPUTED_VALUE"""),1107.95)</f>
        <v>1107.95</v>
      </c>
      <c r="F77" s="6">
        <f>IFERROR(__xludf.DUMMYFUNCTION("""COMPUTED_VALUE"""),5048694.0)</f>
        <v>5048694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IFERROR(__xludf.DUMMYFUNCTION("""COMPUTED_VALUE"""),1107.9)</f>
        <v>1107.9</v>
      </c>
      <c r="C78" s="6">
        <f>IFERROR(__xludf.DUMMYFUNCTION("""COMPUTED_VALUE"""),1204.65)</f>
        <v>1204.65</v>
      </c>
      <c r="D78" s="6">
        <f>IFERROR(__xludf.DUMMYFUNCTION("""COMPUTED_VALUE"""),1101.5)</f>
        <v>1101.5</v>
      </c>
      <c r="E78" s="6">
        <f>IFERROR(__xludf.DUMMYFUNCTION("""COMPUTED_VALUE"""),1200.15)</f>
        <v>1200.15</v>
      </c>
      <c r="F78" s="6">
        <f>IFERROR(__xludf.DUMMYFUNCTION("""COMPUTED_VALUE"""),9792457.0)</f>
        <v>9792457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IFERROR(__xludf.DUMMYFUNCTION("""COMPUTED_VALUE"""),1205.0)</f>
        <v>1205</v>
      </c>
      <c r="C79" s="6">
        <f>IFERROR(__xludf.DUMMYFUNCTION("""COMPUTED_VALUE"""),1216.35)</f>
        <v>1216.35</v>
      </c>
      <c r="D79" s="6">
        <f>IFERROR(__xludf.DUMMYFUNCTION("""COMPUTED_VALUE"""),1140.75)</f>
        <v>1140.75</v>
      </c>
      <c r="E79" s="6">
        <f>IFERROR(__xludf.DUMMYFUNCTION("""COMPUTED_VALUE"""),1144.2)</f>
        <v>1144.2</v>
      </c>
      <c r="F79" s="6">
        <f>IFERROR(__xludf.DUMMYFUNCTION("""COMPUTED_VALUE"""),1.4609424E7)</f>
        <v>14609424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IFERROR(__xludf.DUMMYFUNCTION("""COMPUTED_VALUE"""),1144.2)</f>
        <v>1144.2</v>
      </c>
      <c r="C80" s="6">
        <f>IFERROR(__xludf.DUMMYFUNCTION("""COMPUTED_VALUE"""),1226.9)</f>
        <v>1226.9</v>
      </c>
      <c r="D80" s="6">
        <f>IFERROR(__xludf.DUMMYFUNCTION("""COMPUTED_VALUE"""),1076.2)</f>
        <v>1076.2</v>
      </c>
      <c r="E80" s="6">
        <f>IFERROR(__xludf.DUMMYFUNCTION("""COMPUTED_VALUE"""),1109.95)</f>
        <v>1109.95</v>
      </c>
      <c r="F80" s="6">
        <f>IFERROR(__xludf.DUMMYFUNCTION("""COMPUTED_VALUE"""),1.7977803E7)</f>
        <v>17977803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IFERROR(__xludf.DUMMYFUNCTION("""COMPUTED_VALUE"""),1020.0)</f>
        <v>1020</v>
      </c>
      <c r="C81" s="6">
        <f>IFERROR(__xludf.DUMMYFUNCTION("""COMPUTED_VALUE"""),1139.9)</f>
        <v>1139.9</v>
      </c>
      <c r="D81" s="6">
        <f>IFERROR(__xludf.DUMMYFUNCTION("""COMPUTED_VALUE"""),1020.0)</f>
        <v>1020</v>
      </c>
      <c r="E81" s="6">
        <f>IFERROR(__xludf.DUMMYFUNCTION("""COMPUTED_VALUE"""),1109.5)</f>
        <v>1109.5</v>
      </c>
      <c r="F81" s="6">
        <f>IFERROR(__xludf.DUMMYFUNCTION("""COMPUTED_VALUE"""),1.3717974E7)</f>
        <v>13717974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IFERROR(__xludf.DUMMYFUNCTION("""COMPUTED_VALUE"""),1140.9)</f>
        <v>1140.9</v>
      </c>
      <c r="C82" s="6">
        <f>IFERROR(__xludf.DUMMYFUNCTION("""COMPUTED_VALUE"""),1173.6)</f>
        <v>1173.6</v>
      </c>
      <c r="D82" s="6">
        <f>IFERROR(__xludf.DUMMYFUNCTION("""COMPUTED_VALUE"""),1129.0)</f>
        <v>1129</v>
      </c>
      <c r="E82" s="6">
        <f>IFERROR(__xludf.DUMMYFUNCTION("""COMPUTED_VALUE"""),1163.6)</f>
        <v>1163.6</v>
      </c>
      <c r="F82" s="6">
        <f>IFERROR(__xludf.DUMMYFUNCTION("""COMPUTED_VALUE"""),6923249.0)</f>
        <v>6923249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IFERROR(__xludf.DUMMYFUNCTION("""COMPUTED_VALUE"""),1163.4)</f>
        <v>1163.4</v>
      </c>
      <c r="C83" s="6">
        <f>IFERROR(__xludf.DUMMYFUNCTION("""COMPUTED_VALUE"""),1210.5)</f>
        <v>1210.5</v>
      </c>
      <c r="D83" s="6">
        <f>IFERROR(__xludf.DUMMYFUNCTION("""COMPUTED_VALUE"""),1155.0)</f>
        <v>1155</v>
      </c>
      <c r="E83" s="6">
        <f>IFERROR(__xludf.DUMMYFUNCTION("""COMPUTED_VALUE"""),1174.8)</f>
        <v>1174.8</v>
      </c>
      <c r="F83" s="6">
        <f>IFERROR(__xludf.DUMMYFUNCTION("""COMPUTED_VALUE"""),1.2550539E7)</f>
        <v>12550539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IFERROR(__xludf.DUMMYFUNCTION("""COMPUTED_VALUE"""),1176.3)</f>
        <v>1176.3</v>
      </c>
      <c r="C84" s="6">
        <f>IFERROR(__xludf.DUMMYFUNCTION("""COMPUTED_VALUE"""),1205.0)</f>
        <v>1205</v>
      </c>
      <c r="D84" s="6">
        <f>IFERROR(__xludf.DUMMYFUNCTION("""COMPUTED_VALUE"""),1169.0)</f>
        <v>1169</v>
      </c>
      <c r="E84" s="6">
        <f>IFERROR(__xludf.DUMMYFUNCTION("""COMPUTED_VALUE"""),1182.9)</f>
        <v>1182.9</v>
      </c>
      <c r="F84" s="6">
        <f>IFERROR(__xludf.DUMMYFUNCTION("""COMPUTED_VALUE"""),5415111.0)</f>
        <v>5415111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IFERROR(__xludf.DUMMYFUNCTION("""COMPUTED_VALUE"""),1188.7)</f>
        <v>1188.7</v>
      </c>
      <c r="C85" s="6">
        <f>IFERROR(__xludf.DUMMYFUNCTION("""COMPUTED_VALUE"""),1193.9)</f>
        <v>1193.9</v>
      </c>
      <c r="D85" s="6">
        <f>IFERROR(__xludf.DUMMYFUNCTION("""COMPUTED_VALUE"""),1129.4)</f>
        <v>1129.4</v>
      </c>
      <c r="E85" s="6">
        <f>IFERROR(__xludf.DUMMYFUNCTION("""COMPUTED_VALUE"""),1155.9)</f>
        <v>1155.9</v>
      </c>
      <c r="F85" s="6">
        <f>IFERROR(__xludf.DUMMYFUNCTION("""COMPUTED_VALUE"""),9170898.0)</f>
        <v>9170898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IFERROR(__xludf.DUMMYFUNCTION("""COMPUTED_VALUE"""),1155.9)</f>
        <v>1155.9</v>
      </c>
      <c r="C86" s="6">
        <f>IFERROR(__xludf.DUMMYFUNCTION("""COMPUTED_VALUE"""),1241.0)</f>
        <v>1241</v>
      </c>
      <c r="D86" s="6">
        <f>IFERROR(__xludf.DUMMYFUNCTION("""COMPUTED_VALUE"""),1143.9)</f>
        <v>1143.9</v>
      </c>
      <c r="E86" s="6">
        <f>IFERROR(__xludf.DUMMYFUNCTION("""COMPUTED_VALUE"""),1230.7)</f>
        <v>1230.7</v>
      </c>
      <c r="F86" s="6">
        <f>IFERROR(__xludf.DUMMYFUNCTION("""COMPUTED_VALUE"""),1.2333049E7)</f>
        <v>12333049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IFERROR(__xludf.DUMMYFUNCTION("""COMPUTED_VALUE"""),1228.3)</f>
        <v>1228.3</v>
      </c>
      <c r="C87" s="6">
        <f>IFERROR(__xludf.DUMMYFUNCTION("""COMPUTED_VALUE"""),1256.6)</f>
        <v>1256.6</v>
      </c>
      <c r="D87" s="6">
        <f>IFERROR(__xludf.DUMMYFUNCTION("""COMPUTED_VALUE"""),1211.4)</f>
        <v>1211.4</v>
      </c>
      <c r="E87" s="6">
        <f>IFERROR(__xludf.DUMMYFUNCTION("""COMPUTED_VALUE"""),1230.1)</f>
        <v>1230.1</v>
      </c>
      <c r="F87" s="6">
        <f>IFERROR(__xludf.DUMMYFUNCTION("""COMPUTED_VALUE"""),9231507.0)</f>
        <v>9231507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IFERROR(__xludf.DUMMYFUNCTION("""COMPUTED_VALUE"""),1229.9)</f>
        <v>1229.9</v>
      </c>
      <c r="C88" s="6">
        <f>IFERROR(__xludf.DUMMYFUNCTION("""COMPUTED_VALUE"""),1257.6)</f>
        <v>1257.6</v>
      </c>
      <c r="D88" s="6">
        <f>IFERROR(__xludf.DUMMYFUNCTION("""COMPUTED_VALUE"""),1228.7)</f>
        <v>1228.7</v>
      </c>
      <c r="E88" s="6">
        <f>IFERROR(__xludf.DUMMYFUNCTION("""COMPUTED_VALUE"""),1251.2)</f>
        <v>1251.2</v>
      </c>
      <c r="F88" s="6">
        <f>IFERROR(__xludf.DUMMYFUNCTION("""COMPUTED_VALUE"""),7851270.0)</f>
        <v>7851270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IFERROR(__xludf.DUMMYFUNCTION("""COMPUTED_VALUE"""),1251.0)</f>
        <v>1251</v>
      </c>
      <c r="C89" s="6">
        <f>IFERROR(__xludf.DUMMYFUNCTION("""COMPUTED_VALUE"""),1322.9)</f>
        <v>1322.9</v>
      </c>
      <c r="D89" s="6">
        <f>IFERROR(__xludf.DUMMYFUNCTION("""COMPUTED_VALUE"""),1232.5)</f>
        <v>1232.5</v>
      </c>
      <c r="E89" s="6">
        <f>IFERROR(__xludf.DUMMYFUNCTION("""COMPUTED_VALUE"""),1320.9)</f>
        <v>1320.9</v>
      </c>
      <c r="F89" s="6">
        <f>IFERROR(__xludf.DUMMYFUNCTION("""COMPUTED_VALUE"""),9332659.0)</f>
        <v>9332659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IFERROR(__xludf.DUMMYFUNCTION("""COMPUTED_VALUE"""),1327.4)</f>
        <v>1327.4</v>
      </c>
      <c r="C90" s="6">
        <f>IFERROR(__xludf.DUMMYFUNCTION("""COMPUTED_VALUE"""),1379.7)</f>
        <v>1379.7</v>
      </c>
      <c r="D90" s="6">
        <f>IFERROR(__xludf.DUMMYFUNCTION("""COMPUTED_VALUE"""),1308.6)</f>
        <v>1308.6</v>
      </c>
      <c r="E90" s="6">
        <f>IFERROR(__xludf.DUMMYFUNCTION("""COMPUTED_VALUE"""),1362.5)</f>
        <v>1362.5</v>
      </c>
      <c r="F90" s="6">
        <f>IFERROR(__xludf.DUMMYFUNCTION("""COMPUTED_VALUE"""),9388572.0)</f>
        <v>9388572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IFERROR(__xludf.DUMMYFUNCTION("""COMPUTED_VALUE"""),1359.8)</f>
        <v>1359.8</v>
      </c>
      <c r="C91" s="6">
        <f>IFERROR(__xludf.DUMMYFUNCTION("""COMPUTED_VALUE"""),1359.8)</f>
        <v>1359.8</v>
      </c>
      <c r="D91" s="6">
        <f>IFERROR(__xludf.DUMMYFUNCTION("""COMPUTED_VALUE"""),1302.6)</f>
        <v>1302.6</v>
      </c>
      <c r="E91" s="6">
        <f>IFERROR(__xludf.DUMMYFUNCTION("""COMPUTED_VALUE"""),1325.3)</f>
        <v>1325.3</v>
      </c>
      <c r="F91" s="6">
        <f>IFERROR(__xludf.DUMMYFUNCTION("""COMPUTED_VALUE"""),7171172.0)</f>
        <v>7171172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IFERROR(__xludf.DUMMYFUNCTION("""COMPUTED_VALUE"""),1318.9)</f>
        <v>1318.9</v>
      </c>
      <c r="C92" s="6">
        <f>IFERROR(__xludf.DUMMYFUNCTION("""COMPUTED_VALUE"""),1353.7)</f>
        <v>1353.7</v>
      </c>
      <c r="D92" s="6">
        <f>IFERROR(__xludf.DUMMYFUNCTION("""COMPUTED_VALUE"""),1298.4)</f>
        <v>1298.4</v>
      </c>
      <c r="E92" s="6">
        <f>IFERROR(__xludf.DUMMYFUNCTION("""COMPUTED_VALUE"""),1301.0)</f>
        <v>1301</v>
      </c>
      <c r="F92" s="6">
        <f>IFERROR(__xludf.DUMMYFUNCTION("""COMPUTED_VALUE"""),6832244.0)</f>
        <v>6832244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IFERROR(__xludf.DUMMYFUNCTION("""COMPUTED_VALUE"""),1302.9)</f>
        <v>1302.9</v>
      </c>
      <c r="C93" s="6">
        <f>IFERROR(__xludf.DUMMYFUNCTION("""COMPUTED_VALUE"""),1313.0)</f>
        <v>1313</v>
      </c>
      <c r="D93" s="6">
        <f>IFERROR(__xludf.DUMMYFUNCTION("""COMPUTED_VALUE"""),1263.7)</f>
        <v>1263.7</v>
      </c>
      <c r="E93" s="6">
        <f>IFERROR(__xludf.DUMMYFUNCTION("""COMPUTED_VALUE"""),1307.4)</f>
        <v>1307.4</v>
      </c>
      <c r="F93" s="6">
        <f>IFERROR(__xludf.DUMMYFUNCTION("""COMPUTED_VALUE"""),9488013.0)</f>
        <v>9488013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IFERROR(__xludf.DUMMYFUNCTION("""COMPUTED_VALUE"""),1307.9)</f>
        <v>1307.9</v>
      </c>
      <c r="C94" s="6">
        <f>IFERROR(__xludf.DUMMYFUNCTION("""COMPUTED_VALUE"""),1313.4)</f>
        <v>1313.4</v>
      </c>
      <c r="D94" s="6">
        <f>IFERROR(__xludf.DUMMYFUNCTION("""COMPUTED_VALUE"""),1251.3)</f>
        <v>1251.3</v>
      </c>
      <c r="E94" s="6">
        <f>IFERROR(__xludf.DUMMYFUNCTION("""COMPUTED_VALUE"""),1254.7)</f>
        <v>1254.7</v>
      </c>
      <c r="F94" s="6">
        <f>IFERROR(__xludf.DUMMYFUNCTION("""COMPUTED_VALUE"""),5807530.0)</f>
        <v>5807530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IFERROR(__xludf.DUMMYFUNCTION("""COMPUTED_VALUE"""),1254.7)</f>
        <v>1254.7</v>
      </c>
      <c r="C95" s="6">
        <f>IFERROR(__xludf.DUMMYFUNCTION("""COMPUTED_VALUE"""),1274.8)</f>
        <v>1274.8</v>
      </c>
      <c r="D95" s="6">
        <f>IFERROR(__xludf.DUMMYFUNCTION("""COMPUTED_VALUE"""),1241.0)</f>
        <v>1241</v>
      </c>
      <c r="E95" s="6">
        <f>IFERROR(__xludf.DUMMYFUNCTION("""COMPUTED_VALUE"""),1257.5)</f>
        <v>1257.5</v>
      </c>
      <c r="F95" s="6">
        <f>IFERROR(__xludf.DUMMYFUNCTION("""COMPUTED_VALUE"""),4779224.0)</f>
        <v>4779224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IFERROR(__xludf.DUMMYFUNCTION("""COMPUTED_VALUE"""),1250.2)</f>
        <v>1250.2</v>
      </c>
      <c r="C96" s="6">
        <f>IFERROR(__xludf.DUMMYFUNCTION("""COMPUTED_VALUE"""),1288.5)</f>
        <v>1288.5</v>
      </c>
      <c r="D96" s="6">
        <f>IFERROR(__xludf.DUMMYFUNCTION("""COMPUTED_VALUE"""),1231.0)</f>
        <v>1231</v>
      </c>
      <c r="E96" s="6">
        <f>IFERROR(__xludf.DUMMYFUNCTION("""COMPUTED_VALUE"""),1277.9)</f>
        <v>1277.9</v>
      </c>
      <c r="F96" s="6">
        <f>IFERROR(__xludf.DUMMYFUNCTION("""COMPUTED_VALUE"""),8888153.0)</f>
        <v>8888153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IFERROR(__xludf.DUMMYFUNCTION("""COMPUTED_VALUE"""),1280.0)</f>
        <v>1280</v>
      </c>
      <c r="C97" s="6">
        <f>IFERROR(__xludf.DUMMYFUNCTION("""COMPUTED_VALUE"""),1302.0)</f>
        <v>1302</v>
      </c>
      <c r="D97" s="6">
        <f>IFERROR(__xludf.DUMMYFUNCTION("""COMPUTED_VALUE"""),1213.7)</f>
        <v>1213.7</v>
      </c>
      <c r="E97" s="6">
        <f>IFERROR(__xludf.DUMMYFUNCTION("""COMPUTED_VALUE"""),1220.6)</f>
        <v>1220.6</v>
      </c>
      <c r="F97" s="6">
        <f>IFERROR(__xludf.DUMMYFUNCTION("""COMPUTED_VALUE"""),9378288.0)</f>
        <v>9378288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IFERROR(__xludf.DUMMYFUNCTION("""COMPUTED_VALUE"""),1225.1)</f>
        <v>1225.1</v>
      </c>
      <c r="C98" s="6">
        <f>IFERROR(__xludf.DUMMYFUNCTION("""COMPUTED_VALUE"""),1232.2)</f>
        <v>1232.2</v>
      </c>
      <c r="D98" s="6">
        <f>IFERROR(__xludf.DUMMYFUNCTION("""COMPUTED_VALUE"""),1183.4)</f>
        <v>1183.4</v>
      </c>
      <c r="E98" s="6">
        <f>IFERROR(__xludf.DUMMYFUNCTION("""COMPUTED_VALUE"""),1211.4)</f>
        <v>1211.4</v>
      </c>
      <c r="F98" s="6">
        <f>IFERROR(__xludf.DUMMYFUNCTION("""COMPUTED_VALUE"""),7061403.0)</f>
        <v>7061403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IFERROR(__xludf.DUMMYFUNCTION("""COMPUTED_VALUE"""),1212.5)</f>
        <v>1212.5</v>
      </c>
      <c r="C99" s="6">
        <f>IFERROR(__xludf.DUMMYFUNCTION("""COMPUTED_VALUE"""),1266.0)</f>
        <v>1266</v>
      </c>
      <c r="D99" s="6">
        <f>IFERROR(__xludf.DUMMYFUNCTION("""COMPUTED_VALUE"""),1204.1)</f>
        <v>1204.1</v>
      </c>
      <c r="E99" s="6">
        <f>IFERROR(__xludf.DUMMYFUNCTION("""COMPUTED_VALUE"""),1260.4)</f>
        <v>1260.4</v>
      </c>
      <c r="F99" s="6">
        <f>IFERROR(__xludf.DUMMYFUNCTION("""COMPUTED_VALUE"""),4965274.0)</f>
        <v>4965274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IFERROR(__xludf.DUMMYFUNCTION("""COMPUTED_VALUE"""),1270.0)</f>
        <v>1270</v>
      </c>
      <c r="C100" s="6">
        <f>IFERROR(__xludf.DUMMYFUNCTION("""COMPUTED_VALUE"""),1284.1)</f>
        <v>1284.1</v>
      </c>
      <c r="D100" s="6">
        <f>IFERROR(__xludf.DUMMYFUNCTION("""COMPUTED_VALUE"""),1238.0)</f>
        <v>1238</v>
      </c>
      <c r="E100" s="6">
        <f>IFERROR(__xludf.DUMMYFUNCTION("""COMPUTED_VALUE"""),1277.6)</f>
        <v>1277.6</v>
      </c>
      <c r="F100" s="6">
        <f>IFERROR(__xludf.DUMMYFUNCTION("""COMPUTED_VALUE"""),6633953.0)</f>
        <v>6633953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IFERROR(__xludf.DUMMYFUNCTION("""COMPUTED_VALUE"""),1277.7)</f>
        <v>1277.7</v>
      </c>
      <c r="C101" s="6">
        <f>IFERROR(__xludf.DUMMYFUNCTION("""COMPUTED_VALUE"""),1288.9)</f>
        <v>1288.9</v>
      </c>
      <c r="D101" s="6">
        <f>IFERROR(__xludf.DUMMYFUNCTION("""COMPUTED_VALUE"""),1259.0)</f>
        <v>1259</v>
      </c>
      <c r="E101" s="6">
        <f>IFERROR(__xludf.DUMMYFUNCTION("""COMPUTED_VALUE"""),1263.2)</f>
        <v>1263.2</v>
      </c>
      <c r="F101" s="6">
        <f>IFERROR(__xludf.DUMMYFUNCTION("""COMPUTED_VALUE"""),2.2797491E7)</f>
        <v>22797491</v>
      </c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IFERROR(__xludf.DUMMYFUNCTION("GOOGLEFINANCE(""NSE:EICHERMOT"",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IFERROR(__xludf.DUMMYFUNCTION("""COMPUTED_VALUE"""),3349.95)</f>
        <v>3349.95</v>
      </c>
      <c r="C2" s="6">
        <f>IFERROR(__xludf.DUMMYFUNCTION("""COMPUTED_VALUE"""),3412.0)</f>
        <v>3412</v>
      </c>
      <c r="D2" s="6">
        <f>IFERROR(__xludf.DUMMYFUNCTION("""COMPUTED_VALUE"""),3322.0)</f>
        <v>3322</v>
      </c>
      <c r="E2" s="6">
        <f>IFERROR(__xludf.DUMMYFUNCTION("""COMPUTED_VALUE"""),3400.4)</f>
        <v>3400.4</v>
      </c>
      <c r="F2" s="6">
        <f>IFERROR(__xludf.DUMMYFUNCTION("""COMPUTED_VALUE"""),3031587.0)</f>
        <v>3031587</v>
      </c>
    </row>
    <row r="3">
      <c r="A3" s="7">
        <f>IFERROR(__xludf.DUMMYFUNCTION("""COMPUTED_VALUE"""),45177.64583333333)</f>
        <v>45177.64583</v>
      </c>
      <c r="B3" s="6">
        <f>IFERROR(__xludf.DUMMYFUNCTION("""COMPUTED_VALUE"""),3430.0)</f>
        <v>3430</v>
      </c>
      <c r="C3" s="6">
        <f>IFERROR(__xludf.DUMMYFUNCTION("""COMPUTED_VALUE"""),3461.0)</f>
        <v>3461</v>
      </c>
      <c r="D3" s="6">
        <f>IFERROR(__xludf.DUMMYFUNCTION("""COMPUTED_VALUE"""),3366.1)</f>
        <v>3366.1</v>
      </c>
      <c r="E3" s="6">
        <f>IFERROR(__xludf.DUMMYFUNCTION("""COMPUTED_VALUE"""),3370.9)</f>
        <v>3370.9</v>
      </c>
      <c r="F3" s="6">
        <f>IFERROR(__xludf.DUMMYFUNCTION("""COMPUTED_VALUE"""),2250930.0)</f>
        <v>2250930</v>
      </c>
    </row>
    <row r="4">
      <c r="A4" s="7">
        <f>IFERROR(__xludf.DUMMYFUNCTION("""COMPUTED_VALUE"""),45184.64583333333)</f>
        <v>45184.64583</v>
      </c>
      <c r="B4" s="6">
        <f>IFERROR(__xludf.DUMMYFUNCTION("""COMPUTED_VALUE"""),3377.0)</f>
        <v>3377</v>
      </c>
      <c r="C4" s="6">
        <f>IFERROR(__xludf.DUMMYFUNCTION("""COMPUTED_VALUE"""),3447.9)</f>
        <v>3447.9</v>
      </c>
      <c r="D4" s="6">
        <f>IFERROR(__xludf.DUMMYFUNCTION("""COMPUTED_VALUE"""),3308.0)</f>
        <v>3308</v>
      </c>
      <c r="E4" s="6">
        <f>IFERROR(__xludf.DUMMYFUNCTION("""COMPUTED_VALUE"""),3427.2)</f>
        <v>3427.2</v>
      </c>
      <c r="F4" s="6">
        <f>IFERROR(__xludf.DUMMYFUNCTION("""COMPUTED_VALUE"""),3416819.0)</f>
        <v>3416819</v>
      </c>
    </row>
    <row r="5">
      <c r="A5" s="7">
        <f>IFERROR(__xludf.DUMMYFUNCTION("""COMPUTED_VALUE"""),45191.64583333333)</f>
        <v>45191.64583</v>
      </c>
      <c r="B5" s="6">
        <f>IFERROR(__xludf.DUMMYFUNCTION("""COMPUTED_VALUE"""),3432.05)</f>
        <v>3432.05</v>
      </c>
      <c r="C5" s="6">
        <f>IFERROR(__xludf.DUMMYFUNCTION("""COMPUTED_VALUE"""),3452.85)</f>
        <v>3452.85</v>
      </c>
      <c r="D5" s="6">
        <f>IFERROR(__xludf.DUMMYFUNCTION("""COMPUTED_VALUE"""),3376.8)</f>
        <v>3376.8</v>
      </c>
      <c r="E5" s="6">
        <f>IFERROR(__xludf.DUMMYFUNCTION("""COMPUTED_VALUE"""),3409.45)</f>
        <v>3409.45</v>
      </c>
      <c r="F5" s="6">
        <f>IFERROR(__xludf.DUMMYFUNCTION("""COMPUTED_VALUE"""),2015286.0)</f>
        <v>2015286</v>
      </c>
    </row>
    <row r="6">
      <c r="A6" s="7">
        <f>IFERROR(__xludf.DUMMYFUNCTION("""COMPUTED_VALUE"""),45198.64583333333)</f>
        <v>45198.64583</v>
      </c>
      <c r="B6" s="6">
        <f>IFERROR(__xludf.DUMMYFUNCTION("""COMPUTED_VALUE"""),3417.85)</f>
        <v>3417.85</v>
      </c>
      <c r="C6" s="6">
        <f>IFERROR(__xludf.DUMMYFUNCTION("""COMPUTED_VALUE"""),3539.2)</f>
        <v>3539.2</v>
      </c>
      <c r="D6" s="6">
        <f>IFERROR(__xludf.DUMMYFUNCTION("""COMPUTED_VALUE"""),3381.05)</f>
        <v>3381.05</v>
      </c>
      <c r="E6" s="6">
        <f>IFERROR(__xludf.DUMMYFUNCTION("""COMPUTED_VALUE"""),3446.95)</f>
        <v>3446.95</v>
      </c>
      <c r="F6" s="6">
        <f>IFERROR(__xludf.DUMMYFUNCTION("""COMPUTED_VALUE"""),4164075.0)</f>
        <v>4164075</v>
      </c>
    </row>
    <row r="7">
      <c r="A7" s="7">
        <f>IFERROR(__xludf.DUMMYFUNCTION("""COMPUTED_VALUE"""),45205.64583333333)</f>
        <v>45205.64583</v>
      </c>
      <c r="B7" s="6">
        <f>IFERROR(__xludf.DUMMYFUNCTION("""COMPUTED_VALUE"""),3426.9)</f>
        <v>3426.9</v>
      </c>
      <c r="C7" s="6">
        <f>IFERROR(__xludf.DUMMYFUNCTION("""COMPUTED_VALUE"""),3464.45)</f>
        <v>3464.45</v>
      </c>
      <c r="D7" s="6">
        <f>IFERROR(__xludf.DUMMYFUNCTION("""COMPUTED_VALUE"""),3302.9)</f>
        <v>3302.9</v>
      </c>
      <c r="E7" s="6">
        <f>IFERROR(__xludf.DUMMYFUNCTION("""COMPUTED_VALUE"""),3450.4)</f>
        <v>3450.4</v>
      </c>
      <c r="F7" s="6">
        <f>IFERROR(__xludf.DUMMYFUNCTION("""COMPUTED_VALUE"""),2564981.0)</f>
        <v>2564981</v>
      </c>
    </row>
    <row r="8">
      <c r="A8" s="7">
        <f>IFERROR(__xludf.DUMMYFUNCTION("""COMPUTED_VALUE"""),45212.64583333333)</f>
        <v>45212.64583</v>
      </c>
      <c r="B8" s="6">
        <f>IFERROR(__xludf.DUMMYFUNCTION("""COMPUTED_VALUE"""),3420.2)</f>
        <v>3420.2</v>
      </c>
      <c r="C8" s="6">
        <f>IFERROR(__xludf.DUMMYFUNCTION("""COMPUTED_VALUE"""),3534.95)</f>
        <v>3534.95</v>
      </c>
      <c r="D8" s="6">
        <f>IFERROR(__xludf.DUMMYFUNCTION("""COMPUTED_VALUE"""),3401.0)</f>
        <v>3401</v>
      </c>
      <c r="E8" s="6">
        <f>IFERROR(__xludf.DUMMYFUNCTION("""COMPUTED_VALUE"""),3476.4)</f>
        <v>3476.4</v>
      </c>
      <c r="F8" s="6">
        <f>IFERROR(__xludf.DUMMYFUNCTION("""COMPUTED_VALUE"""),1946833.0)</f>
        <v>1946833</v>
      </c>
    </row>
    <row r="9">
      <c r="A9" s="7">
        <f>IFERROR(__xludf.DUMMYFUNCTION("""COMPUTED_VALUE"""),45219.64583333333)</f>
        <v>45219.64583</v>
      </c>
      <c r="B9" s="6">
        <f>IFERROR(__xludf.DUMMYFUNCTION("""COMPUTED_VALUE"""),3462.1)</f>
        <v>3462.1</v>
      </c>
      <c r="C9" s="6">
        <f>IFERROR(__xludf.DUMMYFUNCTION("""COMPUTED_VALUE"""),3546.85)</f>
        <v>3546.85</v>
      </c>
      <c r="D9" s="6">
        <f>IFERROR(__xludf.DUMMYFUNCTION("""COMPUTED_VALUE"""),3460.35)</f>
        <v>3460.35</v>
      </c>
      <c r="E9" s="6">
        <f>IFERROR(__xludf.DUMMYFUNCTION("""COMPUTED_VALUE"""),3480.9)</f>
        <v>3480.9</v>
      </c>
      <c r="F9" s="6">
        <f>IFERROR(__xludf.DUMMYFUNCTION("""COMPUTED_VALUE"""),1346479.0)</f>
        <v>1346479</v>
      </c>
    </row>
    <row r="10">
      <c r="A10" s="7">
        <f>IFERROR(__xludf.DUMMYFUNCTION("""COMPUTED_VALUE"""),45226.64583333333)</f>
        <v>45226.64583</v>
      </c>
      <c r="B10" s="6">
        <f>IFERROR(__xludf.DUMMYFUNCTION("""COMPUTED_VALUE"""),3467.1)</f>
        <v>3467.1</v>
      </c>
      <c r="C10" s="6">
        <f>IFERROR(__xludf.DUMMYFUNCTION("""COMPUTED_VALUE"""),3492.9)</f>
        <v>3492.9</v>
      </c>
      <c r="D10" s="6">
        <f>IFERROR(__xludf.DUMMYFUNCTION("""COMPUTED_VALUE"""),3310.0)</f>
        <v>3310</v>
      </c>
      <c r="E10" s="6">
        <f>IFERROR(__xludf.DUMMYFUNCTION("""COMPUTED_VALUE"""),3394.85)</f>
        <v>3394.85</v>
      </c>
      <c r="F10" s="6">
        <f>IFERROR(__xludf.DUMMYFUNCTION("""COMPUTED_VALUE"""),1287137.0)</f>
        <v>1287137</v>
      </c>
    </row>
    <row r="11">
      <c r="A11" s="7">
        <f>IFERROR(__xludf.DUMMYFUNCTION("""COMPUTED_VALUE"""),45233.64583333333)</f>
        <v>45233.64583</v>
      </c>
      <c r="B11" s="6">
        <f>IFERROR(__xludf.DUMMYFUNCTION("""COMPUTED_VALUE"""),3403.0)</f>
        <v>3403</v>
      </c>
      <c r="C11" s="6">
        <f>IFERROR(__xludf.DUMMYFUNCTION("""COMPUTED_VALUE"""),3458.15)</f>
        <v>3458.15</v>
      </c>
      <c r="D11" s="6">
        <f>IFERROR(__xludf.DUMMYFUNCTION("""COMPUTED_VALUE"""),3275.0)</f>
        <v>3275</v>
      </c>
      <c r="E11" s="6">
        <f>IFERROR(__xludf.DUMMYFUNCTION("""COMPUTED_VALUE"""),3428.0)</f>
        <v>3428</v>
      </c>
      <c r="F11" s="6">
        <f>IFERROR(__xludf.DUMMYFUNCTION("""COMPUTED_VALUE"""),2054212.0)</f>
        <v>2054212</v>
      </c>
    </row>
    <row r="12">
      <c r="A12" s="7">
        <f>IFERROR(__xludf.DUMMYFUNCTION("""COMPUTED_VALUE"""),45240.64583333333)</f>
        <v>45240.64583</v>
      </c>
      <c r="B12" s="6">
        <f>IFERROR(__xludf.DUMMYFUNCTION("""COMPUTED_VALUE"""),3454.9)</f>
        <v>3454.9</v>
      </c>
      <c r="C12" s="6">
        <f>IFERROR(__xludf.DUMMYFUNCTION("""COMPUTED_VALUE"""),3596.4)</f>
        <v>3596.4</v>
      </c>
      <c r="D12" s="6">
        <f>IFERROR(__xludf.DUMMYFUNCTION("""COMPUTED_VALUE"""),3437.45)</f>
        <v>3437.45</v>
      </c>
      <c r="E12" s="6">
        <f>IFERROR(__xludf.DUMMYFUNCTION("""COMPUTED_VALUE"""),3540.75)</f>
        <v>3540.75</v>
      </c>
      <c r="F12" s="6">
        <f>IFERROR(__xludf.DUMMYFUNCTION("""COMPUTED_VALUE"""),2249017.0)</f>
        <v>2249017</v>
      </c>
    </row>
    <row r="13">
      <c r="A13" s="7">
        <f>IFERROR(__xludf.DUMMYFUNCTION("""COMPUTED_VALUE"""),45247.64583333333)</f>
        <v>45247.64583</v>
      </c>
      <c r="B13" s="6">
        <f>IFERROR(__xludf.DUMMYFUNCTION("""COMPUTED_VALUE"""),3590.0)</f>
        <v>3590</v>
      </c>
      <c r="C13" s="6">
        <f>IFERROR(__xludf.DUMMYFUNCTION("""COMPUTED_VALUE"""),3898.0)</f>
        <v>3898</v>
      </c>
      <c r="D13" s="6">
        <f>IFERROR(__xludf.DUMMYFUNCTION("""COMPUTED_VALUE"""),3570.0)</f>
        <v>3570</v>
      </c>
      <c r="E13" s="6">
        <f>IFERROR(__xludf.DUMMYFUNCTION("""COMPUTED_VALUE"""),3865.3)</f>
        <v>3865.3</v>
      </c>
      <c r="F13" s="6">
        <f>IFERROR(__xludf.DUMMYFUNCTION("""COMPUTED_VALUE"""),4135961.0)</f>
        <v>4135961</v>
      </c>
    </row>
    <row r="14">
      <c r="A14" s="7">
        <f>IFERROR(__xludf.DUMMYFUNCTION("""COMPUTED_VALUE"""),45254.64583333333)</f>
        <v>45254.64583</v>
      </c>
      <c r="B14" s="6">
        <f>IFERROR(__xludf.DUMMYFUNCTION("""COMPUTED_VALUE"""),3850.55)</f>
        <v>3850.55</v>
      </c>
      <c r="C14" s="6">
        <f>IFERROR(__xludf.DUMMYFUNCTION("""COMPUTED_VALUE"""),3920.0)</f>
        <v>3920</v>
      </c>
      <c r="D14" s="6">
        <f>IFERROR(__xludf.DUMMYFUNCTION("""COMPUTED_VALUE"""),3805.0)</f>
        <v>3805</v>
      </c>
      <c r="E14" s="6">
        <f>IFERROR(__xludf.DUMMYFUNCTION("""COMPUTED_VALUE"""),3849.05)</f>
        <v>3849.05</v>
      </c>
      <c r="F14" s="6">
        <f>IFERROR(__xludf.DUMMYFUNCTION("""COMPUTED_VALUE"""),1827381.0)</f>
        <v>1827381</v>
      </c>
    </row>
    <row r="15">
      <c r="A15" s="7">
        <f>IFERROR(__xludf.DUMMYFUNCTION("""COMPUTED_VALUE"""),45261.64583333333)</f>
        <v>45261.64583</v>
      </c>
      <c r="B15" s="6">
        <f>IFERROR(__xludf.DUMMYFUNCTION("""COMPUTED_VALUE"""),3855.95)</f>
        <v>3855.95</v>
      </c>
      <c r="C15" s="6">
        <f>IFERROR(__xludf.DUMMYFUNCTION("""COMPUTED_VALUE"""),3950.0)</f>
        <v>3950</v>
      </c>
      <c r="D15" s="6">
        <f>IFERROR(__xludf.DUMMYFUNCTION("""COMPUTED_VALUE"""),3777.75)</f>
        <v>3777.75</v>
      </c>
      <c r="E15" s="6">
        <f>IFERROR(__xludf.DUMMYFUNCTION("""COMPUTED_VALUE"""),3891.2)</f>
        <v>3891.2</v>
      </c>
      <c r="F15" s="6">
        <f>IFERROR(__xludf.DUMMYFUNCTION("""COMPUTED_VALUE"""),2941376.0)</f>
        <v>2941376</v>
      </c>
    </row>
    <row r="16">
      <c r="A16" s="7">
        <f>IFERROR(__xludf.DUMMYFUNCTION("""COMPUTED_VALUE"""),45268.64583333333)</f>
        <v>45268.64583</v>
      </c>
      <c r="B16" s="6">
        <f>IFERROR(__xludf.DUMMYFUNCTION("""COMPUTED_VALUE"""),3950.0)</f>
        <v>3950</v>
      </c>
      <c r="C16" s="6">
        <f>IFERROR(__xludf.DUMMYFUNCTION("""COMPUTED_VALUE"""),4200.0)</f>
        <v>4200</v>
      </c>
      <c r="D16" s="6">
        <f>IFERROR(__xludf.DUMMYFUNCTION("""COMPUTED_VALUE"""),3916.0)</f>
        <v>3916</v>
      </c>
      <c r="E16" s="6">
        <f>IFERROR(__xludf.DUMMYFUNCTION("""COMPUTED_VALUE"""),4055.0)</f>
        <v>4055</v>
      </c>
      <c r="F16" s="6">
        <f>IFERROR(__xludf.DUMMYFUNCTION("""COMPUTED_VALUE"""),5845951.0)</f>
        <v>5845951</v>
      </c>
    </row>
    <row r="17">
      <c r="A17" s="7">
        <f>IFERROR(__xludf.DUMMYFUNCTION("""COMPUTED_VALUE"""),45275.64583333333)</f>
        <v>45275.64583</v>
      </c>
      <c r="B17" s="6">
        <f>IFERROR(__xludf.DUMMYFUNCTION("""COMPUTED_VALUE"""),4055.0)</f>
        <v>4055</v>
      </c>
      <c r="C17" s="6">
        <f>IFERROR(__xludf.DUMMYFUNCTION("""COMPUTED_VALUE"""),4135.3)</f>
        <v>4135.3</v>
      </c>
      <c r="D17" s="6">
        <f>IFERROR(__xludf.DUMMYFUNCTION("""COMPUTED_VALUE"""),3936.15)</f>
        <v>3936.15</v>
      </c>
      <c r="E17" s="6">
        <f>IFERROR(__xludf.DUMMYFUNCTION("""COMPUTED_VALUE"""),4059.9)</f>
        <v>4059.9</v>
      </c>
      <c r="F17" s="6">
        <f>IFERROR(__xludf.DUMMYFUNCTION("""COMPUTED_VALUE"""),4100505.0)</f>
        <v>4100505</v>
      </c>
    </row>
    <row r="18">
      <c r="A18" s="7">
        <f>IFERROR(__xludf.DUMMYFUNCTION("""COMPUTED_VALUE"""),45282.64583333333)</f>
        <v>45282.64583</v>
      </c>
      <c r="B18" s="6">
        <f>IFERROR(__xludf.DUMMYFUNCTION("""COMPUTED_VALUE"""),4076.0)</f>
        <v>4076</v>
      </c>
      <c r="C18" s="6">
        <f>IFERROR(__xludf.DUMMYFUNCTION("""COMPUTED_VALUE"""),4165.0)</f>
        <v>4165</v>
      </c>
      <c r="D18" s="6">
        <f>IFERROR(__xludf.DUMMYFUNCTION("""COMPUTED_VALUE"""),3847.55)</f>
        <v>3847.55</v>
      </c>
      <c r="E18" s="6">
        <f>IFERROR(__xludf.DUMMYFUNCTION("""COMPUTED_VALUE"""),4006.05)</f>
        <v>4006.05</v>
      </c>
      <c r="F18" s="6">
        <f>IFERROR(__xludf.DUMMYFUNCTION("""COMPUTED_VALUE"""),2527757.0)</f>
        <v>2527757</v>
      </c>
    </row>
    <row r="19">
      <c r="A19" s="7">
        <f>IFERROR(__xludf.DUMMYFUNCTION("""COMPUTED_VALUE"""),45289.64583333333)</f>
        <v>45289.64583</v>
      </c>
      <c r="B19" s="6">
        <f>IFERROR(__xludf.DUMMYFUNCTION("""COMPUTED_VALUE"""),4024.8)</f>
        <v>4024.8</v>
      </c>
      <c r="C19" s="6">
        <f>IFERROR(__xludf.DUMMYFUNCTION("""COMPUTED_VALUE"""),4178.0)</f>
        <v>4178</v>
      </c>
      <c r="D19" s="6">
        <f>IFERROR(__xludf.DUMMYFUNCTION("""COMPUTED_VALUE"""),4012.0)</f>
        <v>4012</v>
      </c>
      <c r="E19" s="6">
        <f>IFERROR(__xludf.DUMMYFUNCTION("""COMPUTED_VALUE"""),4143.5)</f>
        <v>4143.5</v>
      </c>
      <c r="F19" s="6">
        <f>IFERROR(__xludf.DUMMYFUNCTION("""COMPUTED_VALUE"""),1985475.0)</f>
        <v>1985475</v>
      </c>
    </row>
    <row r="20">
      <c r="A20" s="7">
        <f>IFERROR(__xludf.DUMMYFUNCTION("""COMPUTED_VALUE"""),45296.64583333333)</f>
        <v>45296.64583</v>
      </c>
      <c r="B20" s="6">
        <f>IFERROR(__xludf.DUMMYFUNCTION("""COMPUTED_VALUE"""),4145.0)</f>
        <v>4145</v>
      </c>
      <c r="C20" s="6">
        <f>IFERROR(__xludf.DUMMYFUNCTION("""COMPUTED_VALUE"""),4145.0)</f>
        <v>4145</v>
      </c>
      <c r="D20" s="6">
        <f>IFERROR(__xludf.DUMMYFUNCTION("""COMPUTED_VALUE"""),3848.5)</f>
        <v>3848.5</v>
      </c>
      <c r="E20" s="6">
        <f>IFERROR(__xludf.DUMMYFUNCTION("""COMPUTED_VALUE"""),3877.05)</f>
        <v>3877.05</v>
      </c>
      <c r="F20" s="6">
        <f>IFERROR(__xludf.DUMMYFUNCTION("""COMPUTED_VALUE"""),3247856.0)</f>
        <v>3247856</v>
      </c>
    </row>
    <row r="21">
      <c r="A21" s="7">
        <f>IFERROR(__xludf.DUMMYFUNCTION("""COMPUTED_VALUE"""),45303.64583333333)</f>
        <v>45303.64583</v>
      </c>
      <c r="B21" s="6">
        <f>IFERROR(__xludf.DUMMYFUNCTION("""COMPUTED_VALUE"""),3890.0)</f>
        <v>3890</v>
      </c>
      <c r="C21" s="6">
        <f>IFERROR(__xludf.DUMMYFUNCTION("""COMPUTED_VALUE"""),3960.4)</f>
        <v>3960.4</v>
      </c>
      <c r="D21" s="6">
        <f>IFERROR(__xludf.DUMMYFUNCTION("""COMPUTED_VALUE"""),3790.65)</f>
        <v>3790.65</v>
      </c>
      <c r="E21" s="6">
        <f>IFERROR(__xludf.DUMMYFUNCTION("""COMPUTED_VALUE"""),3870.85)</f>
        <v>3870.85</v>
      </c>
      <c r="F21" s="6">
        <f>IFERROR(__xludf.DUMMYFUNCTION("""COMPUTED_VALUE"""),1988871.0)</f>
        <v>1988871</v>
      </c>
    </row>
    <row r="22">
      <c r="A22" s="7">
        <f>IFERROR(__xludf.DUMMYFUNCTION("""COMPUTED_VALUE"""),45316.64583333333)</f>
        <v>45316.64583</v>
      </c>
      <c r="B22" s="6">
        <f>IFERROR(__xludf.DUMMYFUNCTION("""COMPUTED_VALUE"""),3702.05)</f>
        <v>3702.05</v>
      </c>
      <c r="C22" s="6">
        <f>IFERROR(__xludf.DUMMYFUNCTION("""COMPUTED_VALUE"""),3744.0)</f>
        <v>3744</v>
      </c>
      <c r="D22" s="6">
        <f>IFERROR(__xludf.DUMMYFUNCTION("""COMPUTED_VALUE"""),3562.45)</f>
        <v>3562.45</v>
      </c>
      <c r="E22" s="6">
        <f>IFERROR(__xludf.DUMMYFUNCTION("""COMPUTED_VALUE"""),3616.45)</f>
        <v>3616.45</v>
      </c>
      <c r="F22" s="6">
        <f>IFERROR(__xludf.DUMMYFUNCTION("""COMPUTED_VALUE"""),2841756.0)</f>
        <v>2841756</v>
      </c>
    </row>
    <row r="23">
      <c r="A23" s="7">
        <f>IFERROR(__xludf.DUMMYFUNCTION("""COMPUTED_VALUE"""),45324.64583333333)</f>
        <v>45324.64583</v>
      </c>
      <c r="B23" s="6">
        <f>IFERROR(__xludf.DUMMYFUNCTION("""COMPUTED_VALUE"""),3621.1)</f>
        <v>3621.1</v>
      </c>
      <c r="C23" s="6">
        <f>IFERROR(__xludf.DUMMYFUNCTION("""COMPUTED_VALUE"""),3965.85)</f>
        <v>3965.85</v>
      </c>
      <c r="D23" s="6">
        <f>IFERROR(__xludf.DUMMYFUNCTION("""COMPUTED_VALUE"""),3590.05)</f>
        <v>3590.05</v>
      </c>
      <c r="E23" s="6">
        <f>IFERROR(__xludf.DUMMYFUNCTION("""COMPUTED_VALUE"""),3825.55)</f>
        <v>3825.55</v>
      </c>
      <c r="F23" s="6">
        <f>IFERROR(__xludf.DUMMYFUNCTION("""COMPUTED_VALUE"""),4494305.0)</f>
        <v>4494305</v>
      </c>
    </row>
    <row r="24">
      <c r="A24" s="7">
        <f>IFERROR(__xludf.DUMMYFUNCTION("""COMPUTED_VALUE"""),45331.64583333333)</f>
        <v>45331.64583</v>
      </c>
      <c r="B24" s="6">
        <f>IFERROR(__xludf.DUMMYFUNCTION("""COMPUTED_VALUE"""),3850.0)</f>
        <v>3850</v>
      </c>
      <c r="C24" s="6">
        <f>IFERROR(__xludf.DUMMYFUNCTION("""COMPUTED_VALUE"""),3990.0)</f>
        <v>3990</v>
      </c>
      <c r="D24" s="6">
        <f>IFERROR(__xludf.DUMMYFUNCTION("""COMPUTED_VALUE"""),3761.6)</f>
        <v>3761.6</v>
      </c>
      <c r="E24" s="6">
        <f>IFERROR(__xludf.DUMMYFUNCTION("""COMPUTED_VALUE"""),3840.95)</f>
        <v>3840.95</v>
      </c>
      <c r="F24" s="6">
        <f>IFERROR(__xludf.DUMMYFUNCTION("""COMPUTED_VALUE"""),2281296.0)</f>
        <v>2281296</v>
      </c>
    </row>
    <row r="25">
      <c r="A25" s="7">
        <f>IFERROR(__xludf.DUMMYFUNCTION("""COMPUTED_VALUE"""),45338.64583333333)</f>
        <v>45338.64583</v>
      </c>
      <c r="B25" s="6">
        <f>IFERROR(__xludf.DUMMYFUNCTION("""COMPUTED_VALUE"""),3869.9)</f>
        <v>3869.9</v>
      </c>
      <c r="C25" s="6">
        <f>IFERROR(__xludf.DUMMYFUNCTION("""COMPUTED_VALUE"""),4003.0)</f>
        <v>4003</v>
      </c>
      <c r="D25" s="6">
        <f>IFERROR(__xludf.DUMMYFUNCTION("""COMPUTED_VALUE"""),3726.6)</f>
        <v>3726.6</v>
      </c>
      <c r="E25" s="6">
        <f>IFERROR(__xludf.DUMMYFUNCTION("""COMPUTED_VALUE"""),3928.65)</f>
        <v>3928.65</v>
      </c>
      <c r="F25" s="6">
        <f>IFERROR(__xludf.DUMMYFUNCTION("""COMPUTED_VALUE"""),2829716.0)</f>
        <v>2829716</v>
      </c>
    </row>
    <row r="26">
      <c r="A26" s="7">
        <f>IFERROR(__xludf.DUMMYFUNCTION("""COMPUTED_VALUE"""),45345.64583333333)</f>
        <v>45345.64583</v>
      </c>
      <c r="B26" s="6">
        <f>IFERROR(__xludf.DUMMYFUNCTION("""COMPUTED_VALUE"""),3934.95)</f>
        <v>3934.95</v>
      </c>
      <c r="C26" s="6">
        <f>IFERROR(__xludf.DUMMYFUNCTION("""COMPUTED_VALUE"""),3972.0)</f>
        <v>3972</v>
      </c>
      <c r="D26" s="6">
        <f>IFERROR(__xludf.DUMMYFUNCTION("""COMPUTED_VALUE"""),3784.2)</f>
        <v>3784.2</v>
      </c>
      <c r="E26" s="6">
        <f>IFERROR(__xludf.DUMMYFUNCTION("""COMPUTED_VALUE"""),3927.05)</f>
        <v>3927.05</v>
      </c>
      <c r="F26" s="6">
        <f>IFERROR(__xludf.DUMMYFUNCTION("""COMPUTED_VALUE"""),3870330.0)</f>
        <v>3870330</v>
      </c>
    </row>
    <row r="27">
      <c r="A27" s="7">
        <f>IFERROR(__xludf.DUMMYFUNCTION("""COMPUTED_VALUE"""),45358.64583333333)</f>
        <v>45358.64583</v>
      </c>
      <c r="B27" s="6">
        <f>IFERROR(__xludf.DUMMYFUNCTION("""COMPUTED_VALUE"""),3858.6)</f>
        <v>3858.6</v>
      </c>
      <c r="C27" s="6">
        <f>IFERROR(__xludf.DUMMYFUNCTION("""COMPUTED_VALUE"""),3883.3)</f>
        <v>3883.3</v>
      </c>
      <c r="D27" s="6">
        <f>IFERROR(__xludf.DUMMYFUNCTION("""COMPUTED_VALUE"""),3734.05)</f>
        <v>3734.05</v>
      </c>
      <c r="E27" s="6">
        <f>IFERROR(__xludf.DUMMYFUNCTION("""COMPUTED_VALUE"""),3785.25)</f>
        <v>3785.25</v>
      </c>
      <c r="F27" s="6">
        <f>IFERROR(__xludf.DUMMYFUNCTION("""COMPUTED_VALUE"""),2282181.0)</f>
        <v>2282181</v>
      </c>
    </row>
    <row r="28">
      <c r="A28" s="7">
        <f>IFERROR(__xludf.DUMMYFUNCTION("""COMPUTED_VALUE"""),45366.64583333333)</f>
        <v>45366.64583</v>
      </c>
      <c r="B28" s="6">
        <f>IFERROR(__xludf.DUMMYFUNCTION("""COMPUTED_VALUE"""),3795.45)</f>
        <v>3795.45</v>
      </c>
      <c r="C28" s="6">
        <f>IFERROR(__xludf.DUMMYFUNCTION("""COMPUTED_VALUE"""),3855.8)</f>
        <v>3855.8</v>
      </c>
      <c r="D28" s="6">
        <f>IFERROR(__xludf.DUMMYFUNCTION("""COMPUTED_VALUE"""),3686.25)</f>
        <v>3686.25</v>
      </c>
      <c r="E28" s="6">
        <f>IFERROR(__xludf.DUMMYFUNCTION("""COMPUTED_VALUE"""),3745.65)</f>
        <v>3745.65</v>
      </c>
      <c r="F28" s="6">
        <f>IFERROR(__xludf.DUMMYFUNCTION("""COMPUTED_VALUE"""),2538391.0)</f>
        <v>2538391</v>
      </c>
    </row>
    <row r="29">
      <c r="A29" s="7">
        <f>IFERROR(__xludf.DUMMYFUNCTION("""COMPUTED_VALUE"""),45373.64583333333)</f>
        <v>45373.64583</v>
      </c>
      <c r="B29" s="6">
        <f>IFERROR(__xludf.DUMMYFUNCTION("""COMPUTED_VALUE"""),3745.0)</f>
        <v>3745</v>
      </c>
      <c r="C29" s="6">
        <f>IFERROR(__xludf.DUMMYFUNCTION("""COMPUTED_VALUE"""),4013.95)</f>
        <v>4013.95</v>
      </c>
      <c r="D29" s="6">
        <f>IFERROR(__xludf.DUMMYFUNCTION("""COMPUTED_VALUE"""),3672.0)</f>
        <v>3672</v>
      </c>
      <c r="E29" s="6">
        <f>IFERROR(__xludf.DUMMYFUNCTION("""COMPUTED_VALUE"""),3988.4)</f>
        <v>3988.4</v>
      </c>
      <c r="F29" s="6">
        <f>IFERROR(__xludf.DUMMYFUNCTION("""COMPUTED_VALUE"""),6010210.0)</f>
        <v>6010210</v>
      </c>
    </row>
    <row r="30">
      <c r="A30" s="7">
        <f>IFERROR(__xludf.DUMMYFUNCTION("""COMPUTED_VALUE"""),45379.64583333333)</f>
        <v>45379.64583</v>
      </c>
      <c r="B30" s="6">
        <f>IFERROR(__xludf.DUMMYFUNCTION("""COMPUTED_VALUE"""),4001.45)</f>
        <v>4001.45</v>
      </c>
      <c r="C30" s="6">
        <f>IFERROR(__xludf.DUMMYFUNCTION("""COMPUTED_VALUE"""),4075.0)</f>
        <v>4075</v>
      </c>
      <c r="D30" s="6">
        <f>IFERROR(__xludf.DUMMYFUNCTION("""COMPUTED_VALUE"""),3891.75)</f>
        <v>3891.75</v>
      </c>
      <c r="E30" s="6">
        <f>IFERROR(__xludf.DUMMYFUNCTION("""COMPUTED_VALUE"""),4019.3)</f>
        <v>4019.3</v>
      </c>
      <c r="F30" s="6">
        <f>IFERROR(__xludf.DUMMYFUNCTION("""COMPUTED_VALUE"""),2590214.0)</f>
        <v>2590214</v>
      </c>
    </row>
    <row r="31">
      <c r="A31" s="7">
        <f>IFERROR(__xludf.DUMMYFUNCTION("""COMPUTED_VALUE"""),45387.64583333333)</f>
        <v>45387.64583</v>
      </c>
      <c r="B31" s="6">
        <f>IFERROR(__xludf.DUMMYFUNCTION("""COMPUTED_VALUE"""),4060.8)</f>
        <v>4060.8</v>
      </c>
      <c r="C31" s="6">
        <f>IFERROR(__xludf.DUMMYFUNCTION("""COMPUTED_VALUE"""),4070.0)</f>
        <v>4070</v>
      </c>
      <c r="D31" s="6">
        <f>IFERROR(__xludf.DUMMYFUNCTION("""COMPUTED_VALUE"""),3886.1)</f>
        <v>3886.1</v>
      </c>
      <c r="E31" s="6">
        <f>IFERROR(__xludf.DUMMYFUNCTION("""COMPUTED_VALUE"""),4031.25)</f>
        <v>4031.25</v>
      </c>
      <c r="F31" s="6">
        <f>IFERROR(__xludf.DUMMYFUNCTION("""COMPUTED_VALUE"""),2879721.0)</f>
        <v>2879721</v>
      </c>
    </row>
    <row r="32">
      <c r="A32" s="7">
        <f>IFERROR(__xludf.DUMMYFUNCTION("""COMPUTED_VALUE"""),45394.64583333333)</f>
        <v>45394.64583</v>
      </c>
      <c r="B32" s="6">
        <f>IFERROR(__xludf.DUMMYFUNCTION("""COMPUTED_VALUE"""),4024.95)</f>
        <v>4024.95</v>
      </c>
      <c r="C32" s="6">
        <f>IFERROR(__xludf.DUMMYFUNCTION("""COMPUTED_VALUE"""),4382.8)</f>
        <v>4382.8</v>
      </c>
      <c r="D32" s="6">
        <f>IFERROR(__xludf.DUMMYFUNCTION("""COMPUTED_VALUE"""),4011.6)</f>
        <v>4011.6</v>
      </c>
      <c r="E32" s="6">
        <f>IFERROR(__xludf.DUMMYFUNCTION("""COMPUTED_VALUE"""),4302.25)</f>
        <v>4302.25</v>
      </c>
      <c r="F32" s="6">
        <f>IFERROR(__xludf.DUMMYFUNCTION("""COMPUTED_VALUE"""),5288382.0)</f>
        <v>5288382</v>
      </c>
    </row>
    <row r="33">
      <c r="A33" s="7">
        <f>IFERROR(__xludf.DUMMYFUNCTION("""COMPUTED_VALUE"""),45401.64583333333)</f>
        <v>45401.64583</v>
      </c>
      <c r="B33" s="6">
        <f>IFERROR(__xludf.DUMMYFUNCTION("""COMPUTED_VALUE"""),4250.0)</f>
        <v>4250</v>
      </c>
      <c r="C33" s="6">
        <f>IFERROR(__xludf.DUMMYFUNCTION("""COMPUTED_VALUE"""),4444.0)</f>
        <v>4444</v>
      </c>
      <c r="D33" s="6">
        <f>IFERROR(__xludf.DUMMYFUNCTION("""COMPUTED_VALUE"""),4193.75)</f>
        <v>4193.75</v>
      </c>
      <c r="E33" s="6">
        <f>IFERROR(__xludf.DUMMYFUNCTION("""COMPUTED_VALUE"""),4344.15)</f>
        <v>4344.15</v>
      </c>
      <c r="F33" s="6">
        <f>IFERROR(__xludf.DUMMYFUNCTION("""COMPUTED_VALUE"""),4363688.0)</f>
        <v>4363688</v>
      </c>
    </row>
    <row r="34">
      <c r="A34" s="7">
        <f>IFERROR(__xludf.DUMMYFUNCTION("""COMPUTED_VALUE"""),45408.64583333333)</f>
        <v>45408.64583</v>
      </c>
      <c r="B34" s="6">
        <f>IFERROR(__xludf.DUMMYFUNCTION("""COMPUTED_VALUE"""),4394.0)</f>
        <v>4394</v>
      </c>
      <c r="C34" s="6">
        <f>IFERROR(__xludf.DUMMYFUNCTION("""COMPUTED_VALUE"""),4632.85)</f>
        <v>4632.85</v>
      </c>
      <c r="D34" s="6">
        <f>IFERROR(__xludf.DUMMYFUNCTION("""COMPUTED_VALUE"""),4370.4)</f>
        <v>4370.4</v>
      </c>
      <c r="E34" s="6">
        <f>IFERROR(__xludf.DUMMYFUNCTION("""COMPUTED_VALUE"""),4601.0)</f>
        <v>4601</v>
      </c>
      <c r="F34" s="6">
        <f>IFERROR(__xludf.DUMMYFUNCTION("""COMPUTED_VALUE"""),4066177.0)</f>
        <v>4066177</v>
      </c>
    </row>
    <row r="35">
      <c r="A35" s="7">
        <f>IFERROR(__xludf.DUMMYFUNCTION("""COMPUTED_VALUE"""),45415.64583333333)</f>
        <v>45415.64583</v>
      </c>
      <c r="B35" s="6">
        <f>IFERROR(__xludf.DUMMYFUNCTION("""COMPUTED_VALUE"""),4589.0)</f>
        <v>4589</v>
      </c>
      <c r="C35" s="6">
        <f>IFERROR(__xludf.DUMMYFUNCTION("""COMPUTED_VALUE"""),4689.95)</f>
        <v>4689.95</v>
      </c>
      <c r="D35" s="6">
        <f>IFERROR(__xludf.DUMMYFUNCTION("""COMPUTED_VALUE"""),4532.6)</f>
        <v>4532.6</v>
      </c>
      <c r="E35" s="6">
        <f>IFERROR(__xludf.DUMMYFUNCTION("""COMPUTED_VALUE"""),4599.25)</f>
        <v>4599.25</v>
      </c>
      <c r="F35" s="6">
        <f>IFERROR(__xludf.DUMMYFUNCTION("""COMPUTED_VALUE"""),2600282.0)</f>
        <v>2600282</v>
      </c>
    </row>
    <row r="36">
      <c r="A36" s="7">
        <f>IFERROR(__xludf.DUMMYFUNCTION("""COMPUTED_VALUE"""),45422.64583333333)</f>
        <v>45422.64583</v>
      </c>
      <c r="B36" s="6">
        <f>IFERROR(__xludf.DUMMYFUNCTION("""COMPUTED_VALUE"""),4613.0)</f>
        <v>4613</v>
      </c>
      <c r="C36" s="6">
        <f>IFERROR(__xludf.DUMMYFUNCTION("""COMPUTED_VALUE"""),4708.0)</f>
        <v>4708</v>
      </c>
      <c r="D36" s="6">
        <f>IFERROR(__xludf.DUMMYFUNCTION("""COMPUTED_VALUE"""),4541.5)</f>
        <v>4541.5</v>
      </c>
      <c r="E36" s="6">
        <f>IFERROR(__xludf.DUMMYFUNCTION("""COMPUTED_VALUE"""),4657.85)</f>
        <v>4657.85</v>
      </c>
      <c r="F36" s="6">
        <f>IFERROR(__xludf.DUMMYFUNCTION("""COMPUTED_VALUE"""),3286152.0)</f>
        <v>3286152</v>
      </c>
    </row>
    <row r="37">
      <c r="A37" s="7">
        <f>IFERROR(__xludf.DUMMYFUNCTION("""COMPUTED_VALUE"""),45436.64583333333)</f>
        <v>45436.64583</v>
      </c>
      <c r="B37" s="6">
        <f>IFERROR(__xludf.DUMMYFUNCTION("""COMPUTED_VALUE"""),4650.0)</f>
        <v>4650</v>
      </c>
      <c r="C37" s="6">
        <f>IFERROR(__xludf.DUMMYFUNCTION("""COMPUTED_VALUE"""),4908.0)</f>
        <v>4908</v>
      </c>
      <c r="D37" s="6">
        <f>IFERROR(__xludf.DUMMYFUNCTION("""COMPUTED_VALUE"""),4650.0)</f>
        <v>4650</v>
      </c>
      <c r="E37" s="6">
        <f>IFERROR(__xludf.DUMMYFUNCTION("""COMPUTED_VALUE"""),4880.95)</f>
        <v>4880.95</v>
      </c>
      <c r="F37" s="6">
        <f>IFERROR(__xludf.DUMMYFUNCTION("""COMPUTED_VALUE"""),2170582.0)</f>
        <v>2170582</v>
      </c>
    </row>
    <row r="38">
      <c r="A38" s="7">
        <f>IFERROR(__xludf.DUMMYFUNCTION("""COMPUTED_VALUE"""),45443.64583333333)</f>
        <v>45443.64583</v>
      </c>
      <c r="B38" s="6">
        <f>IFERROR(__xludf.DUMMYFUNCTION("""COMPUTED_VALUE"""),4861.05)</f>
        <v>4861.05</v>
      </c>
      <c r="C38" s="6">
        <f>IFERROR(__xludf.DUMMYFUNCTION("""COMPUTED_VALUE"""),4907.0)</f>
        <v>4907</v>
      </c>
      <c r="D38" s="6">
        <f>IFERROR(__xludf.DUMMYFUNCTION("""COMPUTED_VALUE"""),4668.25)</f>
        <v>4668.25</v>
      </c>
      <c r="E38" s="6">
        <f>IFERROR(__xludf.DUMMYFUNCTION("""COMPUTED_VALUE"""),4733.45)</f>
        <v>4733.45</v>
      </c>
      <c r="F38" s="6">
        <f>IFERROR(__xludf.DUMMYFUNCTION("""COMPUTED_VALUE"""),3106420.0)</f>
        <v>3106420</v>
      </c>
    </row>
    <row r="39">
      <c r="A39" s="7">
        <f>IFERROR(__xludf.DUMMYFUNCTION("""COMPUTED_VALUE"""),45450.64583333333)</f>
        <v>45450.64583</v>
      </c>
      <c r="B39" s="6">
        <f>IFERROR(__xludf.DUMMYFUNCTION("""COMPUTED_VALUE"""),4800.0)</f>
        <v>4800</v>
      </c>
      <c r="C39" s="6">
        <f>IFERROR(__xludf.DUMMYFUNCTION("""COMPUTED_VALUE"""),4800.0)</f>
        <v>4800</v>
      </c>
      <c r="D39" s="6">
        <f>IFERROR(__xludf.DUMMYFUNCTION("""COMPUTED_VALUE"""),4253.85)</f>
        <v>4253.85</v>
      </c>
      <c r="E39" s="6">
        <f>IFERROR(__xludf.DUMMYFUNCTION("""COMPUTED_VALUE"""),4762.0)</f>
        <v>4762</v>
      </c>
      <c r="F39" s="6">
        <f>IFERROR(__xludf.DUMMYFUNCTION("""COMPUTED_VALUE"""),3628030.0)</f>
        <v>3628030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IFERROR(__xludf.DUMMYFUNCTION("""COMPUTED_VALUE"""),4769.6)</f>
        <v>4769.6</v>
      </c>
      <c r="C40" s="6">
        <f>IFERROR(__xludf.DUMMYFUNCTION("""COMPUTED_VALUE"""),4945.0)</f>
        <v>4945</v>
      </c>
      <c r="D40" s="6">
        <f>IFERROR(__xludf.DUMMYFUNCTION("""COMPUTED_VALUE"""),4744.05)</f>
        <v>4744.05</v>
      </c>
      <c r="E40" s="6">
        <f>IFERROR(__xludf.DUMMYFUNCTION("""COMPUTED_VALUE"""),4935.1)</f>
        <v>4935.1</v>
      </c>
      <c r="F40" s="6">
        <f>IFERROR(__xludf.DUMMYFUNCTION("""COMPUTED_VALUE"""),2948678.0)</f>
        <v>2948678</v>
      </c>
    </row>
    <row r="41">
      <c r="A41" s="7">
        <f>IFERROR(__xludf.DUMMYFUNCTION("""COMPUTED_VALUE"""),45464.64583333333)</f>
        <v>45464.64583</v>
      </c>
      <c r="B41" s="6">
        <f>IFERROR(__xludf.DUMMYFUNCTION("""COMPUTED_VALUE"""),4940.0)</f>
        <v>4940</v>
      </c>
      <c r="C41" s="6">
        <f>IFERROR(__xludf.DUMMYFUNCTION("""COMPUTED_VALUE"""),4976.0)</f>
        <v>4976</v>
      </c>
      <c r="D41" s="6">
        <f>IFERROR(__xludf.DUMMYFUNCTION("""COMPUTED_VALUE"""),4820.0)</f>
        <v>4820</v>
      </c>
      <c r="E41" s="6">
        <f>IFERROR(__xludf.DUMMYFUNCTION("""COMPUTED_VALUE"""),4845.5)</f>
        <v>4845.5</v>
      </c>
      <c r="F41" s="6">
        <f>IFERROR(__xludf.DUMMYFUNCTION("""COMPUTED_VALUE"""),2411299.0)</f>
        <v>2411299</v>
      </c>
    </row>
    <row r="42">
      <c r="A42" s="7">
        <f>IFERROR(__xludf.DUMMYFUNCTION("""COMPUTED_VALUE"""),45471.64583333333)</f>
        <v>45471.64583</v>
      </c>
      <c r="B42" s="6">
        <f>IFERROR(__xludf.DUMMYFUNCTION("""COMPUTED_VALUE"""),4838.0)</f>
        <v>4838</v>
      </c>
      <c r="C42" s="6">
        <f>IFERROR(__xludf.DUMMYFUNCTION("""COMPUTED_VALUE"""),4896.0)</f>
        <v>4896</v>
      </c>
      <c r="D42" s="6">
        <f>IFERROR(__xludf.DUMMYFUNCTION("""COMPUTED_VALUE"""),4655.3)</f>
        <v>4655.3</v>
      </c>
      <c r="E42" s="6">
        <f>IFERROR(__xludf.DUMMYFUNCTION("""COMPUTED_VALUE"""),4672.95)</f>
        <v>4672.95</v>
      </c>
      <c r="F42" s="6">
        <f>IFERROR(__xludf.DUMMYFUNCTION("""COMPUTED_VALUE"""),3590167.0)</f>
        <v>3590167</v>
      </c>
    </row>
    <row r="43">
      <c r="A43" s="7">
        <f>IFERROR(__xludf.DUMMYFUNCTION("""COMPUTED_VALUE"""),45478.64583333333)</f>
        <v>45478.64583</v>
      </c>
      <c r="B43" s="6">
        <f>IFERROR(__xludf.DUMMYFUNCTION("""COMPUTED_VALUE"""),4640.0)</f>
        <v>4640</v>
      </c>
      <c r="C43" s="6">
        <f>IFERROR(__xludf.DUMMYFUNCTION("""COMPUTED_VALUE"""),4748.8)</f>
        <v>4748.8</v>
      </c>
      <c r="D43" s="6">
        <f>IFERROR(__xludf.DUMMYFUNCTION("""COMPUTED_VALUE"""),4592.9)</f>
        <v>4592.9</v>
      </c>
      <c r="E43" s="6">
        <f>IFERROR(__xludf.DUMMYFUNCTION("""COMPUTED_VALUE"""),4737.3)</f>
        <v>4737.3</v>
      </c>
      <c r="F43" s="6">
        <f>IFERROR(__xludf.DUMMYFUNCTION("""COMPUTED_VALUE"""),3059318.0)</f>
        <v>3059318</v>
      </c>
    </row>
    <row r="44">
      <c r="A44" s="7">
        <f>IFERROR(__xludf.DUMMYFUNCTION("""COMPUTED_VALUE"""),45485.64583333333)</f>
        <v>45485.64583</v>
      </c>
      <c r="B44" s="6">
        <f>IFERROR(__xludf.DUMMYFUNCTION("""COMPUTED_VALUE"""),4758.95)</f>
        <v>4758.95</v>
      </c>
      <c r="C44" s="6">
        <f>IFERROR(__xludf.DUMMYFUNCTION("""COMPUTED_VALUE"""),4955.0)</f>
        <v>4955</v>
      </c>
      <c r="D44" s="6">
        <f>IFERROR(__xludf.DUMMYFUNCTION("""COMPUTED_VALUE"""),4716.0)</f>
        <v>4716</v>
      </c>
      <c r="E44" s="6">
        <f>IFERROR(__xludf.DUMMYFUNCTION("""COMPUTED_VALUE"""),4860.7)</f>
        <v>4860.7</v>
      </c>
      <c r="F44" s="6">
        <f>IFERROR(__xludf.DUMMYFUNCTION("""COMPUTED_VALUE"""),2605375.0)</f>
        <v>2605375</v>
      </c>
    </row>
    <row r="45">
      <c r="A45" s="7">
        <f>IFERROR(__xludf.DUMMYFUNCTION("""COMPUTED_VALUE"""),45492.64583333333)</f>
        <v>45492.64583</v>
      </c>
      <c r="B45" s="6">
        <f>IFERROR(__xludf.DUMMYFUNCTION("""COMPUTED_VALUE"""),4851.05)</f>
        <v>4851.05</v>
      </c>
      <c r="C45" s="6">
        <f>IFERROR(__xludf.DUMMYFUNCTION("""COMPUTED_VALUE"""),4965.0)</f>
        <v>4965</v>
      </c>
      <c r="D45" s="6">
        <f>IFERROR(__xludf.DUMMYFUNCTION("""COMPUTED_VALUE"""),4784.95)</f>
        <v>4784.95</v>
      </c>
      <c r="E45" s="6">
        <f>IFERROR(__xludf.DUMMYFUNCTION("""COMPUTED_VALUE"""),4850.7)</f>
        <v>4850.7</v>
      </c>
      <c r="F45" s="6">
        <f>IFERROR(__xludf.DUMMYFUNCTION("""COMPUTED_VALUE"""),2324058.0)</f>
        <v>2324058</v>
      </c>
    </row>
    <row r="46">
      <c r="A46" s="7">
        <f>IFERROR(__xludf.DUMMYFUNCTION("""COMPUTED_VALUE"""),45499.64583333333)</f>
        <v>45499.64583</v>
      </c>
      <c r="B46" s="6">
        <f>IFERROR(__xludf.DUMMYFUNCTION("""COMPUTED_VALUE"""),4767.0)</f>
        <v>4767</v>
      </c>
      <c r="C46" s="6">
        <f>IFERROR(__xludf.DUMMYFUNCTION("""COMPUTED_VALUE"""),5058.9)</f>
        <v>5058.9</v>
      </c>
      <c r="D46" s="6">
        <f>IFERROR(__xludf.DUMMYFUNCTION("""COMPUTED_VALUE"""),4759.6)</f>
        <v>4759.6</v>
      </c>
      <c r="E46" s="6">
        <f>IFERROR(__xludf.DUMMYFUNCTION("""COMPUTED_VALUE"""),5012.5)</f>
        <v>5012.5</v>
      </c>
      <c r="F46" s="6">
        <f>IFERROR(__xludf.DUMMYFUNCTION("""COMPUTED_VALUE"""),2945944.0)</f>
        <v>2945944</v>
      </c>
    </row>
    <row r="47">
      <c r="A47" s="7">
        <f>IFERROR(__xludf.DUMMYFUNCTION("""COMPUTED_VALUE"""),45506.64583333333)</f>
        <v>45506.64583</v>
      </c>
      <c r="B47" s="6">
        <f>IFERROR(__xludf.DUMMYFUNCTION("""COMPUTED_VALUE"""),5034.0)</f>
        <v>5034</v>
      </c>
      <c r="C47" s="6">
        <f>IFERROR(__xludf.DUMMYFUNCTION("""COMPUTED_VALUE"""),5047.95)</f>
        <v>5047.95</v>
      </c>
      <c r="D47" s="6">
        <f>IFERROR(__xludf.DUMMYFUNCTION("""COMPUTED_VALUE"""),4691.55)</f>
        <v>4691.55</v>
      </c>
      <c r="E47" s="6">
        <f>IFERROR(__xludf.DUMMYFUNCTION("""COMPUTED_VALUE"""),4726.7)</f>
        <v>4726.7</v>
      </c>
      <c r="F47" s="6">
        <f>IFERROR(__xludf.DUMMYFUNCTION("""COMPUTED_VALUE"""),4364420.0)</f>
        <v>4364420</v>
      </c>
    </row>
    <row r="48">
      <c r="A48" s="7">
        <f>IFERROR(__xludf.DUMMYFUNCTION("""COMPUTED_VALUE"""),45513.64583333333)</f>
        <v>45513.64583</v>
      </c>
      <c r="B48" s="6">
        <f>IFERROR(__xludf.DUMMYFUNCTION("""COMPUTED_VALUE"""),4612.15)</f>
        <v>4612.15</v>
      </c>
      <c r="C48" s="6">
        <f>IFERROR(__xludf.DUMMYFUNCTION("""COMPUTED_VALUE"""),4853.0)</f>
        <v>4853</v>
      </c>
      <c r="D48" s="6">
        <f>IFERROR(__xludf.DUMMYFUNCTION("""COMPUTED_VALUE"""),4548.0)</f>
        <v>4548</v>
      </c>
      <c r="E48" s="6">
        <f>IFERROR(__xludf.DUMMYFUNCTION("""COMPUTED_VALUE"""),4830.6)</f>
        <v>4830.6</v>
      </c>
      <c r="F48" s="6">
        <f>IFERROR(__xludf.DUMMYFUNCTION("""COMPUTED_VALUE"""),5311131.0)</f>
        <v>5311131</v>
      </c>
    </row>
    <row r="49">
      <c r="A49" s="7">
        <f>IFERROR(__xludf.DUMMYFUNCTION("""COMPUTED_VALUE"""),45520.64583333333)</f>
        <v>45520.64583</v>
      </c>
      <c r="B49" s="6">
        <f>IFERROR(__xludf.DUMMYFUNCTION("""COMPUTED_VALUE"""),4799.0)</f>
        <v>4799</v>
      </c>
      <c r="C49" s="6">
        <f>IFERROR(__xludf.DUMMYFUNCTION("""COMPUTED_VALUE"""),4852.05)</f>
        <v>4852.05</v>
      </c>
      <c r="D49" s="6">
        <f>IFERROR(__xludf.DUMMYFUNCTION("""COMPUTED_VALUE"""),4716.0)</f>
        <v>4716</v>
      </c>
      <c r="E49" s="6">
        <f>IFERROR(__xludf.DUMMYFUNCTION("""COMPUTED_VALUE"""),4818.0)</f>
        <v>4818</v>
      </c>
      <c r="F49" s="6">
        <f>IFERROR(__xludf.DUMMYFUNCTION("""COMPUTED_VALUE"""),1521375.0)</f>
        <v>1521375</v>
      </c>
    </row>
    <row r="50">
      <c r="A50" s="7">
        <f>IFERROR(__xludf.DUMMYFUNCTION("""COMPUTED_VALUE"""),45527.64583333333)</f>
        <v>45527.64583</v>
      </c>
      <c r="B50" s="6">
        <f>IFERROR(__xludf.DUMMYFUNCTION("""COMPUTED_VALUE"""),4848.0)</f>
        <v>4848</v>
      </c>
      <c r="C50" s="6">
        <f>IFERROR(__xludf.DUMMYFUNCTION("""COMPUTED_VALUE"""),4967.85)</f>
        <v>4967.85</v>
      </c>
      <c r="D50" s="6">
        <f>IFERROR(__xludf.DUMMYFUNCTION("""COMPUTED_VALUE"""),4780.0)</f>
        <v>4780</v>
      </c>
      <c r="E50" s="6">
        <f>IFERROR(__xludf.DUMMYFUNCTION("""COMPUTED_VALUE"""),4898.1)</f>
        <v>4898.1</v>
      </c>
      <c r="F50" s="6">
        <f>IFERROR(__xludf.DUMMYFUNCTION("""COMPUTED_VALUE"""),1770452.0)</f>
        <v>1770452</v>
      </c>
    </row>
    <row r="51">
      <c r="A51" s="7">
        <f>IFERROR(__xludf.DUMMYFUNCTION("""COMPUTED_VALUE"""),45534.64583333333)</f>
        <v>45534.64583</v>
      </c>
      <c r="B51" s="6">
        <f>IFERROR(__xludf.DUMMYFUNCTION("""COMPUTED_VALUE"""),4902.0)</f>
        <v>4902</v>
      </c>
      <c r="C51" s="6">
        <f>IFERROR(__xludf.DUMMYFUNCTION("""COMPUTED_VALUE"""),4994.4)</f>
        <v>4994.4</v>
      </c>
      <c r="D51" s="6">
        <f>IFERROR(__xludf.DUMMYFUNCTION("""COMPUTED_VALUE"""),4836.7)</f>
        <v>4836.7</v>
      </c>
      <c r="E51" s="6">
        <f>IFERROR(__xludf.DUMMYFUNCTION("""COMPUTED_VALUE"""),4960.5)</f>
        <v>4960.5</v>
      </c>
      <c r="F51" s="6">
        <f>IFERROR(__xludf.DUMMYFUNCTION("""COMPUTED_VALUE"""),2157559.0)</f>
        <v>2157559</v>
      </c>
    </row>
    <row r="52">
      <c r="A52" s="7">
        <f>IFERROR(__xludf.DUMMYFUNCTION("""COMPUTED_VALUE"""),45541.64583333333)</f>
        <v>45541.64583</v>
      </c>
      <c r="B52" s="6">
        <f>IFERROR(__xludf.DUMMYFUNCTION("""COMPUTED_VALUE"""),4949.75)</f>
        <v>4949.75</v>
      </c>
      <c r="C52" s="6">
        <f>IFERROR(__xludf.DUMMYFUNCTION("""COMPUTED_VALUE"""),5011.0)</f>
        <v>5011</v>
      </c>
      <c r="D52" s="6">
        <f>IFERROR(__xludf.DUMMYFUNCTION("""COMPUTED_VALUE"""),4740.2)</f>
        <v>4740.2</v>
      </c>
      <c r="E52" s="6">
        <f>IFERROR(__xludf.DUMMYFUNCTION("""COMPUTED_VALUE"""),4752.5)</f>
        <v>4752.5</v>
      </c>
      <c r="F52" s="6">
        <f>IFERROR(__xludf.DUMMYFUNCTION("""COMPUTED_VALUE"""),1740475.0)</f>
        <v>1740475</v>
      </c>
    </row>
    <row r="53">
      <c r="A53" s="7">
        <f>IFERROR(__xludf.DUMMYFUNCTION("""COMPUTED_VALUE"""),45548.64583333333)</f>
        <v>45548.64583</v>
      </c>
      <c r="B53" s="6">
        <f>IFERROR(__xludf.DUMMYFUNCTION("""COMPUTED_VALUE"""),4752.5)</f>
        <v>4752.5</v>
      </c>
      <c r="C53" s="6">
        <f>IFERROR(__xludf.DUMMYFUNCTION("""COMPUTED_VALUE"""),4895.0)</f>
        <v>4895</v>
      </c>
      <c r="D53" s="6">
        <f>IFERROR(__xludf.DUMMYFUNCTION("""COMPUTED_VALUE"""),4689.35)</f>
        <v>4689.35</v>
      </c>
      <c r="E53" s="6">
        <f>IFERROR(__xludf.DUMMYFUNCTION("""COMPUTED_VALUE"""),4858.3)</f>
        <v>4858.3</v>
      </c>
      <c r="F53" s="6">
        <f>IFERROR(__xludf.DUMMYFUNCTION("""COMPUTED_VALUE"""),2133944.0)</f>
        <v>2133944</v>
      </c>
    </row>
    <row r="54">
      <c r="A54" s="7">
        <f>IFERROR(__xludf.DUMMYFUNCTION("""COMPUTED_VALUE"""),45555.64583333333)</f>
        <v>45555.64583</v>
      </c>
      <c r="B54" s="6">
        <f>IFERROR(__xludf.DUMMYFUNCTION("""COMPUTED_VALUE"""),4884.95)</f>
        <v>4884.95</v>
      </c>
      <c r="C54" s="6">
        <f>IFERROR(__xludf.DUMMYFUNCTION("""COMPUTED_VALUE"""),5062.2)</f>
        <v>5062.2</v>
      </c>
      <c r="D54" s="6">
        <f>IFERROR(__xludf.DUMMYFUNCTION("""COMPUTED_VALUE"""),4812.25)</f>
        <v>4812.25</v>
      </c>
      <c r="E54" s="6">
        <f>IFERROR(__xludf.DUMMYFUNCTION("""COMPUTED_VALUE"""),4963.15)</f>
        <v>4963.15</v>
      </c>
      <c r="F54" s="6">
        <f>IFERROR(__xludf.DUMMYFUNCTION("""COMPUTED_VALUE"""),2795715.0)</f>
        <v>2795715</v>
      </c>
    </row>
    <row r="55">
      <c r="A55" s="7">
        <f>IFERROR(__xludf.DUMMYFUNCTION("""COMPUTED_VALUE"""),45562.64583333333)</f>
        <v>45562.64583</v>
      </c>
      <c r="B55" s="6">
        <f>IFERROR(__xludf.DUMMYFUNCTION("""COMPUTED_VALUE"""),4990.0)</f>
        <v>4990</v>
      </c>
      <c r="C55" s="6">
        <f>IFERROR(__xludf.DUMMYFUNCTION("""COMPUTED_VALUE"""),5105.0)</f>
        <v>5105</v>
      </c>
      <c r="D55" s="6">
        <f>IFERROR(__xludf.DUMMYFUNCTION("""COMPUTED_VALUE"""),4851.0)</f>
        <v>4851</v>
      </c>
      <c r="E55" s="6">
        <f>IFERROR(__xludf.DUMMYFUNCTION("""COMPUTED_VALUE"""),5062.6)</f>
        <v>5062.6</v>
      </c>
      <c r="F55" s="6">
        <f>IFERROR(__xludf.DUMMYFUNCTION("""COMPUTED_VALUE"""),3878604.0)</f>
        <v>3878604</v>
      </c>
    </row>
    <row r="56">
      <c r="A56" s="7">
        <f>IFERROR(__xludf.DUMMYFUNCTION("""COMPUTED_VALUE"""),45569.64583333333)</f>
        <v>45569.64583</v>
      </c>
      <c r="B56" s="6">
        <f>IFERROR(__xludf.DUMMYFUNCTION("""COMPUTED_VALUE"""),5062.0)</f>
        <v>5062</v>
      </c>
      <c r="C56" s="6">
        <f>IFERROR(__xludf.DUMMYFUNCTION("""COMPUTED_VALUE"""),5085.0)</f>
        <v>5085</v>
      </c>
      <c r="D56" s="6">
        <f>IFERROR(__xludf.DUMMYFUNCTION("""COMPUTED_VALUE"""),4690.85)</f>
        <v>4690.85</v>
      </c>
      <c r="E56" s="6">
        <f>IFERROR(__xludf.DUMMYFUNCTION("""COMPUTED_VALUE"""),4706.8)</f>
        <v>4706.8</v>
      </c>
      <c r="F56" s="6">
        <f>IFERROR(__xludf.DUMMYFUNCTION("""COMPUTED_VALUE"""),2769633.0)</f>
        <v>2769633</v>
      </c>
    </row>
    <row r="57">
      <c r="A57" s="7">
        <f>IFERROR(__xludf.DUMMYFUNCTION("""COMPUTED_VALUE"""),45576.64583333333)</f>
        <v>45576.64583</v>
      </c>
      <c r="B57" s="6">
        <f>IFERROR(__xludf.DUMMYFUNCTION("""COMPUTED_VALUE"""),4748.8)</f>
        <v>4748.8</v>
      </c>
      <c r="C57" s="6">
        <f>IFERROR(__xludf.DUMMYFUNCTION("""COMPUTED_VALUE"""),4808.15)</f>
        <v>4808.15</v>
      </c>
      <c r="D57" s="6">
        <f>IFERROR(__xludf.DUMMYFUNCTION("""COMPUTED_VALUE"""),4586.2)</f>
        <v>4586.2</v>
      </c>
      <c r="E57" s="6">
        <f>IFERROR(__xludf.DUMMYFUNCTION("""COMPUTED_VALUE"""),4728.05)</f>
        <v>4728.05</v>
      </c>
      <c r="F57" s="6">
        <f>IFERROR(__xludf.DUMMYFUNCTION("""COMPUTED_VALUE"""),3190020.0)</f>
        <v>3190020</v>
      </c>
    </row>
    <row r="58">
      <c r="A58" s="7">
        <f>IFERROR(__xludf.DUMMYFUNCTION("""COMPUTED_VALUE"""),45583.64583333333)</f>
        <v>45583.64583</v>
      </c>
      <c r="B58" s="6">
        <f>IFERROR(__xludf.DUMMYFUNCTION("""COMPUTED_VALUE"""),4749.0)</f>
        <v>4749</v>
      </c>
      <c r="C58" s="6">
        <f>IFERROR(__xludf.DUMMYFUNCTION("""COMPUTED_VALUE"""),4810.0)</f>
        <v>4810</v>
      </c>
      <c r="D58" s="6">
        <f>IFERROR(__xludf.DUMMYFUNCTION("""COMPUTED_VALUE"""),4521.0)</f>
        <v>4521</v>
      </c>
      <c r="E58" s="6">
        <f>IFERROR(__xludf.DUMMYFUNCTION("""COMPUTED_VALUE"""),4765.65)</f>
        <v>4765.65</v>
      </c>
      <c r="F58" s="6">
        <f>IFERROR(__xludf.DUMMYFUNCTION("""COMPUTED_VALUE"""),2390167.0)</f>
        <v>2390167</v>
      </c>
    </row>
    <row r="59">
      <c r="A59" s="7">
        <f>IFERROR(__xludf.DUMMYFUNCTION("""COMPUTED_VALUE"""),45590.64583333333)</f>
        <v>45590.64583</v>
      </c>
      <c r="B59" s="6">
        <f>IFERROR(__xludf.DUMMYFUNCTION("""COMPUTED_VALUE"""),4765.0)</f>
        <v>4765</v>
      </c>
      <c r="C59" s="6">
        <f>IFERROR(__xludf.DUMMYFUNCTION("""COMPUTED_VALUE"""),4852.85)</f>
        <v>4852.85</v>
      </c>
      <c r="D59" s="6">
        <f>IFERROR(__xludf.DUMMYFUNCTION("""COMPUTED_VALUE"""),4508.75)</f>
        <v>4508.75</v>
      </c>
      <c r="E59" s="6">
        <f>IFERROR(__xludf.DUMMYFUNCTION("""COMPUTED_VALUE"""),4591.6)</f>
        <v>4591.6</v>
      </c>
      <c r="F59" s="6">
        <f>IFERROR(__xludf.DUMMYFUNCTION("""COMPUTED_VALUE"""),2665013.0)</f>
        <v>2665013</v>
      </c>
    </row>
    <row r="60">
      <c r="A60" s="7">
        <f>IFERROR(__xludf.DUMMYFUNCTION("""COMPUTED_VALUE"""),45604.64583333333)</f>
        <v>45604.64583</v>
      </c>
      <c r="B60" s="6">
        <f>IFERROR(__xludf.DUMMYFUNCTION("""COMPUTED_VALUE"""),5002.45)</f>
        <v>5002.45</v>
      </c>
      <c r="C60" s="6">
        <f>IFERROR(__xludf.DUMMYFUNCTION("""COMPUTED_VALUE"""),5015.0)</f>
        <v>5015</v>
      </c>
      <c r="D60" s="6">
        <f>IFERROR(__xludf.DUMMYFUNCTION("""COMPUTED_VALUE"""),4755.35)</f>
        <v>4755.35</v>
      </c>
      <c r="E60" s="6">
        <f>IFERROR(__xludf.DUMMYFUNCTION("""COMPUTED_VALUE"""),4785.25)</f>
        <v>4785.25</v>
      </c>
      <c r="F60" s="6">
        <f>IFERROR(__xludf.DUMMYFUNCTION("""COMPUTED_VALUE"""),2005816.0)</f>
        <v>2005816</v>
      </c>
    </row>
    <row r="61">
      <c r="A61" s="7">
        <f>IFERROR(__xludf.DUMMYFUNCTION("""COMPUTED_VALUE"""),45610.64583333333)</f>
        <v>45610.64583</v>
      </c>
      <c r="B61" s="6">
        <f>IFERROR(__xludf.DUMMYFUNCTION("""COMPUTED_VALUE"""),4762.0)</f>
        <v>4762</v>
      </c>
      <c r="C61" s="6">
        <f>IFERROR(__xludf.DUMMYFUNCTION("""COMPUTED_VALUE"""),4973.0)</f>
        <v>4973</v>
      </c>
      <c r="D61" s="6">
        <f>IFERROR(__xludf.DUMMYFUNCTION("""COMPUTED_VALUE"""),4536.05)</f>
        <v>4536.05</v>
      </c>
      <c r="E61" s="6">
        <f>IFERROR(__xludf.DUMMYFUNCTION("""COMPUTED_VALUE"""),4883.7)</f>
        <v>4883.7</v>
      </c>
      <c r="F61" s="6">
        <f>IFERROR(__xludf.DUMMYFUNCTION("""COMPUTED_VALUE"""),4066834.0)</f>
        <v>4066834</v>
      </c>
    </row>
    <row r="62">
      <c r="A62" s="7">
        <f>IFERROR(__xludf.DUMMYFUNCTION("""COMPUTED_VALUE"""),45618.64583333333)</f>
        <v>45618.64583</v>
      </c>
      <c r="B62" s="6">
        <f>IFERROR(__xludf.DUMMYFUNCTION("""COMPUTED_VALUE"""),4879.95)</f>
        <v>4879.95</v>
      </c>
      <c r="C62" s="6">
        <f>IFERROR(__xludf.DUMMYFUNCTION("""COMPUTED_VALUE"""),5014.05)</f>
        <v>5014.05</v>
      </c>
      <c r="D62" s="6">
        <f>IFERROR(__xludf.DUMMYFUNCTION("""COMPUTED_VALUE"""),4863.0)</f>
        <v>4863</v>
      </c>
      <c r="E62" s="6">
        <f>IFERROR(__xludf.DUMMYFUNCTION("""COMPUTED_VALUE"""),4986.2)</f>
        <v>4986.2</v>
      </c>
      <c r="F62" s="6">
        <f>IFERROR(__xludf.DUMMYFUNCTION("""COMPUTED_VALUE"""),1880265.0)</f>
        <v>1880265</v>
      </c>
    </row>
    <row r="63">
      <c r="A63" s="7">
        <f>IFERROR(__xludf.DUMMYFUNCTION("""COMPUTED_VALUE"""),45625.64583333333)</f>
        <v>45625.64583</v>
      </c>
      <c r="B63" s="6">
        <f>IFERROR(__xludf.DUMMYFUNCTION("""COMPUTED_VALUE"""),4999.0)</f>
        <v>4999</v>
      </c>
      <c r="C63" s="6">
        <f>IFERROR(__xludf.DUMMYFUNCTION("""COMPUTED_VALUE"""),5067.0)</f>
        <v>5067</v>
      </c>
      <c r="D63" s="6">
        <f>IFERROR(__xludf.DUMMYFUNCTION("""COMPUTED_VALUE"""),4793.8)</f>
        <v>4793.8</v>
      </c>
      <c r="E63" s="6">
        <f>IFERROR(__xludf.DUMMYFUNCTION("""COMPUTED_VALUE"""),4831.85)</f>
        <v>4831.85</v>
      </c>
      <c r="F63" s="6">
        <f>IFERROR(__xludf.DUMMYFUNCTION("""COMPUTED_VALUE"""),3061476.0)</f>
        <v>3061476</v>
      </c>
    </row>
    <row r="64">
      <c r="A64" s="7">
        <f>IFERROR(__xludf.DUMMYFUNCTION("""COMPUTED_VALUE"""),45632.64583333333)</f>
        <v>45632.64583</v>
      </c>
      <c r="B64" s="6">
        <f>IFERROR(__xludf.DUMMYFUNCTION("""COMPUTED_VALUE"""),4838.05)</f>
        <v>4838.05</v>
      </c>
      <c r="C64" s="6">
        <f>IFERROR(__xludf.DUMMYFUNCTION("""COMPUTED_VALUE"""),4928.7)</f>
        <v>4928.7</v>
      </c>
      <c r="D64" s="6">
        <f>IFERROR(__xludf.DUMMYFUNCTION("""COMPUTED_VALUE"""),4693.55)</f>
        <v>4693.55</v>
      </c>
      <c r="E64" s="6">
        <f>IFERROR(__xludf.DUMMYFUNCTION("""COMPUTED_VALUE"""),4877.05)</f>
        <v>4877.05</v>
      </c>
      <c r="F64" s="6">
        <f>IFERROR(__xludf.DUMMYFUNCTION("""COMPUTED_VALUE"""),1805277.0)</f>
        <v>1805277</v>
      </c>
    </row>
    <row r="65">
      <c r="A65" s="7">
        <f>IFERROR(__xludf.DUMMYFUNCTION("""COMPUTED_VALUE"""),45639.64583333333)</f>
        <v>45639.64583</v>
      </c>
      <c r="B65" s="6">
        <f>IFERROR(__xludf.DUMMYFUNCTION("""COMPUTED_VALUE"""),4886.6)</f>
        <v>4886.6</v>
      </c>
      <c r="C65" s="6">
        <f>IFERROR(__xludf.DUMMYFUNCTION("""COMPUTED_VALUE"""),4888.0)</f>
        <v>4888</v>
      </c>
      <c r="D65" s="6">
        <f>IFERROR(__xludf.DUMMYFUNCTION("""COMPUTED_VALUE"""),4754.2)</f>
        <v>4754.2</v>
      </c>
      <c r="E65" s="6">
        <f>IFERROR(__xludf.DUMMYFUNCTION("""COMPUTED_VALUE"""),4825.9)</f>
        <v>4825.9</v>
      </c>
      <c r="F65" s="6">
        <f>IFERROR(__xludf.DUMMYFUNCTION("""COMPUTED_VALUE"""),1601292.0)</f>
        <v>1601292</v>
      </c>
    </row>
    <row r="66">
      <c r="A66" s="7">
        <f>IFERROR(__xludf.DUMMYFUNCTION("""COMPUTED_VALUE"""),45646.64583333333)</f>
        <v>45646.64583</v>
      </c>
      <c r="B66" s="6">
        <f>IFERROR(__xludf.DUMMYFUNCTION("""COMPUTED_VALUE"""),4820.0)</f>
        <v>4820</v>
      </c>
      <c r="C66" s="6">
        <f>IFERROR(__xludf.DUMMYFUNCTION("""COMPUTED_VALUE"""),4865.0)</f>
        <v>4865</v>
      </c>
      <c r="D66" s="6">
        <f>IFERROR(__xludf.DUMMYFUNCTION("""COMPUTED_VALUE"""),4673.6)</f>
        <v>4673.6</v>
      </c>
      <c r="E66" s="6">
        <f>IFERROR(__xludf.DUMMYFUNCTION("""COMPUTED_VALUE"""),4734.5)</f>
        <v>4734.5</v>
      </c>
      <c r="F66" s="6">
        <f>IFERROR(__xludf.DUMMYFUNCTION("""COMPUTED_VALUE"""),2024361.0)</f>
        <v>2024361</v>
      </c>
    </row>
    <row r="67">
      <c r="A67" s="7">
        <f>IFERROR(__xludf.DUMMYFUNCTION("""COMPUTED_VALUE"""),45653.64583333333)</f>
        <v>45653.64583</v>
      </c>
      <c r="B67" s="6">
        <f>IFERROR(__xludf.DUMMYFUNCTION("""COMPUTED_VALUE"""),4750.0)</f>
        <v>4750</v>
      </c>
      <c r="C67" s="6">
        <f>IFERROR(__xludf.DUMMYFUNCTION("""COMPUTED_VALUE"""),4954.95)</f>
        <v>4954.95</v>
      </c>
      <c r="D67" s="6">
        <f>IFERROR(__xludf.DUMMYFUNCTION("""COMPUTED_VALUE"""),4698.0)</f>
        <v>4698</v>
      </c>
      <c r="E67" s="6">
        <f>IFERROR(__xludf.DUMMYFUNCTION("""COMPUTED_VALUE"""),4876.9)</f>
        <v>4876.9</v>
      </c>
      <c r="F67" s="6">
        <f>IFERROR(__xludf.DUMMYFUNCTION("""COMPUTED_VALUE"""),1336093.0)</f>
        <v>1336093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IFERROR(__xludf.DUMMYFUNCTION("""COMPUTED_VALUE"""),4890.0)</f>
        <v>4890</v>
      </c>
      <c r="C68" s="6">
        <f>IFERROR(__xludf.DUMMYFUNCTION("""COMPUTED_VALUE"""),5385.7)</f>
        <v>5385.7</v>
      </c>
      <c r="D68" s="6">
        <f>IFERROR(__xludf.DUMMYFUNCTION("""COMPUTED_VALUE"""),4742.45)</f>
        <v>4742.45</v>
      </c>
      <c r="E68" s="6">
        <f>IFERROR(__xludf.DUMMYFUNCTION("""COMPUTED_VALUE"""),5310.75)</f>
        <v>5310.75</v>
      </c>
      <c r="F68" s="6">
        <f>IFERROR(__xludf.DUMMYFUNCTION("""COMPUTED_VALUE"""),4547148.0)</f>
        <v>4547148</v>
      </c>
    </row>
    <row r="69">
      <c r="A69" s="7">
        <f>IFERROR(__xludf.DUMMYFUNCTION("""COMPUTED_VALUE"""),45667.64583333333)</f>
        <v>45667.64583</v>
      </c>
      <c r="B69" s="6">
        <f>IFERROR(__xludf.DUMMYFUNCTION("""COMPUTED_VALUE"""),5310.75)</f>
        <v>5310.75</v>
      </c>
      <c r="C69" s="6">
        <f>IFERROR(__xludf.DUMMYFUNCTION("""COMPUTED_VALUE"""),5350.0)</f>
        <v>5350</v>
      </c>
      <c r="D69" s="6">
        <f>IFERROR(__xludf.DUMMYFUNCTION("""COMPUTED_VALUE"""),5040.0)</f>
        <v>5040</v>
      </c>
      <c r="E69" s="6">
        <f>IFERROR(__xludf.DUMMYFUNCTION("""COMPUTED_VALUE"""),5058.45)</f>
        <v>5058.45</v>
      </c>
      <c r="F69" s="6">
        <f>IFERROR(__xludf.DUMMYFUNCTION("""COMPUTED_VALUE"""),1758144.0)</f>
        <v>1758144</v>
      </c>
    </row>
    <row r="70">
      <c r="A70" s="7">
        <f>IFERROR(__xludf.DUMMYFUNCTION("""COMPUTED_VALUE"""),45674.64583333333)</f>
        <v>45674.64583</v>
      </c>
      <c r="B70" s="6">
        <f>IFERROR(__xludf.DUMMYFUNCTION("""COMPUTED_VALUE"""),5010.0)</f>
        <v>5010</v>
      </c>
      <c r="C70" s="6">
        <f>IFERROR(__xludf.DUMMYFUNCTION("""COMPUTED_VALUE"""),5134.1)</f>
        <v>5134.1</v>
      </c>
      <c r="D70" s="6">
        <f>IFERROR(__xludf.DUMMYFUNCTION("""COMPUTED_VALUE"""),4925.6)</f>
        <v>4925.6</v>
      </c>
      <c r="E70" s="6">
        <f>IFERROR(__xludf.DUMMYFUNCTION("""COMPUTED_VALUE"""),5012.3)</f>
        <v>5012.3</v>
      </c>
      <c r="F70" s="6">
        <f>IFERROR(__xludf.DUMMYFUNCTION("""COMPUTED_VALUE"""),1791660.0)</f>
        <v>1791660</v>
      </c>
    </row>
    <row r="71">
      <c r="A71" s="7">
        <f>IFERROR(__xludf.DUMMYFUNCTION("""COMPUTED_VALUE"""),45681.64583333333)</f>
        <v>45681.64583</v>
      </c>
      <c r="B71" s="6">
        <f>IFERROR(__xludf.DUMMYFUNCTION("""COMPUTED_VALUE"""),5012.35)</f>
        <v>5012.35</v>
      </c>
      <c r="C71" s="6">
        <f>IFERROR(__xludf.DUMMYFUNCTION("""COMPUTED_VALUE"""),5224.5)</f>
        <v>5224.5</v>
      </c>
      <c r="D71" s="6">
        <f>IFERROR(__xludf.DUMMYFUNCTION("""COMPUTED_VALUE"""),4930.0)</f>
        <v>4930</v>
      </c>
      <c r="E71" s="6">
        <f>IFERROR(__xludf.DUMMYFUNCTION("""COMPUTED_VALUE"""),5206.3)</f>
        <v>5206.3</v>
      </c>
      <c r="F71" s="6">
        <f>IFERROR(__xludf.DUMMYFUNCTION("""COMPUTED_VALUE"""),2339427.0)</f>
        <v>2339427</v>
      </c>
    </row>
    <row r="72">
      <c r="A72" s="7">
        <f>IFERROR(__xludf.DUMMYFUNCTION("""COMPUTED_VALUE"""),45695.64583333333)</f>
        <v>45695.64583</v>
      </c>
      <c r="B72" s="6">
        <f>IFERROR(__xludf.DUMMYFUNCTION("""COMPUTED_VALUE"""),5575.0)</f>
        <v>5575</v>
      </c>
      <c r="C72" s="6">
        <f>IFERROR(__xludf.DUMMYFUNCTION("""COMPUTED_VALUE"""),5575.5)</f>
        <v>5575.5</v>
      </c>
      <c r="D72" s="6">
        <f>IFERROR(__xludf.DUMMYFUNCTION("""COMPUTED_VALUE"""),5320.05)</f>
        <v>5320.05</v>
      </c>
      <c r="E72" s="6">
        <f>IFERROR(__xludf.DUMMYFUNCTION("""COMPUTED_VALUE"""),5372.55)</f>
        <v>5372.55</v>
      </c>
      <c r="F72" s="6">
        <f>IFERROR(__xludf.DUMMYFUNCTION("""COMPUTED_VALUE"""),3329782.0)</f>
        <v>3329782</v>
      </c>
    </row>
    <row r="73">
      <c r="A73" s="7">
        <f>IFERROR(__xludf.DUMMYFUNCTION("""COMPUTED_VALUE"""),45702.64583333333)</f>
        <v>45702.64583</v>
      </c>
      <c r="B73" s="6">
        <f>IFERROR(__xludf.DUMMYFUNCTION("""COMPUTED_VALUE"""),5400.0)</f>
        <v>5400</v>
      </c>
      <c r="C73" s="6">
        <f>IFERROR(__xludf.DUMMYFUNCTION("""COMPUTED_VALUE"""),5444.9)</f>
        <v>5444.9</v>
      </c>
      <c r="D73" s="6">
        <f>IFERROR(__xludf.DUMMYFUNCTION("""COMPUTED_VALUE"""),4686.05)</f>
        <v>4686.05</v>
      </c>
      <c r="E73" s="6">
        <f>IFERROR(__xludf.DUMMYFUNCTION("""COMPUTED_VALUE"""),4703.35)</f>
        <v>4703.35</v>
      </c>
      <c r="F73" s="6">
        <f>IFERROR(__xludf.DUMMYFUNCTION("""COMPUTED_VALUE"""),4766088.0)</f>
        <v>4766088</v>
      </c>
    </row>
    <row r="74">
      <c r="A74" s="7">
        <f>IFERROR(__xludf.DUMMYFUNCTION("""COMPUTED_VALUE"""),45709.64583333333)</f>
        <v>45709.64583</v>
      </c>
      <c r="B74" s="6">
        <f>IFERROR(__xludf.DUMMYFUNCTION("""COMPUTED_VALUE"""),4700.0)</f>
        <v>4700</v>
      </c>
      <c r="C74" s="6">
        <f>IFERROR(__xludf.DUMMYFUNCTION("""COMPUTED_VALUE"""),4982.9)</f>
        <v>4982.9</v>
      </c>
      <c r="D74" s="6">
        <f>IFERROR(__xludf.DUMMYFUNCTION("""COMPUTED_VALUE"""),4646.0)</f>
        <v>4646</v>
      </c>
      <c r="E74" s="6">
        <f>IFERROR(__xludf.DUMMYFUNCTION("""COMPUTED_VALUE"""),4962.45)</f>
        <v>4962.45</v>
      </c>
      <c r="F74" s="6">
        <f>IFERROR(__xludf.DUMMYFUNCTION("""COMPUTED_VALUE"""),1363270.0)</f>
        <v>1363270</v>
      </c>
    </row>
    <row r="75">
      <c r="A75" s="7">
        <f>IFERROR(__xludf.DUMMYFUNCTION("""COMPUTED_VALUE"""),45716.64583333333)</f>
        <v>45716.64583</v>
      </c>
      <c r="B75" s="6">
        <f>IFERROR(__xludf.DUMMYFUNCTION("""COMPUTED_VALUE"""),4936.0)</f>
        <v>4936</v>
      </c>
      <c r="C75" s="6">
        <f>IFERROR(__xludf.DUMMYFUNCTION("""COMPUTED_VALUE"""),5075.0)</f>
        <v>5075</v>
      </c>
      <c r="D75" s="6">
        <f>IFERROR(__xludf.DUMMYFUNCTION("""COMPUTED_VALUE"""),4755.0)</f>
        <v>4755</v>
      </c>
      <c r="E75" s="6">
        <f>IFERROR(__xludf.DUMMYFUNCTION("""COMPUTED_VALUE"""),4773.6)</f>
        <v>4773.6</v>
      </c>
      <c r="F75" s="6">
        <f>IFERROR(__xludf.DUMMYFUNCTION("""COMPUTED_VALUE"""),2451144.0)</f>
        <v>2451144</v>
      </c>
    </row>
    <row r="76">
      <c r="A76" s="7">
        <f>IFERROR(__xludf.DUMMYFUNCTION("""COMPUTED_VALUE"""),45723.64583333333)</f>
        <v>45723.64583</v>
      </c>
      <c r="B76" s="6">
        <f>IFERROR(__xludf.DUMMYFUNCTION("""COMPUTED_VALUE"""),4827.0)</f>
        <v>4827</v>
      </c>
      <c r="C76" s="6">
        <f>IFERROR(__xludf.DUMMYFUNCTION("""COMPUTED_VALUE"""),5131.4)</f>
        <v>5131.4</v>
      </c>
      <c r="D76" s="6">
        <f>IFERROR(__xludf.DUMMYFUNCTION("""COMPUTED_VALUE"""),4780.9)</f>
        <v>4780.9</v>
      </c>
      <c r="E76" s="6">
        <f>IFERROR(__xludf.DUMMYFUNCTION("""COMPUTED_VALUE"""),5100.7)</f>
        <v>5100.7</v>
      </c>
      <c r="F76" s="6">
        <f>IFERROR(__xludf.DUMMYFUNCTION("""COMPUTED_VALUE"""),2932526.0)</f>
        <v>2932526</v>
      </c>
    </row>
    <row r="77">
      <c r="A77" s="7">
        <f>IFERROR(__xludf.DUMMYFUNCTION("""COMPUTED_VALUE"""),45729.64583333333)</f>
        <v>45729.64583</v>
      </c>
      <c r="B77" s="6">
        <f>IFERROR(__xludf.DUMMYFUNCTION("""COMPUTED_VALUE"""),5123.0)</f>
        <v>5123</v>
      </c>
      <c r="C77" s="6">
        <f>IFERROR(__xludf.DUMMYFUNCTION("""COMPUTED_VALUE"""),5130.0)</f>
        <v>5130</v>
      </c>
      <c r="D77" s="6">
        <f>IFERROR(__xludf.DUMMYFUNCTION("""COMPUTED_VALUE"""),4912.05)</f>
        <v>4912.05</v>
      </c>
      <c r="E77" s="6">
        <f>IFERROR(__xludf.DUMMYFUNCTION("""COMPUTED_VALUE"""),5015.25)</f>
        <v>5015.25</v>
      </c>
      <c r="F77" s="6">
        <f>IFERROR(__xludf.DUMMYFUNCTION("""COMPUTED_VALUE"""),1045763.0)</f>
        <v>1045763</v>
      </c>
    </row>
    <row r="78">
      <c r="A78" s="7">
        <f>IFERROR(__xludf.DUMMYFUNCTION("""COMPUTED_VALUE"""),45737.64583333333)</f>
        <v>45737.64583</v>
      </c>
      <c r="B78" s="6">
        <f>IFERROR(__xludf.DUMMYFUNCTION("""COMPUTED_VALUE"""),4935.0)</f>
        <v>4935</v>
      </c>
      <c r="C78" s="6">
        <f>IFERROR(__xludf.DUMMYFUNCTION("""COMPUTED_VALUE"""),5327.95)</f>
        <v>5327.95</v>
      </c>
      <c r="D78" s="6">
        <f>IFERROR(__xludf.DUMMYFUNCTION("""COMPUTED_VALUE"""),4935.0)</f>
        <v>4935</v>
      </c>
      <c r="E78" s="6">
        <f>IFERROR(__xludf.DUMMYFUNCTION("""COMPUTED_VALUE"""),5305.95)</f>
        <v>5305.95</v>
      </c>
      <c r="F78" s="6">
        <f>IFERROR(__xludf.DUMMYFUNCTION("""COMPUTED_VALUE"""),1940299.0)</f>
        <v>1940299</v>
      </c>
    </row>
    <row r="79">
      <c r="A79" s="7">
        <f>IFERROR(__xludf.DUMMYFUNCTION("""COMPUTED_VALUE"""),45744.64583333333)</f>
        <v>45744.64583</v>
      </c>
      <c r="B79" s="6">
        <f>IFERROR(__xludf.DUMMYFUNCTION("""COMPUTED_VALUE"""),5325.5)</f>
        <v>5325.5</v>
      </c>
      <c r="C79" s="6">
        <f>IFERROR(__xludf.DUMMYFUNCTION("""COMPUTED_VALUE"""),5499.85)</f>
        <v>5499.85</v>
      </c>
      <c r="D79" s="6">
        <f>IFERROR(__xludf.DUMMYFUNCTION("""COMPUTED_VALUE"""),5300.0)</f>
        <v>5300</v>
      </c>
      <c r="E79" s="6">
        <f>IFERROR(__xludf.DUMMYFUNCTION("""COMPUTED_VALUE"""),5347.7)</f>
        <v>5347.7</v>
      </c>
      <c r="F79" s="6">
        <f>IFERROR(__xludf.DUMMYFUNCTION("""COMPUTED_VALUE"""),1915051.0)</f>
        <v>1915051</v>
      </c>
    </row>
    <row r="80">
      <c r="A80" s="7">
        <f>IFERROR(__xludf.DUMMYFUNCTION("""COMPUTED_VALUE"""),45751.64583333333)</f>
        <v>45751.64583</v>
      </c>
      <c r="B80" s="6">
        <f>IFERROR(__xludf.DUMMYFUNCTION("""COMPUTED_VALUE"""),5365.55)</f>
        <v>5365.55</v>
      </c>
      <c r="C80" s="6">
        <f>IFERROR(__xludf.DUMMYFUNCTION("""COMPUTED_VALUE"""),5525.0)</f>
        <v>5525</v>
      </c>
      <c r="D80" s="6">
        <f>IFERROR(__xludf.DUMMYFUNCTION("""COMPUTED_VALUE"""),5230.0)</f>
        <v>5230</v>
      </c>
      <c r="E80" s="6">
        <f>IFERROR(__xludf.DUMMYFUNCTION("""COMPUTED_VALUE"""),5247.9)</f>
        <v>5247.9</v>
      </c>
      <c r="F80" s="6">
        <f>IFERROR(__xludf.DUMMYFUNCTION("""COMPUTED_VALUE"""),1414087.0)</f>
        <v>1414087</v>
      </c>
    </row>
    <row r="81">
      <c r="A81" s="7">
        <f>IFERROR(__xludf.DUMMYFUNCTION("""COMPUTED_VALUE"""),45758.64583333333)</f>
        <v>45758.64583</v>
      </c>
      <c r="B81" s="6">
        <f>IFERROR(__xludf.DUMMYFUNCTION("""COMPUTED_VALUE"""),5000.0)</f>
        <v>5000</v>
      </c>
      <c r="C81" s="6">
        <f>IFERROR(__xludf.DUMMYFUNCTION("""COMPUTED_VALUE"""),5409.0)</f>
        <v>5409</v>
      </c>
      <c r="D81" s="6">
        <f>IFERROR(__xludf.DUMMYFUNCTION("""COMPUTED_VALUE"""),4999.95)</f>
        <v>4999.95</v>
      </c>
      <c r="E81" s="6">
        <f>IFERROR(__xludf.DUMMYFUNCTION("""COMPUTED_VALUE"""),5350.9)</f>
        <v>5350.9</v>
      </c>
      <c r="F81" s="6">
        <f>IFERROR(__xludf.DUMMYFUNCTION("""COMPUTED_VALUE"""),1847198.0)</f>
        <v>1847198</v>
      </c>
    </row>
    <row r="82">
      <c r="A82" s="7">
        <f>IFERROR(__xludf.DUMMYFUNCTION("""COMPUTED_VALUE"""),45764.64583333333)</f>
        <v>45764.64583</v>
      </c>
      <c r="B82" s="6">
        <f>IFERROR(__xludf.DUMMYFUNCTION("""COMPUTED_VALUE"""),5464.0)</f>
        <v>5464</v>
      </c>
      <c r="C82" s="6">
        <f>IFERROR(__xludf.DUMMYFUNCTION("""COMPUTED_VALUE"""),5715.5)</f>
        <v>5715.5</v>
      </c>
      <c r="D82" s="6">
        <f>IFERROR(__xludf.DUMMYFUNCTION("""COMPUTED_VALUE"""),5399.0)</f>
        <v>5399</v>
      </c>
      <c r="E82" s="6">
        <f>IFERROR(__xludf.DUMMYFUNCTION("""COMPUTED_VALUE"""),5678.5)</f>
        <v>5678.5</v>
      </c>
      <c r="F82" s="6">
        <f>IFERROR(__xludf.DUMMYFUNCTION("""COMPUTED_VALUE"""),1840958.0)</f>
        <v>1840958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IFERROR(__xludf.DUMMYFUNCTION("""COMPUTED_VALUE"""),5695.5)</f>
        <v>5695.5</v>
      </c>
      <c r="C83" s="6">
        <f>IFERROR(__xludf.DUMMYFUNCTION("""COMPUTED_VALUE"""),5906.5)</f>
        <v>5906.5</v>
      </c>
      <c r="D83" s="6">
        <f>IFERROR(__xludf.DUMMYFUNCTION("""COMPUTED_VALUE"""),5517.5)</f>
        <v>5517.5</v>
      </c>
      <c r="E83" s="6">
        <f>IFERROR(__xludf.DUMMYFUNCTION("""COMPUTED_VALUE"""),5575.5)</f>
        <v>5575.5</v>
      </c>
      <c r="F83" s="6">
        <f>IFERROR(__xludf.DUMMYFUNCTION("""COMPUTED_VALUE"""),2554868.0)</f>
        <v>2554868</v>
      </c>
    </row>
    <row r="84">
      <c r="A84" s="7">
        <f>IFERROR(__xludf.DUMMYFUNCTION("""COMPUTED_VALUE"""),45779.64583333333)</f>
        <v>45779.64583</v>
      </c>
      <c r="B84" s="6">
        <f>IFERROR(__xludf.DUMMYFUNCTION("""COMPUTED_VALUE"""),5580.5)</f>
        <v>5580.5</v>
      </c>
      <c r="C84" s="6">
        <f>IFERROR(__xludf.DUMMYFUNCTION("""COMPUTED_VALUE"""),5691.5)</f>
        <v>5691.5</v>
      </c>
      <c r="D84" s="6">
        <f>IFERROR(__xludf.DUMMYFUNCTION("""COMPUTED_VALUE"""),5376.0)</f>
        <v>5376</v>
      </c>
      <c r="E84" s="6">
        <f>IFERROR(__xludf.DUMMYFUNCTION("""COMPUTED_VALUE"""),5437.5)</f>
        <v>5437.5</v>
      </c>
      <c r="F84" s="6">
        <f>IFERROR(__xludf.DUMMYFUNCTION("""COMPUTED_VALUE"""),1857389.0)</f>
        <v>1857389</v>
      </c>
    </row>
    <row r="85">
      <c r="A85" s="7">
        <f>IFERROR(__xludf.DUMMYFUNCTION("""COMPUTED_VALUE"""),45786.64583333333)</f>
        <v>45786.64583</v>
      </c>
      <c r="B85" s="6">
        <f>IFERROR(__xludf.DUMMYFUNCTION("""COMPUTED_VALUE"""),5469.5)</f>
        <v>5469.5</v>
      </c>
      <c r="C85" s="6">
        <f>IFERROR(__xludf.DUMMYFUNCTION("""COMPUTED_VALUE"""),5597.0)</f>
        <v>5597</v>
      </c>
      <c r="D85" s="6">
        <f>IFERROR(__xludf.DUMMYFUNCTION("""COMPUTED_VALUE"""),5260.5)</f>
        <v>5260.5</v>
      </c>
      <c r="E85" s="6">
        <f>IFERROR(__xludf.DUMMYFUNCTION("""COMPUTED_VALUE"""),5324.0)</f>
        <v>5324</v>
      </c>
      <c r="F85" s="6">
        <f>IFERROR(__xludf.DUMMYFUNCTION("""COMPUTED_VALUE"""),2207034.0)</f>
        <v>2207034</v>
      </c>
    </row>
    <row r="86">
      <c r="A86" s="7">
        <f>IFERROR(__xludf.DUMMYFUNCTION("""COMPUTED_VALUE"""),45793.64583333333)</f>
        <v>45793.64583</v>
      </c>
      <c r="B86" s="6">
        <f>IFERROR(__xludf.DUMMYFUNCTION("""COMPUTED_VALUE"""),5505.0)</f>
        <v>5505</v>
      </c>
      <c r="C86" s="6">
        <f>IFERROR(__xludf.DUMMYFUNCTION("""COMPUTED_VALUE"""),5585.5)</f>
        <v>5585.5</v>
      </c>
      <c r="D86" s="6">
        <f>IFERROR(__xludf.DUMMYFUNCTION("""COMPUTED_VALUE"""),5360.0)</f>
        <v>5360</v>
      </c>
      <c r="E86" s="6">
        <f>IFERROR(__xludf.DUMMYFUNCTION("""COMPUTED_VALUE"""),5509.5)</f>
        <v>5509.5</v>
      </c>
      <c r="F86" s="6">
        <f>IFERROR(__xludf.DUMMYFUNCTION("""COMPUTED_VALUE"""),3628376.0)</f>
        <v>3628376</v>
      </c>
    </row>
    <row r="87">
      <c r="A87" s="7">
        <f>IFERROR(__xludf.DUMMYFUNCTION("""COMPUTED_VALUE"""),45800.64583333333)</f>
        <v>45800.64583</v>
      </c>
      <c r="B87" s="6">
        <f>IFERROR(__xludf.DUMMYFUNCTION("""COMPUTED_VALUE"""),5510.0)</f>
        <v>5510</v>
      </c>
      <c r="C87" s="6">
        <f>IFERROR(__xludf.DUMMYFUNCTION("""COMPUTED_VALUE"""),5628.0)</f>
        <v>5628</v>
      </c>
      <c r="D87" s="6">
        <f>IFERROR(__xludf.DUMMYFUNCTION("""COMPUTED_VALUE"""),5320.0)</f>
        <v>5320</v>
      </c>
      <c r="E87" s="6">
        <f>IFERROR(__xludf.DUMMYFUNCTION("""COMPUTED_VALUE"""),5400.0)</f>
        <v>5400</v>
      </c>
      <c r="F87" s="6">
        <f>IFERROR(__xludf.DUMMYFUNCTION("""COMPUTED_VALUE"""),2101765.0)</f>
        <v>2101765</v>
      </c>
    </row>
    <row r="88">
      <c r="A88" s="7">
        <f>IFERROR(__xludf.DUMMYFUNCTION("""COMPUTED_VALUE"""),45807.64583333333)</f>
        <v>45807.64583</v>
      </c>
      <c r="B88" s="6">
        <f>IFERROR(__xludf.DUMMYFUNCTION("""COMPUTED_VALUE"""),5403.0)</f>
        <v>5403</v>
      </c>
      <c r="C88" s="6">
        <f>IFERROR(__xludf.DUMMYFUNCTION("""COMPUTED_VALUE"""),5473.0)</f>
        <v>5473</v>
      </c>
      <c r="D88" s="6">
        <f>IFERROR(__xludf.DUMMYFUNCTION("""COMPUTED_VALUE"""),5287.0)</f>
        <v>5287</v>
      </c>
      <c r="E88" s="6">
        <f>IFERROR(__xludf.DUMMYFUNCTION("""COMPUTED_VALUE"""),5333.5)</f>
        <v>5333.5</v>
      </c>
      <c r="F88" s="6">
        <f>IFERROR(__xludf.DUMMYFUNCTION("""COMPUTED_VALUE"""),2790533.0)</f>
        <v>2790533</v>
      </c>
    </row>
    <row r="89">
      <c r="A89" s="7">
        <f>IFERROR(__xludf.DUMMYFUNCTION("""COMPUTED_VALUE"""),45814.64583333333)</f>
        <v>45814.64583</v>
      </c>
      <c r="B89" s="6">
        <f>IFERROR(__xludf.DUMMYFUNCTION("""COMPUTED_VALUE"""),5340.0)</f>
        <v>5340</v>
      </c>
      <c r="C89" s="6">
        <f>IFERROR(__xludf.DUMMYFUNCTION("""COMPUTED_VALUE"""),5414.0)</f>
        <v>5414</v>
      </c>
      <c r="D89" s="6">
        <f>IFERROR(__xludf.DUMMYFUNCTION("""COMPUTED_VALUE"""),5261.5)</f>
        <v>5261.5</v>
      </c>
      <c r="E89" s="6">
        <f>IFERROR(__xludf.DUMMYFUNCTION("""COMPUTED_VALUE"""),5394.0)</f>
        <v>5394</v>
      </c>
      <c r="F89" s="6">
        <f>IFERROR(__xludf.DUMMYFUNCTION("""COMPUTED_VALUE"""),2275185.0)</f>
        <v>2275185</v>
      </c>
    </row>
    <row r="90">
      <c r="A90" s="7">
        <f>IFERROR(__xludf.DUMMYFUNCTION("""COMPUTED_VALUE"""),45821.64583333333)</f>
        <v>45821.64583</v>
      </c>
      <c r="B90" s="6">
        <f>IFERROR(__xludf.DUMMYFUNCTION("""COMPUTED_VALUE"""),5422.0)</f>
        <v>5422</v>
      </c>
      <c r="C90" s="6">
        <f>IFERROR(__xludf.DUMMYFUNCTION("""COMPUTED_VALUE"""),5444.0)</f>
        <v>5444</v>
      </c>
      <c r="D90" s="6">
        <f>IFERROR(__xludf.DUMMYFUNCTION("""COMPUTED_VALUE"""),5219.5)</f>
        <v>5219.5</v>
      </c>
      <c r="E90" s="6">
        <f>IFERROR(__xludf.DUMMYFUNCTION("""COMPUTED_VALUE"""),5319.0)</f>
        <v>5319</v>
      </c>
      <c r="F90" s="6">
        <f>IFERROR(__xludf.DUMMYFUNCTION("""COMPUTED_VALUE"""),1720283.0)</f>
        <v>1720283</v>
      </c>
    </row>
    <row r="91">
      <c r="A91" s="7">
        <f>IFERROR(__xludf.DUMMYFUNCTION("""COMPUTED_VALUE"""),45828.64583333333)</f>
        <v>45828.64583</v>
      </c>
      <c r="B91" s="6">
        <f>IFERROR(__xludf.DUMMYFUNCTION("""COMPUTED_VALUE"""),5305.0)</f>
        <v>5305</v>
      </c>
      <c r="C91" s="6">
        <f>IFERROR(__xludf.DUMMYFUNCTION("""COMPUTED_VALUE"""),5542.0)</f>
        <v>5542</v>
      </c>
      <c r="D91" s="6">
        <f>IFERROR(__xludf.DUMMYFUNCTION("""COMPUTED_VALUE"""),5305.0)</f>
        <v>5305</v>
      </c>
      <c r="E91" s="6">
        <f>IFERROR(__xludf.DUMMYFUNCTION("""COMPUTED_VALUE"""),5525.0)</f>
        <v>5525</v>
      </c>
      <c r="F91" s="6">
        <f>IFERROR(__xludf.DUMMYFUNCTION("""COMPUTED_VALUE"""),3480604.0)</f>
        <v>3480604</v>
      </c>
    </row>
    <row r="92">
      <c r="A92" s="7">
        <f>IFERROR(__xludf.DUMMYFUNCTION("""COMPUTED_VALUE"""),45835.64583333333)</f>
        <v>45835.64583</v>
      </c>
      <c r="B92" s="6">
        <f>IFERROR(__xludf.DUMMYFUNCTION("""COMPUTED_VALUE"""),5495.0)</f>
        <v>5495</v>
      </c>
      <c r="C92" s="6">
        <f>IFERROR(__xludf.DUMMYFUNCTION("""COMPUTED_VALUE"""),5685.0)</f>
        <v>5685</v>
      </c>
      <c r="D92" s="6">
        <f>IFERROR(__xludf.DUMMYFUNCTION("""COMPUTED_VALUE"""),5479.5)</f>
        <v>5479.5</v>
      </c>
      <c r="E92" s="6">
        <f>IFERROR(__xludf.DUMMYFUNCTION("""COMPUTED_VALUE"""),5660.0)</f>
        <v>5660</v>
      </c>
      <c r="F92" s="6">
        <f>IFERROR(__xludf.DUMMYFUNCTION("""COMPUTED_VALUE"""),2477984.0)</f>
        <v>2477984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IFERROR(__xludf.DUMMYFUNCTION("""COMPUTED_VALUE"""),5660.0)</f>
        <v>5660</v>
      </c>
      <c r="C93" s="6">
        <f>IFERROR(__xludf.DUMMYFUNCTION("""COMPUTED_VALUE"""),5774.5)</f>
        <v>5774.5</v>
      </c>
      <c r="D93" s="6">
        <f>IFERROR(__xludf.DUMMYFUNCTION("""COMPUTED_VALUE"""),5613.0)</f>
        <v>5613</v>
      </c>
      <c r="E93" s="6">
        <f>IFERROR(__xludf.DUMMYFUNCTION("""COMPUTED_VALUE"""),5629.0)</f>
        <v>5629</v>
      </c>
      <c r="F93" s="6">
        <f>IFERROR(__xludf.DUMMYFUNCTION("""COMPUTED_VALUE"""),1694544.0)</f>
        <v>1694544</v>
      </c>
    </row>
    <row r="94">
      <c r="A94" s="7">
        <f>IFERROR(__xludf.DUMMYFUNCTION("""COMPUTED_VALUE"""),45849.64583333333)</f>
        <v>45849.64583</v>
      </c>
      <c r="B94" s="6">
        <f>IFERROR(__xludf.DUMMYFUNCTION("""COMPUTED_VALUE"""),5630.0)</f>
        <v>5630</v>
      </c>
      <c r="C94" s="6">
        <f>IFERROR(__xludf.DUMMYFUNCTION("""COMPUTED_VALUE"""),5718.5)</f>
        <v>5718.5</v>
      </c>
      <c r="D94" s="6">
        <f>IFERROR(__xludf.DUMMYFUNCTION("""COMPUTED_VALUE"""),5589.0)</f>
        <v>5589</v>
      </c>
      <c r="E94" s="6">
        <f>IFERROR(__xludf.DUMMYFUNCTION("""COMPUTED_VALUE"""),5612.5)</f>
        <v>5612.5</v>
      </c>
      <c r="F94" s="6">
        <f>IFERROR(__xludf.DUMMYFUNCTION("""COMPUTED_VALUE"""),1297690.0)</f>
        <v>1297690</v>
      </c>
    </row>
    <row r="95">
      <c r="A95" s="7">
        <f>IFERROR(__xludf.DUMMYFUNCTION("""COMPUTED_VALUE"""),45856.64583333333)</f>
        <v>45856.64583</v>
      </c>
      <c r="B95" s="6">
        <f>IFERROR(__xludf.DUMMYFUNCTION("""COMPUTED_VALUE"""),5606.5)</f>
        <v>5606.5</v>
      </c>
      <c r="C95" s="6">
        <f>IFERROR(__xludf.DUMMYFUNCTION("""COMPUTED_VALUE"""),5683.0)</f>
        <v>5683</v>
      </c>
      <c r="D95" s="6">
        <f>IFERROR(__xludf.DUMMYFUNCTION("""COMPUTED_VALUE"""),5520.5)</f>
        <v>5520.5</v>
      </c>
      <c r="E95" s="6">
        <f>IFERROR(__xludf.DUMMYFUNCTION("""COMPUTED_VALUE"""),5627.5)</f>
        <v>5627.5</v>
      </c>
      <c r="F95" s="6">
        <f>IFERROR(__xludf.DUMMYFUNCTION("""COMPUTED_VALUE"""),2091725.0)</f>
        <v>2091725</v>
      </c>
    </row>
    <row r="96">
      <c r="A96" s="7">
        <f>IFERROR(__xludf.DUMMYFUNCTION("""COMPUTED_VALUE"""),45863.64583333333)</f>
        <v>45863.64583</v>
      </c>
      <c r="B96" s="6">
        <f>IFERROR(__xludf.DUMMYFUNCTION("""COMPUTED_VALUE"""),5597.0)</f>
        <v>5597</v>
      </c>
      <c r="C96" s="6">
        <f>IFERROR(__xludf.DUMMYFUNCTION("""COMPUTED_VALUE"""),5627.0)</f>
        <v>5627</v>
      </c>
      <c r="D96" s="6">
        <f>IFERROR(__xludf.DUMMYFUNCTION("""COMPUTED_VALUE"""),5372.5)</f>
        <v>5372.5</v>
      </c>
      <c r="E96" s="6">
        <f>IFERROR(__xludf.DUMMYFUNCTION("""COMPUTED_VALUE"""),5433.0)</f>
        <v>5433</v>
      </c>
      <c r="F96" s="6">
        <f>IFERROR(__xludf.DUMMYFUNCTION("""COMPUTED_VALUE"""),1630225.0)</f>
        <v>1630225</v>
      </c>
    </row>
    <row r="97">
      <c r="A97" s="7">
        <f>IFERROR(__xludf.DUMMYFUNCTION("""COMPUTED_VALUE"""),45870.64583333333)</f>
        <v>45870.64583</v>
      </c>
      <c r="B97" s="6">
        <f>IFERROR(__xludf.DUMMYFUNCTION("""COMPUTED_VALUE"""),5433.0)</f>
        <v>5433</v>
      </c>
      <c r="C97" s="6">
        <f>IFERROR(__xludf.DUMMYFUNCTION("""COMPUTED_VALUE"""),5670.0)</f>
        <v>5670</v>
      </c>
      <c r="D97" s="6">
        <f>IFERROR(__xludf.DUMMYFUNCTION("""COMPUTED_VALUE"""),5353.0)</f>
        <v>5353</v>
      </c>
      <c r="E97" s="6">
        <f>IFERROR(__xludf.DUMMYFUNCTION("""COMPUTED_VALUE"""),5528.0)</f>
        <v>5528</v>
      </c>
      <c r="F97" s="6">
        <f>IFERROR(__xludf.DUMMYFUNCTION("""COMPUTED_VALUE"""),2521562.0)</f>
        <v>2521562</v>
      </c>
    </row>
    <row r="98">
      <c r="A98" s="7">
        <f>IFERROR(__xludf.DUMMYFUNCTION("""COMPUTED_VALUE"""),45877.64583333333)</f>
        <v>45877.64583</v>
      </c>
      <c r="B98" s="6">
        <f>IFERROR(__xludf.DUMMYFUNCTION("""COMPUTED_VALUE"""),5527.5)</f>
        <v>5527.5</v>
      </c>
      <c r="C98" s="6">
        <f>IFERROR(__xludf.DUMMYFUNCTION("""COMPUTED_VALUE"""),5712.5)</f>
        <v>5712.5</v>
      </c>
      <c r="D98" s="6">
        <f>IFERROR(__xludf.DUMMYFUNCTION("""COMPUTED_VALUE"""),5520.0)</f>
        <v>5520</v>
      </c>
      <c r="E98" s="6">
        <f>IFERROR(__xludf.DUMMYFUNCTION("""COMPUTED_VALUE"""),5663.0)</f>
        <v>5663</v>
      </c>
      <c r="F98" s="6">
        <f>IFERROR(__xludf.DUMMYFUNCTION("""COMPUTED_VALUE"""),1807021.0)</f>
        <v>1807021</v>
      </c>
    </row>
    <row r="99">
      <c r="A99" s="7">
        <f>IFERROR(__xludf.DUMMYFUNCTION("""COMPUTED_VALUE"""),45883.64583333333)</f>
        <v>45883.64583</v>
      </c>
      <c r="B99" s="6">
        <f>IFERROR(__xludf.DUMMYFUNCTION("""COMPUTED_VALUE"""),5677.0)</f>
        <v>5677</v>
      </c>
      <c r="C99" s="6">
        <f>IFERROR(__xludf.DUMMYFUNCTION("""COMPUTED_VALUE"""),5785.5)</f>
        <v>5785.5</v>
      </c>
      <c r="D99" s="6">
        <f>IFERROR(__xludf.DUMMYFUNCTION("""COMPUTED_VALUE"""),5643.0)</f>
        <v>5643</v>
      </c>
      <c r="E99" s="6">
        <f>IFERROR(__xludf.DUMMYFUNCTION("""COMPUTED_VALUE"""),5764.0)</f>
        <v>5764</v>
      </c>
      <c r="F99" s="6">
        <f>IFERROR(__xludf.DUMMYFUNCTION("""COMPUTED_VALUE"""),1747955.0)</f>
        <v>1747955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IFERROR(__xludf.DUMMYFUNCTION("""COMPUTED_VALUE"""),5880.0)</f>
        <v>5880</v>
      </c>
      <c r="C100" s="6">
        <f>IFERROR(__xludf.DUMMYFUNCTION("""COMPUTED_VALUE"""),6024.5)</f>
        <v>6024.5</v>
      </c>
      <c r="D100" s="6">
        <f>IFERROR(__xludf.DUMMYFUNCTION("""COMPUTED_VALUE"""),5825.5)</f>
        <v>5825.5</v>
      </c>
      <c r="E100" s="6">
        <f>IFERROR(__xludf.DUMMYFUNCTION("""COMPUTED_VALUE"""),5924.5)</f>
        <v>5924.5</v>
      </c>
      <c r="F100" s="6">
        <f>IFERROR(__xludf.DUMMYFUNCTION("""COMPUTED_VALUE"""),3415335.0)</f>
        <v>3415335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IFERROR(__xludf.DUMMYFUNCTION("""COMPUTED_VALUE"""),5945.0)</f>
        <v>5945</v>
      </c>
      <c r="C101" s="6">
        <f>IFERROR(__xludf.DUMMYFUNCTION("""COMPUTED_VALUE"""),6210.0)</f>
        <v>6210</v>
      </c>
      <c r="D101" s="6">
        <f>IFERROR(__xludf.DUMMYFUNCTION("""COMPUTED_VALUE"""),5880.0)</f>
        <v>5880</v>
      </c>
      <c r="E101" s="6">
        <f>IFERROR(__xludf.DUMMYFUNCTION("""COMPUTED_VALUE"""),6151.0)</f>
        <v>6151</v>
      </c>
      <c r="F101" s="6">
        <f>IFERROR(__xludf.DUMMYFUNCTION("""COMPUTED_VALUE"""),1.5774539E7)</f>
        <v>15774539</v>
      </c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IFERROR(__xludf.DUMMYFUNCTION("GOOGLEFINANCE(""NSE:ESCORTS"",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IFERROR(__xludf.DUMMYFUNCTION("""COMPUTED_VALUE"""),3069.95)</f>
        <v>3069.95</v>
      </c>
      <c r="C2" s="6">
        <f>IFERROR(__xludf.DUMMYFUNCTION("""COMPUTED_VALUE"""),3343.85)</f>
        <v>3343.85</v>
      </c>
      <c r="D2" s="6">
        <f>IFERROR(__xludf.DUMMYFUNCTION("""COMPUTED_VALUE"""),2996.7)</f>
        <v>2996.7</v>
      </c>
      <c r="E2" s="6">
        <f>IFERROR(__xludf.DUMMYFUNCTION("""COMPUTED_VALUE"""),3133.9)</f>
        <v>3133.9</v>
      </c>
      <c r="F2" s="6">
        <f>IFERROR(__xludf.DUMMYFUNCTION("""COMPUTED_VALUE"""),3698476.0)</f>
        <v>3698476</v>
      </c>
    </row>
    <row r="3">
      <c r="A3" s="7">
        <f>IFERROR(__xludf.DUMMYFUNCTION("""COMPUTED_VALUE"""),45177.64583333333)</f>
        <v>45177.64583</v>
      </c>
      <c r="B3" s="6">
        <f>IFERROR(__xludf.DUMMYFUNCTION("""COMPUTED_VALUE"""),3160.0)</f>
        <v>3160</v>
      </c>
      <c r="C3" s="6">
        <f>IFERROR(__xludf.DUMMYFUNCTION("""COMPUTED_VALUE"""),3198.9)</f>
        <v>3198.9</v>
      </c>
      <c r="D3" s="6">
        <f>IFERROR(__xludf.DUMMYFUNCTION("""COMPUTED_VALUE"""),3026.0)</f>
        <v>3026</v>
      </c>
      <c r="E3" s="6">
        <f>IFERROR(__xludf.DUMMYFUNCTION("""COMPUTED_VALUE"""),3185.4)</f>
        <v>3185.4</v>
      </c>
      <c r="F3" s="6">
        <f>IFERROR(__xludf.DUMMYFUNCTION("""COMPUTED_VALUE"""),2678301.0)</f>
        <v>2678301</v>
      </c>
    </row>
    <row r="4">
      <c r="A4" s="7">
        <f>IFERROR(__xludf.DUMMYFUNCTION("""COMPUTED_VALUE"""),45184.64583333333)</f>
        <v>45184.64583</v>
      </c>
      <c r="B4" s="6">
        <f>IFERROR(__xludf.DUMMYFUNCTION("""COMPUTED_VALUE"""),3198.0)</f>
        <v>3198</v>
      </c>
      <c r="C4" s="6">
        <f>IFERROR(__xludf.DUMMYFUNCTION("""COMPUTED_VALUE"""),3213.95)</f>
        <v>3213.95</v>
      </c>
      <c r="D4" s="6">
        <f>IFERROR(__xludf.DUMMYFUNCTION("""COMPUTED_VALUE"""),3058.9)</f>
        <v>3058.9</v>
      </c>
      <c r="E4" s="6">
        <f>IFERROR(__xludf.DUMMYFUNCTION("""COMPUTED_VALUE"""),3151.95)</f>
        <v>3151.95</v>
      </c>
      <c r="F4" s="6">
        <f>IFERROR(__xludf.DUMMYFUNCTION("""COMPUTED_VALUE"""),1085102.0)</f>
        <v>1085102</v>
      </c>
    </row>
    <row r="5">
      <c r="A5" s="7">
        <f>IFERROR(__xludf.DUMMYFUNCTION("""COMPUTED_VALUE"""),45191.64583333333)</f>
        <v>45191.64583</v>
      </c>
      <c r="B5" s="6">
        <f>IFERROR(__xludf.DUMMYFUNCTION("""COMPUTED_VALUE"""),3178.9)</f>
        <v>3178.9</v>
      </c>
      <c r="C5" s="6">
        <f>IFERROR(__xludf.DUMMYFUNCTION("""COMPUTED_VALUE"""),3230.0)</f>
        <v>3230</v>
      </c>
      <c r="D5" s="6">
        <f>IFERROR(__xludf.DUMMYFUNCTION("""COMPUTED_VALUE"""),3068.1)</f>
        <v>3068.1</v>
      </c>
      <c r="E5" s="6">
        <f>IFERROR(__xludf.DUMMYFUNCTION("""COMPUTED_VALUE"""),3126.55)</f>
        <v>3126.55</v>
      </c>
      <c r="F5" s="6">
        <f>IFERROR(__xludf.DUMMYFUNCTION("""COMPUTED_VALUE"""),1079877.0)</f>
        <v>1079877</v>
      </c>
    </row>
    <row r="6">
      <c r="A6" s="7">
        <f>IFERROR(__xludf.DUMMYFUNCTION("""COMPUTED_VALUE"""),45198.64583333333)</f>
        <v>45198.64583</v>
      </c>
      <c r="B6" s="6">
        <f>IFERROR(__xludf.DUMMYFUNCTION("""COMPUTED_VALUE"""),3148.0)</f>
        <v>3148</v>
      </c>
      <c r="C6" s="6">
        <f>IFERROR(__xludf.DUMMYFUNCTION("""COMPUTED_VALUE"""),3343.0)</f>
        <v>3343</v>
      </c>
      <c r="D6" s="6">
        <f>IFERROR(__xludf.DUMMYFUNCTION("""COMPUTED_VALUE"""),3105.35)</f>
        <v>3105.35</v>
      </c>
      <c r="E6" s="6">
        <f>IFERROR(__xludf.DUMMYFUNCTION("""COMPUTED_VALUE"""),3185.1)</f>
        <v>3185.1</v>
      </c>
      <c r="F6" s="6">
        <f>IFERROR(__xludf.DUMMYFUNCTION("""COMPUTED_VALUE"""),2376894.0)</f>
        <v>2376894</v>
      </c>
    </row>
    <row r="7">
      <c r="A7" s="7">
        <f>IFERROR(__xludf.DUMMYFUNCTION("""COMPUTED_VALUE"""),45205.64583333333)</f>
        <v>45205.64583</v>
      </c>
      <c r="B7" s="6">
        <f>IFERROR(__xludf.DUMMYFUNCTION("""COMPUTED_VALUE"""),3181.0)</f>
        <v>3181</v>
      </c>
      <c r="C7" s="6">
        <f>IFERROR(__xludf.DUMMYFUNCTION("""COMPUTED_VALUE"""),3289.0)</f>
        <v>3289</v>
      </c>
      <c r="D7" s="6">
        <f>IFERROR(__xludf.DUMMYFUNCTION("""COMPUTED_VALUE"""),3063.05)</f>
        <v>3063.05</v>
      </c>
      <c r="E7" s="6">
        <f>IFERROR(__xludf.DUMMYFUNCTION("""COMPUTED_VALUE"""),3194.2)</f>
        <v>3194.2</v>
      </c>
      <c r="F7" s="6">
        <f>IFERROR(__xludf.DUMMYFUNCTION("""COMPUTED_VALUE"""),2631352.0)</f>
        <v>2631352</v>
      </c>
    </row>
    <row r="8">
      <c r="A8" s="7">
        <f>IFERROR(__xludf.DUMMYFUNCTION("""COMPUTED_VALUE"""),45212.64583333333)</f>
        <v>45212.64583</v>
      </c>
      <c r="B8" s="6">
        <f>IFERROR(__xludf.DUMMYFUNCTION("""COMPUTED_VALUE"""),3148.0)</f>
        <v>3148</v>
      </c>
      <c r="C8" s="6">
        <f>IFERROR(__xludf.DUMMYFUNCTION("""COMPUTED_VALUE"""),3440.15)</f>
        <v>3440.15</v>
      </c>
      <c r="D8" s="6">
        <f>IFERROR(__xludf.DUMMYFUNCTION("""COMPUTED_VALUE"""),3145.0)</f>
        <v>3145</v>
      </c>
      <c r="E8" s="6">
        <f>IFERROR(__xludf.DUMMYFUNCTION("""COMPUTED_VALUE"""),3378.8)</f>
        <v>3378.8</v>
      </c>
      <c r="F8" s="6">
        <f>IFERROR(__xludf.DUMMYFUNCTION("""COMPUTED_VALUE"""),2997441.0)</f>
        <v>2997441</v>
      </c>
    </row>
    <row r="9">
      <c r="A9" s="7">
        <f>IFERROR(__xludf.DUMMYFUNCTION("""COMPUTED_VALUE"""),45219.64583333333)</f>
        <v>45219.64583</v>
      </c>
      <c r="B9" s="6">
        <f>IFERROR(__xludf.DUMMYFUNCTION("""COMPUTED_VALUE"""),3378.8)</f>
        <v>3378.8</v>
      </c>
      <c r="C9" s="6">
        <f>IFERROR(__xludf.DUMMYFUNCTION("""COMPUTED_VALUE"""),3403.2)</f>
        <v>3403.2</v>
      </c>
      <c r="D9" s="6">
        <f>IFERROR(__xludf.DUMMYFUNCTION("""COMPUTED_VALUE"""),3227.55)</f>
        <v>3227.55</v>
      </c>
      <c r="E9" s="6">
        <f>IFERROR(__xludf.DUMMYFUNCTION("""COMPUTED_VALUE"""),3236.8)</f>
        <v>3236.8</v>
      </c>
      <c r="F9" s="6">
        <f>IFERROR(__xludf.DUMMYFUNCTION("""COMPUTED_VALUE"""),1234040.0)</f>
        <v>1234040</v>
      </c>
    </row>
    <row r="10">
      <c r="A10" s="7">
        <f>IFERROR(__xludf.DUMMYFUNCTION("""COMPUTED_VALUE"""),45226.64583333333)</f>
        <v>45226.64583</v>
      </c>
      <c r="B10" s="6">
        <f>IFERROR(__xludf.DUMMYFUNCTION("""COMPUTED_VALUE"""),3236.75)</f>
        <v>3236.75</v>
      </c>
      <c r="C10" s="6">
        <f>IFERROR(__xludf.DUMMYFUNCTION("""COMPUTED_VALUE"""),3240.0)</f>
        <v>3240</v>
      </c>
      <c r="D10" s="6">
        <f>IFERROR(__xludf.DUMMYFUNCTION("""COMPUTED_VALUE"""),3031.1)</f>
        <v>3031.1</v>
      </c>
      <c r="E10" s="6">
        <f>IFERROR(__xludf.DUMMYFUNCTION("""COMPUTED_VALUE"""),3146.3)</f>
        <v>3146.3</v>
      </c>
      <c r="F10" s="6">
        <f>IFERROR(__xludf.DUMMYFUNCTION("""COMPUTED_VALUE"""),1041256.0)</f>
        <v>1041256</v>
      </c>
    </row>
    <row r="11">
      <c r="A11" s="7">
        <f>IFERROR(__xludf.DUMMYFUNCTION("""COMPUTED_VALUE"""),45233.64583333333)</f>
        <v>45233.64583</v>
      </c>
      <c r="B11" s="6">
        <f>IFERROR(__xludf.DUMMYFUNCTION("""COMPUTED_VALUE"""),3155.0)</f>
        <v>3155</v>
      </c>
      <c r="C11" s="6">
        <f>IFERROR(__xludf.DUMMYFUNCTION("""COMPUTED_VALUE"""),3195.15)</f>
        <v>3195.15</v>
      </c>
      <c r="D11" s="6">
        <f>IFERROR(__xludf.DUMMYFUNCTION("""COMPUTED_VALUE"""),3015.25)</f>
        <v>3015.25</v>
      </c>
      <c r="E11" s="6">
        <f>IFERROR(__xludf.DUMMYFUNCTION("""COMPUTED_VALUE"""),3076.45)</f>
        <v>3076.45</v>
      </c>
      <c r="F11" s="6">
        <f>IFERROR(__xludf.DUMMYFUNCTION("""COMPUTED_VALUE"""),1294651.0)</f>
        <v>1294651</v>
      </c>
    </row>
    <row r="12">
      <c r="A12" s="7">
        <f>IFERROR(__xludf.DUMMYFUNCTION("""COMPUTED_VALUE"""),45240.64583333333)</f>
        <v>45240.64583</v>
      </c>
      <c r="B12" s="6">
        <f>IFERROR(__xludf.DUMMYFUNCTION("""COMPUTED_VALUE"""),3098.0)</f>
        <v>3098</v>
      </c>
      <c r="C12" s="6">
        <f>IFERROR(__xludf.DUMMYFUNCTION("""COMPUTED_VALUE"""),3174.8)</f>
        <v>3174.8</v>
      </c>
      <c r="D12" s="6">
        <f>IFERROR(__xludf.DUMMYFUNCTION("""COMPUTED_VALUE"""),3011.55)</f>
        <v>3011.55</v>
      </c>
      <c r="E12" s="6">
        <f>IFERROR(__xludf.DUMMYFUNCTION("""COMPUTED_VALUE"""),3166.9)</f>
        <v>3166.9</v>
      </c>
      <c r="F12" s="6">
        <f>IFERROR(__xludf.DUMMYFUNCTION("""COMPUTED_VALUE"""),1940471.0)</f>
        <v>1940471</v>
      </c>
    </row>
    <row r="13">
      <c r="A13" s="7">
        <f>IFERROR(__xludf.DUMMYFUNCTION("""COMPUTED_VALUE"""),45247.64583333333)</f>
        <v>45247.64583</v>
      </c>
      <c r="B13" s="6">
        <f>IFERROR(__xludf.DUMMYFUNCTION("""COMPUTED_VALUE"""),3169.95)</f>
        <v>3169.95</v>
      </c>
      <c r="C13" s="6">
        <f>IFERROR(__xludf.DUMMYFUNCTION("""COMPUTED_VALUE"""),3273.4)</f>
        <v>3273.4</v>
      </c>
      <c r="D13" s="6">
        <f>IFERROR(__xludf.DUMMYFUNCTION("""COMPUTED_VALUE"""),3120.2)</f>
        <v>3120.2</v>
      </c>
      <c r="E13" s="6">
        <f>IFERROR(__xludf.DUMMYFUNCTION("""COMPUTED_VALUE"""),3239.25)</f>
        <v>3239.25</v>
      </c>
      <c r="F13" s="6">
        <f>IFERROR(__xludf.DUMMYFUNCTION("""COMPUTED_VALUE"""),918962.0)</f>
        <v>918962</v>
      </c>
    </row>
    <row r="14">
      <c r="A14" s="7">
        <f>IFERROR(__xludf.DUMMYFUNCTION("""COMPUTED_VALUE"""),45254.64583333333)</f>
        <v>45254.64583</v>
      </c>
      <c r="B14" s="6">
        <f>IFERROR(__xludf.DUMMYFUNCTION("""COMPUTED_VALUE"""),3250.0)</f>
        <v>3250</v>
      </c>
      <c r="C14" s="6">
        <f>IFERROR(__xludf.DUMMYFUNCTION("""COMPUTED_VALUE"""),3293.15)</f>
        <v>3293.15</v>
      </c>
      <c r="D14" s="6">
        <f>IFERROR(__xludf.DUMMYFUNCTION("""COMPUTED_VALUE"""),3190.0)</f>
        <v>3190</v>
      </c>
      <c r="E14" s="6">
        <f>IFERROR(__xludf.DUMMYFUNCTION("""COMPUTED_VALUE"""),3229.45)</f>
        <v>3229.45</v>
      </c>
      <c r="F14" s="6">
        <f>IFERROR(__xludf.DUMMYFUNCTION("""COMPUTED_VALUE"""),1057560.0)</f>
        <v>1057560</v>
      </c>
    </row>
    <row r="15">
      <c r="A15" s="7">
        <f>IFERROR(__xludf.DUMMYFUNCTION("""COMPUTED_VALUE"""),45261.64583333333)</f>
        <v>45261.64583</v>
      </c>
      <c r="B15" s="6">
        <f>IFERROR(__xludf.DUMMYFUNCTION("""COMPUTED_VALUE"""),3239.0)</f>
        <v>3239</v>
      </c>
      <c r="C15" s="6">
        <f>IFERROR(__xludf.DUMMYFUNCTION("""COMPUTED_VALUE"""),3253.4)</f>
        <v>3253.4</v>
      </c>
      <c r="D15" s="6">
        <f>IFERROR(__xludf.DUMMYFUNCTION("""COMPUTED_VALUE"""),3137.9)</f>
        <v>3137.9</v>
      </c>
      <c r="E15" s="6">
        <f>IFERROR(__xludf.DUMMYFUNCTION("""COMPUTED_VALUE"""),3205.2)</f>
        <v>3205.2</v>
      </c>
      <c r="F15" s="6">
        <f>IFERROR(__xludf.DUMMYFUNCTION("""COMPUTED_VALUE"""),2387675.0)</f>
        <v>2387675</v>
      </c>
    </row>
    <row r="16">
      <c r="A16" s="7">
        <f>IFERROR(__xludf.DUMMYFUNCTION("""COMPUTED_VALUE"""),45268.64583333333)</f>
        <v>45268.64583</v>
      </c>
      <c r="B16" s="6">
        <f>IFERROR(__xludf.DUMMYFUNCTION("""COMPUTED_VALUE"""),3250.0)</f>
        <v>3250</v>
      </c>
      <c r="C16" s="6">
        <f>IFERROR(__xludf.DUMMYFUNCTION("""COMPUTED_VALUE"""),3284.6)</f>
        <v>3284.6</v>
      </c>
      <c r="D16" s="6">
        <f>IFERROR(__xludf.DUMMYFUNCTION("""COMPUTED_VALUE"""),3110.65)</f>
        <v>3110.65</v>
      </c>
      <c r="E16" s="6">
        <f>IFERROR(__xludf.DUMMYFUNCTION("""COMPUTED_VALUE"""),3145.3)</f>
        <v>3145.3</v>
      </c>
      <c r="F16" s="6">
        <f>IFERROR(__xludf.DUMMYFUNCTION("""COMPUTED_VALUE"""),1756917.0)</f>
        <v>1756917</v>
      </c>
    </row>
    <row r="17">
      <c r="A17" s="7">
        <f>IFERROR(__xludf.DUMMYFUNCTION("""COMPUTED_VALUE"""),45275.64583333333)</f>
        <v>45275.64583</v>
      </c>
      <c r="B17" s="6">
        <f>IFERROR(__xludf.DUMMYFUNCTION("""COMPUTED_VALUE"""),3164.0)</f>
        <v>3164</v>
      </c>
      <c r="C17" s="6">
        <f>IFERROR(__xludf.DUMMYFUNCTION("""COMPUTED_VALUE"""),3206.65)</f>
        <v>3206.65</v>
      </c>
      <c r="D17" s="6">
        <f>IFERROR(__xludf.DUMMYFUNCTION("""COMPUTED_VALUE"""),3088.3)</f>
        <v>3088.3</v>
      </c>
      <c r="E17" s="6">
        <f>IFERROR(__xludf.DUMMYFUNCTION("""COMPUTED_VALUE"""),3130.2)</f>
        <v>3130.2</v>
      </c>
      <c r="F17" s="6">
        <f>IFERROR(__xludf.DUMMYFUNCTION("""COMPUTED_VALUE"""),1233772.0)</f>
        <v>1233772</v>
      </c>
    </row>
    <row r="18">
      <c r="A18" s="7">
        <f>IFERROR(__xludf.DUMMYFUNCTION("""COMPUTED_VALUE"""),45282.64583333333)</f>
        <v>45282.64583</v>
      </c>
      <c r="B18" s="6">
        <f>IFERROR(__xludf.DUMMYFUNCTION("""COMPUTED_VALUE"""),3130.2)</f>
        <v>3130.2</v>
      </c>
      <c r="C18" s="6">
        <f>IFERROR(__xludf.DUMMYFUNCTION("""COMPUTED_VALUE"""),3184.0)</f>
        <v>3184</v>
      </c>
      <c r="D18" s="6">
        <f>IFERROR(__xludf.DUMMYFUNCTION("""COMPUTED_VALUE"""),2924.5)</f>
        <v>2924.5</v>
      </c>
      <c r="E18" s="6">
        <f>IFERROR(__xludf.DUMMYFUNCTION("""COMPUTED_VALUE"""),2966.9)</f>
        <v>2966.9</v>
      </c>
      <c r="F18" s="6">
        <f>IFERROR(__xludf.DUMMYFUNCTION("""COMPUTED_VALUE"""),1669392.0)</f>
        <v>1669392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IFERROR(__xludf.DUMMYFUNCTION("""COMPUTED_VALUE"""),2988.0)</f>
        <v>2988</v>
      </c>
      <c r="C19" s="6">
        <f>IFERROR(__xludf.DUMMYFUNCTION("""COMPUTED_VALUE"""),3027.25)</f>
        <v>3027.25</v>
      </c>
      <c r="D19" s="6">
        <f>IFERROR(__xludf.DUMMYFUNCTION("""COMPUTED_VALUE"""),2931.0)</f>
        <v>2931</v>
      </c>
      <c r="E19" s="6">
        <f>IFERROR(__xludf.DUMMYFUNCTION("""COMPUTED_VALUE"""),2983.1)</f>
        <v>2983.1</v>
      </c>
      <c r="F19" s="6">
        <f>IFERROR(__xludf.DUMMYFUNCTION("""COMPUTED_VALUE"""),1256676.0)</f>
        <v>1256676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IFERROR(__xludf.DUMMYFUNCTION("""COMPUTED_VALUE"""),2996.0)</f>
        <v>2996</v>
      </c>
      <c r="C20" s="6">
        <f>IFERROR(__xludf.DUMMYFUNCTION("""COMPUTED_VALUE"""),3019.0)</f>
        <v>3019</v>
      </c>
      <c r="D20" s="6">
        <f>IFERROR(__xludf.DUMMYFUNCTION("""COMPUTED_VALUE"""),2794.95)</f>
        <v>2794.95</v>
      </c>
      <c r="E20" s="6">
        <f>IFERROR(__xludf.DUMMYFUNCTION("""COMPUTED_VALUE"""),2804.85)</f>
        <v>2804.85</v>
      </c>
      <c r="F20" s="6">
        <f>IFERROR(__xludf.DUMMYFUNCTION("""COMPUTED_VALUE"""),2400995.0)</f>
        <v>2400995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IFERROR(__xludf.DUMMYFUNCTION("""COMPUTED_VALUE"""),2805.0)</f>
        <v>2805</v>
      </c>
      <c r="C21" s="6">
        <f>IFERROR(__xludf.DUMMYFUNCTION("""COMPUTED_VALUE"""),2890.0)</f>
        <v>2890</v>
      </c>
      <c r="D21" s="6">
        <f>IFERROR(__xludf.DUMMYFUNCTION("""COMPUTED_VALUE"""),2790.0)</f>
        <v>2790</v>
      </c>
      <c r="E21" s="6">
        <f>IFERROR(__xludf.DUMMYFUNCTION("""COMPUTED_VALUE"""),2876.35)</f>
        <v>2876.35</v>
      </c>
      <c r="F21" s="6">
        <f>IFERROR(__xludf.DUMMYFUNCTION("""COMPUTED_VALUE"""),1515034.0)</f>
        <v>1515034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IFERROR(__xludf.DUMMYFUNCTION("""COMPUTED_VALUE"""),2939.95)</f>
        <v>2939.95</v>
      </c>
      <c r="C22" s="6">
        <f>IFERROR(__xludf.DUMMYFUNCTION("""COMPUTED_VALUE"""),2959.0)</f>
        <v>2959</v>
      </c>
      <c r="D22" s="6">
        <f>IFERROR(__xludf.DUMMYFUNCTION("""COMPUTED_VALUE"""),2820.0)</f>
        <v>2820</v>
      </c>
      <c r="E22" s="6">
        <f>IFERROR(__xludf.DUMMYFUNCTION("""COMPUTED_VALUE"""),2945.3)</f>
        <v>2945.3</v>
      </c>
      <c r="F22" s="6">
        <f>IFERROR(__xludf.DUMMYFUNCTION("""COMPUTED_VALUE"""),948428.0)</f>
        <v>948428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IFERROR(__xludf.DUMMYFUNCTION("""COMPUTED_VALUE"""),2950.0)</f>
        <v>2950</v>
      </c>
      <c r="C23" s="6">
        <f>IFERROR(__xludf.DUMMYFUNCTION("""COMPUTED_VALUE"""),3058.8)</f>
        <v>3058.8</v>
      </c>
      <c r="D23" s="6">
        <f>IFERROR(__xludf.DUMMYFUNCTION("""COMPUTED_VALUE"""),2875.0)</f>
        <v>2875</v>
      </c>
      <c r="E23" s="6">
        <f>IFERROR(__xludf.DUMMYFUNCTION("""COMPUTED_VALUE"""),2944.55)</f>
        <v>2944.55</v>
      </c>
      <c r="F23" s="6">
        <f>IFERROR(__xludf.DUMMYFUNCTION("""COMPUTED_VALUE"""),1513272.0)</f>
        <v>1513272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IFERROR(__xludf.DUMMYFUNCTION("""COMPUTED_VALUE"""),2964.4)</f>
        <v>2964.4</v>
      </c>
      <c r="C24" s="6">
        <f>IFERROR(__xludf.DUMMYFUNCTION("""COMPUTED_VALUE"""),2995.0)</f>
        <v>2995</v>
      </c>
      <c r="D24" s="6">
        <f>IFERROR(__xludf.DUMMYFUNCTION("""COMPUTED_VALUE"""),2648.4)</f>
        <v>2648.4</v>
      </c>
      <c r="E24" s="6">
        <f>IFERROR(__xludf.DUMMYFUNCTION("""COMPUTED_VALUE"""),2807.25)</f>
        <v>2807.25</v>
      </c>
      <c r="F24" s="6">
        <f>IFERROR(__xludf.DUMMYFUNCTION("""COMPUTED_VALUE"""),2845290.0)</f>
        <v>2845290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IFERROR(__xludf.DUMMYFUNCTION("""COMPUTED_VALUE"""),2807.2)</f>
        <v>2807.2</v>
      </c>
      <c r="C25" s="6">
        <f>IFERROR(__xludf.DUMMYFUNCTION("""COMPUTED_VALUE"""),2987.95)</f>
        <v>2987.95</v>
      </c>
      <c r="D25" s="6">
        <f>IFERROR(__xludf.DUMMYFUNCTION("""COMPUTED_VALUE"""),2747.0)</f>
        <v>2747</v>
      </c>
      <c r="E25" s="6">
        <f>IFERROR(__xludf.DUMMYFUNCTION("""COMPUTED_VALUE"""),2927.0)</f>
        <v>2927</v>
      </c>
      <c r="F25" s="6">
        <f>IFERROR(__xludf.DUMMYFUNCTION("""COMPUTED_VALUE"""),2188069.0)</f>
        <v>2188069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IFERROR(__xludf.DUMMYFUNCTION("""COMPUTED_VALUE"""),2953.95)</f>
        <v>2953.95</v>
      </c>
      <c r="C26" s="6">
        <f>IFERROR(__xludf.DUMMYFUNCTION("""COMPUTED_VALUE"""),2977.7)</f>
        <v>2977.7</v>
      </c>
      <c r="D26" s="6">
        <f>IFERROR(__xludf.DUMMYFUNCTION("""COMPUTED_VALUE"""),2887.0)</f>
        <v>2887</v>
      </c>
      <c r="E26" s="6">
        <f>IFERROR(__xludf.DUMMYFUNCTION("""COMPUTED_VALUE"""),2911.0)</f>
        <v>2911</v>
      </c>
      <c r="F26" s="6">
        <f>IFERROR(__xludf.DUMMYFUNCTION("""COMPUTED_VALUE"""),675306.0)</f>
        <v>675306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IFERROR(__xludf.DUMMYFUNCTION("""COMPUTED_VALUE"""),2895.0)</f>
        <v>2895</v>
      </c>
      <c r="C27" s="6">
        <f>IFERROR(__xludf.DUMMYFUNCTION("""COMPUTED_VALUE"""),2966.35)</f>
        <v>2966.35</v>
      </c>
      <c r="D27" s="6">
        <f>IFERROR(__xludf.DUMMYFUNCTION("""COMPUTED_VALUE"""),2802.2)</f>
        <v>2802.2</v>
      </c>
      <c r="E27" s="6">
        <f>IFERROR(__xludf.DUMMYFUNCTION("""COMPUTED_VALUE"""),2849.9)</f>
        <v>2849.9</v>
      </c>
      <c r="F27" s="6">
        <f>IFERROR(__xludf.DUMMYFUNCTION("""COMPUTED_VALUE"""),873391.0)</f>
        <v>873391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IFERROR(__xludf.DUMMYFUNCTION("""COMPUTED_VALUE"""),2868.0)</f>
        <v>2868</v>
      </c>
      <c r="C28" s="6">
        <f>IFERROR(__xludf.DUMMYFUNCTION("""COMPUTED_VALUE"""),2873.55)</f>
        <v>2873.55</v>
      </c>
      <c r="D28" s="6">
        <f>IFERROR(__xludf.DUMMYFUNCTION("""COMPUTED_VALUE"""),2682.5)</f>
        <v>2682.5</v>
      </c>
      <c r="E28" s="6">
        <f>IFERROR(__xludf.DUMMYFUNCTION("""COMPUTED_VALUE"""),2702.55)</f>
        <v>2702.55</v>
      </c>
      <c r="F28" s="6">
        <f>IFERROR(__xludf.DUMMYFUNCTION("""COMPUTED_VALUE"""),813836.0)</f>
        <v>813836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IFERROR(__xludf.DUMMYFUNCTION("""COMPUTED_VALUE"""),2722.95)</f>
        <v>2722.95</v>
      </c>
      <c r="C29" s="6">
        <f>IFERROR(__xludf.DUMMYFUNCTION("""COMPUTED_VALUE"""),2776.5)</f>
        <v>2776.5</v>
      </c>
      <c r="D29" s="6">
        <f>IFERROR(__xludf.DUMMYFUNCTION("""COMPUTED_VALUE"""),2670.55)</f>
        <v>2670.55</v>
      </c>
      <c r="E29" s="6">
        <f>IFERROR(__xludf.DUMMYFUNCTION("""COMPUTED_VALUE"""),2750.65)</f>
        <v>2750.65</v>
      </c>
      <c r="F29" s="6">
        <f>IFERROR(__xludf.DUMMYFUNCTION("""COMPUTED_VALUE"""),758730.0)</f>
        <v>758730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IFERROR(__xludf.DUMMYFUNCTION("""COMPUTED_VALUE"""),2750.0)</f>
        <v>2750</v>
      </c>
      <c r="C30" s="6">
        <f>IFERROR(__xludf.DUMMYFUNCTION("""COMPUTED_VALUE"""),2829.55)</f>
        <v>2829.55</v>
      </c>
      <c r="D30" s="6">
        <f>IFERROR(__xludf.DUMMYFUNCTION("""COMPUTED_VALUE"""),2743.3)</f>
        <v>2743.3</v>
      </c>
      <c r="E30" s="6">
        <f>IFERROR(__xludf.DUMMYFUNCTION("""COMPUTED_VALUE"""),2777.3)</f>
        <v>2777.3</v>
      </c>
      <c r="F30" s="6">
        <f>IFERROR(__xludf.DUMMYFUNCTION("""COMPUTED_VALUE"""),577365.0)</f>
        <v>577365</v>
      </c>
    </row>
    <row r="31">
      <c r="A31" s="7">
        <f>IFERROR(__xludf.DUMMYFUNCTION("""COMPUTED_VALUE"""),45387.64583333333)</f>
        <v>45387.64583</v>
      </c>
      <c r="B31" s="6">
        <f>IFERROR(__xludf.DUMMYFUNCTION("""COMPUTED_VALUE"""),2779.0)</f>
        <v>2779</v>
      </c>
      <c r="C31" s="6">
        <f>IFERROR(__xludf.DUMMYFUNCTION("""COMPUTED_VALUE"""),3039.55)</f>
        <v>3039.55</v>
      </c>
      <c r="D31" s="6">
        <f>IFERROR(__xludf.DUMMYFUNCTION("""COMPUTED_VALUE"""),2768.3)</f>
        <v>2768.3</v>
      </c>
      <c r="E31" s="6">
        <f>IFERROR(__xludf.DUMMYFUNCTION("""COMPUTED_VALUE"""),2998.35)</f>
        <v>2998.35</v>
      </c>
      <c r="F31" s="6">
        <f>IFERROR(__xludf.DUMMYFUNCTION("""COMPUTED_VALUE"""),1529481.0)</f>
        <v>1529481</v>
      </c>
    </row>
    <row r="32">
      <c r="A32" s="7">
        <f>IFERROR(__xludf.DUMMYFUNCTION("""COMPUTED_VALUE"""),45394.64583333333)</f>
        <v>45394.64583</v>
      </c>
      <c r="B32" s="6">
        <f>IFERROR(__xludf.DUMMYFUNCTION("""COMPUTED_VALUE"""),3000.6)</f>
        <v>3000.6</v>
      </c>
      <c r="C32" s="6">
        <f>IFERROR(__xludf.DUMMYFUNCTION("""COMPUTED_VALUE"""),3099.0)</f>
        <v>3099</v>
      </c>
      <c r="D32" s="6">
        <f>IFERROR(__xludf.DUMMYFUNCTION("""COMPUTED_VALUE"""),2950.05)</f>
        <v>2950.05</v>
      </c>
      <c r="E32" s="6">
        <f>IFERROR(__xludf.DUMMYFUNCTION("""COMPUTED_VALUE"""),3023.95)</f>
        <v>3023.95</v>
      </c>
      <c r="F32" s="6">
        <f>IFERROR(__xludf.DUMMYFUNCTION("""COMPUTED_VALUE"""),969745.0)</f>
        <v>969745</v>
      </c>
    </row>
    <row r="33">
      <c r="A33" s="7">
        <f>IFERROR(__xludf.DUMMYFUNCTION("""COMPUTED_VALUE"""),45401.64583333333)</f>
        <v>45401.64583</v>
      </c>
      <c r="B33" s="6">
        <f>IFERROR(__xludf.DUMMYFUNCTION("""COMPUTED_VALUE"""),3000.0)</f>
        <v>3000</v>
      </c>
      <c r="C33" s="6">
        <f>IFERROR(__xludf.DUMMYFUNCTION("""COMPUTED_VALUE"""),3142.9)</f>
        <v>3142.9</v>
      </c>
      <c r="D33" s="6">
        <f>IFERROR(__xludf.DUMMYFUNCTION("""COMPUTED_VALUE"""),2922.45)</f>
        <v>2922.45</v>
      </c>
      <c r="E33" s="6">
        <f>IFERROR(__xludf.DUMMYFUNCTION("""COMPUTED_VALUE"""),3106.7)</f>
        <v>3106.7</v>
      </c>
      <c r="F33" s="6">
        <f>IFERROR(__xludf.DUMMYFUNCTION("""COMPUTED_VALUE"""),2235059.0)</f>
        <v>2235059</v>
      </c>
    </row>
    <row r="34">
      <c r="A34" s="7">
        <f>IFERROR(__xludf.DUMMYFUNCTION("""COMPUTED_VALUE"""),45408.64583333333)</f>
        <v>45408.64583</v>
      </c>
      <c r="B34" s="6">
        <f>IFERROR(__xludf.DUMMYFUNCTION("""COMPUTED_VALUE"""),3115.05)</f>
        <v>3115.05</v>
      </c>
      <c r="C34" s="6">
        <f>IFERROR(__xludf.DUMMYFUNCTION("""COMPUTED_VALUE"""),3307.3)</f>
        <v>3307.3</v>
      </c>
      <c r="D34" s="6">
        <f>IFERROR(__xludf.DUMMYFUNCTION("""COMPUTED_VALUE"""),3115.05)</f>
        <v>3115.05</v>
      </c>
      <c r="E34" s="6">
        <f>IFERROR(__xludf.DUMMYFUNCTION("""COMPUTED_VALUE"""),3291.7)</f>
        <v>3291.7</v>
      </c>
      <c r="F34" s="6">
        <f>IFERROR(__xludf.DUMMYFUNCTION("""COMPUTED_VALUE"""),1446906.0)</f>
        <v>1446906</v>
      </c>
    </row>
    <row r="35">
      <c r="A35" s="7">
        <f>IFERROR(__xludf.DUMMYFUNCTION("""COMPUTED_VALUE"""),45415.64583333333)</f>
        <v>45415.64583</v>
      </c>
      <c r="B35" s="6">
        <f>IFERROR(__xludf.DUMMYFUNCTION("""COMPUTED_VALUE"""),3317.8)</f>
        <v>3317.8</v>
      </c>
      <c r="C35" s="6">
        <f>IFERROR(__xludf.DUMMYFUNCTION("""COMPUTED_VALUE"""),3503.35)</f>
        <v>3503.35</v>
      </c>
      <c r="D35" s="6">
        <f>IFERROR(__xludf.DUMMYFUNCTION("""COMPUTED_VALUE"""),3271.0)</f>
        <v>3271</v>
      </c>
      <c r="E35" s="6">
        <f>IFERROR(__xludf.DUMMYFUNCTION("""COMPUTED_VALUE"""),3484.55)</f>
        <v>3484.55</v>
      </c>
      <c r="F35" s="6">
        <f>IFERROR(__xludf.DUMMYFUNCTION("""COMPUTED_VALUE"""),1684495.0)</f>
        <v>1684495</v>
      </c>
    </row>
    <row r="36">
      <c r="A36" s="7">
        <f>IFERROR(__xludf.DUMMYFUNCTION("""COMPUTED_VALUE"""),45422.64583333333)</f>
        <v>45422.64583</v>
      </c>
      <c r="B36" s="6">
        <f>IFERROR(__xludf.DUMMYFUNCTION("""COMPUTED_VALUE"""),3491.0)</f>
        <v>3491</v>
      </c>
      <c r="C36" s="6">
        <f>IFERROR(__xludf.DUMMYFUNCTION("""COMPUTED_VALUE"""),3582.0)</f>
        <v>3582</v>
      </c>
      <c r="D36" s="6">
        <f>IFERROR(__xludf.DUMMYFUNCTION("""COMPUTED_VALUE"""),3407.55)</f>
        <v>3407.55</v>
      </c>
      <c r="E36" s="6">
        <f>IFERROR(__xludf.DUMMYFUNCTION("""COMPUTED_VALUE"""),3553.3)</f>
        <v>3553.3</v>
      </c>
      <c r="F36" s="6">
        <f>IFERROR(__xludf.DUMMYFUNCTION("""COMPUTED_VALUE"""),2229474.0)</f>
        <v>2229474</v>
      </c>
    </row>
    <row r="37">
      <c r="A37" s="7">
        <f>IFERROR(__xludf.DUMMYFUNCTION("""COMPUTED_VALUE"""),45436.64583333333)</f>
        <v>45436.64583</v>
      </c>
      <c r="B37" s="6">
        <f>IFERROR(__xludf.DUMMYFUNCTION("""COMPUTED_VALUE"""),3909.7)</f>
        <v>3909.7</v>
      </c>
      <c r="C37" s="6">
        <f>IFERROR(__xludf.DUMMYFUNCTION("""COMPUTED_VALUE"""),3942.25)</f>
        <v>3942.25</v>
      </c>
      <c r="D37" s="6">
        <f>IFERROR(__xludf.DUMMYFUNCTION("""COMPUTED_VALUE"""),3768.05)</f>
        <v>3768.05</v>
      </c>
      <c r="E37" s="6">
        <f>IFERROR(__xludf.DUMMYFUNCTION("""COMPUTED_VALUE"""),3813.15)</f>
        <v>3813.15</v>
      </c>
      <c r="F37" s="6">
        <f>IFERROR(__xludf.DUMMYFUNCTION("""COMPUTED_VALUE"""),956379.0)</f>
        <v>956379</v>
      </c>
    </row>
    <row r="38">
      <c r="A38" s="7">
        <f>IFERROR(__xludf.DUMMYFUNCTION("""COMPUTED_VALUE"""),45443.64583333333)</f>
        <v>45443.64583</v>
      </c>
      <c r="B38" s="6">
        <f>IFERROR(__xludf.DUMMYFUNCTION("""COMPUTED_VALUE"""),3813.15)</f>
        <v>3813.15</v>
      </c>
      <c r="C38" s="6">
        <f>IFERROR(__xludf.DUMMYFUNCTION("""COMPUTED_VALUE"""),3928.9)</f>
        <v>3928.9</v>
      </c>
      <c r="D38" s="6">
        <f>IFERROR(__xludf.DUMMYFUNCTION("""COMPUTED_VALUE"""),3602.0)</f>
        <v>3602</v>
      </c>
      <c r="E38" s="6">
        <f>IFERROR(__xludf.DUMMYFUNCTION("""COMPUTED_VALUE"""),3818.3)</f>
        <v>3818.3</v>
      </c>
      <c r="F38" s="6">
        <f>IFERROR(__xludf.DUMMYFUNCTION("""COMPUTED_VALUE"""),1188012.0)</f>
        <v>1188012</v>
      </c>
    </row>
    <row r="39">
      <c r="A39" s="7">
        <f>IFERROR(__xludf.DUMMYFUNCTION("""COMPUTED_VALUE"""),45450.64583333333)</f>
        <v>45450.64583</v>
      </c>
      <c r="B39" s="6">
        <f>IFERROR(__xludf.DUMMYFUNCTION("""COMPUTED_VALUE"""),3845.0)</f>
        <v>3845</v>
      </c>
      <c r="C39" s="6">
        <f>IFERROR(__xludf.DUMMYFUNCTION("""COMPUTED_VALUE"""),4050.0)</f>
        <v>4050</v>
      </c>
      <c r="D39" s="6">
        <f>IFERROR(__xludf.DUMMYFUNCTION("""COMPUTED_VALUE"""),3556.45)</f>
        <v>3556.45</v>
      </c>
      <c r="E39" s="6">
        <f>IFERROR(__xludf.DUMMYFUNCTION("""COMPUTED_VALUE"""),3988.15)</f>
        <v>3988.15</v>
      </c>
      <c r="F39" s="6">
        <f>IFERROR(__xludf.DUMMYFUNCTION("""COMPUTED_VALUE"""),1652033.0)</f>
        <v>1652033</v>
      </c>
    </row>
    <row r="40">
      <c r="A40" s="7">
        <f>IFERROR(__xludf.DUMMYFUNCTION("""COMPUTED_VALUE"""),45457.64583333333)</f>
        <v>45457.64583</v>
      </c>
      <c r="B40" s="6">
        <f>IFERROR(__xludf.DUMMYFUNCTION("""COMPUTED_VALUE"""),3999.9)</f>
        <v>3999.9</v>
      </c>
      <c r="C40" s="6">
        <f>IFERROR(__xludf.DUMMYFUNCTION("""COMPUTED_VALUE"""),4309.95)</f>
        <v>4309.95</v>
      </c>
      <c r="D40" s="6">
        <f>IFERROR(__xludf.DUMMYFUNCTION("""COMPUTED_VALUE"""),3966.0)</f>
        <v>3966</v>
      </c>
      <c r="E40" s="6">
        <f>IFERROR(__xludf.DUMMYFUNCTION("""COMPUTED_VALUE"""),4292.1)</f>
        <v>4292.1</v>
      </c>
      <c r="F40" s="6">
        <f>IFERROR(__xludf.DUMMYFUNCTION("""COMPUTED_VALUE"""),1479906.0)</f>
        <v>1479906</v>
      </c>
    </row>
    <row r="41">
      <c r="A41" s="7">
        <f>IFERROR(__xludf.DUMMYFUNCTION("""COMPUTED_VALUE"""),45464.64583333333)</f>
        <v>45464.64583</v>
      </c>
      <c r="B41" s="6">
        <f>IFERROR(__xludf.DUMMYFUNCTION("""COMPUTED_VALUE"""),4292.1)</f>
        <v>4292.1</v>
      </c>
      <c r="C41" s="6">
        <f>IFERROR(__xludf.DUMMYFUNCTION("""COMPUTED_VALUE"""),4409.55)</f>
        <v>4409.55</v>
      </c>
      <c r="D41" s="6">
        <f>IFERROR(__xludf.DUMMYFUNCTION("""COMPUTED_VALUE"""),4180.0)</f>
        <v>4180</v>
      </c>
      <c r="E41" s="6">
        <f>IFERROR(__xludf.DUMMYFUNCTION("""COMPUTED_VALUE"""),4334.5)</f>
        <v>4334.5</v>
      </c>
      <c r="F41" s="6">
        <f>IFERROR(__xludf.DUMMYFUNCTION("""COMPUTED_VALUE"""),1153598.0)</f>
        <v>1153598</v>
      </c>
    </row>
    <row r="42">
      <c r="A42" s="7">
        <f>IFERROR(__xludf.DUMMYFUNCTION("""COMPUTED_VALUE"""),45471.64583333333)</f>
        <v>45471.64583</v>
      </c>
      <c r="B42" s="6">
        <f>IFERROR(__xludf.DUMMYFUNCTION("""COMPUTED_VALUE"""),4332.5)</f>
        <v>4332.5</v>
      </c>
      <c r="C42" s="6">
        <f>IFERROR(__xludf.DUMMYFUNCTION("""COMPUTED_VALUE"""),4356.5)</f>
        <v>4356.5</v>
      </c>
      <c r="D42" s="6">
        <f>IFERROR(__xludf.DUMMYFUNCTION("""COMPUTED_VALUE"""),4129.75)</f>
        <v>4129.75</v>
      </c>
      <c r="E42" s="6">
        <f>IFERROR(__xludf.DUMMYFUNCTION("""COMPUTED_VALUE"""),4146.5)</f>
        <v>4146.5</v>
      </c>
      <c r="F42" s="6">
        <f>IFERROR(__xludf.DUMMYFUNCTION("""COMPUTED_VALUE"""),1209753.0)</f>
        <v>1209753</v>
      </c>
    </row>
    <row r="43">
      <c r="A43" s="7">
        <f>IFERROR(__xludf.DUMMYFUNCTION("""COMPUTED_VALUE"""),45478.64583333333)</f>
        <v>45478.64583</v>
      </c>
      <c r="B43" s="6">
        <f>IFERROR(__xludf.DUMMYFUNCTION("""COMPUTED_VALUE"""),4131.0)</f>
        <v>4131</v>
      </c>
      <c r="C43" s="6">
        <f>IFERROR(__xludf.DUMMYFUNCTION("""COMPUTED_VALUE"""),4223.0)</f>
        <v>4223</v>
      </c>
      <c r="D43" s="6">
        <f>IFERROR(__xludf.DUMMYFUNCTION("""COMPUTED_VALUE"""),4087.6)</f>
        <v>4087.6</v>
      </c>
      <c r="E43" s="6">
        <f>IFERROR(__xludf.DUMMYFUNCTION("""COMPUTED_VALUE"""),4130.75)</f>
        <v>4130.75</v>
      </c>
      <c r="F43" s="6">
        <f>IFERROR(__xludf.DUMMYFUNCTION("""COMPUTED_VALUE"""),911235.0)</f>
        <v>911235</v>
      </c>
    </row>
    <row r="44">
      <c r="A44" s="7">
        <f>IFERROR(__xludf.DUMMYFUNCTION("""COMPUTED_VALUE"""),45485.64583333333)</f>
        <v>45485.64583</v>
      </c>
      <c r="B44" s="6">
        <f>IFERROR(__xludf.DUMMYFUNCTION("""COMPUTED_VALUE"""),4141.4)</f>
        <v>4141.4</v>
      </c>
      <c r="C44" s="6">
        <f>IFERROR(__xludf.DUMMYFUNCTION("""COMPUTED_VALUE"""),4191.75)</f>
        <v>4191.75</v>
      </c>
      <c r="D44" s="6">
        <f>IFERROR(__xludf.DUMMYFUNCTION("""COMPUTED_VALUE"""),3902.7)</f>
        <v>3902.7</v>
      </c>
      <c r="E44" s="6">
        <f>IFERROR(__xludf.DUMMYFUNCTION("""COMPUTED_VALUE"""),3915.6)</f>
        <v>3915.6</v>
      </c>
      <c r="F44" s="6">
        <f>IFERROR(__xludf.DUMMYFUNCTION("""COMPUTED_VALUE"""),809431.0)</f>
        <v>809431</v>
      </c>
    </row>
    <row r="45">
      <c r="A45" s="7">
        <f>IFERROR(__xludf.DUMMYFUNCTION("""COMPUTED_VALUE"""),45492.64583333333)</f>
        <v>45492.64583</v>
      </c>
      <c r="B45" s="6">
        <f>IFERROR(__xludf.DUMMYFUNCTION("""COMPUTED_VALUE"""),3915.0)</f>
        <v>3915</v>
      </c>
      <c r="C45" s="6">
        <f>IFERROR(__xludf.DUMMYFUNCTION("""COMPUTED_VALUE"""),4081.9)</f>
        <v>4081.9</v>
      </c>
      <c r="D45" s="6">
        <f>IFERROR(__xludf.DUMMYFUNCTION("""COMPUTED_VALUE"""),3880.0)</f>
        <v>3880</v>
      </c>
      <c r="E45" s="6">
        <f>IFERROR(__xludf.DUMMYFUNCTION("""COMPUTED_VALUE"""),3922.3)</f>
        <v>3922.3</v>
      </c>
      <c r="F45" s="6">
        <f>IFERROR(__xludf.DUMMYFUNCTION("""COMPUTED_VALUE"""),2311496.0)</f>
        <v>2311496</v>
      </c>
    </row>
    <row r="46">
      <c r="A46" s="7">
        <f>IFERROR(__xludf.DUMMYFUNCTION("""COMPUTED_VALUE"""),45499.64583333333)</f>
        <v>45499.64583</v>
      </c>
      <c r="B46" s="6">
        <f>IFERROR(__xludf.DUMMYFUNCTION("""COMPUTED_VALUE"""),3921.95)</f>
        <v>3921.95</v>
      </c>
      <c r="C46" s="6">
        <f>IFERROR(__xludf.DUMMYFUNCTION("""COMPUTED_VALUE"""),4161.2)</f>
        <v>4161.2</v>
      </c>
      <c r="D46" s="6">
        <f>IFERROR(__xludf.DUMMYFUNCTION("""COMPUTED_VALUE"""),3845.3)</f>
        <v>3845.3</v>
      </c>
      <c r="E46" s="6">
        <f>IFERROR(__xludf.DUMMYFUNCTION("""COMPUTED_VALUE"""),4145.55)</f>
        <v>4145.55</v>
      </c>
      <c r="F46" s="6">
        <f>IFERROR(__xludf.DUMMYFUNCTION("""COMPUTED_VALUE"""),1171430.0)</f>
        <v>1171430</v>
      </c>
    </row>
    <row r="47">
      <c r="A47" s="7">
        <f>IFERROR(__xludf.DUMMYFUNCTION("""COMPUTED_VALUE"""),45506.64583333333)</f>
        <v>45506.64583</v>
      </c>
      <c r="B47" s="6">
        <f>IFERROR(__xludf.DUMMYFUNCTION("""COMPUTED_VALUE"""),4185.95)</f>
        <v>4185.95</v>
      </c>
      <c r="C47" s="6">
        <f>IFERROR(__xludf.DUMMYFUNCTION("""COMPUTED_VALUE"""),4234.45)</f>
        <v>4234.45</v>
      </c>
      <c r="D47" s="6">
        <f>IFERROR(__xludf.DUMMYFUNCTION("""COMPUTED_VALUE"""),3890.0)</f>
        <v>3890</v>
      </c>
      <c r="E47" s="6">
        <f>IFERROR(__xludf.DUMMYFUNCTION("""COMPUTED_VALUE"""),3905.2)</f>
        <v>3905.2</v>
      </c>
      <c r="F47" s="6">
        <f>IFERROR(__xludf.DUMMYFUNCTION("""COMPUTED_VALUE"""),1895689.0)</f>
        <v>1895689</v>
      </c>
    </row>
    <row r="48">
      <c r="A48" s="7">
        <f>IFERROR(__xludf.DUMMYFUNCTION("""COMPUTED_VALUE"""),45513.64583333333)</f>
        <v>45513.64583</v>
      </c>
      <c r="B48" s="6">
        <f>IFERROR(__xludf.DUMMYFUNCTION("""COMPUTED_VALUE"""),3820.05)</f>
        <v>3820.05</v>
      </c>
      <c r="C48" s="6">
        <f>IFERROR(__xludf.DUMMYFUNCTION("""COMPUTED_VALUE"""),3907.45)</f>
        <v>3907.45</v>
      </c>
      <c r="D48" s="6">
        <f>IFERROR(__xludf.DUMMYFUNCTION("""COMPUTED_VALUE"""),3670.0)</f>
        <v>3670</v>
      </c>
      <c r="E48" s="6">
        <f>IFERROR(__xludf.DUMMYFUNCTION("""COMPUTED_VALUE"""),3687.8)</f>
        <v>3687.8</v>
      </c>
      <c r="F48" s="6">
        <f>IFERROR(__xludf.DUMMYFUNCTION("""COMPUTED_VALUE"""),1714801.0)</f>
        <v>1714801</v>
      </c>
    </row>
    <row r="49">
      <c r="A49" s="7">
        <f>IFERROR(__xludf.DUMMYFUNCTION("""COMPUTED_VALUE"""),45520.64583333333)</f>
        <v>45520.64583</v>
      </c>
      <c r="B49" s="6">
        <f>IFERROR(__xludf.DUMMYFUNCTION("""COMPUTED_VALUE"""),3685.0)</f>
        <v>3685</v>
      </c>
      <c r="C49" s="6">
        <f>IFERROR(__xludf.DUMMYFUNCTION("""COMPUTED_VALUE"""),3768.5)</f>
        <v>3768.5</v>
      </c>
      <c r="D49" s="6">
        <f>IFERROR(__xludf.DUMMYFUNCTION("""COMPUTED_VALUE"""),3637.0)</f>
        <v>3637</v>
      </c>
      <c r="E49" s="6">
        <f>IFERROR(__xludf.DUMMYFUNCTION("""COMPUTED_VALUE"""),3732.0)</f>
        <v>3732</v>
      </c>
      <c r="F49" s="6">
        <f>IFERROR(__xludf.DUMMYFUNCTION("""COMPUTED_VALUE"""),651127.0)</f>
        <v>651127</v>
      </c>
    </row>
    <row r="50">
      <c r="A50" s="7">
        <f>IFERROR(__xludf.DUMMYFUNCTION("""COMPUTED_VALUE"""),45527.64583333333)</f>
        <v>45527.64583</v>
      </c>
      <c r="B50" s="6">
        <f>IFERROR(__xludf.DUMMYFUNCTION("""COMPUTED_VALUE"""),3780.0)</f>
        <v>3780</v>
      </c>
      <c r="C50" s="6">
        <f>IFERROR(__xludf.DUMMYFUNCTION("""COMPUTED_VALUE"""),3903.0)</f>
        <v>3903</v>
      </c>
      <c r="D50" s="6">
        <f>IFERROR(__xludf.DUMMYFUNCTION("""COMPUTED_VALUE"""),3708.05)</f>
        <v>3708.05</v>
      </c>
      <c r="E50" s="6">
        <f>IFERROR(__xludf.DUMMYFUNCTION("""COMPUTED_VALUE"""),3875.95)</f>
        <v>3875.95</v>
      </c>
      <c r="F50" s="6">
        <f>IFERROR(__xludf.DUMMYFUNCTION("""COMPUTED_VALUE"""),912838.0)</f>
        <v>912838</v>
      </c>
    </row>
    <row r="51">
      <c r="A51" s="7">
        <f>IFERROR(__xludf.DUMMYFUNCTION("""COMPUTED_VALUE"""),45534.64583333333)</f>
        <v>45534.64583</v>
      </c>
      <c r="B51" s="6">
        <f>IFERROR(__xludf.DUMMYFUNCTION("""COMPUTED_VALUE"""),3900.2)</f>
        <v>3900.2</v>
      </c>
      <c r="C51" s="6">
        <f>IFERROR(__xludf.DUMMYFUNCTION("""COMPUTED_VALUE"""),3917.5)</f>
        <v>3917.5</v>
      </c>
      <c r="D51" s="6">
        <f>IFERROR(__xludf.DUMMYFUNCTION("""COMPUTED_VALUE"""),3775.0)</f>
        <v>3775</v>
      </c>
      <c r="E51" s="6">
        <f>IFERROR(__xludf.DUMMYFUNCTION("""COMPUTED_VALUE"""),3853.9)</f>
        <v>3853.9</v>
      </c>
      <c r="F51" s="6">
        <f>IFERROR(__xludf.DUMMYFUNCTION("""COMPUTED_VALUE"""),597956.0)</f>
        <v>597956</v>
      </c>
    </row>
    <row r="52">
      <c r="A52" s="7">
        <f>IFERROR(__xludf.DUMMYFUNCTION("""COMPUTED_VALUE"""),45541.64583333333)</f>
        <v>45541.64583</v>
      </c>
      <c r="B52" s="6">
        <f>IFERROR(__xludf.DUMMYFUNCTION("""COMPUTED_VALUE"""),3860.0)</f>
        <v>3860</v>
      </c>
      <c r="C52" s="6">
        <f>IFERROR(__xludf.DUMMYFUNCTION("""COMPUTED_VALUE"""),3860.0)</f>
        <v>3860</v>
      </c>
      <c r="D52" s="6">
        <f>IFERROR(__xludf.DUMMYFUNCTION("""COMPUTED_VALUE"""),3675.0)</f>
        <v>3675</v>
      </c>
      <c r="E52" s="6">
        <f>IFERROR(__xludf.DUMMYFUNCTION("""COMPUTED_VALUE"""),3687.0)</f>
        <v>3687</v>
      </c>
      <c r="F52" s="6">
        <f>IFERROR(__xludf.DUMMYFUNCTION("""COMPUTED_VALUE"""),415532.0)</f>
        <v>415532</v>
      </c>
    </row>
    <row r="53">
      <c r="A53" s="7">
        <f>IFERROR(__xludf.DUMMYFUNCTION("""COMPUTED_VALUE"""),45548.64583333333)</f>
        <v>45548.64583</v>
      </c>
      <c r="B53" s="6">
        <f>IFERROR(__xludf.DUMMYFUNCTION("""COMPUTED_VALUE"""),3684.0)</f>
        <v>3684</v>
      </c>
      <c r="C53" s="6">
        <f>IFERROR(__xludf.DUMMYFUNCTION("""COMPUTED_VALUE"""),3836.65)</f>
        <v>3836.65</v>
      </c>
      <c r="D53" s="6">
        <f>IFERROR(__xludf.DUMMYFUNCTION("""COMPUTED_VALUE"""),3621.0)</f>
        <v>3621</v>
      </c>
      <c r="E53" s="6">
        <f>IFERROR(__xludf.DUMMYFUNCTION("""COMPUTED_VALUE"""),3812.55)</f>
        <v>3812.55</v>
      </c>
      <c r="F53" s="6">
        <f>IFERROR(__xludf.DUMMYFUNCTION("""COMPUTED_VALUE"""),800118.0)</f>
        <v>800118</v>
      </c>
    </row>
    <row r="54">
      <c r="A54" s="7">
        <f>IFERROR(__xludf.DUMMYFUNCTION("""COMPUTED_VALUE"""),45555.64583333333)</f>
        <v>45555.64583</v>
      </c>
      <c r="B54" s="6">
        <f>IFERROR(__xludf.DUMMYFUNCTION("""COMPUTED_VALUE"""),3815.6)</f>
        <v>3815.6</v>
      </c>
      <c r="C54" s="6">
        <f>IFERROR(__xludf.DUMMYFUNCTION("""COMPUTED_VALUE"""),4097.4)</f>
        <v>4097.4</v>
      </c>
      <c r="D54" s="6">
        <f>IFERROR(__xludf.DUMMYFUNCTION("""COMPUTED_VALUE"""),3760.0)</f>
        <v>3760</v>
      </c>
      <c r="E54" s="6">
        <f>IFERROR(__xludf.DUMMYFUNCTION("""COMPUTED_VALUE"""),4079.25)</f>
        <v>4079.25</v>
      </c>
      <c r="F54" s="6">
        <f>IFERROR(__xludf.DUMMYFUNCTION("""COMPUTED_VALUE"""),2795318.0)</f>
        <v>2795318</v>
      </c>
    </row>
    <row r="55">
      <c r="A55" s="7">
        <f>IFERROR(__xludf.DUMMYFUNCTION("""COMPUTED_VALUE"""),45562.64583333333)</f>
        <v>45562.64583</v>
      </c>
      <c r="B55" s="6">
        <f>IFERROR(__xludf.DUMMYFUNCTION("""COMPUTED_VALUE"""),4105.95)</f>
        <v>4105.95</v>
      </c>
      <c r="C55" s="6">
        <f>IFERROR(__xludf.DUMMYFUNCTION("""COMPUTED_VALUE"""),4420.0)</f>
        <v>4420</v>
      </c>
      <c r="D55" s="6">
        <f>IFERROR(__xludf.DUMMYFUNCTION("""COMPUTED_VALUE"""),4079.25)</f>
        <v>4079.25</v>
      </c>
      <c r="E55" s="6">
        <f>IFERROR(__xludf.DUMMYFUNCTION("""COMPUTED_VALUE"""),4328.0)</f>
        <v>4328</v>
      </c>
      <c r="F55" s="6">
        <f>IFERROR(__xludf.DUMMYFUNCTION("""COMPUTED_VALUE"""),2341166.0)</f>
        <v>2341166</v>
      </c>
    </row>
    <row r="56">
      <c r="A56" s="7">
        <f>IFERROR(__xludf.DUMMYFUNCTION("""COMPUTED_VALUE"""),45569.64583333333)</f>
        <v>45569.64583</v>
      </c>
      <c r="B56" s="6">
        <f>IFERROR(__xludf.DUMMYFUNCTION("""COMPUTED_VALUE"""),4328.0)</f>
        <v>4328</v>
      </c>
      <c r="C56" s="6">
        <f>IFERROR(__xludf.DUMMYFUNCTION("""COMPUTED_VALUE"""),4348.9)</f>
        <v>4348.9</v>
      </c>
      <c r="D56" s="6">
        <f>IFERROR(__xludf.DUMMYFUNCTION("""COMPUTED_VALUE"""),4001.25)</f>
        <v>4001.25</v>
      </c>
      <c r="E56" s="6">
        <f>IFERROR(__xludf.DUMMYFUNCTION("""COMPUTED_VALUE"""),4015.65)</f>
        <v>4015.65</v>
      </c>
      <c r="F56" s="6">
        <f>IFERROR(__xludf.DUMMYFUNCTION("""COMPUTED_VALUE"""),814921.0)</f>
        <v>814921</v>
      </c>
    </row>
    <row r="57">
      <c r="A57" s="7">
        <f>IFERROR(__xludf.DUMMYFUNCTION("""COMPUTED_VALUE"""),45576.64583333333)</f>
        <v>45576.64583</v>
      </c>
      <c r="B57" s="6">
        <f>IFERROR(__xludf.DUMMYFUNCTION("""COMPUTED_VALUE"""),4024.9)</f>
        <v>4024.9</v>
      </c>
      <c r="C57" s="6">
        <f>IFERROR(__xludf.DUMMYFUNCTION("""COMPUTED_VALUE"""),4084.15)</f>
        <v>4084.15</v>
      </c>
      <c r="D57" s="6">
        <f>IFERROR(__xludf.DUMMYFUNCTION("""COMPUTED_VALUE"""),3797.05)</f>
        <v>3797.05</v>
      </c>
      <c r="E57" s="6">
        <f>IFERROR(__xludf.DUMMYFUNCTION("""COMPUTED_VALUE"""),3937.95)</f>
        <v>3937.95</v>
      </c>
      <c r="F57" s="6">
        <f>IFERROR(__xludf.DUMMYFUNCTION("""COMPUTED_VALUE"""),1392419.0)</f>
        <v>1392419</v>
      </c>
    </row>
    <row r="58">
      <c r="A58" s="7">
        <f>IFERROR(__xludf.DUMMYFUNCTION("""COMPUTED_VALUE"""),45583.64583333333)</f>
        <v>45583.64583</v>
      </c>
      <c r="B58" s="6">
        <f>IFERROR(__xludf.DUMMYFUNCTION("""COMPUTED_VALUE"""),3954.55)</f>
        <v>3954.55</v>
      </c>
      <c r="C58" s="6">
        <f>IFERROR(__xludf.DUMMYFUNCTION("""COMPUTED_VALUE"""),4014.85)</f>
        <v>4014.85</v>
      </c>
      <c r="D58" s="6">
        <f>IFERROR(__xludf.DUMMYFUNCTION("""COMPUTED_VALUE"""),3701.0)</f>
        <v>3701</v>
      </c>
      <c r="E58" s="6">
        <f>IFERROR(__xludf.DUMMYFUNCTION("""COMPUTED_VALUE"""),3815.4)</f>
        <v>3815.4</v>
      </c>
      <c r="F58" s="6">
        <f>IFERROR(__xludf.DUMMYFUNCTION("""COMPUTED_VALUE"""),798290.0)</f>
        <v>798290</v>
      </c>
    </row>
    <row r="59">
      <c r="A59" s="7">
        <f>IFERROR(__xludf.DUMMYFUNCTION("""COMPUTED_VALUE"""),45590.64583333333)</f>
        <v>45590.64583</v>
      </c>
      <c r="B59" s="6">
        <f>IFERROR(__xludf.DUMMYFUNCTION("""COMPUTED_VALUE"""),3815.4)</f>
        <v>3815.4</v>
      </c>
      <c r="C59" s="6">
        <f>IFERROR(__xludf.DUMMYFUNCTION("""COMPUTED_VALUE"""),3825.85)</f>
        <v>3825.85</v>
      </c>
      <c r="D59" s="6">
        <f>IFERROR(__xludf.DUMMYFUNCTION("""COMPUTED_VALUE"""),3346.0)</f>
        <v>3346</v>
      </c>
      <c r="E59" s="6">
        <f>IFERROR(__xludf.DUMMYFUNCTION("""COMPUTED_VALUE"""),3500.4)</f>
        <v>3500.4</v>
      </c>
      <c r="F59" s="6">
        <f>IFERROR(__xludf.DUMMYFUNCTION("""COMPUTED_VALUE"""),2500200.0)</f>
        <v>2500200</v>
      </c>
    </row>
    <row r="60">
      <c r="A60" s="7">
        <f>IFERROR(__xludf.DUMMYFUNCTION("""COMPUTED_VALUE"""),45604.64583333333)</f>
        <v>45604.64583</v>
      </c>
      <c r="B60" s="6">
        <f>IFERROR(__xludf.DUMMYFUNCTION("""COMPUTED_VALUE"""),3796.0)</f>
        <v>3796</v>
      </c>
      <c r="C60" s="6">
        <f>IFERROR(__xludf.DUMMYFUNCTION("""COMPUTED_VALUE"""),3796.0)</f>
        <v>3796</v>
      </c>
      <c r="D60" s="6">
        <f>IFERROR(__xludf.DUMMYFUNCTION("""COMPUTED_VALUE"""),3561.0)</f>
        <v>3561</v>
      </c>
      <c r="E60" s="6">
        <f>IFERROR(__xludf.DUMMYFUNCTION("""COMPUTED_VALUE"""),3635.5)</f>
        <v>3635.5</v>
      </c>
      <c r="F60" s="6">
        <f>IFERROR(__xludf.DUMMYFUNCTION("""COMPUTED_VALUE"""),1335560.0)</f>
        <v>1335560</v>
      </c>
    </row>
    <row r="61">
      <c r="A61" s="7">
        <f>IFERROR(__xludf.DUMMYFUNCTION("""COMPUTED_VALUE"""),45610.64583333333)</f>
        <v>45610.64583</v>
      </c>
      <c r="B61" s="6">
        <f>IFERROR(__xludf.DUMMYFUNCTION("""COMPUTED_VALUE"""),3613.6)</f>
        <v>3613.6</v>
      </c>
      <c r="C61" s="6">
        <f>IFERROR(__xludf.DUMMYFUNCTION("""COMPUTED_VALUE"""),3703.95)</f>
        <v>3703.95</v>
      </c>
      <c r="D61" s="6">
        <f>IFERROR(__xludf.DUMMYFUNCTION("""COMPUTED_VALUE"""),3474.65)</f>
        <v>3474.65</v>
      </c>
      <c r="E61" s="6">
        <f>IFERROR(__xludf.DUMMYFUNCTION("""COMPUTED_VALUE"""),3503.25)</f>
        <v>3503.25</v>
      </c>
      <c r="F61" s="6">
        <f>IFERROR(__xludf.DUMMYFUNCTION("""COMPUTED_VALUE"""),473639.0)</f>
        <v>473639</v>
      </c>
    </row>
    <row r="62">
      <c r="A62" s="7">
        <f>IFERROR(__xludf.DUMMYFUNCTION("""COMPUTED_VALUE"""),45618.64583333333)</f>
        <v>45618.64583</v>
      </c>
      <c r="B62" s="6">
        <f>IFERROR(__xludf.DUMMYFUNCTION("""COMPUTED_VALUE"""),3509.95)</f>
        <v>3509.95</v>
      </c>
      <c r="C62" s="6">
        <f>IFERROR(__xludf.DUMMYFUNCTION("""COMPUTED_VALUE"""),3537.9)</f>
        <v>3537.9</v>
      </c>
      <c r="D62" s="6">
        <f>IFERROR(__xludf.DUMMYFUNCTION("""COMPUTED_VALUE"""),3404.5)</f>
        <v>3404.5</v>
      </c>
      <c r="E62" s="6">
        <f>IFERROR(__xludf.DUMMYFUNCTION("""COMPUTED_VALUE"""),3510.4)</f>
        <v>3510.4</v>
      </c>
      <c r="F62" s="6">
        <f>IFERROR(__xludf.DUMMYFUNCTION("""COMPUTED_VALUE"""),440268.0)</f>
        <v>440268</v>
      </c>
    </row>
    <row r="63">
      <c r="A63" s="7">
        <f>IFERROR(__xludf.DUMMYFUNCTION("""COMPUTED_VALUE"""),45625.64583333333)</f>
        <v>45625.64583</v>
      </c>
      <c r="B63" s="6">
        <f>IFERROR(__xludf.DUMMYFUNCTION("""COMPUTED_VALUE"""),3561.0)</f>
        <v>3561</v>
      </c>
      <c r="C63" s="6">
        <f>IFERROR(__xludf.DUMMYFUNCTION("""COMPUTED_VALUE"""),3663.15)</f>
        <v>3663.15</v>
      </c>
      <c r="D63" s="6">
        <f>IFERROR(__xludf.DUMMYFUNCTION("""COMPUTED_VALUE"""),3492.4)</f>
        <v>3492.4</v>
      </c>
      <c r="E63" s="6">
        <f>IFERROR(__xludf.DUMMYFUNCTION("""COMPUTED_VALUE"""),3553.9)</f>
        <v>3553.9</v>
      </c>
      <c r="F63" s="6">
        <f>IFERROR(__xludf.DUMMYFUNCTION("""COMPUTED_VALUE"""),672205.0)</f>
        <v>672205</v>
      </c>
    </row>
    <row r="64">
      <c r="A64" s="7">
        <f>IFERROR(__xludf.DUMMYFUNCTION("""COMPUTED_VALUE"""),45632.64583333333)</f>
        <v>45632.64583</v>
      </c>
      <c r="B64" s="6">
        <f>IFERROR(__xludf.DUMMYFUNCTION("""COMPUTED_VALUE"""),3534.05)</f>
        <v>3534.05</v>
      </c>
      <c r="C64" s="6">
        <f>IFERROR(__xludf.DUMMYFUNCTION("""COMPUTED_VALUE"""),3561.35)</f>
        <v>3561.35</v>
      </c>
      <c r="D64" s="6">
        <f>IFERROR(__xludf.DUMMYFUNCTION("""COMPUTED_VALUE"""),3380.35)</f>
        <v>3380.35</v>
      </c>
      <c r="E64" s="6">
        <f>IFERROR(__xludf.DUMMYFUNCTION("""COMPUTED_VALUE"""),3524.8)</f>
        <v>3524.8</v>
      </c>
      <c r="F64" s="6">
        <f>IFERROR(__xludf.DUMMYFUNCTION("""COMPUTED_VALUE"""),965033.0)</f>
        <v>965033</v>
      </c>
    </row>
    <row r="65">
      <c r="A65" s="7">
        <f>IFERROR(__xludf.DUMMYFUNCTION("""COMPUTED_VALUE"""),45639.64583333333)</f>
        <v>45639.64583</v>
      </c>
      <c r="B65" s="6">
        <f>IFERROR(__xludf.DUMMYFUNCTION("""COMPUTED_VALUE"""),3531.0)</f>
        <v>3531</v>
      </c>
      <c r="C65" s="6">
        <f>IFERROR(__xludf.DUMMYFUNCTION("""COMPUTED_VALUE"""),3580.0)</f>
        <v>3580</v>
      </c>
      <c r="D65" s="6">
        <f>IFERROR(__xludf.DUMMYFUNCTION("""COMPUTED_VALUE"""),3382.0)</f>
        <v>3382</v>
      </c>
      <c r="E65" s="6">
        <f>IFERROR(__xludf.DUMMYFUNCTION("""COMPUTED_VALUE"""),3440.05)</f>
        <v>3440.05</v>
      </c>
      <c r="F65" s="6">
        <f>IFERROR(__xludf.DUMMYFUNCTION("""COMPUTED_VALUE"""),564622.0)</f>
        <v>564622</v>
      </c>
    </row>
    <row r="66">
      <c r="A66" s="7">
        <f>IFERROR(__xludf.DUMMYFUNCTION("""COMPUTED_VALUE"""),45646.64583333333)</f>
        <v>45646.64583</v>
      </c>
      <c r="B66" s="6">
        <f>IFERROR(__xludf.DUMMYFUNCTION("""COMPUTED_VALUE"""),3457.9)</f>
        <v>3457.9</v>
      </c>
      <c r="C66" s="6">
        <f>IFERROR(__xludf.DUMMYFUNCTION("""COMPUTED_VALUE"""),3470.0)</f>
        <v>3470</v>
      </c>
      <c r="D66" s="6">
        <f>IFERROR(__xludf.DUMMYFUNCTION("""COMPUTED_VALUE"""),3149.95)</f>
        <v>3149.95</v>
      </c>
      <c r="E66" s="6">
        <f>IFERROR(__xludf.DUMMYFUNCTION("""COMPUTED_VALUE"""),3162.05)</f>
        <v>3162.05</v>
      </c>
      <c r="F66" s="6">
        <f>IFERROR(__xludf.DUMMYFUNCTION("""COMPUTED_VALUE"""),1032082.0)</f>
        <v>1032082</v>
      </c>
    </row>
    <row r="67">
      <c r="A67" s="7">
        <f>IFERROR(__xludf.DUMMYFUNCTION("""COMPUTED_VALUE"""),45653.64583333333)</f>
        <v>45653.64583</v>
      </c>
      <c r="B67" s="6">
        <f>IFERROR(__xludf.DUMMYFUNCTION("""COMPUTED_VALUE"""),3180.75)</f>
        <v>3180.75</v>
      </c>
      <c r="C67" s="6">
        <f>IFERROR(__xludf.DUMMYFUNCTION("""COMPUTED_VALUE"""),3336.8)</f>
        <v>3336.8</v>
      </c>
      <c r="D67" s="6">
        <f>IFERROR(__xludf.DUMMYFUNCTION("""COMPUTED_VALUE"""),3102.0)</f>
        <v>3102</v>
      </c>
      <c r="E67" s="6">
        <f>IFERROR(__xludf.DUMMYFUNCTION("""COMPUTED_VALUE"""),3258.4)</f>
        <v>3258.4</v>
      </c>
      <c r="F67" s="6">
        <f>IFERROR(__xludf.DUMMYFUNCTION("""COMPUTED_VALUE"""),1817388.0)</f>
        <v>1817388</v>
      </c>
    </row>
    <row r="68">
      <c r="A68" s="7">
        <f>IFERROR(__xludf.DUMMYFUNCTION("""COMPUTED_VALUE"""),45660.64583333333)</f>
        <v>45660.64583</v>
      </c>
      <c r="B68" s="6">
        <f>IFERROR(__xludf.DUMMYFUNCTION("""COMPUTED_VALUE"""),3259.1)</f>
        <v>3259.1</v>
      </c>
      <c r="C68" s="6">
        <f>IFERROR(__xludf.DUMMYFUNCTION("""COMPUTED_VALUE"""),3409.0)</f>
        <v>3409</v>
      </c>
      <c r="D68" s="6">
        <f>IFERROR(__xludf.DUMMYFUNCTION("""COMPUTED_VALUE"""),3222.6)</f>
        <v>3222.6</v>
      </c>
      <c r="E68" s="6">
        <f>IFERROR(__xludf.DUMMYFUNCTION("""COMPUTED_VALUE"""),3371.9)</f>
        <v>3371.9</v>
      </c>
      <c r="F68" s="6">
        <f>IFERROR(__xludf.DUMMYFUNCTION("""COMPUTED_VALUE"""),1527739.0)</f>
        <v>1527739</v>
      </c>
    </row>
    <row r="69">
      <c r="A69" s="7">
        <f>IFERROR(__xludf.DUMMYFUNCTION("""COMPUTED_VALUE"""),45667.64583333333)</f>
        <v>45667.64583</v>
      </c>
      <c r="B69" s="6">
        <f>IFERROR(__xludf.DUMMYFUNCTION("""COMPUTED_VALUE"""),3381.15)</f>
        <v>3381.15</v>
      </c>
      <c r="C69" s="6">
        <f>IFERROR(__xludf.DUMMYFUNCTION("""COMPUTED_VALUE"""),3431.85)</f>
        <v>3431.85</v>
      </c>
      <c r="D69" s="6">
        <f>IFERROR(__xludf.DUMMYFUNCTION("""COMPUTED_VALUE"""),3263.15)</f>
        <v>3263.15</v>
      </c>
      <c r="E69" s="6">
        <f>IFERROR(__xludf.DUMMYFUNCTION("""COMPUTED_VALUE"""),3405.9)</f>
        <v>3405.9</v>
      </c>
      <c r="F69" s="6">
        <f>IFERROR(__xludf.DUMMYFUNCTION("""COMPUTED_VALUE"""),809358.0)</f>
        <v>809358</v>
      </c>
    </row>
    <row r="70">
      <c r="A70" s="7">
        <f>IFERROR(__xludf.DUMMYFUNCTION("""COMPUTED_VALUE"""),45674.64583333333)</f>
        <v>45674.64583</v>
      </c>
      <c r="B70" s="6">
        <f>IFERROR(__xludf.DUMMYFUNCTION("""COMPUTED_VALUE"""),3384.5)</f>
        <v>3384.5</v>
      </c>
      <c r="C70" s="6">
        <f>IFERROR(__xludf.DUMMYFUNCTION("""COMPUTED_VALUE"""),3617.4)</f>
        <v>3617.4</v>
      </c>
      <c r="D70" s="6">
        <f>IFERROR(__xludf.DUMMYFUNCTION("""COMPUTED_VALUE"""),3272.35)</f>
        <v>3272.35</v>
      </c>
      <c r="E70" s="6">
        <f>IFERROR(__xludf.DUMMYFUNCTION("""COMPUTED_VALUE"""),3600.7)</f>
        <v>3600.7</v>
      </c>
      <c r="F70" s="6">
        <f>IFERROR(__xludf.DUMMYFUNCTION("""COMPUTED_VALUE"""),1136942.0)</f>
        <v>1136942</v>
      </c>
    </row>
    <row r="71">
      <c r="A71" s="7">
        <f>IFERROR(__xludf.DUMMYFUNCTION("""COMPUTED_VALUE"""),45681.64583333333)</f>
        <v>45681.64583</v>
      </c>
      <c r="B71" s="6">
        <f>IFERROR(__xludf.DUMMYFUNCTION("""COMPUTED_VALUE"""),3615.75)</f>
        <v>3615.75</v>
      </c>
      <c r="C71" s="6">
        <f>IFERROR(__xludf.DUMMYFUNCTION("""COMPUTED_VALUE"""),3628.95)</f>
        <v>3628.95</v>
      </c>
      <c r="D71" s="6">
        <f>IFERROR(__xludf.DUMMYFUNCTION("""COMPUTED_VALUE"""),3460.0)</f>
        <v>3460</v>
      </c>
      <c r="E71" s="6">
        <f>IFERROR(__xludf.DUMMYFUNCTION("""COMPUTED_VALUE"""),3466.3)</f>
        <v>3466.3</v>
      </c>
      <c r="F71" s="6">
        <f>IFERROR(__xludf.DUMMYFUNCTION("""COMPUTED_VALUE"""),724955.0)</f>
        <v>724955</v>
      </c>
    </row>
    <row r="72">
      <c r="A72" s="7">
        <f>IFERROR(__xludf.DUMMYFUNCTION("""COMPUTED_VALUE"""),45695.64583333333)</f>
        <v>45695.64583</v>
      </c>
      <c r="B72" s="6">
        <f>IFERROR(__xludf.DUMMYFUNCTION("""COMPUTED_VALUE"""),3432.95)</f>
        <v>3432.95</v>
      </c>
      <c r="C72" s="6">
        <f>IFERROR(__xludf.DUMMYFUNCTION("""COMPUTED_VALUE"""),3437.1)</f>
        <v>3437.1</v>
      </c>
      <c r="D72" s="6">
        <f>IFERROR(__xludf.DUMMYFUNCTION("""COMPUTED_VALUE"""),3239.0)</f>
        <v>3239</v>
      </c>
      <c r="E72" s="6">
        <f>IFERROR(__xludf.DUMMYFUNCTION("""COMPUTED_VALUE"""),3269.7)</f>
        <v>3269.7</v>
      </c>
      <c r="F72" s="6">
        <f>IFERROR(__xludf.DUMMYFUNCTION("""COMPUTED_VALUE"""),808775.0)</f>
        <v>808775</v>
      </c>
    </row>
    <row r="73">
      <c r="A73" s="7">
        <f>IFERROR(__xludf.DUMMYFUNCTION("""COMPUTED_VALUE"""),45702.64583333333)</f>
        <v>45702.64583</v>
      </c>
      <c r="B73" s="6">
        <f>IFERROR(__xludf.DUMMYFUNCTION("""COMPUTED_VALUE"""),3303.0)</f>
        <v>3303</v>
      </c>
      <c r="C73" s="6">
        <f>IFERROR(__xludf.DUMMYFUNCTION("""COMPUTED_VALUE"""),3349.0)</f>
        <v>3349</v>
      </c>
      <c r="D73" s="6">
        <f>IFERROR(__xludf.DUMMYFUNCTION("""COMPUTED_VALUE"""),2914.0)</f>
        <v>2914</v>
      </c>
      <c r="E73" s="6">
        <f>IFERROR(__xludf.DUMMYFUNCTION("""COMPUTED_VALUE"""),2948.65)</f>
        <v>2948.65</v>
      </c>
      <c r="F73" s="6">
        <f>IFERROR(__xludf.DUMMYFUNCTION("""COMPUTED_VALUE"""),1909737.0)</f>
        <v>1909737</v>
      </c>
    </row>
    <row r="74">
      <c r="A74" s="7">
        <f>IFERROR(__xludf.DUMMYFUNCTION("""COMPUTED_VALUE"""),45709.64583333333)</f>
        <v>45709.64583</v>
      </c>
      <c r="B74" s="6">
        <f>IFERROR(__xludf.DUMMYFUNCTION("""COMPUTED_VALUE"""),2948.0)</f>
        <v>2948</v>
      </c>
      <c r="C74" s="6">
        <f>IFERROR(__xludf.DUMMYFUNCTION("""COMPUTED_VALUE"""),3131.4)</f>
        <v>3131.4</v>
      </c>
      <c r="D74" s="6">
        <f>IFERROR(__xludf.DUMMYFUNCTION("""COMPUTED_VALUE"""),2891.5)</f>
        <v>2891.5</v>
      </c>
      <c r="E74" s="6">
        <f>IFERROR(__xludf.DUMMYFUNCTION("""COMPUTED_VALUE"""),3066.6)</f>
        <v>3066.6</v>
      </c>
      <c r="F74" s="6">
        <f>IFERROR(__xludf.DUMMYFUNCTION("""COMPUTED_VALUE"""),552861.0)</f>
        <v>552861</v>
      </c>
    </row>
    <row r="75">
      <c r="A75" s="7">
        <f>IFERROR(__xludf.DUMMYFUNCTION("""COMPUTED_VALUE"""),45716.64583333333)</f>
        <v>45716.64583</v>
      </c>
      <c r="B75" s="6">
        <f>IFERROR(__xludf.DUMMYFUNCTION("""COMPUTED_VALUE"""),3050.0)</f>
        <v>3050</v>
      </c>
      <c r="C75" s="6">
        <f>IFERROR(__xludf.DUMMYFUNCTION("""COMPUTED_VALUE"""),3068.85)</f>
        <v>3068.85</v>
      </c>
      <c r="D75" s="6">
        <f>IFERROR(__xludf.DUMMYFUNCTION("""COMPUTED_VALUE"""),2825.2)</f>
        <v>2825.2</v>
      </c>
      <c r="E75" s="6">
        <f>IFERROR(__xludf.DUMMYFUNCTION("""COMPUTED_VALUE"""),2868.95)</f>
        <v>2868.95</v>
      </c>
      <c r="F75" s="6">
        <f>IFERROR(__xludf.DUMMYFUNCTION("""COMPUTED_VALUE"""),730665.0)</f>
        <v>730665</v>
      </c>
    </row>
    <row r="76">
      <c r="A76" s="7">
        <f>IFERROR(__xludf.DUMMYFUNCTION("""COMPUTED_VALUE"""),45723.64583333333)</f>
        <v>45723.64583</v>
      </c>
      <c r="B76" s="6">
        <f>IFERROR(__xludf.DUMMYFUNCTION("""COMPUTED_VALUE"""),2909.95)</f>
        <v>2909.95</v>
      </c>
      <c r="C76" s="6">
        <f>IFERROR(__xludf.DUMMYFUNCTION("""COMPUTED_VALUE"""),3099.0)</f>
        <v>3099</v>
      </c>
      <c r="D76" s="6">
        <f>IFERROR(__xludf.DUMMYFUNCTION("""COMPUTED_VALUE"""),2865.15)</f>
        <v>2865.15</v>
      </c>
      <c r="E76" s="6">
        <f>IFERROR(__xludf.DUMMYFUNCTION("""COMPUTED_VALUE"""),3011.1)</f>
        <v>3011.1</v>
      </c>
      <c r="F76" s="6">
        <f>IFERROR(__xludf.DUMMYFUNCTION("""COMPUTED_VALUE"""),536134.0)</f>
        <v>536134</v>
      </c>
    </row>
    <row r="77">
      <c r="A77" s="7">
        <f>IFERROR(__xludf.DUMMYFUNCTION("""COMPUTED_VALUE"""),45729.64583333333)</f>
        <v>45729.64583</v>
      </c>
      <c r="B77" s="6">
        <f>IFERROR(__xludf.DUMMYFUNCTION("""COMPUTED_VALUE"""),3010.15)</f>
        <v>3010.15</v>
      </c>
      <c r="C77" s="6">
        <f>IFERROR(__xludf.DUMMYFUNCTION("""COMPUTED_VALUE"""),3031.0)</f>
        <v>3031</v>
      </c>
      <c r="D77" s="6">
        <f>IFERROR(__xludf.DUMMYFUNCTION("""COMPUTED_VALUE"""),2851.0)</f>
        <v>2851</v>
      </c>
      <c r="E77" s="6">
        <f>IFERROR(__xludf.DUMMYFUNCTION("""COMPUTED_VALUE"""),2908.5)</f>
        <v>2908.5</v>
      </c>
      <c r="F77" s="6">
        <f>IFERROR(__xludf.DUMMYFUNCTION("""COMPUTED_VALUE"""),890932.0)</f>
        <v>890932</v>
      </c>
    </row>
    <row r="78">
      <c r="A78" s="7">
        <f>IFERROR(__xludf.DUMMYFUNCTION("""COMPUTED_VALUE"""),45737.64583333333)</f>
        <v>45737.64583</v>
      </c>
      <c r="B78" s="6">
        <f>IFERROR(__xludf.DUMMYFUNCTION("""COMPUTED_VALUE"""),2908.55)</f>
        <v>2908.55</v>
      </c>
      <c r="C78" s="6">
        <f>IFERROR(__xludf.DUMMYFUNCTION("""COMPUTED_VALUE"""),3238.05)</f>
        <v>3238.05</v>
      </c>
      <c r="D78" s="6">
        <f>IFERROR(__xludf.DUMMYFUNCTION("""COMPUTED_VALUE"""),2900.05)</f>
        <v>2900.05</v>
      </c>
      <c r="E78" s="6">
        <f>IFERROR(__xludf.DUMMYFUNCTION("""COMPUTED_VALUE"""),3228.3)</f>
        <v>3228.3</v>
      </c>
      <c r="F78" s="6">
        <f>IFERROR(__xludf.DUMMYFUNCTION("""COMPUTED_VALUE"""),826016.0)</f>
        <v>826016</v>
      </c>
    </row>
    <row r="79">
      <c r="A79" s="7">
        <f>IFERROR(__xludf.DUMMYFUNCTION("""COMPUTED_VALUE"""),45744.64583333333)</f>
        <v>45744.64583</v>
      </c>
      <c r="B79" s="6">
        <f>IFERROR(__xludf.DUMMYFUNCTION("""COMPUTED_VALUE"""),3235.2)</f>
        <v>3235.2</v>
      </c>
      <c r="C79" s="6">
        <f>IFERROR(__xludf.DUMMYFUNCTION("""COMPUTED_VALUE"""),3301.95)</f>
        <v>3301.95</v>
      </c>
      <c r="D79" s="6">
        <f>IFERROR(__xludf.DUMMYFUNCTION("""COMPUTED_VALUE"""),3186.35)</f>
        <v>3186.35</v>
      </c>
      <c r="E79" s="6">
        <f>IFERROR(__xludf.DUMMYFUNCTION("""COMPUTED_VALUE"""),3250.05)</f>
        <v>3250.05</v>
      </c>
      <c r="F79" s="6">
        <f>IFERROR(__xludf.DUMMYFUNCTION("""COMPUTED_VALUE"""),647839.0)</f>
        <v>647839</v>
      </c>
    </row>
    <row r="80">
      <c r="A80" s="7">
        <f>IFERROR(__xludf.DUMMYFUNCTION("""COMPUTED_VALUE"""),45751.64583333333)</f>
        <v>45751.64583</v>
      </c>
      <c r="B80" s="6">
        <f>IFERROR(__xludf.DUMMYFUNCTION("""COMPUTED_VALUE"""),3250.05)</f>
        <v>3250.05</v>
      </c>
      <c r="C80" s="6">
        <f>IFERROR(__xludf.DUMMYFUNCTION("""COMPUTED_VALUE"""),3289.6)</f>
        <v>3289.6</v>
      </c>
      <c r="D80" s="6">
        <f>IFERROR(__xludf.DUMMYFUNCTION("""COMPUTED_VALUE"""),3132.0)</f>
        <v>3132</v>
      </c>
      <c r="E80" s="6">
        <f>IFERROR(__xludf.DUMMYFUNCTION("""COMPUTED_VALUE"""),3161.15)</f>
        <v>3161.15</v>
      </c>
      <c r="F80" s="6">
        <f>IFERROR(__xludf.DUMMYFUNCTION("""COMPUTED_VALUE"""),416341.0)</f>
        <v>416341</v>
      </c>
    </row>
    <row r="81">
      <c r="A81" s="7">
        <f>IFERROR(__xludf.DUMMYFUNCTION("""COMPUTED_VALUE"""),45758.64583333333)</f>
        <v>45758.64583</v>
      </c>
      <c r="B81" s="6">
        <f>IFERROR(__xludf.DUMMYFUNCTION("""COMPUTED_VALUE"""),3000.0)</f>
        <v>3000</v>
      </c>
      <c r="C81" s="6">
        <f>IFERROR(__xludf.DUMMYFUNCTION("""COMPUTED_VALUE"""),3219.9)</f>
        <v>3219.9</v>
      </c>
      <c r="D81" s="6">
        <f>IFERROR(__xludf.DUMMYFUNCTION("""COMPUTED_VALUE"""),2959.0)</f>
        <v>2959</v>
      </c>
      <c r="E81" s="6">
        <f>IFERROR(__xludf.DUMMYFUNCTION("""COMPUTED_VALUE"""),3178.2)</f>
        <v>3178.2</v>
      </c>
      <c r="F81" s="6">
        <f>IFERROR(__xludf.DUMMYFUNCTION("""COMPUTED_VALUE"""),339811.0)</f>
        <v>339811</v>
      </c>
    </row>
    <row r="82">
      <c r="A82" s="7">
        <f>IFERROR(__xludf.DUMMYFUNCTION("""COMPUTED_VALUE"""),45764.64583333333)</f>
        <v>45764.64583</v>
      </c>
      <c r="B82" s="6">
        <f>IFERROR(__xludf.DUMMYFUNCTION("""COMPUTED_VALUE"""),3239.0)</f>
        <v>3239</v>
      </c>
      <c r="C82" s="6">
        <f>IFERROR(__xludf.DUMMYFUNCTION("""COMPUTED_VALUE"""),3320.7)</f>
        <v>3320.7</v>
      </c>
      <c r="D82" s="6">
        <f>IFERROR(__xludf.DUMMYFUNCTION("""COMPUTED_VALUE"""),3204.2)</f>
        <v>3204.2</v>
      </c>
      <c r="E82" s="6">
        <f>IFERROR(__xludf.DUMMYFUNCTION("""COMPUTED_VALUE"""),3265.2)</f>
        <v>3265.2</v>
      </c>
      <c r="F82" s="6">
        <f>IFERROR(__xludf.DUMMYFUNCTION("""COMPUTED_VALUE"""),230852.0)</f>
        <v>230852</v>
      </c>
    </row>
    <row r="83">
      <c r="A83" s="7">
        <f>IFERROR(__xludf.DUMMYFUNCTION("""COMPUTED_VALUE"""),45772.64583333333)</f>
        <v>45772.64583</v>
      </c>
      <c r="B83" s="6">
        <f>IFERROR(__xludf.DUMMYFUNCTION("""COMPUTED_VALUE"""),3287.8)</f>
        <v>3287.8</v>
      </c>
      <c r="C83" s="6">
        <f>IFERROR(__xludf.DUMMYFUNCTION("""COMPUTED_VALUE"""),3467.3)</f>
        <v>3467.3</v>
      </c>
      <c r="D83" s="6">
        <f>IFERROR(__xludf.DUMMYFUNCTION("""COMPUTED_VALUE"""),3250.0)</f>
        <v>3250</v>
      </c>
      <c r="E83" s="6">
        <f>IFERROR(__xludf.DUMMYFUNCTION("""COMPUTED_VALUE"""),3333.7)</f>
        <v>3333.7</v>
      </c>
      <c r="F83" s="6">
        <f>IFERROR(__xludf.DUMMYFUNCTION("""COMPUTED_VALUE"""),863746.0)</f>
        <v>863746</v>
      </c>
    </row>
    <row r="84">
      <c r="A84" s="7">
        <f>IFERROR(__xludf.DUMMYFUNCTION("""COMPUTED_VALUE"""),45779.64583333333)</f>
        <v>45779.64583</v>
      </c>
      <c r="B84" s="6">
        <f>IFERROR(__xludf.DUMMYFUNCTION("""COMPUTED_VALUE"""),3322.2)</f>
        <v>3322.2</v>
      </c>
      <c r="C84" s="6">
        <f>IFERROR(__xludf.DUMMYFUNCTION("""COMPUTED_VALUE"""),3415.0)</f>
        <v>3415</v>
      </c>
      <c r="D84" s="6">
        <f>IFERROR(__xludf.DUMMYFUNCTION("""COMPUTED_VALUE"""),3206.5)</f>
        <v>3206.5</v>
      </c>
      <c r="E84" s="6">
        <f>IFERROR(__xludf.DUMMYFUNCTION("""COMPUTED_VALUE"""),3216.1)</f>
        <v>3216.1</v>
      </c>
      <c r="F84" s="6">
        <f>IFERROR(__xludf.DUMMYFUNCTION("""COMPUTED_VALUE"""),309700.0)</f>
        <v>309700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IFERROR(__xludf.DUMMYFUNCTION("""COMPUTED_VALUE"""),3218.0)</f>
        <v>3218</v>
      </c>
      <c r="C85" s="6">
        <f>IFERROR(__xludf.DUMMYFUNCTION("""COMPUTED_VALUE"""),3279.4)</f>
        <v>3279.4</v>
      </c>
      <c r="D85" s="6">
        <f>IFERROR(__xludf.DUMMYFUNCTION("""COMPUTED_VALUE"""),3102.0)</f>
        <v>3102</v>
      </c>
      <c r="E85" s="6">
        <f>IFERROR(__xludf.DUMMYFUNCTION("""COMPUTED_VALUE"""),3130.4)</f>
        <v>3130.4</v>
      </c>
      <c r="F85" s="6">
        <f>IFERROR(__xludf.DUMMYFUNCTION("""COMPUTED_VALUE"""),822560.0)</f>
        <v>822560</v>
      </c>
    </row>
    <row r="86">
      <c r="A86" s="7">
        <f>IFERROR(__xludf.DUMMYFUNCTION("""COMPUTED_VALUE"""),45793.64583333333)</f>
        <v>45793.64583</v>
      </c>
      <c r="B86" s="6">
        <f>IFERROR(__xludf.DUMMYFUNCTION("""COMPUTED_VALUE"""),3215.0)</f>
        <v>3215</v>
      </c>
      <c r="C86" s="6">
        <f>IFERROR(__xludf.DUMMYFUNCTION("""COMPUTED_VALUE"""),3616.6)</f>
        <v>3616.6</v>
      </c>
      <c r="D86" s="6">
        <f>IFERROR(__xludf.DUMMYFUNCTION("""COMPUTED_VALUE"""),3196.0)</f>
        <v>3196</v>
      </c>
      <c r="E86" s="6">
        <f>IFERROR(__xludf.DUMMYFUNCTION("""COMPUTED_VALUE"""),3551.5)</f>
        <v>3551.5</v>
      </c>
      <c r="F86" s="6">
        <f>IFERROR(__xludf.DUMMYFUNCTION("""COMPUTED_VALUE"""),1686863.0)</f>
        <v>1686863</v>
      </c>
    </row>
    <row r="87">
      <c r="A87" s="7">
        <f>IFERROR(__xludf.DUMMYFUNCTION("""COMPUTED_VALUE"""),45800.64583333333)</f>
        <v>45800.64583</v>
      </c>
      <c r="B87" s="6">
        <f>IFERROR(__xludf.DUMMYFUNCTION("""COMPUTED_VALUE"""),3551.5)</f>
        <v>3551.5</v>
      </c>
      <c r="C87" s="6">
        <f>IFERROR(__xludf.DUMMYFUNCTION("""COMPUTED_VALUE"""),3593.6)</f>
        <v>3593.6</v>
      </c>
      <c r="D87" s="6">
        <f>IFERROR(__xludf.DUMMYFUNCTION("""COMPUTED_VALUE"""),3435.4)</f>
        <v>3435.4</v>
      </c>
      <c r="E87" s="6">
        <f>IFERROR(__xludf.DUMMYFUNCTION("""COMPUTED_VALUE"""),3510.6)</f>
        <v>3510.6</v>
      </c>
      <c r="F87" s="6">
        <f>IFERROR(__xludf.DUMMYFUNCTION("""COMPUTED_VALUE"""),543484.0)</f>
        <v>543484</v>
      </c>
    </row>
    <row r="88">
      <c r="A88" s="7">
        <f>IFERROR(__xludf.DUMMYFUNCTION("""COMPUTED_VALUE"""),45807.64583333333)</f>
        <v>45807.64583</v>
      </c>
      <c r="B88" s="6">
        <f>IFERROR(__xludf.DUMMYFUNCTION("""COMPUTED_VALUE"""),3520.0)</f>
        <v>3520</v>
      </c>
      <c r="C88" s="6">
        <f>IFERROR(__xludf.DUMMYFUNCTION("""COMPUTED_VALUE"""),3549.9)</f>
        <v>3549.9</v>
      </c>
      <c r="D88" s="6">
        <f>IFERROR(__xludf.DUMMYFUNCTION("""COMPUTED_VALUE"""),3270.0)</f>
        <v>3270</v>
      </c>
      <c r="E88" s="6">
        <f>IFERROR(__xludf.DUMMYFUNCTION("""COMPUTED_VALUE"""),3321.7)</f>
        <v>3321.7</v>
      </c>
      <c r="F88" s="6">
        <f>IFERROR(__xludf.DUMMYFUNCTION("""COMPUTED_VALUE"""),1905399.0)</f>
        <v>1905399</v>
      </c>
    </row>
    <row r="89">
      <c r="A89" s="7">
        <f>IFERROR(__xludf.DUMMYFUNCTION("""COMPUTED_VALUE"""),45814.64583333333)</f>
        <v>45814.64583</v>
      </c>
      <c r="B89" s="6">
        <f>IFERROR(__xludf.DUMMYFUNCTION("""COMPUTED_VALUE"""),3321.7)</f>
        <v>3321.7</v>
      </c>
      <c r="C89" s="6">
        <f>IFERROR(__xludf.DUMMYFUNCTION("""COMPUTED_VALUE"""),3422.4)</f>
        <v>3422.4</v>
      </c>
      <c r="D89" s="6">
        <f>IFERROR(__xludf.DUMMYFUNCTION("""COMPUTED_VALUE"""),3239.6)</f>
        <v>3239.6</v>
      </c>
      <c r="E89" s="6">
        <f>IFERROR(__xludf.DUMMYFUNCTION("""COMPUTED_VALUE"""),3293.2)</f>
        <v>3293.2</v>
      </c>
      <c r="F89" s="6">
        <f>IFERROR(__xludf.DUMMYFUNCTION("""COMPUTED_VALUE"""),738505.0)</f>
        <v>738505</v>
      </c>
    </row>
    <row r="90">
      <c r="A90" s="7">
        <f>IFERROR(__xludf.DUMMYFUNCTION("""COMPUTED_VALUE"""),45821.64583333333)</f>
        <v>45821.64583</v>
      </c>
      <c r="B90" s="6">
        <f>IFERROR(__xludf.DUMMYFUNCTION("""COMPUTED_VALUE"""),3297.0)</f>
        <v>3297</v>
      </c>
      <c r="C90" s="6">
        <f>IFERROR(__xludf.DUMMYFUNCTION("""COMPUTED_VALUE"""),3315.0)</f>
        <v>3315</v>
      </c>
      <c r="D90" s="6">
        <f>IFERROR(__xludf.DUMMYFUNCTION("""COMPUTED_VALUE"""),2776.4)</f>
        <v>2776.4</v>
      </c>
      <c r="E90" s="6">
        <f>IFERROR(__xludf.DUMMYFUNCTION("""COMPUTED_VALUE"""),3130.2)</f>
        <v>3130.2</v>
      </c>
      <c r="F90" s="6">
        <f>IFERROR(__xludf.DUMMYFUNCTION("""COMPUTED_VALUE"""),696263.0)</f>
        <v>696263</v>
      </c>
    </row>
    <row r="91">
      <c r="A91" s="7">
        <f>IFERROR(__xludf.DUMMYFUNCTION("""COMPUTED_VALUE"""),45828.64583333333)</f>
        <v>45828.64583</v>
      </c>
      <c r="B91" s="6">
        <f>IFERROR(__xludf.DUMMYFUNCTION("""COMPUTED_VALUE"""),3144.0)</f>
        <v>3144</v>
      </c>
      <c r="C91" s="6">
        <f>IFERROR(__xludf.DUMMYFUNCTION("""COMPUTED_VALUE"""),3285.0)</f>
        <v>3285</v>
      </c>
      <c r="D91" s="6">
        <f>IFERROR(__xludf.DUMMYFUNCTION("""COMPUTED_VALUE"""),3092.0)</f>
        <v>3092</v>
      </c>
      <c r="E91" s="6">
        <f>IFERROR(__xludf.DUMMYFUNCTION("""COMPUTED_VALUE"""),3228.4)</f>
        <v>3228.4</v>
      </c>
      <c r="F91" s="6">
        <f>IFERROR(__xludf.DUMMYFUNCTION("""COMPUTED_VALUE"""),1569001.0)</f>
        <v>1569001</v>
      </c>
    </row>
    <row r="92">
      <c r="A92" s="7">
        <f>IFERROR(__xludf.DUMMYFUNCTION("""COMPUTED_VALUE"""),45835.64583333333)</f>
        <v>45835.64583</v>
      </c>
      <c r="B92" s="6">
        <f>IFERROR(__xludf.DUMMYFUNCTION("""COMPUTED_VALUE"""),3221.2)</f>
        <v>3221.2</v>
      </c>
      <c r="C92" s="6">
        <f>IFERROR(__xludf.DUMMYFUNCTION("""COMPUTED_VALUE"""),3409.9)</f>
        <v>3409.9</v>
      </c>
      <c r="D92" s="6">
        <f>IFERROR(__xludf.DUMMYFUNCTION("""COMPUTED_VALUE"""),3218.1)</f>
        <v>3218.1</v>
      </c>
      <c r="E92" s="6">
        <f>IFERROR(__xludf.DUMMYFUNCTION("""COMPUTED_VALUE"""),3341.6)</f>
        <v>3341.6</v>
      </c>
      <c r="F92" s="6">
        <f>IFERROR(__xludf.DUMMYFUNCTION("""COMPUTED_VALUE"""),789210.0)</f>
        <v>789210</v>
      </c>
    </row>
    <row r="93">
      <c r="A93" s="7">
        <f>IFERROR(__xludf.DUMMYFUNCTION("""COMPUTED_VALUE"""),45842.64583333333)</f>
        <v>45842.64583</v>
      </c>
      <c r="B93" s="6">
        <f>IFERROR(__xludf.DUMMYFUNCTION("""COMPUTED_VALUE"""),3350.0)</f>
        <v>3350</v>
      </c>
      <c r="C93" s="6">
        <f>IFERROR(__xludf.DUMMYFUNCTION("""COMPUTED_VALUE"""),3426.1)</f>
        <v>3426.1</v>
      </c>
      <c r="D93" s="6">
        <f>IFERROR(__xludf.DUMMYFUNCTION("""COMPUTED_VALUE"""),3310.2)</f>
        <v>3310.2</v>
      </c>
      <c r="E93" s="6">
        <f>IFERROR(__xludf.DUMMYFUNCTION("""COMPUTED_VALUE"""),3327.6)</f>
        <v>3327.6</v>
      </c>
      <c r="F93" s="6">
        <f>IFERROR(__xludf.DUMMYFUNCTION("""COMPUTED_VALUE"""),434670.0)</f>
        <v>434670</v>
      </c>
    </row>
    <row r="94">
      <c r="A94" s="7">
        <f>IFERROR(__xludf.DUMMYFUNCTION("""COMPUTED_VALUE"""),45849.64583333333)</f>
        <v>45849.64583</v>
      </c>
      <c r="B94" s="6">
        <f>IFERROR(__xludf.DUMMYFUNCTION("""COMPUTED_VALUE"""),3327.0)</f>
        <v>3327</v>
      </c>
      <c r="C94" s="6">
        <f>IFERROR(__xludf.DUMMYFUNCTION("""COMPUTED_VALUE"""),3398.5)</f>
        <v>3398.5</v>
      </c>
      <c r="D94" s="6">
        <f>IFERROR(__xludf.DUMMYFUNCTION("""COMPUTED_VALUE"""),3278.1)</f>
        <v>3278.1</v>
      </c>
      <c r="E94" s="6">
        <f>IFERROR(__xludf.DUMMYFUNCTION("""COMPUTED_VALUE"""),3300.3)</f>
        <v>3300.3</v>
      </c>
      <c r="F94" s="6">
        <f>IFERROR(__xludf.DUMMYFUNCTION("""COMPUTED_VALUE"""),372979.0)</f>
        <v>372979</v>
      </c>
    </row>
    <row r="95">
      <c r="A95" s="7">
        <f>IFERROR(__xludf.DUMMYFUNCTION("""COMPUTED_VALUE"""),45856.64583333333)</f>
        <v>45856.64583</v>
      </c>
      <c r="B95" s="6">
        <f>IFERROR(__xludf.DUMMYFUNCTION("""COMPUTED_VALUE"""),3309.1)</f>
        <v>3309.1</v>
      </c>
      <c r="C95" s="6">
        <f>IFERROR(__xludf.DUMMYFUNCTION("""COMPUTED_VALUE"""),3460.0)</f>
        <v>3460</v>
      </c>
      <c r="D95" s="6">
        <f>IFERROR(__xludf.DUMMYFUNCTION("""COMPUTED_VALUE"""),3254.8)</f>
        <v>3254.8</v>
      </c>
      <c r="E95" s="6">
        <f>IFERROR(__xludf.DUMMYFUNCTION("""COMPUTED_VALUE"""),3415.2)</f>
        <v>3415.2</v>
      </c>
      <c r="F95" s="6">
        <f>IFERROR(__xludf.DUMMYFUNCTION("""COMPUTED_VALUE"""),566313.0)</f>
        <v>566313</v>
      </c>
    </row>
    <row r="96">
      <c r="A96" s="7">
        <f>IFERROR(__xludf.DUMMYFUNCTION("""COMPUTED_VALUE"""),45863.64583333333)</f>
        <v>45863.64583</v>
      </c>
      <c r="B96" s="6">
        <f>IFERROR(__xludf.DUMMYFUNCTION("""COMPUTED_VALUE"""),3415.2)</f>
        <v>3415.2</v>
      </c>
      <c r="C96" s="6">
        <f>IFERROR(__xludf.DUMMYFUNCTION("""COMPUTED_VALUE"""),3493.5)</f>
        <v>3493.5</v>
      </c>
      <c r="D96" s="6">
        <f>IFERROR(__xludf.DUMMYFUNCTION("""COMPUTED_VALUE"""),3370.4)</f>
        <v>3370.4</v>
      </c>
      <c r="E96" s="6">
        <f>IFERROR(__xludf.DUMMYFUNCTION("""COMPUTED_VALUE"""),3411.7)</f>
        <v>3411.7</v>
      </c>
      <c r="F96" s="6">
        <f>IFERROR(__xludf.DUMMYFUNCTION("""COMPUTED_VALUE"""),307039.0)</f>
        <v>307039</v>
      </c>
    </row>
    <row r="97">
      <c r="A97" s="7">
        <f>IFERROR(__xludf.DUMMYFUNCTION("""COMPUTED_VALUE"""),45870.64583333333)</f>
        <v>45870.64583</v>
      </c>
      <c r="B97" s="6">
        <f>IFERROR(__xludf.DUMMYFUNCTION("""COMPUTED_VALUE"""),3410.1)</f>
        <v>3410.1</v>
      </c>
      <c r="C97" s="6">
        <f>IFERROR(__xludf.DUMMYFUNCTION("""COMPUTED_VALUE"""),3509.0)</f>
        <v>3509</v>
      </c>
      <c r="D97" s="6">
        <f>IFERROR(__xludf.DUMMYFUNCTION("""COMPUTED_VALUE"""),3251.9)</f>
        <v>3251.9</v>
      </c>
      <c r="E97" s="6">
        <f>IFERROR(__xludf.DUMMYFUNCTION("""COMPUTED_VALUE"""),3289.5)</f>
        <v>3289.5</v>
      </c>
      <c r="F97" s="6">
        <f>IFERROR(__xludf.DUMMYFUNCTION("""COMPUTED_VALUE"""),391242.0)</f>
        <v>391242</v>
      </c>
    </row>
    <row r="98">
      <c r="A98" s="7">
        <f>IFERROR(__xludf.DUMMYFUNCTION("""COMPUTED_VALUE"""),45877.64583333333)</f>
        <v>45877.64583</v>
      </c>
      <c r="B98" s="6">
        <f>IFERROR(__xludf.DUMMYFUNCTION("""COMPUTED_VALUE"""),3300.0)</f>
        <v>3300</v>
      </c>
      <c r="C98" s="6">
        <f>IFERROR(__xludf.DUMMYFUNCTION("""COMPUTED_VALUE"""),3500.0)</f>
        <v>3500</v>
      </c>
      <c r="D98" s="6">
        <f>IFERROR(__xludf.DUMMYFUNCTION("""COMPUTED_VALUE"""),3250.7)</f>
        <v>3250.7</v>
      </c>
      <c r="E98" s="6">
        <f>IFERROR(__xludf.DUMMYFUNCTION("""COMPUTED_VALUE"""),3351.7)</f>
        <v>3351.7</v>
      </c>
      <c r="F98" s="6">
        <f>IFERROR(__xludf.DUMMYFUNCTION("""COMPUTED_VALUE"""),889258.0)</f>
        <v>889258</v>
      </c>
    </row>
    <row r="99">
      <c r="A99" s="7">
        <f>IFERROR(__xludf.DUMMYFUNCTION("""COMPUTED_VALUE"""),45883.64583333333)</f>
        <v>45883.64583</v>
      </c>
      <c r="B99" s="6">
        <f>IFERROR(__xludf.DUMMYFUNCTION("""COMPUTED_VALUE"""),3354.9)</f>
        <v>3354.9</v>
      </c>
      <c r="C99" s="6">
        <f>IFERROR(__xludf.DUMMYFUNCTION("""COMPUTED_VALUE"""),3420.2)</f>
        <v>3420.2</v>
      </c>
      <c r="D99" s="6">
        <f>IFERROR(__xludf.DUMMYFUNCTION("""COMPUTED_VALUE"""),3309.2)</f>
        <v>3309.2</v>
      </c>
      <c r="E99" s="6">
        <f>IFERROR(__xludf.DUMMYFUNCTION("""COMPUTED_VALUE"""),3400.5)</f>
        <v>3400.5</v>
      </c>
      <c r="F99" s="6">
        <f>IFERROR(__xludf.DUMMYFUNCTION("""COMPUTED_VALUE"""),154823.0)</f>
        <v>154823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IFERROR(__xludf.DUMMYFUNCTION("""COMPUTED_VALUE"""),3490.0)</f>
        <v>3490</v>
      </c>
      <c r="C100" s="6">
        <f>IFERROR(__xludf.DUMMYFUNCTION("""COMPUTED_VALUE"""),3720.0)</f>
        <v>3720</v>
      </c>
      <c r="D100" s="6">
        <f>IFERROR(__xludf.DUMMYFUNCTION("""COMPUTED_VALUE"""),3459.9)</f>
        <v>3459.9</v>
      </c>
      <c r="E100" s="6">
        <f>IFERROR(__xludf.DUMMYFUNCTION("""COMPUTED_VALUE"""),3569.6)</f>
        <v>3569.6</v>
      </c>
      <c r="F100" s="6">
        <f>IFERROR(__xludf.DUMMYFUNCTION("""COMPUTED_VALUE"""),1093614.0)</f>
        <v>1093614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IFERROR(__xludf.DUMMYFUNCTION("""COMPUTED_VALUE"""),3590.6)</f>
        <v>3590.6</v>
      </c>
      <c r="C101" s="6">
        <f>IFERROR(__xludf.DUMMYFUNCTION("""COMPUTED_VALUE"""),3631.0)</f>
        <v>3631</v>
      </c>
      <c r="D101" s="6">
        <f>IFERROR(__xludf.DUMMYFUNCTION("""COMPUTED_VALUE"""),3505.0)</f>
        <v>3505</v>
      </c>
      <c r="E101" s="6">
        <f>IFERROR(__xludf.DUMMYFUNCTION("""COMPUTED_VALUE"""),3551.2)</f>
        <v>3551.2</v>
      </c>
      <c r="F101" s="6">
        <f>IFERROR(__xludf.DUMMYFUNCTION("""COMPUTED_VALUE"""),1003573.0)</f>
        <v>1003573</v>
      </c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IFERROR(__xludf.DUMMYFUNCTION("GOOGLEFINANCE(""NSE:ETERNAL"",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IFERROR(__xludf.DUMMYFUNCTION("""COMPUTED_VALUE"""),96.0)</f>
        <v>96</v>
      </c>
      <c r="C2" s="6">
        <f>IFERROR(__xludf.DUMMYFUNCTION("""COMPUTED_VALUE"""),100.8)</f>
        <v>100.8</v>
      </c>
      <c r="D2" s="6">
        <f>IFERROR(__xludf.DUMMYFUNCTION("""COMPUTED_VALUE"""),91.75)</f>
        <v>91.75</v>
      </c>
      <c r="E2" s="6">
        <f>IFERROR(__xludf.DUMMYFUNCTION("""COMPUTED_VALUE"""),97.2)</f>
        <v>97.2</v>
      </c>
      <c r="F2" s="6">
        <f>IFERROR(__xludf.DUMMYFUNCTION("""COMPUTED_VALUE"""),6.38564039E8)</f>
        <v>638564039</v>
      </c>
    </row>
    <row r="3">
      <c r="A3" s="7">
        <f>IFERROR(__xludf.DUMMYFUNCTION("""COMPUTED_VALUE"""),45177.64583333333)</f>
        <v>45177.64583</v>
      </c>
      <c r="B3" s="6">
        <f>IFERROR(__xludf.DUMMYFUNCTION("""COMPUTED_VALUE"""),97.5)</f>
        <v>97.5</v>
      </c>
      <c r="C3" s="6">
        <f>IFERROR(__xludf.DUMMYFUNCTION("""COMPUTED_VALUE"""),101.6)</f>
        <v>101.6</v>
      </c>
      <c r="D3" s="6">
        <f>IFERROR(__xludf.DUMMYFUNCTION("""COMPUTED_VALUE"""),97.05)</f>
        <v>97.05</v>
      </c>
      <c r="E3" s="6">
        <f>IFERROR(__xludf.DUMMYFUNCTION("""COMPUTED_VALUE"""),99.6)</f>
        <v>99.6</v>
      </c>
      <c r="F3" s="6">
        <f>IFERROR(__xludf.DUMMYFUNCTION("""COMPUTED_VALUE"""),2.9161667E8)</f>
        <v>291616670</v>
      </c>
    </row>
    <row r="4">
      <c r="A4" s="7">
        <f>IFERROR(__xludf.DUMMYFUNCTION("""COMPUTED_VALUE"""),45184.64583333333)</f>
        <v>45184.64583</v>
      </c>
      <c r="B4" s="6">
        <f>IFERROR(__xludf.DUMMYFUNCTION("""COMPUTED_VALUE"""),100.0)</f>
        <v>100</v>
      </c>
      <c r="C4" s="6">
        <f>IFERROR(__xludf.DUMMYFUNCTION("""COMPUTED_VALUE"""),104.45)</f>
        <v>104.45</v>
      </c>
      <c r="D4" s="6">
        <f>IFERROR(__xludf.DUMMYFUNCTION("""COMPUTED_VALUE"""),96.5)</f>
        <v>96.5</v>
      </c>
      <c r="E4" s="6">
        <f>IFERROR(__xludf.DUMMYFUNCTION("""COMPUTED_VALUE"""),102.95)</f>
        <v>102.95</v>
      </c>
      <c r="F4" s="6">
        <f>IFERROR(__xludf.DUMMYFUNCTION("""COMPUTED_VALUE"""),4.40502812E8)</f>
        <v>440502812</v>
      </c>
    </row>
    <row r="5">
      <c r="A5" s="7">
        <f>IFERROR(__xludf.DUMMYFUNCTION("""COMPUTED_VALUE"""),45191.64583333333)</f>
        <v>45191.64583</v>
      </c>
      <c r="B5" s="6">
        <f>IFERROR(__xludf.DUMMYFUNCTION("""COMPUTED_VALUE"""),103.6)</f>
        <v>103.6</v>
      </c>
      <c r="C5" s="6">
        <f>IFERROR(__xludf.DUMMYFUNCTION("""COMPUTED_VALUE"""),105.0)</f>
        <v>105</v>
      </c>
      <c r="D5" s="6">
        <f>IFERROR(__xludf.DUMMYFUNCTION("""COMPUTED_VALUE"""),98.25)</f>
        <v>98.25</v>
      </c>
      <c r="E5" s="6">
        <f>IFERROR(__xludf.DUMMYFUNCTION("""COMPUTED_VALUE"""),99.9)</f>
        <v>99.9</v>
      </c>
      <c r="F5" s="6">
        <f>IFERROR(__xludf.DUMMYFUNCTION("""COMPUTED_VALUE"""),2.53676486E8)</f>
        <v>253676486</v>
      </c>
    </row>
    <row r="6">
      <c r="A6" s="7">
        <f>IFERROR(__xludf.DUMMYFUNCTION("""COMPUTED_VALUE"""),45198.64583333333)</f>
        <v>45198.64583</v>
      </c>
      <c r="B6" s="6">
        <f>IFERROR(__xludf.DUMMYFUNCTION("""COMPUTED_VALUE"""),100.3)</f>
        <v>100.3</v>
      </c>
      <c r="C6" s="6">
        <f>IFERROR(__xludf.DUMMYFUNCTION("""COMPUTED_VALUE"""),102.75)</f>
        <v>102.75</v>
      </c>
      <c r="D6" s="6">
        <f>IFERROR(__xludf.DUMMYFUNCTION("""COMPUTED_VALUE"""),97.75)</f>
        <v>97.75</v>
      </c>
      <c r="E6" s="6">
        <f>IFERROR(__xludf.DUMMYFUNCTION("""COMPUTED_VALUE"""),101.5)</f>
        <v>101.5</v>
      </c>
      <c r="F6" s="6">
        <f>IFERROR(__xludf.DUMMYFUNCTION("""COMPUTED_VALUE"""),1.81537953E8)</f>
        <v>181537953</v>
      </c>
    </row>
    <row r="7">
      <c r="A7" s="7">
        <f>IFERROR(__xludf.DUMMYFUNCTION("""COMPUTED_VALUE"""),45205.64583333333)</f>
        <v>45205.64583</v>
      </c>
      <c r="B7" s="6">
        <f>IFERROR(__xludf.DUMMYFUNCTION("""COMPUTED_VALUE"""),101.0)</f>
        <v>101</v>
      </c>
      <c r="C7" s="6">
        <f>IFERROR(__xludf.DUMMYFUNCTION("""COMPUTED_VALUE"""),107.7)</f>
        <v>107.7</v>
      </c>
      <c r="D7" s="6">
        <f>IFERROR(__xludf.DUMMYFUNCTION("""COMPUTED_VALUE"""),100.0)</f>
        <v>100</v>
      </c>
      <c r="E7" s="6">
        <f>IFERROR(__xludf.DUMMYFUNCTION("""COMPUTED_VALUE"""),104.45)</f>
        <v>104.45</v>
      </c>
      <c r="F7" s="6">
        <f>IFERROR(__xludf.DUMMYFUNCTION("""COMPUTED_VALUE"""),3.56849901E8)</f>
        <v>356849901</v>
      </c>
    </row>
    <row r="8">
      <c r="A8" s="7">
        <f>IFERROR(__xludf.DUMMYFUNCTION("""COMPUTED_VALUE"""),45212.64583333333)</f>
        <v>45212.64583</v>
      </c>
      <c r="B8" s="6">
        <f>IFERROR(__xludf.DUMMYFUNCTION("""COMPUTED_VALUE"""),103.8)</f>
        <v>103.8</v>
      </c>
      <c r="C8" s="6">
        <f>IFERROR(__xludf.DUMMYFUNCTION("""COMPUTED_VALUE"""),113.25)</f>
        <v>113.25</v>
      </c>
      <c r="D8" s="6">
        <f>IFERROR(__xludf.DUMMYFUNCTION("""COMPUTED_VALUE"""),101.0)</f>
        <v>101</v>
      </c>
      <c r="E8" s="6">
        <f>IFERROR(__xludf.DUMMYFUNCTION("""COMPUTED_VALUE"""),111.0)</f>
        <v>111</v>
      </c>
      <c r="F8" s="6">
        <f>IFERROR(__xludf.DUMMYFUNCTION("""COMPUTED_VALUE"""),3.88859726E8)</f>
        <v>388859726</v>
      </c>
    </row>
    <row r="9">
      <c r="A9" s="7">
        <f>IFERROR(__xludf.DUMMYFUNCTION("""COMPUTED_VALUE"""),45219.64583333333)</f>
        <v>45219.64583</v>
      </c>
      <c r="B9" s="6">
        <f>IFERROR(__xludf.DUMMYFUNCTION("""COMPUTED_VALUE"""),111.9)</f>
        <v>111.9</v>
      </c>
      <c r="C9" s="6">
        <f>IFERROR(__xludf.DUMMYFUNCTION("""COMPUTED_VALUE"""),115.1)</f>
        <v>115.1</v>
      </c>
      <c r="D9" s="6">
        <f>IFERROR(__xludf.DUMMYFUNCTION("""COMPUTED_VALUE"""),109.5)</f>
        <v>109.5</v>
      </c>
      <c r="E9" s="6">
        <f>IFERROR(__xludf.DUMMYFUNCTION("""COMPUTED_VALUE"""),113.35)</f>
        <v>113.35</v>
      </c>
      <c r="F9" s="6">
        <f>IFERROR(__xludf.DUMMYFUNCTION("""COMPUTED_VALUE"""),3.11305669E8)</f>
        <v>311305669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IFERROR(__xludf.DUMMYFUNCTION("""COMPUTED_VALUE"""),113.8)</f>
        <v>113.8</v>
      </c>
      <c r="C10" s="6">
        <f>IFERROR(__xludf.DUMMYFUNCTION("""COMPUTED_VALUE"""),113.9)</f>
        <v>113.9</v>
      </c>
      <c r="D10" s="6">
        <f>IFERROR(__xludf.DUMMYFUNCTION("""COMPUTED_VALUE"""),101.25)</f>
        <v>101.25</v>
      </c>
      <c r="E10" s="6">
        <f>IFERROR(__xludf.DUMMYFUNCTION("""COMPUTED_VALUE"""),105.65)</f>
        <v>105.65</v>
      </c>
      <c r="F10" s="6">
        <f>IFERROR(__xludf.DUMMYFUNCTION("""COMPUTED_VALUE"""),2.82973724E8)</f>
        <v>282973724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IFERROR(__xludf.DUMMYFUNCTION("""COMPUTED_VALUE"""),106.2)</f>
        <v>106.2</v>
      </c>
      <c r="C11" s="6">
        <f>IFERROR(__xludf.DUMMYFUNCTION("""COMPUTED_VALUE"""),119.9)</f>
        <v>119.9</v>
      </c>
      <c r="D11" s="6">
        <f>IFERROR(__xludf.DUMMYFUNCTION("""COMPUTED_VALUE"""),103.25)</f>
        <v>103.25</v>
      </c>
      <c r="E11" s="6">
        <f>IFERROR(__xludf.DUMMYFUNCTION("""COMPUTED_VALUE"""),116.5)</f>
        <v>116.5</v>
      </c>
      <c r="F11" s="6">
        <f>IFERROR(__xludf.DUMMYFUNCTION("""COMPUTED_VALUE"""),4.3149563E8)</f>
        <v>431495630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IFERROR(__xludf.DUMMYFUNCTION("""COMPUTED_VALUE"""),119.6)</f>
        <v>119.6</v>
      </c>
      <c r="C12" s="6">
        <f>IFERROR(__xludf.DUMMYFUNCTION("""COMPUTED_VALUE"""),126.35)</f>
        <v>126.35</v>
      </c>
      <c r="D12" s="6">
        <f>IFERROR(__xludf.DUMMYFUNCTION("""COMPUTED_VALUE"""),118.25)</f>
        <v>118.25</v>
      </c>
      <c r="E12" s="6">
        <f>IFERROR(__xludf.DUMMYFUNCTION("""COMPUTED_VALUE"""),121.3)</f>
        <v>121.3</v>
      </c>
      <c r="F12" s="6">
        <f>IFERROR(__xludf.DUMMYFUNCTION("""COMPUTED_VALUE"""),4.75912594E8)</f>
        <v>475912594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IFERROR(__xludf.DUMMYFUNCTION("""COMPUTED_VALUE"""),123.25)</f>
        <v>123.25</v>
      </c>
      <c r="C13" s="6">
        <f>IFERROR(__xludf.DUMMYFUNCTION("""COMPUTED_VALUE"""),125.2)</f>
        <v>125.2</v>
      </c>
      <c r="D13" s="6">
        <f>IFERROR(__xludf.DUMMYFUNCTION("""COMPUTED_VALUE"""),119.75)</f>
        <v>119.75</v>
      </c>
      <c r="E13" s="6">
        <f>IFERROR(__xludf.DUMMYFUNCTION("""COMPUTED_VALUE"""),122.2)</f>
        <v>122.2</v>
      </c>
      <c r="F13" s="6">
        <f>IFERROR(__xludf.DUMMYFUNCTION("""COMPUTED_VALUE"""),1.79748622E8)</f>
        <v>179748622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IFERROR(__xludf.DUMMYFUNCTION("""COMPUTED_VALUE"""),122.85)</f>
        <v>122.85</v>
      </c>
      <c r="C14" s="6">
        <f>IFERROR(__xludf.DUMMYFUNCTION("""COMPUTED_VALUE"""),123.4)</f>
        <v>123.4</v>
      </c>
      <c r="D14" s="6">
        <f>IFERROR(__xludf.DUMMYFUNCTION("""COMPUTED_VALUE"""),112.5)</f>
        <v>112.5</v>
      </c>
      <c r="E14" s="6">
        <f>IFERROR(__xludf.DUMMYFUNCTION("""COMPUTED_VALUE"""),113.25)</f>
        <v>113.25</v>
      </c>
      <c r="F14" s="6">
        <f>IFERROR(__xludf.DUMMYFUNCTION("""COMPUTED_VALUE"""),2.57087072E8)</f>
        <v>257087072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IFERROR(__xludf.DUMMYFUNCTION("""COMPUTED_VALUE"""),114.9)</f>
        <v>114.9</v>
      </c>
      <c r="C15" s="6">
        <f>IFERROR(__xludf.DUMMYFUNCTION("""COMPUTED_VALUE"""),120.7)</f>
        <v>120.7</v>
      </c>
      <c r="D15" s="6">
        <f>IFERROR(__xludf.DUMMYFUNCTION("""COMPUTED_VALUE"""),113.5)</f>
        <v>113.5</v>
      </c>
      <c r="E15" s="6">
        <f>IFERROR(__xludf.DUMMYFUNCTION("""COMPUTED_VALUE"""),116.3)</f>
        <v>116.3</v>
      </c>
      <c r="F15" s="6">
        <f>IFERROR(__xludf.DUMMYFUNCTION("""COMPUTED_VALUE"""),4.59707026E8)</f>
        <v>459707026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IFERROR(__xludf.DUMMYFUNCTION("""COMPUTED_VALUE"""),118.75)</f>
        <v>118.75</v>
      </c>
      <c r="C16" s="6">
        <f>IFERROR(__xludf.DUMMYFUNCTION("""COMPUTED_VALUE"""),123.9)</f>
        <v>123.9</v>
      </c>
      <c r="D16" s="6">
        <f>IFERROR(__xludf.DUMMYFUNCTION("""COMPUTED_VALUE"""),116.25)</f>
        <v>116.25</v>
      </c>
      <c r="E16" s="6">
        <f>IFERROR(__xludf.DUMMYFUNCTION("""COMPUTED_VALUE"""),119.95)</f>
        <v>119.95</v>
      </c>
      <c r="F16" s="6">
        <f>IFERROR(__xludf.DUMMYFUNCTION("""COMPUTED_VALUE"""),2.68408996E8)</f>
        <v>268408996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IFERROR(__xludf.DUMMYFUNCTION("""COMPUTED_VALUE"""),119.95)</f>
        <v>119.95</v>
      </c>
      <c r="C17" s="6">
        <f>IFERROR(__xludf.DUMMYFUNCTION("""COMPUTED_VALUE"""),125.0)</f>
        <v>125</v>
      </c>
      <c r="D17" s="6">
        <f>IFERROR(__xludf.DUMMYFUNCTION("""COMPUTED_VALUE"""),114.15)</f>
        <v>114.15</v>
      </c>
      <c r="E17" s="6">
        <f>IFERROR(__xludf.DUMMYFUNCTION("""COMPUTED_VALUE"""),123.6)</f>
        <v>123.6</v>
      </c>
      <c r="F17" s="6">
        <f>IFERROR(__xludf.DUMMYFUNCTION("""COMPUTED_VALUE"""),2.34986419E8)</f>
        <v>234986419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IFERROR(__xludf.DUMMYFUNCTION("""COMPUTED_VALUE"""),123.4)</f>
        <v>123.4</v>
      </c>
      <c r="C18" s="6">
        <f>IFERROR(__xludf.DUMMYFUNCTION("""COMPUTED_VALUE"""),131.75)</f>
        <v>131.75</v>
      </c>
      <c r="D18" s="6">
        <f>IFERROR(__xludf.DUMMYFUNCTION("""COMPUTED_VALUE"""),120.2)</f>
        <v>120.2</v>
      </c>
      <c r="E18" s="6">
        <f>IFERROR(__xludf.DUMMYFUNCTION("""COMPUTED_VALUE"""),128.5)</f>
        <v>128.5</v>
      </c>
      <c r="F18" s="6">
        <f>IFERROR(__xludf.DUMMYFUNCTION("""COMPUTED_VALUE"""),3.18116449E8)</f>
        <v>318116449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IFERROR(__xludf.DUMMYFUNCTION("""COMPUTED_VALUE"""),128.5)</f>
        <v>128.5</v>
      </c>
      <c r="C19" s="6">
        <f>IFERROR(__xludf.DUMMYFUNCTION("""COMPUTED_VALUE"""),128.7)</f>
        <v>128.7</v>
      </c>
      <c r="D19" s="6">
        <f>IFERROR(__xludf.DUMMYFUNCTION("""COMPUTED_VALUE"""),120.6)</f>
        <v>120.6</v>
      </c>
      <c r="E19" s="6">
        <f>IFERROR(__xludf.DUMMYFUNCTION("""COMPUTED_VALUE"""),123.7)</f>
        <v>123.7</v>
      </c>
      <c r="F19" s="6">
        <f>IFERROR(__xludf.DUMMYFUNCTION("""COMPUTED_VALUE"""),1.47635425E8)</f>
        <v>147635425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IFERROR(__xludf.DUMMYFUNCTION("""COMPUTED_VALUE"""),124.45)</f>
        <v>124.45</v>
      </c>
      <c r="C20" s="6">
        <f>IFERROR(__xludf.DUMMYFUNCTION("""COMPUTED_VALUE"""),134.35)</f>
        <v>134.35</v>
      </c>
      <c r="D20" s="6">
        <f>IFERROR(__xludf.DUMMYFUNCTION("""COMPUTED_VALUE"""),122.85)</f>
        <v>122.85</v>
      </c>
      <c r="E20" s="6">
        <f>IFERROR(__xludf.DUMMYFUNCTION("""COMPUTED_VALUE"""),133.3)</f>
        <v>133.3</v>
      </c>
      <c r="F20" s="6">
        <f>IFERROR(__xludf.DUMMYFUNCTION("""COMPUTED_VALUE"""),2.33620363E8)</f>
        <v>233620363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IFERROR(__xludf.DUMMYFUNCTION("""COMPUTED_VALUE"""),133.65)</f>
        <v>133.65</v>
      </c>
      <c r="C21" s="6">
        <f>IFERROR(__xludf.DUMMYFUNCTION("""COMPUTED_VALUE"""),141.5)</f>
        <v>141.5</v>
      </c>
      <c r="D21" s="6">
        <f>IFERROR(__xludf.DUMMYFUNCTION("""COMPUTED_VALUE"""),130.0)</f>
        <v>130</v>
      </c>
      <c r="E21" s="6">
        <f>IFERROR(__xludf.DUMMYFUNCTION("""COMPUTED_VALUE"""),139.55)</f>
        <v>139.55</v>
      </c>
      <c r="F21" s="6">
        <f>IFERROR(__xludf.DUMMYFUNCTION("""COMPUTED_VALUE"""),1.89951259E8)</f>
        <v>189951259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IFERROR(__xludf.DUMMYFUNCTION("""COMPUTED_VALUE"""),136.3)</f>
        <v>136.3</v>
      </c>
      <c r="C22" s="6">
        <f>IFERROR(__xludf.DUMMYFUNCTION("""COMPUTED_VALUE"""),138.2)</f>
        <v>138.2</v>
      </c>
      <c r="D22" s="6">
        <f>IFERROR(__xludf.DUMMYFUNCTION("""COMPUTED_VALUE"""),127.0)</f>
        <v>127</v>
      </c>
      <c r="E22" s="6">
        <f>IFERROR(__xludf.DUMMYFUNCTION("""COMPUTED_VALUE"""),136.15)</f>
        <v>136.15</v>
      </c>
      <c r="F22" s="6">
        <f>IFERROR(__xludf.DUMMYFUNCTION("""COMPUTED_VALUE"""),1.87815934E8)</f>
        <v>187815934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IFERROR(__xludf.DUMMYFUNCTION("""COMPUTED_VALUE"""),136.9)</f>
        <v>136.9</v>
      </c>
      <c r="C23" s="6">
        <f>IFERROR(__xludf.DUMMYFUNCTION("""COMPUTED_VALUE"""),145.0)</f>
        <v>145</v>
      </c>
      <c r="D23" s="6">
        <f>IFERROR(__xludf.DUMMYFUNCTION("""COMPUTED_VALUE"""),132.35)</f>
        <v>132.35</v>
      </c>
      <c r="E23" s="6">
        <f>IFERROR(__xludf.DUMMYFUNCTION("""COMPUTED_VALUE"""),143.8)</f>
        <v>143.8</v>
      </c>
      <c r="F23" s="6">
        <f>IFERROR(__xludf.DUMMYFUNCTION("""COMPUTED_VALUE"""),3.52234967E8)</f>
        <v>352234967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IFERROR(__xludf.DUMMYFUNCTION("""COMPUTED_VALUE"""),145.0)</f>
        <v>145</v>
      </c>
      <c r="C24" s="6">
        <f>IFERROR(__xludf.DUMMYFUNCTION("""COMPUTED_VALUE"""),151.4)</f>
        <v>151.4</v>
      </c>
      <c r="D24" s="6">
        <f>IFERROR(__xludf.DUMMYFUNCTION("""COMPUTED_VALUE"""),138.05)</f>
        <v>138.05</v>
      </c>
      <c r="E24" s="6">
        <f>IFERROR(__xludf.DUMMYFUNCTION("""COMPUTED_VALUE"""),149.45)</f>
        <v>149.45</v>
      </c>
      <c r="F24" s="6">
        <f>IFERROR(__xludf.DUMMYFUNCTION("""COMPUTED_VALUE"""),6.18814542E8)</f>
        <v>618814542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IFERROR(__xludf.DUMMYFUNCTION("""COMPUTED_VALUE"""),151.0)</f>
        <v>151</v>
      </c>
      <c r="C25" s="6">
        <f>IFERROR(__xludf.DUMMYFUNCTION("""COMPUTED_VALUE"""),160.0)</f>
        <v>160</v>
      </c>
      <c r="D25" s="6">
        <f>IFERROR(__xludf.DUMMYFUNCTION("""COMPUTED_VALUE"""),149.0)</f>
        <v>149</v>
      </c>
      <c r="E25" s="6">
        <f>IFERROR(__xludf.DUMMYFUNCTION("""COMPUTED_VALUE"""),156.7)</f>
        <v>156.7</v>
      </c>
      <c r="F25" s="6">
        <f>IFERROR(__xludf.DUMMYFUNCTION("""COMPUTED_VALUE"""),4.12581787E8)</f>
        <v>412581787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IFERROR(__xludf.DUMMYFUNCTION("""COMPUTED_VALUE"""),157.45)</f>
        <v>157.45</v>
      </c>
      <c r="C26" s="6">
        <f>IFERROR(__xludf.DUMMYFUNCTION("""COMPUTED_VALUE"""),167.8)</f>
        <v>167.8</v>
      </c>
      <c r="D26" s="6">
        <f>IFERROR(__xludf.DUMMYFUNCTION("""COMPUTED_VALUE"""),155.6)</f>
        <v>155.6</v>
      </c>
      <c r="E26" s="6">
        <f>IFERROR(__xludf.DUMMYFUNCTION("""COMPUTED_VALUE"""),164.05)</f>
        <v>164.05</v>
      </c>
      <c r="F26" s="6">
        <f>IFERROR(__xludf.DUMMYFUNCTION("""COMPUTED_VALUE"""),3.4153138E8)</f>
        <v>341531380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IFERROR(__xludf.DUMMYFUNCTION("""COMPUTED_VALUE"""),168.0)</f>
        <v>168</v>
      </c>
      <c r="C27" s="6">
        <f>IFERROR(__xludf.DUMMYFUNCTION("""COMPUTED_VALUE"""),175.6)</f>
        <v>175.6</v>
      </c>
      <c r="D27" s="6">
        <f>IFERROR(__xludf.DUMMYFUNCTION("""COMPUTED_VALUE"""),157.5)</f>
        <v>157.5</v>
      </c>
      <c r="E27" s="6">
        <f>IFERROR(__xludf.DUMMYFUNCTION("""COMPUTED_VALUE"""),160.0)</f>
        <v>160</v>
      </c>
      <c r="F27" s="6">
        <f>IFERROR(__xludf.DUMMYFUNCTION("""COMPUTED_VALUE"""),2.24372076E8)</f>
        <v>224372076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IFERROR(__xludf.DUMMYFUNCTION("""COMPUTED_VALUE"""),161.0)</f>
        <v>161</v>
      </c>
      <c r="C28" s="6">
        <f>IFERROR(__xludf.DUMMYFUNCTION("""COMPUTED_VALUE"""),163.2)</f>
        <v>163.2</v>
      </c>
      <c r="D28" s="6">
        <f>IFERROR(__xludf.DUMMYFUNCTION("""COMPUTED_VALUE"""),144.3)</f>
        <v>144.3</v>
      </c>
      <c r="E28" s="6">
        <f>IFERROR(__xludf.DUMMYFUNCTION("""COMPUTED_VALUE"""),160.05)</f>
        <v>160.05</v>
      </c>
      <c r="F28" s="6">
        <f>IFERROR(__xludf.DUMMYFUNCTION("""COMPUTED_VALUE"""),2.76675244E8)</f>
        <v>276675244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IFERROR(__xludf.DUMMYFUNCTION("""COMPUTED_VALUE"""),162.5)</f>
        <v>162.5</v>
      </c>
      <c r="C29" s="6">
        <f>IFERROR(__xludf.DUMMYFUNCTION("""COMPUTED_VALUE"""),174.9)</f>
        <v>174.9</v>
      </c>
      <c r="D29" s="6">
        <f>IFERROR(__xludf.DUMMYFUNCTION("""COMPUTED_VALUE"""),156.5)</f>
        <v>156.5</v>
      </c>
      <c r="E29" s="6">
        <f>IFERROR(__xludf.DUMMYFUNCTION("""COMPUTED_VALUE"""),174.2)</f>
        <v>174.2</v>
      </c>
      <c r="F29" s="6">
        <f>IFERROR(__xludf.DUMMYFUNCTION("""COMPUTED_VALUE"""),1.89778958E8)</f>
        <v>189778958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IFERROR(__xludf.DUMMYFUNCTION("""COMPUTED_VALUE"""),173.4)</f>
        <v>173.4</v>
      </c>
      <c r="C30" s="6">
        <f>IFERROR(__xludf.DUMMYFUNCTION("""COMPUTED_VALUE"""),189.0)</f>
        <v>189</v>
      </c>
      <c r="D30" s="6">
        <f>IFERROR(__xludf.DUMMYFUNCTION("""COMPUTED_VALUE"""),172.2)</f>
        <v>172.2</v>
      </c>
      <c r="E30" s="6">
        <f>IFERROR(__xludf.DUMMYFUNCTION("""COMPUTED_VALUE"""),182.1)</f>
        <v>182.1</v>
      </c>
      <c r="F30" s="6">
        <f>IFERROR(__xludf.DUMMYFUNCTION("""COMPUTED_VALUE"""),1.57686507E8)</f>
        <v>157686507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IFERROR(__xludf.DUMMYFUNCTION("""COMPUTED_VALUE"""),183.9)</f>
        <v>183.9</v>
      </c>
      <c r="C31" s="6">
        <f>IFERROR(__xludf.DUMMYFUNCTION("""COMPUTED_VALUE"""),191.8)</f>
        <v>191.8</v>
      </c>
      <c r="D31" s="6">
        <f>IFERROR(__xludf.DUMMYFUNCTION("""COMPUTED_VALUE"""),177.85)</f>
        <v>177.85</v>
      </c>
      <c r="E31" s="6">
        <f>IFERROR(__xludf.DUMMYFUNCTION("""COMPUTED_VALUE"""),190.5)</f>
        <v>190.5</v>
      </c>
      <c r="F31" s="6">
        <f>IFERROR(__xludf.DUMMYFUNCTION("""COMPUTED_VALUE"""),1.69411516E8)</f>
        <v>169411516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IFERROR(__xludf.DUMMYFUNCTION("""COMPUTED_VALUE"""),191.6)</f>
        <v>191.6</v>
      </c>
      <c r="C32" s="6">
        <f>IFERROR(__xludf.DUMMYFUNCTION("""COMPUTED_VALUE"""),199.7)</f>
        <v>199.7</v>
      </c>
      <c r="D32" s="6">
        <f>IFERROR(__xludf.DUMMYFUNCTION("""COMPUTED_VALUE"""),188.75)</f>
        <v>188.75</v>
      </c>
      <c r="E32" s="6">
        <f>IFERROR(__xludf.DUMMYFUNCTION("""COMPUTED_VALUE"""),192.1)</f>
        <v>192.1</v>
      </c>
      <c r="F32" s="6">
        <f>IFERROR(__xludf.DUMMYFUNCTION("""COMPUTED_VALUE"""),1.45602997E8)</f>
        <v>145602997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IFERROR(__xludf.DUMMYFUNCTION("""COMPUTED_VALUE"""),188.0)</f>
        <v>188</v>
      </c>
      <c r="C33" s="6">
        <f>IFERROR(__xludf.DUMMYFUNCTION("""COMPUTED_VALUE"""),192.4)</f>
        <v>192.4</v>
      </c>
      <c r="D33" s="6">
        <f>IFERROR(__xludf.DUMMYFUNCTION("""COMPUTED_VALUE"""),181.4)</f>
        <v>181.4</v>
      </c>
      <c r="E33" s="6">
        <f>IFERROR(__xludf.DUMMYFUNCTION("""COMPUTED_VALUE"""),189.2)</f>
        <v>189.2</v>
      </c>
      <c r="F33" s="6">
        <f>IFERROR(__xludf.DUMMYFUNCTION("""COMPUTED_VALUE"""),1.61188612E8)</f>
        <v>161188612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IFERROR(__xludf.DUMMYFUNCTION("""COMPUTED_VALUE"""),193.0)</f>
        <v>193</v>
      </c>
      <c r="C34" s="6">
        <f>IFERROR(__xludf.DUMMYFUNCTION("""COMPUTED_VALUE"""),197.7)</f>
        <v>197.7</v>
      </c>
      <c r="D34" s="6">
        <f>IFERROR(__xludf.DUMMYFUNCTION("""COMPUTED_VALUE"""),182.5)</f>
        <v>182.5</v>
      </c>
      <c r="E34" s="6">
        <f>IFERROR(__xludf.DUMMYFUNCTION("""COMPUTED_VALUE"""),188.1)</f>
        <v>188.1</v>
      </c>
      <c r="F34" s="6">
        <f>IFERROR(__xludf.DUMMYFUNCTION("""COMPUTED_VALUE"""),1.69773004E8)</f>
        <v>169773004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IFERROR(__xludf.DUMMYFUNCTION("""COMPUTED_VALUE"""),189.4)</f>
        <v>189.4</v>
      </c>
      <c r="C35" s="6">
        <f>IFERROR(__xludf.DUMMYFUNCTION("""COMPUTED_VALUE"""),200.35)</f>
        <v>200.35</v>
      </c>
      <c r="D35" s="6">
        <f>IFERROR(__xludf.DUMMYFUNCTION("""COMPUTED_VALUE"""),186.45)</f>
        <v>186.45</v>
      </c>
      <c r="E35" s="6">
        <f>IFERROR(__xludf.DUMMYFUNCTION("""COMPUTED_VALUE"""),197.25)</f>
        <v>197.25</v>
      </c>
      <c r="F35" s="6">
        <f>IFERROR(__xludf.DUMMYFUNCTION("""COMPUTED_VALUE"""),1.38072217E8)</f>
        <v>138072217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IFERROR(__xludf.DUMMYFUNCTION("""COMPUTED_VALUE"""),199.0)</f>
        <v>199</v>
      </c>
      <c r="C36" s="6">
        <f>IFERROR(__xludf.DUMMYFUNCTION("""COMPUTED_VALUE"""),205.0)</f>
        <v>205</v>
      </c>
      <c r="D36" s="6">
        <f>IFERROR(__xludf.DUMMYFUNCTION("""COMPUTED_VALUE"""),182.35)</f>
        <v>182.35</v>
      </c>
      <c r="E36" s="6">
        <f>IFERROR(__xludf.DUMMYFUNCTION("""COMPUTED_VALUE"""),201.3)</f>
        <v>201.3</v>
      </c>
      <c r="F36" s="6">
        <f>IFERROR(__xludf.DUMMYFUNCTION("""COMPUTED_VALUE"""),2.2248958E8)</f>
        <v>222489580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IFERROR(__xludf.DUMMYFUNCTION("""COMPUTED_VALUE"""),194.4)</f>
        <v>194.4</v>
      </c>
      <c r="C37" s="6">
        <f>IFERROR(__xludf.DUMMYFUNCTION("""COMPUTED_VALUE"""),196.5)</f>
        <v>196.5</v>
      </c>
      <c r="D37" s="6">
        <f>IFERROR(__xludf.DUMMYFUNCTION("""COMPUTED_VALUE"""),179.1)</f>
        <v>179.1</v>
      </c>
      <c r="E37" s="6">
        <f>IFERROR(__xludf.DUMMYFUNCTION("""COMPUTED_VALUE"""),182.9)</f>
        <v>182.9</v>
      </c>
      <c r="F37" s="6">
        <f>IFERROR(__xludf.DUMMYFUNCTION("""COMPUTED_VALUE"""),1.31822823E8)</f>
        <v>131822823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IFERROR(__xludf.DUMMYFUNCTION("""COMPUTED_VALUE"""),183.9)</f>
        <v>183.9</v>
      </c>
      <c r="C38" s="6">
        <f>IFERROR(__xludf.DUMMYFUNCTION("""COMPUTED_VALUE"""),185.45)</f>
        <v>185.45</v>
      </c>
      <c r="D38" s="6">
        <f>IFERROR(__xludf.DUMMYFUNCTION("""COMPUTED_VALUE"""),171.25)</f>
        <v>171.25</v>
      </c>
      <c r="E38" s="6">
        <f>IFERROR(__xludf.DUMMYFUNCTION("""COMPUTED_VALUE"""),179.15)</f>
        <v>179.15</v>
      </c>
      <c r="F38" s="6">
        <f>IFERROR(__xludf.DUMMYFUNCTION("""COMPUTED_VALUE"""),2.95952571E8)</f>
        <v>295952571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IFERROR(__xludf.DUMMYFUNCTION("""COMPUTED_VALUE"""),184.5)</f>
        <v>184.5</v>
      </c>
      <c r="C39" s="6">
        <f>IFERROR(__xludf.DUMMYFUNCTION("""COMPUTED_VALUE"""),187.0)</f>
        <v>187</v>
      </c>
      <c r="D39" s="6">
        <f>IFERROR(__xludf.DUMMYFUNCTION("""COMPUTED_VALUE"""),146.3)</f>
        <v>146.3</v>
      </c>
      <c r="E39" s="6">
        <f>IFERROR(__xludf.DUMMYFUNCTION("""COMPUTED_VALUE"""),184.0)</f>
        <v>184</v>
      </c>
      <c r="F39" s="6">
        <f>IFERROR(__xludf.DUMMYFUNCTION("""COMPUTED_VALUE"""),2.39986479E8)</f>
        <v>239986479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IFERROR(__xludf.DUMMYFUNCTION("""COMPUTED_VALUE"""),184.0)</f>
        <v>184</v>
      </c>
      <c r="C40" s="6">
        <f>IFERROR(__xludf.DUMMYFUNCTION("""COMPUTED_VALUE"""),186.6)</f>
        <v>186.6</v>
      </c>
      <c r="D40" s="6">
        <f>IFERROR(__xludf.DUMMYFUNCTION("""COMPUTED_VALUE"""),179.33)</f>
        <v>179.33</v>
      </c>
      <c r="E40" s="6">
        <f>IFERROR(__xludf.DUMMYFUNCTION("""COMPUTED_VALUE"""),186.24)</f>
        <v>186.24</v>
      </c>
      <c r="F40" s="6">
        <f>IFERROR(__xludf.DUMMYFUNCTION("""COMPUTED_VALUE"""),1.95512895E8)</f>
        <v>195512895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IFERROR(__xludf.DUMMYFUNCTION("""COMPUTED_VALUE"""),187.5)</f>
        <v>187.5</v>
      </c>
      <c r="C41" s="6">
        <f>IFERROR(__xludf.DUMMYFUNCTION("""COMPUTED_VALUE"""),201.8)</f>
        <v>201.8</v>
      </c>
      <c r="D41" s="6">
        <f>IFERROR(__xludf.DUMMYFUNCTION("""COMPUTED_VALUE"""),184.8)</f>
        <v>184.8</v>
      </c>
      <c r="E41" s="6">
        <f>IFERROR(__xludf.DUMMYFUNCTION("""COMPUTED_VALUE"""),193.95)</f>
        <v>193.95</v>
      </c>
      <c r="F41" s="6">
        <f>IFERROR(__xludf.DUMMYFUNCTION("""COMPUTED_VALUE"""),2.35144628E8)</f>
        <v>235144628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IFERROR(__xludf.DUMMYFUNCTION("""COMPUTED_VALUE"""),193.9)</f>
        <v>193.9</v>
      </c>
      <c r="C42" s="6">
        <f>IFERROR(__xludf.DUMMYFUNCTION("""COMPUTED_VALUE"""),204.7)</f>
        <v>204.7</v>
      </c>
      <c r="D42" s="6">
        <f>IFERROR(__xludf.DUMMYFUNCTION("""COMPUTED_VALUE"""),191.95)</f>
        <v>191.95</v>
      </c>
      <c r="E42" s="6">
        <f>IFERROR(__xludf.DUMMYFUNCTION("""COMPUTED_VALUE"""),200.56)</f>
        <v>200.56</v>
      </c>
      <c r="F42" s="6">
        <f>IFERROR(__xludf.DUMMYFUNCTION("""COMPUTED_VALUE"""),2.036297E8)</f>
        <v>203629700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IFERROR(__xludf.DUMMYFUNCTION("""COMPUTED_VALUE"""),199.71)</f>
        <v>199.71</v>
      </c>
      <c r="C43" s="6">
        <f>IFERROR(__xludf.DUMMYFUNCTION("""COMPUTED_VALUE"""),213.95)</f>
        <v>213.95</v>
      </c>
      <c r="D43" s="6">
        <f>IFERROR(__xludf.DUMMYFUNCTION("""COMPUTED_VALUE"""),194.56)</f>
        <v>194.56</v>
      </c>
      <c r="E43" s="6">
        <f>IFERROR(__xludf.DUMMYFUNCTION("""COMPUTED_VALUE"""),207.57)</f>
        <v>207.57</v>
      </c>
      <c r="F43" s="6">
        <f>IFERROR(__xludf.DUMMYFUNCTION("""COMPUTED_VALUE"""),2.403999E8)</f>
        <v>240399900</v>
      </c>
    </row>
    <row r="44">
      <c r="A44" s="7">
        <f>IFERROR(__xludf.DUMMYFUNCTION("""COMPUTED_VALUE"""),45485.64583333333)</f>
        <v>45485.64583</v>
      </c>
      <c r="B44" s="6">
        <f>IFERROR(__xludf.DUMMYFUNCTION("""COMPUTED_VALUE"""),208.25)</f>
        <v>208.25</v>
      </c>
      <c r="C44" s="6">
        <f>IFERROR(__xludf.DUMMYFUNCTION("""COMPUTED_VALUE"""),223.25)</f>
        <v>223.25</v>
      </c>
      <c r="D44" s="6">
        <f>IFERROR(__xludf.DUMMYFUNCTION("""COMPUTED_VALUE"""),205.74)</f>
        <v>205.74</v>
      </c>
      <c r="E44" s="6">
        <f>IFERROR(__xludf.DUMMYFUNCTION("""COMPUTED_VALUE"""),222.47)</f>
        <v>222.47</v>
      </c>
      <c r="F44" s="6">
        <f>IFERROR(__xludf.DUMMYFUNCTION("""COMPUTED_VALUE"""),1.78774698E8)</f>
        <v>178774698</v>
      </c>
    </row>
    <row r="45">
      <c r="A45" s="7">
        <f>IFERROR(__xludf.DUMMYFUNCTION("""COMPUTED_VALUE"""),45492.64583333333)</f>
        <v>45492.64583</v>
      </c>
      <c r="B45" s="6">
        <f>IFERROR(__xludf.DUMMYFUNCTION("""COMPUTED_VALUE"""),225.0)</f>
        <v>225</v>
      </c>
      <c r="C45" s="6">
        <f>IFERROR(__xludf.DUMMYFUNCTION("""COMPUTED_VALUE"""),232.0)</f>
        <v>232</v>
      </c>
      <c r="D45" s="6">
        <f>IFERROR(__xludf.DUMMYFUNCTION("""COMPUTED_VALUE"""),210.25)</f>
        <v>210.25</v>
      </c>
      <c r="E45" s="6">
        <f>IFERROR(__xludf.DUMMYFUNCTION("""COMPUTED_VALUE"""),218.89)</f>
        <v>218.89</v>
      </c>
      <c r="F45" s="6">
        <f>IFERROR(__xludf.DUMMYFUNCTION("""COMPUTED_VALUE"""),1.93679626E8)</f>
        <v>193679626</v>
      </c>
    </row>
    <row r="46">
      <c r="A46" s="7">
        <f>IFERROR(__xludf.DUMMYFUNCTION("""COMPUTED_VALUE"""),45499.64583333333)</f>
        <v>45499.64583</v>
      </c>
      <c r="B46" s="6">
        <f>IFERROR(__xludf.DUMMYFUNCTION("""COMPUTED_VALUE"""),214.0)</f>
        <v>214</v>
      </c>
      <c r="C46" s="6">
        <f>IFERROR(__xludf.DUMMYFUNCTION("""COMPUTED_VALUE"""),226.62)</f>
        <v>226.62</v>
      </c>
      <c r="D46" s="6">
        <f>IFERROR(__xludf.DUMMYFUNCTION("""COMPUTED_VALUE"""),207.0)</f>
        <v>207</v>
      </c>
      <c r="E46" s="6">
        <f>IFERROR(__xludf.DUMMYFUNCTION("""COMPUTED_VALUE"""),224.62)</f>
        <v>224.62</v>
      </c>
      <c r="F46" s="6">
        <f>IFERROR(__xludf.DUMMYFUNCTION("""COMPUTED_VALUE"""),1.644685E8)</f>
        <v>164468500</v>
      </c>
    </row>
    <row r="47">
      <c r="A47" s="7">
        <f>IFERROR(__xludf.DUMMYFUNCTION("""COMPUTED_VALUE"""),45506.64583333333)</f>
        <v>45506.64583</v>
      </c>
      <c r="B47" s="6">
        <f>IFERROR(__xludf.DUMMYFUNCTION("""COMPUTED_VALUE"""),226.62)</f>
        <v>226.62</v>
      </c>
      <c r="C47" s="6">
        <f>IFERROR(__xludf.DUMMYFUNCTION("""COMPUTED_VALUE"""),278.7)</f>
        <v>278.7</v>
      </c>
      <c r="D47" s="6">
        <f>IFERROR(__xludf.DUMMYFUNCTION("""COMPUTED_VALUE"""),224.1)</f>
        <v>224.1</v>
      </c>
      <c r="E47" s="6">
        <f>IFERROR(__xludf.DUMMYFUNCTION("""COMPUTED_VALUE"""),262.34)</f>
        <v>262.34</v>
      </c>
      <c r="F47" s="6">
        <f>IFERROR(__xludf.DUMMYFUNCTION("""COMPUTED_VALUE"""),5.81982221E8)</f>
        <v>581982221</v>
      </c>
    </row>
    <row r="48">
      <c r="A48" s="7">
        <f>IFERROR(__xludf.DUMMYFUNCTION("""COMPUTED_VALUE"""),45513.64583333333)</f>
        <v>45513.64583</v>
      </c>
      <c r="B48" s="6">
        <f>IFERROR(__xludf.DUMMYFUNCTION("""COMPUTED_VALUE"""),254.0)</f>
        <v>254</v>
      </c>
      <c r="C48" s="6">
        <f>IFERROR(__xludf.DUMMYFUNCTION("""COMPUTED_VALUE"""),275.0)</f>
        <v>275</v>
      </c>
      <c r="D48" s="6">
        <f>IFERROR(__xludf.DUMMYFUNCTION("""COMPUTED_VALUE"""),247.2)</f>
        <v>247.2</v>
      </c>
      <c r="E48" s="6">
        <f>IFERROR(__xludf.DUMMYFUNCTION("""COMPUTED_VALUE"""),267.09)</f>
        <v>267.09</v>
      </c>
      <c r="F48" s="6">
        <f>IFERROR(__xludf.DUMMYFUNCTION("""COMPUTED_VALUE"""),5.37464038E8)</f>
        <v>537464038</v>
      </c>
    </row>
    <row r="49">
      <c r="A49" s="7">
        <f>IFERROR(__xludf.DUMMYFUNCTION("""COMPUTED_VALUE"""),45520.64583333333)</f>
        <v>45520.64583</v>
      </c>
      <c r="B49" s="6">
        <f>IFERROR(__xludf.DUMMYFUNCTION("""COMPUTED_VALUE"""),263.5)</f>
        <v>263.5</v>
      </c>
      <c r="C49" s="6">
        <f>IFERROR(__xludf.DUMMYFUNCTION("""COMPUTED_VALUE"""),266.49)</f>
        <v>266.49</v>
      </c>
      <c r="D49" s="6">
        <f>IFERROR(__xludf.DUMMYFUNCTION("""COMPUTED_VALUE"""),255.5)</f>
        <v>255.5</v>
      </c>
      <c r="E49" s="6">
        <f>IFERROR(__xludf.DUMMYFUNCTION("""COMPUTED_VALUE"""),264.43)</f>
        <v>264.43</v>
      </c>
      <c r="F49" s="6">
        <f>IFERROR(__xludf.DUMMYFUNCTION("""COMPUTED_VALUE"""),1.44309902E8)</f>
        <v>144309902</v>
      </c>
    </row>
    <row r="50">
      <c r="A50" s="7">
        <f>IFERROR(__xludf.DUMMYFUNCTION("""COMPUTED_VALUE"""),45527.64583333333)</f>
        <v>45527.64583</v>
      </c>
      <c r="B50" s="6">
        <f>IFERROR(__xludf.DUMMYFUNCTION("""COMPUTED_VALUE"""),278.0)</f>
        <v>278</v>
      </c>
      <c r="C50" s="6">
        <f>IFERROR(__xludf.DUMMYFUNCTION("""COMPUTED_VALUE"""),280.9)</f>
        <v>280.9</v>
      </c>
      <c r="D50" s="6">
        <f>IFERROR(__xludf.DUMMYFUNCTION("""COMPUTED_VALUE"""),256.01)</f>
        <v>256.01</v>
      </c>
      <c r="E50" s="6">
        <f>IFERROR(__xludf.DUMMYFUNCTION("""COMPUTED_VALUE"""),262.65)</f>
        <v>262.65</v>
      </c>
      <c r="F50" s="6">
        <f>IFERROR(__xludf.DUMMYFUNCTION("""COMPUTED_VALUE"""),4.27552275E8)</f>
        <v>427552275</v>
      </c>
    </row>
    <row r="51">
      <c r="A51" s="7">
        <f>IFERROR(__xludf.DUMMYFUNCTION("""COMPUTED_VALUE"""),45534.64583333333)</f>
        <v>45534.64583</v>
      </c>
      <c r="B51" s="6">
        <f>IFERROR(__xludf.DUMMYFUNCTION("""COMPUTED_VALUE"""),263.8)</f>
        <v>263.8</v>
      </c>
      <c r="C51" s="6">
        <f>IFERROR(__xludf.DUMMYFUNCTION("""COMPUTED_VALUE"""),264.42)</f>
        <v>264.42</v>
      </c>
      <c r="D51" s="6">
        <f>IFERROR(__xludf.DUMMYFUNCTION("""COMPUTED_VALUE"""),248.51)</f>
        <v>248.51</v>
      </c>
      <c r="E51" s="6">
        <f>IFERROR(__xludf.DUMMYFUNCTION("""COMPUTED_VALUE"""),250.53)</f>
        <v>250.53</v>
      </c>
      <c r="F51" s="6">
        <f>IFERROR(__xludf.DUMMYFUNCTION("""COMPUTED_VALUE"""),1.84529581E8)</f>
        <v>184529581</v>
      </c>
    </row>
    <row r="52">
      <c r="A52" s="7">
        <f>IFERROR(__xludf.DUMMYFUNCTION("""COMPUTED_VALUE"""),45541.64583333333)</f>
        <v>45541.64583</v>
      </c>
      <c r="B52" s="6">
        <f>IFERROR(__xludf.DUMMYFUNCTION("""COMPUTED_VALUE"""),252.0)</f>
        <v>252</v>
      </c>
      <c r="C52" s="6">
        <f>IFERROR(__xludf.DUMMYFUNCTION("""COMPUTED_VALUE"""),262.15)</f>
        <v>262.15</v>
      </c>
      <c r="D52" s="6">
        <f>IFERROR(__xludf.DUMMYFUNCTION("""COMPUTED_VALUE"""),240.4)</f>
        <v>240.4</v>
      </c>
      <c r="E52" s="6">
        <f>IFERROR(__xludf.DUMMYFUNCTION("""COMPUTED_VALUE"""),259.95)</f>
        <v>259.95</v>
      </c>
      <c r="F52" s="6">
        <f>IFERROR(__xludf.DUMMYFUNCTION("""COMPUTED_VALUE"""),3.72462299E8)</f>
        <v>372462299</v>
      </c>
    </row>
    <row r="53">
      <c r="A53" s="7">
        <f>IFERROR(__xludf.DUMMYFUNCTION("""COMPUTED_VALUE"""),45548.64583333333)</f>
        <v>45548.64583</v>
      </c>
      <c r="B53" s="6">
        <f>IFERROR(__xludf.DUMMYFUNCTION("""COMPUTED_VALUE"""),260.0)</f>
        <v>260</v>
      </c>
      <c r="C53" s="6">
        <f>IFERROR(__xludf.DUMMYFUNCTION("""COMPUTED_VALUE"""),286.45)</f>
        <v>286.45</v>
      </c>
      <c r="D53" s="6">
        <f>IFERROR(__xludf.DUMMYFUNCTION("""COMPUTED_VALUE"""),256.3)</f>
        <v>256.3</v>
      </c>
      <c r="E53" s="6">
        <f>IFERROR(__xludf.DUMMYFUNCTION("""COMPUTED_VALUE"""),272.9)</f>
        <v>272.9</v>
      </c>
      <c r="F53" s="6">
        <f>IFERROR(__xludf.DUMMYFUNCTION("""COMPUTED_VALUE"""),4.32919978E8)</f>
        <v>432919978</v>
      </c>
    </row>
    <row r="54">
      <c r="A54" s="7">
        <f>IFERROR(__xludf.DUMMYFUNCTION("""COMPUTED_VALUE"""),45555.64583333333)</f>
        <v>45555.64583</v>
      </c>
      <c r="B54" s="6">
        <f>IFERROR(__xludf.DUMMYFUNCTION("""COMPUTED_VALUE"""),274.5)</f>
        <v>274.5</v>
      </c>
      <c r="C54" s="6">
        <f>IFERROR(__xludf.DUMMYFUNCTION("""COMPUTED_VALUE"""),293.0)</f>
        <v>293</v>
      </c>
      <c r="D54" s="6">
        <f>IFERROR(__xludf.DUMMYFUNCTION("""COMPUTED_VALUE"""),269.2)</f>
        <v>269.2</v>
      </c>
      <c r="E54" s="6">
        <f>IFERROR(__xludf.DUMMYFUNCTION("""COMPUTED_VALUE"""),290.5)</f>
        <v>290.5</v>
      </c>
      <c r="F54" s="6">
        <f>IFERROR(__xludf.DUMMYFUNCTION("""COMPUTED_VALUE"""),2.44174894E8)</f>
        <v>244174894</v>
      </c>
    </row>
    <row r="55">
      <c r="A55" s="7">
        <f>IFERROR(__xludf.DUMMYFUNCTION("""COMPUTED_VALUE"""),45562.64583333333)</f>
        <v>45562.64583</v>
      </c>
      <c r="B55" s="6">
        <f>IFERROR(__xludf.DUMMYFUNCTION("""COMPUTED_VALUE"""),292.0)</f>
        <v>292</v>
      </c>
      <c r="C55" s="6">
        <f>IFERROR(__xludf.DUMMYFUNCTION("""COMPUTED_VALUE"""),298.25)</f>
        <v>298.25</v>
      </c>
      <c r="D55" s="6">
        <f>IFERROR(__xludf.DUMMYFUNCTION("""COMPUTED_VALUE"""),273.5)</f>
        <v>273.5</v>
      </c>
      <c r="E55" s="6">
        <f>IFERROR(__xludf.DUMMYFUNCTION("""COMPUTED_VALUE"""),278.15)</f>
        <v>278.15</v>
      </c>
      <c r="F55" s="6">
        <f>IFERROR(__xludf.DUMMYFUNCTION("""COMPUTED_VALUE"""),2.35162814E8)</f>
        <v>235162814</v>
      </c>
    </row>
    <row r="56">
      <c r="A56" s="7">
        <f>IFERROR(__xludf.DUMMYFUNCTION("""COMPUTED_VALUE"""),45569.64583333333)</f>
        <v>45569.64583</v>
      </c>
      <c r="B56" s="6">
        <f>IFERROR(__xludf.DUMMYFUNCTION("""COMPUTED_VALUE"""),277.9)</f>
        <v>277.9</v>
      </c>
      <c r="C56" s="6">
        <f>IFERROR(__xludf.DUMMYFUNCTION("""COMPUTED_VALUE"""),277.9)</f>
        <v>277.9</v>
      </c>
      <c r="D56" s="6">
        <f>IFERROR(__xludf.DUMMYFUNCTION("""COMPUTED_VALUE"""),264.1)</f>
        <v>264.1</v>
      </c>
      <c r="E56" s="6">
        <f>IFERROR(__xludf.DUMMYFUNCTION("""COMPUTED_VALUE"""),275.3)</f>
        <v>275.3</v>
      </c>
      <c r="F56" s="6">
        <f>IFERROR(__xludf.DUMMYFUNCTION("""COMPUTED_VALUE"""),1.72981785E8)</f>
        <v>172981785</v>
      </c>
    </row>
    <row r="57">
      <c r="A57" s="7">
        <f>IFERROR(__xludf.DUMMYFUNCTION("""COMPUTED_VALUE"""),45576.64583333333)</f>
        <v>45576.64583</v>
      </c>
      <c r="B57" s="6">
        <f>IFERROR(__xludf.DUMMYFUNCTION("""COMPUTED_VALUE"""),278.55)</f>
        <v>278.55</v>
      </c>
      <c r="C57" s="6">
        <f>IFERROR(__xludf.DUMMYFUNCTION("""COMPUTED_VALUE"""),290.0)</f>
        <v>290</v>
      </c>
      <c r="D57" s="6">
        <f>IFERROR(__xludf.DUMMYFUNCTION("""COMPUTED_VALUE"""),261.6)</f>
        <v>261.6</v>
      </c>
      <c r="E57" s="6">
        <f>IFERROR(__xludf.DUMMYFUNCTION("""COMPUTED_VALUE"""),277.55)</f>
        <v>277.55</v>
      </c>
      <c r="F57" s="6">
        <f>IFERROR(__xludf.DUMMYFUNCTION("""COMPUTED_VALUE"""),2.39339411E8)</f>
        <v>239339411</v>
      </c>
    </row>
    <row r="58">
      <c r="A58" s="7">
        <f>IFERROR(__xludf.DUMMYFUNCTION("""COMPUTED_VALUE"""),45583.64583333333)</f>
        <v>45583.64583</v>
      </c>
      <c r="B58" s="6">
        <f>IFERROR(__xludf.DUMMYFUNCTION("""COMPUTED_VALUE"""),280.9)</f>
        <v>280.9</v>
      </c>
      <c r="C58" s="6">
        <f>IFERROR(__xludf.DUMMYFUNCTION("""COMPUTED_VALUE"""),285.25)</f>
        <v>285.25</v>
      </c>
      <c r="D58" s="6">
        <f>IFERROR(__xludf.DUMMYFUNCTION("""COMPUTED_VALUE"""),255.25)</f>
        <v>255.25</v>
      </c>
      <c r="E58" s="6">
        <f>IFERROR(__xludf.DUMMYFUNCTION("""COMPUTED_VALUE"""),257.45)</f>
        <v>257.45</v>
      </c>
      <c r="F58" s="6">
        <f>IFERROR(__xludf.DUMMYFUNCTION("""COMPUTED_VALUE"""),2.23322675E8)</f>
        <v>223322675</v>
      </c>
    </row>
    <row r="59">
      <c r="A59" s="7">
        <f>IFERROR(__xludf.DUMMYFUNCTION("""COMPUTED_VALUE"""),45590.64583333333)</f>
        <v>45590.64583</v>
      </c>
      <c r="B59" s="6">
        <f>IFERROR(__xludf.DUMMYFUNCTION("""COMPUTED_VALUE"""),258.0)</f>
        <v>258</v>
      </c>
      <c r="C59" s="6">
        <f>IFERROR(__xludf.DUMMYFUNCTION("""COMPUTED_VALUE"""),270.9)</f>
        <v>270.9</v>
      </c>
      <c r="D59" s="6">
        <f>IFERROR(__xludf.DUMMYFUNCTION("""COMPUTED_VALUE"""),242.1)</f>
        <v>242.1</v>
      </c>
      <c r="E59" s="6">
        <f>IFERROR(__xludf.DUMMYFUNCTION("""COMPUTED_VALUE"""),253.8)</f>
        <v>253.8</v>
      </c>
      <c r="F59" s="6">
        <f>IFERROR(__xludf.DUMMYFUNCTION("""COMPUTED_VALUE"""),4.47063925E8)</f>
        <v>447063925</v>
      </c>
    </row>
    <row r="60">
      <c r="A60" s="7">
        <f>IFERROR(__xludf.DUMMYFUNCTION("""COMPUTED_VALUE"""),45604.64583333333)</f>
        <v>45604.64583</v>
      </c>
      <c r="B60" s="6">
        <f>IFERROR(__xludf.DUMMYFUNCTION("""COMPUTED_VALUE"""),242.93)</f>
        <v>242.93</v>
      </c>
      <c r="C60" s="6">
        <f>IFERROR(__xludf.DUMMYFUNCTION("""COMPUTED_VALUE"""),262.45)</f>
        <v>262.45</v>
      </c>
      <c r="D60" s="6">
        <f>IFERROR(__xludf.DUMMYFUNCTION("""COMPUTED_VALUE"""),239.45)</f>
        <v>239.45</v>
      </c>
      <c r="E60" s="6">
        <f>IFERROR(__xludf.DUMMYFUNCTION("""COMPUTED_VALUE"""),248.73)</f>
        <v>248.73</v>
      </c>
      <c r="F60" s="6">
        <f>IFERROR(__xludf.DUMMYFUNCTION("""COMPUTED_VALUE"""),2.58639387E8)</f>
        <v>258639387</v>
      </c>
    </row>
    <row r="61">
      <c r="A61" s="7">
        <f>IFERROR(__xludf.DUMMYFUNCTION("""COMPUTED_VALUE"""),45610.64583333333)</f>
        <v>45610.64583</v>
      </c>
      <c r="B61" s="6">
        <f>IFERROR(__xludf.DUMMYFUNCTION("""COMPUTED_VALUE"""),244.75)</f>
        <v>244.75</v>
      </c>
      <c r="C61" s="6">
        <f>IFERROR(__xludf.DUMMYFUNCTION("""COMPUTED_VALUE"""),271.0)</f>
        <v>271</v>
      </c>
      <c r="D61" s="6">
        <f>IFERROR(__xludf.DUMMYFUNCTION("""COMPUTED_VALUE"""),244.0)</f>
        <v>244</v>
      </c>
      <c r="E61" s="6">
        <f>IFERROR(__xludf.DUMMYFUNCTION("""COMPUTED_VALUE"""),269.66)</f>
        <v>269.66</v>
      </c>
      <c r="F61" s="6">
        <f>IFERROR(__xludf.DUMMYFUNCTION("""COMPUTED_VALUE"""),2.41394033E8)</f>
        <v>241394033</v>
      </c>
    </row>
    <row r="62">
      <c r="A62" s="7">
        <f>IFERROR(__xludf.DUMMYFUNCTION("""COMPUTED_VALUE"""),45618.64583333333)</f>
        <v>45618.64583</v>
      </c>
      <c r="B62" s="6">
        <f>IFERROR(__xludf.DUMMYFUNCTION("""COMPUTED_VALUE"""),274.3)</f>
        <v>274.3</v>
      </c>
      <c r="C62" s="6">
        <f>IFERROR(__xludf.DUMMYFUNCTION("""COMPUTED_VALUE"""),275.49)</f>
        <v>275.49</v>
      </c>
      <c r="D62" s="6">
        <f>IFERROR(__xludf.DUMMYFUNCTION("""COMPUTED_VALUE"""),262.11)</f>
        <v>262.11</v>
      </c>
      <c r="E62" s="6">
        <f>IFERROR(__xludf.DUMMYFUNCTION("""COMPUTED_VALUE"""),264.2)</f>
        <v>264.2</v>
      </c>
      <c r="F62" s="6">
        <f>IFERROR(__xludf.DUMMYFUNCTION("""COMPUTED_VALUE"""),1.87161112E8)</f>
        <v>187161112</v>
      </c>
    </row>
    <row r="63">
      <c r="A63" s="7">
        <f>IFERROR(__xludf.DUMMYFUNCTION("""COMPUTED_VALUE"""),45625.64583333333)</f>
        <v>45625.64583</v>
      </c>
      <c r="B63" s="6">
        <f>IFERROR(__xludf.DUMMYFUNCTION("""COMPUTED_VALUE"""),273.25)</f>
        <v>273.25</v>
      </c>
      <c r="C63" s="6">
        <f>IFERROR(__xludf.DUMMYFUNCTION("""COMPUTED_VALUE"""),289.7)</f>
        <v>289.7</v>
      </c>
      <c r="D63" s="6">
        <f>IFERROR(__xludf.DUMMYFUNCTION("""COMPUTED_VALUE"""),271.17)</f>
        <v>271.17</v>
      </c>
      <c r="E63" s="6">
        <f>IFERROR(__xludf.DUMMYFUNCTION("""COMPUTED_VALUE"""),279.76)</f>
        <v>279.76</v>
      </c>
      <c r="F63" s="6">
        <f>IFERROR(__xludf.DUMMYFUNCTION("""COMPUTED_VALUE"""),3.57552407E8)</f>
        <v>357552407</v>
      </c>
    </row>
    <row r="64">
      <c r="A64" s="7">
        <f>IFERROR(__xludf.DUMMYFUNCTION("""COMPUTED_VALUE"""),45632.64583333333)</f>
        <v>45632.64583</v>
      </c>
      <c r="B64" s="6">
        <f>IFERROR(__xludf.DUMMYFUNCTION("""COMPUTED_VALUE"""),281.9)</f>
        <v>281.9</v>
      </c>
      <c r="C64" s="6">
        <f>IFERROR(__xludf.DUMMYFUNCTION("""COMPUTED_VALUE"""),304.65)</f>
        <v>304.65</v>
      </c>
      <c r="D64" s="6">
        <f>IFERROR(__xludf.DUMMYFUNCTION("""COMPUTED_VALUE"""),279.0)</f>
        <v>279</v>
      </c>
      <c r="E64" s="6">
        <f>IFERROR(__xludf.DUMMYFUNCTION("""COMPUTED_VALUE"""),302.95)</f>
        <v>302.95</v>
      </c>
      <c r="F64" s="6">
        <f>IFERROR(__xludf.DUMMYFUNCTION("""COMPUTED_VALUE"""),2.6222753E8)</f>
        <v>262227530</v>
      </c>
    </row>
    <row r="65">
      <c r="A65" s="7">
        <f>IFERROR(__xludf.DUMMYFUNCTION("""COMPUTED_VALUE"""),45639.64583333333)</f>
        <v>45639.64583</v>
      </c>
      <c r="B65" s="6">
        <f>IFERROR(__xludf.DUMMYFUNCTION("""COMPUTED_VALUE"""),304.7)</f>
        <v>304.7</v>
      </c>
      <c r="C65" s="6">
        <f>IFERROR(__xludf.DUMMYFUNCTION("""COMPUTED_VALUE"""),304.7)</f>
        <v>304.7</v>
      </c>
      <c r="D65" s="6">
        <f>IFERROR(__xludf.DUMMYFUNCTION("""COMPUTED_VALUE"""),278.2)</f>
        <v>278.2</v>
      </c>
      <c r="E65" s="6">
        <f>IFERROR(__xludf.DUMMYFUNCTION("""COMPUTED_VALUE"""),288.25)</f>
        <v>288.25</v>
      </c>
      <c r="F65" s="6">
        <f>IFERROR(__xludf.DUMMYFUNCTION("""COMPUTED_VALUE"""),2.07226871E8)</f>
        <v>207226871</v>
      </c>
    </row>
    <row r="66">
      <c r="A66" s="7">
        <f>IFERROR(__xludf.DUMMYFUNCTION("""COMPUTED_VALUE"""),45646.64583333333)</f>
        <v>45646.64583</v>
      </c>
      <c r="B66" s="6">
        <f>IFERROR(__xludf.DUMMYFUNCTION("""COMPUTED_VALUE"""),289.0)</f>
        <v>289</v>
      </c>
      <c r="C66" s="6">
        <f>IFERROR(__xludf.DUMMYFUNCTION("""COMPUTED_VALUE"""),303.45)</f>
        <v>303.45</v>
      </c>
      <c r="D66" s="6">
        <f>IFERROR(__xludf.DUMMYFUNCTION("""COMPUTED_VALUE"""),274.2)</f>
        <v>274.2</v>
      </c>
      <c r="E66" s="6">
        <f>IFERROR(__xludf.DUMMYFUNCTION("""COMPUTED_VALUE"""),282.1)</f>
        <v>282.1</v>
      </c>
      <c r="F66" s="6">
        <f>IFERROR(__xludf.DUMMYFUNCTION("""COMPUTED_VALUE"""),4.35217352E8)</f>
        <v>435217352</v>
      </c>
    </row>
    <row r="67">
      <c r="A67" s="7">
        <f>IFERROR(__xludf.DUMMYFUNCTION("""COMPUTED_VALUE"""),45653.64583333333)</f>
        <v>45653.64583</v>
      </c>
      <c r="B67" s="6">
        <f>IFERROR(__xludf.DUMMYFUNCTION("""COMPUTED_VALUE"""),273.9)</f>
        <v>273.9</v>
      </c>
      <c r="C67" s="6">
        <f>IFERROR(__xludf.DUMMYFUNCTION("""COMPUTED_VALUE"""),282.9)</f>
        <v>282.9</v>
      </c>
      <c r="D67" s="6">
        <f>IFERROR(__xludf.DUMMYFUNCTION("""COMPUTED_VALUE"""),269.1)</f>
        <v>269.1</v>
      </c>
      <c r="E67" s="6">
        <f>IFERROR(__xludf.DUMMYFUNCTION("""COMPUTED_VALUE"""),271.25)</f>
        <v>271.25</v>
      </c>
      <c r="F67" s="6">
        <f>IFERROR(__xludf.DUMMYFUNCTION("""COMPUTED_VALUE"""),1.56629605E8)</f>
        <v>156629605</v>
      </c>
    </row>
    <row r="68">
      <c r="A68" s="7">
        <f>IFERROR(__xludf.DUMMYFUNCTION("""COMPUTED_VALUE"""),45660.64583333333)</f>
        <v>45660.64583</v>
      </c>
      <c r="B68" s="6">
        <f>IFERROR(__xludf.DUMMYFUNCTION("""COMPUTED_VALUE"""),271.25)</f>
        <v>271.25</v>
      </c>
      <c r="C68" s="6">
        <f>IFERROR(__xludf.DUMMYFUNCTION("""COMPUTED_VALUE"""),291.6)</f>
        <v>291.6</v>
      </c>
      <c r="D68" s="6">
        <f>IFERROR(__xludf.DUMMYFUNCTION("""COMPUTED_VALUE"""),269.8)</f>
        <v>269.8</v>
      </c>
      <c r="E68" s="6">
        <f>IFERROR(__xludf.DUMMYFUNCTION("""COMPUTED_VALUE"""),272.85)</f>
        <v>272.85</v>
      </c>
      <c r="F68" s="6">
        <f>IFERROR(__xludf.DUMMYFUNCTION("""COMPUTED_VALUE"""),2.66106259E8)</f>
        <v>266106259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IFERROR(__xludf.DUMMYFUNCTION("""COMPUTED_VALUE"""),274.5)</f>
        <v>274.5</v>
      </c>
      <c r="C69" s="6">
        <f>IFERROR(__xludf.DUMMYFUNCTION("""COMPUTED_VALUE"""),274.8)</f>
        <v>274.8</v>
      </c>
      <c r="D69" s="6">
        <f>IFERROR(__xludf.DUMMYFUNCTION("""COMPUTED_VALUE"""),237.45)</f>
        <v>237.45</v>
      </c>
      <c r="E69" s="6">
        <f>IFERROR(__xludf.DUMMYFUNCTION("""COMPUTED_VALUE"""),242.95)</f>
        <v>242.95</v>
      </c>
      <c r="F69" s="6">
        <f>IFERROR(__xludf.DUMMYFUNCTION("""COMPUTED_VALUE"""),3.28005508E8)</f>
        <v>328005508</v>
      </c>
    </row>
    <row r="70">
      <c r="A70" s="7">
        <f>IFERROR(__xludf.DUMMYFUNCTION("""COMPUTED_VALUE"""),45674.64583333333)</f>
        <v>45674.64583</v>
      </c>
      <c r="B70" s="6">
        <f>IFERROR(__xludf.DUMMYFUNCTION("""COMPUTED_VALUE"""),240.0)</f>
        <v>240</v>
      </c>
      <c r="C70" s="6">
        <f>IFERROR(__xludf.DUMMYFUNCTION("""COMPUTED_VALUE"""),262.0)</f>
        <v>262</v>
      </c>
      <c r="D70" s="6">
        <f>IFERROR(__xludf.DUMMYFUNCTION("""COMPUTED_VALUE"""),226.2)</f>
        <v>226.2</v>
      </c>
      <c r="E70" s="6">
        <f>IFERROR(__xludf.DUMMYFUNCTION("""COMPUTED_VALUE"""),248.8)</f>
        <v>248.8</v>
      </c>
      <c r="F70" s="6">
        <f>IFERROR(__xludf.DUMMYFUNCTION("""COMPUTED_VALUE"""),3.29995647E8)</f>
        <v>329995647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IFERROR(__xludf.DUMMYFUNCTION("""COMPUTED_VALUE"""),251.0)</f>
        <v>251</v>
      </c>
      <c r="C71" s="6">
        <f>IFERROR(__xludf.DUMMYFUNCTION("""COMPUTED_VALUE"""),254.35)</f>
        <v>254.35</v>
      </c>
      <c r="D71" s="6">
        <f>IFERROR(__xludf.DUMMYFUNCTION("""COMPUTED_VALUE"""),203.85)</f>
        <v>203.85</v>
      </c>
      <c r="E71" s="6">
        <f>IFERROR(__xludf.DUMMYFUNCTION("""COMPUTED_VALUE"""),215.6)</f>
        <v>215.6</v>
      </c>
      <c r="F71" s="6">
        <f>IFERROR(__xludf.DUMMYFUNCTION("""COMPUTED_VALUE"""),7.08691667E8)</f>
        <v>708691667</v>
      </c>
    </row>
    <row r="72">
      <c r="A72" s="7">
        <f>IFERROR(__xludf.DUMMYFUNCTION("""COMPUTED_VALUE"""),45695.64583333333)</f>
        <v>45695.64583</v>
      </c>
      <c r="B72" s="6">
        <f>IFERROR(__xludf.DUMMYFUNCTION("""COMPUTED_VALUE"""),233.99)</f>
        <v>233.99</v>
      </c>
      <c r="C72" s="6">
        <f>IFERROR(__xludf.DUMMYFUNCTION("""COMPUTED_VALUE"""),242.0)</f>
        <v>242</v>
      </c>
      <c r="D72" s="6">
        <f>IFERROR(__xludf.DUMMYFUNCTION("""COMPUTED_VALUE"""),226.66)</f>
        <v>226.66</v>
      </c>
      <c r="E72" s="6">
        <f>IFERROR(__xludf.DUMMYFUNCTION("""COMPUTED_VALUE"""),233.9)</f>
        <v>233.9</v>
      </c>
      <c r="F72" s="6">
        <f>IFERROR(__xludf.DUMMYFUNCTION("""COMPUTED_VALUE"""),2.51906219E8)</f>
        <v>251906219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IFERROR(__xludf.DUMMYFUNCTION("""COMPUTED_VALUE"""),233.35)</f>
        <v>233.35</v>
      </c>
      <c r="C73" s="6">
        <f>IFERROR(__xludf.DUMMYFUNCTION("""COMPUTED_VALUE"""),234.89)</f>
        <v>234.89</v>
      </c>
      <c r="D73" s="6">
        <f>IFERROR(__xludf.DUMMYFUNCTION("""COMPUTED_VALUE"""),206.75)</f>
        <v>206.75</v>
      </c>
      <c r="E73" s="6">
        <f>IFERROR(__xludf.DUMMYFUNCTION("""COMPUTED_VALUE"""),215.99)</f>
        <v>215.99</v>
      </c>
      <c r="F73" s="6">
        <f>IFERROR(__xludf.DUMMYFUNCTION("""COMPUTED_VALUE"""),2.55015428E8)</f>
        <v>255015428</v>
      </c>
    </row>
    <row r="74">
      <c r="A74" s="7">
        <f>IFERROR(__xludf.DUMMYFUNCTION("""COMPUTED_VALUE"""),45709.64583333333)</f>
        <v>45709.64583</v>
      </c>
      <c r="B74" s="6">
        <f>IFERROR(__xludf.DUMMYFUNCTION("""COMPUTED_VALUE"""),213.19)</f>
        <v>213.19</v>
      </c>
      <c r="C74" s="6">
        <f>IFERROR(__xludf.DUMMYFUNCTION("""COMPUTED_VALUE"""),238.73)</f>
        <v>238.73</v>
      </c>
      <c r="D74" s="6">
        <f>IFERROR(__xludf.DUMMYFUNCTION("""COMPUTED_VALUE"""),210.51)</f>
        <v>210.51</v>
      </c>
      <c r="E74" s="6">
        <f>IFERROR(__xludf.DUMMYFUNCTION("""COMPUTED_VALUE"""),230.36)</f>
        <v>230.36</v>
      </c>
      <c r="F74" s="6">
        <f>IFERROR(__xludf.DUMMYFUNCTION("""COMPUTED_VALUE"""),1.70864795E8)</f>
        <v>170864795</v>
      </c>
    </row>
    <row r="75">
      <c r="A75" s="7">
        <f>IFERROR(__xludf.DUMMYFUNCTION("""COMPUTED_VALUE"""),45716.64583333333)</f>
        <v>45716.64583</v>
      </c>
      <c r="B75" s="6">
        <f>IFERROR(__xludf.DUMMYFUNCTION("""COMPUTED_VALUE"""),219.98)</f>
        <v>219.98</v>
      </c>
      <c r="C75" s="6">
        <f>IFERROR(__xludf.DUMMYFUNCTION("""COMPUTED_VALUE"""),230.18)</f>
        <v>230.18</v>
      </c>
      <c r="D75" s="6">
        <f>IFERROR(__xludf.DUMMYFUNCTION("""COMPUTED_VALUE"""),217.82)</f>
        <v>217.82</v>
      </c>
      <c r="E75" s="6">
        <f>IFERROR(__xludf.DUMMYFUNCTION("""COMPUTED_VALUE"""),222.1)</f>
        <v>222.1</v>
      </c>
      <c r="F75" s="6">
        <f>IFERROR(__xludf.DUMMYFUNCTION("""COMPUTED_VALUE"""),2.41125989E8)</f>
        <v>241125989</v>
      </c>
    </row>
    <row r="76">
      <c r="A76" s="7">
        <f>IFERROR(__xludf.DUMMYFUNCTION("""COMPUTED_VALUE"""),45723.64583333333)</f>
        <v>45723.64583</v>
      </c>
      <c r="B76" s="6">
        <f>IFERROR(__xludf.DUMMYFUNCTION("""COMPUTED_VALUE"""),222.05)</f>
        <v>222.05</v>
      </c>
      <c r="C76" s="6">
        <f>IFERROR(__xludf.DUMMYFUNCTION("""COMPUTED_VALUE"""),231.75)</f>
        <v>231.75</v>
      </c>
      <c r="D76" s="6">
        <f>IFERROR(__xludf.DUMMYFUNCTION("""COMPUTED_VALUE"""),215.25)</f>
        <v>215.25</v>
      </c>
      <c r="E76" s="6">
        <f>IFERROR(__xludf.DUMMYFUNCTION("""COMPUTED_VALUE"""),216.83)</f>
        <v>216.83</v>
      </c>
      <c r="F76" s="6">
        <f>IFERROR(__xludf.DUMMYFUNCTION("""COMPUTED_VALUE"""),1.82881175E8)</f>
        <v>182881175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IFERROR(__xludf.DUMMYFUNCTION("""COMPUTED_VALUE"""),217.41)</f>
        <v>217.41</v>
      </c>
      <c r="C77" s="6">
        <f>IFERROR(__xludf.DUMMYFUNCTION("""COMPUTED_VALUE"""),219.09)</f>
        <v>219.09</v>
      </c>
      <c r="D77" s="6">
        <f>IFERROR(__xludf.DUMMYFUNCTION("""COMPUTED_VALUE"""),199.8)</f>
        <v>199.8</v>
      </c>
      <c r="E77" s="6">
        <f>IFERROR(__xludf.DUMMYFUNCTION("""COMPUTED_VALUE"""),201.43)</f>
        <v>201.43</v>
      </c>
      <c r="F77" s="6">
        <f>IFERROR(__xludf.DUMMYFUNCTION("""COMPUTED_VALUE"""),3.25969497E8)</f>
        <v>325969497</v>
      </c>
    </row>
    <row r="78">
      <c r="A78" s="7">
        <f>IFERROR(__xludf.DUMMYFUNCTION("""COMPUTED_VALUE"""),45737.64583333333)</f>
        <v>45737.64583</v>
      </c>
      <c r="B78" s="6">
        <f>IFERROR(__xludf.DUMMYFUNCTION("""COMPUTED_VALUE"""),200.0)</f>
        <v>200</v>
      </c>
      <c r="C78" s="6">
        <f>IFERROR(__xludf.DUMMYFUNCTION("""COMPUTED_VALUE"""),228.85)</f>
        <v>228.85</v>
      </c>
      <c r="D78" s="6">
        <f>IFERROR(__xludf.DUMMYFUNCTION("""COMPUTED_VALUE"""),199.17)</f>
        <v>199.17</v>
      </c>
      <c r="E78" s="6">
        <f>IFERROR(__xludf.DUMMYFUNCTION("""COMPUTED_VALUE"""),227.52)</f>
        <v>227.52</v>
      </c>
      <c r="F78" s="6">
        <f>IFERROR(__xludf.DUMMYFUNCTION("""COMPUTED_VALUE"""),3.6815575E8)</f>
        <v>368155750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IFERROR(__xludf.DUMMYFUNCTION("""COMPUTED_VALUE"""),228.8)</f>
        <v>228.8</v>
      </c>
      <c r="C79" s="6">
        <f>IFERROR(__xludf.DUMMYFUNCTION("""COMPUTED_VALUE"""),230.2)</f>
        <v>230.2</v>
      </c>
      <c r="D79" s="6">
        <f>IFERROR(__xludf.DUMMYFUNCTION("""COMPUTED_VALUE"""),199.92)</f>
        <v>199.92</v>
      </c>
      <c r="E79" s="6">
        <f>IFERROR(__xludf.DUMMYFUNCTION("""COMPUTED_VALUE"""),201.7)</f>
        <v>201.7</v>
      </c>
      <c r="F79" s="6">
        <f>IFERROR(__xludf.DUMMYFUNCTION("""COMPUTED_VALUE"""),7.15705319E8)</f>
        <v>715705319</v>
      </c>
    </row>
    <row r="80">
      <c r="A80" s="7">
        <f>IFERROR(__xludf.DUMMYFUNCTION("""COMPUTED_VALUE"""),45751.64583333333)</f>
        <v>45751.64583</v>
      </c>
      <c r="B80" s="6">
        <f>IFERROR(__xludf.DUMMYFUNCTION("""COMPUTED_VALUE"""),201.7)</f>
        <v>201.7</v>
      </c>
      <c r="C80" s="6">
        <f>IFERROR(__xludf.DUMMYFUNCTION("""COMPUTED_VALUE"""),214.0)</f>
        <v>214</v>
      </c>
      <c r="D80" s="6">
        <f>IFERROR(__xludf.DUMMYFUNCTION("""COMPUTED_VALUE"""),198.85)</f>
        <v>198.85</v>
      </c>
      <c r="E80" s="6">
        <f>IFERROR(__xludf.DUMMYFUNCTION("""COMPUTED_VALUE"""),210.53)</f>
        <v>210.53</v>
      </c>
      <c r="F80" s="6">
        <f>IFERROR(__xludf.DUMMYFUNCTION("""COMPUTED_VALUE"""),2.15555064E8)</f>
        <v>215555064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IFERROR(__xludf.DUMMYFUNCTION("""COMPUTED_VALUE"""),196.0)</f>
        <v>196</v>
      </c>
      <c r="C81" s="6">
        <f>IFERROR(__xludf.DUMMYFUNCTION("""COMPUTED_VALUE"""),219.19)</f>
        <v>219.19</v>
      </c>
      <c r="D81" s="6">
        <f>IFERROR(__xludf.DUMMYFUNCTION("""COMPUTED_VALUE"""),194.8)</f>
        <v>194.8</v>
      </c>
      <c r="E81" s="6">
        <f>IFERROR(__xludf.DUMMYFUNCTION("""COMPUTED_VALUE"""),217.2)</f>
        <v>217.2</v>
      </c>
      <c r="F81" s="6">
        <f>IFERROR(__xludf.DUMMYFUNCTION("""COMPUTED_VALUE"""),1.81212913E8)</f>
        <v>181212913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IFERROR(__xludf.DUMMYFUNCTION("""COMPUTED_VALUE"""),224.25)</f>
        <v>224.25</v>
      </c>
      <c r="C82" s="6">
        <f>IFERROR(__xludf.DUMMYFUNCTION("""COMPUTED_VALUE"""),236.14)</f>
        <v>236.14</v>
      </c>
      <c r="D82" s="6">
        <f>IFERROR(__xludf.DUMMYFUNCTION("""COMPUTED_VALUE"""),218.4)</f>
        <v>218.4</v>
      </c>
      <c r="E82" s="6">
        <f>IFERROR(__xludf.DUMMYFUNCTION("""COMPUTED_VALUE"""),231.6)</f>
        <v>231.6</v>
      </c>
      <c r="F82" s="6">
        <f>IFERROR(__xludf.DUMMYFUNCTION("""COMPUTED_VALUE"""),1.41316308E8)</f>
        <v>141316308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IFERROR(__xludf.DUMMYFUNCTION("""COMPUTED_VALUE"""),229.0)</f>
        <v>229</v>
      </c>
      <c r="C83" s="6">
        <f>IFERROR(__xludf.DUMMYFUNCTION("""COMPUTED_VALUE"""),243.45)</f>
        <v>243.45</v>
      </c>
      <c r="D83" s="6">
        <f>IFERROR(__xludf.DUMMYFUNCTION("""COMPUTED_VALUE"""),227.1)</f>
        <v>227.1</v>
      </c>
      <c r="E83" s="6">
        <f>IFERROR(__xludf.DUMMYFUNCTION("""COMPUTED_VALUE"""),228.81)</f>
        <v>228.81</v>
      </c>
      <c r="F83" s="6">
        <f>IFERROR(__xludf.DUMMYFUNCTION("""COMPUTED_VALUE"""),2.46531617E8)</f>
        <v>246531617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IFERROR(__xludf.DUMMYFUNCTION("""COMPUTED_VALUE"""),226.0)</f>
        <v>226</v>
      </c>
      <c r="C84" s="6">
        <f>IFERROR(__xludf.DUMMYFUNCTION("""COMPUTED_VALUE"""),239.5)</f>
        <v>239.5</v>
      </c>
      <c r="D84" s="6">
        <f>IFERROR(__xludf.DUMMYFUNCTION("""COMPUTED_VALUE"""),220.05)</f>
        <v>220.05</v>
      </c>
      <c r="E84" s="6">
        <f>IFERROR(__xludf.DUMMYFUNCTION("""COMPUTED_VALUE"""),234.29)</f>
        <v>234.29</v>
      </c>
      <c r="F84" s="6">
        <f>IFERROR(__xludf.DUMMYFUNCTION("""COMPUTED_VALUE"""),1.99341537E8)</f>
        <v>199341537</v>
      </c>
    </row>
    <row r="85">
      <c r="A85" s="7">
        <f>IFERROR(__xludf.DUMMYFUNCTION("""COMPUTED_VALUE"""),45786.64583333333)</f>
        <v>45786.64583</v>
      </c>
      <c r="B85" s="6">
        <f>IFERROR(__xludf.DUMMYFUNCTION("""COMPUTED_VALUE"""),234.5)</f>
        <v>234.5</v>
      </c>
      <c r="C85" s="6">
        <f>IFERROR(__xludf.DUMMYFUNCTION("""COMPUTED_VALUE"""),241.5)</f>
        <v>241.5</v>
      </c>
      <c r="D85" s="6">
        <f>IFERROR(__xludf.DUMMYFUNCTION("""COMPUTED_VALUE"""),222.0)</f>
        <v>222</v>
      </c>
      <c r="E85" s="6">
        <f>IFERROR(__xludf.DUMMYFUNCTION("""COMPUTED_VALUE"""),227.14)</f>
        <v>227.14</v>
      </c>
      <c r="F85" s="6">
        <f>IFERROR(__xludf.DUMMYFUNCTION("""COMPUTED_VALUE"""),1.69194442E8)</f>
        <v>169194442</v>
      </c>
    </row>
    <row r="86">
      <c r="A86" s="7">
        <f>IFERROR(__xludf.DUMMYFUNCTION("""COMPUTED_VALUE"""),45793.64583333333)</f>
        <v>45793.64583</v>
      </c>
      <c r="B86" s="6">
        <f>IFERROR(__xludf.DUMMYFUNCTION("""COMPUTED_VALUE"""),232.0)</f>
        <v>232</v>
      </c>
      <c r="C86" s="6">
        <f>IFERROR(__xludf.DUMMYFUNCTION("""COMPUTED_VALUE"""),246.94)</f>
        <v>246.94</v>
      </c>
      <c r="D86" s="6">
        <f>IFERROR(__xludf.DUMMYFUNCTION("""COMPUTED_VALUE"""),231.05)</f>
        <v>231.05</v>
      </c>
      <c r="E86" s="6">
        <f>IFERROR(__xludf.DUMMYFUNCTION("""COMPUTED_VALUE"""),245.76)</f>
        <v>245.76</v>
      </c>
      <c r="F86" s="6">
        <f>IFERROR(__xludf.DUMMYFUNCTION("""COMPUTED_VALUE"""),1.70943074E8)</f>
        <v>170943074</v>
      </c>
    </row>
    <row r="87">
      <c r="A87" s="7">
        <f>IFERROR(__xludf.DUMMYFUNCTION("""COMPUTED_VALUE"""),45800.64583333333)</f>
        <v>45800.64583</v>
      </c>
      <c r="B87" s="6">
        <f>IFERROR(__xludf.DUMMYFUNCTION("""COMPUTED_VALUE"""),245.84)</f>
        <v>245.84</v>
      </c>
      <c r="C87" s="6">
        <f>IFERROR(__xludf.DUMMYFUNCTION("""COMPUTED_VALUE"""),246.59)</f>
        <v>246.59</v>
      </c>
      <c r="D87" s="6">
        <f>IFERROR(__xludf.DUMMYFUNCTION("""COMPUTED_VALUE"""),224.18)</f>
        <v>224.18</v>
      </c>
      <c r="E87" s="6">
        <f>IFERROR(__xludf.DUMMYFUNCTION("""COMPUTED_VALUE"""),237.55)</f>
        <v>237.55</v>
      </c>
      <c r="F87" s="6">
        <f>IFERROR(__xludf.DUMMYFUNCTION("""COMPUTED_VALUE"""),1.8585118E8)</f>
        <v>185851180</v>
      </c>
    </row>
    <row r="88">
      <c r="A88" s="7">
        <f>IFERROR(__xludf.DUMMYFUNCTION("""COMPUTED_VALUE"""),45807.64583333333)</f>
        <v>45807.64583</v>
      </c>
      <c r="B88" s="6">
        <f>IFERROR(__xludf.DUMMYFUNCTION("""COMPUTED_VALUE"""),232.8)</f>
        <v>232.8</v>
      </c>
      <c r="C88" s="6">
        <f>IFERROR(__xludf.DUMMYFUNCTION("""COMPUTED_VALUE"""),243.0)</f>
        <v>243</v>
      </c>
      <c r="D88" s="6">
        <f>IFERROR(__xludf.DUMMYFUNCTION("""COMPUTED_VALUE"""),221.1)</f>
        <v>221.1</v>
      </c>
      <c r="E88" s="6">
        <f>IFERROR(__xludf.DUMMYFUNCTION("""COMPUTED_VALUE"""),238.31)</f>
        <v>238.31</v>
      </c>
      <c r="F88" s="6">
        <f>IFERROR(__xludf.DUMMYFUNCTION("""COMPUTED_VALUE"""),8.79480378E8)</f>
        <v>879480378</v>
      </c>
    </row>
    <row r="89">
      <c r="A89" s="7">
        <f>IFERROR(__xludf.DUMMYFUNCTION("""COMPUTED_VALUE"""),45814.64583333333)</f>
        <v>45814.64583</v>
      </c>
      <c r="B89" s="6">
        <f>IFERROR(__xludf.DUMMYFUNCTION("""COMPUTED_VALUE"""),237.31)</f>
        <v>237.31</v>
      </c>
      <c r="C89" s="6">
        <f>IFERROR(__xludf.DUMMYFUNCTION("""COMPUTED_VALUE"""),264.0)</f>
        <v>264</v>
      </c>
      <c r="D89" s="6">
        <f>IFERROR(__xludf.DUMMYFUNCTION("""COMPUTED_VALUE"""),236.11)</f>
        <v>236.11</v>
      </c>
      <c r="E89" s="6">
        <f>IFERROR(__xludf.DUMMYFUNCTION("""COMPUTED_VALUE"""),261.86)</f>
        <v>261.86</v>
      </c>
      <c r="F89" s="6">
        <f>IFERROR(__xludf.DUMMYFUNCTION("""COMPUTED_VALUE"""),4.12221766E8)</f>
        <v>412221766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IFERROR(__xludf.DUMMYFUNCTION("""COMPUTED_VALUE"""),261.9)</f>
        <v>261.9</v>
      </c>
      <c r="C90" s="6">
        <f>IFERROR(__xludf.DUMMYFUNCTION("""COMPUTED_VALUE"""),262.98)</f>
        <v>262.98</v>
      </c>
      <c r="D90" s="6">
        <f>IFERROR(__xludf.DUMMYFUNCTION("""COMPUTED_VALUE"""),243.26)</f>
        <v>243.26</v>
      </c>
      <c r="E90" s="6">
        <f>IFERROR(__xludf.DUMMYFUNCTION("""COMPUTED_VALUE"""),249.08)</f>
        <v>249.08</v>
      </c>
      <c r="F90" s="6">
        <f>IFERROR(__xludf.DUMMYFUNCTION("""COMPUTED_VALUE"""),1.65690267E8)</f>
        <v>165690267</v>
      </c>
    </row>
    <row r="91">
      <c r="A91" s="7">
        <f>IFERROR(__xludf.DUMMYFUNCTION("""COMPUTED_VALUE"""),45828.64583333333)</f>
        <v>45828.64583</v>
      </c>
      <c r="B91" s="6">
        <f>IFERROR(__xludf.DUMMYFUNCTION("""COMPUTED_VALUE"""),249.0)</f>
        <v>249</v>
      </c>
      <c r="C91" s="6">
        <f>IFERROR(__xludf.DUMMYFUNCTION("""COMPUTED_VALUE"""),254.8)</f>
        <v>254.8</v>
      </c>
      <c r="D91" s="6">
        <f>IFERROR(__xludf.DUMMYFUNCTION("""COMPUTED_VALUE"""),246.85)</f>
        <v>246.85</v>
      </c>
      <c r="E91" s="6">
        <f>IFERROR(__xludf.DUMMYFUNCTION("""COMPUTED_VALUE"""),253.33)</f>
        <v>253.33</v>
      </c>
      <c r="F91" s="6">
        <f>IFERROR(__xludf.DUMMYFUNCTION("""COMPUTED_VALUE"""),1.46980755E8)</f>
        <v>146980755</v>
      </c>
    </row>
    <row r="92">
      <c r="A92" s="7">
        <f>IFERROR(__xludf.DUMMYFUNCTION("""COMPUTED_VALUE"""),45835.64583333333)</f>
        <v>45835.64583</v>
      </c>
      <c r="B92" s="6">
        <f>IFERROR(__xludf.DUMMYFUNCTION("""COMPUTED_VALUE"""),250.15)</f>
        <v>250.15</v>
      </c>
      <c r="C92" s="6">
        <f>IFERROR(__xludf.DUMMYFUNCTION("""COMPUTED_VALUE"""),266.49)</f>
        <v>266.49</v>
      </c>
      <c r="D92" s="6">
        <f>IFERROR(__xludf.DUMMYFUNCTION("""COMPUTED_VALUE"""),250.05)</f>
        <v>250.05</v>
      </c>
      <c r="E92" s="6">
        <f>IFERROR(__xludf.DUMMYFUNCTION("""COMPUTED_VALUE"""),261.86)</f>
        <v>261.86</v>
      </c>
      <c r="F92" s="6">
        <f>IFERROR(__xludf.DUMMYFUNCTION("""COMPUTED_VALUE"""),1.92219911E8)</f>
        <v>192219911</v>
      </c>
    </row>
    <row r="93">
      <c r="A93" s="7">
        <f>IFERROR(__xludf.DUMMYFUNCTION("""COMPUTED_VALUE"""),45842.64583333333)</f>
        <v>45842.64583</v>
      </c>
      <c r="B93" s="6">
        <f>IFERROR(__xludf.DUMMYFUNCTION("""COMPUTED_VALUE"""),262.0)</f>
        <v>262</v>
      </c>
      <c r="C93" s="6">
        <f>IFERROR(__xludf.DUMMYFUNCTION("""COMPUTED_VALUE"""),265.19)</f>
        <v>265.19</v>
      </c>
      <c r="D93" s="6">
        <f>IFERROR(__xludf.DUMMYFUNCTION("""COMPUTED_VALUE"""),257.6)</f>
        <v>257.6</v>
      </c>
      <c r="E93" s="6">
        <f>IFERROR(__xludf.DUMMYFUNCTION("""COMPUTED_VALUE"""),261.4)</f>
        <v>261.4</v>
      </c>
      <c r="F93" s="6">
        <f>IFERROR(__xludf.DUMMYFUNCTION("""COMPUTED_VALUE"""),8.6229613E7)</f>
        <v>86229613</v>
      </c>
    </row>
    <row r="94">
      <c r="A94" s="7">
        <f>IFERROR(__xludf.DUMMYFUNCTION("""COMPUTED_VALUE"""),45849.64583333333)</f>
        <v>45849.64583</v>
      </c>
      <c r="B94" s="6">
        <f>IFERROR(__xludf.DUMMYFUNCTION("""COMPUTED_VALUE"""),261.4)</f>
        <v>261.4</v>
      </c>
      <c r="C94" s="6">
        <f>IFERROR(__xludf.DUMMYFUNCTION("""COMPUTED_VALUE"""),267.25)</f>
        <v>267.25</v>
      </c>
      <c r="D94" s="6">
        <f>IFERROR(__xludf.DUMMYFUNCTION("""COMPUTED_VALUE"""),256.2)</f>
        <v>256.2</v>
      </c>
      <c r="E94" s="6">
        <f>IFERROR(__xludf.DUMMYFUNCTION("""COMPUTED_VALUE"""),263.35)</f>
        <v>263.35</v>
      </c>
      <c r="F94" s="6">
        <f>IFERROR(__xludf.DUMMYFUNCTION("""COMPUTED_VALUE"""),9.5901508E7)</f>
        <v>95901508</v>
      </c>
    </row>
    <row r="95">
      <c r="A95" s="7">
        <f>IFERROR(__xludf.DUMMYFUNCTION("""COMPUTED_VALUE"""),45856.64583333333)</f>
        <v>45856.64583</v>
      </c>
      <c r="B95" s="6">
        <f>IFERROR(__xludf.DUMMYFUNCTION("""COMPUTED_VALUE"""),264.95)</f>
        <v>264.95</v>
      </c>
      <c r="C95" s="6">
        <f>IFERROR(__xludf.DUMMYFUNCTION("""COMPUTED_VALUE"""),277.75)</f>
        <v>277.75</v>
      </c>
      <c r="D95" s="6">
        <f>IFERROR(__xludf.DUMMYFUNCTION("""COMPUTED_VALUE"""),256.75)</f>
        <v>256.75</v>
      </c>
      <c r="E95" s="6">
        <f>IFERROR(__xludf.DUMMYFUNCTION("""COMPUTED_VALUE"""),257.2)</f>
        <v>257.2</v>
      </c>
      <c r="F95" s="6">
        <f>IFERROR(__xludf.DUMMYFUNCTION("""COMPUTED_VALUE"""),1.34233844E8)</f>
        <v>134233844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IFERROR(__xludf.DUMMYFUNCTION("""COMPUTED_VALUE"""),257.0)</f>
        <v>257</v>
      </c>
      <c r="C96" s="6">
        <f>IFERROR(__xludf.DUMMYFUNCTION("""COMPUTED_VALUE"""),314.45)</f>
        <v>314.45</v>
      </c>
      <c r="D96" s="6">
        <f>IFERROR(__xludf.DUMMYFUNCTION("""COMPUTED_VALUE"""),256.65)</f>
        <v>256.65</v>
      </c>
      <c r="E96" s="6">
        <f>IFERROR(__xludf.DUMMYFUNCTION("""COMPUTED_VALUE"""),310.55)</f>
        <v>310.55</v>
      </c>
      <c r="F96" s="6">
        <f>IFERROR(__xludf.DUMMYFUNCTION("""COMPUTED_VALUE"""),5.77301435E8)</f>
        <v>577301435</v>
      </c>
    </row>
    <row r="97">
      <c r="A97" s="7">
        <f>IFERROR(__xludf.DUMMYFUNCTION("""COMPUTED_VALUE"""),45870.64583333333)</f>
        <v>45870.64583</v>
      </c>
      <c r="B97" s="6">
        <f>IFERROR(__xludf.DUMMYFUNCTION("""COMPUTED_VALUE"""),310.0)</f>
        <v>310</v>
      </c>
      <c r="C97" s="6">
        <f>IFERROR(__xludf.DUMMYFUNCTION("""COMPUTED_VALUE"""),312.25)</f>
        <v>312.25</v>
      </c>
      <c r="D97" s="6">
        <f>IFERROR(__xludf.DUMMYFUNCTION("""COMPUTED_VALUE"""),299.3)</f>
        <v>299.3</v>
      </c>
      <c r="E97" s="6">
        <f>IFERROR(__xludf.DUMMYFUNCTION("""COMPUTED_VALUE"""),304.75)</f>
        <v>304.75</v>
      </c>
      <c r="F97" s="6">
        <f>IFERROR(__xludf.DUMMYFUNCTION("""COMPUTED_VALUE"""),1.18972078E8)</f>
        <v>118972078</v>
      </c>
    </row>
    <row r="98">
      <c r="A98" s="7">
        <f>IFERROR(__xludf.DUMMYFUNCTION("""COMPUTED_VALUE"""),45877.64583333333)</f>
        <v>45877.64583</v>
      </c>
      <c r="B98" s="6">
        <f>IFERROR(__xludf.DUMMYFUNCTION("""COMPUTED_VALUE"""),303.0)</f>
        <v>303</v>
      </c>
      <c r="C98" s="6">
        <f>IFERROR(__xludf.DUMMYFUNCTION("""COMPUTED_VALUE"""),307.6)</f>
        <v>307.6</v>
      </c>
      <c r="D98" s="6">
        <f>IFERROR(__xludf.DUMMYFUNCTION("""COMPUTED_VALUE"""),288.4)</f>
        <v>288.4</v>
      </c>
      <c r="E98" s="6">
        <f>IFERROR(__xludf.DUMMYFUNCTION("""COMPUTED_VALUE"""),300.9)</f>
        <v>300.9</v>
      </c>
      <c r="F98" s="6">
        <f>IFERROR(__xludf.DUMMYFUNCTION("""COMPUTED_VALUE"""),4.78701704E8)</f>
        <v>478701704</v>
      </c>
    </row>
    <row r="99">
      <c r="A99" s="7">
        <f>IFERROR(__xludf.DUMMYFUNCTION("""COMPUTED_VALUE"""),45883.64583333333)</f>
        <v>45883.64583</v>
      </c>
      <c r="B99" s="6">
        <f>IFERROR(__xludf.DUMMYFUNCTION("""COMPUTED_VALUE"""),300.9)</f>
        <v>300.9</v>
      </c>
      <c r="C99" s="6">
        <f>IFERROR(__xludf.DUMMYFUNCTION("""COMPUTED_VALUE"""),319.8)</f>
        <v>319.8</v>
      </c>
      <c r="D99" s="6">
        <f>IFERROR(__xludf.DUMMYFUNCTION("""COMPUTED_VALUE"""),299.5)</f>
        <v>299.5</v>
      </c>
      <c r="E99" s="6">
        <f>IFERROR(__xludf.DUMMYFUNCTION("""COMPUTED_VALUE"""),318.4)</f>
        <v>318.4</v>
      </c>
      <c r="F99" s="6">
        <f>IFERROR(__xludf.DUMMYFUNCTION("""COMPUTED_VALUE"""),1.39794054E8)</f>
        <v>139794054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IFERROR(__xludf.DUMMYFUNCTION("""COMPUTED_VALUE"""),318.4)</f>
        <v>318.4</v>
      </c>
      <c r="C100" s="6">
        <f>IFERROR(__xludf.DUMMYFUNCTION("""COMPUTED_VALUE"""),331.35)</f>
        <v>331.35</v>
      </c>
      <c r="D100" s="6">
        <f>IFERROR(__xludf.DUMMYFUNCTION("""COMPUTED_VALUE"""),311.7)</f>
        <v>311.7</v>
      </c>
      <c r="E100" s="6">
        <f>IFERROR(__xludf.DUMMYFUNCTION("""COMPUTED_VALUE"""),319.1)</f>
        <v>319.1</v>
      </c>
      <c r="F100" s="6">
        <f>IFERROR(__xludf.DUMMYFUNCTION("""COMPUTED_VALUE"""),1.79611207E8)</f>
        <v>179611207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IFERROR(__xludf.DUMMYFUNCTION("""COMPUTED_VALUE"""),320.0)</f>
        <v>320</v>
      </c>
      <c r="C101" s="6">
        <f>IFERROR(__xludf.DUMMYFUNCTION("""COMPUTED_VALUE"""),323.8)</f>
        <v>323.8</v>
      </c>
      <c r="D101" s="6">
        <f>IFERROR(__xludf.DUMMYFUNCTION("""COMPUTED_VALUE"""),315.05)</f>
        <v>315.05</v>
      </c>
      <c r="E101" s="6">
        <f>IFERROR(__xludf.DUMMYFUNCTION("""COMPUTED_VALUE"""),317.9)</f>
        <v>317.9</v>
      </c>
      <c r="F101" s="6">
        <f>IFERROR(__xludf.DUMMYFUNCTION("""COMPUTED_VALUE"""),2.004572882E9)</f>
        <v>2004572882</v>
      </c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IFERROR(__xludf.DUMMYFUNCTION("GOOGLEFINANCE(""NSE:EXIDEIND"",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IFERROR(__xludf.DUMMYFUNCTION("""COMPUTED_VALUE"""),260.4)</f>
        <v>260.4</v>
      </c>
      <c r="C2" s="6">
        <f>IFERROR(__xludf.DUMMYFUNCTION("""COMPUTED_VALUE"""),269.4)</f>
        <v>269.4</v>
      </c>
      <c r="D2" s="6">
        <f>IFERROR(__xludf.DUMMYFUNCTION("""COMPUTED_VALUE"""),258.85)</f>
        <v>258.85</v>
      </c>
      <c r="E2" s="6">
        <f>IFERROR(__xludf.DUMMYFUNCTION("""COMPUTED_VALUE"""),265.75)</f>
        <v>265.75</v>
      </c>
      <c r="F2" s="6">
        <f>IFERROR(__xludf.DUMMYFUNCTION("""COMPUTED_VALUE"""),1.1907413E7)</f>
        <v>11907413</v>
      </c>
    </row>
    <row r="3">
      <c r="A3" s="7">
        <f>IFERROR(__xludf.DUMMYFUNCTION("""COMPUTED_VALUE"""),45177.64583333333)</f>
        <v>45177.64583</v>
      </c>
      <c r="B3" s="6">
        <f>IFERROR(__xludf.DUMMYFUNCTION("""COMPUTED_VALUE"""),265.75)</f>
        <v>265.75</v>
      </c>
      <c r="C3" s="6">
        <f>IFERROR(__xludf.DUMMYFUNCTION("""COMPUTED_VALUE"""),276.95)</f>
        <v>276.95</v>
      </c>
      <c r="D3" s="6">
        <f>IFERROR(__xludf.DUMMYFUNCTION("""COMPUTED_VALUE"""),265.75)</f>
        <v>265.75</v>
      </c>
      <c r="E3" s="6">
        <f>IFERROR(__xludf.DUMMYFUNCTION("""COMPUTED_VALUE"""),273.45)</f>
        <v>273.45</v>
      </c>
      <c r="F3" s="6">
        <f>IFERROR(__xludf.DUMMYFUNCTION("""COMPUTED_VALUE"""),1.3006639E7)</f>
        <v>13006639</v>
      </c>
    </row>
    <row r="4">
      <c r="A4" s="7">
        <f>IFERROR(__xludf.DUMMYFUNCTION("""COMPUTED_VALUE"""),45184.64583333333)</f>
        <v>45184.64583</v>
      </c>
      <c r="B4" s="6">
        <f>IFERROR(__xludf.DUMMYFUNCTION("""COMPUTED_VALUE"""),276.8)</f>
        <v>276.8</v>
      </c>
      <c r="C4" s="6">
        <f>IFERROR(__xludf.DUMMYFUNCTION("""COMPUTED_VALUE"""),279.75)</f>
        <v>279.75</v>
      </c>
      <c r="D4" s="6">
        <f>IFERROR(__xludf.DUMMYFUNCTION("""COMPUTED_VALUE"""),263.55)</f>
        <v>263.55</v>
      </c>
      <c r="E4" s="6">
        <f>IFERROR(__xludf.DUMMYFUNCTION("""COMPUTED_VALUE"""),268.25)</f>
        <v>268.25</v>
      </c>
      <c r="F4" s="6">
        <f>IFERROR(__xludf.DUMMYFUNCTION("""COMPUTED_VALUE"""),1.2592013E7)</f>
        <v>12592013</v>
      </c>
    </row>
    <row r="5">
      <c r="A5" s="7">
        <f>IFERROR(__xludf.DUMMYFUNCTION("""COMPUTED_VALUE"""),45191.64583333333)</f>
        <v>45191.64583</v>
      </c>
      <c r="B5" s="6">
        <f>IFERROR(__xludf.DUMMYFUNCTION("""COMPUTED_VALUE"""),269.75)</f>
        <v>269.75</v>
      </c>
      <c r="C5" s="6">
        <f>IFERROR(__xludf.DUMMYFUNCTION("""COMPUTED_VALUE"""),270.4)</f>
        <v>270.4</v>
      </c>
      <c r="D5" s="6">
        <f>IFERROR(__xludf.DUMMYFUNCTION("""COMPUTED_VALUE"""),253.75)</f>
        <v>253.75</v>
      </c>
      <c r="E5" s="6">
        <f>IFERROR(__xludf.DUMMYFUNCTION("""COMPUTED_VALUE"""),256.2)</f>
        <v>256.2</v>
      </c>
      <c r="F5" s="6">
        <f>IFERROR(__xludf.DUMMYFUNCTION("""COMPUTED_VALUE"""),7913342.0)</f>
        <v>7913342</v>
      </c>
    </row>
    <row r="6">
      <c r="A6" s="7">
        <f>IFERROR(__xludf.DUMMYFUNCTION("""COMPUTED_VALUE"""),45198.64583333333)</f>
        <v>45198.64583</v>
      </c>
      <c r="B6" s="6">
        <f>IFERROR(__xludf.DUMMYFUNCTION("""COMPUTED_VALUE"""),256.2)</f>
        <v>256.2</v>
      </c>
      <c r="C6" s="6">
        <f>IFERROR(__xludf.DUMMYFUNCTION("""COMPUTED_VALUE"""),262.9)</f>
        <v>262.9</v>
      </c>
      <c r="D6" s="6">
        <f>IFERROR(__xludf.DUMMYFUNCTION("""COMPUTED_VALUE"""),253.6)</f>
        <v>253.6</v>
      </c>
      <c r="E6" s="6">
        <f>IFERROR(__xludf.DUMMYFUNCTION("""COMPUTED_VALUE"""),260.6)</f>
        <v>260.6</v>
      </c>
      <c r="F6" s="6">
        <f>IFERROR(__xludf.DUMMYFUNCTION("""COMPUTED_VALUE"""),6587479.0)</f>
        <v>6587479</v>
      </c>
    </row>
    <row r="7">
      <c r="A7" s="7">
        <f>IFERROR(__xludf.DUMMYFUNCTION("""COMPUTED_VALUE"""),45205.64583333333)</f>
        <v>45205.64583</v>
      </c>
      <c r="B7" s="6">
        <f>IFERROR(__xludf.DUMMYFUNCTION("""COMPUTED_VALUE"""),261.7)</f>
        <v>261.7</v>
      </c>
      <c r="C7" s="6">
        <f>IFERROR(__xludf.DUMMYFUNCTION("""COMPUTED_VALUE"""),263.0)</f>
        <v>263</v>
      </c>
      <c r="D7" s="6">
        <f>IFERROR(__xludf.DUMMYFUNCTION("""COMPUTED_VALUE"""),255.1)</f>
        <v>255.1</v>
      </c>
      <c r="E7" s="6">
        <f>IFERROR(__xludf.DUMMYFUNCTION("""COMPUTED_VALUE"""),259.0)</f>
        <v>259</v>
      </c>
      <c r="F7" s="6">
        <f>IFERROR(__xludf.DUMMYFUNCTION("""COMPUTED_VALUE"""),5726802.0)</f>
        <v>5726802</v>
      </c>
    </row>
    <row r="8">
      <c r="A8" s="7">
        <f>IFERROR(__xludf.DUMMYFUNCTION("""COMPUTED_VALUE"""),45212.64583333333)</f>
        <v>45212.64583</v>
      </c>
      <c r="B8" s="6">
        <f>IFERROR(__xludf.DUMMYFUNCTION("""COMPUTED_VALUE"""),256.0)</f>
        <v>256</v>
      </c>
      <c r="C8" s="6">
        <f>IFERROR(__xludf.DUMMYFUNCTION("""COMPUTED_VALUE"""),268.0)</f>
        <v>268</v>
      </c>
      <c r="D8" s="6">
        <f>IFERROR(__xludf.DUMMYFUNCTION("""COMPUTED_VALUE"""),253.2)</f>
        <v>253.2</v>
      </c>
      <c r="E8" s="6">
        <f>IFERROR(__xludf.DUMMYFUNCTION("""COMPUTED_VALUE"""),262.5)</f>
        <v>262.5</v>
      </c>
      <c r="F8" s="6">
        <f>IFERROR(__xludf.DUMMYFUNCTION("""COMPUTED_VALUE"""),9284775.0)</f>
        <v>9284775</v>
      </c>
    </row>
    <row r="9">
      <c r="A9" s="7">
        <f>IFERROR(__xludf.DUMMYFUNCTION("""COMPUTED_VALUE"""),45219.64583333333)</f>
        <v>45219.64583</v>
      </c>
      <c r="B9" s="6">
        <f>IFERROR(__xludf.DUMMYFUNCTION("""COMPUTED_VALUE"""),262.7)</f>
        <v>262.7</v>
      </c>
      <c r="C9" s="6">
        <f>IFERROR(__xludf.DUMMYFUNCTION("""COMPUTED_VALUE"""),274.0)</f>
        <v>274</v>
      </c>
      <c r="D9" s="6">
        <f>IFERROR(__xludf.DUMMYFUNCTION("""COMPUTED_VALUE"""),257.0)</f>
        <v>257</v>
      </c>
      <c r="E9" s="6">
        <f>IFERROR(__xludf.DUMMYFUNCTION("""COMPUTED_VALUE"""),258.05)</f>
        <v>258.05</v>
      </c>
      <c r="F9" s="6">
        <f>IFERROR(__xludf.DUMMYFUNCTION("""COMPUTED_VALUE"""),1.4935519E7)</f>
        <v>14935519</v>
      </c>
    </row>
    <row r="10">
      <c r="A10" s="7">
        <f>IFERROR(__xludf.DUMMYFUNCTION("""COMPUTED_VALUE"""),45226.64583333333)</f>
        <v>45226.64583</v>
      </c>
      <c r="B10" s="6">
        <f>IFERROR(__xludf.DUMMYFUNCTION("""COMPUTED_VALUE"""),258.05)</f>
        <v>258.05</v>
      </c>
      <c r="C10" s="6">
        <f>IFERROR(__xludf.DUMMYFUNCTION("""COMPUTED_VALUE"""),258.8)</f>
        <v>258.8</v>
      </c>
      <c r="D10" s="6">
        <f>IFERROR(__xludf.DUMMYFUNCTION("""COMPUTED_VALUE"""),241.7)</f>
        <v>241.7</v>
      </c>
      <c r="E10" s="6">
        <f>IFERROR(__xludf.DUMMYFUNCTION("""COMPUTED_VALUE"""),251.4)</f>
        <v>251.4</v>
      </c>
      <c r="F10" s="6">
        <f>IFERROR(__xludf.DUMMYFUNCTION("""COMPUTED_VALUE"""),6575912.0)</f>
        <v>6575912</v>
      </c>
    </row>
    <row r="11">
      <c r="A11" s="7">
        <f>IFERROR(__xludf.DUMMYFUNCTION("""COMPUTED_VALUE"""),45233.64583333333)</f>
        <v>45233.64583</v>
      </c>
      <c r="B11" s="6">
        <f>IFERROR(__xludf.DUMMYFUNCTION("""COMPUTED_VALUE"""),251.4)</f>
        <v>251.4</v>
      </c>
      <c r="C11" s="6">
        <f>IFERROR(__xludf.DUMMYFUNCTION("""COMPUTED_VALUE"""),258.95)</f>
        <v>258.95</v>
      </c>
      <c r="D11" s="6">
        <f>IFERROR(__xludf.DUMMYFUNCTION("""COMPUTED_VALUE"""),249.0)</f>
        <v>249</v>
      </c>
      <c r="E11" s="6">
        <f>IFERROR(__xludf.DUMMYFUNCTION("""COMPUTED_VALUE"""),256.1)</f>
        <v>256.1</v>
      </c>
      <c r="F11" s="6">
        <f>IFERROR(__xludf.DUMMYFUNCTION("""COMPUTED_VALUE"""),6495531.0)</f>
        <v>6495531</v>
      </c>
    </row>
    <row r="12">
      <c r="A12" s="7">
        <f>IFERROR(__xludf.DUMMYFUNCTION("""COMPUTED_VALUE"""),45240.64583333333)</f>
        <v>45240.64583</v>
      </c>
      <c r="B12" s="6">
        <f>IFERROR(__xludf.DUMMYFUNCTION("""COMPUTED_VALUE"""),258.0)</f>
        <v>258</v>
      </c>
      <c r="C12" s="6">
        <f>IFERROR(__xludf.DUMMYFUNCTION("""COMPUTED_VALUE"""),273.25)</f>
        <v>273.25</v>
      </c>
      <c r="D12" s="6">
        <f>IFERROR(__xludf.DUMMYFUNCTION("""COMPUTED_VALUE"""),257.75)</f>
        <v>257.75</v>
      </c>
      <c r="E12" s="6">
        <f>IFERROR(__xludf.DUMMYFUNCTION("""COMPUTED_VALUE"""),268.15)</f>
        <v>268.15</v>
      </c>
      <c r="F12" s="6">
        <f>IFERROR(__xludf.DUMMYFUNCTION("""COMPUTED_VALUE"""),1.6112451E7)</f>
        <v>16112451</v>
      </c>
    </row>
    <row r="13">
      <c r="A13" s="7">
        <f>IFERROR(__xludf.DUMMYFUNCTION("""COMPUTED_VALUE"""),45247.64583333333)</f>
        <v>45247.64583</v>
      </c>
      <c r="B13" s="6">
        <f>IFERROR(__xludf.DUMMYFUNCTION("""COMPUTED_VALUE"""),270.5)</f>
        <v>270.5</v>
      </c>
      <c r="C13" s="6">
        <f>IFERROR(__xludf.DUMMYFUNCTION("""COMPUTED_VALUE"""),282.45)</f>
        <v>282.45</v>
      </c>
      <c r="D13" s="6">
        <f>IFERROR(__xludf.DUMMYFUNCTION("""COMPUTED_VALUE"""),267.3)</f>
        <v>267.3</v>
      </c>
      <c r="E13" s="6">
        <f>IFERROR(__xludf.DUMMYFUNCTION("""COMPUTED_VALUE"""),281.1)</f>
        <v>281.1</v>
      </c>
      <c r="F13" s="6">
        <f>IFERROR(__xludf.DUMMYFUNCTION("""COMPUTED_VALUE"""),1.2862279E7)</f>
        <v>12862279</v>
      </c>
    </row>
    <row r="14">
      <c r="A14" s="7">
        <f>IFERROR(__xludf.DUMMYFUNCTION("""COMPUTED_VALUE"""),45254.64583333333)</f>
        <v>45254.64583</v>
      </c>
      <c r="B14" s="6">
        <f>IFERROR(__xludf.DUMMYFUNCTION("""COMPUTED_VALUE"""),282.9)</f>
        <v>282.9</v>
      </c>
      <c r="C14" s="6">
        <f>IFERROR(__xludf.DUMMYFUNCTION("""COMPUTED_VALUE"""),287.45)</f>
        <v>287.45</v>
      </c>
      <c r="D14" s="6">
        <f>IFERROR(__xludf.DUMMYFUNCTION("""COMPUTED_VALUE"""),280.35)</f>
        <v>280.35</v>
      </c>
      <c r="E14" s="6">
        <f>IFERROR(__xludf.DUMMYFUNCTION("""COMPUTED_VALUE"""),281.5)</f>
        <v>281.5</v>
      </c>
      <c r="F14" s="6">
        <f>IFERROR(__xludf.DUMMYFUNCTION("""COMPUTED_VALUE"""),1.3640325E7)</f>
        <v>13640325</v>
      </c>
    </row>
    <row r="15">
      <c r="A15" s="7">
        <f>IFERROR(__xludf.DUMMYFUNCTION("""COMPUTED_VALUE"""),45261.64583333333)</f>
        <v>45261.64583</v>
      </c>
      <c r="B15" s="6">
        <f>IFERROR(__xludf.DUMMYFUNCTION("""COMPUTED_VALUE"""),283.2)</f>
        <v>283.2</v>
      </c>
      <c r="C15" s="6">
        <f>IFERROR(__xludf.DUMMYFUNCTION("""COMPUTED_VALUE"""),297.0)</f>
        <v>297</v>
      </c>
      <c r="D15" s="6">
        <f>IFERROR(__xludf.DUMMYFUNCTION("""COMPUTED_VALUE"""),281.0)</f>
        <v>281</v>
      </c>
      <c r="E15" s="6">
        <f>IFERROR(__xludf.DUMMYFUNCTION("""COMPUTED_VALUE"""),291.5)</f>
        <v>291.5</v>
      </c>
      <c r="F15" s="6">
        <f>IFERROR(__xludf.DUMMYFUNCTION("""COMPUTED_VALUE"""),1.1984798E7)</f>
        <v>11984798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IFERROR(__xludf.DUMMYFUNCTION("""COMPUTED_VALUE"""),297.4)</f>
        <v>297.4</v>
      </c>
      <c r="C16" s="6">
        <f>IFERROR(__xludf.DUMMYFUNCTION("""COMPUTED_VALUE"""),299.4)</f>
        <v>299.4</v>
      </c>
      <c r="D16" s="6">
        <f>IFERROR(__xludf.DUMMYFUNCTION("""COMPUTED_VALUE"""),287.25)</f>
        <v>287.25</v>
      </c>
      <c r="E16" s="6">
        <f>IFERROR(__xludf.DUMMYFUNCTION("""COMPUTED_VALUE"""),289.9)</f>
        <v>289.9</v>
      </c>
      <c r="F16" s="6">
        <f>IFERROR(__xludf.DUMMYFUNCTION("""COMPUTED_VALUE"""),1.2962174E7)</f>
        <v>12962174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IFERROR(__xludf.DUMMYFUNCTION("""COMPUTED_VALUE"""),290.7)</f>
        <v>290.7</v>
      </c>
      <c r="C17" s="6">
        <f>IFERROR(__xludf.DUMMYFUNCTION("""COMPUTED_VALUE"""),299.0)</f>
        <v>299</v>
      </c>
      <c r="D17" s="6">
        <f>IFERROR(__xludf.DUMMYFUNCTION("""COMPUTED_VALUE"""),285.4)</f>
        <v>285.4</v>
      </c>
      <c r="E17" s="6">
        <f>IFERROR(__xludf.DUMMYFUNCTION("""COMPUTED_VALUE"""),295.55)</f>
        <v>295.55</v>
      </c>
      <c r="F17" s="6">
        <f>IFERROR(__xludf.DUMMYFUNCTION("""COMPUTED_VALUE"""),1.0363878E7)</f>
        <v>10363878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IFERROR(__xludf.DUMMYFUNCTION("""COMPUTED_VALUE"""),295.55)</f>
        <v>295.55</v>
      </c>
      <c r="C18" s="6">
        <f>IFERROR(__xludf.DUMMYFUNCTION("""COMPUTED_VALUE"""),309.9)</f>
        <v>309.9</v>
      </c>
      <c r="D18" s="6">
        <f>IFERROR(__xludf.DUMMYFUNCTION("""COMPUTED_VALUE"""),278.5)</f>
        <v>278.5</v>
      </c>
      <c r="E18" s="6">
        <f>IFERROR(__xludf.DUMMYFUNCTION("""COMPUTED_VALUE"""),293.35)</f>
        <v>293.35</v>
      </c>
      <c r="F18" s="6">
        <f>IFERROR(__xludf.DUMMYFUNCTION("""COMPUTED_VALUE"""),2.3879678E7)</f>
        <v>23879678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IFERROR(__xludf.DUMMYFUNCTION("""COMPUTED_VALUE"""),293.35)</f>
        <v>293.35</v>
      </c>
      <c r="C19" s="6">
        <f>IFERROR(__xludf.DUMMYFUNCTION("""COMPUTED_VALUE"""),324.25)</f>
        <v>324.25</v>
      </c>
      <c r="D19" s="6">
        <f>IFERROR(__xludf.DUMMYFUNCTION("""COMPUTED_VALUE"""),292.8)</f>
        <v>292.8</v>
      </c>
      <c r="E19" s="6">
        <f>IFERROR(__xludf.DUMMYFUNCTION("""COMPUTED_VALUE"""),317.85)</f>
        <v>317.85</v>
      </c>
      <c r="F19" s="6">
        <f>IFERROR(__xludf.DUMMYFUNCTION("""COMPUTED_VALUE"""),1.760455E7)</f>
        <v>17604550</v>
      </c>
    </row>
    <row r="20">
      <c r="A20" s="7">
        <f>IFERROR(__xludf.DUMMYFUNCTION("""COMPUTED_VALUE"""),45296.64583333333)</f>
        <v>45296.64583</v>
      </c>
      <c r="B20" s="6">
        <f>IFERROR(__xludf.DUMMYFUNCTION("""COMPUTED_VALUE"""),319.85)</f>
        <v>319.85</v>
      </c>
      <c r="C20" s="6">
        <f>IFERROR(__xludf.DUMMYFUNCTION("""COMPUTED_VALUE"""),331.0)</f>
        <v>331</v>
      </c>
      <c r="D20" s="6">
        <f>IFERROR(__xludf.DUMMYFUNCTION("""COMPUTED_VALUE"""),315.5)</f>
        <v>315.5</v>
      </c>
      <c r="E20" s="6">
        <f>IFERROR(__xludf.DUMMYFUNCTION("""COMPUTED_VALUE"""),329.35)</f>
        <v>329.35</v>
      </c>
      <c r="F20" s="6">
        <f>IFERROR(__xludf.DUMMYFUNCTION("""COMPUTED_VALUE"""),1.6666543E7)</f>
        <v>16666543</v>
      </c>
    </row>
    <row r="21">
      <c r="A21" s="7">
        <f>IFERROR(__xludf.DUMMYFUNCTION("""COMPUTED_VALUE"""),45303.64583333333)</f>
        <v>45303.64583</v>
      </c>
      <c r="B21" s="6">
        <f>IFERROR(__xludf.DUMMYFUNCTION("""COMPUTED_VALUE"""),331.25)</f>
        <v>331.25</v>
      </c>
      <c r="C21" s="6">
        <f>IFERROR(__xludf.DUMMYFUNCTION("""COMPUTED_VALUE"""),341.8)</f>
        <v>341.8</v>
      </c>
      <c r="D21" s="6">
        <f>IFERROR(__xludf.DUMMYFUNCTION("""COMPUTED_VALUE"""),322.6)</f>
        <v>322.6</v>
      </c>
      <c r="E21" s="6">
        <f>IFERROR(__xludf.DUMMYFUNCTION("""COMPUTED_VALUE"""),337.65)</f>
        <v>337.65</v>
      </c>
      <c r="F21" s="6">
        <f>IFERROR(__xludf.DUMMYFUNCTION("""COMPUTED_VALUE"""),1.6934806E7)</f>
        <v>16934806</v>
      </c>
    </row>
    <row r="22">
      <c r="A22" s="7">
        <f>IFERROR(__xludf.DUMMYFUNCTION("""COMPUTED_VALUE"""),45316.64583333333)</f>
        <v>45316.64583</v>
      </c>
      <c r="B22" s="6">
        <f>IFERROR(__xludf.DUMMYFUNCTION("""COMPUTED_VALUE"""),325.9)</f>
        <v>325.9</v>
      </c>
      <c r="C22" s="6">
        <f>IFERROR(__xludf.DUMMYFUNCTION("""COMPUTED_VALUE"""),327.6)</f>
        <v>327.6</v>
      </c>
      <c r="D22" s="6">
        <f>IFERROR(__xludf.DUMMYFUNCTION("""COMPUTED_VALUE"""),307.45)</f>
        <v>307.45</v>
      </c>
      <c r="E22" s="6">
        <f>IFERROR(__xludf.DUMMYFUNCTION("""COMPUTED_VALUE"""),310.4)</f>
        <v>310.4</v>
      </c>
      <c r="F22" s="6">
        <f>IFERROR(__xludf.DUMMYFUNCTION("""COMPUTED_VALUE"""),1.1383228E7)</f>
        <v>11383228</v>
      </c>
    </row>
    <row r="23">
      <c r="A23" s="7">
        <f>IFERROR(__xludf.DUMMYFUNCTION("""COMPUTED_VALUE"""),45324.64583333333)</f>
        <v>45324.64583</v>
      </c>
      <c r="B23" s="6">
        <f>IFERROR(__xludf.DUMMYFUNCTION("""COMPUTED_VALUE"""),314.7)</f>
        <v>314.7</v>
      </c>
      <c r="C23" s="6">
        <f>IFERROR(__xludf.DUMMYFUNCTION("""COMPUTED_VALUE"""),347.5)</f>
        <v>347.5</v>
      </c>
      <c r="D23" s="6">
        <f>IFERROR(__xludf.DUMMYFUNCTION("""COMPUTED_VALUE"""),311.3)</f>
        <v>311.3</v>
      </c>
      <c r="E23" s="6">
        <f>IFERROR(__xludf.DUMMYFUNCTION("""COMPUTED_VALUE"""),343.35)</f>
        <v>343.35</v>
      </c>
      <c r="F23" s="6">
        <f>IFERROR(__xludf.DUMMYFUNCTION("""COMPUTED_VALUE"""),2.4931834E7)</f>
        <v>24931834</v>
      </c>
    </row>
    <row r="24">
      <c r="A24" s="7">
        <f>IFERROR(__xludf.DUMMYFUNCTION("""COMPUTED_VALUE"""),45331.64583333333)</f>
        <v>45331.64583</v>
      </c>
      <c r="B24" s="6">
        <f>IFERROR(__xludf.DUMMYFUNCTION("""COMPUTED_VALUE"""),346.9)</f>
        <v>346.9</v>
      </c>
      <c r="C24" s="6">
        <f>IFERROR(__xludf.DUMMYFUNCTION("""COMPUTED_VALUE"""),354.0)</f>
        <v>354</v>
      </c>
      <c r="D24" s="6">
        <f>IFERROR(__xludf.DUMMYFUNCTION("""COMPUTED_VALUE"""),332.5)</f>
        <v>332.5</v>
      </c>
      <c r="E24" s="6">
        <f>IFERROR(__xludf.DUMMYFUNCTION("""COMPUTED_VALUE"""),338.4)</f>
        <v>338.4</v>
      </c>
      <c r="F24" s="6">
        <f>IFERROR(__xludf.DUMMYFUNCTION("""COMPUTED_VALUE"""),1.5109953E7)</f>
        <v>15109953</v>
      </c>
    </row>
    <row r="25">
      <c r="A25" s="7">
        <f>IFERROR(__xludf.DUMMYFUNCTION("""COMPUTED_VALUE"""),45338.64583333333)</f>
        <v>45338.64583</v>
      </c>
      <c r="B25" s="6">
        <f>IFERROR(__xludf.DUMMYFUNCTION("""COMPUTED_VALUE"""),341.0)</f>
        <v>341</v>
      </c>
      <c r="C25" s="6">
        <f>IFERROR(__xludf.DUMMYFUNCTION("""COMPUTED_VALUE"""),341.4)</f>
        <v>341.4</v>
      </c>
      <c r="D25" s="6">
        <f>IFERROR(__xludf.DUMMYFUNCTION("""COMPUTED_VALUE"""),321.4)</f>
        <v>321.4</v>
      </c>
      <c r="E25" s="6">
        <f>IFERROR(__xludf.DUMMYFUNCTION("""COMPUTED_VALUE"""),336.5)</f>
        <v>336.5</v>
      </c>
      <c r="F25" s="6">
        <f>IFERROR(__xludf.DUMMYFUNCTION("""COMPUTED_VALUE"""),9554965.0)</f>
        <v>9554965</v>
      </c>
    </row>
    <row r="26">
      <c r="A26" s="7">
        <f>IFERROR(__xludf.DUMMYFUNCTION("""COMPUTED_VALUE"""),45345.64583333333)</f>
        <v>45345.64583</v>
      </c>
      <c r="B26" s="6">
        <f>IFERROR(__xludf.DUMMYFUNCTION("""COMPUTED_VALUE"""),340.3)</f>
        <v>340.3</v>
      </c>
      <c r="C26" s="6">
        <f>IFERROR(__xludf.DUMMYFUNCTION("""COMPUTED_VALUE"""),344.0)</f>
        <v>344</v>
      </c>
      <c r="D26" s="6">
        <f>IFERROR(__xludf.DUMMYFUNCTION("""COMPUTED_VALUE"""),323.3)</f>
        <v>323.3</v>
      </c>
      <c r="E26" s="6">
        <f>IFERROR(__xludf.DUMMYFUNCTION("""COMPUTED_VALUE"""),330.0)</f>
        <v>330</v>
      </c>
      <c r="F26" s="6">
        <f>IFERROR(__xludf.DUMMYFUNCTION("""COMPUTED_VALUE"""),8060666.0)</f>
        <v>8060666</v>
      </c>
    </row>
    <row r="27">
      <c r="A27" s="7">
        <f>IFERROR(__xludf.DUMMYFUNCTION("""COMPUTED_VALUE"""),45358.64583333333)</f>
        <v>45358.64583</v>
      </c>
      <c r="B27" s="6">
        <f>IFERROR(__xludf.DUMMYFUNCTION("""COMPUTED_VALUE"""),327.8)</f>
        <v>327.8</v>
      </c>
      <c r="C27" s="6">
        <f>IFERROR(__xludf.DUMMYFUNCTION("""COMPUTED_VALUE"""),332.05)</f>
        <v>332.05</v>
      </c>
      <c r="D27" s="6">
        <f>IFERROR(__xludf.DUMMYFUNCTION("""COMPUTED_VALUE"""),316.55)</f>
        <v>316.55</v>
      </c>
      <c r="E27" s="6">
        <f>IFERROR(__xludf.DUMMYFUNCTION("""COMPUTED_VALUE"""),328.15)</f>
        <v>328.15</v>
      </c>
      <c r="F27" s="6">
        <f>IFERROR(__xludf.DUMMYFUNCTION("""COMPUTED_VALUE"""),6585984.0)</f>
        <v>6585984</v>
      </c>
    </row>
    <row r="28">
      <c r="A28" s="7">
        <f>IFERROR(__xludf.DUMMYFUNCTION("""COMPUTED_VALUE"""),45366.64583333333)</f>
        <v>45366.64583</v>
      </c>
      <c r="B28" s="6">
        <f>IFERROR(__xludf.DUMMYFUNCTION("""COMPUTED_VALUE"""),331.0)</f>
        <v>331</v>
      </c>
      <c r="C28" s="6">
        <f>IFERROR(__xludf.DUMMYFUNCTION("""COMPUTED_VALUE"""),332.3)</f>
        <v>332.3</v>
      </c>
      <c r="D28" s="6">
        <f>IFERROR(__xludf.DUMMYFUNCTION("""COMPUTED_VALUE"""),294.65)</f>
        <v>294.65</v>
      </c>
      <c r="E28" s="6">
        <f>IFERROR(__xludf.DUMMYFUNCTION("""COMPUTED_VALUE"""),305.3)</f>
        <v>305.3</v>
      </c>
      <c r="F28" s="6">
        <f>IFERROR(__xludf.DUMMYFUNCTION("""COMPUTED_VALUE"""),1.3769787E7)</f>
        <v>13769787</v>
      </c>
    </row>
    <row r="29">
      <c r="A29" s="7">
        <f>IFERROR(__xludf.DUMMYFUNCTION("""COMPUTED_VALUE"""),45373.64583333333)</f>
        <v>45373.64583</v>
      </c>
      <c r="B29" s="6">
        <f>IFERROR(__xludf.DUMMYFUNCTION("""COMPUTED_VALUE"""),305.0)</f>
        <v>305</v>
      </c>
      <c r="C29" s="6">
        <f>IFERROR(__xludf.DUMMYFUNCTION("""COMPUTED_VALUE"""),309.1)</f>
        <v>309.1</v>
      </c>
      <c r="D29" s="6">
        <f>IFERROR(__xludf.DUMMYFUNCTION("""COMPUTED_VALUE"""),290.35)</f>
        <v>290.35</v>
      </c>
      <c r="E29" s="6">
        <f>IFERROR(__xludf.DUMMYFUNCTION("""COMPUTED_VALUE"""),307.2)</f>
        <v>307.2</v>
      </c>
      <c r="F29" s="6">
        <f>IFERROR(__xludf.DUMMYFUNCTION("""COMPUTED_VALUE"""),1.0959381E7)</f>
        <v>10959381</v>
      </c>
    </row>
    <row r="30">
      <c r="A30" s="7">
        <f>IFERROR(__xludf.DUMMYFUNCTION("""COMPUTED_VALUE"""),45379.64583333333)</f>
        <v>45379.64583</v>
      </c>
      <c r="B30" s="6">
        <f>IFERROR(__xludf.DUMMYFUNCTION("""COMPUTED_VALUE"""),305.0)</f>
        <v>305</v>
      </c>
      <c r="C30" s="6">
        <f>IFERROR(__xludf.DUMMYFUNCTION("""COMPUTED_VALUE"""),307.5)</f>
        <v>307.5</v>
      </c>
      <c r="D30" s="6">
        <f>IFERROR(__xludf.DUMMYFUNCTION("""COMPUTED_VALUE"""),302.8)</f>
        <v>302.8</v>
      </c>
      <c r="E30" s="6">
        <f>IFERROR(__xludf.DUMMYFUNCTION("""COMPUTED_VALUE"""),304.55)</f>
        <v>304.55</v>
      </c>
      <c r="F30" s="6">
        <f>IFERROR(__xludf.DUMMYFUNCTION("""COMPUTED_VALUE"""),5271041.0)</f>
        <v>5271041</v>
      </c>
    </row>
    <row r="31">
      <c r="A31" s="7">
        <f>IFERROR(__xludf.DUMMYFUNCTION("""COMPUTED_VALUE"""),45387.64583333333)</f>
        <v>45387.64583</v>
      </c>
      <c r="B31" s="6">
        <f>IFERROR(__xludf.DUMMYFUNCTION("""COMPUTED_VALUE"""),305.0)</f>
        <v>305</v>
      </c>
      <c r="C31" s="6">
        <f>IFERROR(__xludf.DUMMYFUNCTION("""COMPUTED_VALUE"""),323.95)</f>
        <v>323.95</v>
      </c>
      <c r="D31" s="6">
        <f>IFERROR(__xludf.DUMMYFUNCTION("""COMPUTED_VALUE"""),305.0)</f>
        <v>305</v>
      </c>
      <c r="E31" s="6">
        <f>IFERROR(__xludf.DUMMYFUNCTION("""COMPUTED_VALUE"""),321.85)</f>
        <v>321.85</v>
      </c>
      <c r="F31" s="6">
        <f>IFERROR(__xludf.DUMMYFUNCTION("""COMPUTED_VALUE"""),1.1936858E7)</f>
        <v>11936858</v>
      </c>
    </row>
    <row r="32">
      <c r="A32" s="7">
        <f>IFERROR(__xludf.DUMMYFUNCTION("""COMPUTED_VALUE"""),45394.64583333333)</f>
        <v>45394.64583</v>
      </c>
      <c r="B32" s="6">
        <f>IFERROR(__xludf.DUMMYFUNCTION("""COMPUTED_VALUE"""),324.5)</f>
        <v>324.5</v>
      </c>
      <c r="C32" s="6">
        <f>IFERROR(__xludf.DUMMYFUNCTION("""COMPUTED_VALUE"""),403.0)</f>
        <v>403</v>
      </c>
      <c r="D32" s="6">
        <f>IFERROR(__xludf.DUMMYFUNCTION("""COMPUTED_VALUE"""),321.0)</f>
        <v>321</v>
      </c>
      <c r="E32" s="6">
        <f>IFERROR(__xludf.DUMMYFUNCTION("""COMPUTED_VALUE"""),398.15)</f>
        <v>398.15</v>
      </c>
      <c r="F32" s="6">
        <f>IFERROR(__xludf.DUMMYFUNCTION("""COMPUTED_VALUE"""),1.70365975E8)</f>
        <v>170365975</v>
      </c>
    </row>
    <row r="33">
      <c r="A33" s="7">
        <f>IFERROR(__xludf.DUMMYFUNCTION("""COMPUTED_VALUE"""),45401.64583333333)</f>
        <v>45401.64583</v>
      </c>
      <c r="B33" s="6">
        <f>IFERROR(__xludf.DUMMYFUNCTION("""COMPUTED_VALUE"""),401.0)</f>
        <v>401</v>
      </c>
      <c r="C33" s="6">
        <f>IFERROR(__xludf.DUMMYFUNCTION("""COMPUTED_VALUE"""),481.7)</f>
        <v>481.7</v>
      </c>
      <c r="D33" s="6">
        <f>IFERROR(__xludf.DUMMYFUNCTION("""COMPUTED_VALUE"""),398.85)</f>
        <v>398.85</v>
      </c>
      <c r="E33" s="6">
        <f>IFERROR(__xludf.DUMMYFUNCTION("""COMPUTED_VALUE"""),444.3)</f>
        <v>444.3</v>
      </c>
      <c r="F33" s="6">
        <f>IFERROR(__xludf.DUMMYFUNCTION("""COMPUTED_VALUE"""),1.7668426E8)</f>
        <v>176684260</v>
      </c>
    </row>
    <row r="34">
      <c r="A34" s="7">
        <f>IFERROR(__xludf.DUMMYFUNCTION("""COMPUTED_VALUE"""),45408.64583333333)</f>
        <v>45408.64583</v>
      </c>
      <c r="B34" s="6">
        <f>IFERROR(__xludf.DUMMYFUNCTION("""COMPUTED_VALUE"""),447.0)</f>
        <v>447</v>
      </c>
      <c r="C34" s="6">
        <f>IFERROR(__xludf.DUMMYFUNCTION("""COMPUTED_VALUE"""),476.6)</f>
        <v>476.6</v>
      </c>
      <c r="D34" s="6">
        <f>IFERROR(__xludf.DUMMYFUNCTION("""COMPUTED_VALUE"""),433.5)</f>
        <v>433.5</v>
      </c>
      <c r="E34" s="6">
        <f>IFERROR(__xludf.DUMMYFUNCTION("""COMPUTED_VALUE"""),466.65)</f>
        <v>466.65</v>
      </c>
      <c r="F34" s="6">
        <f>IFERROR(__xludf.DUMMYFUNCTION("""COMPUTED_VALUE"""),6.5342421E7)</f>
        <v>65342421</v>
      </c>
    </row>
    <row r="35">
      <c r="A35" s="7">
        <f>IFERROR(__xludf.DUMMYFUNCTION("""COMPUTED_VALUE"""),45415.64583333333)</f>
        <v>45415.64583</v>
      </c>
      <c r="B35" s="6">
        <f>IFERROR(__xludf.DUMMYFUNCTION("""COMPUTED_VALUE"""),468.95)</f>
        <v>468.95</v>
      </c>
      <c r="C35" s="6">
        <f>IFERROR(__xludf.DUMMYFUNCTION("""COMPUTED_VALUE"""),485.55)</f>
        <v>485.55</v>
      </c>
      <c r="D35" s="6">
        <f>IFERROR(__xludf.DUMMYFUNCTION("""COMPUTED_VALUE"""),453.1)</f>
        <v>453.1</v>
      </c>
      <c r="E35" s="6">
        <f>IFERROR(__xludf.DUMMYFUNCTION("""COMPUTED_VALUE"""),468.95)</f>
        <v>468.95</v>
      </c>
      <c r="F35" s="6">
        <f>IFERROR(__xludf.DUMMYFUNCTION("""COMPUTED_VALUE"""),3.268844E7)</f>
        <v>32688440</v>
      </c>
    </row>
    <row r="36">
      <c r="A36" s="7">
        <f>IFERROR(__xludf.DUMMYFUNCTION("""COMPUTED_VALUE"""),45422.64583333333)</f>
        <v>45422.64583</v>
      </c>
      <c r="B36" s="6">
        <f>IFERROR(__xludf.DUMMYFUNCTION("""COMPUTED_VALUE"""),471.0)</f>
        <v>471</v>
      </c>
      <c r="C36" s="6">
        <f>IFERROR(__xludf.DUMMYFUNCTION("""COMPUTED_VALUE"""),471.8)</f>
        <v>471.8</v>
      </c>
      <c r="D36" s="6">
        <f>IFERROR(__xludf.DUMMYFUNCTION("""COMPUTED_VALUE"""),445.1)</f>
        <v>445.1</v>
      </c>
      <c r="E36" s="6">
        <f>IFERROR(__xludf.DUMMYFUNCTION("""COMPUTED_VALUE"""),452.25)</f>
        <v>452.25</v>
      </c>
      <c r="F36" s="6">
        <f>IFERROR(__xludf.DUMMYFUNCTION("""COMPUTED_VALUE"""),1.8422799E7)</f>
        <v>18422799</v>
      </c>
    </row>
    <row r="37">
      <c r="A37" s="7">
        <f>IFERROR(__xludf.DUMMYFUNCTION("""COMPUTED_VALUE"""),45436.64583333333)</f>
        <v>45436.64583</v>
      </c>
      <c r="B37" s="6">
        <f>IFERROR(__xludf.DUMMYFUNCTION("""COMPUTED_VALUE"""),476.35)</f>
        <v>476.35</v>
      </c>
      <c r="C37" s="6">
        <f>IFERROR(__xludf.DUMMYFUNCTION("""COMPUTED_VALUE"""),495.5)</f>
        <v>495.5</v>
      </c>
      <c r="D37" s="6">
        <f>IFERROR(__xludf.DUMMYFUNCTION("""COMPUTED_VALUE"""),460.35)</f>
        <v>460.35</v>
      </c>
      <c r="E37" s="6">
        <f>IFERROR(__xludf.DUMMYFUNCTION("""COMPUTED_VALUE"""),474.75)</f>
        <v>474.75</v>
      </c>
      <c r="F37" s="6">
        <f>IFERROR(__xludf.DUMMYFUNCTION("""COMPUTED_VALUE"""),2.6839336E7)</f>
        <v>26839336</v>
      </c>
    </row>
    <row r="38">
      <c r="A38" s="7">
        <f>IFERROR(__xludf.DUMMYFUNCTION("""COMPUTED_VALUE"""),45443.64583333333)</f>
        <v>45443.64583</v>
      </c>
      <c r="B38" s="6">
        <f>IFERROR(__xludf.DUMMYFUNCTION("""COMPUTED_VALUE"""),479.9)</f>
        <v>479.9</v>
      </c>
      <c r="C38" s="6">
        <f>IFERROR(__xludf.DUMMYFUNCTION("""COMPUTED_VALUE"""),517.4)</f>
        <v>517.4</v>
      </c>
      <c r="D38" s="6">
        <f>IFERROR(__xludf.DUMMYFUNCTION("""COMPUTED_VALUE"""),468.45)</f>
        <v>468.45</v>
      </c>
      <c r="E38" s="6">
        <f>IFERROR(__xludf.DUMMYFUNCTION("""COMPUTED_VALUE"""),488.25)</f>
        <v>488.25</v>
      </c>
      <c r="F38" s="6">
        <f>IFERROR(__xludf.DUMMYFUNCTION("""COMPUTED_VALUE"""),6.9027576E7)</f>
        <v>69027576</v>
      </c>
    </row>
    <row r="39">
      <c r="A39" s="7">
        <f>IFERROR(__xludf.DUMMYFUNCTION("""COMPUTED_VALUE"""),45450.64583333333)</f>
        <v>45450.64583</v>
      </c>
      <c r="B39" s="6">
        <f>IFERROR(__xludf.DUMMYFUNCTION("""COMPUTED_VALUE"""),512.7)</f>
        <v>512.7</v>
      </c>
      <c r="C39" s="6">
        <f>IFERROR(__xludf.DUMMYFUNCTION("""COMPUTED_VALUE"""),536.7)</f>
        <v>536.7</v>
      </c>
      <c r="D39" s="6">
        <f>IFERROR(__xludf.DUMMYFUNCTION("""COMPUTED_VALUE"""),429.2)</f>
        <v>429.2</v>
      </c>
      <c r="E39" s="6">
        <f>IFERROR(__xludf.DUMMYFUNCTION("""COMPUTED_VALUE"""),527.05)</f>
        <v>527.05</v>
      </c>
      <c r="F39" s="6">
        <f>IFERROR(__xludf.DUMMYFUNCTION("""COMPUTED_VALUE"""),5.2212921E7)</f>
        <v>52212921</v>
      </c>
    </row>
    <row r="40">
      <c r="A40" s="7">
        <f>IFERROR(__xludf.DUMMYFUNCTION("""COMPUTED_VALUE"""),45457.64583333333)</f>
        <v>45457.64583</v>
      </c>
      <c r="B40" s="6">
        <f>IFERROR(__xludf.DUMMYFUNCTION("""COMPUTED_VALUE"""),530.0)</f>
        <v>530</v>
      </c>
      <c r="C40" s="6">
        <f>IFERROR(__xludf.DUMMYFUNCTION("""COMPUTED_VALUE"""),549.9)</f>
        <v>549.9</v>
      </c>
      <c r="D40" s="6">
        <f>IFERROR(__xludf.DUMMYFUNCTION("""COMPUTED_VALUE"""),522.35)</f>
        <v>522.35</v>
      </c>
      <c r="E40" s="6">
        <f>IFERROR(__xludf.DUMMYFUNCTION("""COMPUTED_VALUE"""),542.25)</f>
        <v>542.25</v>
      </c>
      <c r="F40" s="6">
        <f>IFERROR(__xludf.DUMMYFUNCTION("""COMPUTED_VALUE"""),3.3891829E7)</f>
        <v>33891829</v>
      </c>
    </row>
    <row r="41">
      <c r="A41" s="7">
        <f>IFERROR(__xludf.DUMMYFUNCTION("""COMPUTED_VALUE"""),45464.64583333333)</f>
        <v>45464.64583</v>
      </c>
      <c r="B41" s="6">
        <f>IFERROR(__xludf.DUMMYFUNCTION("""COMPUTED_VALUE"""),544.7)</f>
        <v>544.7</v>
      </c>
      <c r="C41" s="6">
        <f>IFERROR(__xludf.DUMMYFUNCTION("""COMPUTED_VALUE"""),576.2)</f>
        <v>576.2</v>
      </c>
      <c r="D41" s="6">
        <f>IFERROR(__xludf.DUMMYFUNCTION("""COMPUTED_VALUE"""),543.2)</f>
        <v>543.2</v>
      </c>
      <c r="E41" s="6">
        <f>IFERROR(__xludf.DUMMYFUNCTION("""COMPUTED_VALUE"""),569.7)</f>
        <v>569.7</v>
      </c>
      <c r="F41" s="6">
        <f>IFERROR(__xludf.DUMMYFUNCTION("""COMPUTED_VALUE"""),2.5204901E7)</f>
        <v>25204901</v>
      </c>
    </row>
    <row r="42">
      <c r="A42" s="7">
        <f>IFERROR(__xludf.DUMMYFUNCTION("""COMPUTED_VALUE"""),45471.64583333333)</f>
        <v>45471.64583</v>
      </c>
      <c r="B42" s="6">
        <f>IFERROR(__xludf.DUMMYFUNCTION("""COMPUTED_VALUE"""),567.0)</f>
        <v>567</v>
      </c>
      <c r="C42" s="6">
        <f>IFERROR(__xludf.DUMMYFUNCTION("""COMPUTED_VALUE"""),620.35)</f>
        <v>620.35</v>
      </c>
      <c r="D42" s="6">
        <f>IFERROR(__xludf.DUMMYFUNCTION("""COMPUTED_VALUE"""),557.25)</f>
        <v>557.25</v>
      </c>
      <c r="E42" s="6">
        <f>IFERROR(__xludf.DUMMYFUNCTION("""COMPUTED_VALUE"""),564.5)</f>
        <v>564.5</v>
      </c>
      <c r="F42" s="6">
        <f>IFERROR(__xludf.DUMMYFUNCTION("""COMPUTED_VALUE"""),6.9306598E7)</f>
        <v>69306598</v>
      </c>
    </row>
    <row r="43">
      <c r="A43" s="7">
        <f>IFERROR(__xludf.DUMMYFUNCTION("""COMPUTED_VALUE"""),45478.64583333333)</f>
        <v>45478.64583</v>
      </c>
      <c r="B43" s="6">
        <f>IFERROR(__xludf.DUMMYFUNCTION("""COMPUTED_VALUE"""),567.25)</f>
        <v>567.25</v>
      </c>
      <c r="C43" s="6">
        <f>IFERROR(__xludf.DUMMYFUNCTION("""COMPUTED_VALUE"""),572.75)</f>
        <v>572.75</v>
      </c>
      <c r="D43" s="6">
        <f>IFERROR(__xludf.DUMMYFUNCTION("""COMPUTED_VALUE"""),559.6)</f>
        <v>559.6</v>
      </c>
      <c r="E43" s="6">
        <f>IFERROR(__xludf.DUMMYFUNCTION("""COMPUTED_VALUE"""),567.95)</f>
        <v>567.95</v>
      </c>
      <c r="F43" s="6">
        <f>IFERROR(__xludf.DUMMYFUNCTION("""COMPUTED_VALUE"""),1.5316607E7)</f>
        <v>15316607</v>
      </c>
    </row>
    <row r="44">
      <c r="A44" s="7">
        <f>IFERROR(__xludf.DUMMYFUNCTION("""COMPUTED_VALUE"""),45485.64583333333)</f>
        <v>45485.64583</v>
      </c>
      <c r="B44" s="6">
        <f>IFERROR(__xludf.DUMMYFUNCTION("""COMPUTED_VALUE"""),570.0)</f>
        <v>570</v>
      </c>
      <c r="C44" s="6">
        <f>IFERROR(__xludf.DUMMYFUNCTION("""COMPUTED_VALUE"""),585.5)</f>
        <v>585.5</v>
      </c>
      <c r="D44" s="6">
        <f>IFERROR(__xludf.DUMMYFUNCTION("""COMPUTED_VALUE"""),549.05)</f>
        <v>549.05</v>
      </c>
      <c r="E44" s="6">
        <f>IFERROR(__xludf.DUMMYFUNCTION("""COMPUTED_VALUE"""),559.05)</f>
        <v>559.05</v>
      </c>
      <c r="F44" s="6">
        <f>IFERROR(__xludf.DUMMYFUNCTION("""COMPUTED_VALUE"""),2.0595146E7)</f>
        <v>20595146</v>
      </c>
    </row>
    <row r="45">
      <c r="A45" s="7">
        <f>IFERROR(__xludf.DUMMYFUNCTION("""COMPUTED_VALUE"""),45492.64583333333)</f>
        <v>45492.64583</v>
      </c>
      <c r="B45" s="6">
        <f>IFERROR(__xludf.DUMMYFUNCTION("""COMPUTED_VALUE"""),561.3)</f>
        <v>561.3</v>
      </c>
      <c r="C45" s="6">
        <f>IFERROR(__xludf.DUMMYFUNCTION("""COMPUTED_VALUE"""),569.2)</f>
        <v>569.2</v>
      </c>
      <c r="D45" s="6">
        <f>IFERROR(__xludf.DUMMYFUNCTION("""COMPUTED_VALUE"""),538.0)</f>
        <v>538</v>
      </c>
      <c r="E45" s="6">
        <f>IFERROR(__xludf.DUMMYFUNCTION("""COMPUTED_VALUE"""),540.5)</f>
        <v>540.5</v>
      </c>
      <c r="F45" s="6">
        <f>IFERROR(__xludf.DUMMYFUNCTION("""COMPUTED_VALUE"""),1.564726E7)</f>
        <v>15647260</v>
      </c>
    </row>
    <row r="46">
      <c r="A46" s="7">
        <f>IFERROR(__xludf.DUMMYFUNCTION("""COMPUTED_VALUE"""),45499.64583333333)</f>
        <v>45499.64583</v>
      </c>
      <c r="B46" s="6">
        <f>IFERROR(__xludf.DUMMYFUNCTION("""COMPUTED_VALUE"""),538.0)</f>
        <v>538</v>
      </c>
      <c r="C46" s="6">
        <f>IFERROR(__xludf.DUMMYFUNCTION("""COMPUTED_VALUE"""),555.95)</f>
        <v>555.95</v>
      </c>
      <c r="D46" s="6">
        <f>IFERROR(__xludf.DUMMYFUNCTION("""COMPUTED_VALUE"""),523.4)</f>
        <v>523.4</v>
      </c>
      <c r="E46" s="6">
        <f>IFERROR(__xludf.DUMMYFUNCTION("""COMPUTED_VALUE"""),553.75)</f>
        <v>553.75</v>
      </c>
      <c r="F46" s="6">
        <f>IFERROR(__xludf.DUMMYFUNCTION("""COMPUTED_VALUE"""),1.9726964E7)</f>
        <v>19726964</v>
      </c>
    </row>
    <row r="47">
      <c r="A47" s="7">
        <f>IFERROR(__xludf.DUMMYFUNCTION("""COMPUTED_VALUE"""),45506.64583333333)</f>
        <v>45506.64583</v>
      </c>
      <c r="B47" s="6">
        <f>IFERROR(__xludf.DUMMYFUNCTION("""COMPUTED_VALUE"""),557.0)</f>
        <v>557</v>
      </c>
      <c r="C47" s="6">
        <f>IFERROR(__xludf.DUMMYFUNCTION("""COMPUTED_VALUE"""),560.0)</f>
        <v>560</v>
      </c>
      <c r="D47" s="6">
        <f>IFERROR(__xludf.DUMMYFUNCTION("""COMPUTED_VALUE"""),502.75)</f>
        <v>502.75</v>
      </c>
      <c r="E47" s="6">
        <f>IFERROR(__xludf.DUMMYFUNCTION("""COMPUTED_VALUE"""),508.85)</f>
        <v>508.85</v>
      </c>
      <c r="F47" s="6">
        <f>IFERROR(__xludf.DUMMYFUNCTION("""COMPUTED_VALUE"""),3.1598877E7)</f>
        <v>31598877</v>
      </c>
    </row>
    <row r="48">
      <c r="A48" s="7">
        <f>IFERROR(__xludf.DUMMYFUNCTION("""COMPUTED_VALUE"""),45513.64583333333)</f>
        <v>45513.64583</v>
      </c>
      <c r="B48" s="6">
        <f>IFERROR(__xludf.DUMMYFUNCTION("""COMPUTED_VALUE"""),490.0)</f>
        <v>490</v>
      </c>
      <c r="C48" s="6">
        <f>IFERROR(__xludf.DUMMYFUNCTION("""COMPUTED_VALUE"""),502.6)</f>
        <v>502.6</v>
      </c>
      <c r="D48" s="6">
        <f>IFERROR(__xludf.DUMMYFUNCTION("""COMPUTED_VALUE"""),479.8)</f>
        <v>479.8</v>
      </c>
      <c r="E48" s="6">
        <f>IFERROR(__xludf.DUMMYFUNCTION("""COMPUTED_VALUE"""),493.2)</f>
        <v>493.2</v>
      </c>
      <c r="F48" s="6">
        <f>IFERROR(__xludf.DUMMYFUNCTION("""COMPUTED_VALUE"""),1.7454864E7)</f>
        <v>17454864</v>
      </c>
    </row>
    <row r="49">
      <c r="A49" s="7">
        <f>IFERROR(__xludf.DUMMYFUNCTION("""COMPUTED_VALUE"""),45520.64583333333)</f>
        <v>45520.64583</v>
      </c>
      <c r="B49" s="6">
        <f>IFERROR(__xludf.DUMMYFUNCTION("""COMPUTED_VALUE"""),488.0)</f>
        <v>488</v>
      </c>
      <c r="C49" s="6">
        <f>IFERROR(__xludf.DUMMYFUNCTION("""COMPUTED_VALUE"""),507.45)</f>
        <v>507.45</v>
      </c>
      <c r="D49" s="6">
        <f>IFERROR(__xludf.DUMMYFUNCTION("""COMPUTED_VALUE"""),485.0)</f>
        <v>485</v>
      </c>
      <c r="E49" s="6">
        <f>IFERROR(__xludf.DUMMYFUNCTION("""COMPUTED_VALUE"""),495.7)</f>
        <v>495.7</v>
      </c>
      <c r="F49" s="6">
        <f>IFERROR(__xludf.DUMMYFUNCTION("""COMPUTED_VALUE"""),1.1316815E7)</f>
        <v>11316815</v>
      </c>
    </row>
    <row r="50">
      <c r="A50" s="7">
        <f>IFERROR(__xludf.DUMMYFUNCTION("""COMPUTED_VALUE"""),45527.64583333333)</f>
        <v>45527.64583</v>
      </c>
      <c r="B50" s="6">
        <f>IFERROR(__xludf.DUMMYFUNCTION("""COMPUTED_VALUE"""),498.05)</f>
        <v>498.05</v>
      </c>
      <c r="C50" s="6">
        <f>IFERROR(__xludf.DUMMYFUNCTION("""COMPUTED_VALUE"""),514.8)</f>
        <v>514.8</v>
      </c>
      <c r="D50" s="6">
        <f>IFERROR(__xludf.DUMMYFUNCTION("""COMPUTED_VALUE"""),490.6)</f>
        <v>490.6</v>
      </c>
      <c r="E50" s="6">
        <f>IFERROR(__xludf.DUMMYFUNCTION("""COMPUTED_VALUE"""),499.4)</f>
        <v>499.4</v>
      </c>
      <c r="F50" s="6">
        <f>IFERROR(__xludf.DUMMYFUNCTION("""COMPUTED_VALUE"""),1.2821613E7)</f>
        <v>12821613</v>
      </c>
    </row>
    <row r="51">
      <c r="A51" s="7">
        <f>IFERROR(__xludf.DUMMYFUNCTION("""COMPUTED_VALUE"""),45534.64583333333)</f>
        <v>45534.64583</v>
      </c>
      <c r="B51" s="6">
        <f>IFERROR(__xludf.DUMMYFUNCTION("""COMPUTED_VALUE"""),502.8)</f>
        <v>502.8</v>
      </c>
      <c r="C51" s="6">
        <f>IFERROR(__xludf.DUMMYFUNCTION("""COMPUTED_VALUE"""),505.45)</f>
        <v>505.45</v>
      </c>
      <c r="D51" s="6">
        <f>IFERROR(__xludf.DUMMYFUNCTION("""COMPUTED_VALUE"""),484.6)</f>
        <v>484.6</v>
      </c>
      <c r="E51" s="6">
        <f>IFERROR(__xludf.DUMMYFUNCTION("""COMPUTED_VALUE"""),492.9)</f>
        <v>492.9</v>
      </c>
      <c r="F51" s="6">
        <f>IFERROR(__xludf.DUMMYFUNCTION("""COMPUTED_VALUE"""),1.3566779E7)</f>
        <v>13566779</v>
      </c>
    </row>
    <row r="52">
      <c r="A52" s="7">
        <f>IFERROR(__xludf.DUMMYFUNCTION("""COMPUTED_VALUE"""),45541.64583333333)</f>
        <v>45541.64583</v>
      </c>
      <c r="B52" s="6">
        <f>IFERROR(__xludf.DUMMYFUNCTION("""COMPUTED_VALUE"""),493.0)</f>
        <v>493</v>
      </c>
      <c r="C52" s="6">
        <f>IFERROR(__xludf.DUMMYFUNCTION("""COMPUTED_VALUE"""),499.7)</f>
        <v>499.7</v>
      </c>
      <c r="D52" s="6">
        <f>IFERROR(__xludf.DUMMYFUNCTION("""COMPUTED_VALUE"""),482.05)</f>
        <v>482.05</v>
      </c>
      <c r="E52" s="6">
        <f>IFERROR(__xludf.DUMMYFUNCTION("""COMPUTED_VALUE"""),483.0)</f>
        <v>483</v>
      </c>
      <c r="F52" s="6">
        <f>IFERROR(__xludf.DUMMYFUNCTION("""COMPUTED_VALUE"""),1.4118361E7)</f>
        <v>14118361</v>
      </c>
    </row>
    <row r="53">
      <c r="A53" s="7">
        <f>IFERROR(__xludf.DUMMYFUNCTION("""COMPUTED_VALUE"""),45548.64583333333)</f>
        <v>45548.64583</v>
      </c>
      <c r="B53" s="6">
        <f>IFERROR(__xludf.DUMMYFUNCTION("""COMPUTED_VALUE"""),483.0)</f>
        <v>483</v>
      </c>
      <c r="C53" s="6">
        <f>IFERROR(__xludf.DUMMYFUNCTION("""COMPUTED_VALUE"""),488.75)</f>
        <v>488.75</v>
      </c>
      <c r="D53" s="6">
        <f>IFERROR(__xludf.DUMMYFUNCTION("""COMPUTED_VALUE"""),466.5)</f>
        <v>466.5</v>
      </c>
      <c r="E53" s="6">
        <f>IFERROR(__xludf.DUMMYFUNCTION("""COMPUTED_VALUE"""),485.4)</f>
        <v>485.4</v>
      </c>
      <c r="F53" s="6">
        <f>IFERROR(__xludf.DUMMYFUNCTION("""COMPUTED_VALUE"""),1.2878124E7)</f>
        <v>12878124</v>
      </c>
    </row>
    <row r="54">
      <c r="A54" s="7">
        <f>IFERROR(__xludf.DUMMYFUNCTION("""COMPUTED_VALUE"""),45555.64583333333)</f>
        <v>45555.64583</v>
      </c>
      <c r="B54" s="6">
        <f>IFERROR(__xludf.DUMMYFUNCTION("""COMPUTED_VALUE"""),489.45)</f>
        <v>489.45</v>
      </c>
      <c r="C54" s="6">
        <f>IFERROR(__xludf.DUMMYFUNCTION("""COMPUTED_VALUE"""),493.1)</f>
        <v>493.1</v>
      </c>
      <c r="D54" s="6">
        <f>IFERROR(__xludf.DUMMYFUNCTION("""COMPUTED_VALUE"""),454.05)</f>
        <v>454.05</v>
      </c>
      <c r="E54" s="6">
        <f>IFERROR(__xludf.DUMMYFUNCTION("""COMPUTED_VALUE"""),466.3)</f>
        <v>466.3</v>
      </c>
      <c r="F54" s="6">
        <f>IFERROR(__xludf.DUMMYFUNCTION("""COMPUTED_VALUE"""),1.2568845E7)</f>
        <v>12568845</v>
      </c>
    </row>
    <row r="55">
      <c r="A55" s="7">
        <f>IFERROR(__xludf.DUMMYFUNCTION("""COMPUTED_VALUE"""),45562.64583333333)</f>
        <v>45562.64583</v>
      </c>
      <c r="B55" s="6">
        <f>IFERROR(__xludf.DUMMYFUNCTION("""COMPUTED_VALUE"""),468.0)</f>
        <v>468</v>
      </c>
      <c r="C55" s="6">
        <f>IFERROR(__xludf.DUMMYFUNCTION("""COMPUTED_VALUE"""),500.4)</f>
        <v>500.4</v>
      </c>
      <c r="D55" s="6">
        <f>IFERROR(__xludf.DUMMYFUNCTION("""COMPUTED_VALUE"""),465.4)</f>
        <v>465.4</v>
      </c>
      <c r="E55" s="6">
        <f>IFERROR(__xludf.DUMMYFUNCTION("""COMPUTED_VALUE"""),497.3)</f>
        <v>497.3</v>
      </c>
      <c r="F55" s="6">
        <f>IFERROR(__xludf.DUMMYFUNCTION("""COMPUTED_VALUE"""),2.1855186E7)</f>
        <v>21855186</v>
      </c>
    </row>
    <row r="56">
      <c r="A56" s="7">
        <f>IFERROR(__xludf.DUMMYFUNCTION("""COMPUTED_VALUE"""),45569.64583333333)</f>
        <v>45569.64583</v>
      </c>
      <c r="B56" s="6">
        <f>IFERROR(__xludf.DUMMYFUNCTION("""COMPUTED_VALUE"""),498.0)</f>
        <v>498</v>
      </c>
      <c r="C56" s="6">
        <f>IFERROR(__xludf.DUMMYFUNCTION("""COMPUTED_VALUE"""),515.65)</f>
        <v>515.65</v>
      </c>
      <c r="D56" s="6">
        <f>IFERROR(__xludf.DUMMYFUNCTION("""COMPUTED_VALUE"""),488.55)</f>
        <v>488.55</v>
      </c>
      <c r="E56" s="6">
        <f>IFERROR(__xludf.DUMMYFUNCTION("""COMPUTED_VALUE"""),502.4)</f>
        <v>502.4</v>
      </c>
      <c r="F56" s="6">
        <f>IFERROR(__xludf.DUMMYFUNCTION("""COMPUTED_VALUE"""),2.4585476E7)</f>
        <v>24585476</v>
      </c>
    </row>
    <row r="57">
      <c r="A57" s="7">
        <f>IFERROR(__xludf.DUMMYFUNCTION("""COMPUTED_VALUE"""),45576.64583333333)</f>
        <v>45576.64583</v>
      </c>
      <c r="B57" s="6">
        <f>IFERROR(__xludf.DUMMYFUNCTION("""COMPUTED_VALUE"""),505.0)</f>
        <v>505</v>
      </c>
      <c r="C57" s="6">
        <f>IFERROR(__xludf.DUMMYFUNCTION("""COMPUTED_VALUE"""),532.9)</f>
        <v>532.9</v>
      </c>
      <c r="D57" s="6">
        <f>IFERROR(__xludf.DUMMYFUNCTION("""COMPUTED_VALUE"""),473.85)</f>
        <v>473.85</v>
      </c>
      <c r="E57" s="6">
        <f>IFERROR(__xludf.DUMMYFUNCTION("""COMPUTED_VALUE"""),530.5)</f>
        <v>530.5</v>
      </c>
      <c r="F57" s="6">
        <f>IFERROR(__xludf.DUMMYFUNCTION("""COMPUTED_VALUE"""),4.4606315E7)</f>
        <v>44606315</v>
      </c>
    </row>
    <row r="58">
      <c r="A58" s="7">
        <f>IFERROR(__xludf.DUMMYFUNCTION("""COMPUTED_VALUE"""),45583.64583333333)</f>
        <v>45583.64583</v>
      </c>
      <c r="B58" s="6">
        <f>IFERROR(__xludf.DUMMYFUNCTION("""COMPUTED_VALUE"""),533.2)</f>
        <v>533.2</v>
      </c>
      <c r="C58" s="6">
        <f>IFERROR(__xludf.DUMMYFUNCTION("""COMPUTED_VALUE"""),534.4)</f>
        <v>534.4</v>
      </c>
      <c r="D58" s="6">
        <f>IFERROR(__xludf.DUMMYFUNCTION("""COMPUTED_VALUE"""),486.0)</f>
        <v>486</v>
      </c>
      <c r="E58" s="6">
        <f>IFERROR(__xludf.DUMMYFUNCTION("""COMPUTED_VALUE"""),495.8)</f>
        <v>495.8</v>
      </c>
      <c r="F58" s="6">
        <f>IFERROR(__xludf.DUMMYFUNCTION("""COMPUTED_VALUE"""),2.0677474E7)</f>
        <v>20677474</v>
      </c>
    </row>
    <row r="59">
      <c r="A59" s="7">
        <f>IFERROR(__xludf.DUMMYFUNCTION("""COMPUTED_VALUE"""),45590.64583333333)</f>
        <v>45590.64583</v>
      </c>
      <c r="B59" s="6">
        <f>IFERROR(__xludf.DUMMYFUNCTION("""COMPUTED_VALUE"""),495.65)</f>
        <v>495.65</v>
      </c>
      <c r="C59" s="6">
        <f>IFERROR(__xludf.DUMMYFUNCTION("""COMPUTED_VALUE"""),498.65)</f>
        <v>498.65</v>
      </c>
      <c r="D59" s="6">
        <f>IFERROR(__xludf.DUMMYFUNCTION("""COMPUTED_VALUE"""),444.65)</f>
        <v>444.65</v>
      </c>
      <c r="E59" s="6">
        <f>IFERROR(__xludf.DUMMYFUNCTION("""COMPUTED_VALUE"""),449.9)</f>
        <v>449.9</v>
      </c>
      <c r="F59" s="6">
        <f>IFERROR(__xludf.DUMMYFUNCTION("""COMPUTED_VALUE"""),1.5558088E7)</f>
        <v>15558088</v>
      </c>
    </row>
    <row r="60">
      <c r="A60" s="7">
        <f>IFERROR(__xludf.DUMMYFUNCTION("""COMPUTED_VALUE"""),45604.64583333333)</f>
        <v>45604.64583</v>
      </c>
      <c r="B60" s="6">
        <f>IFERROR(__xludf.DUMMYFUNCTION("""COMPUTED_VALUE"""),459.8)</f>
        <v>459.8</v>
      </c>
      <c r="C60" s="6">
        <f>IFERROR(__xludf.DUMMYFUNCTION("""COMPUTED_VALUE"""),459.8)</f>
        <v>459.8</v>
      </c>
      <c r="D60" s="6">
        <f>IFERROR(__xludf.DUMMYFUNCTION("""COMPUTED_VALUE"""),433.0)</f>
        <v>433</v>
      </c>
      <c r="E60" s="6">
        <f>IFERROR(__xludf.DUMMYFUNCTION("""COMPUTED_VALUE"""),437.05)</f>
        <v>437.05</v>
      </c>
      <c r="F60" s="6">
        <f>IFERROR(__xludf.DUMMYFUNCTION("""COMPUTED_VALUE"""),2.3216841E7)</f>
        <v>23216841</v>
      </c>
    </row>
    <row r="61">
      <c r="A61" s="7">
        <f>IFERROR(__xludf.DUMMYFUNCTION("""COMPUTED_VALUE"""),45610.64583333333)</f>
        <v>45610.64583</v>
      </c>
      <c r="B61" s="6">
        <f>IFERROR(__xludf.DUMMYFUNCTION("""COMPUTED_VALUE"""),434.75)</f>
        <v>434.75</v>
      </c>
      <c r="C61" s="6">
        <f>IFERROR(__xludf.DUMMYFUNCTION("""COMPUTED_VALUE"""),447.35)</f>
        <v>447.35</v>
      </c>
      <c r="D61" s="6">
        <f>IFERROR(__xludf.DUMMYFUNCTION("""COMPUTED_VALUE"""),412.35)</f>
        <v>412.35</v>
      </c>
      <c r="E61" s="6">
        <f>IFERROR(__xludf.DUMMYFUNCTION("""COMPUTED_VALUE"""),418.1)</f>
        <v>418.1</v>
      </c>
      <c r="F61" s="6">
        <f>IFERROR(__xludf.DUMMYFUNCTION("""COMPUTED_VALUE"""),1.6456507E7)</f>
        <v>16456507</v>
      </c>
    </row>
    <row r="62">
      <c r="A62" s="7">
        <f>IFERROR(__xludf.DUMMYFUNCTION("""COMPUTED_VALUE"""),45618.64583333333)</f>
        <v>45618.64583</v>
      </c>
      <c r="B62" s="6">
        <f>IFERROR(__xludf.DUMMYFUNCTION("""COMPUTED_VALUE"""),418.1)</f>
        <v>418.1</v>
      </c>
      <c r="C62" s="6">
        <f>IFERROR(__xludf.DUMMYFUNCTION("""COMPUTED_VALUE"""),430.8)</f>
        <v>430.8</v>
      </c>
      <c r="D62" s="6">
        <f>IFERROR(__xludf.DUMMYFUNCTION("""COMPUTED_VALUE"""),411.0)</f>
        <v>411</v>
      </c>
      <c r="E62" s="6">
        <f>IFERROR(__xludf.DUMMYFUNCTION("""COMPUTED_VALUE"""),424.05)</f>
        <v>424.05</v>
      </c>
      <c r="F62" s="6">
        <f>IFERROR(__xludf.DUMMYFUNCTION("""COMPUTED_VALUE"""),8905264.0)</f>
        <v>8905264</v>
      </c>
    </row>
    <row r="63">
      <c r="A63" s="7">
        <f>IFERROR(__xludf.DUMMYFUNCTION("""COMPUTED_VALUE"""),45625.64583333333)</f>
        <v>45625.64583</v>
      </c>
      <c r="B63" s="6">
        <f>IFERROR(__xludf.DUMMYFUNCTION("""COMPUTED_VALUE"""),430.0)</f>
        <v>430</v>
      </c>
      <c r="C63" s="6">
        <f>IFERROR(__xludf.DUMMYFUNCTION("""COMPUTED_VALUE"""),459.9)</f>
        <v>459.9</v>
      </c>
      <c r="D63" s="6">
        <f>IFERROR(__xludf.DUMMYFUNCTION("""COMPUTED_VALUE"""),425.1)</f>
        <v>425.1</v>
      </c>
      <c r="E63" s="6">
        <f>IFERROR(__xludf.DUMMYFUNCTION("""COMPUTED_VALUE"""),452.6)</f>
        <v>452.6</v>
      </c>
      <c r="F63" s="6">
        <f>IFERROR(__xludf.DUMMYFUNCTION("""COMPUTED_VALUE"""),2.5430655E7)</f>
        <v>25430655</v>
      </c>
    </row>
    <row r="64">
      <c r="A64" s="7">
        <f>IFERROR(__xludf.DUMMYFUNCTION("""COMPUTED_VALUE"""),45632.64583333333)</f>
        <v>45632.64583</v>
      </c>
      <c r="B64" s="6">
        <f>IFERROR(__xludf.DUMMYFUNCTION("""COMPUTED_VALUE"""),456.7)</f>
        <v>456.7</v>
      </c>
      <c r="C64" s="6">
        <f>IFERROR(__xludf.DUMMYFUNCTION("""COMPUTED_VALUE"""),465.8)</f>
        <v>465.8</v>
      </c>
      <c r="D64" s="6">
        <f>IFERROR(__xludf.DUMMYFUNCTION("""COMPUTED_VALUE"""),448.1)</f>
        <v>448.1</v>
      </c>
      <c r="E64" s="6">
        <f>IFERROR(__xludf.DUMMYFUNCTION("""COMPUTED_VALUE"""),462.7)</f>
        <v>462.7</v>
      </c>
      <c r="F64" s="6">
        <f>IFERROR(__xludf.DUMMYFUNCTION("""COMPUTED_VALUE"""),1.4249544E7)</f>
        <v>14249544</v>
      </c>
    </row>
    <row r="65">
      <c r="A65" s="7">
        <f>IFERROR(__xludf.DUMMYFUNCTION("""COMPUTED_VALUE"""),45639.64583333333)</f>
        <v>45639.64583</v>
      </c>
      <c r="B65" s="6">
        <f>IFERROR(__xludf.DUMMYFUNCTION("""COMPUTED_VALUE"""),463.0)</f>
        <v>463</v>
      </c>
      <c r="C65" s="6">
        <f>IFERROR(__xludf.DUMMYFUNCTION("""COMPUTED_VALUE"""),472.5)</f>
        <v>472.5</v>
      </c>
      <c r="D65" s="6">
        <f>IFERROR(__xludf.DUMMYFUNCTION("""COMPUTED_VALUE"""),446.05)</f>
        <v>446.05</v>
      </c>
      <c r="E65" s="6">
        <f>IFERROR(__xludf.DUMMYFUNCTION("""COMPUTED_VALUE"""),455.15)</f>
        <v>455.15</v>
      </c>
      <c r="F65" s="6">
        <f>IFERROR(__xludf.DUMMYFUNCTION("""COMPUTED_VALUE"""),1.3644294E7)</f>
        <v>13644294</v>
      </c>
    </row>
    <row r="66">
      <c r="A66" s="7">
        <f>IFERROR(__xludf.DUMMYFUNCTION("""COMPUTED_VALUE"""),45646.64583333333)</f>
        <v>45646.64583</v>
      </c>
      <c r="B66" s="6">
        <f>IFERROR(__xludf.DUMMYFUNCTION("""COMPUTED_VALUE"""),455.15)</f>
        <v>455.15</v>
      </c>
      <c r="C66" s="6">
        <f>IFERROR(__xludf.DUMMYFUNCTION("""COMPUTED_VALUE"""),466.8)</f>
        <v>466.8</v>
      </c>
      <c r="D66" s="6">
        <f>IFERROR(__xludf.DUMMYFUNCTION("""COMPUTED_VALUE"""),414.6)</f>
        <v>414.6</v>
      </c>
      <c r="E66" s="6">
        <f>IFERROR(__xludf.DUMMYFUNCTION("""COMPUTED_VALUE"""),426.3)</f>
        <v>426.3</v>
      </c>
      <c r="F66" s="6">
        <f>IFERROR(__xludf.DUMMYFUNCTION("""COMPUTED_VALUE"""),1.8106692E7)</f>
        <v>18106692</v>
      </c>
    </row>
    <row r="67">
      <c r="A67" s="7">
        <f>IFERROR(__xludf.DUMMYFUNCTION("""COMPUTED_VALUE"""),45653.64583333333)</f>
        <v>45653.64583</v>
      </c>
      <c r="B67" s="6">
        <f>IFERROR(__xludf.DUMMYFUNCTION("""COMPUTED_VALUE"""),426.3)</f>
        <v>426.3</v>
      </c>
      <c r="C67" s="6">
        <f>IFERROR(__xludf.DUMMYFUNCTION("""COMPUTED_VALUE"""),429.0)</f>
        <v>429</v>
      </c>
      <c r="D67" s="6">
        <f>IFERROR(__xludf.DUMMYFUNCTION("""COMPUTED_VALUE"""),411.3)</f>
        <v>411.3</v>
      </c>
      <c r="E67" s="6">
        <f>IFERROR(__xludf.DUMMYFUNCTION("""COMPUTED_VALUE"""),418.4)</f>
        <v>418.4</v>
      </c>
      <c r="F67" s="6">
        <f>IFERROR(__xludf.DUMMYFUNCTION("""COMPUTED_VALUE"""),7958740.0)</f>
        <v>7958740</v>
      </c>
    </row>
    <row r="68">
      <c r="A68" s="7">
        <f>IFERROR(__xludf.DUMMYFUNCTION("""COMPUTED_VALUE"""),45660.64583333333)</f>
        <v>45660.64583</v>
      </c>
      <c r="B68" s="6">
        <f>IFERROR(__xludf.DUMMYFUNCTION("""COMPUTED_VALUE"""),418.4)</f>
        <v>418.4</v>
      </c>
      <c r="C68" s="6">
        <f>IFERROR(__xludf.DUMMYFUNCTION("""COMPUTED_VALUE"""),431.6)</f>
        <v>431.6</v>
      </c>
      <c r="D68" s="6">
        <f>IFERROR(__xludf.DUMMYFUNCTION("""COMPUTED_VALUE"""),408.5)</f>
        <v>408.5</v>
      </c>
      <c r="E68" s="6">
        <f>IFERROR(__xludf.DUMMYFUNCTION("""COMPUTED_VALUE"""),424.75)</f>
        <v>424.75</v>
      </c>
      <c r="F68" s="6">
        <f>IFERROR(__xludf.DUMMYFUNCTION("""COMPUTED_VALUE"""),9704649.0)</f>
        <v>9704649</v>
      </c>
    </row>
    <row r="69">
      <c r="A69" s="7">
        <f>IFERROR(__xludf.DUMMYFUNCTION("""COMPUTED_VALUE"""),45667.64583333333)</f>
        <v>45667.64583</v>
      </c>
      <c r="B69" s="6">
        <f>IFERROR(__xludf.DUMMYFUNCTION("""COMPUTED_VALUE"""),425.05)</f>
        <v>425.05</v>
      </c>
      <c r="C69" s="6">
        <f>IFERROR(__xludf.DUMMYFUNCTION("""COMPUTED_VALUE"""),426.5)</f>
        <v>426.5</v>
      </c>
      <c r="D69" s="6">
        <f>IFERROR(__xludf.DUMMYFUNCTION("""COMPUTED_VALUE"""),386.6)</f>
        <v>386.6</v>
      </c>
      <c r="E69" s="6">
        <f>IFERROR(__xludf.DUMMYFUNCTION("""COMPUTED_VALUE"""),389.1)</f>
        <v>389.1</v>
      </c>
      <c r="F69" s="6">
        <f>IFERROR(__xludf.DUMMYFUNCTION("""COMPUTED_VALUE"""),1.2296223E7)</f>
        <v>12296223</v>
      </c>
    </row>
    <row r="70">
      <c r="A70" s="7">
        <f>IFERROR(__xludf.DUMMYFUNCTION("""COMPUTED_VALUE"""),45674.64583333333)</f>
        <v>45674.64583</v>
      </c>
      <c r="B70" s="6">
        <f>IFERROR(__xludf.DUMMYFUNCTION("""COMPUTED_VALUE"""),386.8)</f>
        <v>386.8</v>
      </c>
      <c r="C70" s="6">
        <f>IFERROR(__xludf.DUMMYFUNCTION("""COMPUTED_VALUE"""),393.8)</f>
        <v>393.8</v>
      </c>
      <c r="D70" s="6">
        <f>IFERROR(__xludf.DUMMYFUNCTION("""COMPUTED_VALUE"""),367.25)</f>
        <v>367.25</v>
      </c>
      <c r="E70" s="6">
        <f>IFERROR(__xludf.DUMMYFUNCTION("""COMPUTED_VALUE"""),389.55)</f>
        <v>389.55</v>
      </c>
      <c r="F70" s="6">
        <f>IFERROR(__xludf.DUMMYFUNCTION("""COMPUTED_VALUE"""),9633739.0)</f>
        <v>9633739</v>
      </c>
    </row>
    <row r="71">
      <c r="A71" s="7">
        <f>IFERROR(__xludf.DUMMYFUNCTION("""COMPUTED_VALUE"""),45681.64583333333)</f>
        <v>45681.64583</v>
      </c>
      <c r="B71" s="6">
        <f>IFERROR(__xludf.DUMMYFUNCTION("""COMPUTED_VALUE"""),391.6)</f>
        <v>391.6</v>
      </c>
      <c r="C71" s="6">
        <f>IFERROR(__xludf.DUMMYFUNCTION("""COMPUTED_VALUE"""),394.4)</f>
        <v>394.4</v>
      </c>
      <c r="D71" s="6">
        <f>IFERROR(__xludf.DUMMYFUNCTION("""COMPUTED_VALUE"""),366.95)</f>
        <v>366.95</v>
      </c>
      <c r="E71" s="6">
        <f>IFERROR(__xludf.DUMMYFUNCTION("""COMPUTED_VALUE"""),369.05)</f>
        <v>369.05</v>
      </c>
      <c r="F71" s="6">
        <f>IFERROR(__xludf.DUMMYFUNCTION("""COMPUTED_VALUE"""),9806882.0)</f>
        <v>9806882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IFERROR(__xludf.DUMMYFUNCTION("""COMPUTED_VALUE"""),382.75)</f>
        <v>382.75</v>
      </c>
      <c r="C72" s="6">
        <f>IFERROR(__xludf.DUMMYFUNCTION("""COMPUTED_VALUE"""),387.5)</f>
        <v>387.5</v>
      </c>
      <c r="D72" s="6">
        <f>IFERROR(__xludf.DUMMYFUNCTION("""COMPUTED_VALUE"""),370.05)</f>
        <v>370.05</v>
      </c>
      <c r="E72" s="6">
        <f>IFERROR(__xludf.DUMMYFUNCTION("""COMPUTED_VALUE"""),377.1)</f>
        <v>377.1</v>
      </c>
      <c r="F72" s="6">
        <f>IFERROR(__xludf.DUMMYFUNCTION("""COMPUTED_VALUE"""),1.4403074E7)</f>
        <v>14403074</v>
      </c>
    </row>
    <row r="73">
      <c r="A73" s="7">
        <f>IFERROR(__xludf.DUMMYFUNCTION("""COMPUTED_VALUE"""),45702.64583333333)</f>
        <v>45702.64583</v>
      </c>
      <c r="B73" s="6">
        <f>IFERROR(__xludf.DUMMYFUNCTION("""COMPUTED_VALUE"""),377.1)</f>
        <v>377.1</v>
      </c>
      <c r="C73" s="6">
        <f>IFERROR(__xludf.DUMMYFUNCTION("""COMPUTED_VALUE"""),379.2)</f>
        <v>379.2</v>
      </c>
      <c r="D73" s="6">
        <f>IFERROR(__xludf.DUMMYFUNCTION("""COMPUTED_VALUE"""),350.65)</f>
        <v>350.65</v>
      </c>
      <c r="E73" s="6">
        <f>IFERROR(__xludf.DUMMYFUNCTION("""COMPUTED_VALUE"""),358.55)</f>
        <v>358.55</v>
      </c>
      <c r="F73" s="6">
        <f>IFERROR(__xludf.DUMMYFUNCTION("""COMPUTED_VALUE"""),1.0150946E7)</f>
        <v>10150946</v>
      </c>
    </row>
    <row r="74">
      <c r="A74" s="7">
        <f>IFERROR(__xludf.DUMMYFUNCTION("""COMPUTED_VALUE"""),45709.64583333333)</f>
        <v>45709.64583</v>
      </c>
      <c r="B74" s="6">
        <f>IFERROR(__xludf.DUMMYFUNCTION("""COMPUTED_VALUE"""),355.05)</f>
        <v>355.05</v>
      </c>
      <c r="C74" s="6">
        <f>IFERROR(__xludf.DUMMYFUNCTION("""COMPUTED_VALUE"""),381.0)</f>
        <v>381</v>
      </c>
      <c r="D74" s="6">
        <f>IFERROR(__xludf.DUMMYFUNCTION("""COMPUTED_VALUE"""),346.95)</f>
        <v>346.95</v>
      </c>
      <c r="E74" s="6">
        <f>IFERROR(__xludf.DUMMYFUNCTION("""COMPUTED_VALUE"""),365.3)</f>
        <v>365.3</v>
      </c>
      <c r="F74" s="6">
        <f>IFERROR(__xludf.DUMMYFUNCTION("""COMPUTED_VALUE"""),9087190.0)</f>
        <v>9087190</v>
      </c>
    </row>
    <row r="75">
      <c r="A75" s="7">
        <f>IFERROR(__xludf.DUMMYFUNCTION("""COMPUTED_VALUE"""),45716.64583333333)</f>
        <v>45716.64583</v>
      </c>
      <c r="B75" s="6">
        <f>IFERROR(__xludf.DUMMYFUNCTION("""COMPUTED_VALUE"""),360.05)</f>
        <v>360.05</v>
      </c>
      <c r="C75" s="6">
        <f>IFERROR(__xludf.DUMMYFUNCTION("""COMPUTED_VALUE"""),367.75)</f>
        <v>367.75</v>
      </c>
      <c r="D75" s="6">
        <f>IFERROR(__xludf.DUMMYFUNCTION("""COMPUTED_VALUE"""),345.35)</f>
        <v>345.35</v>
      </c>
      <c r="E75" s="6">
        <f>IFERROR(__xludf.DUMMYFUNCTION("""COMPUTED_VALUE"""),347.8)</f>
        <v>347.8</v>
      </c>
      <c r="F75" s="6">
        <f>IFERROR(__xludf.DUMMYFUNCTION("""COMPUTED_VALUE"""),7768013.0)</f>
        <v>7768013</v>
      </c>
    </row>
    <row r="76">
      <c r="A76" s="7">
        <f>IFERROR(__xludf.DUMMYFUNCTION("""COMPUTED_VALUE"""),45723.64583333333)</f>
        <v>45723.64583</v>
      </c>
      <c r="B76" s="6">
        <f>IFERROR(__xludf.DUMMYFUNCTION("""COMPUTED_VALUE"""),347.8)</f>
        <v>347.8</v>
      </c>
      <c r="C76" s="6">
        <f>IFERROR(__xludf.DUMMYFUNCTION("""COMPUTED_VALUE"""),364.45)</f>
        <v>364.45</v>
      </c>
      <c r="D76" s="6">
        <f>IFERROR(__xludf.DUMMYFUNCTION("""COMPUTED_VALUE"""),338.0)</f>
        <v>338</v>
      </c>
      <c r="E76" s="6">
        <f>IFERROR(__xludf.DUMMYFUNCTION("""COMPUTED_VALUE"""),355.85)</f>
        <v>355.85</v>
      </c>
      <c r="F76" s="6">
        <f>IFERROR(__xludf.DUMMYFUNCTION("""COMPUTED_VALUE"""),9102277.0)</f>
        <v>9102277</v>
      </c>
    </row>
    <row r="77">
      <c r="A77" s="7">
        <f>IFERROR(__xludf.DUMMYFUNCTION("""COMPUTED_VALUE"""),45729.64583333333)</f>
        <v>45729.64583</v>
      </c>
      <c r="B77" s="6">
        <f>IFERROR(__xludf.DUMMYFUNCTION("""COMPUTED_VALUE"""),355.85)</f>
        <v>355.85</v>
      </c>
      <c r="C77" s="6">
        <f>IFERROR(__xludf.DUMMYFUNCTION("""COMPUTED_VALUE"""),358.4)</f>
        <v>358.4</v>
      </c>
      <c r="D77" s="6">
        <f>IFERROR(__xludf.DUMMYFUNCTION("""COMPUTED_VALUE"""),332.25)</f>
        <v>332.25</v>
      </c>
      <c r="E77" s="6">
        <f>IFERROR(__xludf.DUMMYFUNCTION("""COMPUTED_VALUE"""),333.0)</f>
        <v>333</v>
      </c>
      <c r="F77" s="6">
        <f>IFERROR(__xludf.DUMMYFUNCTION("""COMPUTED_VALUE"""),6728237.0)</f>
        <v>6728237</v>
      </c>
    </row>
    <row r="78">
      <c r="A78" s="7">
        <f>IFERROR(__xludf.DUMMYFUNCTION("""COMPUTED_VALUE"""),45737.64583333333)</f>
        <v>45737.64583</v>
      </c>
      <c r="B78" s="6">
        <f>IFERROR(__xludf.DUMMYFUNCTION("""COMPUTED_VALUE"""),333.5)</f>
        <v>333.5</v>
      </c>
      <c r="C78" s="6">
        <f>IFERROR(__xludf.DUMMYFUNCTION("""COMPUTED_VALUE"""),361.5)</f>
        <v>361.5</v>
      </c>
      <c r="D78" s="6">
        <f>IFERROR(__xludf.DUMMYFUNCTION("""COMPUTED_VALUE"""),330.85)</f>
        <v>330.85</v>
      </c>
      <c r="E78" s="6">
        <f>IFERROR(__xludf.DUMMYFUNCTION("""COMPUTED_VALUE"""),358.65)</f>
        <v>358.65</v>
      </c>
      <c r="F78" s="6">
        <f>IFERROR(__xludf.DUMMYFUNCTION("""COMPUTED_VALUE"""),1.2685774E7)</f>
        <v>12685774</v>
      </c>
    </row>
    <row r="79">
      <c r="A79" s="7">
        <f>IFERROR(__xludf.DUMMYFUNCTION("""COMPUTED_VALUE"""),45744.64583333333)</f>
        <v>45744.64583</v>
      </c>
      <c r="B79" s="6">
        <f>IFERROR(__xludf.DUMMYFUNCTION("""COMPUTED_VALUE"""),365.0)</f>
        <v>365</v>
      </c>
      <c r="C79" s="6">
        <f>IFERROR(__xludf.DUMMYFUNCTION("""COMPUTED_VALUE"""),374.7)</f>
        <v>374.7</v>
      </c>
      <c r="D79" s="6">
        <f>IFERROR(__xludf.DUMMYFUNCTION("""COMPUTED_VALUE"""),352.5)</f>
        <v>352.5</v>
      </c>
      <c r="E79" s="6">
        <f>IFERROR(__xludf.DUMMYFUNCTION("""COMPUTED_VALUE"""),360.45)</f>
        <v>360.45</v>
      </c>
      <c r="F79" s="6">
        <f>IFERROR(__xludf.DUMMYFUNCTION("""COMPUTED_VALUE"""),2.0404164E7)</f>
        <v>20404164</v>
      </c>
    </row>
    <row r="80">
      <c r="A80" s="7">
        <f>IFERROR(__xludf.DUMMYFUNCTION("""COMPUTED_VALUE"""),45751.64583333333)</f>
        <v>45751.64583</v>
      </c>
      <c r="B80" s="6">
        <f>IFERROR(__xludf.DUMMYFUNCTION("""COMPUTED_VALUE"""),358.65)</f>
        <v>358.65</v>
      </c>
      <c r="C80" s="6">
        <f>IFERROR(__xludf.DUMMYFUNCTION("""COMPUTED_VALUE"""),373.55)</f>
        <v>373.55</v>
      </c>
      <c r="D80" s="6">
        <f>IFERROR(__xludf.DUMMYFUNCTION("""COMPUTED_VALUE"""),357.8)</f>
        <v>357.8</v>
      </c>
      <c r="E80" s="6">
        <f>IFERROR(__xludf.DUMMYFUNCTION("""COMPUTED_VALUE"""),364.4)</f>
        <v>364.4</v>
      </c>
      <c r="F80" s="6">
        <f>IFERROR(__xludf.DUMMYFUNCTION("""COMPUTED_VALUE"""),7813053.0)</f>
        <v>7813053</v>
      </c>
    </row>
    <row r="81">
      <c r="A81" s="7">
        <f>IFERROR(__xludf.DUMMYFUNCTION("""COMPUTED_VALUE"""),45758.64583333333)</f>
        <v>45758.64583</v>
      </c>
      <c r="B81" s="6">
        <f>IFERROR(__xludf.DUMMYFUNCTION("""COMPUTED_VALUE"""),328.0)</f>
        <v>328</v>
      </c>
      <c r="C81" s="6">
        <f>IFERROR(__xludf.DUMMYFUNCTION("""COMPUTED_VALUE"""),373.7)</f>
        <v>373.7</v>
      </c>
      <c r="D81" s="6">
        <f>IFERROR(__xludf.DUMMYFUNCTION("""COMPUTED_VALUE"""),328.0)</f>
        <v>328</v>
      </c>
      <c r="E81" s="6">
        <f>IFERROR(__xludf.DUMMYFUNCTION("""COMPUTED_VALUE"""),369.3)</f>
        <v>369.3</v>
      </c>
      <c r="F81" s="6">
        <f>IFERROR(__xludf.DUMMYFUNCTION("""COMPUTED_VALUE"""),9774907.0)</f>
        <v>9774907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IFERROR(__xludf.DUMMYFUNCTION("""COMPUTED_VALUE"""),374.6)</f>
        <v>374.6</v>
      </c>
      <c r="C82" s="6">
        <f>IFERROR(__xludf.DUMMYFUNCTION("""COMPUTED_VALUE"""),383.5)</f>
        <v>383.5</v>
      </c>
      <c r="D82" s="6">
        <f>IFERROR(__xludf.DUMMYFUNCTION("""COMPUTED_VALUE"""),368.55)</f>
        <v>368.55</v>
      </c>
      <c r="E82" s="6">
        <f>IFERROR(__xludf.DUMMYFUNCTION("""COMPUTED_VALUE"""),375.3)</f>
        <v>375.3</v>
      </c>
      <c r="F82" s="6">
        <f>IFERROR(__xludf.DUMMYFUNCTION("""COMPUTED_VALUE"""),9334446.0)</f>
        <v>9334446</v>
      </c>
    </row>
    <row r="83">
      <c r="A83" s="7">
        <f>IFERROR(__xludf.DUMMYFUNCTION("""COMPUTED_VALUE"""),45772.64583333333)</f>
        <v>45772.64583</v>
      </c>
      <c r="B83" s="6">
        <f>IFERROR(__xludf.DUMMYFUNCTION("""COMPUTED_VALUE"""),377.0)</f>
        <v>377</v>
      </c>
      <c r="C83" s="6">
        <f>IFERROR(__xludf.DUMMYFUNCTION("""COMPUTED_VALUE"""),388.6)</f>
        <v>388.6</v>
      </c>
      <c r="D83" s="6">
        <f>IFERROR(__xludf.DUMMYFUNCTION("""COMPUTED_VALUE"""),366.8)</f>
        <v>366.8</v>
      </c>
      <c r="E83" s="6">
        <f>IFERROR(__xludf.DUMMYFUNCTION("""COMPUTED_VALUE"""),370.5)</f>
        <v>370.5</v>
      </c>
      <c r="F83" s="6">
        <f>IFERROR(__xludf.DUMMYFUNCTION("""COMPUTED_VALUE"""),1.2338125E7)</f>
        <v>12338125</v>
      </c>
    </row>
    <row r="84">
      <c r="A84" s="7">
        <f>IFERROR(__xludf.DUMMYFUNCTION("""COMPUTED_VALUE"""),45779.64583333333)</f>
        <v>45779.64583</v>
      </c>
      <c r="B84" s="6">
        <f>IFERROR(__xludf.DUMMYFUNCTION("""COMPUTED_VALUE"""),368.15)</f>
        <v>368.15</v>
      </c>
      <c r="C84" s="6">
        <f>IFERROR(__xludf.DUMMYFUNCTION("""COMPUTED_VALUE"""),383.3)</f>
        <v>383.3</v>
      </c>
      <c r="D84" s="6">
        <f>IFERROR(__xludf.DUMMYFUNCTION("""COMPUTED_VALUE"""),347.0)</f>
        <v>347</v>
      </c>
      <c r="E84" s="6">
        <f>IFERROR(__xludf.DUMMYFUNCTION("""COMPUTED_VALUE"""),355.15)</f>
        <v>355.15</v>
      </c>
      <c r="F84" s="6">
        <f>IFERROR(__xludf.DUMMYFUNCTION("""COMPUTED_VALUE"""),1.8202506E7)</f>
        <v>18202506</v>
      </c>
    </row>
    <row r="85">
      <c r="A85" s="7">
        <f>IFERROR(__xludf.DUMMYFUNCTION("""COMPUTED_VALUE"""),45786.64583333333)</f>
        <v>45786.64583</v>
      </c>
      <c r="B85" s="6">
        <f>IFERROR(__xludf.DUMMYFUNCTION("""COMPUTED_VALUE"""),358.0)</f>
        <v>358</v>
      </c>
      <c r="C85" s="6">
        <f>IFERROR(__xludf.DUMMYFUNCTION("""COMPUTED_VALUE"""),378.6)</f>
        <v>378.6</v>
      </c>
      <c r="D85" s="6">
        <f>IFERROR(__xludf.DUMMYFUNCTION("""COMPUTED_VALUE"""),350.5)</f>
        <v>350.5</v>
      </c>
      <c r="E85" s="6">
        <f>IFERROR(__xludf.DUMMYFUNCTION("""COMPUTED_VALUE"""),360.95)</f>
        <v>360.95</v>
      </c>
      <c r="F85" s="6">
        <f>IFERROR(__xludf.DUMMYFUNCTION("""COMPUTED_VALUE"""),1.4834424E7)</f>
        <v>14834424</v>
      </c>
    </row>
    <row r="86">
      <c r="A86" s="7">
        <f>IFERROR(__xludf.DUMMYFUNCTION("""COMPUTED_VALUE"""),45793.64583333333)</f>
        <v>45793.64583</v>
      </c>
      <c r="B86" s="6">
        <f>IFERROR(__xludf.DUMMYFUNCTION("""COMPUTED_VALUE"""),370.0)</f>
        <v>370</v>
      </c>
      <c r="C86" s="6">
        <f>IFERROR(__xludf.DUMMYFUNCTION("""COMPUTED_VALUE"""),395.45)</f>
        <v>395.45</v>
      </c>
      <c r="D86" s="6">
        <f>IFERROR(__xludf.DUMMYFUNCTION("""COMPUTED_VALUE"""),369.0)</f>
        <v>369</v>
      </c>
      <c r="E86" s="6">
        <f>IFERROR(__xludf.DUMMYFUNCTION("""COMPUTED_VALUE"""),393.05)</f>
        <v>393.05</v>
      </c>
      <c r="F86" s="6">
        <f>IFERROR(__xludf.DUMMYFUNCTION("""COMPUTED_VALUE"""),1.1199077E7)</f>
        <v>11199077</v>
      </c>
    </row>
    <row r="87">
      <c r="A87" s="7">
        <f>IFERROR(__xludf.DUMMYFUNCTION("""COMPUTED_VALUE"""),45800.64583333333)</f>
        <v>45800.64583</v>
      </c>
      <c r="B87" s="6">
        <f>IFERROR(__xludf.DUMMYFUNCTION("""COMPUTED_VALUE"""),394.0)</f>
        <v>394</v>
      </c>
      <c r="C87" s="6">
        <f>IFERROR(__xludf.DUMMYFUNCTION("""COMPUTED_VALUE"""),397.2)</f>
        <v>397.2</v>
      </c>
      <c r="D87" s="6">
        <f>IFERROR(__xludf.DUMMYFUNCTION("""COMPUTED_VALUE"""),380.05)</f>
        <v>380.05</v>
      </c>
      <c r="E87" s="6">
        <f>IFERROR(__xludf.DUMMYFUNCTION("""COMPUTED_VALUE"""),382.15)</f>
        <v>382.15</v>
      </c>
      <c r="F87" s="6">
        <f>IFERROR(__xludf.DUMMYFUNCTION("""COMPUTED_VALUE"""),9529077.0)</f>
        <v>9529077</v>
      </c>
    </row>
    <row r="88">
      <c r="A88" s="7">
        <f>IFERROR(__xludf.DUMMYFUNCTION("""COMPUTED_VALUE"""),45807.64583333333)</f>
        <v>45807.64583</v>
      </c>
      <c r="B88" s="6">
        <f>IFERROR(__xludf.DUMMYFUNCTION("""COMPUTED_VALUE"""),383.9)</f>
        <v>383.9</v>
      </c>
      <c r="C88" s="6">
        <f>IFERROR(__xludf.DUMMYFUNCTION("""COMPUTED_VALUE"""),390.35)</f>
        <v>390.35</v>
      </c>
      <c r="D88" s="6">
        <f>IFERROR(__xludf.DUMMYFUNCTION("""COMPUTED_VALUE"""),375.5)</f>
        <v>375.5</v>
      </c>
      <c r="E88" s="6">
        <f>IFERROR(__xludf.DUMMYFUNCTION("""COMPUTED_VALUE"""),386.85)</f>
        <v>386.85</v>
      </c>
      <c r="F88" s="6">
        <f>IFERROR(__xludf.DUMMYFUNCTION("""COMPUTED_VALUE"""),9458504.0)</f>
        <v>9458504</v>
      </c>
    </row>
    <row r="89">
      <c r="A89" s="7">
        <f>IFERROR(__xludf.DUMMYFUNCTION("""COMPUTED_VALUE"""),45814.64583333333)</f>
        <v>45814.64583</v>
      </c>
      <c r="B89" s="6">
        <f>IFERROR(__xludf.DUMMYFUNCTION("""COMPUTED_VALUE"""),385.0)</f>
        <v>385</v>
      </c>
      <c r="C89" s="6">
        <f>IFERROR(__xludf.DUMMYFUNCTION("""COMPUTED_VALUE"""),394.5)</f>
        <v>394.5</v>
      </c>
      <c r="D89" s="6">
        <f>IFERROR(__xludf.DUMMYFUNCTION("""COMPUTED_VALUE"""),382.2)</f>
        <v>382.2</v>
      </c>
      <c r="E89" s="6">
        <f>IFERROR(__xludf.DUMMYFUNCTION("""COMPUTED_VALUE"""),393.3)</f>
        <v>393.3</v>
      </c>
      <c r="F89" s="6">
        <f>IFERROR(__xludf.DUMMYFUNCTION("""COMPUTED_VALUE"""),9219087.0)</f>
        <v>9219087</v>
      </c>
    </row>
    <row r="90">
      <c r="A90" s="7">
        <f>IFERROR(__xludf.DUMMYFUNCTION("""COMPUTED_VALUE"""),45821.64583333333)</f>
        <v>45821.64583</v>
      </c>
      <c r="B90" s="6">
        <f>IFERROR(__xludf.DUMMYFUNCTION("""COMPUTED_VALUE"""),395.0)</f>
        <v>395</v>
      </c>
      <c r="C90" s="6">
        <f>IFERROR(__xludf.DUMMYFUNCTION("""COMPUTED_VALUE"""),410.0)</f>
        <v>410</v>
      </c>
      <c r="D90" s="6">
        <f>IFERROR(__xludf.DUMMYFUNCTION("""COMPUTED_VALUE"""),377.05)</f>
        <v>377.05</v>
      </c>
      <c r="E90" s="6">
        <f>IFERROR(__xludf.DUMMYFUNCTION("""COMPUTED_VALUE"""),384.85)</f>
        <v>384.85</v>
      </c>
      <c r="F90" s="6">
        <f>IFERROR(__xludf.DUMMYFUNCTION("""COMPUTED_VALUE"""),1.6798893E7)</f>
        <v>16798893</v>
      </c>
    </row>
    <row r="91">
      <c r="A91" s="7">
        <f>IFERROR(__xludf.DUMMYFUNCTION("""COMPUTED_VALUE"""),45828.64583333333)</f>
        <v>45828.64583</v>
      </c>
      <c r="B91" s="6">
        <f>IFERROR(__xludf.DUMMYFUNCTION("""COMPUTED_VALUE"""),384.85)</f>
        <v>384.85</v>
      </c>
      <c r="C91" s="6">
        <f>IFERROR(__xludf.DUMMYFUNCTION("""COMPUTED_VALUE"""),386.5)</f>
        <v>386.5</v>
      </c>
      <c r="D91" s="6">
        <f>IFERROR(__xludf.DUMMYFUNCTION("""COMPUTED_VALUE"""),370.1)</f>
        <v>370.1</v>
      </c>
      <c r="E91" s="6">
        <f>IFERROR(__xludf.DUMMYFUNCTION("""COMPUTED_VALUE"""),380.25)</f>
        <v>380.25</v>
      </c>
      <c r="F91" s="6">
        <f>IFERROR(__xludf.DUMMYFUNCTION("""COMPUTED_VALUE"""),1.0182952E7)</f>
        <v>10182952</v>
      </c>
    </row>
    <row r="92">
      <c r="A92" s="7">
        <f>IFERROR(__xludf.DUMMYFUNCTION("""COMPUTED_VALUE"""),45835.64583333333)</f>
        <v>45835.64583</v>
      </c>
      <c r="B92" s="6">
        <f>IFERROR(__xludf.DUMMYFUNCTION("""COMPUTED_VALUE"""),376.0)</f>
        <v>376</v>
      </c>
      <c r="C92" s="6">
        <f>IFERROR(__xludf.DUMMYFUNCTION("""COMPUTED_VALUE"""),393.8)</f>
        <v>393.8</v>
      </c>
      <c r="D92" s="6">
        <f>IFERROR(__xludf.DUMMYFUNCTION("""COMPUTED_VALUE"""),376.0)</f>
        <v>376</v>
      </c>
      <c r="E92" s="6">
        <f>IFERROR(__xludf.DUMMYFUNCTION("""COMPUTED_VALUE"""),388.45)</f>
        <v>388.45</v>
      </c>
      <c r="F92" s="6">
        <f>IFERROR(__xludf.DUMMYFUNCTION("""COMPUTED_VALUE"""),1.3148667E7)</f>
        <v>13148667</v>
      </c>
    </row>
    <row r="93">
      <c r="A93" s="7">
        <f>IFERROR(__xludf.DUMMYFUNCTION("""COMPUTED_VALUE"""),45842.64583333333)</f>
        <v>45842.64583</v>
      </c>
      <c r="B93" s="6">
        <f>IFERROR(__xludf.DUMMYFUNCTION("""COMPUTED_VALUE"""),389.0)</f>
        <v>389</v>
      </c>
      <c r="C93" s="6">
        <f>IFERROR(__xludf.DUMMYFUNCTION("""COMPUTED_VALUE"""),391.75)</f>
        <v>391.75</v>
      </c>
      <c r="D93" s="6">
        <f>IFERROR(__xludf.DUMMYFUNCTION("""COMPUTED_VALUE"""),380.6)</f>
        <v>380.6</v>
      </c>
      <c r="E93" s="6">
        <f>IFERROR(__xludf.DUMMYFUNCTION("""COMPUTED_VALUE"""),383.45)</f>
        <v>383.45</v>
      </c>
      <c r="F93" s="6">
        <f>IFERROR(__xludf.DUMMYFUNCTION("""COMPUTED_VALUE"""),9553308.0)</f>
        <v>9553308</v>
      </c>
    </row>
    <row r="94">
      <c r="A94" s="7">
        <f>IFERROR(__xludf.DUMMYFUNCTION("""COMPUTED_VALUE"""),45849.64583333333)</f>
        <v>45849.64583</v>
      </c>
      <c r="B94" s="6">
        <f>IFERROR(__xludf.DUMMYFUNCTION("""COMPUTED_VALUE"""),382.55)</f>
        <v>382.55</v>
      </c>
      <c r="C94" s="6">
        <f>IFERROR(__xludf.DUMMYFUNCTION("""COMPUTED_VALUE"""),390.35)</f>
        <v>390.35</v>
      </c>
      <c r="D94" s="6">
        <f>IFERROR(__xludf.DUMMYFUNCTION("""COMPUTED_VALUE"""),378.6)</f>
        <v>378.6</v>
      </c>
      <c r="E94" s="6">
        <f>IFERROR(__xludf.DUMMYFUNCTION("""COMPUTED_VALUE"""),380.65)</f>
        <v>380.65</v>
      </c>
      <c r="F94" s="6">
        <f>IFERROR(__xludf.DUMMYFUNCTION("""COMPUTED_VALUE"""),6638316.0)</f>
        <v>6638316</v>
      </c>
    </row>
    <row r="95">
      <c r="A95" s="7">
        <f>IFERROR(__xludf.DUMMYFUNCTION("""COMPUTED_VALUE"""),45856.64583333333)</f>
        <v>45856.64583</v>
      </c>
      <c r="B95" s="6">
        <f>IFERROR(__xludf.DUMMYFUNCTION("""COMPUTED_VALUE"""),380.0)</f>
        <v>380</v>
      </c>
      <c r="C95" s="6">
        <f>IFERROR(__xludf.DUMMYFUNCTION("""COMPUTED_VALUE"""),386.8)</f>
        <v>386.8</v>
      </c>
      <c r="D95" s="6">
        <f>IFERROR(__xludf.DUMMYFUNCTION("""COMPUTED_VALUE"""),376.1)</f>
        <v>376.1</v>
      </c>
      <c r="E95" s="6">
        <f>IFERROR(__xludf.DUMMYFUNCTION("""COMPUTED_VALUE"""),384.05)</f>
        <v>384.05</v>
      </c>
      <c r="F95" s="6">
        <f>IFERROR(__xludf.DUMMYFUNCTION("""COMPUTED_VALUE"""),8037094.0)</f>
        <v>8037094</v>
      </c>
    </row>
    <row r="96">
      <c r="A96" s="7">
        <f>IFERROR(__xludf.DUMMYFUNCTION("""COMPUTED_VALUE"""),45863.64583333333)</f>
        <v>45863.64583</v>
      </c>
      <c r="B96" s="6">
        <f>IFERROR(__xludf.DUMMYFUNCTION("""COMPUTED_VALUE"""),384.95)</f>
        <v>384.95</v>
      </c>
      <c r="C96" s="6">
        <f>IFERROR(__xludf.DUMMYFUNCTION("""COMPUTED_VALUE"""),398.0)</f>
        <v>398</v>
      </c>
      <c r="D96" s="6">
        <f>IFERROR(__xludf.DUMMYFUNCTION("""COMPUTED_VALUE"""),379.0)</f>
        <v>379</v>
      </c>
      <c r="E96" s="6">
        <f>IFERROR(__xludf.DUMMYFUNCTION("""COMPUTED_VALUE"""),380.6)</f>
        <v>380.6</v>
      </c>
      <c r="F96" s="6">
        <f>IFERROR(__xludf.DUMMYFUNCTION("""COMPUTED_VALUE"""),1.0639787E7)</f>
        <v>10639787</v>
      </c>
    </row>
    <row r="97">
      <c r="A97" s="7">
        <f>IFERROR(__xludf.DUMMYFUNCTION("""COMPUTED_VALUE"""),45870.64583333333)</f>
        <v>45870.64583</v>
      </c>
      <c r="B97" s="6">
        <f>IFERROR(__xludf.DUMMYFUNCTION("""COMPUTED_VALUE"""),378.0)</f>
        <v>378</v>
      </c>
      <c r="C97" s="6">
        <f>IFERROR(__xludf.DUMMYFUNCTION("""COMPUTED_VALUE"""),393.1)</f>
        <v>393.1</v>
      </c>
      <c r="D97" s="6">
        <f>IFERROR(__xludf.DUMMYFUNCTION("""COMPUTED_VALUE"""),377.3)</f>
        <v>377.3</v>
      </c>
      <c r="E97" s="6">
        <f>IFERROR(__xludf.DUMMYFUNCTION("""COMPUTED_VALUE"""),379.25)</f>
        <v>379.25</v>
      </c>
      <c r="F97" s="6">
        <f>IFERROR(__xludf.DUMMYFUNCTION("""COMPUTED_VALUE"""),7975466.0)</f>
        <v>7975466</v>
      </c>
    </row>
    <row r="98">
      <c r="A98" s="7">
        <f>IFERROR(__xludf.DUMMYFUNCTION("""COMPUTED_VALUE"""),45877.64583333333)</f>
        <v>45877.64583</v>
      </c>
      <c r="B98" s="6">
        <f>IFERROR(__xludf.DUMMYFUNCTION("""COMPUTED_VALUE"""),378.5)</f>
        <v>378.5</v>
      </c>
      <c r="C98" s="6">
        <f>IFERROR(__xludf.DUMMYFUNCTION("""COMPUTED_VALUE"""),395.5)</f>
        <v>395.5</v>
      </c>
      <c r="D98" s="6">
        <f>IFERROR(__xludf.DUMMYFUNCTION("""COMPUTED_VALUE"""),373.2)</f>
        <v>373.2</v>
      </c>
      <c r="E98" s="6">
        <f>IFERROR(__xludf.DUMMYFUNCTION("""COMPUTED_VALUE"""),375.65)</f>
        <v>375.65</v>
      </c>
      <c r="F98" s="6">
        <f>IFERROR(__xludf.DUMMYFUNCTION("""COMPUTED_VALUE"""),1.7254284E7)</f>
        <v>17254284</v>
      </c>
    </row>
    <row r="99">
      <c r="A99" s="7">
        <f>IFERROR(__xludf.DUMMYFUNCTION("""COMPUTED_VALUE"""),45883.64583333333)</f>
        <v>45883.64583</v>
      </c>
      <c r="B99" s="6">
        <f>IFERROR(__xludf.DUMMYFUNCTION("""COMPUTED_VALUE"""),375.65)</f>
        <v>375.65</v>
      </c>
      <c r="C99" s="6">
        <f>IFERROR(__xludf.DUMMYFUNCTION("""COMPUTED_VALUE"""),380.25)</f>
        <v>380.25</v>
      </c>
      <c r="D99" s="6">
        <f>IFERROR(__xludf.DUMMYFUNCTION("""COMPUTED_VALUE"""),370.75)</f>
        <v>370.75</v>
      </c>
      <c r="E99" s="6">
        <f>IFERROR(__xludf.DUMMYFUNCTION("""COMPUTED_VALUE"""),374.45)</f>
        <v>374.45</v>
      </c>
      <c r="F99" s="6">
        <f>IFERROR(__xludf.DUMMYFUNCTION("""COMPUTED_VALUE"""),7273809.0)</f>
        <v>7273809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IFERROR(__xludf.DUMMYFUNCTION("""COMPUTED_VALUE"""),379.85)</f>
        <v>379.85</v>
      </c>
      <c r="C100" s="6">
        <f>IFERROR(__xludf.DUMMYFUNCTION("""COMPUTED_VALUE"""),402.35)</f>
        <v>402.35</v>
      </c>
      <c r="D100" s="6">
        <f>IFERROR(__xludf.DUMMYFUNCTION("""COMPUTED_VALUE"""),374.05)</f>
        <v>374.05</v>
      </c>
      <c r="E100" s="6">
        <f>IFERROR(__xludf.DUMMYFUNCTION("""COMPUTED_VALUE"""),396.05)</f>
        <v>396.05</v>
      </c>
      <c r="F100" s="6">
        <f>IFERROR(__xludf.DUMMYFUNCTION("""COMPUTED_VALUE"""),3.7715771E7)</f>
        <v>37715771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IFERROR(__xludf.DUMMYFUNCTION("""COMPUTED_VALUE"""),397.0)</f>
        <v>397</v>
      </c>
      <c r="C101" s="6">
        <f>IFERROR(__xludf.DUMMYFUNCTION("""COMPUTED_VALUE"""),403.6)</f>
        <v>403.6</v>
      </c>
      <c r="D101" s="6">
        <f>IFERROR(__xludf.DUMMYFUNCTION("""COMPUTED_VALUE"""),392.4)</f>
        <v>392.4</v>
      </c>
      <c r="E101" s="6">
        <f>IFERROR(__xludf.DUMMYFUNCTION("""COMPUTED_VALUE"""),396.8)</f>
        <v>396.8</v>
      </c>
      <c r="F101" s="6">
        <f>IFERROR(__xludf.DUMMYFUNCTION("""COMPUTED_VALUE"""),4.0035993E7)</f>
        <v>40035993</v>
      </c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IFERROR(__xludf.DUMMYFUNCTION("GOOGLEFINANCE(""NSE:FEDERALBNK"",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IFERROR(__xludf.DUMMYFUNCTION("""COMPUTED_VALUE"""),141.45)</f>
        <v>141.45</v>
      </c>
      <c r="C2" s="6">
        <f>IFERROR(__xludf.DUMMYFUNCTION("""COMPUTED_VALUE"""),146.45)</f>
        <v>146.45</v>
      </c>
      <c r="D2" s="6">
        <f>IFERROR(__xludf.DUMMYFUNCTION("""COMPUTED_VALUE"""),140.5)</f>
        <v>140.5</v>
      </c>
      <c r="E2" s="6">
        <f>IFERROR(__xludf.DUMMYFUNCTION("""COMPUTED_VALUE"""),143.8)</f>
        <v>143.8</v>
      </c>
      <c r="F2" s="6">
        <f>IFERROR(__xludf.DUMMYFUNCTION("""COMPUTED_VALUE"""),7.7728808E7)</f>
        <v>77728808</v>
      </c>
    </row>
    <row r="3">
      <c r="A3" s="7">
        <f>IFERROR(__xludf.DUMMYFUNCTION("""COMPUTED_VALUE"""),45177.64583333333)</f>
        <v>45177.64583</v>
      </c>
      <c r="B3" s="6">
        <f>IFERROR(__xludf.DUMMYFUNCTION("""COMPUTED_VALUE"""),143.85)</f>
        <v>143.85</v>
      </c>
      <c r="C3" s="6">
        <f>IFERROR(__xludf.DUMMYFUNCTION("""COMPUTED_VALUE"""),148.3)</f>
        <v>148.3</v>
      </c>
      <c r="D3" s="6">
        <f>IFERROR(__xludf.DUMMYFUNCTION("""COMPUTED_VALUE"""),142.5)</f>
        <v>142.5</v>
      </c>
      <c r="E3" s="6">
        <f>IFERROR(__xludf.DUMMYFUNCTION("""COMPUTED_VALUE"""),147.5)</f>
        <v>147.5</v>
      </c>
      <c r="F3" s="6">
        <f>IFERROR(__xludf.DUMMYFUNCTION("""COMPUTED_VALUE"""),7.3463672E7)</f>
        <v>73463672</v>
      </c>
    </row>
    <row r="4">
      <c r="A4" s="7">
        <f>IFERROR(__xludf.DUMMYFUNCTION("""COMPUTED_VALUE"""),45184.64583333333)</f>
        <v>45184.64583</v>
      </c>
      <c r="B4" s="6">
        <f>IFERROR(__xludf.DUMMYFUNCTION("""COMPUTED_VALUE"""),148.4)</f>
        <v>148.4</v>
      </c>
      <c r="C4" s="6">
        <f>IFERROR(__xludf.DUMMYFUNCTION("""COMPUTED_VALUE"""),150.0)</f>
        <v>150</v>
      </c>
      <c r="D4" s="6">
        <f>IFERROR(__xludf.DUMMYFUNCTION("""COMPUTED_VALUE"""),140.8)</f>
        <v>140.8</v>
      </c>
      <c r="E4" s="6">
        <f>IFERROR(__xludf.DUMMYFUNCTION("""COMPUTED_VALUE"""),148.25)</f>
        <v>148.25</v>
      </c>
      <c r="F4" s="6">
        <f>IFERROR(__xludf.DUMMYFUNCTION("""COMPUTED_VALUE"""),7.323803E7)</f>
        <v>73238030</v>
      </c>
    </row>
    <row r="5">
      <c r="A5" s="7">
        <f>IFERROR(__xludf.DUMMYFUNCTION("""COMPUTED_VALUE"""),45191.64583333333)</f>
        <v>45191.64583</v>
      </c>
      <c r="B5" s="6">
        <f>IFERROR(__xludf.DUMMYFUNCTION("""COMPUTED_VALUE"""),147.15)</f>
        <v>147.15</v>
      </c>
      <c r="C5" s="6">
        <f>IFERROR(__xludf.DUMMYFUNCTION("""COMPUTED_VALUE"""),148.75)</f>
        <v>148.75</v>
      </c>
      <c r="D5" s="6">
        <f>IFERROR(__xludf.DUMMYFUNCTION("""COMPUTED_VALUE"""),144.3)</f>
        <v>144.3</v>
      </c>
      <c r="E5" s="6">
        <f>IFERROR(__xludf.DUMMYFUNCTION("""COMPUTED_VALUE"""),145.95)</f>
        <v>145.95</v>
      </c>
      <c r="F5" s="6">
        <f>IFERROR(__xludf.DUMMYFUNCTION("""COMPUTED_VALUE"""),5.316286E7)</f>
        <v>53162860</v>
      </c>
    </row>
    <row r="6">
      <c r="A6" s="7">
        <f>IFERROR(__xludf.DUMMYFUNCTION("""COMPUTED_VALUE"""),45198.64583333333)</f>
        <v>45198.64583</v>
      </c>
      <c r="B6" s="6">
        <f>IFERROR(__xludf.DUMMYFUNCTION("""COMPUTED_VALUE"""),145.9)</f>
        <v>145.9</v>
      </c>
      <c r="C6" s="6">
        <f>IFERROR(__xludf.DUMMYFUNCTION("""COMPUTED_VALUE"""),151.5)</f>
        <v>151.5</v>
      </c>
      <c r="D6" s="6">
        <f>IFERROR(__xludf.DUMMYFUNCTION("""COMPUTED_VALUE"""),144.15)</f>
        <v>144.15</v>
      </c>
      <c r="E6" s="6">
        <f>IFERROR(__xludf.DUMMYFUNCTION("""COMPUTED_VALUE"""),147.2)</f>
        <v>147.2</v>
      </c>
      <c r="F6" s="6">
        <f>IFERROR(__xludf.DUMMYFUNCTION("""COMPUTED_VALUE"""),8.773678E7)</f>
        <v>87736780</v>
      </c>
    </row>
    <row r="7">
      <c r="A7" s="7">
        <f>IFERROR(__xludf.DUMMYFUNCTION("""COMPUTED_VALUE"""),45205.64583333333)</f>
        <v>45205.64583</v>
      </c>
      <c r="B7" s="6">
        <f>IFERROR(__xludf.DUMMYFUNCTION("""COMPUTED_VALUE"""),147.5)</f>
        <v>147.5</v>
      </c>
      <c r="C7" s="6">
        <f>IFERROR(__xludf.DUMMYFUNCTION("""COMPUTED_VALUE"""),152.3)</f>
        <v>152.3</v>
      </c>
      <c r="D7" s="6">
        <f>IFERROR(__xludf.DUMMYFUNCTION("""COMPUTED_VALUE"""),144.05)</f>
        <v>144.05</v>
      </c>
      <c r="E7" s="6">
        <f>IFERROR(__xludf.DUMMYFUNCTION("""COMPUTED_VALUE"""),146.5)</f>
        <v>146.5</v>
      </c>
      <c r="F7" s="6">
        <f>IFERROR(__xludf.DUMMYFUNCTION("""COMPUTED_VALUE"""),6.1206553E7)</f>
        <v>61206553</v>
      </c>
    </row>
    <row r="8">
      <c r="A8" s="7">
        <f>IFERROR(__xludf.DUMMYFUNCTION("""COMPUTED_VALUE"""),45212.64583333333)</f>
        <v>45212.64583</v>
      </c>
      <c r="B8" s="6">
        <f>IFERROR(__xludf.DUMMYFUNCTION("""COMPUTED_VALUE"""),145.1)</f>
        <v>145.1</v>
      </c>
      <c r="C8" s="6">
        <f>IFERROR(__xludf.DUMMYFUNCTION("""COMPUTED_VALUE"""),152.1)</f>
        <v>152.1</v>
      </c>
      <c r="D8" s="6">
        <f>IFERROR(__xludf.DUMMYFUNCTION("""COMPUTED_VALUE"""),143.15)</f>
        <v>143.15</v>
      </c>
      <c r="E8" s="6">
        <f>IFERROR(__xludf.DUMMYFUNCTION("""COMPUTED_VALUE"""),149.4)</f>
        <v>149.4</v>
      </c>
      <c r="F8" s="6">
        <f>IFERROR(__xludf.DUMMYFUNCTION("""COMPUTED_VALUE"""),5.861666E7)</f>
        <v>58616660</v>
      </c>
    </row>
    <row r="9">
      <c r="A9" s="7">
        <f>IFERROR(__xludf.DUMMYFUNCTION("""COMPUTED_VALUE"""),45219.64583333333)</f>
        <v>45219.64583</v>
      </c>
      <c r="B9" s="6">
        <f>IFERROR(__xludf.DUMMYFUNCTION("""COMPUTED_VALUE"""),151.55)</f>
        <v>151.55</v>
      </c>
      <c r="C9" s="6">
        <f>IFERROR(__xludf.DUMMYFUNCTION("""COMPUTED_VALUE"""),152.6)</f>
        <v>152.6</v>
      </c>
      <c r="D9" s="6">
        <f>IFERROR(__xludf.DUMMYFUNCTION("""COMPUTED_VALUE"""),145.2)</f>
        <v>145.2</v>
      </c>
      <c r="E9" s="6">
        <f>IFERROR(__xludf.DUMMYFUNCTION("""COMPUTED_VALUE"""),145.85)</f>
        <v>145.85</v>
      </c>
      <c r="F9" s="6">
        <f>IFERROR(__xludf.DUMMYFUNCTION("""COMPUTED_VALUE"""),8.5680416E7)</f>
        <v>85680416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IFERROR(__xludf.DUMMYFUNCTION("""COMPUTED_VALUE"""),144.95)</f>
        <v>144.95</v>
      </c>
      <c r="C10" s="6">
        <f>IFERROR(__xludf.DUMMYFUNCTION("""COMPUTED_VALUE"""),146.25)</f>
        <v>146.25</v>
      </c>
      <c r="D10" s="6">
        <f>IFERROR(__xludf.DUMMYFUNCTION("""COMPUTED_VALUE"""),137.3)</f>
        <v>137.3</v>
      </c>
      <c r="E10" s="6">
        <f>IFERROR(__xludf.DUMMYFUNCTION("""COMPUTED_VALUE"""),139.55)</f>
        <v>139.55</v>
      </c>
      <c r="F10" s="6">
        <f>IFERROR(__xludf.DUMMYFUNCTION("""COMPUTED_VALUE"""),6.1304976E7)</f>
        <v>61304976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IFERROR(__xludf.DUMMYFUNCTION("""COMPUTED_VALUE"""),140.45)</f>
        <v>140.45</v>
      </c>
      <c r="C11" s="6">
        <f>IFERROR(__xludf.DUMMYFUNCTION("""COMPUTED_VALUE"""),144.05)</f>
        <v>144.05</v>
      </c>
      <c r="D11" s="6">
        <f>IFERROR(__xludf.DUMMYFUNCTION("""COMPUTED_VALUE"""),137.25)</f>
        <v>137.25</v>
      </c>
      <c r="E11" s="6">
        <f>IFERROR(__xludf.DUMMYFUNCTION("""COMPUTED_VALUE"""),143.5)</f>
        <v>143.5</v>
      </c>
      <c r="F11" s="6">
        <f>IFERROR(__xludf.DUMMYFUNCTION("""COMPUTED_VALUE"""),3.9993525E7)</f>
        <v>39993525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IFERROR(__xludf.DUMMYFUNCTION("""COMPUTED_VALUE"""),144.2)</f>
        <v>144.2</v>
      </c>
      <c r="C12" s="6">
        <f>IFERROR(__xludf.DUMMYFUNCTION("""COMPUTED_VALUE"""),150.0)</f>
        <v>150</v>
      </c>
      <c r="D12" s="6">
        <f>IFERROR(__xludf.DUMMYFUNCTION("""COMPUTED_VALUE"""),143.0)</f>
        <v>143</v>
      </c>
      <c r="E12" s="6">
        <f>IFERROR(__xludf.DUMMYFUNCTION("""COMPUTED_VALUE"""),149.85)</f>
        <v>149.85</v>
      </c>
      <c r="F12" s="6">
        <f>IFERROR(__xludf.DUMMYFUNCTION("""COMPUTED_VALUE"""),6.081207E7)</f>
        <v>60812070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IFERROR(__xludf.DUMMYFUNCTION("""COMPUTED_VALUE"""),150.45)</f>
        <v>150.45</v>
      </c>
      <c r="C13" s="6">
        <f>IFERROR(__xludf.DUMMYFUNCTION("""COMPUTED_VALUE"""),155.2)</f>
        <v>155.2</v>
      </c>
      <c r="D13" s="6">
        <f>IFERROR(__xludf.DUMMYFUNCTION("""COMPUTED_VALUE"""),147.75)</f>
        <v>147.75</v>
      </c>
      <c r="E13" s="6">
        <f>IFERROR(__xludf.DUMMYFUNCTION("""COMPUTED_VALUE"""),148.1)</f>
        <v>148.1</v>
      </c>
      <c r="F13" s="6">
        <f>IFERROR(__xludf.DUMMYFUNCTION("""COMPUTED_VALUE"""),7.0000338E7)</f>
        <v>70000338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IFERROR(__xludf.DUMMYFUNCTION("""COMPUTED_VALUE"""),148.0)</f>
        <v>148</v>
      </c>
      <c r="C14" s="6">
        <f>IFERROR(__xludf.DUMMYFUNCTION("""COMPUTED_VALUE"""),148.75)</f>
        <v>148.75</v>
      </c>
      <c r="D14" s="6">
        <f>IFERROR(__xludf.DUMMYFUNCTION("""COMPUTED_VALUE"""),145.1)</f>
        <v>145.1</v>
      </c>
      <c r="E14" s="6">
        <f>IFERROR(__xludf.DUMMYFUNCTION("""COMPUTED_VALUE"""),147.4)</f>
        <v>147.4</v>
      </c>
      <c r="F14" s="6">
        <f>IFERROR(__xludf.DUMMYFUNCTION("""COMPUTED_VALUE"""),3.6182178E7)</f>
        <v>36182178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IFERROR(__xludf.DUMMYFUNCTION("""COMPUTED_VALUE"""),147.5)</f>
        <v>147.5</v>
      </c>
      <c r="C15" s="6">
        <f>IFERROR(__xludf.DUMMYFUNCTION("""COMPUTED_VALUE"""),151.0)</f>
        <v>151</v>
      </c>
      <c r="D15" s="6">
        <f>IFERROR(__xludf.DUMMYFUNCTION("""COMPUTED_VALUE"""),146.7)</f>
        <v>146.7</v>
      </c>
      <c r="E15" s="6">
        <f>IFERROR(__xludf.DUMMYFUNCTION("""COMPUTED_VALUE"""),148.75)</f>
        <v>148.75</v>
      </c>
      <c r="F15" s="6">
        <f>IFERROR(__xludf.DUMMYFUNCTION("""COMPUTED_VALUE"""),4.5038977E7)</f>
        <v>45038977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IFERROR(__xludf.DUMMYFUNCTION("""COMPUTED_VALUE"""),152.6)</f>
        <v>152.6</v>
      </c>
      <c r="C16" s="6">
        <f>IFERROR(__xludf.DUMMYFUNCTION("""COMPUTED_VALUE"""),159.0)</f>
        <v>159</v>
      </c>
      <c r="D16" s="6">
        <f>IFERROR(__xludf.DUMMYFUNCTION("""COMPUTED_VALUE"""),150.25)</f>
        <v>150.25</v>
      </c>
      <c r="E16" s="6">
        <f>IFERROR(__xludf.DUMMYFUNCTION("""COMPUTED_VALUE"""),154.5)</f>
        <v>154.5</v>
      </c>
      <c r="F16" s="6">
        <f>IFERROR(__xludf.DUMMYFUNCTION("""COMPUTED_VALUE"""),6.6508013E7)</f>
        <v>66508013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IFERROR(__xludf.DUMMYFUNCTION("""COMPUTED_VALUE"""),154.6)</f>
        <v>154.6</v>
      </c>
      <c r="C17" s="6">
        <f>IFERROR(__xludf.DUMMYFUNCTION("""COMPUTED_VALUE"""),158.05)</f>
        <v>158.05</v>
      </c>
      <c r="D17" s="6">
        <f>IFERROR(__xludf.DUMMYFUNCTION("""COMPUTED_VALUE"""),151.7)</f>
        <v>151.7</v>
      </c>
      <c r="E17" s="6">
        <f>IFERROR(__xludf.DUMMYFUNCTION("""COMPUTED_VALUE"""),157.05)</f>
        <v>157.05</v>
      </c>
      <c r="F17" s="6">
        <f>IFERROR(__xludf.DUMMYFUNCTION("""COMPUTED_VALUE"""),5.4829699E7)</f>
        <v>54829699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IFERROR(__xludf.DUMMYFUNCTION("""COMPUTED_VALUE"""),157.1)</f>
        <v>157.1</v>
      </c>
      <c r="C18" s="6">
        <f>IFERROR(__xludf.DUMMYFUNCTION("""COMPUTED_VALUE"""),159.3)</f>
        <v>159.3</v>
      </c>
      <c r="D18" s="6">
        <f>IFERROR(__xludf.DUMMYFUNCTION("""COMPUTED_VALUE"""),149.35)</f>
        <v>149.35</v>
      </c>
      <c r="E18" s="6">
        <f>IFERROR(__xludf.DUMMYFUNCTION("""COMPUTED_VALUE"""),154.0)</f>
        <v>154</v>
      </c>
      <c r="F18" s="6">
        <f>IFERROR(__xludf.DUMMYFUNCTION("""COMPUTED_VALUE"""),6.3752228E7)</f>
        <v>63752228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IFERROR(__xludf.DUMMYFUNCTION("""COMPUTED_VALUE"""),154.05)</f>
        <v>154.05</v>
      </c>
      <c r="C19" s="6">
        <f>IFERROR(__xludf.DUMMYFUNCTION("""COMPUTED_VALUE"""),159.0)</f>
        <v>159</v>
      </c>
      <c r="D19" s="6">
        <f>IFERROR(__xludf.DUMMYFUNCTION("""COMPUTED_VALUE"""),152.75)</f>
        <v>152.75</v>
      </c>
      <c r="E19" s="6">
        <f>IFERROR(__xludf.DUMMYFUNCTION("""COMPUTED_VALUE"""),156.15)</f>
        <v>156.15</v>
      </c>
      <c r="F19" s="6">
        <f>IFERROR(__xludf.DUMMYFUNCTION("""COMPUTED_VALUE"""),4.2834377E7)</f>
        <v>42834377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IFERROR(__xludf.DUMMYFUNCTION("""COMPUTED_VALUE"""),156.2)</f>
        <v>156.2</v>
      </c>
      <c r="C20" s="6">
        <f>IFERROR(__xludf.DUMMYFUNCTION("""COMPUTED_VALUE"""),157.2)</f>
        <v>157.2</v>
      </c>
      <c r="D20" s="6">
        <f>IFERROR(__xludf.DUMMYFUNCTION("""COMPUTED_VALUE"""),151.05)</f>
        <v>151.05</v>
      </c>
      <c r="E20" s="6">
        <f>IFERROR(__xludf.DUMMYFUNCTION("""COMPUTED_VALUE"""),154.6)</f>
        <v>154.6</v>
      </c>
      <c r="F20" s="6">
        <f>IFERROR(__xludf.DUMMYFUNCTION("""COMPUTED_VALUE"""),5.0840727E7)</f>
        <v>50840727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IFERROR(__xludf.DUMMYFUNCTION("""COMPUTED_VALUE"""),153.0)</f>
        <v>153</v>
      </c>
      <c r="C21" s="6">
        <f>IFERROR(__xludf.DUMMYFUNCTION("""COMPUTED_VALUE"""),153.35)</f>
        <v>153.35</v>
      </c>
      <c r="D21" s="6">
        <f>IFERROR(__xludf.DUMMYFUNCTION("""COMPUTED_VALUE"""),149.6)</f>
        <v>149.6</v>
      </c>
      <c r="E21" s="6">
        <f>IFERROR(__xludf.DUMMYFUNCTION("""COMPUTED_VALUE"""),151.1)</f>
        <v>151.1</v>
      </c>
      <c r="F21" s="6">
        <f>IFERROR(__xludf.DUMMYFUNCTION("""COMPUTED_VALUE"""),5.2189392E7)</f>
        <v>52189392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IFERROR(__xludf.DUMMYFUNCTION("""COMPUTED_VALUE"""),148.35)</f>
        <v>148.35</v>
      </c>
      <c r="C22" s="6">
        <f>IFERROR(__xludf.DUMMYFUNCTION("""COMPUTED_VALUE"""),148.35)</f>
        <v>148.35</v>
      </c>
      <c r="D22" s="6">
        <f>IFERROR(__xludf.DUMMYFUNCTION("""COMPUTED_VALUE"""),139.4)</f>
        <v>139.4</v>
      </c>
      <c r="E22" s="6">
        <f>IFERROR(__xludf.DUMMYFUNCTION("""COMPUTED_VALUE"""),141.8)</f>
        <v>141.8</v>
      </c>
      <c r="F22" s="6">
        <f>IFERROR(__xludf.DUMMYFUNCTION("""COMPUTED_VALUE"""),5.2237557E7)</f>
        <v>52237557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IFERROR(__xludf.DUMMYFUNCTION("""COMPUTED_VALUE"""),143.2)</f>
        <v>143.2</v>
      </c>
      <c r="C23" s="6">
        <f>IFERROR(__xludf.DUMMYFUNCTION("""COMPUTED_VALUE"""),148.9)</f>
        <v>148.9</v>
      </c>
      <c r="D23" s="6">
        <f>IFERROR(__xludf.DUMMYFUNCTION("""COMPUTED_VALUE"""),142.5)</f>
        <v>142.5</v>
      </c>
      <c r="E23" s="6">
        <f>IFERROR(__xludf.DUMMYFUNCTION("""COMPUTED_VALUE"""),145.85)</f>
        <v>145.85</v>
      </c>
      <c r="F23" s="6">
        <f>IFERROR(__xludf.DUMMYFUNCTION("""COMPUTED_VALUE"""),7.0430234E7)</f>
        <v>70430234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IFERROR(__xludf.DUMMYFUNCTION("""COMPUTED_VALUE"""),145.85)</f>
        <v>145.85</v>
      </c>
      <c r="C24" s="6">
        <f>IFERROR(__xludf.DUMMYFUNCTION("""COMPUTED_VALUE"""),151.4)</f>
        <v>151.4</v>
      </c>
      <c r="D24" s="6">
        <f>IFERROR(__xludf.DUMMYFUNCTION("""COMPUTED_VALUE"""),143.35)</f>
        <v>143.35</v>
      </c>
      <c r="E24" s="6">
        <f>IFERROR(__xludf.DUMMYFUNCTION("""COMPUTED_VALUE"""),147.3)</f>
        <v>147.3</v>
      </c>
      <c r="F24" s="6">
        <f>IFERROR(__xludf.DUMMYFUNCTION("""COMPUTED_VALUE"""),6.2387641E7)</f>
        <v>62387641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IFERROR(__xludf.DUMMYFUNCTION("""COMPUTED_VALUE"""),148.4)</f>
        <v>148.4</v>
      </c>
      <c r="C25" s="6">
        <f>IFERROR(__xludf.DUMMYFUNCTION("""COMPUTED_VALUE"""),165.8)</f>
        <v>165.8</v>
      </c>
      <c r="D25" s="6">
        <f>IFERROR(__xludf.DUMMYFUNCTION("""COMPUTED_VALUE"""),144.25)</f>
        <v>144.25</v>
      </c>
      <c r="E25" s="6">
        <f>IFERROR(__xludf.DUMMYFUNCTION("""COMPUTED_VALUE"""),164.7)</f>
        <v>164.7</v>
      </c>
      <c r="F25" s="6">
        <f>IFERROR(__xludf.DUMMYFUNCTION("""COMPUTED_VALUE"""),1.17696271E8)</f>
        <v>117696271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IFERROR(__xludf.DUMMYFUNCTION("""COMPUTED_VALUE"""),165.95)</f>
        <v>165.95</v>
      </c>
      <c r="C26" s="6">
        <f>IFERROR(__xludf.DUMMYFUNCTION("""COMPUTED_VALUE"""),166.35)</f>
        <v>166.35</v>
      </c>
      <c r="D26" s="6">
        <f>IFERROR(__xludf.DUMMYFUNCTION("""COMPUTED_VALUE"""),149.15)</f>
        <v>149.15</v>
      </c>
      <c r="E26" s="6">
        <f>IFERROR(__xludf.DUMMYFUNCTION("""COMPUTED_VALUE"""),152.45)</f>
        <v>152.45</v>
      </c>
      <c r="F26" s="6">
        <f>IFERROR(__xludf.DUMMYFUNCTION("""COMPUTED_VALUE"""),9.3705968E7)</f>
        <v>93705968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IFERROR(__xludf.DUMMYFUNCTION("""COMPUTED_VALUE"""),154.3)</f>
        <v>154.3</v>
      </c>
      <c r="C27" s="6">
        <f>IFERROR(__xludf.DUMMYFUNCTION("""COMPUTED_VALUE"""),158.55)</f>
        <v>158.55</v>
      </c>
      <c r="D27" s="6">
        <f>IFERROR(__xludf.DUMMYFUNCTION("""COMPUTED_VALUE"""),152.15)</f>
        <v>152.15</v>
      </c>
      <c r="E27" s="6">
        <f>IFERROR(__xludf.DUMMYFUNCTION("""COMPUTED_VALUE"""),156.35)</f>
        <v>156.35</v>
      </c>
      <c r="F27" s="6">
        <f>IFERROR(__xludf.DUMMYFUNCTION("""COMPUTED_VALUE"""),6.2209078E7)</f>
        <v>62209078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IFERROR(__xludf.DUMMYFUNCTION("""COMPUTED_VALUE"""),156.35)</f>
        <v>156.35</v>
      </c>
      <c r="C28" s="6">
        <f>IFERROR(__xludf.DUMMYFUNCTION("""COMPUTED_VALUE"""),157.2)</f>
        <v>157.2</v>
      </c>
      <c r="D28" s="6">
        <f>IFERROR(__xludf.DUMMYFUNCTION("""COMPUTED_VALUE"""),139.65)</f>
        <v>139.65</v>
      </c>
      <c r="E28" s="6">
        <f>IFERROR(__xludf.DUMMYFUNCTION("""COMPUTED_VALUE"""),150.45)</f>
        <v>150.45</v>
      </c>
      <c r="F28" s="6">
        <f>IFERROR(__xludf.DUMMYFUNCTION("""COMPUTED_VALUE"""),7.9454142E7)</f>
        <v>79454142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IFERROR(__xludf.DUMMYFUNCTION("""COMPUTED_VALUE"""),151.0)</f>
        <v>151</v>
      </c>
      <c r="C29" s="6">
        <f>IFERROR(__xludf.DUMMYFUNCTION("""COMPUTED_VALUE"""),152.25)</f>
        <v>152.25</v>
      </c>
      <c r="D29" s="6">
        <f>IFERROR(__xludf.DUMMYFUNCTION("""COMPUTED_VALUE"""),145.65)</f>
        <v>145.65</v>
      </c>
      <c r="E29" s="6">
        <f>IFERROR(__xludf.DUMMYFUNCTION("""COMPUTED_VALUE"""),149.6)</f>
        <v>149.6</v>
      </c>
      <c r="F29" s="6">
        <f>IFERROR(__xludf.DUMMYFUNCTION("""COMPUTED_VALUE"""),5.7477903E7)</f>
        <v>57477903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IFERROR(__xludf.DUMMYFUNCTION("""COMPUTED_VALUE"""),149.6)</f>
        <v>149.6</v>
      </c>
      <c r="C30" s="6">
        <f>IFERROR(__xludf.DUMMYFUNCTION("""COMPUTED_VALUE"""),151.5)</f>
        <v>151.5</v>
      </c>
      <c r="D30" s="6">
        <f>IFERROR(__xludf.DUMMYFUNCTION("""COMPUTED_VALUE"""),148.5)</f>
        <v>148.5</v>
      </c>
      <c r="E30" s="6">
        <f>IFERROR(__xludf.DUMMYFUNCTION("""COMPUTED_VALUE"""),150.2)</f>
        <v>150.2</v>
      </c>
      <c r="F30" s="6">
        <f>IFERROR(__xludf.DUMMYFUNCTION("""COMPUTED_VALUE"""),3.5804718E7)</f>
        <v>35804718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IFERROR(__xludf.DUMMYFUNCTION("""COMPUTED_VALUE"""),152.0)</f>
        <v>152</v>
      </c>
      <c r="C31" s="6">
        <f>IFERROR(__xludf.DUMMYFUNCTION("""COMPUTED_VALUE"""),156.75)</f>
        <v>156.75</v>
      </c>
      <c r="D31" s="6">
        <f>IFERROR(__xludf.DUMMYFUNCTION("""COMPUTED_VALUE"""),150.9)</f>
        <v>150.9</v>
      </c>
      <c r="E31" s="6">
        <f>IFERROR(__xludf.DUMMYFUNCTION("""COMPUTED_VALUE"""),154.55)</f>
        <v>154.55</v>
      </c>
      <c r="F31" s="6">
        <f>IFERROR(__xludf.DUMMYFUNCTION("""COMPUTED_VALUE"""),5.5747221E7)</f>
        <v>55747221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IFERROR(__xludf.DUMMYFUNCTION("""COMPUTED_VALUE"""),155.55)</f>
        <v>155.55</v>
      </c>
      <c r="C32" s="6">
        <f>IFERROR(__xludf.DUMMYFUNCTION("""COMPUTED_VALUE"""),160.2)</f>
        <v>160.2</v>
      </c>
      <c r="D32" s="6">
        <f>IFERROR(__xludf.DUMMYFUNCTION("""COMPUTED_VALUE"""),151.35)</f>
        <v>151.35</v>
      </c>
      <c r="E32" s="6">
        <f>IFERROR(__xludf.DUMMYFUNCTION("""COMPUTED_VALUE"""),155.95)</f>
        <v>155.95</v>
      </c>
      <c r="F32" s="6">
        <f>IFERROR(__xludf.DUMMYFUNCTION("""COMPUTED_VALUE"""),8.7940394E7)</f>
        <v>87940394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IFERROR(__xludf.DUMMYFUNCTION("""COMPUTED_VALUE"""),153.95)</f>
        <v>153.95</v>
      </c>
      <c r="C33" s="6">
        <f>IFERROR(__xludf.DUMMYFUNCTION("""COMPUTED_VALUE"""),156.0)</f>
        <v>156</v>
      </c>
      <c r="D33" s="6">
        <f>IFERROR(__xludf.DUMMYFUNCTION("""COMPUTED_VALUE"""),148.5)</f>
        <v>148.5</v>
      </c>
      <c r="E33" s="6">
        <f>IFERROR(__xludf.DUMMYFUNCTION("""COMPUTED_VALUE"""),151.85)</f>
        <v>151.85</v>
      </c>
      <c r="F33" s="6">
        <f>IFERROR(__xludf.DUMMYFUNCTION("""COMPUTED_VALUE"""),5.4997974E7)</f>
        <v>54997974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IFERROR(__xludf.DUMMYFUNCTION("""COMPUTED_VALUE"""),152.55)</f>
        <v>152.55</v>
      </c>
      <c r="C34" s="6">
        <f>IFERROR(__xludf.DUMMYFUNCTION("""COMPUTED_VALUE"""),158.55)</f>
        <v>158.55</v>
      </c>
      <c r="D34" s="6">
        <f>IFERROR(__xludf.DUMMYFUNCTION("""COMPUTED_VALUE"""),152.4)</f>
        <v>152.4</v>
      </c>
      <c r="E34" s="6">
        <f>IFERROR(__xludf.DUMMYFUNCTION("""COMPUTED_VALUE"""),157.1)</f>
        <v>157.1</v>
      </c>
      <c r="F34" s="6">
        <f>IFERROR(__xludf.DUMMYFUNCTION("""COMPUTED_VALUE"""),6.1549244E7)</f>
        <v>61549244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IFERROR(__xludf.DUMMYFUNCTION("""COMPUTED_VALUE"""),158.0)</f>
        <v>158</v>
      </c>
      <c r="C35" s="6">
        <f>IFERROR(__xludf.DUMMYFUNCTION("""COMPUTED_VALUE"""),170.3)</f>
        <v>170.3</v>
      </c>
      <c r="D35" s="6">
        <f>IFERROR(__xludf.DUMMYFUNCTION("""COMPUTED_VALUE"""),156.05)</f>
        <v>156.05</v>
      </c>
      <c r="E35" s="6">
        <f>IFERROR(__xludf.DUMMYFUNCTION("""COMPUTED_VALUE"""),165.95)</f>
        <v>165.95</v>
      </c>
      <c r="F35" s="6">
        <f>IFERROR(__xludf.DUMMYFUNCTION("""COMPUTED_VALUE"""),1.5014913E8)</f>
        <v>150149130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IFERROR(__xludf.DUMMYFUNCTION("""COMPUTED_VALUE"""),167.7)</f>
        <v>167.7</v>
      </c>
      <c r="C36" s="6">
        <f>IFERROR(__xludf.DUMMYFUNCTION("""COMPUTED_VALUE"""),167.7)</f>
        <v>167.7</v>
      </c>
      <c r="D36" s="6">
        <f>IFERROR(__xludf.DUMMYFUNCTION("""COMPUTED_VALUE"""),156.35)</f>
        <v>156.35</v>
      </c>
      <c r="E36" s="6">
        <f>IFERROR(__xludf.DUMMYFUNCTION("""COMPUTED_VALUE"""),159.95)</f>
        <v>159.95</v>
      </c>
      <c r="F36" s="6">
        <f>IFERROR(__xludf.DUMMYFUNCTION("""COMPUTED_VALUE"""),6.9289775E7)</f>
        <v>69289775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IFERROR(__xludf.DUMMYFUNCTION("""COMPUTED_VALUE"""),164.0)</f>
        <v>164</v>
      </c>
      <c r="C37" s="6">
        <f>IFERROR(__xludf.DUMMYFUNCTION("""COMPUTED_VALUE"""),165.2)</f>
        <v>165.2</v>
      </c>
      <c r="D37" s="6">
        <f>IFERROR(__xludf.DUMMYFUNCTION("""COMPUTED_VALUE"""),161.3)</f>
        <v>161.3</v>
      </c>
      <c r="E37" s="6">
        <f>IFERROR(__xludf.DUMMYFUNCTION("""COMPUTED_VALUE"""),163.45)</f>
        <v>163.45</v>
      </c>
      <c r="F37" s="6">
        <f>IFERROR(__xludf.DUMMYFUNCTION("""COMPUTED_VALUE"""),3.6493228E7)</f>
        <v>36493228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IFERROR(__xludf.DUMMYFUNCTION("""COMPUTED_VALUE"""),164.3)</f>
        <v>164.3</v>
      </c>
      <c r="C38" s="6">
        <f>IFERROR(__xludf.DUMMYFUNCTION("""COMPUTED_VALUE"""),165.2)</f>
        <v>165.2</v>
      </c>
      <c r="D38" s="6">
        <f>IFERROR(__xludf.DUMMYFUNCTION("""COMPUTED_VALUE"""),158.5)</f>
        <v>158.5</v>
      </c>
      <c r="E38" s="6">
        <f>IFERROR(__xludf.DUMMYFUNCTION("""COMPUTED_VALUE"""),162.05)</f>
        <v>162.05</v>
      </c>
      <c r="F38" s="6">
        <f>IFERROR(__xludf.DUMMYFUNCTION("""COMPUTED_VALUE"""),5.0811732E7)</f>
        <v>50811732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IFERROR(__xludf.DUMMYFUNCTION("""COMPUTED_VALUE"""),165.25)</f>
        <v>165.25</v>
      </c>
      <c r="C39" s="6">
        <f>IFERROR(__xludf.DUMMYFUNCTION("""COMPUTED_VALUE"""),169.1)</f>
        <v>169.1</v>
      </c>
      <c r="D39" s="6">
        <f>IFERROR(__xludf.DUMMYFUNCTION("""COMPUTED_VALUE"""),148.0)</f>
        <v>148</v>
      </c>
      <c r="E39" s="6">
        <f>IFERROR(__xludf.DUMMYFUNCTION("""COMPUTED_VALUE"""),165.05)</f>
        <v>165.05</v>
      </c>
      <c r="F39" s="6">
        <f>IFERROR(__xludf.DUMMYFUNCTION("""COMPUTED_VALUE"""),9.9610112E7)</f>
        <v>99610112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IFERROR(__xludf.DUMMYFUNCTION("""COMPUTED_VALUE"""),165.9)</f>
        <v>165.9</v>
      </c>
      <c r="C40" s="6">
        <f>IFERROR(__xludf.DUMMYFUNCTION("""COMPUTED_VALUE"""),175.1)</f>
        <v>175.1</v>
      </c>
      <c r="D40" s="6">
        <f>IFERROR(__xludf.DUMMYFUNCTION("""COMPUTED_VALUE"""),162.77)</f>
        <v>162.77</v>
      </c>
      <c r="E40" s="6">
        <f>IFERROR(__xludf.DUMMYFUNCTION("""COMPUTED_VALUE"""),174.4)</f>
        <v>174.4</v>
      </c>
      <c r="F40" s="6">
        <f>IFERROR(__xludf.DUMMYFUNCTION("""COMPUTED_VALUE"""),8.5736112E7)</f>
        <v>85736112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IFERROR(__xludf.DUMMYFUNCTION("""COMPUTED_VALUE"""),174.9)</f>
        <v>174.9</v>
      </c>
      <c r="C41" s="6">
        <f>IFERROR(__xludf.DUMMYFUNCTION("""COMPUTED_VALUE"""),179.73)</f>
        <v>179.73</v>
      </c>
      <c r="D41" s="6">
        <f>IFERROR(__xludf.DUMMYFUNCTION("""COMPUTED_VALUE"""),173.25)</f>
        <v>173.25</v>
      </c>
      <c r="E41" s="6">
        <f>IFERROR(__xludf.DUMMYFUNCTION("""COMPUTED_VALUE"""),176.52)</f>
        <v>176.52</v>
      </c>
      <c r="F41" s="6">
        <f>IFERROR(__xludf.DUMMYFUNCTION("""COMPUTED_VALUE"""),6.2818564E7)</f>
        <v>62818564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IFERROR(__xludf.DUMMYFUNCTION("""COMPUTED_VALUE"""),175.74)</f>
        <v>175.74</v>
      </c>
      <c r="C42" s="6">
        <f>IFERROR(__xludf.DUMMYFUNCTION("""COMPUTED_VALUE"""),179.4)</f>
        <v>179.4</v>
      </c>
      <c r="D42" s="6">
        <f>IFERROR(__xludf.DUMMYFUNCTION("""COMPUTED_VALUE"""),172.13)</f>
        <v>172.13</v>
      </c>
      <c r="E42" s="6">
        <f>IFERROR(__xludf.DUMMYFUNCTION("""COMPUTED_VALUE"""),177.25)</f>
        <v>177.25</v>
      </c>
      <c r="F42" s="6">
        <f>IFERROR(__xludf.DUMMYFUNCTION("""COMPUTED_VALUE"""),5.1950338E7)</f>
        <v>51950338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IFERROR(__xludf.DUMMYFUNCTION("""COMPUTED_VALUE"""),177.3)</f>
        <v>177.3</v>
      </c>
      <c r="C43" s="6">
        <f>IFERROR(__xludf.DUMMYFUNCTION("""COMPUTED_VALUE"""),187.2)</f>
        <v>187.2</v>
      </c>
      <c r="D43" s="6">
        <f>IFERROR(__xludf.DUMMYFUNCTION("""COMPUTED_VALUE"""),173.91)</f>
        <v>173.91</v>
      </c>
      <c r="E43" s="6">
        <f>IFERROR(__xludf.DUMMYFUNCTION("""COMPUTED_VALUE"""),186.19)</f>
        <v>186.19</v>
      </c>
      <c r="F43" s="6">
        <f>IFERROR(__xludf.DUMMYFUNCTION("""COMPUTED_VALUE"""),7.4433308E7)</f>
        <v>74433308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IFERROR(__xludf.DUMMYFUNCTION("""COMPUTED_VALUE"""),187.1)</f>
        <v>187.1</v>
      </c>
      <c r="C44" s="6">
        <f>IFERROR(__xludf.DUMMYFUNCTION("""COMPUTED_VALUE"""),197.19)</f>
        <v>197.19</v>
      </c>
      <c r="D44" s="6">
        <f>IFERROR(__xludf.DUMMYFUNCTION("""COMPUTED_VALUE"""),184.5)</f>
        <v>184.5</v>
      </c>
      <c r="E44" s="6">
        <f>IFERROR(__xludf.DUMMYFUNCTION("""COMPUTED_VALUE"""),195.48)</f>
        <v>195.48</v>
      </c>
      <c r="F44" s="6">
        <f>IFERROR(__xludf.DUMMYFUNCTION("""COMPUTED_VALUE"""),8.3978958E7)</f>
        <v>83978958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IFERROR(__xludf.DUMMYFUNCTION("""COMPUTED_VALUE"""),195.48)</f>
        <v>195.48</v>
      </c>
      <c r="C45" s="6">
        <f>IFERROR(__xludf.DUMMYFUNCTION("""COMPUTED_VALUE"""),197.77)</f>
        <v>197.77</v>
      </c>
      <c r="D45" s="6">
        <f>IFERROR(__xludf.DUMMYFUNCTION("""COMPUTED_VALUE"""),190.84)</f>
        <v>190.84</v>
      </c>
      <c r="E45" s="6">
        <f>IFERROR(__xludf.DUMMYFUNCTION("""COMPUTED_VALUE"""),191.47)</f>
        <v>191.47</v>
      </c>
      <c r="F45" s="6">
        <f>IFERROR(__xludf.DUMMYFUNCTION("""COMPUTED_VALUE"""),4.261176E7)</f>
        <v>42611760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IFERROR(__xludf.DUMMYFUNCTION("""COMPUTED_VALUE"""),191.45)</f>
        <v>191.45</v>
      </c>
      <c r="C46" s="6">
        <f>IFERROR(__xludf.DUMMYFUNCTION("""COMPUTED_VALUE"""),205.15)</f>
        <v>205.15</v>
      </c>
      <c r="D46" s="6">
        <f>IFERROR(__xludf.DUMMYFUNCTION("""COMPUTED_VALUE"""),190.1)</f>
        <v>190.1</v>
      </c>
      <c r="E46" s="6">
        <f>IFERROR(__xludf.DUMMYFUNCTION("""COMPUTED_VALUE"""),198.0)</f>
        <v>198</v>
      </c>
      <c r="F46" s="6">
        <f>IFERROR(__xludf.DUMMYFUNCTION("""COMPUTED_VALUE"""),1.72085506E8)</f>
        <v>172085506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IFERROR(__xludf.DUMMYFUNCTION("""COMPUTED_VALUE"""),199.21)</f>
        <v>199.21</v>
      </c>
      <c r="C47" s="6">
        <f>IFERROR(__xludf.DUMMYFUNCTION("""COMPUTED_VALUE"""),203.51)</f>
        <v>203.51</v>
      </c>
      <c r="D47" s="6">
        <f>IFERROR(__xludf.DUMMYFUNCTION("""COMPUTED_VALUE"""),197.1)</f>
        <v>197.1</v>
      </c>
      <c r="E47" s="6">
        <f>IFERROR(__xludf.DUMMYFUNCTION("""COMPUTED_VALUE"""),197.71)</f>
        <v>197.71</v>
      </c>
      <c r="F47" s="6">
        <f>IFERROR(__xludf.DUMMYFUNCTION("""COMPUTED_VALUE"""),6.1547683E7)</f>
        <v>61547683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IFERROR(__xludf.DUMMYFUNCTION("""COMPUTED_VALUE"""),193.05)</f>
        <v>193.05</v>
      </c>
      <c r="C48" s="6">
        <f>IFERROR(__xludf.DUMMYFUNCTION("""COMPUTED_VALUE"""),198.25)</f>
        <v>198.25</v>
      </c>
      <c r="D48" s="6">
        <f>IFERROR(__xludf.DUMMYFUNCTION("""COMPUTED_VALUE"""),190.26)</f>
        <v>190.26</v>
      </c>
      <c r="E48" s="6">
        <f>IFERROR(__xludf.DUMMYFUNCTION("""COMPUTED_VALUE"""),197.56)</f>
        <v>197.56</v>
      </c>
      <c r="F48" s="6">
        <f>IFERROR(__xludf.DUMMYFUNCTION("""COMPUTED_VALUE"""),4.7060298E7)</f>
        <v>47060298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IFERROR(__xludf.DUMMYFUNCTION("""COMPUTED_VALUE"""),195.0)</f>
        <v>195</v>
      </c>
      <c r="C49" s="6">
        <f>IFERROR(__xludf.DUMMYFUNCTION("""COMPUTED_VALUE"""),206.59)</f>
        <v>206.59</v>
      </c>
      <c r="D49" s="6">
        <f>IFERROR(__xludf.DUMMYFUNCTION("""COMPUTED_VALUE"""),195.0)</f>
        <v>195</v>
      </c>
      <c r="E49" s="6">
        <f>IFERROR(__xludf.DUMMYFUNCTION("""COMPUTED_VALUE"""),203.67)</f>
        <v>203.67</v>
      </c>
      <c r="F49" s="6">
        <f>IFERROR(__xludf.DUMMYFUNCTION("""COMPUTED_VALUE"""),4.2298974E7)</f>
        <v>42298974</v>
      </c>
    </row>
    <row r="50">
      <c r="A50" s="7">
        <f>IFERROR(__xludf.DUMMYFUNCTION("""COMPUTED_VALUE"""),45527.64583333333)</f>
        <v>45527.64583</v>
      </c>
      <c r="B50" s="6">
        <f>IFERROR(__xludf.DUMMYFUNCTION("""COMPUTED_VALUE"""),205.2)</f>
        <v>205.2</v>
      </c>
      <c r="C50" s="6">
        <f>IFERROR(__xludf.DUMMYFUNCTION("""COMPUTED_VALUE"""),205.7)</f>
        <v>205.7</v>
      </c>
      <c r="D50" s="6">
        <f>IFERROR(__xludf.DUMMYFUNCTION("""COMPUTED_VALUE"""),199.0)</f>
        <v>199</v>
      </c>
      <c r="E50" s="6">
        <f>IFERROR(__xludf.DUMMYFUNCTION("""COMPUTED_VALUE"""),199.56)</f>
        <v>199.56</v>
      </c>
      <c r="F50" s="6">
        <f>IFERROR(__xludf.DUMMYFUNCTION("""COMPUTED_VALUE"""),4.4202414E7)</f>
        <v>44202414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IFERROR(__xludf.DUMMYFUNCTION("""COMPUTED_VALUE"""),199.95)</f>
        <v>199.95</v>
      </c>
      <c r="C51" s="6">
        <f>IFERROR(__xludf.DUMMYFUNCTION("""COMPUTED_VALUE"""),200.79)</f>
        <v>200.79</v>
      </c>
      <c r="D51" s="6">
        <f>IFERROR(__xludf.DUMMYFUNCTION("""COMPUTED_VALUE"""),193.93)</f>
        <v>193.93</v>
      </c>
      <c r="E51" s="6">
        <f>IFERROR(__xludf.DUMMYFUNCTION("""COMPUTED_VALUE"""),194.7)</f>
        <v>194.7</v>
      </c>
      <c r="F51" s="6">
        <f>IFERROR(__xludf.DUMMYFUNCTION("""COMPUTED_VALUE"""),3.9111249E7)</f>
        <v>39111249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IFERROR(__xludf.DUMMYFUNCTION("""COMPUTED_VALUE"""),197.5)</f>
        <v>197.5</v>
      </c>
      <c r="C52" s="6">
        <f>IFERROR(__xludf.DUMMYFUNCTION("""COMPUTED_VALUE"""),197.5)</f>
        <v>197.5</v>
      </c>
      <c r="D52" s="6">
        <f>IFERROR(__xludf.DUMMYFUNCTION("""COMPUTED_VALUE"""),182.41)</f>
        <v>182.41</v>
      </c>
      <c r="E52" s="6">
        <f>IFERROR(__xludf.DUMMYFUNCTION("""COMPUTED_VALUE"""),183.45)</f>
        <v>183.45</v>
      </c>
      <c r="F52" s="6">
        <f>IFERROR(__xludf.DUMMYFUNCTION("""COMPUTED_VALUE"""),4.2394478E7)</f>
        <v>42394478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IFERROR(__xludf.DUMMYFUNCTION("""COMPUTED_VALUE"""),183.45)</f>
        <v>183.45</v>
      </c>
      <c r="C53" s="6">
        <f>IFERROR(__xludf.DUMMYFUNCTION("""COMPUTED_VALUE"""),187.75)</f>
        <v>187.75</v>
      </c>
      <c r="D53" s="6">
        <f>IFERROR(__xludf.DUMMYFUNCTION("""COMPUTED_VALUE"""),181.73)</f>
        <v>181.73</v>
      </c>
      <c r="E53" s="6">
        <f>IFERROR(__xludf.DUMMYFUNCTION("""COMPUTED_VALUE"""),186.52)</f>
        <v>186.52</v>
      </c>
      <c r="F53" s="6">
        <f>IFERROR(__xludf.DUMMYFUNCTION("""COMPUTED_VALUE"""),3.4885578E7)</f>
        <v>34885578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IFERROR(__xludf.DUMMYFUNCTION("""COMPUTED_VALUE"""),186.72)</f>
        <v>186.72</v>
      </c>
      <c r="C54" s="6">
        <f>IFERROR(__xludf.DUMMYFUNCTION("""COMPUTED_VALUE"""),189.0)</f>
        <v>189</v>
      </c>
      <c r="D54" s="6">
        <f>IFERROR(__xludf.DUMMYFUNCTION("""COMPUTED_VALUE"""),182.41)</f>
        <v>182.41</v>
      </c>
      <c r="E54" s="6">
        <f>IFERROR(__xludf.DUMMYFUNCTION("""COMPUTED_VALUE"""),185.04)</f>
        <v>185.04</v>
      </c>
      <c r="F54" s="6">
        <f>IFERROR(__xludf.DUMMYFUNCTION("""COMPUTED_VALUE"""),3.8688483E7)</f>
        <v>38688483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IFERROR(__xludf.DUMMYFUNCTION("""COMPUTED_VALUE"""),186.35)</f>
        <v>186.35</v>
      </c>
      <c r="C55" s="6">
        <f>IFERROR(__xludf.DUMMYFUNCTION("""COMPUTED_VALUE"""),195.5)</f>
        <v>195.5</v>
      </c>
      <c r="D55" s="6">
        <f>IFERROR(__xludf.DUMMYFUNCTION("""COMPUTED_VALUE"""),184.72)</f>
        <v>184.72</v>
      </c>
      <c r="E55" s="6">
        <f>IFERROR(__xludf.DUMMYFUNCTION("""COMPUTED_VALUE"""),193.71)</f>
        <v>193.71</v>
      </c>
      <c r="F55" s="6">
        <f>IFERROR(__xludf.DUMMYFUNCTION("""COMPUTED_VALUE"""),5.9735311E7)</f>
        <v>59735311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IFERROR(__xludf.DUMMYFUNCTION("""COMPUTED_VALUE"""),193.8)</f>
        <v>193.8</v>
      </c>
      <c r="C56" s="6">
        <f>IFERROR(__xludf.DUMMYFUNCTION("""COMPUTED_VALUE"""),200.1)</f>
        <v>200.1</v>
      </c>
      <c r="D56" s="6">
        <f>IFERROR(__xludf.DUMMYFUNCTION("""COMPUTED_VALUE"""),191.06)</f>
        <v>191.06</v>
      </c>
      <c r="E56" s="6">
        <f>IFERROR(__xludf.DUMMYFUNCTION("""COMPUTED_VALUE"""),193.67)</f>
        <v>193.67</v>
      </c>
      <c r="F56" s="6">
        <f>IFERROR(__xludf.DUMMYFUNCTION("""COMPUTED_VALUE"""),5.8482804E7)</f>
        <v>58482804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IFERROR(__xludf.DUMMYFUNCTION("""COMPUTED_VALUE"""),196.0)</f>
        <v>196</v>
      </c>
      <c r="C57" s="6">
        <f>IFERROR(__xludf.DUMMYFUNCTION("""COMPUTED_VALUE"""),196.48)</f>
        <v>196.48</v>
      </c>
      <c r="D57" s="6">
        <f>IFERROR(__xludf.DUMMYFUNCTION("""COMPUTED_VALUE"""),182.35)</f>
        <v>182.35</v>
      </c>
      <c r="E57" s="6">
        <f>IFERROR(__xludf.DUMMYFUNCTION("""COMPUTED_VALUE"""),187.55)</f>
        <v>187.55</v>
      </c>
      <c r="F57" s="6">
        <f>IFERROR(__xludf.DUMMYFUNCTION("""COMPUTED_VALUE"""),6.5112738E7)</f>
        <v>65112738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IFERROR(__xludf.DUMMYFUNCTION("""COMPUTED_VALUE"""),188.86)</f>
        <v>188.86</v>
      </c>
      <c r="C58" s="6">
        <f>IFERROR(__xludf.DUMMYFUNCTION("""COMPUTED_VALUE"""),199.81)</f>
        <v>199.81</v>
      </c>
      <c r="D58" s="6">
        <f>IFERROR(__xludf.DUMMYFUNCTION("""COMPUTED_VALUE"""),188.56)</f>
        <v>188.56</v>
      </c>
      <c r="E58" s="6">
        <f>IFERROR(__xludf.DUMMYFUNCTION("""COMPUTED_VALUE"""),195.3)</f>
        <v>195.3</v>
      </c>
      <c r="F58" s="6">
        <f>IFERROR(__xludf.DUMMYFUNCTION("""COMPUTED_VALUE"""),5.8262164E7)</f>
        <v>58262164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IFERROR(__xludf.DUMMYFUNCTION("""COMPUTED_VALUE"""),195.25)</f>
        <v>195.25</v>
      </c>
      <c r="C59" s="6">
        <f>IFERROR(__xludf.DUMMYFUNCTION("""COMPUTED_VALUE"""),197.25)</f>
        <v>197.25</v>
      </c>
      <c r="D59" s="6">
        <f>IFERROR(__xludf.DUMMYFUNCTION("""COMPUTED_VALUE"""),182.7)</f>
        <v>182.7</v>
      </c>
      <c r="E59" s="6">
        <f>IFERROR(__xludf.DUMMYFUNCTION("""COMPUTED_VALUE"""),186.24)</f>
        <v>186.24</v>
      </c>
      <c r="F59" s="6">
        <f>IFERROR(__xludf.DUMMYFUNCTION("""COMPUTED_VALUE"""),3.3472494E7)</f>
        <v>33472494</v>
      </c>
    </row>
    <row r="60">
      <c r="A60" s="7">
        <f>IFERROR(__xludf.DUMMYFUNCTION("""COMPUTED_VALUE"""),45604.64583333333)</f>
        <v>45604.64583</v>
      </c>
      <c r="B60" s="6">
        <f>IFERROR(__xludf.DUMMYFUNCTION("""COMPUTED_VALUE"""),204.17)</f>
        <v>204.17</v>
      </c>
      <c r="C60" s="6">
        <f>IFERROR(__xludf.DUMMYFUNCTION("""COMPUTED_VALUE"""),207.93)</f>
        <v>207.93</v>
      </c>
      <c r="D60" s="6">
        <f>IFERROR(__xludf.DUMMYFUNCTION("""COMPUTED_VALUE"""),200.2)</f>
        <v>200.2</v>
      </c>
      <c r="E60" s="6">
        <f>IFERROR(__xludf.DUMMYFUNCTION("""COMPUTED_VALUE"""),206.77)</f>
        <v>206.77</v>
      </c>
      <c r="F60" s="6">
        <f>IFERROR(__xludf.DUMMYFUNCTION("""COMPUTED_VALUE"""),6.2335639E7)</f>
        <v>62335639</v>
      </c>
    </row>
    <row r="61">
      <c r="A61" s="7">
        <f>IFERROR(__xludf.DUMMYFUNCTION("""COMPUTED_VALUE"""),45610.64583333333)</f>
        <v>45610.64583</v>
      </c>
      <c r="B61" s="6">
        <f>IFERROR(__xludf.DUMMYFUNCTION("""COMPUTED_VALUE"""),207.8)</f>
        <v>207.8</v>
      </c>
      <c r="C61" s="6">
        <f>IFERROR(__xludf.DUMMYFUNCTION("""COMPUTED_VALUE"""),209.77)</f>
        <v>209.77</v>
      </c>
      <c r="D61" s="6">
        <f>IFERROR(__xludf.DUMMYFUNCTION("""COMPUTED_VALUE"""),196.0)</f>
        <v>196</v>
      </c>
      <c r="E61" s="6">
        <f>IFERROR(__xludf.DUMMYFUNCTION("""COMPUTED_VALUE"""),196.98)</f>
        <v>196.98</v>
      </c>
      <c r="F61" s="6">
        <f>IFERROR(__xludf.DUMMYFUNCTION("""COMPUTED_VALUE"""),4.3881757E7)</f>
        <v>43881757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IFERROR(__xludf.DUMMYFUNCTION("""COMPUTED_VALUE"""),197.0)</f>
        <v>197</v>
      </c>
      <c r="C62" s="6">
        <f>IFERROR(__xludf.DUMMYFUNCTION("""COMPUTED_VALUE"""),212.0)</f>
        <v>212</v>
      </c>
      <c r="D62" s="6">
        <f>IFERROR(__xludf.DUMMYFUNCTION("""COMPUTED_VALUE"""),195.04)</f>
        <v>195.04</v>
      </c>
      <c r="E62" s="6">
        <f>IFERROR(__xludf.DUMMYFUNCTION("""COMPUTED_VALUE"""),209.37)</f>
        <v>209.37</v>
      </c>
      <c r="F62" s="6">
        <f>IFERROR(__xludf.DUMMYFUNCTION("""COMPUTED_VALUE"""),6.4657317E7)</f>
        <v>64657317</v>
      </c>
    </row>
    <row r="63">
      <c r="A63" s="7">
        <f>IFERROR(__xludf.DUMMYFUNCTION("""COMPUTED_VALUE"""),45625.64583333333)</f>
        <v>45625.64583</v>
      </c>
      <c r="B63" s="6">
        <f>IFERROR(__xludf.DUMMYFUNCTION("""COMPUTED_VALUE"""),211.0)</f>
        <v>211</v>
      </c>
      <c r="C63" s="6">
        <f>IFERROR(__xludf.DUMMYFUNCTION("""COMPUTED_VALUE"""),214.44)</f>
        <v>214.44</v>
      </c>
      <c r="D63" s="6">
        <f>IFERROR(__xludf.DUMMYFUNCTION("""COMPUTED_VALUE"""),208.79)</f>
        <v>208.79</v>
      </c>
      <c r="E63" s="6">
        <f>IFERROR(__xludf.DUMMYFUNCTION("""COMPUTED_VALUE"""),210.78)</f>
        <v>210.78</v>
      </c>
      <c r="F63" s="6">
        <f>IFERROR(__xludf.DUMMYFUNCTION("""COMPUTED_VALUE"""),5.5627672E7)</f>
        <v>55627672</v>
      </c>
    </row>
    <row r="64">
      <c r="A64" s="7">
        <f>IFERROR(__xludf.DUMMYFUNCTION("""COMPUTED_VALUE"""),45632.64583333333)</f>
        <v>45632.64583</v>
      </c>
      <c r="B64" s="6">
        <f>IFERROR(__xludf.DUMMYFUNCTION("""COMPUTED_VALUE"""),210.78)</f>
        <v>210.78</v>
      </c>
      <c r="C64" s="6">
        <f>IFERROR(__xludf.DUMMYFUNCTION("""COMPUTED_VALUE"""),217.0)</f>
        <v>217</v>
      </c>
      <c r="D64" s="6">
        <f>IFERROR(__xludf.DUMMYFUNCTION("""COMPUTED_VALUE"""),206.34)</f>
        <v>206.34</v>
      </c>
      <c r="E64" s="6">
        <f>IFERROR(__xludf.DUMMYFUNCTION("""COMPUTED_VALUE"""),213.4)</f>
        <v>213.4</v>
      </c>
      <c r="F64" s="6">
        <f>IFERROR(__xludf.DUMMYFUNCTION("""COMPUTED_VALUE"""),4.1313925E7)</f>
        <v>41313925</v>
      </c>
    </row>
    <row r="65">
      <c r="A65" s="7">
        <f>IFERROR(__xludf.DUMMYFUNCTION("""COMPUTED_VALUE"""),45639.64583333333)</f>
        <v>45639.64583</v>
      </c>
      <c r="B65" s="6">
        <f>IFERROR(__xludf.DUMMYFUNCTION("""COMPUTED_VALUE"""),214.05)</f>
        <v>214.05</v>
      </c>
      <c r="C65" s="6">
        <f>IFERROR(__xludf.DUMMYFUNCTION("""COMPUTED_VALUE"""),215.7)</f>
        <v>215.7</v>
      </c>
      <c r="D65" s="6">
        <f>IFERROR(__xludf.DUMMYFUNCTION("""COMPUTED_VALUE"""),209.7)</f>
        <v>209.7</v>
      </c>
      <c r="E65" s="6">
        <f>IFERROR(__xludf.DUMMYFUNCTION("""COMPUTED_VALUE"""),213.15)</f>
        <v>213.15</v>
      </c>
      <c r="F65" s="6">
        <f>IFERROR(__xludf.DUMMYFUNCTION("""COMPUTED_VALUE"""),2.0999691E7)</f>
        <v>20999691</v>
      </c>
    </row>
    <row r="66">
      <c r="A66" s="7">
        <f>IFERROR(__xludf.DUMMYFUNCTION("""COMPUTED_VALUE"""),45646.64583333333)</f>
        <v>45646.64583</v>
      </c>
      <c r="B66" s="6">
        <f>IFERROR(__xludf.DUMMYFUNCTION("""COMPUTED_VALUE"""),213.15)</f>
        <v>213.15</v>
      </c>
      <c r="C66" s="6">
        <f>IFERROR(__xludf.DUMMYFUNCTION("""COMPUTED_VALUE"""),214.44)</f>
        <v>214.44</v>
      </c>
      <c r="D66" s="6">
        <f>IFERROR(__xludf.DUMMYFUNCTION("""COMPUTED_VALUE"""),190.55)</f>
        <v>190.55</v>
      </c>
      <c r="E66" s="6">
        <f>IFERROR(__xludf.DUMMYFUNCTION("""COMPUTED_VALUE"""),194.46)</f>
        <v>194.46</v>
      </c>
      <c r="F66" s="6">
        <f>IFERROR(__xludf.DUMMYFUNCTION("""COMPUTED_VALUE"""),4.3363949E7)</f>
        <v>43363949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IFERROR(__xludf.DUMMYFUNCTION("""COMPUTED_VALUE"""),195.0)</f>
        <v>195</v>
      </c>
      <c r="C67" s="6">
        <f>IFERROR(__xludf.DUMMYFUNCTION("""COMPUTED_VALUE"""),199.61)</f>
        <v>199.61</v>
      </c>
      <c r="D67" s="6">
        <f>IFERROR(__xludf.DUMMYFUNCTION("""COMPUTED_VALUE"""),194.85)</f>
        <v>194.85</v>
      </c>
      <c r="E67" s="6">
        <f>IFERROR(__xludf.DUMMYFUNCTION("""COMPUTED_VALUE"""),196.73)</f>
        <v>196.73</v>
      </c>
      <c r="F67" s="6">
        <f>IFERROR(__xludf.DUMMYFUNCTION("""COMPUTED_VALUE"""),2.6651773E7)</f>
        <v>26651773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IFERROR(__xludf.DUMMYFUNCTION("""COMPUTED_VALUE"""),197.5)</f>
        <v>197.5</v>
      </c>
      <c r="C68" s="6">
        <f>IFERROR(__xludf.DUMMYFUNCTION("""COMPUTED_VALUE"""),207.23)</f>
        <v>207.23</v>
      </c>
      <c r="D68" s="6">
        <f>IFERROR(__xludf.DUMMYFUNCTION("""COMPUTED_VALUE"""),195.55)</f>
        <v>195.55</v>
      </c>
      <c r="E68" s="6">
        <f>IFERROR(__xludf.DUMMYFUNCTION("""COMPUTED_VALUE"""),205.25)</f>
        <v>205.25</v>
      </c>
      <c r="F68" s="6">
        <f>IFERROR(__xludf.DUMMYFUNCTION("""COMPUTED_VALUE"""),7.6193166E7)</f>
        <v>76193166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IFERROR(__xludf.DUMMYFUNCTION("""COMPUTED_VALUE"""),205.3)</f>
        <v>205.3</v>
      </c>
      <c r="C69" s="6">
        <f>IFERROR(__xludf.DUMMYFUNCTION("""COMPUTED_VALUE"""),205.64)</f>
        <v>205.64</v>
      </c>
      <c r="D69" s="6">
        <f>IFERROR(__xludf.DUMMYFUNCTION("""COMPUTED_VALUE"""),187.06)</f>
        <v>187.06</v>
      </c>
      <c r="E69" s="6">
        <f>IFERROR(__xludf.DUMMYFUNCTION("""COMPUTED_VALUE"""),189.1)</f>
        <v>189.1</v>
      </c>
      <c r="F69" s="6">
        <f>IFERROR(__xludf.DUMMYFUNCTION("""COMPUTED_VALUE"""),3.6059556E7)</f>
        <v>36059556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IFERROR(__xludf.DUMMYFUNCTION("""COMPUTED_VALUE"""),186.52)</f>
        <v>186.52</v>
      </c>
      <c r="C70" s="6">
        <f>IFERROR(__xludf.DUMMYFUNCTION("""COMPUTED_VALUE"""),197.84)</f>
        <v>197.84</v>
      </c>
      <c r="D70" s="6">
        <f>IFERROR(__xludf.DUMMYFUNCTION("""COMPUTED_VALUE"""),185.71)</f>
        <v>185.71</v>
      </c>
      <c r="E70" s="6">
        <f>IFERROR(__xludf.DUMMYFUNCTION("""COMPUTED_VALUE"""),191.58)</f>
        <v>191.58</v>
      </c>
      <c r="F70" s="6">
        <f>IFERROR(__xludf.DUMMYFUNCTION("""COMPUTED_VALUE"""),3.1080761E7)</f>
        <v>31080761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IFERROR(__xludf.DUMMYFUNCTION("""COMPUTED_VALUE"""),193.44)</f>
        <v>193.44</v>
      </c>
      <c r="C71" s="6">
        <f>IFERROR(__xludf.DUMMYFUNCTION("""COMPUTED_VALUE"""),195.05)</f>
        <v>195.05</v>
      </c>
      <c r="D71" s="6">
        <f>IFERROR(__xludf.DUMMYFUNCTION("""COMPUTED_VALUE"""),186.53)</f>
        <v>186.53</v>
      </c>
      <c r="E71" s="6">
        <f>IFERROR(__xludf.DUMMYFUNCTION("""COMPUTED_VALUE"""),188.11)</f>
        <v>188.11</v>
      </c>
      <c r="F71" s="6">
        <f>IFERROR(__xludf.DUMMYFUNCTION("""COMPUTED_VALUE"""),3.0996225E7)</f>
        <v>30996225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IFERROR(__xludf.DUMMYFUNCTION("""COMPUTED_VALUE"""),183.0)</f>
        <v>183</v>
      </c>
      <c r="C72" s="6">
        <f>IFERROR(__xludf.DUMMYFUNCTION("""COMPUTED_VALUE"""),189.52)</f>
        <v>189.52</v>
      </c>
      <c r="D72" s="6">
        <f>IFERROR(__xludf.DUMMYFUNCTION("""COMPUTED_VALUE"""),180.0)</f>
        <v>180</v>
      </c>
      <c r="E72" s="6">
        <f>IFERROR(__xludf.DUMMYFUNCTION("""COMPUTED_VALUE"""),188.14)</f>
        <v>188.14</v>
      </c>
      <c r="F72" s="6">
        <f>IFERROR(__xludf.DUMMYFUNCTION("""COMPUTED_VALUE"""),2.4670171E7)</f>
        <v>24670171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IFERROR(__xludf.DUMMYFUNCTION("""COMPUTED_VALUE"""),188.85)</f>
        <v>188.85</v>
      </c>
      <c r="C73" s="6">
        <f>IFERROR(__xludf.DUMMYFUNCTION("""COMPUTED_VALUE"""),189.42)</f>
        <v>189.42</v>
      </c>
      <c r="D73" s="6">
        <f>IFERROR(__xludf.DUMMYFUNCTION("""COMPUTED_VALUE"""),177.11)</f>
        <v>177.11</v>
      </c>
      <c r="E73" s="6">
        <f>IFERROR(__xludf.DUMMYFUNCTION("""COMPUTED_VALUE"""),181.01)</f>
        <v>181.01</v>
      </c>
      <c r="F73" s="6">
        <f>IFERROR(__xludf.DUMMYFUNCTION("""COMPUTED_VALUE"""),2.4324988E7)</f>
        <v>24324988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IFERROR(__xludf.DUMMYFUNCTION("""COMPUTED_VALUE"""),180.25)</f>
        <v>180.25</v>
      </c>
      <c r="C74" s="6">
        <f>IFERROR(__xludf.DUMMYFUNCTION("""COMPUTED_VALUE"""),185.83)</f>
        <v>185.83</v>
      </c>
      <c r="D74" s="6">
        <f>IFERROR(__xludf.DUMMYFUNCTION("""COMPUTED_VALUE"""),176.96)</f>
        <v>176.96</v>
      </c>
      <c r="E74" s="6">
        <f>IFERROR(__xludf.DUMMYFUNCTION("""COMPUTED_VALUE"""),179.85)</f>
        <v>179.85</v>
      </c>
      <c r="F74" s="6">
        <f>IFERROR(__xludf.DUMMYFUNCTION("""COMPUTED_VALUE"""),2.0876241E7)</f>
        <v>20876241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IFERROR(__xludf.DUMMYFUNCTION("""COMPUTED_VALUE"""),180.0)</f>
        <v>180</v>
      </c>
      <c r="C75" s="6">
        <f>IFERROR(__xludf.DUMMYFUNCTION("""COMPUTED_VALUE"""),183.4)</f>
        <v>183.4</v>
      </c>
      <c r="D75" s="6">
        <f>IFERROR(__xludf.DUMMYFUNCTION("""COMPUTED_VALUE"""),175.01)</f>
        <v>175.01</v>
      </c>
      <c r="E75" s="6">
        <f>IFERROR(__xludf.DUMMYFUNCTION("""COMPUTED_VALUE"""),177.62)</f>
        <v>177.62</v>
      </c>
      <c r="F75" s="6">
        <f>IFERROR(__xludf.DUMMYFUNCTION("""COMPUTED_VALUE"""),4.0234312E7)</f>
        <v>40234312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IFERROR(__xludf.DUMMYFUNCTION("""COMPUTED_VALUE"""),177.81)</f>
        <v>177.81</v>
      </c>
      <c r="C76" s="6">
        <f>IFERROR(__xludf.DUMMYFUNCTION("""COMPUTED_VALUE"""),183.5)</f>
        <v>183.5</v>
      </c>
      <c r="D76" s="6">
        <f>IFERROR(__xludf.DUMMYFUNCTION("""COMPUTED_VALUE"""),172.66)</f>
        <v>172.66</v>
      </c>
      <c r="E76" s="6">
        <f>IFERROR(__xludf.DUMMYFUNCTION("""COMPUTED_VALUE"""),180.51)</f>
        <v>180.51</v>
      </c>
      <c r="F76" s="6">
        <f>IFERROR(__xludf.DUMMYFUNCTION("""COMPUTED_VALUE"""),3.7852165E7)</f>
        <v>37852165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IFERROR(__xludf.DUMMYFUNCTION("""COMPUTED_VALUE"""),180.4)</f>
        <v>180.4</v>
      </c>
      <c r="C77" s="6">
        <f>IFERROR(__xludf.DUMMYFUNCTION("""COMPUTED_VALUE"""),181.15)</f>
        <v>181.15</v>
      </c>
      <c r="D77" s="6">
        <f>IFERROR(__xludf.DUMMYFUNCTION("""COMPUTED_VALUE"""),175.5)</f>
        <v>175.5</v>
      </c>
      <c r="E77" s="6">
        <f>IFERROR(__xludf.DUMMYFUNCTION("""COMPUTED_VALUE"""),176.6)</f>
        <v>176.6</v>
      </c>
      <c r="F77" s="6">
        <f>IFERROR(__xludf.DUMMYFUNCTION("""COMPUTED_VALUE"""),2.1127576E7)</f>
        <v>21127576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IFERROR(__xludf.DUMMYFUNCTION("""COMPUTED_VALUE"""),177.48)</f>
        <v>177.48</v>
      </c>
      <c r="C78" s="6">
        <f>IFERROR(__xludf.DUMMYFUNCTION("""COMPUTED_VALUE"""),188.31)</f>
        <v>188.31</v>
      </c>
      <c r="D78" s="6">
        <f>IFERROR(__xludf.DUMMYFUNCTION("""COMPUTED_VALUE"""),0.0)</f>
        <v>0</v>
      </c>
      <c r="E78" s="6">
        <f>IFERROR(__xludf.DUMMYFUNCTION("""COMPUTED_VALUE"""),187.3)</f>
        <v>187.3</v>
      </c>
      <c r="F78" s="6">
        <f>IFERROR(__xludf.DUMMYFUNCTION("""COMPUTED_VALUE"""),2.9235855E7)</f>
        <v>29235855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IFERROR(__xludf.DUMMYFUNCTION("""COMPUTED_VALUE"""),188.0)</f>
        <v>188</v>
      </c>
      <c r="C79" s="6">
        <f>IFERROR(__xludf.DUMMYFUNCTION("""COMPUTED_VALUE"""),200.0)</f>
        <v>200</v>
      </c>
      <c r="D79" s="6">
        <f>IFERROR(__xludf.DUMMYFUNCTION("""COMPUTED_VALUE"""),187.3)</f>
        <v>187.3</v>
      </c>
      <c r="E79" s="6">
        <f>IFERROR(__xludf.DUMMYFUNCTION("""COMPUTED_VALUE"""),192.73)</f>
        <v>192.73</v>
      </c>
      <c r="F79" s="6">
        <f>IFERROR(__xludf.DUMMYFUNCTION("""COMPUTED_VALUE"""),5.3833764E7)</f>
        <v>53833764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IFERROR(__xludf.DUMMYFUNCTION("""COMPUTED_VALUE"""),191.72)</f>
        <v>191.72</v>
      </c>
      <c r="C80" s="6">
        <f>IFERROR(__xludf.DUMMYFUNCTION("""COMPUTED_VALUE"""),196.95)</f>
        <v>196.95</v>
      </c>
      <c r="D80" s="6">
        <f>IFERROR(__xludf.DUMMYFUNCTION("""COMPUTED_VALUE"""),188.83)</f>
        <v>188.83</v>
      </c>
      <c r="E80" s="6">
        <f>IFERROR(__xludf.DUMMYFUNCTION("""COMPUTED_VALUE"""),195.0)</f>
        <v>195</v>
      </c>
      <c r="F80" s="6">
        <f>IFERROR(__xludf.DUMMYFUNCTION("""COMPUTED_VALUE"""),2.6713331E7)</f>
        <v>26713331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IFERROR(__xludf.DUMMYFUNCTION("""COMPUTED_VALUE"""),188.3)</f>
        <v>188.3</v>
      </c>
      <c r="C81" s="6">
        <f>IFERROR(__xludf.DUMMYFUNCTION("""COMPUTED_VALUE"""),194.64)</f>
        <v>194.64</v>
      </c>
      <c r="D81" s="6">
        <f>IFERROR(__xludf.DUMMYFUNCTION("""COMPUTED_VALUE"""),186.51)</f>
        <v>186.51</v>
      </c>
      <c r="E81" s="6">
        <f>IFERROR(__xludf.DUMMYFUNCTION("""COMPUTED_VALUE"""),190.44)</f>
        <v>190.44</v>
      </c>
      <c r="F81" s="6">
        <f>IFERROR(__xludf.DUMMYFUNCTION("""COMPUTED_VALUE"""),3.6612592E7)</f>
        <v>36612592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IFERROR(__xludf.DUMMYFUNCTION("""COMPUTED_VALUE"""),193.0)</f>
        <v>193</v>
      </c>
      <c r="C82" s="6">
        <f>IFERROR(__xludf.DUMMYFUNCTION("""COMPUTED_VALUE"""),196.2)</f>
        <v>196.2</v>
      </c>
      <c r="D82" s="6">
        <f>IFERROR(__xludf.DUMMYFUNCTION("""COMPUTED_VALUE"""),189.0)</f>
        <v>189</v>
      </c>
      <c r="E82" s="6">
        <f>IFERROR(__xludf.DUMMYFUNCTION("""COMPUTED_VALUE"""),194.85)</f>
        <v>194.85</v>
      </c>
      <c r="F82" s="6">
        <f>IFERROR(__xludf.DUMMYFUNCTION("""COMPUTED_VALUE"""),2.5894359E7)</f>
        <v>25894359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IFERROR(__xludf.DUMMYFUNCTION("""COMPUTED_VALUE"""),196.0)</f>
        <v>196</v>
      </c>
      <c r="C83" s="6">
        <f>IFERROR(__xludf.DUMMYFUNCTION("""COMPUTED_VALUE"""),205.5)</f>
        <v>205.5</v>
      </c>
      <c r="D83" s="6">
        <f>IFERROR(__xludf.DUMMYFUNCTION("""COMPUTED_VALUE"""),195.0)</f>
        <v>195</v>
      </c>
      <c r="E83" s="6">
        <f>IFERROR(__xludf.DUMMYFUNCTION("""COMPUTED_VALUE"""),196.49)</f>
        <v>196.49</v>
      </c>
      <c r="F83" s="6">
        <f>IFERROR(__xludf.DUMMYFUNCTION("""COMPUTED_VALUE"""),6.4763901E7)</f>
        <v>64763901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IFERROR(__xludf.DUMMYFUNCTION("""COMPUTED_VALUE"""),197.74)</f>
        <v>197.74</v>
      </c>
      <c r="C84" s="6">
        <f>IFERROR(__xludf.DUMMYFUNCTION("""COMPUTED_VALUE"""),205.4)</f>
        <v>205.4</v>
      </c>
      <c r="D84" s="6">
        <f>IFERROR(__xludf.DUMMYFUNCTION("""COMPUTED_VALUE"""),187.85)</f>
        <v>187.85</v>
      </c>
      <c r="E84" s="6">
        <f>IFERROR(__xludf.DUMMYFUNCTION("""COMPUTED_VALUE"""),189.68)</f>
        <v>189.68</v>
      </c>
      <c r="F84" s="6">
        <f>IFERROR(__xludf.DUMMYFUNCTION("""COMPUTED_VALUE"""),4.977217E7)</f>
        <v>49772170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IFERROR(__xludf.DUMMYFUNCTION("""COMPUTED_VALUE"""),190.9)</f>
        <v>190.9</v>
      </c>
      <c r="C85" s="6">
        <f>IFERROR(__xludf.DUMMYFUNCTION("""COMPUTED_VALUE"""),192.67)</f>
        <v>192.67</v>
      </c>
      <c r="D85" s="6">
        <f>IFERROR(__xludf.DUMMYFUNCTION("""COMPUTED_VALUE"""),183.15)</f>
        <v>183.15</v>
      </c>
      <c r="E85" s="6">
        <f>IFERROR(__xludf.DUMMYFUNCTION("""COMPUTED_VALUE"""),187.38)</f>
        <v>187.38</v>
      </c>
      <c r="F85" s="6">
        <f>IFERROR(__xludf.DUMMYFUNCTION("""COMPUTED_VALUE"""),3.2682169E7)</f>
        <v>32682169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IFERROR(__xludf.DUMMYFUNCTION("""COMPUTED_VALUE"""),191.0)</f>
        <v>191</v>
      </c>
      <c r="C86" s="6">
        <f>IFERROR(__xludf.DUMMYFUNCTION("""COMPUTED_VALUE"""),201.55)</f>
        <v>201.55</v>
      </c>
      <c r="D86" s="6">
        <f>IFERROR(__xludf.DUMMYFUNCTION("""COMPUTED_VALUE"""),190.13)</f>
        <v>190.13</v>
      </c>
      <c r="E86" s="6">
        <f>IFERROR(__xludf.DUMMYFUNCTION("""COMPUTED_VALUE"""),199.03)</f>
        <v>199.03</v>
      </c>
      <c r="F86" s="6">
        <f>IFERROR(__xludf.DUMMYFUNCTION("""COMPUTED_VALUE"""),2.6552612E7)</f>
        <v>26552612</v>
      </c>
    </row>
    <row r="87">
      <c r="A87" s="7">
        <f>IFERROR(__xludf.DUMMYFUNCTION("""COMPUTED_VALUE"""),45800.64583333333)</f>
        <v>45800.64583</v>
      </c>
      <c r="B87" s="6">
        <f>IFERROR(__xludf.DUMMYFUNCTION("""COMPUTED_VALUE"""),201.05)</f>
        <v>201.05</v>
      </c>
      <c r="C87" s="6">
        <f>IFERROR(__xludf.DUMMYFUNCTION("""COMPUTED_VALUE"""),204.55)</f>
        <v>204.55</v>
      </c>
      <c r="D87" s="6">
        <f>IFERROR(__xludf.DUMMYFUNCTION("""COMPUTED_VALUE"""),197.3)</f>
        <v>197.3</v>
      </c>
      <c r="E87" s="6">
        <f>IFERROR(__xludf.DUMMYFUNCTION("""COMPUTED_VALUE"""),203.43)</f>
        <v>203.43</v>
      </c>
      <c r="F87" s="6">
        <f>IFERROR(__xludf.DUMMYFUNCTION("""COMPUTED_VALUE"""),4.4162305E7)</f>
        <v>44162305</v>
      </c>
    </row>
    <row r="88">
      <c r="A88" s="7">
        <f>IFERROR(__xludf.DUMMYFUNCTION("""COMPUTED_VALUE"""),45807.64583333333)</f>
        <v>45807.64583</v>
      </c>
      <c r="B88" s="6">
        <f>IFERROR(__xludf.DUMMYFUNCTION("""COMPUTED_VALUE"""),204.2)</f>
        <v>204.2</v>
      </c>
      <c r="C88" s="6">
        <f>IFERROR(__xludf.DUMMYFUNCTION("""COMPUTED_VALUE"""),204.59)</f>
        <v>204.59</v>
      </c>
      <c r="D88" s="6">
        <f>IFERROR(__xludf.DUMMYFUNCTION("""COMPUTED_VALUE"""),199.6)</f>
        <v>199.6</v>
      </c>
      <c r="E88" s="6">
        <f>IFERROR(__xludf.DUMMYFUNCTION("""COMPUTED_VALUE"""),202.06)</f>
        <v>202.06</v>
      </c>
      <c r="F88" s="6">
        <f>IFERROR(__xludf.DUMMYFUNCTION("""COMPUTED_VALUE"""),5.5279877E7)</f>
        <v>55279877</v>
      </c>
    </row>
    <row r="89">
      <c r="A89" s="7">
        <f>IFERROR(__xludf.DUMMYFUNCTION("""COMPUTED_VALUE"""),45814.64583333333)</f>
        <v>45814.64583</v>
      </c>
      <c r="B89" s="6">
        <f>IFERROR(__xludf.DUMMYFUNCTION("""COMPUTED_VALUE"""),202.2)</f>
        <v>202.2</v>
      </c>
      <c r="C89" s="6">
        <f>IFERROR(__xludf.DUMMYFUNCTION("""COMPUTED_VALUE"""),213.44)</f>
        <v>213.44</v>
      </c>
      <c r="D89" s="6">
        <f>IFERROR(__xludf.DUMMYFUNCTION("""COMPUTED_VALUE"""),201.71)</f>
        <v>201.71</v>
      </c>
      <c r="E89" s="6">
        <f>IFERROR(__xludf.DUMMYFUNCTION("""COMPUTED_VALUE"""),207.78)</f>
        <v>207.78</v>
      </c>
      <c r="F89" s="6">
        <f>IFERROR(__xludf.DUMMYFUNCTION("""COMPUTED_VALUE"""),7.3041613E7)</f>
        <v>73041613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IFERROR(__xludf.DUMMYFUNCTION("""COMPUTED_VALUE"""),208.99)</f>
        <v>208.99</v>
      </c>
      <c r="C90" s="6">
        <f>IFERROR(__xludf.DUMMYFUNCTION("""COMPUTED_VALUE"""),214.45)</f>
        <v>214.45</v>
      </c>
      <c r="D90" s="6">
        <f>IFERROR(__xludf.DUMMYFUNCTION("""COMPUTED_VALUE"""),203.13)</f>
        <v>203.13</v>
      </c>
      <c r="E90" s="6">
        <f>IFERROR(__xludf.DUMMYFUNCTION("""COMPUTED_VALUE"""),205.3)</f>
        <v>205.3</v>
      </c>
      <c r="F90" s="6">
        <f>IFERROR(__xludf.DUMMYFUNCTION("""COMPUTED_VALUE"""),3.7539716E7)</f>
        <v>37539716</v>
      </c>
    </row>
    <row r="91">
      <c r="A91" s="7">
        <f>IFERROR(__xludf.DUMMYFUNCTION("""COMPUTED_VALUE"""),45828.64583333333)</f>
        <v>45828.64583</v>
      </c>
      <c r="B91" s="6">
        <f>IFERROR(__xludf.DUMMYFUNCTION("""COMPUTED_VALUE"""),205.3)</f>
        <v>205.3</v>
      </c>
      <c r="C91" s="6">
        <f>IFERROR(__xludf.DUMMYFUNCTION("""COMPUTED_VALUE"""),209.53)</f>
        <v>209.53</v>
      </c>
      <c r="D91" s="6">
        <f>IFERROR(__xludf.DUMMYFUNCTION("""COMPUTED_VALUE"""),202.34)</f>
        <v>202.34</v>
      </c>
      <c r="E91" s="6">
        <f>IFERROR(__xludf.DUMMYFUNCTION("""COMPUTED_VALUE"""),207.51)</f>
        <v>207.51</v>
      </c>
      <c r="F91" s="6">
        <f>IFERROR(__xludf.DUMMYFUNCTION("""COMPUTED_VALUE"""),4.076063E7)</f>
        <v>40760630</v>
      </c>
    </row>
    <row r="92">
      <c r="A92" s="7">
        <f>IFERROR(__xludf.DUMMYFUNCTION("""COMPUTED_VALUE"""),45835.64583333333)</f>
        <v>45835.64583</v>
      </c>
      <c r="B92" s="6">
        <f>IFERROR(__xludf.DUMMYFUNCTION("""COMPUTED_VALUE"""),205.33)</f>
        <v>205.33</v>
      </c>
      <c r="C92" s="6">
        <f>IFERROR(__xludf.DUMMYFUNCTION("""COMPUTED_VALUE"""),211.68)</f>
        <v>211.68</v>
      </c>
      <c r="D92" s="6">
        <f>IFERROR(__xludf.DUMMYFUNCTION("""COMPUTED_VALUE"""),205.33)</f>
        <v>205.33</v>
      </c>
      <c r="E92" s="6">
        <f>IFERROR(__xludf.DUMMYFUNCTION("""COMPUTED_VALUE"""),208.39)</f>
        <v>208.39</v>
      </c>
      <c r="F92" s="6">
        <f>IFERROR(__xludf.DUMMYFUNCTION("""COMPUTED_VALUE"""),6.0919255E7)</f>
        <v>60919255</v>
      </c>
    </row>
    <row r="93">
      <c r="A93" s="7">
        <f>IFERROR(__xludf.DUMMYFUNCTION("""COMPUTED_VALUE"""),45842.64583333333)</f>
        <v>45842.64583</v>
      </c>
      <c r="B93" s="6">
        <f>IFERROR(__xludf.DUMMYFUNCTION("""COMPUTED_VALUE"""),211.5)</f>
        <v>211.5</v>
      </c>
      <c r="C93" s="6">
        <f>IFERROR(__xludf.DUMMYFUNCTION("""COMPUTED_VALUE"""),220.0)</f>
        <v>220</v>
      </c>
      <c r="D93" s="6">
        <f>IFERROR(__xludf.DUMMYFUNCTION("""COMPUTED_VALUE"""),210.01)</f>
        <v>210.01</v>
      </c>
      <c r="E93" s="6">
        <f>IFERROR(__xludf.DUMMYFUNCTION("""COMPUTED_VALUE"""),215.32)</f>
        <v>215.32</v>
      </c>
      <c r="F93" s="6">
        <f>IFERROR(__xludf.DUMMYFUNCTION("""COMPUTED_VALUE"""),5.1829321E7)</f>
        <v>51829321</v>
      </c>
    </row>
    <row r="94">
      <c r="A94" s="7">
        <f>IFERROR(__xludf.DUMMYFUNCTION("""COMPUTED_VALUE"""),45849.64583333333)</f>
        <v>45849.64583</v>
      </c>
      <c r="B94" s="6">
        <f>IFERROR(__xludf.DUMMYFUNCTION("""COMPUTED_VALUE"""),215.51)</f>
        <v>215.51</v>
      </c>
      <c r="C94" s="6">
        <f>IFERROR(__xludf.DUMMYFUNCTION("""COMPUTED_VALUE"""),217.2)</f>
        <v>217.2</v>
      </c>
      <c r="D94" s="6">
        <f>IFERROR(__xludf.DUMMYFUNCTION("""COMPUTED_VALUE"""),206.76)</f>
        <v>206.76</v>
      </c>
      <c r="E94" s="6">
        <f>IFERROR(__xludf.DUMMYFUNCTION("""COMPUTED_VALUE"""),207.38)</f>
        <v>207.38</v>
      </c>
      <c r="F94" s="6">
        <f>IFERROR(__xludf.DUMMYFUNCTION("""COMPUTED_VALUE"""),2.2595213E7)</f>
        <v>22595213</v>
      </c>
    </row>
    <row r="95">
      <c r="A95" s="7">
        <f>IFERROR(__xludf.DUMMYFUNCTION("""COMPUTED_VALUE"""),45856.64583333333)</f>
        <v>45856.64583</v>
      </c>
      <c r="B95" s="6">
        <f>IFERROR(__xludf.DUMMYFUNCTION("""COMPUTED_VALUE"""),207.0)</f>
        <v>207</v>
      </c>
      <c r="C95" s="6">
        <f>IFERROR(__xludf.DUMMYFUNCTION("""COMPUTED_VALUE"""),216.8)</f>
        <v>216.8</v>
      </c>
      <c r="D95" s="6">
        <f>IFERROR(__xludf.DUMMYFUNCTION("""COMPUTED_VALUE"""),206.39)</f>
        <v>206.39</v>
      </c>
      <c r="E95" s="6">
        <f>IFERROR(__xludf.DUMMYFUNCTION("""COMPUTED_VALUE"""),212.47)</f>
        <v>212.47</v>
      </c>
      <c r="F95" s="6">
        <f>IFERROR(__xludf.DUMMYFUNCTION("""COMPUTED_VALUE"""),3.1077242E7)</f>
        <v>31077242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IFERROR(__xludf.DUMMYFUNCTION("""COMPUTED_VALUE"""),212.45)</f>
        <v>212.45</v>
      </c>
      <c r="C96" s="6">
        <f>IFERROR(__xludf.DUMMYFUNCTION("""COMPUTED_VALUE"""),215.18)</f>
        <v>215.18</v>
      </c>
      <c r="D96" s="6">
        <f>IFERROR(__xludf.DUMMYFUNCTION("""COMPUTED_VALUE"""),207.25)</f>
        <v>207.25</v>
      </c>
      <c r="E96" s="6">
        <f>IFERROR(__xludf.DUMMYFUNCTION("""COMPUTED_VALUE"""),208.14)</f>
        <v>208.14</v>
      </c>
      <c r="F96" s="6">
        <f>IFERROR(__xludf.DUMMYFUNCTION("""COMPUTED_VALUE"""),2.8423469E7)</f>
        <v>28423469</v>
      </c>
    </row>
    <row r="97">
      <c r="A97" s="7">
        <f>IFERROR(__xludf.DUMMYFUNCTION("""COMPUTED_VALUE"""),45870.64583333333)</f>
        <v>45870.64583</v>
      </c>
      <c r="B97" s="6">
        <f>IFERROR(__xludf.DUMMYFUNCTION("""COMPUTED_VALUE"""),207.9)</f>
        <v>207.9</v>
      </c>
      <c r="C97" s="6">
        <f>IFERROR(__xludf.DUMMYFUNCTION("""COMPUTED_VALUE"""),210.43)</f>
        <v>210.43</v>
      </c>
      <c r="D97" s="6">
        <f>IFERROR(__xludf.DUMMYFUNCTION("""COMPUTED_VALUE"""),194.41)</f>
        <v>194.41</v>
      </c>
      <c r="E97" s="6">
        <f>IFERROR(__xludf.DUMMYFUNCTION("""COMPUTED_VALUE"""),196.06)</f>
        <v>196.06</v>
      </c>
      <c r="F97" s="6">
        <f>IFERROR(__xludf.DUMMYFUNCTION("""COMPUTED_VALUE"""),4.3992625E7)</f>
        <v>43992625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IFERROR(__xludf.DUMMYFUNCTION("""COMPUTED_VALUE"""),185.8)</f>
        <v>185.8</v>
      </c>
      <c r="C98" s="6">
        <f>IFERROR(__xludf.DUMMYFUNCTION("""COMPUTED_VALUE"""),199.73)</f>
        <v>199.73</v>
      </c>
      <c r="D98" s="6">
        <f>IFERROR(__xludf.DUMMYFUNCTION("""COMPUTED_VALUE"""),185.11)</f>
        <v>185.11</v>
      </c>
      <c r="E98" s="6">
        <f>IFERROR(__xludf.DUMMYFUNCTION("""COMPUTED_VALUE"""),196.35)</f>
        <v>196.35</v>
      </c>
      <c r="F98" s="6">
        <f>IFERROR(__xludf.DUMMYFUNCTION("""COMPUTED_VALUE"""),6.5740806E7)</f>
        <v>65740806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IFERROR(__xludf.DUMMYFUNCTION("""COMPUTED_VALUE"""),196.35)</f>
        <v>196.35</v>
      </c>
      <c r="C99" s="6">
        <f>IFERROR(__xludf.DUMMYFUNCTION("""COMPUTED_VALUE"""),198.0)</f>
        <v>198</v>
      </c>
      <c r="D99" s="6">
        <f>IFERROR(__xludf.DUMMYFUNCTION("""COMPUTED_VALUE"""),194.99)</f>
        <v>194.99</v>
      </c>
      <c r="E99" s="6">
        <f>IFERROR(__xludf.DUMMYFUNCTION("""COMPUTED_VALUE"""),195.86)</f>
        <v>195.86</v>
      </c>
      <c r="F99" s="6">
        <f>IFERROR(__xludf.DUMMYFUNCTION("""COMPUTED_VALUE"""),2.2952465E7)</f>
        <v>22952465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IFERROR(__xludf.DUMMYFUNCTION("""COMPUTED_VALUE"""),197.4)</f>
        <v>197.4</v>
      </c>
      <c r="C100" s="6">
        <f>IFERROR(__xludf.DUMMYFUNCTION("""COMPUTED_VALUE"""),201.24)</f>
        <v>201.24</v>
      </c>
      <c r="D100" s="6">
        <f>IFERROR(__xludf.DUMMYFUNCTION("""COMPUTED_VALUE"""),194.84)</f>
        <v>194.84</v>
      </c>
      <c r="E100" s="6">
        <f>IFERROR(__xludf.DUMMYFUNCTION("""COMPUTED_VALUE"""),196.34)</f>
        <v>196.34</v>
      </c>
      <c r="F100" s="6">
        <f>IFERROR(__xludf.DUMMYFUNCTION("""COMPUTED_VALUE"""),2.5366458E7)</f>
        <v>25366458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IFERROR(__xludf.DUMMYFUNCTION("""COMPUTED_VALUE"""),196.34)</f>
        <v>196.34</v>
      </c>
      <c r="C101" s="6">
        <f>IFERROR(__xludf.DUMMYFUNCTION("""COMPUTED_VALUE"""),197.9)</f>
        <v>197.9</v>
      </c>
      <c r="D101" s="6">
        <f>IFERROR(__xludf.DUMMYFUNCTION("""COMPUTED_VALUE"""),191.91)</f>
        <v>191.91</v>
      </c>
      <c r="E101" s="6">
        <f>IFERROR(__xludf.DUMMYFUNCTION("""COMPUTED_VALUE"""),192.46)</f>
        <v>192.46</v>
      </c>
      <c r="F101" s="6">
        <f>IFERROR(__xludf.DUMMYFUNCTION("""COMPUTED_VALUE"""),1.04044682E8)</f>
        <v>104044682</v>
      </c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IFERROR(__xludf.DUMMYFUNCTION("GOOGLEFINANCE(""NSE:GAIL"",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IFERROR(__xludf.DUMMYFUNCTION("""COMPUTED_VALUE"""),116.3)</f>
        <v>116.3</v>
      </c>
      <c r="C2" s="6">
        <f>IFERROR(__xludf.DUMMYFUNCTION("""COMPUTED_VALUE"""),122.3)</f>
        <v>122.3</v>
      </c>
      <c r="D2" s="6">
        <f>IFERROR(__xludf.DUMMYFUNCTION("""COMPUTED_VALUE"""),114.75)</f>
        <v>114.75</v>
      </c>
      <c r="E2" s="6">
        <f>IFERROR(__xludf.DUMMYFUNCTION("""COMPUTED_VALUE"""),121.35)</f>
        <v>121.35</v>
      </c>
      <c r="F2" s="6">
        <f>IFERROR(__xludf.DUMMYFUNCTION("""COMPUTED_VALUE"""),6.9478031E7)</f>
        <v>69478031</v>
      </c>
    </row>
    <row r="3">
      <c r="A3" s="7">
        <f>IFERROR(__xludf.DUMMYFUNCTION("""COMPUTED_VALUE"""),45177.64583333333)</f>
        <v>45177.64583</v>
      </c>
      <c r="B3" s="6">
        <f>IFERROR(__xludf.DUMMYFUNCTION("""COMPUTED_VALUE"""),122.7)</f>
        <v>122.7</v>
      </c>
      <c r="C3" s="6">
        <f>IFERROR(__xludf.DUMMYFUNCTION("""COMPUTED_VALUE"""),128.85)</f>
        <v>128.85</v>
      </c>
      <c r="D3" s="6">
        <f>IFERROR(__xludf.DUMMYFUNCTION("""COMPUTED_VALUE"""),121.3)</f>
        <v>121.3</v>
      </c>
      <c r="E3" s="6">
        <f>IFERROR(__xludf.DUMMYFUNCTION("""COMPUTED_VALUE"""),128.05)</f>
        <v>128.05</v>
      </c>
      <c r="F3" s="6">
        <f>IFERROR(__xludf.DUMMYFUNCTION("""COMPUTED_VALUE"""),1.21580589E8)</f>
        <v>121580589</v>
      </c>
    </row>
    <row r="4">
      <c r="A4" s="7">
        <f>IFERROR(__xludf.DUMMYFUNCTION("""COMPUTED_VALUE"""),45184.64583333333)</f>
        <v>45184.64583</v>
      </c>
      <c r="B4" s="6">
        <f>IFERROR(__xludf.DUMMYFUNCTION("""COMPUTED_VALUE"""),128.95)</f>
        <v>128.95</v>
      </c>
      <c r="C4" s="6">
        <f>IFERROR(__xludf.DUMMYFUNCTION("""COMPUTED_VALUE"""),129.55)</f>
        <v>129.55</v>
      </c>
      <c r="D4" s="6">
        <f>IFERROR(__xludf.DUMMYFUNCTION("""COMPUTED_VALUE"""),120.8)</f>
        <v>120.8</v>
      </c>
      <c r="E4" s="6">
        <f>IFERROR(__xludf.DUMMYFUNCTION("""COMPUTED_VALUE"""),123.85)</f>
        <v>123.85</v>
      </c>
      <c r="F4" s="6">
        <f>IFERROR(__xludf.DUMMYFUNCTION("""COMPUTED_VALUE"""),8.2342457E7)</f>
        <v>82342457</v>
      </c>
    </row>
    <row r="5">
      <c r="A5" s="7">
        <f>IFERROR(__xludf.DUMMYFUNCTION("""COMPUTED_VALUE"""),45191.64583333333)</f>
        <v>45191.64583</v>
      </c>
      <c r="B5" s="6">
        <f>IFERROR(__xludf.DUMMYFUNCTION("""COMPUTED_VALUE"""),124.4)</f>
        <v>124.4</v>
      </c>
      <c r="C5" s="6">
        <f>IFERROR(__xludf.DUMMYFUNCTION("""COMPUTED_VALUE"""),125.8)</f>
        <v>125.8</v>
      </c>
      <c r="D5" s="6">
        <f>IFERROR(__xludf.DUMMYFUNCTION("""COMPUTED_VALUE"""),120.95)</f>
        <v>120.95</v>
      </c>
      <c r="E5" s="6">
        <f>IFERROR(__xludf.DUMMYFUNCTION("""COMPUTED_VALUE"""),121.65)</f>
        <v>121.65</v>
      </c>
      <c r="F5" s="6">
        <f>IFERROR(__xludf.DUMMYFUNCTION("""COMPUTED_VALUE"""),5.39296E7)</f>
        <v>53929600</v>
      </c>
    </row>
    <row r="6">
      <c r="A6" s="7">
        <f>IFERROR(__xludf.DUMMYFUNCTION("""COMPUTED_VALUE"""),45198.64583333333)</f>
        <v>45198.64583</v>
      </c>
      <c r="B6" s="6">
        <f>IFERROR(__xludf.DUMMYFUNCTION("""COMPUTED_VALUE"""),121.8)</f>
        <v>121.8</v>
      </c>
      <c r="C6" s="6">
        <f>IFERROR(__xludf.DUMMYFUNCTION("""COMPUTED_VALUE"""),125.0)</f>
        <v>125</v>
      </c>
      <c r="D6" s="6">
        <f>IFERROR(__xludf.DUMMYFUNCTION("""COMPUTED_VALUE"""),120.0)</f>
        <v>120</v>
      </c>
      <c r="E6" s="6">
        <f>IFERROR(__xludf.DUMMYFUNCTION("""COMPUTED_VALUE"""),124.4)</f>
        <v>124.4</v>
      </c>
      <c r="F6" s="6">
        <f>IFERROR(__xludf.DUMMYFUNCTION("""COMPUTED_VALUE"""),4.8792178E7)</f>
        <v>48792178</v>
      </c>
    </row>
    <row r="7">
      <c r="A7" s="7">
        <f>IFERROR(__xludf.DUMMYFUNCTION("""COMPUTED_VALUE"""),45205.64583333333)</f>
        <v>45205.64583</v>
      </c>
      <c r="B7" s="6">
        <f>IFERROR(__xludf.DUMMYFUNCTION("""COMPUTED_VALUE"""),124.4)</f>
        <v>124.4</v>
      </c>
      <c r="C7" s="6">
        <f>IFERROR(__xludf.DUMMYFUNCTION("""COMPUTED_VALUE"""),126.05)</f>
        <v>126.05</v>
      </c>
      <c r="D7" s="6">
        <f>IFERROR(__xludf.DUMMYFUNCTION("""COMPUTED_VALUE"""),120.15)</f>
        <v>120.15</v>
      </c>
      <c r="E7" s="6">
        <f>IFERROR(__xludf.DUMMYFUNCTION("""COMPUTED_VALUE"""),124.6)</f>
        <v>124.6</v>
      </c>
      <c r="F7" s="6">
        <f>IFERROR(__xludf.DUMMYFUNCTION("""COMPUTED_VALUE"""),4.9232932E7)</f>
        <v>49232932</v>
      </c>
    </row>
    <row r="8">
      <c r="A8" s="7">
        <f>IFERROR(__xludf.DUMMYFUNCTION("""COMPUTED_VALUE"""),45212.64583333333)</f>
        <v>45212.64583</v>
      </c>
      <c r="B8" s="6">
        <f>IFERROR(__xludf.DUMMYFUNCTION("""COMPUTED_VALUE"""),122.4)</f>
        <v>122.4</v>
      </c>
      <c r="C8" s="6">
        <f>IFERROR(__xludf.DUMMYFUNCTION("""COMPUTED_VALUE"""),132.15)</f>
        <v>132.15</v>
      </c>
      <c r="D8" s="6">
        <f>IFERROR(__xludf.DUMMYFUNCTION("""COMPUTED_VALUE"""),120.9)</f>
        <v>120.9</v>
      </c>
      <c r="E8" s="6">
        <f>IFERROR(__xludf.DUMMYFUNCTION("""COMPUTED_VALUE"""),128.25)</f>
        <v>128.25</v>
      </c>
      <c r="F8" s="6">
        <f>IFERROR(__xludf.DUMMYFUNCTION("""COMPUTED_VALUE"""),1.11320277E8)</f>
        <v>111320277</v>
      </c>
    </row>
    <row r="9">
      <c r="A9" s="7">
        <f>IFERROR(__xludf.DUMMYFUNCTION("""COMPUTED_VALUE"""),45219.64583333333)</f>
        <v>45219.64583</v>
      </c>
      <c r="B9" s="6">
        <f>IFERROR(__xludf.DUMMYFUNCTION("""COMPUTED_VALUE"""),128.4)</f>
        <v>128.4</v>
      </c>
      <c r="C9" s="6">
        <f>IFERROR(__xludf.DUMMYFUNCTION("""COMPUTED_VALUE"""),132.45)</f>
        <v>132.45</v>
      </c>
      <c r="D9" s="6">
        <f>IFERROR(__xludf.DUMMYFUNCTION("""COMPUTED_VALUE"""),123.25)</f>
        <v>123.25</v>
      </c>
      <c r="E9" s="6">
        <f>IFERROR(__xludf.DUMMYFUNCTION("""COMPUTED_VALUE"""),125.05)</f>
        <v>125.05</v>
      </c>
      <c r="F9" s="6">
        <f>IFERROR(__xludf.DUMMYFUNCTION("""COMPUTED_VALUE"""),1.10991539E8)</f>
        <v>110991539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IFERROR(__xludf.DUMMYFUNCTION("""COMPUTED_VALUE"""),125.0)</f>
        <v>125</v>
      </c>
      <c r="C10" s="6">
        <f>IFERROR(__xludf.DUMMYFUNCTION("""COMPUTED_VALUE"""),125.4)</f>
        <v>125.4</v>
      </c>
      <c r="D10" s="6">
        <f>IFERROR(__xludf.DUMMYFUNCTION("""COMPUTED_VALUE"""),116.85)</f>
        <v>116.85</v>
      </c>
      <c r="E10" s="6">
        <f>IFERROR(__xludf.DUMMYFUNCTION("""COMPUTED_VALUE"""),118.25)</f>
        <v>118.25</v>
      </c>
      <c r="F10" s="6">
        <f>IFERROR(__xludf.DUMMYFUNCTION("""COMPUTED_VALUE"""),4.9667311E7)</f>
        <v>49667311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IFERROR(__xludf.DUMMYFUNCTION("""COMPUTED_VALUE"""),118.75)</f>
        <v>118.75</v>
      </c>
      <c r="C11" s="6">
        <f>IFERROR(__xludf.DUMMYFUNCTION("""COMPUTED_VALUE"""),124.2)</f>
        <v>124.2</v>
      </c>
      <c r="D11" s="6">
        <f>IFERROR(__xludf.DUMMYFUNCTION("""COMPUTED_VALUE"""),116.15)</f>
        <v>116.15</v>
      </c>
      <c r="E11" s="6">
        <f>IFERROR(__xludf.DUMMYFUNCTION("""COMPUTED_VALUE"""),123.75)</f>
        <v>123.75</v>
      </c>
      <c r="F11" s="6">
        <f>IFERROR(__xludf.DUMMYFUNCTION("""COMPUTED_VALUE"""),8.6774493E7)</f>
        <v>86774493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IFERROR(__xludf.DUMMYFUNCTION("""COMPUTED_VALUE"""),124.7)</f>
        <v>124.7</v>
      </c>
      <c r="C12" s="6">
        <f>IFERROR(__xludf.DUMMYFUNCTION("""COMPUTED_VALUE"""),125.9)</f>
        <v>125.9</v>
      </c>
      <c r="D12" s="6">
        <f>IFERROR(__xludf.DUMMYFUNCTION("""COMPUTED_VALUE"""),122.9)</f>
        <v>122.9</v>
      </c>
      <c r="E12" s="6">
        <f>IFERROR(__xludf.DUMMYFUNCTION("""COMPUTED_VALUE"""),125.6)</f>
        <v>125.6</v>
      </c>
      <c r="F12" s="6">
        <f>IFERROR(__xludf.DUMMYFUNCTION("""COMPUTED_VALUE"""),3.5210513E7)</f>
        <v>35210513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IFERROR(__xludf.DUMMYFUNCTION("""COMPUTED_VALUE"""),126.0)</f>
        <v>126</v>
      </c>
      <c r="C13" s="6">
        <f>IFERROR(__xludf.DUMMYFUNCTION("""COMPUTED_VALUE"""),129.05)</f>
        <v>129.05</v>
      </c>
      <c r="D13" s="6">
        <f>IFERROR(__xludf.DUMMYFUNCTION("""COMPUTED_VALUE"""),124.8)</f>
        <v>124.8</v>
      </c>
      <c r="E13" s="6">
        <f>IFERROR(__xludf.DUMMYFUNCTION("""COMPUTED_VALUE"""),126.25)</f>
        <v>126.25</v>
      </c>
      <c r="F13" s="6">
        <f>IFERROR(__xludf.DUMMYFUNCTION("""COMPUTED_VALUE"""),3.7608215E7)</f>
        <v>37608215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IFERROR(__xludf.DUMMYFUNCTION("""COMPUTED_VALUE"""),125.65)</f>
        <v>125.65</v>
      </c>
      <c r="C14" s="6">
        <f>IFERROR(__xludf.DUMMYFUNCTION("""COMPUTED_VALUE"""),126.45)</f>
        <v>126.45</v>
      </c>
      <c r="D14" s="6">
        <f>IFERROR(__xludf.DUMMYFUNCTION("""COMPUTED_VALUE"""),122.9)</f>
        <v>122.9</v>
      </c>
      <c r="E14" s="6">
        <f>IFERROR(__xludf.DUMMYFUNCTION("""COMPUTED_VALUE"""),124.5)</f>
        <v>124.5</v>
      </c>
      <c r="F14" s="6">
        <f>IFERROR(__xludf.DUMMYFUNCTION("""COMPUTED_VALUE"""),3.3036726E7)</f>
        <v>33036726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IFERROR(__xludf.DUMMYFUNCTION("""COMPUTED_VALUE"""),124.55)</f>
        <v>124.55</v>
      </c>
      <c r="C15" s="6">
        <f>IFERROR(__xludf.DUMMYFUNCTION("""COMPUTED_VALUE"""),137.35)</f>
        <v>137.35</v>
      </c>
      <c r="D15" s="6">
        <f>IFERROR(__xludf.DUMMYFUNCTION("""COMPUTED_VALUE"""),123.65)</f>
        <v>123.65</v>
      </c>
      <c r="E15" s="6">
        <f>IFERROR(__xludf.DUMMYFUNCTION("""COMPUTED_VALUE"""),136.05)</f>
        <v>136.05</v>
      </c>
      <c r="F15" s="6">
        <f>IFERROR(__xludf.DUMMYFUNCTION("""COMPUTED_VALUE"""),1.73498194E8)</f>
        <v>173498194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IFERROR(__xludf.DUMMYFUNCTION("""COMPUTED_VALUE"""),139.0)</f>
        <v>139</v>
      </c>
      <c r="C16" s="6">
        <f>IFERROR(__xludf.DUMMYFUNCTION("""COMPUTED_VALUE"""),145.1)</f>
        <v>145.1</v>
      </c>
      <c r="D16" s="6">
        <f>IFERROR(__xludf.DUMMYFUNCTION("""COMPUTED_VALUE"""),137.35)</f>
        <v>137.35</v>
      </c>
      <c r="E16" s="6">
        <f>IFERROR(__xludf.DUMMYFUNCTION("""COMPUTED_VALUE"""),140.35)</f>
        <v>140.35</v>
      </c>
      <c r="F16" s="6">
        <f>IFERROR(__xludf.DUMMYFUNCTION("""COMPUTED_VALUE"""),1.47562203E8)</f>
        <v>147562203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IFERROR(__xludf.DUMMYFUNCTION("""COMPUTED_VALUE"""),140.05)</f>
        <v>140.05</v>
      </c>
      <c r="C17" s="6">
        <f>IFERROR(__xludf.DUMMYFUNCTION("""COMPUTED_VALUE"""),149.15)</f>
        <v>149.15</v>
      </c>
      <c r="D17" s="6">
        <f>IFERROR(__xludf.DUMMYFUNCTION("""COMPUTED_VALUE"""),138.0)</f>
        <v>138</v>
      </c>
      <c r="E17" s="6">
        <f>IFERROR(__xludf.DUMMYFUNCTION("""COMPUTED_VALUE"""),145.85)</f>
        <v>145.85</v>
      </c>
      <c r="F17" s="6">
        <f>IFERROR(__xludf.DUMMYFUNCTION("""COMPUTED_VALUE"""),1.05434971E8)</f>
        <v>105434971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IFERROR(__xludf.DUMMYFUNCTION("""COMPUTED_VALUE"""),146.0)</f>
        <v>146</v>
      </c>
      <c r="C18" s="6">
        <f>IFERROR(__xludf.DUMMYFUNCTION("""COMPUTED_VALUE"""),153.15)</f>
        <v>153.15</v>
      </c>
      <c r="D18" s="6">
        <f>IFERROR(__xludf.DUMMYFUNCTION("""COMPUTED_VALUE"""),134.85)</f>
        <v>134.85</v>
      </c>
      <c r="E18" s="6">
        <f>IFERROR(__xludf.DUMMYFUNCTION("""COMPUTED_VALUE"""),151.5)</f>
        <v>151.5</v>
      </c>
      <c r="F18" s="6">
        <f>IFERROR(__xludf.DUMMYFUNCTION("""COMPUTED_VALUE"""),1.52525634E8)</f>
        <v>152525634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IFERROR(__xludf.DUMMYFUNCTION("""COMPUTED_VALUE"""),152.45)</f>
        <v>152.45</v>
      </c>
      <c r="C19" s="6">
        <f>IFERROR(__xludf.DUMMYFUNCTION("""COMPUTED_VALUE"""),164.3)</f>
        <v>164.3</v>
      </c>
      <c r="D19" s="6">
        <f>IFERROR(__xludf.DUMMYFUNCTION("""COMPUTED_VALUE"""),150.75)</f>
        <v>150.75</v>
      </c>
      <c r="E19" s="6">
        <f>IFERROR(__xludf.DUMMYFUNCTION("""COMPUTED_VALUE"""),162.1)</f>
        <v>162.1</v>
      </c>
      <c r="F19" s="6">
        <f>IFERROR(__xludf.DUMMYFUNCTION("""COMPUTED_VALUE"""),1.54267103E8)</f>
        <v>154267103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IFERROR(__xludf.DUMMYFUNCTION("""COMPUTED_VALUE"""),163.7)</f>
        <v>163.7</v>
      </c>
      <c r="C20" s="6">
        <f>IFERROR(__xludf.DUMMYFUNCTION("""COMPUTED_VALUE"""),169.35)</f>
        <v>169.35</v>
      </c>
      <c r="D20" s="6">
        <f>IFERROR(__xludf.DUMMYFUNCTION("""COMPUTED_VALUE"""),158.1)</f>
        <v>158.1</v>
      </c>
      <c r="E20" s="6">
        <f>IFERROR(__xludf.DUMMYFUNCTION("""COMPUTED_VALUE"""),163.65)</f>
        <v>163.65</v>
      </c>
      <c r="F20" s="6">
        <f>IFERROR(__xludf.DUMMYFUNCTION("""COMPUTED_VALUE"""),1.5707116E8)</f>
        <v>157071160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IFERROR(__xludf.DUMMYFUNCTION("""COMPUTED_VALUE"""),165.35)</f>
        <v>165.35</v>
      </c>
      <c r="C21" s="6">
        <f>IFERROR(__xludf.DUMMYFUNCTION("""COMPUTED_VALUE"""),165.35)</f>
        <v>165.35</v>
      </c>
      <c r="D21" s="6">
        <f>IFERROR(__xludf.DUMMYFUNCTION("""COMPUTED_VALUE"""),155.85)</f>
        <v>155.85</v>
      </c>
      <c r="E21" s="6">
        <f>IFERROR(__xludf.DUMMYFUNCTION("""COMPUTED_VALUE"""),162.4)</f>
        <v>162.4</v>
      </c>
      <c r="F21" s="6">
        <f>IFERROR(__xludf.DUMMYFUNCTION("""COMPUTED_VALUE"""),1.29368359E8)</f>
        <v>129368359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IFERROR(__xludf.DUMMYFUNCTION("""COMPUTED_VALUE"""),168.0)</f>
        <v>168</v>
      </c>
      <c r="C22" s="6">
        <f>IFERROR(__xludf.DUMMYFUNCTION("""COMPUTED_VALUE"""),168.3)</f>
        <v>168.3</v>
      </c>
      <c r="D22" s="6">
        <f>IFERROR(__xludf.DUMMYFUNCTION("""COMPUTED_VALUE"""),155.75)</f>
        <v>155.75</v>
      </c>
      <c r="E22" s="6">
        <f>IFERROR(__xludf.DUMMYFUNCTION("""COMPUTED_VALUE"""),165.4)</f>
        <v>165.4</v>
      </c>
      <c r="F22" s="6">
        <f>IFERROR(__xludf.DUMMYFUNCTION("""COMPUTED_VALUE"""),6.603601E7)</f>
        <v>66036010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IFERROR(__xludf.DUMMYFUNCTION("""COMPUTED_VALUE"""),167.95)</f>
        <v>167.95</v>
      </c>
      <c r="C23" s="6">
        <f>IFERROR(__xludf.DUMMYFUNCTION("""COMPUTED_VALUE"""),180.0)</f>
        <v>180</v>
      </c>
      <c r="D23" s="6">
        <f>IFERROR(__xludf.DUMMYFUNCTION("""COMPUTED_VALUE"""),165.5)</f>
        <v>165.5</v>
      </c>
      <c r="E23" s="6">
        <f>IFERROR(__xludf.DUMMYFUNCTION("""COMPUTED_VALUE"""),177.9)</f>
        <v>177.9</v>
      </c>
      <c r="F23" s="6">
        <f>IFERROR(__xludf.DUMMYFUNCTION("""COMPUTED_VALUE"""),2.18288788E8)</f>
        <v>218288788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IFERROR(__xludf.DUMMYFUNCTION("""COMPUTED_VALUE"""),180.0)</f>
        <v>180</v>
      </c>
      <c r="C24" s="6">
        <f>IFERROR(__xludf.DUMMYFUNCTION("""COMPUTED_VALUE"""),186.5)</f>
        <v>186.5</v>
      </c>
      <c r="D24" s="6">
        <f>IFERROR(__xludf.DUMMYFUNCTION("""COMPUTED_VALUE"""),168.15)</f>
        <v>168.15</v>
      </c>
      <c r="E24" s="6">
        <f>IFERROR(__xludf.DUMMYFUNCTION("""COMPUTED_VALUE"""),173.1)</f>
        <v>173.1</v>
      </c>
      <c r="F24" s="6">
        <f>IFERROR(__xludf.DUMMYFUNCTION("""COMPUTED_VALUE"""),1.78163692E8)</f>
        <v>178163692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IFERROR(__xludf.DUMMYFUNCTION("""COMPUTED_VALUE"""),173.1)</f>
        <v>173.1</v>
      </c>
      <c r="C25" s="6">
        <f>IFERROR(__xludf.DUMMYFUNCTION("""COMPUTED_VALUE"""),186.5)</f>
        <v>186.5</v>
      </c>
      <c r="D25" s="6">
        <f>IFERROR(__xludf.DUMMYFUNCTION("""COMPUTED_VALUE"""),166.35)</f>
        <v>166.35</v>
      </c>
      <c r="E25" s="6">
        <f>IFERROR(__xludf.DUMMYFUNCTION("""COMPUTED_VALUE"""),182.6)</f>
        <v>182.6</v>
      </c>
      <c r="F25" s="6">
        <f>IFERROR(__xludf.DUMMYFUNCTION("""COMPUTED_VALUE"""),1.10322245E8)</f>
        <v>110322245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IFERROR(__xludf.DUMMYFUNCTION("""COMPUTED_VALUE"""),183.0)</f>
        <v>183</v>
      </c>
      <c r="C26" s="6">
        <f>IFERROR(__xludf.DUMMYFUNCTION("""COMPUTED_VALUE"""),187.85)</f>
        <v>187.85</v>
      </c>
      <c r="D26" s="6">
        <f>IFERROR(__xludf.DUMMYFUNCTION("""COMPUTED_VALUE"""),177.7)</f>
        <v>177.7</v>
      </c>
      <c r="E26" s="6">
        <f>IFERROR(__xludf.DUMMYFUNCTION("""COMPUTED_VALUE"""),179.9)</f>
        <v>179.9</v>
      </c>
      <c r="F26" s="6">
        <f>IFERROR(__xludf.DUMMYFUNCTION("""COMPUTED_VALUE"""),6.5130767E7)</f>
        <v>65130767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IFERROR(__xludf.DUMMYFUNCTION("""COMPUTED_VALUE"""),186.0)</f>
        <v>186</v>
      </c>
      <c r="C27" s="6">
        <f>IFERROR(__xludf.DUMMYFUNCTION("""COMPUTED_VALUE"""),196.35)</f>
        <v>196.35</v>
      </c>
      <c r="D27" s="6">
        <f>IFERROR(__xludf.DUMMYFUNCTION("""COMPUTED_VALUE"""),185.0)</f>
        <v>185</v>
      </c>
      <c r="E27" s="6">
        <f>IFERROR(__xludf.DUMMYFUNCTION("""COMPUTED_VALUE"""),188.55)</f>
        <v>188.55</v>
      </c>
      <c r="F27" s="6">
        <f>IFERROR(__xludf.DUMMYFUNCTION("""COMPUTED_VALUE"""),1.07776341E8)</f>
        <v>107776341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IFERROR(__xludf.DUMMYFUNCTION("""COMPUTED_VALUE"""),188.0)</f>
        <v>188</v>
      </c>
      <c r="C28" s="6">
        <f>IFERROR(__xludf.DUMMYFUNCTION("""COMPUTED_VALUE"""),188.0)</f>
        <v>188</v>
      </c>
      <c r="D28" s="6">
        <f>IFERROR(__xludf.DUMMYFUNCTION("""COMPUTED_VALUE"""),165.55)</f>
        <v>165.55</v>
      </c>
      <c r="E28" s="6">
        <f>IFERROR(__xludf.DUMMYFUNCTION("""COMPUTED_VALUE"""),173.8)</f>
        <v>173.8</v>
      </c>
      <c r="F28" s="6">
        <f>IFERROR(__xludf.DUMMYFUNCTION("""COMPUTED_VALUE"""),1.18593342E8)</f>
        <v>118593342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IFERROR(__xludf.DUMMYFUNCTION("""COMPUTED_VALUE"""),174.5)</f>
        <v>174.5</v>
      </c>
      <c r="C29" s="6">
        <f>IFERROR(__xludf.DUMMYFUNCTION("""COMPUTED_VALUE"""),178.0)</f>
        <v>178</v>
      </c>
      <c r="D29" s="6">
        <f>IFERROR(__xludf.DUMMYFUNCTION("""COMPUTED_VALUE"""),168.7)</f>
        <v>168.7</v>
      </c>
      <c r="E29" s="6">
        <f>IFERROR(__xludf.DUMMYFUNCTION("""COMPUTED_VALUE"""),174.1)</f>
        <v>174.1</v>
      </c>
      <c r="F29" s="6">
        <f>IFERROR(__xludf.DUMMYFUNCTION("""COMPUTED_VALUE"""),5.5474693E7)</f>
        <v>55474693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IFERROR(__xludf.DUMMYFUNCTION("""COMPUTED_VALUE"""),174.1)</f>
        <v>174.1</v>
      </c>
      <c r="C30" s="6">
        <f>IFERROR(__xludf.DUMMYFUNCTION("""COMPUTED_VALUE"""),183.7)</f>
        <v>183.7</v>
      </c>
      <c r="D30" s="6">
        <f>IFERROR(__xludf.DUMMYFUNCTION("""COMPUTED_VALUE"""),172.05)</f>
        <v>172.05</v>
      </c>
      <c r="E30" s="6">
        <f>IFERROR(__xludf.DUMMYFUNCTION("""COMPUTED_VALUE"""),181.05)</f>
        <v>181.05</v>
      </c>
      <c r="F30" s="6">
        <f>IFERROR(__xludf.DUMMYFUNCTION("""COMPUTED_VALUE"""),4.709393E7)</f>
        <v>47093930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IFERROR(__xludf.DUMMYFUNCTION("""COMPUTED_VALUE"""),181.4)</f>
        <v>181.4</v>
      </c>
      <c r="C31" s="6">
        <f>IFERROR(__xludf.DUMMYFUNCTION("""COMPUTED_VALUE"""),191.75)</f>
        <v>191.75</v>
      </c>
      <c r="D31" s="6">
        <f>IFERROR(__xludf.DUMMYFUNCTION("""COMPUTED_VALUE"""),177.5)</f>
        <v>177.5</v>
      </c>
      <c r="E31" s="6">
        <f>IFERROR(__xludf.DUMMYFUNCTION("""COMPUTED_VALUE"""),190.75)</f>
        <v>190.75</v>
      </c>
      <c r="F31" s="6">
        <f>IFERROR(__xludf.DUMMYFUNCTION("""COMPUTED_VALUE"""),9.8305221E7)</f>
        <v>98305221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IFERROR(__xludf.DUMMYFUNCTION("""COMPUTED_VALUE"""),191.05)</f>
        <v>191.05</v>
      </c>
      <c r="C32" s="6">
        <f>IFERROR(__xludf.DUMMYFUNCTION("""COMPUTED_VALUE"""),209.9)</f>
        <v>209.9</v>
      </c>
      <c r="D32" s="6">
        <f>IFERROR(__xludf.DUMMYFUNCTION("""COMPUTED_VALUE"""),191.05)</f>
        <v>191.05</v>
      </c>
      <c r="E32" s="6">
        <f>IFERROR(__xludf.DUMMYFUNCTION("""COMPUTED_VALUE"""),201.1)</f>
        <v>201.1</v>
      </c>
      <c r="F32" s="6">
        <f>IFERROR(__xludf.DUMMYFUNCTION("""COMPUTED_VALUE"""),1.52372938E8)</f>
        <v>152372938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IFERROR(__xludf.DUMMYFUNCTION("""COMPUTED_VALUE"""),197.0)</f>
        <v>197</v>
      </c>
      <c r="C33" s="6">
        <f>IFERROR(__xludf.DUMMYFUNCTION("""COMPUTED_VALUE"""),213.65)</f>
        <v>213.65</v>
      </c>
      <c r="D33" s="6">
        <f>IFERROR(__xludf.DUMMYFUNCTION("""COMPUTED_VALUE"""),196.6)</f>
        <v>196.6</v>
      </c>
      <c r="E33" s="6">
        <f>IFERROR(__xludf.DUMMYFUNCTION("""COMPUTED_VALUE"""),201.95)</f>
        <v>201.95</v>
      </c>
      <c r="F33" s="6">
        <f>IFERROR(__xludf.DUMMYFUNCTION("""COMPUTED_VALUE"""),1.29778071E8)</f>
        <v>129778071</v>
      </c>
    </row>
    <row r="34">
      <c r="A34" s="7">
        <f>IFERROR(__xludf.DUMMYFUNCTION("""COMPUTED_VALUE"""),45408.64583333333)</f>
        <v>45408.64583</v>
      </c>
      <c r="B34" s="6">
        <f>IFERROR(__xludf.DUMMYFUNCTION("""COMPUTED_VALUE"""),204.5)</f>
        <v>204.5</v>
      </c>
      <c r="C34" s="6">
        <f>IFERROR(__xludf.DUMMYFUNCTION("""COMPUTED_VALUE"""),211.7)</f>
        <v>211.7</v>
      </c>
      <c r="D34" s="6">
        <f>IFERROR(__xludf.DUMMYFUNCTION("""COMPUTED_VALUE"""),195.95)</f>
        <v>195.95</v>
      </c>
      <c r="E34" s="6">
        <f>IFERROR(__xludf.DUMMYFUNCTION("""COMPUTED_VALUE"""),208.05)</f>
        <v>208.05</v>
      </c>
      <c r="F34" s="6">
        <f>IFERROR(__xludf.DUMMYFUNCTION("""COMPUTED_VALUE"""),1.0655137E8)</f>
        <v>106551370</v>
      </c>
    </row>
    <row r="35">
      <c r="A35" s="7">
        <f>IFERROR(__xludf.DUMMYFUNCTION("""COMPUTED_VALUE"""),45415.64583333333)</f>
        <v>45415.64583</v>
      </c>
      <c r="B35" s="6">
        <f>IFERROR(__xludf.DUMMYFUNCTION("""COMPUTED_VALUE"""),208.9)</f>
        <v>208.9</v>
      </c>
      <c r="C35" s="6">
        <f>IFERROR(__xludf.DUMMYFUNCTION("""COMPUTED_VALUE"""),212.25)</f>
        <v>212.25</v>
      </c>
      <c r="D35" s="6">
        <f>IFERROR(__xludf.DUMMYFUNCTION("""COMPUTED_VALUE"""),200.65)</f>
        <v>200.65</v>
      </c>
      <c r="E35" s="6">
        <f>IFERROR(__xludf.DUMMYFUNCTION("""COMPUTED_VALUE"""),203.8)</f>
        <v>203.8</v>
      </c>
      <c r="F35" s="6">
        <f>IFERROR(__xludf.DUMMYFUNCTION("""COMPUTED_VALUE"""),6.0625233E7)</f>
        <v>60625233</v>
      </c>
    </row>
    <row r="36">
      <c r="A36" s="7">
        <f>IFERROR(__xludf.DUMMYFUNCTION("""COMPUTED_VALUE"""),45422.64583333333)</f>
        <v>45422.64583</v>
      </c>
      <c r="B36" s="6">
        <f>IFERROR(__xludf.DUMMYFUNCTION("""COMPUTED_VALUE"""),204.5)</f>
        <v>204.5</v>
      </c>
      <c r="C36" s="6">
        <f>IFERROR(__xludf.DUMMYFUNCTION("""COMPUTED_VALUE"""),204.5)</f>
        <v>204.5</v>
      </c>
      <c r="D36" s="6">
        <f>IFERROR(__xludf.DUMMYFUNCTION("""COMPUTED_VALUE"""),189.2)</f>
        <v>189.2</v>
      </c>
      <c r="E36" s="6">
        <f>IFERROR(__xludf.DUMMYFUNCTION("""COMPUTED_VALUE"""),192.55)</f>
        <v>192.55</v>
      </c>
      <c r="F36" s="6">
        <f>IFERROR(__xludf.DUMMYFUNCTION("""COMPUTED_VALUE"""),9.6827555E7)</f>
        <v>96827555</v>
      </c>
    </row>
    <row r="37">
      <c r="A37" s="7">
        <f>IFERROR(__xludf.DUMMYFUNCTION("""COMPUTED_VALUE"""),45436.64583333333)</f>
        <v>45436.64583</v>
      </c>
      <c r="B37" s="6">
        <f>IFERROR(__xludf.DUMMYFUNCTION("""COMPUTED_VALUE"""),208.7)</f>
        <v>208.7</v>
      </c>
      <c r="C37" s="6">
        <f>IFERROR(__xludf.DUMMYFUNCTION("""COMPUTED_VALUE"""),211.3)</f>
        <v>211.3</v>
      </c>
      <c r="D37" s="6">
        <f>IFERROR(__xludf.DUMMYFUNCTION("""COMPUTED_VALUE"""),198.25)</f>
        <v>198.25</v>
      </c>
      <c r="E37" s="6">
        <f>IFERROR(__xludf.DUMMYFUNCTION("""COMPUTED_VALUE"""),204.45)</f>
        <v>204.45</v>
      </c>
      <c r="F37" s="6">
        <f>IFERROR(__xludf.DUMMYFUNCTION("""COMPUTED_VALUE"""),1.25300851E8)</f>
        <v>125300851</v>
      </c>
    </row>
    <row r="38">
      <c r="A38" s="7">
        <f>IFERROR(__xludf.DUMMYFUNCTION("""COMPUTED_VALUE"""),45443.64583333333)</f>
        <v>45443.64583</v>
      </c>
      <c r="B38" s="6">
        <f>IFERROR(__xludf.DUMMYFUNCTION("""COMPUTED_VALUE"""),206.75)</f>
        <v>206.75</v>
      </c>
      <c r="C38" s="6">
        <f>IFERROR(__xludf.DUMMYFUNCTION("""COMPUTED_VALUE"""),207.15)</f>
        <v>207.15</v>
      </c>
      <c r="D38" s="6">
        <f>IFERROR(__xludf.DUMMYFUNCTION("""COMPUTED_VALUE"""),197.9)</f>
        <v>197.9</v>
      </c>
      <c r="E38" s="6">
        <f>IFERROR(__xludf.DUMMYFUNCTION("""COMPUTED_VALUE"""),204.3)</f>
        <v>204.3</v>
      </c>
      <c r="F38" s="6">
        <f>IFERROR(__xludf.DUMMYFUNCTION("""COMPUTED_VALUE"""),1.01090325E8)</f>
        <v>101090325</v>
      </c>
    </row>
    <row r="39">
      <c r="A39" s="7">
        <f>IFERROR(__xludf.DUMMYFUNCTION("""COMPUTED_VALUE"""),45450.64583333333)</f>
        <v>45450.64583</v>
      </c>
      <c r="B39" s="6">
        <f>IFERROR(__xludf.DUMMYFUNCTION("""COMPUTED_VALUE"""),217.0)</f>
        <v>217</v>
      </c>
      <c r="C39" s="6">
        <f>IFERROR(__xludf.DUMMYFUNCTION("""COMPUTED_VALUE"""),233.2)</f>
        <v>233.2</v>
      </c>
      <c r="D39" s="6">
        <f>IFERROR(__xludf.DUMMYFUNCTION("""COMPUTED_VALUE"""),173.5)</f>
        <v>173.5</v>
      </c>
      <c r="E39" s="6">
        <f>IFERROR(__xludf.DUMMYFUNCTION("""COMPUTED_VALUE"""),212.7)</f>
        <v>212.7</v>
      </c>
      <c r="F39" s="6">
        <f>IFERROR(__xludf.DUMMYFUNCTION("""COMPUTED_VALUE"""),3.73809034E8)</f>
        <v>373809034</v>
      </c>
    </row>
    <row r="40">
      <c r="A40" s="7">
        <f>IFERROR(__xludf.DUMMYFUNCTION("""COMPUTED_VALUE"""),45457.64583333333)</f>
        <v>45457.64583</v>
      </c>
      <c r="B40" s="6">
        <f>IFERROR(__xludf.DUMMYFUNCTION("""COMPUTED_VALUE"""),214.4)</f>
        <v>214.4</v>
      </c>
      <c r="C40" s="6">
        <f>IFERROR(__xludf.DUMMYFUNCTION("""COMPUTED_VALUE"""),225.5)</f>
        <v>225.5</v>
      </c>
      <c r="D40" s="6">
        <f>IFERROR(__xludf.DUMMYFUNCTION("""COMPUTED_VALUE"""),205.89)</f>
        <v>205.89</v>
      </c>
      <c r="E40" s="6">
        <f>IFERROR(__xludf.DUMMYFUNCTION("""COMPUTED_VALUE"""),221.83)</f>
        <v>221.83</v>
      </c>
      <c r="F40" s="6">
        <f>IFERROR(__xludf.DUMMYFUNCTION("""COMPUTED_VALUE"""),1.93035627E8)</f>
        <v>193035627</v>
      </c>
    </row>
    <row r="41">
      <c r="A41" s="7">
        <f>IFERROR(__xludf.DUMMYFUNCTION("""COMPUTED_VALUE"""),45464.64583333333)</f>
        <v>45464.64583</v>
      </c>
      <c r="B41" s="6">
        <f>IFERROR(__xludf.DUMMYFUNCTION("""COMPUTED_VALUE"""),223.8)</f>
        <v>223.8</v>
      </c>
      <c r="C41" s="6">
        <f>IFERROR(__xludf.DUMMYFUNCTION("""COMPUTED_VALUE"""),224.4)</f>
        <v>224.4</v>
      </c>
      <c r="D41" s="6">
        <f>IFERROR(__xludf.DUMMYFUNCTION("""COMPUTED_VALUE"""),214.0)</f>
        <v>214</v>
      </c>
      <c r="E41" s="6">
        <f>IFERROR(__xludf.DUMMYFUNCTION("""COMPUTED_VALUE"""),214.76)</f>
        <v>214.76</v>
      </c>
      <c r="F41" s="6">
        <f>IFERROR(__xludf.DUMMYFUNCTION("""COMPUTED_VALUE"""),7.452679E7)</f>
        <v>74526790</v>
      </c>
    </row>
    <row r="42">
      <c r="A42" s="7">
        <f>IFERROR(__xludf.DUMMYFUNCTION("""COMPUTED_VALUE"""),45471.64583333333)</f>
        <v>45471.64583</v>
      </c>
      <c r="B42" s="6">
        <f>IFERROR(__xludf.DUMMYFUNCTION("""COMPUTED_VALUE"""),212.9)</f>
        <v>212.9</v>
      </c>
      <c r="C42" s="6">
        <f>IFERROR(__xludf.DUMMYFUNCTION("""COMPUTED_VALUE"""),223.15)</f>
        <v>223.15</v>
      </c>
      <c r="D42" s="6">
        <f>IFERROR(__xludf.DUMMYFUNCTION("""COMPUTED_VALUE"""),208.55)</f>
        <v>208.55</v>
      </c>
      <c r="E42" s="6">
        <f>IFERROR(__xludf.DUMMYFUNCTION("""COMPUTED_VALUE"""),219.55)</f>
        <v>219.55</v>
      </c>
      <c r="F42" s="6">
        <f>IFERROR(__xludf.DUMMYFUNCTION("""COMPUTED_VALUE"""),1.0339868E8)</f>
        <v>103398680</v>
      </c>
    </row>
    <row r="43">
      <c r="A43" s="7">
        <f>IFERROR(__xludf.DUMMYFUNCTION("""COMPUTED_VALUE"""),45478.64583333333)</f>
        <v>45478.64583</v>
      </c>
      <c r="B43" s="6">
        <f>IFERROR(__xludf.DUMMYFUNCTION("""COMPUTED_VALUE"""),220.25)</f>
        <v>220.25</v>
      </c>
      <c r="C43" s="6">
        <f>IFERROR(__xludf.DUMMYFUNCTION("""COMPUTED_VALUE"""),226.0)</f>
        <v>226</v>
      </c>
      <c r="D43" s="6">
        <f>IFERROR(__xludf.DUMMYFUNCTION("""COMPUTED_VALUE"""),217.28)</f>
        <v>217.28</v>
      </c>
      <c r="E43" s="6">
        <f>IFERROR(__xludf.DUMMYFUNCTION("""COMPUTED_VALUE"""),222.96)</f>
        <v>222.96</v>
      </c>
      <c r="F43" s="6">
        <f>IFERROR(__xludf.DUMMYFUNCTION("""COMPUTED_VALUE"""),9.0964886E7)</f>
        <v>90964886</v>
      </c>
    </row>
    <row r="44">
      <c r="A44" s="7">
        <f>IFERROR(__xludf.DUMMYFUNCTION("""COMPUTED_VALUE"""),45485.64583333333)</f>
        <v>45485.64583</v>
      </c>
      <c r="B44" s="6">
        <f>IFERROR(__xludf.DUMMYFUNCTION("""COMPUTED_VALUE"""),223.5)</f>
        <v>223.5</v>
      </c>
      <c r="C44" s="6">
        <f>IFERROR(__xludf.DUMMYFUNCTION("""COMPUTED_VALUE"""),234.1)</f>
        <v>234.1</v>
      </c>
      <c r="D44" s="6">
        <f>IFERROR(__xludf.DUMMYFUNCTION("""COMPUTED_VALUE"""),219.86)</f>
        <v>219.86</v>
      </c>
      <c r="E44" s="6">
        <f>IFERROR(__xludf.DUMMYFUNCTION("""COMPUTED_VALUE"""),228.71)</f>
        <v>228.71</v>
      </c>
      <c r="F44" s="6">
        <f>IFERROR(__xludf.DUMMYFUNCTION("""COMPUTED_VALUE"""),1.13650982E8)</f>
        <v>113650982</v>
      </c>
    </row>
    <row r="45">
      <c r="A45" s="7">
        <f>IFERROR(__xludf.DUMMYFUNCTION("""COMPUTED_VALUE"""),45492.64583333333)</f>
        <v>45492.64583</v>
      </c>
      <c r="B45" s="6">
        <f>IFERROR(__xludf.DUMMYFUNCTION("""COMPUTED_VALUE"""),229.6)</f>
        <v>229.6</v>
      </c>
      <c r="C45" s="6">
        <f>IFERROR(__xludf.DUMMYFUNCTION("""COMPUTED_VALUE"""),239.11)</f>
        <v>239.11</v>
      </c>
      <c r="D45" s="6">
        <f>IFERROR(__xludf.DUMMYFUNCTION("""COMPUTED_VALUE"""),219.02)</f>
        <v>219.02</v>
      </c>
      <c r="E45" s="6">
        <f>IFERROR(__xludf.DUMMYFUNCTION("""COMPUTED_VALUE"""),219.76)</f>
        <v>219.76</v>
      </c>
      <c r="F45" s="6">
        <f>IFERROR(__xludf.DUMMYFUNCTION("""COMPUTED_VALUE"""),8.373157E7)</f>
        <v>83731570</v>
      </c>
    </row>
    <row r="46">
      <c r="A46" s="7">
        <f>IFERROR(__xludf.DUMMYFUNCTION("""COMPUTED_VALUE"""),45499.64583333333)</f>
        <v>45499.64583</v>
      </c>
      <c r="B46" s="6">
        <f>IFERROR(__xludf.DUMMYFUNCTION("""COMPUTED_VALUE"""),217.8)</f>
        <v>217.8</v>
      </c>
      <c r="C46" s="6">
        <f>IFERROR(__xludf.DUMMYFUNCTION("""COMPUTED_VALUE"""),232.62)</f>
        <v>232.62</v>
      </c>
      <c r="D46" s="6">
        <f>IFERROR(__xludf.DUMMYFUNCTION("""COMPUTED_VALUE"""),209.15)</f>
        <v>209.15</v>
      </c>
      <c r="E46" s="6">
        <f>IFERROR(__xludf.DUMMYFUNCTION("""COMPUTED_VALUE"""),230.64)</f>
        <v>230.64</v>
      </c>
      <c r="F46" s="6">
        <f>IFERROR(__xludf.DUMMYFUNCTION("""COMPUTED_VALUE"""),8.0530679E7)</f>
        <v>80530679</v>
      </c>
    </row>
    <row r="47">
      <c r="A47" s="7">
        <f>IFERROR(__xludf.DUMMYFUNCTION("""COMPUTED_VALUE"""),45506.64583333333)</f>
        <v>45506.64583</v>
      </c>
      <c r="B47" s="6">
        <f>IFERROR(__xludf.DUMMYFUNCTION("""COMPUTED_VALUE"""),231.5)</f>
        <v>231.5</v>
      </c>
      <c r="C47" s="6">
        <f>IFERROR(__xludf.DUMMYFUNCTION("""COMPUTED_VALUE"""),246.3)</f>
        <v>246.3</v>
      </c>
      <c r="D47" s="6">
        <f>IFERROR(__xludf.DUMMYFUNCTION("""COMPUTED_VALUE"""),230.0)</f>
        <v>230</v>
      </c>
      <c r="E47" s="6">
        <f>IFERROR(__xludf.DUMMYFUNCTION("""COMPUTED_VALUE"""),237.01)</f>
        <v>237.01</v>
      </c>
      <c r="F47" s="6">
        <f>IFERROR(__xludf.DUMMYFUNCTION("""COMPUTED_VALUE"""),1.55715671E8)</f>
        <v>155715671</v>
      </c>
    </row>
    <row r="48">
      <c r="A48" s="7">
        <f>IFERROR(__xludf.DUMMYFUNCTION("""COMPUTED_VALUE"""),45513.64583333333)</f>
        <v>45513.64583</v>
      </c>
      <c r="B48" s="6">
        <f>IFERROR(__xludf.DUMMYFUNCTION("""COMPUTED_VALUE"""),230.0)</f>
        <v>230</v>
      </c>
      <c r="C48" s="6">
        <f>IFERROR(__xludf.DUMMYFUNCTION("""COMPUTED_VALUE"""),234.08)</f>
        <v>234.08</v>
      </c>
      <c r="D48" s="6">
        <f>IFERROR(__xludf.DUMMYFUNCTION("""COMPUTED_VALUE"""),221.0)</f>
        <v>221</v>
      </c>
      <c r="E48" s="6">
        <f>IFERROR(__xludf.DUMMYFUNCTION("""COMPUTED_VALUE"""),227.38)</f>
        <v>227.38</v>
      </c>
      <c r="F48" s="6">
        <f>IFERROR(__xludf.DUMMYFUNCTION("""COMPUTED_VALUE"""),7.3096682E7)</f>
        <v>73096682</v>
      </c>
    </row>
    <row r="49">
      <c r="A49" s="7">
        <f>IFERROR(__xludf.DUMMYFUNCTION("""COMPUTED_VALUE"""),45520.64583333333)</f>
        <v>45520.64583</v>
      </c>
      <c r="B49" s="6">
        <f>IFERROR(__xludf.DUMMYFUNCTION("""COMPUTED_VALUE"""),226.48)</f>
        <v>226.48</v>
      </c>
      <c r="C49" s="6">
        <f>IFERROR(__xludf.DUMMYFUNCTION("""COMPUTED_VALUE"""),234.9)</f>
        <v>234.9</v>
      </c>
      <c r="D49" s="6">
        <f>IFERROR(__xludf.DUMMYFUNCTION("""COMPUTED_VALUE"""),225.07)</f>
        <v>225.07</v>
      </c>
      <c r="E49" s="6">
        <f>IFERROR(__xludf.DUMMYFUNCTION("""COMPUTED_VALUE"""),232.55)</f>
        <v>232.55</v>
      </c>
      <c r="F49" s="6">
        <f>IFERROR(__xludf.DUMMYFUNCTION("""COMPUTED_VALUE"""),5.5764272E7)</f>
        <v>55764272</v>
      </c>
    </row>
    <row r="50">
      <c r="A50" s="7">
        <f>IFERROR(__xludf.DUMMYFUNCTION("""COMPUTED_VALUE"""),45527.64583333333)</f>
        <v>45527.64583</v>
      </c>
      <c r="B50" s="6">
        <f>IFERROR(__xludf.DUMMYFUNCTION("""COMPUTED_VALUE"""),234.0)</f>
        <v>234</v>
      </c>
      <c r="C50" s="6">
        <f>IFERROR(__xludf.DUMMYFUNCTION("""COMPUTED_VALUE"""),241.65)</f>
        <v>241.65</v>
      </c>
      <c r="D50" s="6">
        <f>IFERROR(__xludf.DUMMYFUNCTION("""COMPUTED_VALUE"""),228.85)</f>
        <v>228.85</v>
      </c>
      <c r="E50" s="6">
        <f>IFERROR(__xludf.DUMMYFUNCTION("""COMPUTED_VALUE"""),229.47)</f>
        <v>229.47</v>
      </c>
      <c r="F50" s="6">
        <f>IFERROR(__xludf.DUMMYFUNCTION("""COMPUTED_VALUE"""),6.2700534E7)</f>
        <v>62700534</v>
      </c>
    </row>
    <row r="51">
      <c r="A51" s="7">
        <f>IFERROR(__xludf.DUMMYFUNCTION("""COMPUTED_VALUE"""),45534.64583333333)</f>
        <v>45534.64583</v>
      </c>
      <c r="B51" s="6">
        <f>IFERROR(__xludf.DUMMYFUNCTION("""COMPUTED_VALUE"""),231.2)</f>
        <v>231.2</v>
      </c>
      <c r="C51" s="6">
        <f>IFERROR(__xludf.DUMMYFUNCTION("""COMPUTED_VALUE"""),239.33)</f>
        <v>239.33</v>
      </c>
      <c r="D51" s="6">
        <f>IFERROR(__xludf.DUMMYFUNCTION("""COMPUTED_VALUE"""),228.69)</f>
        <v>228.69</v>
      </c>
      <c r="E51" s="6">
        <f>IFERROR(__xludf.DUMMYFUNCTION("""COMPUTED_VALUE"""),237.69)</f>
        <v>237.69</v>
      </c>
      <c r="F51" s="6">
        <f>IFERROR(__xludf.DUMMYFUNCTION("""COMPUTED_VALUE"""),7.5223802E7)</f>
        <v>75223802</v>
      </c>
    </row>
    <row r="52">
      <c r="A52" s="7">
        <f>IFERROR(__xludf.DUMMYFUNCTION("""COMPUTED_VALUE"""),45541.64583333333)</f>
        <v>45541.64583</v>
      </c>
      <c r="B52" s="6">
        <f>IFERROR(__xludf.DUMMYFUNCTION("""COMPUTED_VALUE"""),238.65)</f>
        <v>238.65</v>
      </c>
      <c r="C52" s="6">
        <f>IFERROR(__xludf.DUMMYFUNCTION("""COMPUTED_VALUE"""),240.29)</f>
        <v>240.29</v>
      </c>
      <c r="D52" s="6">
        <f>IFERROR(__xludf.DUMMYFUNCTION("""COMPUTED_VALUE"""),221.95)</f>
        <v>221.95</v>
      </c>
      <c r="E52" s="6">
        <f>IFERROR(__xludf.DUMMYFUNCTION("""COMPUTED_VALUE"""),222.82)</f>
        <v>222.82</v>
      </c>
      <c r="F52" s="6">
        <f>IFERROR(__xludf.DUMMYFUNCTION("""COMPUTED_VALUE"""),5.69883E7)</f>
        <v>56988300</v>
      </c>
    </row>
    <row r="53">
      <c r="A53" s="7">
        <f>IFERROR(__xludf.DUMMYFUNCTION("""COMPUTED_VALUE"""),45548.64583333333)</f>
        <v>45548.64583</v>
      </c>
      <c r="B53" s="6">
        <f>IFERROR(__xludf.DUMMYFUNCTION("""COMPUTED_VALUE"""),222.1)</f>
        <v>222.1</v>
      </c>
      <c r="C53" s="6">
        <f>IFERROR(__xludf.DUMMYFUNCTION("""COMPUTED_VALUE"""),223.0)</f>
        <v>223</v>
      </c>
      <c r="D53" s="6">
        <f>IFERROR(__xludf.DUMMYFUNCTION("""COMPUTED_VALUE"""),215.0)</f>
        <v>215</v>
      </c>
      <c r="E53" s="6">
        <f>IFERROR(__xludf.DUMMYFUNCTION("""COMPUTED_VALUE"""),218.87)</f>
        <v>218.87</v>
      </c>
      <c r="F53" s="6">
        <f>IFERROR(__xludf.DUMMYFUNCTION("""COMPUTED_VALUE"""),5.2194482E7)</f>
        <v>52194482</v>
      </c>
    </row>
    <row r="54">
      <c r="A54" s="7">
        <f>IFERROR(__xludf.DUMMYFUNCTION("""COMPUTED_VALUE"""),45555.64583333333)</f>
        <v>45555.64583</v>
      </c>
      <c r="B54" s="6">
        <f>IFERROR(__xludf.DUMMYFUNCTION("""COMPUTED_VALUE"""),220.0)</f>
        <v>220</v>
      </c>
      <c r="C54" s="6">
        <f>IFERROR(__xludf.DUMMYFUNCTION("""COMPUTED_VALUE"""),221.45)</f>
        <v>221.45</v>
      </c>
      <c r="D54" s="6">
        <f>IFERROR(__xludf.DUMMYFUNCTION("""COMPUTED_VALUE"""),208.62)</f>
        <v>208.62</v>
      </c>
      <c r="E54" s="6">
        <f>IFERROR(__xludf.DUMMYFUNCTION("""COMPUTED_VALUE"""),212.16)</f>
        <v>212.16</v>
      </c>
      <c r="F54" s="6">
        <f>IFERROR(__xludf.DUMMYFUNCTION("""COMPUTED_VALUE"""),7.6038009E7)</f>
        <v>76038009</v>
      </c>
    </row>
    <row r="55">
      <c r="A55" s="7">
        <f>IFERROR(__xludf.DUMMYFUNCTION("""COMPUTED_VALUE"""),45562.64583333333)</f>
        <v>45562.64583</v>
      </c>
      <c r="B55" s="6">
        <f>IFERROR(__xludf.DUMMYFUNCTION("""COMPUTED_VALUE"""),213.0)</f>
        <v>213</v>
      </c>
      <c r="C55" s="6">
        <f>IFERROR(__xludf.DUMMYFUNCTION("""COMPUTED_VALUE"""),237.9)</f>
        <v>237.9</v>
      </c>
      <c r="D55" s="6">
        <f>IFERROR(__xludf.DUMMYFUNCTION("""COMPUTED_VALUE"""),211.63)</f>
        <v>211.63</v>
      </c>
      <c r="E55" s="6">
        <f>IFERROR(__xludf.DUMMYFUNCTION("""COMPUTED_VALUE"""),236.98)</f>
        <v>236.98</v>
      </c>
      <c r="F55" s="6">
        <f>IFERROR(__xludf.DUMMYFUNCTION("""COMPUTED_VALUE"""),1.03551081E8)</f>
        <v>103551081</v>
      </c>
    </row>
    <row r="56">
      <c r="A56" s="7">
        <f>IFERROR(__xludf.DUMMYFUNCTION("""COMPUTED_VALUE"""),45569.64583333333)</f>
        <v>45569.64583</v>
      </c>
      <c r="B56" s="6">
        <f>IFERROR(__xludf.DUMMYFUNCTION("""COMPUTED_VALUE"""),234.0)</f>
        <v>234</v>
      </c>
      <c r="C56" s="6">
        <f>IFERROR(__xludf.DUMMYFUNCTION("""COMPUTED_VALUE"""),245.0)</f>
        <v>245</v>
      </c>
      <c r="D56" s="6">
        <f>IFERROR(__xludf.DUMMYFUNCTION("""COMPUTED_VALUE"""),229.24)</f>
        <v>229.24</v>
      </c>
      <c r="E56" s="6">
        <f>IFERROR(__xludf.DUMMYFUNCTION("""COMPUTED_VALUE"""),230.19)</f>
        <v>230.19</v>
      </c>
      <c r="F56" s="6">
        <f>IFERROR(__xludf.DUMMYFUNCTION("""COMPUTED_VALUE"""),8.6522618E7)</f>
        <v>86522618</v>
      </c>
    </row>
    <row r="57">
      <c r="A57" s="7">
        <f>IFERROR(__xludf.DUMMYFUNCTION("""COMPUTED_VALUE"""),45576.64583333333)</f>
        <v>45576.64583</v>
      </c>
      <c r="B57" s="6">
        <f>IFERROR(__xludf.DUMMYFUNCTION("""COMPUTED_VALUE"""),232.0)</f>
        <v>232</v>
      </c>
      <c r="C57" s="6">
        <f>IFERROR(__xludf.DUMMYFUNCTION("""COMPUTED_VALUE"""),234.25)</f>
        <v>234.25</v>
      </c>
      <c r="D57" s="6">
        <f>IFERROR(__xludf.DUMMYFUNCTION("""COMPUTED_VALUE"""),221.08)</f>
        <v>221.08</v>
      </c>
      <c r="E57" s="6">
        <f>IFERROR(__xludf.DUMMYFUNCTION("""COMPUTED_VALUE"""),229.4)</f>
        <v>229.4</v>
      </c>
      <c r="F57" s="6">
        <f>IFERROR(__xludf.DUMMYFUNCTION("""COMPUTED_VALUE"""),5.7547849E7)</f>
        <v>57547849</v>
      </c>
    </row>
    <row r="58">
      <c r="A58" s="7">
        <f>IFERROR(__xludf.DUMMYFUNCTION("""COMPUTED_VALUE"""),45583.64583333333)</f>
        <v>45583.64583</v>
      </c>
      <c r="B58" s="6">
        <f>IFERROR(__xludf.DUMMYFUNCTION("""COMPUTED_VALUE"""),229.4)</f>
        <v>229.4</v>
      </c>
      <c r="C58" s="6">
        <f>IFERROR(__xludf.DUMMYFUNCTION("""COMPUTED_VALUE"""),234.5)</f>
        <v>234.5</v>
      </c>
      <c r="D58" s="6">
        <f>IFERROR(__xludf.DUMMYFUNCTION("""COMPUTED_VALUE"""),217.35)</f>
        <v>217.35</v>
      </c>
      <c r="E58" s="6">
        <f>IFERROR(__xludf.DUMMYFUNCTION("""COMPUTED_VALUE"""),221.43)</f>
        <v>221.43</v>
      </c>
      <c r="F58" s="6">
        <f>IFERROR(__xludf.DUMMYFUNCTION("""COMPUTED_VALUE"""),6.9723995E7)</f>
        <v>69723995</v>
      </c>
    </row>
    <row r="59">
      <c r="A59" s="7">
        <f>IFERROR(__xludf.DUMMYFUNCTION("""COMPUTED_VALUE"""),45590.64583333333)</f>
        <v>45590.64583</v>
      </c>
      <c r="B59" s="6">
        <f>IFERROR(__xludf.DUMMYFUNCTION("""COMPUTED_VALUE"""),223.0)</f>
        <v>223</v>
      </c>
      <c r="C59" s="6">
        <f>IFERROR(__xludf.DUMMYFUNCTION("""COMPUTED_VALUE"""),223.55)</f>
        <v>223.55</v>
      </c>
      <c r="D59" s="6">
        <f>IFERROR(__xludf.DUMMYFUNCTION("""COMPUTED_VALUE"""),202.44)</f>
        <v>202.44</v>
      </c>
      <c r="E59" s="6">
        <f>IFERROR(__xludf.DUMMYFUNCTION("""COMPUTED_VALUE"""),206.08)</f>
        <v>206.08</v>
      </c>
      <c r="F59" s="6">
        <f>IFERROR(__xludf.DUMMYFUNCTION("""COMPUTED_VALUE"""),4.6071988E7)</f>
        <v>46071988</v>
      </c>
    </row>
    <row r="60">
      <c r="A60" s="7">
        <f>IFERROR(__xludf.DUMMYFUNCTION("""COMPUTED_VALUE"""),45604.64583333333)</f>
        <v>45604.64583</v>
      </c>
      <c r="B60" s="6">
        <f>IFERROR(__xludf.DUMMYFUNCTION("""COMPUTED_VALUE"""),200.17)</f>
        <v>200.17</v>
      </c>
      <c r="C60" s="6">
        <f>IFERROR(__xludf.DUMMYFUNCTION("""COMPUTED_VALUE"""),216.47)</f>
        <v>216.47</v>
      </c>
      <c r="D60" s="6">
        <f>IFERROR(__xludf.DUMMYFUNCTION("""COMPUTED_VALUE"""),191.7)</f>
        <v>191.7</v>
      </c>
      <c r="E60" s="6">
        <f>IFERROR(__xludf.DUMMYFUNCTION("""COMPUTED_VALUE"""),204.17)</f>
        <v>204.17</v>
      </c>
      <c r="F60" s="6">
        <f>IFERROR(__xludf.DUMMYFUNCTION("""COMPUTED_VALUE"""),1.03659561E8)</f>
        <v>103659561</v>
      </c>
    </row>
    <row r="61">
      <c r="A61" s="7">
        <f>IFERROR(__xludf.DUMMYFUNCTION("""COMPUTED_VALUE"""),45610.64583333333)</f>
        <v>45610.64583</v>
      </c>
      <c r="B61" s="6">
        <f>IFERROR(__xludf.DUMMYFUNCTION("""COMPUTED_VALUE"""),202.0)</f>
        <v>202</v>
      </c>
      <c r="C61" s="6">
        <f>IFERROR(__xludf.DUMMYFUNCTION("""COMPUTED_VALUE"""),206.2)</f>
        <v>206.2</v>
      </c>
      <c r="D61" s="6">
        <f>IFERROR(__xludf.DUMMYFUNCTION("""COMPUTED_VALUE"""),187.93)</f>
        <v>187.93</v>
      </c>
      <c r="E61" s="6">
        <f>IFERROR(__xludf.DUMMYFUNCTION("""COMPUTED_VALUE"""),188.89)</f>
        <v>188.89</v>
      </c>
      <c r="F61" s="6">
        <f>IFERROR(__xludf.DUMMYFUNCTION("""COMPUTED_VALUE"""),5.0211958E7)</f>
        <v>50211958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IFERROR(__xludf.DUMMYFUNCTION("""COMPUTED_VALUE"""),190.0)</f>
        <v>190</v>
      </c>
      <c r="C62" s="6">
        <f>IFERROR(__xludf.DUMMYFUNCTION("""COMPUTED_VALUE"""),193.62)</f>
        <v>193.62</v>
      </c>
      <c r="D62" s="6">
        <f>IFERROR(__xludf.DUMMYFUNCTION("""COMPUTED_VALUE"""),180.42)</f>
        <v>180.42</v>
      </c>
      <c r="E62" s="6">
        <f>IFERROR(__xludf.DUMMYFUNCTION("""COMPUTED_VALUE"""),192.61)</f>
        <v>192.61</v>
      </c>
      <c r="F62" s="6">
        <f>IFERROR(__xludf.DUMMYFUNCTION("""COMPUTED_VALUE"""),4.9989769E7)</f>
        <v>49989769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IFERROR(__xludf.DUMMYFUNCTION("""COMPUTED_VALUE"""),197.4)</f>
        <v>197.4</v>
      </c>
      <c r="C63" s="6">
        <f>IFERROR(__xludf.DUMMYFUNCTION("""COMPUTED_VALUE"""),201.2)</f>
        <v>201.2</v>
      </c>
      <c r="D63" s="6">
        <f>IFERROR(__xludf.DUMMYFUNCTION("""COMPUTED_VALUE"""),192.5)</f>
        <v>192.5</v>
      </c>
      <c r="E63" s="6">
        <f>IFERROR(__xludf.DUMMYFUNCTION("""COMPUTED_VALUE"""),199.46)</f>
        <v>199.46</v>
      </c>
      <c r="F63" s="6">
        <f>IFERROR(__xludf.DUMMYFUNCTION("""COMPUTED_VALUE"""),6.7373561E7)</f>
        <v>67373561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IFERROR(__xludf.DUMMYFUNCTION("""COMPUTED_VALUE"""),198.4)</f>
        <v>198.4</v>
      </c>
      <c r="C64" s="6">
        <f>IFERROR(__xludf.DUMMYFUNCTION("""COMPUTED_VALUE"""),213.4)</f>
        <v>213.4</v>
      </c>
      <c r="D64" s="6">
        <f>IFERROR(__xludf.DUMMYFUNCTION("""COMPUTED_VALUE"""),197.0)</f>
        <v>197</v>
      </c>
      <c r="E64" s="6">
        <f>IFERROR(__xludf.DUMMYFUNCTION("""COMPUTED_VALUE"""),210.41)</f>
        <v>210.41</v>
      </c>
      <c r="F64" s="6">
        <f>IFERROR(__xludf.DUMMYFUNCTION("""COMPUTED_VALUE"""),5.8314906E7)</f>
        <v>58314906</v>
      </c>
    </row>
    <row r="65">
      <c r="A65" s="7">
        <f>IFERROR(__xludf.DUMMYFUNCTION("""COMPUTED_VALUE"""),45639.64583333333)</f>
        <v>45639.64583</v>
      </c>
      <c r="B65" s="6">
        <f>IFERROR(__xludf.DUMMYFUNCTION("""COMPUTED_VALUE"""),210.4)</f>
        <v>210.4</v>
      </c>
      <c r="C65" s="6">
        <f>IFERROR(__xludf.DUMMYFUNCTION("""COMPUTED_VALUE"""),211.9)</f>
        <v>211.9</v>
      </c>
      <c r="D65" s="6">
        <f>IFERROR(__xludf.DUMMYFUNCTION("""COMPUTED_VALUE"""),199.84)</f>
        <v>199.84</v>
      </c>
      <c r="E65" s="6">
        <f>IFERROR(__xludf.DUMMYFUNCTION("""COMPUTED_VALUE"""),204.9)</f>
        <v>204.9</v>
      </c>
      <c r="F65" s="6">
        <f>IFERROR(__xludf.DUMMYFUNCTION("""COMPUTED_VALUE"""),3.2376804E7)</f>
        <v>32376804</v>
      </c>
    </row>
    <row r="66">
      <c r="A66" s="7">
        <f>IFERROR(__xludf.DUMMYFUNCTION("""COMPUTED_VALUE"""),45646.64583333333)</f>
        <v>45646.64583</v>
      </c>
      <c r="B66" s="6">
        <f>IFERROR(__xludf.DUMMYFUNCTION("""COMPUTED_VALUE"""),204.75)</f>
        <v>204.75</v>
      </c>
      <c r="C66" s="6">
        <f>IFERROR(__xludf.DUMMYFUNCTION("""COMPUTED_VALUE"""),205.0)</f>
        <v>205</v>
      </c>
      <c r="D66" s="6">
        <f>IFERROR(__xludf.DUMMYFUNCTION("""COMPUTED_VALUE"""),188.73)</f>
        <v>188.73</v>
      </c>
      <c r="E66" s="6">
        <f>IFERROR(__xludf.DUMMYFUNCTION("""COMPUTED_VALUE"""),192.42)</f>
        <v>192.42</v>
      </c>
      <c r="F66" s="6">
        <f>IFERROR(__xludf.DUMMYFUNCTION("""COMPUTED_VALUE"""),7.3417172E7)</f>
        <v>73417172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IFERROR(__xludf.DUMMYFUNCTION("""COMPUTED_VALUE"""),194.2)</f>
        <v>194.2</v>
      </c>
      <c r="C67" s="6">
        <f>IFERROR(__xludf.DUMMYFUNCTION("""COMPUTED_VALUE"""),201.49)</f>
        <v>201.49</v>
      </c>
      <c r="D67" s="6">
        <f>IFERROR(__xludf.DUMMYFUNCTION("""COMPUTED_VALUE"""),191.63)</f>
        <v>191.63</v>
      </c>
      <c r="E67" s="6">
        <f>IFERROR(__xludf.DUMMYFUNCTION("""COMPUTED_VALUE"""),192.5)</f>
        <v>192.5</v>
      </c>
      <c r="F67" s="6">
        <f>IFERROR(__xludf.DUMMYFUNCTION("""COMPUTED_VALUE"""),6.1029818E7)</f>
        <v>61029818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IFERROR(__xludf.DUMMYFUNCTION("""COMPUTED_VALUE"""),193.0)</f>
        <v>193</v>
      </c>
      <c r="C68" s="6">
        <f>IFERROR(__xludf.DUMMYFUNCTION("""COMPUTED_VALUE"""),193.82)</f>
        <v>193.82</v>
      </c>
      <c r="D68" s="6">
        <f>IFERROR(__xludf.DUMMYFUNCTION("""COMPUTED_VALUE"""),187.35)</f>
        <v>187.35</v>
      </c>
      <c r="E68" s="6">
        <f>IFERROR(__xludf.DUMMYFUNCTION("""COMPUTED_VALUE"""),191.09)</f>
        <v>191.09</v>
      </c>
      <c r="F68" s="6">
        <f>IFERROR(__xludf.DUMMYFUNCTION("""COMPUTED_VALUE"""),6.2094204E7)</f>
        <v>62094204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IFERROR(__xludf.DUMMYFUNCTION("""COMPUTED_VALUE"""),191.39)</f>
        <v>191.39</v>
      </c>
      <c r="C69" s="6">
        <f>IFERROR(__xludf.DUMMYFUNCTION("""COMPUTED_VALUE"""),191.67)</f>
        <v>191.67</v>
      </c>
      <c r="D69" s="6">
        <f>IFERROR(__xludf.DUMMYFUNCTION("""COMPUTED_VALUE"""),177.75)</f>
        <v>177.75</v>
      </c>
      <c r="E69" s="6">
        <f>IFERROR(__xludf.DUMMYFUNCTION("""COMPUTED_VALUE"""),179.58)</f>
        <v>179.58</v>
      </c>
      <c r="F69" s="6">
        <f>IFERROR(__xludf.DUMMYFUNCTION("""COMPUTED_VALUE"""),7.6481613E7)</f>
        <v>76481613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IFERROR(__xludf.DUMMYFUNCTION("""COMPUTED_VALUE"""),175.18)</f>
        <v>175.18</v>
      </c>
      <c r="C70" s="6">
        <f>IFERROR(__xludf.DUMMYFUNCTION("""COMPUTED_VALUE"""),182.79)</f>
        <v>182.79</v>
      </c>
      <c r="D70" s="6">
        <f>IFERROR(__xludf.DUMMYFUNCTION("""COMPUTED_VALUE"""),171.65)</f>
        <v>171.65</v>
      </c>
      <c r="E70" s="6">
        <f>IFERROR(__xludf.DUMMYFUNCTION("""COMPUTED_VALUE"""),180.95)</f>
        <v>180.95</v>
      </c>
      <c r="F70" s="6">
        <f>IFERROR(__xludf.DUMMYFUNCTION("""COMPUTED_VALUE"""),5.265927E7)</f>
        <v>52659270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IFERROR(__xludf.DUMMYFUNCTION("""COMPUTED_VALUE"""),180.95)</f>
        <v>180.95</v>
      </c>
      <c r="C71" s="6">
        <f>IFERROR(__xludf.DUMMYFUNCTION("""COMPUTED_VALUE"""),183.6)</f>
        <v>183.6</v>
      </c>
      <c r="D71" s="6">
        <f>IFERROR(__xludf.DUMMYFUNCTION("""COMPUTED_VALUE"""),172.25)</f>
        <v>172.25</v>
      </c>
      <c r="E71" s="6">
        <f>IFERROR(__xludf.DUMMYFUNCTION("""COMPUTED_VALUE"""),175.84)</f>
        <v>175.84</v>
      </c>
      <c r="F71" s="6">
        <f>IFERROR(__xludf.DUMMYFUNCTION("""COMPUTED_VALUE"""),3.5668152E7)</f>
        <v>35668152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IFERROR(__xludf.DUMMYFUNCTION("""COMPUTED_VALUE"""),176.0)</f>
        <v>176</v>
      </c>
      <c r="C72" s="6">
        <f>IFERROR(__xludf.DUMMYFUNCTION("""COMPUTED_VALUE"""),180.94)</f>
        <v>180.94</v>
      </c>
      <c r="D72" s="6">
        <f>IFERROR(__xludf.DUMMYFUNCTION("""COMPUTED_VALUE"""),170.1)</f>
        <v>170.1</v>
      </c>
      <c r="E72" s="6">
        <f>IFERROR(__xludf.DUMMYFUNCTION("""COMPUTED_VALUE"""),171.05)</f>
        <v>171.05</v>
      </c>
      <c r="F72" s="6">
        <f>IFERROR(__xludf.DUMMYFUNCTION("""COMPUTED_VALUE"""),7.0296662E7)</f>
        <v>70296662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IFERROR(__xludf.DUMMYFUNCTION("""COMPUTED_VALUE"""),171.05)</f>
        <v>171.05</v>
      </c>
      <c r="C73" s="6">
        <f>IFERROR(__xludf.DUMMYFUNCTION("""COMPUTED_VALUE"""),171.64)</f>
        <v>171.64</v>
      </c>
      <c r="D73" s="6">
        <f>IFERROR(__xludf.DUMMYFUNCTION("""COMPUTED_VALUE"""),155.51)</f>
        <v>155.51</v>
      </c>
      <c r="E73" s="6">
        <f>IFERROR(__xludf.DUMMYFUNCTION("""COMPUTED_VALUE"""),162.29)</f>
        <v>162.29</v>
      </c>
      <c r="F73" s="6">
        <f>IFERROR(__xludf.DUMMYFUNCTION("""COMPUTED_VALUE"""),8.1824708E7)</f>
        <v>81824708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IFERROR(__xludf.DUMMYFUNCTION("""COMPUTED_VALUE"""),160.31)</f>
        <v>160.31</v>
      </c>
      <c r="C74" s="6">
        <f>IFERROR(__xludf.DUMMYFUNCTION("""COMPUTED_VALUE"""),168.49)</f>
        <v>168.49</v>
      </c>
      <c r="D74" s="6">
        <f>IFERROR(__xludf.DUMMYFUNCTION("""COMPUTED_VALUE"""),157.6)</f>
        <v>157.6</v>
      </c>
      <c r="E74" s="6">
        <f>IFERROR(__xludf.DUMMYFUNCTION("""COMPUTED_VALUE"""),164.21)</f>
        <v>164.21</v>
      </c>
      <c r="F74" s="6">
        <f>IFERROR(__xludf.DUMMYFUNCTION("""COMPUTED_VALUE"""),5.7883993E7)</f>
        <v>57883993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IFERROR(__xludf.DUMMYFUNCTION("""COMPUTED_VALUE"""),161.5)</f>
        <v>161.5</v>
      </c>
      <c r="C75" s="6">
        <f>IFERROR(__xludf.DUMMYFUNCTION("""COMPUTED_VALUE"""),165.69)</f>
        <v>165.69</v>
      </c>
      <c r="D75" s="6">
        <f>IFERROR(__xludf.DUMMYFUNCTION("""COMPUTED_VALUE"""),153.65)</f>
        <v>153.65</v>
      </c>
      <c r="E75" s="6">
        <f>IFERROR(__xludf.DUMMYFUNCTION("""COMPUTED_VALUE"""),156.04)</f>
        <v>156.04</v>
      </c>
      <c r="F75" s="6">
        <f>IFERROR(__xludf.DUMMYFUNCTION("""COMPUTED_VALUE"""),4.7678772E7)</f>
        <v>47678772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IFERROR(__xludf.DUMMYFUNCTION("""COMPUTED_VALUE"""),156.04)</f>
        <v>156.04</v>
      </c>
      <c r="C76" s="6">
        <f>IFERROR(__xludf.DUMMYFUNCTION("""COMPUTED_VALUE"""),162.62)</f>
        <v>162.62</v>
      </c>
      <c r="D76" s="6">
        <f>IFERROR(__xludf.DUMMYFUNCTION("""COMPUTED_VALUE"""),150.52)</f>
        <v>150.52</v>
      </c>
      <c r="E76" s="6">
        <f>IFERROR(__xludf.DUMMYFUNCTION("""COMPUTED_VALUE"""),158.14)</f>
        <v>158.14</v>
      </c>
      <c r="F76" s="6">
        <f>IFERROR(__xludf.DUMMYFUNCTION("""COMPUTED_VALUE"""),6.7249545E7)</f>
        <v>67249545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IFERROR(__xludf.DUMMYFUNCTION("""COMPUTED_VALUE"""),158.0)</f>
        <v>158</v>
      </c>
      <c r="C77" s="6">
        <f>IFERROR(__xludf.DUMMYFUNCTION("""COMPUTED_VALUE"""),161.65)</f>
        <v>161.65</v>
      </c>
      <c r="D77" s="6">
        <f>IFERROR(__xludf.DUMMYFUNCTION("""COMPUTED_VALUE"""),153.0)</f>
        <v>153</v>
      </c>
      <c r="E77" s="6">
        <f>IFERROR(__xludf.DUMMYFUNCTION("""COMPUTED_VALUE"""),157.96)</f>
        <v>157.96</v>
      </c>
      <c r="F77" s="6">
        <f>IFERROR(__xludf.DUMMYFUNCTION("""COMPUTED_VALUE"""),4.3509675E7)</f>
        <v>43509675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IFERROR(__xludf.DUMMYFUNCTION("""COMPUTED_VALUE"""),157.89)</f>
        <v>157.89</v>
      </c>
      <c r="C78" s="6">
        <f>IFERROR(__xludf.DUMMYFUNCTION("""COMPUTED_VALUE"""),177.33)</f>
        <v>177.33</v>
      </c>
      <c r="D78" s="6">
        <f>IFERROR(__xludf.DUMMYFUNCTION("""COMPUTED_VALUE"""),156.41)</f>
        <v>156.41</v>
      </c>
      <c r="E78" s="6">
        <f>IFERROR(__xludf.DUMMYFUNCTION("""COMPUTED_VALUE"""),175.05)</f>
        <v>175.05</v>
      </c>
      <c r="F78" s="6">
        <f>IFERROR(__xludf.DUMMYFUNCTION("""COMPUTED_VALUE"""),7.7512328E7)</f>
        <v>77512328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IFERROR(__xludf.DUMMYFUNCTION("""COMPUTED_VALUE"""),178.76)</f>
        <v>178.76</v>
      </c>
      <c r="C79" s="6">
        <f>IFERROR(__xludf.DUMMYFUNCTION("""COMPUTED_VALUE"""),186.4)</f>
        <v>186.4</v>
      </c>
      <c r="D79" s="6">
        <f>IFERROR(__xludf.DUMMYFUNCTION("""COMPUTED_VALUE"""),172.2)</f>
        <v>172.2</v>
      </c>
      <c r="E79" s="6">
        <f>IFERROR(__xludf.DUMMYFUNCTION("""COMPUTED_VALUE"""),183.04)</f>
        <v>183.04</v>
      </c>
      <c r="F79" s="6">
        <f>IFERROR(__xludf.DUMMYFUNCTION("""COMPUTED_VALUE"""),1.11754435E8)</f>
        <v>111754435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IFERROR(__xludf.DUMMYFUNCTION("""COMPUTED_VALUE"""),181.59)</f>
        <v>181.59</v>
      </c>
      <c r="C80" s="6">
        <f>IFERROR(__xludf.DUMMYFUNCTION("""COMPUTED_VALUE"""),186.95)</f>
        <v>186.95</v>
      </c>
      <c r="D80" s="6">
        <f>IFERROR(__xludf.DUMMYFUNCTION("""COMPUTED_VALUE"""),175.0)</f>
        <v>175</v>
      </c>
      <c r="E80" s="6">
        <f>IFERROR(__xludf.DUMMYFUNCTION("""COMPUTED_VALUE"""),176.61)</f>
        <v>176.61</v>
      </c>
      <c r="F80" s="6">
        <f>IFERROR(__xludf.DUMMYFUNCTION("""COMPUTED_VALUE"""),5.373174E7)</f>
        <v>53731740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IFERROR(__xludf.DUMMYFUNCTION("""COMPUTED_VALUE"""),159.8)</f>
        <v>159.8</v>
      </c>
      <c r="C81" s="6">
        <f>IFERROR(__xludf.DUMMYFUNCTION("""COMPUTED_VALUE"""),177.43)</f>
        <v>177.43</v>
      </c>
      <c r="D81" s="6">
        <f>IFERROR(__xludf.DUMMYFUNCTION("""COMPUTED_VALUE"""),159.61)</f>
        <v>159.61</v>
      </c>
      <c r="E81" s="6">
        <f>IFERROR(__xludf.DUMMYFUNCTION("""COMPUTED_VALUE"""),171.71)</f>
        <v>171.71</v>
      </c>
      <c r="F81" s="6">
        <f>IFERROR(__xludf.DUMMYFUNCTION("""COMPUTED_VALUE"""),4.5788031E7)</f>
        <v>45788031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IFERROR(__xludf.DUMMYFUNCTION("""COMPUTED_VALUE"""),176.69)</f>
        <v>176.69</v>
      </c>
      <c r="C82" s="6">
        <f>IFERROR(__xludf.DUMMYFUNCTION("""COMPUTED_VALUE"""),188.7)</f>
        <v>188.7</v>
      </c>
      <c r="D82" s="6">
        <f>IFERROR(__xludf.DUMMYFUNCTION("""COMPUTED_VALUE"""),174.88)</f>
        <v>174.88</v>
      </c>
      <c r="E82" s="6">
        <f>IFERROR(__xludf.DUMMYFUNCTION("""COMPUTED_VALUE"""),186.99)</f>
        <v>186.99</v>
      </c>
      <c r="F82" s="6">
        <f>IFERROR(__xludf.DUMMYFUNCTION("""COMPUTED_VALUE"""),5.5723822E7)</f>
        <v>55723822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IFERROR(__xludf.DUMMYFUNCTION("""COMPUTED_VALUE"""),190.5)</f>
        <v>190.5</v>
      </c>
      <c r="C83" s="6">
        <f>IFERROR(__xludf.DUMMYFUNCTION("""COMPUTED_VALUE"""),197.0)</f>
        <v>197</v>
      </c>
      <c r="D83" s="6">
        <f>IFERROR(__xludf.DUMMYFUNCTION("""COMPUTED_VALUE"""),184.88)</f>
        <v>184.88</v>
      </c>
      <c r="E83" s="6">
        <f>IFERROR(__xludf.DUMMYFUNCTION("""COMPUTED_VALUE"""),186.74)</f>
        <v>186.74</v>
      </c>
      <c r="F83" s="6">
        <f>IFERROR(__xludf.DUMMYFUNCTION("""COMPUTED_VALUE"""),7.7346813E7)</f>
        <v>77346813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IFERROR(__xludf.DUMMYFUNCTION("""COMPUTED_VALUE"""),185.99)</f>
        <v>185.99</v>
      </c>
      <c r="C84" s="6">
        <f>IFERROR(__xludf.DUMMYFUNCTION("""COMPUTED_VALUE"""),193.19)</f>
        <v>193.19</v>
      </c>
      <c r="D84" s="6">
        <f>IFERROR(__xludf.DUMMYFUNCTION("""COMPUTED_VALUE"""),185.84)</f>
        <v>185.84</v>
      </c>
      <c r="E84" s="6">
        <f>IFERROR(__xludf.DUMMYFUNCTION("""COMPUTED_VALUE"""),189.54)</f>
        <v>189.54</v>
      </c>
      <c r="F84" s="6">
        <f>IFERROR(__xludf.DUMMYFUNCTION("""COMPUTED_VALUE"""),3.1910753E7)</f>
        <v>31910753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IFERROR(__xludf.DUMMYFUNCTION("""COMPUTED_VALUE"""),189.54)</f>
        <v>189.54</v>
      </c>
      <c r="C85" s="6">
        <f>IFERROR(__xludf.DUMMYFUNCTION("""COMPUTED_VALUE"""),193.1)</f>
        <v>193.1</v>
      </c>
      <c r="D85" s="6">
        <f>IFERROR(__xludf.DUMMYFUNCTION("""COMPUTED_VALUE"""),178.6)</f>
        <v>178.6</v>
      </c>
      <c r="E85" s="6">
        <f>IFERROR(__xludf.DUMMYFUNCTION("""COMPUTED_VALUE"""),181.6)</f>
        <v>181.6</v>
      </c>
      <c r="F85" s="6">
        <f>IFERROR(__xludf.DUMMYFUNCTION("""COMPUTED_VALUE"""),4.9373032E7)</f>
        <v>49373032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IFERROR(__xludf.DUMMYFUNCTION("""COMPUTED_VALUE"""),187.34)</f>
        <v>187.34</v>
      </c>
      <c r="C86" s="6">
        <f>IFERROR(__xludf.DUMMYFUNCTION("""COMPUTED_VALUE"""),189.52)</f>
        <v>189.52</v>
      </c>
      <c r="D86" s="6">
        <f>IFERROR(__xludf.DUMMYFUNCTION("""COMPUTED_VALUE"""),182.85)</f>
        <v>182.85</v>
      </c>
      <c r="E86" s="6">
        <f>IFERROR(__xludf.DUMMYFUNCTION("""COMPUTED_VALUE"""),186.28)</f>
        <v>186.28</v>
      </c>
      <c r="F86" s="6">
        <f>IFERROR(__xludf.DUMMYFUNCTION("""COMPUTED_VALUE"""),7.5961785E7)</f>
        <v>75961785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IFERROR(__xludf.DUMMYFUNCTION("""COMPUTED_VALUE"""),187.39)</f>
        <v>187.39</v>
      </c>
      <c r="C87" s="6">
        <f>IFERROR(__xludf.DUMMYFUNCTION("""COMPUTED_VALUE"""),194.0)</f>
        <v>194</v>
      </c>
      <c r="D87" s="6">
        <f>IFERROR(__xludf.DUMMYFUNCTION("""COMPUTED_VALUE"""),186.3)</f>
        <v>186.3</v>
      </c>
      <c r="E87" s="6">
        <f>IFERROR(__xludf.DUMMYFUNCTION("""COMPUTED_VALUE"""),191.28)</f>
        <v>191.28</v>
      </c>
      <c r="F87" s="6">
        <f>IFERROR(__xludf.DUMMYFUNCTION("""COMPUTED_VALUE"""),6.6134168E7)</f>
        <v>66134168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IFERROR(__xludf.DUMMYFUNCTION("""COMPUTED_VALUE"""),192.0)</f>
        <v>192</v>
      </c>
      <c r="C88" s="6">
        <f>IFERROR(__xludf.DUMMYFUNCTION("""COMPUTED_VALUE"""),197.28)</f>
        <v>197.28</v>
      </c>
      <c r="D88" s="6">
        <f>IFERROR(__xludf.DUMMYFUNCTION("""COMPUTED_VALUE"""),188.96)</f>
        <v>188.96</v>
      </c>
      <c r="E88" s="6">
        <f>IFERROR(__xludf.DUMMYFUNCTION("""COMPUTED_VALUE"""),189.8)</f>
        <v>189.8</v>
      </c>
      <c r="F88" s="6">
        <f>IFERROR(__xludf.DUMMYFUNCTION("""COMPUTED_VALUE"""),7.0346148E7)</f>
        <v>70346148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IFERROR(__xludf.DUMMYFUNCTION("""COMPUTED_VALUE"""),189.8)</f>
        <v>189.8</v>
      </c>
      <c r="C89" s="6">
        <f>IFERROR(__xludf.DUMMYFUNCTION("""COMPUTED_VALUE"""),194.87)</f>
        <v>194.87</v>
      </c>
      <c r="D89" s="6">
        <f>IFERROR(__xludf.DUMMYFUNCTION("""COMPUTED_VALUE"""),186.3)</f>
        <v>186.3</v>
      </c>
      <c r="E89" s="6">
        <f>IFERROR(__xludf.DUMMYFUNCTION("""COMPUTED_VALUE"""),191.15)</f>
        <v>191.15</v>
      </c>
      <c r="F89" s="6">
        <f>IFERROR(__xludf.DUMMYFUNCTION("""COMPUTED_VALUE"""),5.0408192E7)</f>
        <v>50408192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IFERROR(__xludf.DUMMYFUNCTION("""COMPUTED_VALUE"""),191.5)</f>
        <v>191.5</v>
      </c>
      <c r="C90" s="6">
        <f>IFERROR(__xludf.DUMMYFUNCTION("""COMPUTED_VALUE"""),202.79)</f>
        <v>202.79</v>
      </c>
      <c r="D90" s="6">
        <f>IFERROR(__xludf.DUMMYFUNCTION("""COMPUTED_VALUE"""),185.17)</f>
        <v>185.17</v>
      </c>
      <c r="E90" s="6">
        <f>IFERROR(__xludf.DUMMYFUNCTION("""COMPUTED_VALUE"""),191.34)</f>
        <v>191.34</v>
      </c>
      <c r="F90" s="6">
        <f>IFERROR(__xludf.DUMMYFUNCTION("""COMPUTED_VALUE"""),8.5813978E7)</f>
        <v>85813978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IFERROR(__xludf.DUMMYFUNCTION("""COMPUTED_VALUE"""),192.5)</f>
        <v>192.5</v>
      </c>
      <c r="C91" s="6">
        <f>IFERROR(__xludf.DUMMYFUNCTION("""COMPUTED_VALUE"""),192.65)</f>
        <v>192.65</v>
      </c>
      <c r="D91" s="6">
        <f>IFERROR(__xludf.DUMMYFUNCTION("""COMPUTED_VALUE"""),179.42)</f>
        <v>179.42</v>
      </c>
      <c r="E91" s="6">
        <f>IFERROR(__xludf.DUMMYFUNCTION("""COMPUTED_VALUE"""),181.85)</f>
        <v>181.85</v>
      </c>
      <c r="F91" s="6">
        <f>IFERROR(__xludf.DUMMYFUNCTION("""COMPUTED_VALUE"""),6.5702489E7)</f>
        <v>65702489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IFERROR(__xludf.DUMMYFUNCTION("""COMPUTED_VALUE"""),180.0)</f>
        <v>180</v>
      </c>
      <c r="C92" s="6">
        <f>IFERROR(__xludf.DUMMYFUNCTION("""COMPUTED_VALUE"""),191.61)</f>
        <v>191.61</v>
      </c>
      <c r="D92" s="6">
        <f>IFERROR(__xludf.DUMMYFUNCTION("""COMPUTED_VALUE"""),179.85)</f>
        <v>179.85</v>
      </c>
      <c r="E92" s="6">
        <f>IFERROR(__xludf.DUMMYFUNCTION("""COMPUTED_VALUE"""),191.02)</f>
        <v>191.02</v>
      </c>
      <c r="F92" s="6">
        <f>IFERROR(__xludf.DUMMYFUNCTION("""COMPUTED_VALUE"""),5.2734097E7)</f>
        <v>52734097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IFERROR(__xludf.DUMMYFUNCTION("""COMPUTED_VALUE"""),192.0)</f>
        <v>192</v>
      </c>
      <c r="C93" s="6">
        <f>IFERROR(__xludf.DUMMYFUNCTION("""COMPUTED_VALUE"""),195.19)</f>
        <v>195.19</v>
      </c>
      <c r="D93" s="6">
        <f>IFERROR(__xludf.DUMMYFUNCTION("""COMPUTED_VALUE"""),188.0)</f>
        <v>188</v>
      </c>
      <c r="E93" s="6">
        <f>IFERROR(__xludf.DUMMYFUNCTION("""COMPUTED_VALUE"""),193.41)</f>
        <v>193.41</v>
      </c>
      <c r="F93" s="6">
        <f>IFERROR(__xludf.DUMMYFUNCTION("""COMPUTED_VALUE"""),5.8915744E7)</f>
        <v>58915744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IFERROR(__xludf.DUMMYFUNCTION("""COMPUTED_VALUE"""),193.5)</f>
        <v>193.5</v>
      </c>
      <c r="C94" s="6">
        <f>IFERROR(__xludf.DUMMYFUNCTION("""COMPUTED_VALUE"""),195.45)</f>
        <v>195.45</v>
      </c>
      <c r="D94" s="6">
        <f>IFERROR(__xludf.DUMMYFUNCTION("""COMPUTED_VALUE"""),181.55)</f>
        <v>181.55</v>
      </c>
      <c r="E94" s="6">
        <f>IFERROR(__xludf.DUMMYFUNCTION("""COMPUTED_VALUE"""),181.89)</f>
        <v>181.89</v>
      </c>
      <c r="F94" s="6">
        <f>IFERROR(__xludf.DUMMYFUNCTION("""COMPUTED_VALUE"""),7.428269E7)</f>
        <v>74282690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IFERROR(__xludf.DUMMYFUNCTION("""COMPUTED_VALUE"""),181.89)</f>
        <v>181.89</v>
      </c>
      <c r="C95" s="6">
        <f>IFERROR(__xludf.DUMMYFUNCTION("""COMPUTED_VALUE"""),186.1)</f>
        <v>186.1</v>
      </c>
      <c r="D95" s="6">
        <f>IFERROR(__xludf.DUMMYFUNCTION("""COMPUTED_VALUE"""),180.11)</f>
        <v>180.11</v>
      </c>
      <c r="E95" s="6">
        <f>IFERROR(__xludf.DUMMYFUNCTION("""COMPUTED_VALUE"""),185.23)</f>
        <v>185.23</v>
      </c>
      <c r="F95" s="6">
        <f>IFERROR(__xludf.DUMMYFUNCTION("""COMPUTED_VALUE"""),4.6857273E7)</f>
        <v>46857273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IFERROR(__xludf.DUMMYFUNCTION("""COMPUTED_VALUE"""),184.6)</f>
        <v>184.6</v>
      </c>
      <c r="C96" s="6">
        <f>IFERROR(__xludf.DUMMYFUNCTION("""COMPUTED_VALUE"""),188.89)</f>
        <v>188.89</v>
      </c>
      <c r="D96" s="6">
        <f>IFERROR(__xludf.DUMMYFUNCTION("""COMPUTED_VALUE"""),183.09)</f>
        <v>183.09</v>
      </c>
      <c r="E96" s="6">
        <f>IFERROR(__xludf.DUMMYFUNCTION("""COMPUTED_VALUE"""),183.51)</f>
        <v>183.51</v>
      </c>
      <c r="F96" s="6">
        <f>IFERROR(__xludf.DUMMYFUNCTION("""COMPUTED_VALUE"""),4.2438134E7)</f>
        <v>42438134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IFERROR(__xludf.DUMMYFUNCTION("""COMPUTED_VALUE"""),183.51)</f>
        <v>183.51</v>
      </c>
      <c r="C97" s="6">
        <f>IFERROR(__xludf.DUMMYFUNCTION("""COMPUTED_VALUE"""),185.62)</f>
        <v>185.62</v>
      </c>
      <c r="D97" s="6">
        <f>IFERROR(__xludf.DUMMYFUNCTION("""COMPUTED_VALUE"""),173.85)</f>
        <v>173.85</v>
      </c>
      <c r="E97" s="6">
        <f>IFERROR(__xludf.DUMMYFUNCTION("""COMPUTED_VALUE"""),174.39)</f>
        <v>174.39</v>
      </c>
      <c r="F97" s="6">
        <f>IFERROR(__xludf.DUMMYFUNCTION("""COMPUTED_VALUE"""),5.477069E7)</f>
        <v>54770690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IFERROR(__xludf.DUMMYFUNCTION("""COMPUTED_VALUE"""),173.7)</f>
        <v>173.7</v>
      </c>
      <c r="C98" s="6">
        <f>IFERROR(__xludf.DUMMYFUNCTION("""COMPUTED_VALUE"""),175.37)</f>
        <v>175.37</v>
      </c>
      <c r="D98" s="6">
        <f>IFERROR(__xludf.DUMMYFUNCTION("""COMPUTED_VALUE"""),167.25)</f>
        <v>167.25</v>
      </c>
      <c r="E98" s="6">
        <f>IFERROR(__xludf.DUMMYFUNCTION("""COMPUTED_VALUE"""),171.15)</f>
        <v>171.15</v>
      </c>
      <c r="F98" s="6">
        <f>IFERROR(__xludf.DUMMYFUNCTION("""COMPUTED_VALUE"""),6.9942725E7)</f>
        <v>69942725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IFERROR(__xludf.DUMMYFUNCTION("""COMPUTED_VALUE"""),171.15)</f>
        <v>171.15</v>
      </c>
      <c r="C99" s="6">
        <f>IFERROR(__xludf.DUMMYFUNCTION("""COMPUTED_VALUE"""),175.24)</f>
        <v>175.24</v>
      </c>
      <c r="D99" s="6">
        <f>IFERROR(__xludf.DUMMYFUNCTION("""COMPUTED_VALUE"""),170.1)</f>
        <v>170.1</v>
      </c>
      <c r="E99" s="6">
        <f>IFERROR(__xludf.DUMMYFUNCTION("""COMPUTED_VALUE"""),173.93)</f>
        <v>173.93</v>
      </c>
      <c r="F99" s="6">
        <f>IFERROR(__xludf.DUMMYFUNCTION("""COMPUTED_VALUE"""),2.7601272E7)</f>
        <v>27601272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IFERROR(__xludf.DUMMYFUNCTION("""COMPUTED_VALUE"""),174.0)</f>
        <v>174</v>
      </c>
      <c r="C100" s="6">
        <f>IFERROR(__xludf.DUMMYFUNCTION("""COMPUTED_VALUE"""),179.39)</f>
        <v>179.39</v>
      </c>
      <c r="D100" s="6">
        <f>IFERROR(__xludf.DUMMYFUNCTION("""COMPUTED_VALUE"""),172.36)</f>
        <v>172.36</v>
      </c>
      <c r="E100" s="6">
        <f>IFERROR(__xludf.DUMMYFUNCTION("""COMPUTED_VALUE"""),176.81)</f>
        <v>176.81</v>
      </c>
      <c r="F100" s="6">
        <f>IFERROR(__xludf.DUMMYFUNCTION("""COMPUTED_VALUE"""),3.7384343E7)</f>
        <v>37384343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IFERROR(__xludf.DUMMYFUNCTION("""COMPUTED_VALUE"""),176.82)</f>
        <v>176.82</v>
      </c>
      <c r="C101" s="6">
        <f>IFERROR(__xludf.DUMMYFUNCTION("""COMPUTED_VALUE"""),176.86)</f>
        <v>176.86</v>
      </c>
      <c r="D101" s="6">
        <f>IFERROR(__xludf.DUMMYFUNCTION("""COMPUTED_VALUE"""),171.0)</f>
        <v>171</v>
      </c>
      <c r="E101" s="6">
        <f>IFERROR(__xludf.DUMMYFUNCTION("""COMPUTED_VALUE"""),171.64)</f>
        <v>171.64</v>
      </c>
      <c r="F101" s="6">
        <f>IFERROR(__xludf.DUMMYFUNCTION("""COMPUTED_VALUE"""),1.398469E8)</f>
        <v>139846900</v>
      </c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IFERROR(__xludf.DUMMYFUNCTION("GOOGLEFINANCE(""NSE:GLENMARK"",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IFERROR(__xludf.DUMMYFUNCTION("""COMPUTED_VALUE"""),744.2)</f>
        <v>744.2</v>
      </c>
      <c r="C2" s="6">
        <f>IFERROR(__xludf.DUMMYFUNCTION("""COMPUTED_VALUE"""),777.0)</f>
        <v>777</v>
      </c>
      <c r="D2" s="6">
        <f>IFERROR(__xludf.DUMMYFUNCTION("""COMPUTED_VALUE"""),738.65)</f>
        <v>738.65</v>
      </c>
      <c r="E2" s="6">
        <f>IFERROR(__xludf.DUMMYFUNCTION("""COMPUTED_VALUE"""),757.05)</f>
        <v>757.05</v>
      </c>
      <c r="F2" s="6">
        <f>IFERROR(__xludf.DUMMYFUNCTION("""COMPUTED_VALUE"""),4316545.0)</f>
        <v>4316545</v>
      </c>
    </row>
    <row r="3">
      <c r="A3" s="7">
        <f>IFERROR(__xludf.DUMMYFUNCTION("""COMPUTED_VALUE"""),45177.64583333333)</f>
        <v>45177.64583</v>
      </c>
      <c r="B3" s="6">
        <f>IFERROR(__xludf.DUMMYFUNCTION("""COMPUTED_VALUE"""),756.0)</f>
        <v>756</v>
      </c>
      <c r="C3" s="6">
        <f>IFERROR(__xludf.DUMMYFUNCTION("""COMPUTED_VALUE"""),805.0)</f>
        <v>805</v>
      </c>
      <c r="D3" s="6">
        <f>IFERROR(__xludf.DUMMYFUNCTION("""COMPUTED_VALUE"""),755.0)</f>
        <v>755</v>
      </c>
      <c r="E3" s="6">
        <f>IFERROR(__xludf.DUMMYFUNCTION("""COMPUTED_VALUE"""),776.85)</f>
        <v>776.85</v>
      </c>
      <c r="F3" s="6">
        <f>IFERROR(__xludf.DUMMYFUNCTION("""COMPUTED_VALUE"""),5751229.0)</f>
        <v>5751229</v>
      </c>
    </row>
    <row r="4">
      <c r="A4" s="7">
        <f>IFERROR(__xludf.DUMMYFUNCTION("""COMPUTED_VALUE"""),45184.64583333333)</f>
        <v>45184.64583</v>
      </c>
      <c r="B4" s="6">
        <f>IFERROR(__xludf.DUMMYFUNCTION("""COMPUTED_VALUE"""),779.05)</f>
        <v>779.05</v>
      </c>
      <c r="C4" s="6">
        <f>IFERROR(__xludf.DUMMYFUNCTION("""COMPUTED_VALUE"""),873.0)</f>
        <v>873</v>
      </c>
      <c r="D4" s="6">
        <f>IFERROR(__xludf.DUMMYFUNCTION("""COMPUTED_VALUE"""),779.05)</f>
        <v>779.05</v>
      </c>
      <c r="E4" s="6">
        <f>IFERROR(__xludf.DUMMYFUNCTION("""COMPUTED_VALUE"""),856.5)</f>
        <v>856.5</v>
      </c>
      <c r="F4" s="6">
        <f>IFERROR(__xludf.DUMMYFUNCTION("""COMPUTED_VALUE"""),1.0727078E7)</f>
        <v>10727078</v>
      </c>
    </row>
    <row r="5">
      <c r="A5" s="7">
        <f>IFERROR(__xludf.DUMMYFUNCTION("""COMPUTED_VALUE"""),45191.64583333333)</f>
        <v>45191.64583</v>
      </c>
      <c r="B5" s="6">
        <f>IFERROR(__xludf.DUMMYFUNCTION("""COMPUTED_VALUE"""),857.0)</f>
        <v>857</v>
      </c>
      <c r="C5" s="6">
        <f>IFERROR(__xludf.DUMMYFUNCTION("""COMPUTED_VALUE"""),880.0)</f>
        <v>880</v>
      </c>
      <c r="D5" s="6">
        <f>IFERROR(__xludf.DUMMYFUNCTION("""COMPUTED_VALUE"""),775.0)</f>
        <v>775</v>
      </c>
      <c r="E5" s="6">
        <f>IFERROR(__xludf.DUMMYFUNCTION("""COMPUTED_VALUE"""),802.8)</f>
        <v>802.8</v>
      </c>
      <c r="F5" s="6">
        <f>IFERROR(__xludf.DUMMYFUNCTION("""COMPUTED_VALUE"""),1.2602077E7)</f>
        <v>12602077</v>
      </c>
    </row>
    <row r="6">
      <c r="A6" s="7">
        <f>IFERROR(__xludf.DUMMYFUNCTION("""COMPUTED_VALUE"""),45198.64583333333)</f>
        <v>45198.64583</v>
      </c>
      <c r="B6" s="6">
        <f>IFERROR(__xludf.DUMMYFUNCTION("""COMPUTED_VALUE"""),802.8)</f>
        <v>802.8</v>
      </c>
      <c r="C6" s="6">
        <f>IFERROR(__xludf.DUMMYFUNCTION("""COMPUTED_VALUE"""),861.7)</f>
        <v>861.7</v>
      </c>
      <c r="D6" s="6">
        <f>IFERROR(__xludf.DUMMYFUNCTION("""COMPUTED_VALUE"""),760.0)</f>
        <v>760</v>
      </c>
      <c r="E6" s="6">
        <f>IFERROR(__xludf.DUMMYFUNCTION("""COMPUTED_VALUE"""),855.5)</f>
        <v>855.5</v>
      </c>
      <c r="F6" s="6">
        <f>IFERROR(__xludf.DUMMYFUNCTION("""COMPUTED_VALUE"""),1.4705947E7)</f>
        <v>14705947</v>
      </c>
    </row>
    <row r="7">
      <c r="A7" s="7">
        <f>IFERROR(__xludf.DUMMYFUNCTION("""COMPUTED_VALUE"""),45205.64583333333)</f>
        <v>45205.64583</v>
      </c>
      <c r="B7" s="6">
        <f>IFERROR(__xludf.DUMMYFUNCTION("""COMPUTED_VALUE"""),852.05)</f>
        <v>852.05</v>
      </c>
      <c r="C7" s="6">
        <f>IFERROR(__xludf.DUMMYFUNCTION("""COMPUTED_VALUE"""),859.9)</f>
        <v>859.9</v>
      </c>
      <c r="D7" s="6">
        <f>IFERROR(__xludf.DUMMYFUNCTION("""COMPUTED_VALUE"""),785.5)</f>
        <v>785.5</v>
      </c>
      <c r="E7" s="6">
        <f>IFERROR(__xludf.DUMMYFUNCTION("""COMPUTED_VALUE"""),793.6)</f>
        <v>793.6</v>
      </c>
      <c r="F7" s="6">
        <f>IFERROR(__xludf.DUMMYFUNCTION("""COMPUTED_VALUE"""),4658436.0)</f>
        <v>4658436</v>
      </c>
    </row>
    <row r="8">
      <c r="A8" s="7">
        <f>IFERROR(__xludf.DUMMYFUNCTION("""COMPUTED_VALUE"""),45212.64583333333)</f>
        <v>45212.64583</v>
      </c>
      <c r="B8" s="6">
        <f>IFERROR(__xludf.DUMMYFUNCTION("""COMPUTED_VALUE"""),790.0)</f>
        <v>790</v>
      </c>
      <c r="C8" s="6">
        <f>IFERROR(__xludf.DUMMYFUNCTION("""COMPUTED_VALUE"""),809.45)</f>
        <v>809.45</v>
      </c>
      <c r="D8" s="6">
        <f>IFERROR(__xludf.DUMMYFUNCTION("""COMPUTED_VALUE"""),778.8)</f>
        <v>778.8</v>
      </c>
      <c r="E8" s="6">
        <f>IFERROR(__xludf.DUMMYFUNCTION("""COMPUTED_VALUE"""),798.35)</f>
        <v>798.35</v>
      </c>
      <c r="F8" s="6">
        <f>IFERROR(__xludf.DUMMYFUNCTION("""COMPUTED_VALUE"""),4107164.0)</f>
        <v>4107164</v>
      </c>
    </row>
    <row r="9">
      <c r="A9" s="7">
        <f>IFERROR(__xludf.DUMMYFUNCTION("""COMPUTED_VALUE"""),45219.64583333333)</f>
        <v>45219.64583</v>
      </c>
      <c r="B9" s="6">
        <f>IFERROR(__xludf.DUMMYFUNCTION("""COMPUTED_VALUE"""),798.3)</f>
        <v>798.3</v>
      </c>
      <c r="C9" s="6">
        <f>IFERROR(__xludf.DUMMYFUNCTION("""COMPUTED_VALUE"""),815.0)</f>
        <v>815</v>
      </c>
      <c r="D9" s="6">
        <f>IFERROR(__xludf.DUMMYFUNCTION("""COMPUTED_VALUE"""),775.6)</f>
        <v>775.6</v>
      </c>
      <c r="E9" s="6">
        <f>IFERROR(__xludf.DUMMYFUNCTION("""COMPUTED_VALUE"""),781.15)</f>
        <v>781.15</v>
      </c>
      <c r="F9" s="6">
        <f>IFERROR(__xludf.DUMMYFUNCTION("""COMPUTED_VALUE"""),2468210.0)</f>
        <v>2468210</v>
      </c>
    </row>
    <row r="10">
      <c r="A10" s="7">
        <f>IFERROR(__xludf.DUMMYFUNCTION("""COMPUTED_VALUE"""),45226.64583333333)</f>
        <v>45226.64583</v>
      </c>
      <c r="B10" s="6">
        <f>IFERROR(__xludf.DUMMYFUNCTION("""COMPUTED_VALUE"""),780.0)</f>
        <v>780</v>
      </c>
      <c r="C10" s="6">
        <f>IFERROR(__xludf.DUMMYFUNCTION("""COMPUTED_VALUE"""),791.15)</f>
        <v>791.15</v>
      </c>
      <c r="D10" s="6">
        <f>IFERROR(__xludf.DUMMYFUNCTION("""COMPUTED_VALUE"""),731.5)</f>
        <v>731.5</v>
      </c>
      <c r="E10" s="6">
        <f>IFERROR(__xludf.DUMMYFUNCTION("""COMPUTED_VALUE"""),743.15)</f>
        <v>743.15</v>
      </c>
      <c r="F10" s="6">
        <f>IFERROR(__xludf.DUMMYFUNCTION("""COMPUTED_VALUE"""),2654515.0)</f>
        <v>2654515</v>
      </c>
    </row>
    <row r="11">
      <c r="A11" s="7">
        <f>IFERROR(__xludf.DUMMYFUNCTION("""COMPUTED_VALUE"""),45233.64583333333)</f>
        <v>45233.64583</v>
      </c>
      <c r="B11" s="6">
        <f>IFERROR(__xludf.DUMMYFUNCTION("""COMPUTED_VALUE"""),739.6)</f>
        <v>739.6</v>
      </c>
      <c r="C11" s="6">
        <f>IFERROR(__xludf.DUMMYFUNCTION("""COMPUTED_VALUE"""),761.85)</f>
        <v>761.85</v>
      </c>
      <c r="D11" s="6">
        <f>IFERROR(__xludf.DUMMYFUNCTION("""COMPUTED_VALUE"""),734.6)</f>
        <v>734.6</v>
      </c>
      <c r="E11" s="6">
        <f>IFERROR(__xludf.DUMMYFUNCTION("""COMPUTED_VALUE"""),746.6)</f>
        <v>746.6</v>
      </c>
      <c r="F11" s="6">
        <f>IFERROR(__xludf.DUMMYFUNCTION("""COMPUTED_VALUE"""),2106613.0)</f>
        <v>2106613</v>
      </c>
    </row>
    <row r="12">
      <c r="A12" s="7">
        <f>IFERROR(__xludf.DUMMYFUNCTION("""COMPUTED_VALUE"""),45240.64583333333)</f>
        <v>45240.64583</v>
      </c>
      <c r="B12" s="6">
        <f>IFERROR(__xludf.DUMMYFUNCTION("""COMPUTED_VALUE"""),752.4)</f>
        <v>752.4</v>
      </c>
      <c r="C12" s="6">
        <f>IFERROR(__xludf.DUMMYFUNCTION("""COMPUTED_VALUE"""),793.8)</f>
        <v>793.8</v>
      </c>
      <c r="D12" s="6">
        <f>IFERROR(__xludf.DUMMYFUNCTION("""COMPUTED_VALUE"""),749.0)</f>
        <v>749</v>
      </c>
      <c r="E12" s="6">
        <f>IFERROR(__xludf.DUMMYFUNCTION("""COMPUTED_VALUE"""),777.85)</f>
        <v>777.85</v>
      </c>
      <c r="F12" s="6">
        <f>IFERROR(__xludf.DUMMYFUNCTION("""COMPUTED_VALUE"""),4099272.0)</f>
        <v>4099272</v>
      </c>
    </row>
    <row r="13">
      <c r="A13" s="7">
        <f>IFERROR(__xludf.DUMMYFUNCTION("""COMPUTED_VALUE"""),45247.64583333333)</f>
        <v>45247.64583</v>
      </c>
      <c r="B13" s="6">
        <f>IFERROR(__xludf.DUMMYFUNCTION("""COMPUTED_VALUE"""),763.85)</f>
        <v>763.85</v>
      </c>
      <c r="C13" s="6">
        <f>IFERROR(__xludf.DUMMYFUNCTION("""COMPUTED_VALUE"""),783.4)</f>
        <v>783.4</v>
      </c>
      <c r="D13" s="6">
        <f>IFERROR(__xludf.DUMMYFUNCTION("""COMPUTED_VALUE"""),722.1)</f>
        <v>722.1</v>
      </c>
      <c r="E13" s="6">
        <f>IFERROR(__xludf.DUMMYFUNCTION("""COMPUTED_VALUE"""),775.95)</f>
        <v>775.95</v>
      </c>
      <c r="F13" s="6">
        <f>IFERROR(__xludf.DUMMYFUNCTION("""COMPUTED_VALUE"""),9662647.0)</f>
        <v>9662647</v>
      </c>
    </row>
    <row r="14">
      <c r="A14" s="7">
        <f>IFERROR(__xludf.DUMMYFUNCTION("""COMPUTED_VALUE"""),45254.64583333333)</f>
        <v>45254.64583</v>
      </c>
      <c r="B14" s="6">
        <f>IFERROR(__xludf.DUMMYFUNCTION("""COMPUTED_VALUE"""),775.95)</f>
        <v>775.95</v>
      </c>
      <c r="C14" s="6">
        <f>IFERROR(__xludf.DUMMYFUNCTION("""COMPUTED_VALUE"""),799.8)</f>
        <v>799.8</v>
      </c>
      <c r="D14" s="6">
        <f>IFERROR(__xludf.DUMMYFUNCTION("""COMPUTED_VALUE"""),761.0)</f>
        <v>761</v>
      </c>
      <c r="E14" s="6">
        <f>IFERROR(__xludf.DUMMYFUNCTION("""COMPUTED_VALUE"""),786.9)</f>
        <v>786.9</v>
      </c>
      <c r="F14" s="6">
        <f>IFERROR(__xludf.DUMMYFUNCTION("""COMPUTED_VALUE"""),6179423.0)</f>
        <v>6179423</v>
      </c>
    </row>
    <row r="15">
      <c r="A15" s="7">
        <f>IFERROR(__xludf.DUMMYFUNCTION("""COMPUTED_VALUE"""),45261.64583333333)</f>
        <v>45261.64583</v>
      </c>
      <c r="B15" s="6">
        <f>IFERROR(__xludf.DUMMYFUNCTION("""COMPUTED_VALUE"""),786.9)</f>
        <v>786.9</v>
      </c>
      <c r="C15" s="6">
        <f>IFERROR(__xludf.DUMMYFUNCTION("""COMPUTED_VALUE"""),798.0)</f>
        <v>798</v>
      </c>
      <c r="D15" s="6">
        <f>IFERROR(__xludf.DUMMYFUNCTION("""COMPUTED_VALUE"""),764.5)</f>
        <v>764.5</v>
      </c>
      <c r="E15" s="6">
        <f>IFERROR(__xludf.DUMMYFUNCTION("""COMPUTED_VALUE"""),792.6)</f>
        <v>792.6</v>
      </c>
      <c r="F15" s="6">
        <f>IFERROR(__xludf.DUMMYFUNCTION("""COMPUTED_VALUE"""),3358499.0)</f>
        <v>3358499</v>
      </c>
    </row>
    <row r="16">
      <c r="A16" s="7">
        <f>IFERROR(__xludf.DUMMYFUNCTION("""COMPUTED_VALUE"""),45268.64583333333)</f>
        <v>45268.64583</v>
      </c>
      <c r="B16" s="6">
        <f>IFERROR(__xludf.DUMMYFUNCTION("""COMPUTED_VALUE"""),798.95)</f>
        <v>798.95</v>
      </c>
      <c r="C16" s="6">
        <f>IFERROR(__xludf.DUMMYFUNCTION("""COMPUTED_VALUE"""),827.0)</f>
        <v>827</v>
      </c>
      <c r="D16" s="6">
        <f>IFERROR(__xludf.DUMMYFUNCTION("""COMPUTED_VALUE"""),772.4)</f>
        <v>772.4</v>
      </c>
      <c r="E16" s="6">
        <f>IFERROR(__xludf.DUMMYFUNCTION("""COMPUTED_VALUE"""),795.95)</f>
        <v>795.95</v>
      </c>
      <c r="F16" s="6">
        <f>IFERROR(__xludf.DUMMYFUNCTION("""COMPUTED_VALUE"""),9254676.0)</f>
        <v>9254676</v>
      </c>
    </row>
    <row r="17">
      <c r="A17" s="7">
        <f>IFERROR(__xludf.DUMMYFUNCTION("""COMPUTED_VALUE"""),45275.64583333333)</f>
        <v>45275.64583</v>
      </c>
      <c r="B17" s="6">
        <f>IFERROR(__xludf.DUMMYFUNCTION("""COMPUTED_VALUE"""),800.0)</f>
        <v>800</v>
      </c>
      <c r="C17" s="6">
        <f>IFERROR(__xludf.DUMMYFUNCTION("""COMPUTED_VALUE"""),834.9)</f>
        <v>834.9</v>
      </c>
      <c r="D17" s="6">
        <f>IFERROR(__xludf.DUMMYFUNCTION("""COMPUTED_VALUE"""),790.4)</f>
        <v>790.4</v>
      </c>
      <c r="E17" s="6">
        <f>IFERROR(__xludf.DUMMYFUNCTION("""COMPUTED_VALUE"""),824.0)</f>
        <v>824</v>
      </c>
      <c r="F17" s="6">
        <f>IFERROR(__xludf.DUMMYFUNCTION("""COMPUTED_VALUE"""),6791591.0)</f>
        <v>6791591</v>
      </c>
    </row>
    <row r="18">
      <c r="A18" s="7">
        <f>IFERROR(__xludf.DUMMYFUNCTION("""COMPUTED_VALUE"""),45282.64583333333)</f>
        <v>45282.64583</v>
      </c>
      <c r="B18" s="6">
        <f>IFERROR(__xludf.DUMMYFUNCTION("""COMPUTED_VALUE"""),825.0)</f>
        <v>825</v>
      </c>
      <c r="C18" s="6">
        <f>IFERROR(__xludf.DUMMYFUNCTION("""COMPUTED_VALUE"""),850.0)</f>
        <v>850</v>
      </c>
      <c r="D18" s="6">
        <f>IFERROR(__xludf.DUMMYFUNCTION("""COMPUTED_VALUE"""),773.2)</f>
        <v>773.2</v>
      </c>
      <c r="E18" s="6">
        <f>IFERROR(__xludf.DUMMYFUNCTION("""COMPUTED_VALUE"""),839.3)</f>
        <v>839.3</v>
      </c>
      <c r="F18" s="6">
        <f>IFERROR(__xludf.DUMMYFUNCTION("""COMPUTED_VALUE"""),7461895.0)</f>
        <v>7461895</v>
      </c>
    </row>
    <row r="19">
      <c r="A19" s="7">
        <f>IFERROR(__xludf.DUMMYFUNCTION("""COMPUTED_VALUE"""),45289.64583333333)</f>
        <v>45289.64583</v>
      </c>
      <c r="B19" s="6">
        <f>IFERROR(__xludf.DUMMYFUNCTION("""COMPUTED_VALUE"""),839.0)</f>
        <v>839</v>
      </c>
      <c r="C19" s="6">
        <f>IFERROR(__xludf.DUMMYFUNCTION("""COMPUTED_VALUE"""),859.0)</f>
        <v>859</v>
      </c>
      <c r="D19" s="6">
        <f>IFERROR(__xludf.DUMMYFUNCTION("""COMPUTED_VALUE"""),828.9)</f>
        <v>828.9</v>
      </c>
      <c r="E19" s="6">
        <f>IFERROR(__xludf.DUMMYFUNCTION("""COMPUTED_VALUE"""),853.95)</f>
        <v>853.95</v>
      </c>
      <c r="F19" s="6">
        <f>IFERROR(__xludf.DUMMYFUNCTION("""COMPUTED_VALUE"""),3026292.0)</f>
        <v>3026292</v>
      </c>
    </row>
    <row r="20">
      <c r="A20" s="7">
        <f>IFERROR(__xludf.DUMMYFUNCTION("""COMPUTED_VALUE"""),45296.64583333333)</f>
        <v>45296.64583</v>
      </c>
      <c r="B20" s="6">
        <f>IFERROR(__xludf.DUMMYFUNCTION("""COMPUTED_VALUE"""),854.0)</f>
        <v>854</v>
      </c>
      <c r="C20" s="6">
        <f>IFERROR(__xludf.DUMMYFUNCTION("""COMPUTED_VALUE"""),913.55)</f>
        <v>913.55</v>
      </c>
      <c r="D20" s="6">
        <f>IFERROR(__xludf.DUMMYFUNCTION("""COMPUTED_VALUE"""),848.0)</f>
        <v>848</v>
      </c>
      <c r="E20" s="6">
        <f>IFERROR(__xludf.DUMMYFUNCTION("""COMPUTED_VALUE"""),892.7)</f>
        <v>892.7</v>
      </c>
      <c r="F20" s="6">
        <f>IFERROR(__xludf.DUMMYFUNCTION("""COMPUTED_VALUE"""),7339701.0)</f>
        <v>7339701</v>
      </c>
    </row>
    <row r="21">
      <c r="A21" s="7">
        <f>IFERROR(__xludf.DUMMYFUNCTION("""COMPUTED_VALUE"""),45303.64583333333)</f>
        <v>45303.64583</v>
      </c>
      <c r="B21" s="6">
        <f>IFERROR(__xludf.DUMMYFUNCTION("""COMPUTED_VALUE"""),893.0)</f>
        <v>893</v>
      </c>
      <c r="C21" s="6">
        <f>IFERROR(__xludf.DUMMYFUNCTION("""COMPUTED_VALUE"""),898.4)</f>
        <v>898.4</v>
      </c>
      <c r="D21" s="6">
        <f>IFERROR(__xludf.DUMMYFUNCTION("""COMPUTED_VALUE"""),865.65)</f>
        <v>865.65</v>
      </c>
      <c r="E21" s="6">
        <f>IFERROR(__xludf.DUMMYFUNCTION("""COMPUTED_VALUE"""),868.95)</f>
        <v>868.95</v>
      </c>
      <c r="F21" s="6">
        <f>IFERROR(__xludf.DUMMYFUNCTION("""COMPUTED_VALUE"""),4326506.0)</f>
        <v>4326506</v>
      </c>
    </row>
    <row r="22">
      <c r="A22" s="7">
        <f>IFERROR(__xludf.DUMMYFUNCTION("""COMPUTED_VALUE"""),45316.64583333333)</f>
        <v>45316.64583</v>
      </c>
      <c r="B22" s="6">
        <f>IFERROR(__xludf.DUMMYFUNCTION("""COMPUTED_VALUE"""),875.25)</f>
        <v>875.25</v>
      </c>
      <c r="C22" s="6">
        <f>IFERROR(__xludf.DUMMYFUNCTION("""COMPUTED_VALUE"""),913.5)</f>
        <v>913.5</v>
      </c>
      <c r="D22" s="6">
        <f>IFERROR(__xludf.DUMMYFUNCTION("""COMPUTED_VALUE"""),853.05)</f>
        <v>853.05</v>
      </c>
      <c r="E22" s="6">
        <f>IFERROR(__xludf.DUMMYFUNCTION("""COMPUTED_VALUE"""),891.1)</f>
        <v>891.1</v>
      </c>
      <c r="F22" s="6">
        <f>IFERROR(__xludf.DUMMYFUNCTION("""COMPUTED_VALUE"""),2793384.0)</f>
        <v>2793384</v>
      </c>
    </row>
    <row r="23">
      <c r="A23" s="7">
        <f>IFERROR(__xludf.DUMMYFUNCTION("""COMPUTED_VALUE"""),45324.64583333333)</f>
        <v>45324.64583</v>
      </c>
      <c r="B23" s="6">
        <f>IFERROR(__xludf.DUMMYFUNCTION("""COMPUTED_VALUE"""),893.5)</f>
        <v>893.5</v>
      </c>
      <c r="C23" s="6">
        <f>IFERROR(__xludf.DUMMYFUNCTION("""COMPUTED_VALUE"""),922.7)</f>
        <v>922.7</v>
      </c>
      <c r="D23" s="6">
        <f>IFERROR(__xludf.DUMMYFUNCTION("""COMPUTED_VALUE"""),865.0)</f>
        <v>865</v>
      </c>
      <c r="E23" s="6">
        <f>IFERROR(__xludf.DUMMYFUNCTION("""COMPUTED_VALUE"""),885.7)</f>
        <v>885.7</v>
      </c>
      <c r="F23" s="6">
        <f>IFERROR(__xludf.DUMMYFUNCTION("""COMPUTED_VALUE"""),5150953.0)</f>
        <v>5150953</v>
      </c>
    </row>
    <row r="24">
      <c r="A24" s="7">
        <f>IFERROR(__xludf.DUMMYFUNCTION("""COMPUTED_VALUE"""),45331.64583333333)</f>
        <v>45331.64583</v>
      </c>
      <c r="B24" s="6">
        <f>IFERROR(__xludf.DUMMYFUNCTION("""COMPUTED_VALUE"""),886.0)</f>
        <v>886</v>
      </c>
      <c r="C24" s="6">
        <f>IFERROR(__xludf.DUMMYFUNCTION("""COMPUTED_VALUE"""),897.6)</f>
        <v>897.6</v>
      </c>
      <c r="D24" s="6">
        <f>IFERROR(__xludf.DUMMYFUNCTION("""COMPUTED_VALUE"""),829.7)</f>
        <v>829.7</v>
      </c>
      <c r="E24" s="6">
        <f>IFERROR(__xludf.DUMMYFUNCTION("""COMPUTED_VALUE"""),843.1)</f>
        <v>843.1</v>
      </c>
      <c r="F24" s="6">
        <f>IFERROR(__xludf.DUMMYFUNCTION("""COMPUTED_VALUE"""),4410885.0)</f>
        <v>4410885</v>
      </c>
    </row>
    <row r="25">
      <c r="A25" s="7">
        <f>IFERROR(__xludf.DUMMYFUNCTION("""COMPUTED_VALUE"""),45338.64583333333)</f>
        <v>45338.64583</v>
      </c>
      <c r="B25" s="6">
        <f>IFERROR(__xludf.DUMMYFUNCTION("""COMPUTED_VALUE"""),843.1)</f>
        <v>843.1</v>
      </c>
      <c r="C25" s="6">
        <f>IFERROR(__xludf.DUMMYFUNCTION("""COMPUTED_VALUE"""),891.0)</f>
        <v>891</v>
      </c>
      <c r="D25" s="6">
        <f>IFERROR(__xludf.DUMMYFUNCTION("""COMPUTED_VALUE"""),771.0)</f>
        <v>771</v>
      </c>
      <c r="E25" s="6">
        <f>IFERROR(__xludf.DUMMYFUNCTION("""COMPUTED_VALUE"""),872.25)</f>
        <v>872.25</v>
      </c>
      <c r="F25" s="6">
        <f>IFERROR(__xludf.DUMMYFUNCTION("""COMPUTED_VALUE"""),1.7023134E7)</f>
        <v>17023134</v>
      </c>
    </row>
    <row r="26">
      <c r="A26" s="7">
        <f>IFERROR(__xludf.DUMMYFUNCTION("""COMPUTED_VALUE"""),45345.64583333333)</f>
        <v>45345.64583</v>
      </c>
      <c r="B26" s="6">
        <f>IFERROR(__xludf.DUMMYFUNCTION("""COMPUTED_VALUE"""),875.0)</f>
        <v>875</v>
      </c>
      <c r="C26" s="6">
        <f>IFERROR(__xludf.DUMMYFUNCTION("""COMPUTED_VALUE"""),921.6)</f>
        <v>921.6</v>
      </c>
      <c r="D26" s="6">
        <f>IFERROR(__xludf.DUMMYFUNCTION("""COMPUTED_VALUE"""),853.0)</f>
        <v>853</v>
      </c>
      <c r="E26" s="6">
        <f>IFERROR(__xludf.DUMMYFUNCTION("""COMPUTED_VALUE"""),900.1)</f>
        <v>900.1</v>
      </c>
      <c r="F26" s="6">
        <f>IFERROR(__xludf.DUMMYFUNCTION("""COMPUTED_VALUE"""),8309829.0)</f>
        <v>8309829</v>
      </c>
    </row>
    <row r="27">
      <c r="A27" s="7">
        <f>IFERROR(__xludf.DUMMYFUNCTION("""COMPUTED_VALUE"""),45358.64583333333)</f>
        <v>45358.64583</v>
      </c>
      <c r="B27" s="6">
        <f>IFERROR(__xludf.DUMMYFUNCTION("""COMPUTED_VALUE"""),925.05)</f>
        <v>925.05</v>
      </c>
      <c r="C27" s="6">
        <f>IFERROR(__xludf.DUMMYFUNCTION("""COMPUTED_VALUE"""),964.3)</f>
        <v>964.3</v>
      </c>
      <c r="D27" s="6">
        <f>IFERROR(__xludf.DUMMYFUNCTION("""COMPUTED_VALUE"""),903.15)</f>
        <v>903.15</v>
      </c>
      <c r="E27" s="6">
        <f>IFERROR(__xludf.DUMMYFUNCTION("""COMPUTED_VALUE"""),955.25)</f>
        <v>955.25</v>
      </c>
      <c r="F27" s="6">
        <f>IFERROR(__xludf.DUMMYFUNCTION("""COMPUTED_VALUE"""),5072404.0)</f>
        <v>5072404</v>
      </c>
    </row>
    <row r="28">
      <c r="A28" s="7">
        <f>IFERROR(__xludf.DUMMYFUNCTION("""COMPUTED_VALUE"""),45366.64583333333)</f>
        <v>45366.64583</v>
      </c>
      <c r="B28" s="6">
        <f>IFERROR(__xludf.DUMMYFUNCTION("""COMPUTED_VALUE"""),958.0)</f>
        <v>958</v>
      </c>
      <c r="C28" s="6">
        <f>IFERROR(__xludf.DUMMYFUNCTION("""COMPUTED_VALUE"""),974.0)</f>
        <v>974</v>
      </c>
      <c r="D28" s="6">
        <f>IFERROR(__xludf.DUMMYFUNCTION("""COMPUTED_VALUE"""),883.0)</f>
        <v>883</v>
      </c>
      <c r="E28" s="6">
        <f>IFERROR(__xludf.DUMMYFUNCTION("""COMPUTED_VALUE"""),926.5)</f>
        <v>926.5</v>
      </c>
      <c r="F28" s="6">
        <f>IFERROR(__xludf.DUMMYFUNCTION("""COMPUTED_VALUE"""),7457763.0)</f>
        <v>7457763</v>
      </c>
    </row>
    <row r="29">
      <c r="A29" s="7">
        <f>IFERROR(__xludf.DUMMYFUNCTION("""COMPUTED_VALUE"""),45373.64583333333)</f>
        <v>45373.64583</v>
      </c>
      <c r="B29" s="6">
        <f>IFERROR(__xludf.DUMMYFUNCTION("""COMPUTED_VALUE"""),924.65)</f>
        <v>924.65</v>
      </c>
      <c r="C29" s="6">
        <f>IFERROR(__xludf.DUMMYFUNCTION("""COMPUTED_VALUE"""),954.5)</f>
        <v>954.5</v>
      </c>
      <c r="D29" s="6">
        <f>IFERROR(__xludf.DUMMYFUNCTION("""COMPUTED_VALUE"""),908.35)</f>
        <v>908.35</v>
      </c>
      <c r="E29" s="6">
        <f>IFERROR(__xludf.DUMMYFUNCTION("""COMPUTED_VALUE"""),951.0)</f>
        <v>951</v>
      </c>
      <c r="F29" s="6">
        <f>IFERROR(__xludf.DUMMYFUNCTION("""COMPUTED_VALUE"""),3852585.0)</f>
        <v>3852585</v>
      </c>
    </row>
    <row r="30">
      <c r="A30" s="7">
        <f>IFERROR(__xludf.DUMMYFUNCTION("""COMPUTED_VALUE"""),45379.64583333333)</f>
        <v>45379.64583</v>
      </c>
      <c r="B30" s="6">
        <f>IFERROR(__xludf.DUMMYFUNCTION("""COMPUTED_VALUE"""),950.0)</f>
        <v>950</v>
      </c>
      <c r="C30" s="6">
        <f>IFERROR(__xludf.DUMMYFUNCTION("""COMPUTED_VALUE"""),969.4)</f>
        <v>969.4</v>
      </c>
      <c r="D30" s="6">
        <f>IFERROR(__xludf.DUMMYFUNCTION("""COMPUTED_VALUE"""),936.0)</f>
        <v>936</v>
      </c>
      <c r="E30" s="6">
        <f>IFERROR(__xludf.DUMMYFUNCTION("""COMPUTED_VALUE"""),958.45)</f>
        <v>958.45</v>
      </c>
      <c r="F30" s="6">
        <f>IFERROR(__xludf.DUMMYFUNCTION("""COMPUTED_VALUE"""),1956371.0)</f>
        <v>1956371</v>
      </c>
    </row>
    <row r="31">
      <c r="A31" s="7">
        <f>IFERROR(__xludf.DUMMYFUNCTION("""COMPUTED_VALUE"""),45387.64583333333)</f>
        <v>45387.64583</v>
      </c>
      <c r="B31" s="6">
        <f>IFERROR(__xludf.DUMMYFUNCTION("""COMPUTED_VALUE"""),959.05)</f>
        <v>959.05</v>
      </c>
      <c r="C31" s="6">
        <f>IFERROR(__xludf.DUMMYFUNCTION("""COMPUTED_VALUE"""),1019.0)</f>
        <v>1019</v>
      </c>
      <c r="D31" s="6">
        <f>IFERROR(__xludf.DUMMYFUNCTION("""COMPUTED_VALUE"""),959.05)</f>
        <v>959.05</v>
      </c>
      <c r="E31" s="6">
        <f>IFERROR(__xludf.DUMMYFUNCTION("""COMPUTED_VALUE"""),1017.4)</f>
        <v>1017.4</v>
      </c>
      <c r="F31" s="6">
        <f>IFERROR(__xludf.DUMMYFUNCTION("""COMPUTED_VALUE"""),3474885.0)</f>
        <v>3474885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IFERROR(__xludf.DUMMYFUNCTION("""COMPUTED_VALUE"""),1017.4)</f>
        <v>1017.4</v>
      </c>
      <c r="C32" s="6">
        <f>IFERROR(__xludf.DUMMYFUNCTION("""COMPUTED_VALUE"""),1070.0)</f>
        <v>1070</v>
      </c>
      <c r="D32" s="6">
        <f>IFERROR(__xludf.DUMMYFUNCTION("""COMPUTED_VALUE"""),1017.4)</f>
        <v>1017.4</v>
      </c>
      <c r="E32" s="6">
        <f>IFERROR(__xludf.DUMMYFUNCTION("""COMPUTED_VALUE"""),1051.8)</f>
        <v>1051.8</v>
      </c>
      <c r="F32" s="6">
        <f>IFERROR(__xludf.DUMMYFUNCTION("""COMPUTED_VALUE"""),3981090.0)</f>
        <v>3981090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IFERROR(__xludf.DUMMYFUNCTION("""COMPUTED_VALUE"""),1031.0)</f>
        <v>1031</v>
      </c>
      <c r="C33" s="6">
        <f>IFERROR(__xludf.DUMMYFUNCTION("""COMPUTED_VALUE"""),1063.95)</f>
        <v>1063.95</v>
      </c>
      <c r="D33" s="6">
        <f>IFERROR(__xludf.DUMMYFUNCTION("""COMPUTED_VALUE"""),1020.15)</f>
        <v>1020.15</v>
      </c>
      <c r="E33" s="6">
        <f>IFERROR(__xludf.DUMMYFUNCTION("""COMPUTED_VALUE"""),1026.4)</f>
        <v>1026.4</v>
      </c>
      <c r="F33" s="6">
        <f>IFERROR(__xludf.DUMMYFUNCTION("""COMPUTED_VALUE"""),2914636.0)</f>
        <v>2914636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IFERROR(__xludf.DUMMYFUNCTION("""COMPUTED_VALUE"""),1030.0)</f>
        <v>1030</v>
      </c>
      <c r="C34" s="6">
        <f>IFERROR(__xludf.DUMMYFUNCTION("""COMPUTED_VALUE"""),1096.0)</f>
        <v>1096</v>
      </c>
      <c r="D34" s="6">
        <f>IFERROR(__xludf.DUMMYFUNCTION("""COMPUTED_VALUE"""),1017.5)</f>
        <v>1017.5</v>
      </c>
      <c r="E34" s="6">
        <f>IFERROR(__xludf.DUMMYFUNCTION("""COMPUTED_VALUE"""),1079.35)</f>
        <v>1079.35</v>
      </c>
      <c r="F34" s="6">
        <f>IFERROR(__xludf.DUMMYFUNCTION("""COMPUTED_VALUE"""),3717923.0)</f>
        <v>3717923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IFERROR(__xludf.DUMMYFUNCTION("""COMPUTED_VALUE"""),1090.0)</f>
        <v>1090</v>
      </c>
      <c r="C35" s="6">
        <f>IFERROR(__xludf.DUMMYFUNCTION("""COMPUTED_VALUE"""),1098.0)</f>
        <v>1098</v>
      </c>
      <c r="D35" s="6">
        <f>IFERROR(__xludf.DUMMYFUNCTION("""COMPUTED_VALUE"""),1045.3)</f>
        <v>1045.3</v>
      </c>
      <c r="E35" s="6">
        <f>IFERROR(__xludf.DUMMYFUNCTION("""COMPUTED_VALUE"""),1053.3)</f>
        <v>1053.3</v>
      </c>
      <c r="F35" s="6">
        <f>IFERROR(__xludf.DUMMYFUNCTION("""COMPUTED_VALUE"""),2564424.0)</f>
        <v>2564424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IFERROR(__xludf.DUMMYFUNCTION("""COMPUTED_VALUE"""),1057.8)</f>
        <v>1057.8</v>
      </c>
      <c r="C36" s="6">
        <f>IFERROR(__xludf.DUMMYFUNCTION("""COMPUTED_VALUE"""),1062.3)</f>
        <v>1062.3</v>
      </c>
      <c r="D36" s="6">
        <f>IFERROR(__xludf.DUMMYFUNCTION("""COMPUTED_VALUE"""),995.05)</f>
        <v>995.05</v>
      </c>
      <c r="E36" s="6">
        <f>IFERROR(__xludf.DUMMYFUNCTION("""COMPUTED_VALUE"""),1023.95)</f>
        <v>1023.95</v>
      </c>
      <c r="F36" s="6">
        <f>IFERROR(__xludf.DUMMYFUNCTION("""COMPUTED_VALUE"""),2079933.0)</f>
        <v>2079933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IFERROR(__xludf.DUMMYFUNCTION("""COMPUTED_VALUE"""),1047.9)</f>
        <v>1047.9</v>
      </c>
      <c r="C37" s="6">
        <f>IFERROR(__xludf.DUMMYFUNCTION("""COMPUTED_VALUE"""),1053.0)</f>
        <v>1053</v>
      </c>
      <c r="D37" s="6">
        <f>IFERROR(__xludf.DUMMYFUNCTION("""COMPUTED_VALUE"""),1000.0)</f>
        <v>1000</v>
      </c>
      <c r="E37" s="6">
        <f>IFERROR(__xludf.DUMMYFUNCTION("""COMPUTED_VALUE"""),1036.0)</f>
        <v>1036</v>
      </c>
      <c r="F37" s="6">
        <f>IFERROR(__xludf.DUMMYFUNCTION("""COMPUTED_VALUE"""),1993834.0)</f>
        <v>1993834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IFERROR(__xludf.DUMMYFUNCTION("""COMPUTED_VALUE"""),1031.25)</f>
        <v>1031.25</v>
      </c>
      <c r="C38" s="6">
        <f>IFERROR(__xludf.DUMMYFUNCTION("""COMPUTED_VALUE"""),1183.9)</f>
        <v>1183.9</v>
      </c>
      <c r="D38" s="6">
        <f>IFERROR(__xludf.DUMMYFUNCTION("""COMPUTED_VALUE"""),1031.25)</f>
        <v>1031.25</v>
      </c>
      <c r="E38" s="6">
        <f>IFERROR(__xludf.DUMMYFUNCTION("""COMPUTED_VALUE"""),1160.35)</f>
        <v>1160.35</v>
      </c>
      <c r="F38" s="6">
        <f>IFERROR(__xludf.DUMMYFUNCTION("""COMPUTED_VALUE"""),1.5394947E7)</f>
        <v>15394947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IFERROR(__xludf.DUMMYFUNCTION("""COMPUTED_VALUE"""),1174.95)</f>
        <v>1174.95</v>
      </c>
      <c r="C39" s="6">
        <f>IFERROR(__xludf.DUMMYFUNCTION("""COMPUTED_VALUE"""),1220.95)</f>
        <v>1220.95</v>
      </c>
      <c r="D39" s="6">
        <f>IFERROR(__xludf.DUMMYFUNCTION("""COMPUTED_VALUE"""),1037.15)</f>
        <v>1037.15</v>
      </c>
      <c r="E39" s="6">
        <f>IFERROR(__xludf.DUMMYFUNCTION("""COMPUTED_VALUE"""),1194.15)</f>
        <v>1194.15</v>
      </c>
      <c r="F39" s="6">
        <f>IFERROR(__xludf.DUMMYFUNCTION("""COMPUTED_VALUE"""),5188989.0)</f>
        <v>5188989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IFERROR(__xludf.DUMMYFUNCTION("""COMPUTED_VALUE"""),1198.0)</f>
        <v>1198</v>
      </c>
      <c r="C40" s="6">
        <f>IFERROR(__xludf.DUMMYFUNCTION("""COMPUTED_VALUE"""),1240.75)</f>
        <v>1240.75</v>
      </c>
      <c r="D40" s="6">
        <f>IFERROR(__xludf.DUMMYFUNCTION("""COMPUTED_VALUE"""),1182.5)</f>
        <v>1182.5</v>
      </c>
      <c r="E40" s="6">
        <f>IFERROR(__xludf.DUMMYFUNCTION("""COMPUTED_VALUE"""),1237.15)</f>
        <v>1237.15</v>
      </c>
      <c r="F40" s="6">
        <f>IFERROR(__xludf.DUMMYFUNCTION("""COMPUTED_VALUE"""),3548539.0)</f>
        <v>3548539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IFERROR(__xludf.DUMMYFUNCTION("""COMPUTED_VALUE"""),1237.15)</f>
        <v>1237.15</v>
      </c>
      <c r="C41" s="6">
        <f>IFERROR(__xludf.DUMMYFUNCTION("""COMPUTED_VALUE"""),1264.0)</f>
        <v>1264</v>
      </c>
      <c r="D41" s="6">
        <f>IFERROR(__xludf.DUMMYFUNCTION("""COMPUTED_VALUE"""),1227.3)</f>
        <v>1227.3</v>
      </c>
      <c r="E41" s="6">
        <f>IFERROR(__xludf.DUMMYFUNCTION("""COMPUTED_VALUE"""),1230.6)</f>
        <v>1230.6</v>
      </c>
      <c r="F41" s="6">
        <f>IFERROR(__xludf.DUMMYFUNCTION("""COMPUTED_VALUE"""),2781371.0)</f>
        <v>2781371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IFERROR(__xludf.DUMMYFUNCTION("""COMPUTED_VALUE"""),1230.6)</f>
        <v>1230.6</v>
      </c>
      <c r="C42" s="6">
        <f>IFERROR(__xludf.DUMMYFUNCTION("""COMPUTED_VALUE"""),1246.9)</f>
        <v>1246.9</v>
      </c>
      <c r="D42" s="6">
        <f>IFERROR(__xludf.DUMMYFUNCTION("""COMPUTED_VALUE"""),1199.3)</f>
        <v>1199.3</v>
      </c>
      <c r="E42" s="6">
        <f>IFERROR(__xludf.DUMMYFUNCTION("""COMPUTED_VALUE"""),1230.5)</f>
        <v>1230.5</v>
      </c>
      <c r="F42" s="6">
        <f>IFERROR(__xludf.DUMMYFUNCTION("""COMPUTED_VALUE"""),2504799.0)</f>
        <v>2504799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IFERROR(__xludf.DUMMYFUNCTION("""COMPUTED_VALUE"""),1233.0)</f>
        <v>1233</v>
      </c>
      <c r="C43" s="6">
        <f>IFERROR(__xludf.DUMMYFUNCTION("""COMPUTED_VALUE"""),1356.5)</f>
        <v>1356.5</v>
      </c>
      <c r="D43" s="6">
        <f>IFERROR(__xludf.DUMMYFUNCTION("""COMPUTED_VALUE"""),1232.1)</f>
        <v>1232.1</v>
      </c>
      <c r="E43" s="6">
        <f>IFERROR(__xludf.DUMMYFUNCTION("""COMPUTED_VALUE"""),1338.15)</f>
        <v>1338.15</v>
      </c>
      <c r="F43" s="6">
        <f>IFERROR(__xludf.DUMMYFUNCTION("""COMPUTED_VALUE"""),4802507.0)</f>
        <v>4802507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IFERROR(__xludf.DUMMYFUNCTION("""COMPUTED_VALUE"""),1338.1)</f>
        <v>1338.1</v>
      </c>
      <c r="C44" s="6">
        <f>IFERROR(__xludf.DUMMYFUNCTION("""COMPUTED_VALUE"""),1397.0)</f>
        <v>1397</v>
      </c>
      <c r="D44" s="6">
        <f>IFERROR(__xludf.DUMMYFUNCTION("""COMPUTED_VALUE"""),1330.85)</f>
        <v>1330.85</v>
      </c>
      <c r="E44" s="6">
        <f>IFERROR(__xludf.DUMMYFUNCTION("""COMPUTED_VALUE"""),1381.5)</f>
        <v>1381.5</v>
      </c>
      <c r="F44" s="6">
        <f>IFERROR(__xludf.DUMMYFUNCTION("""COMPUTED_VALUE"""),6496851.0)</f>
        <v>6496851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IFERROR(__xludf.DUMMYFUNCTION("""COMPUTED_VALUE"""),1382.8)</f>
        <v>1382.8</v>
      </c>
      <c r="C45" s="6">
        <f>IFERROR(__xludf.DUMMYFUNCTION("""COMPUTED_VALUE"""),1427.0)</f>
        <v>1427</v>
      </c>
      <c r="D45" s="6">
        <f>IFERROR(__xludf.DUMMYFUNCTION("""COMPUTED_VALUE"""),1382.5)</f>
        <v>1382.5</v>
      </c>
      <c r="E45" s="6">
        <f>IFERROR(__xludf.DUMMYFUNCTION("""COMPUTED_VALUE"""),1412.95)</f>
        <v>1412.95</v>
      </c>
      <c r="F45" s="6">
        <f>IFERROR(__xludf.DUMMYFUNCTION("""COMPUTED_VALUE"""),3536752.0)</f>
        <v>3536752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IFERROR(__xludf.DUMMYFUNCTION("""COMPUTED_VALUE"""),1406.9)</f>
        <v>1406.9</v>
      </c>
      <c r="C46" s="6">
        <f>IFERROR(__xludf.DUMMYFUNCTION("""COMPUTED_VALUE"""),1454.2)</f>
        <v>1454.2</v>
      </c>
      <c r="D46" s="6">
        <f>IFERROR(__xludf.DUMMYFUNCTION("""COMPUTED_VALUE"""),1330.1)</f>
        <v>1330.1</v>
      </c>
      <c r="E46" s="6">
        <f>IFERROR(__xludf.DUMMYFUNCTION("""COMPUTED_VALUE"""),1438.4)</f>
        <v>1438.4</v>
      </c>
      <c r="F46" s="6">
        <f>IFERROR(__xludf.DUMMYFUNCTION("""COMPUTED_VALUE"""),3765185.0)</f>
        <v>3765185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IFERROR(__xludf.DUMMYFUNCTION("""COMPUTED_VALUE"""),1439.25)</f>
        <v>1439.25</v>
      </c>
      <c r="C47" s="6">
        <f>IFERROR(__xludf.DUMMYFUNCTION("""COMPUTED_VALUE"""),1479.4)</f>
        <v>1479.4</v>
      </c>
      <c r="D47" s="6">
        <f>IFERROR(__xludf.DUMMYFUNCTION("""COMPUTED_VALUE"""),1415.05)</f>
        <v>1415.05</v>
      </c>
      <c r="E47" s="6">
        <f>IFERROR(__xludf.DUMMYFUNCTION("""COMPUTED_VALUE"""),1443.05)</f>
        <v>1443.05</v>
      </c>
      <c r="F47" s="6">
        <f>IFERROR(__xludf.DUMMYFUNCTION("""COMPUTED_VALUE"""),3225446.0)</f>
        <v>3225446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IFERROR(__xludf.DUMMYFUNCTION("""COMPUTED_VALUE"""),1415.0)</f>
        <v>1415</v>
      </c>
      <c r="C48" s="6">
        <f>IFERROR(__xludf.DUMMYFUNCTION("""COMPUTED_VALUE"""),1484.0)</f>
        <v>1484</v>
      </c>
      <c r="D48" s="6">
        <f>IFERROR(__xludf.DUMMYFUNCTION("""COMPUTED_VALUE"""),1406.4)</f>
        <v>1406.4</v>
      </c>
      <c r="E48" s="6">
        <f>IFERROR(__xludf.DUMMYFUNCTION("""COMPUTED_VALUE"""),1472.95)</f>
        <v>1472.95</v>
      </c>
      <c r="F48" s="6">
        <f>IFERROR(__xludf.DUMMYFUNCTION("""COMPUTED_VALUE"""),3249955.0)</f>
        <v>3249955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IFERROR(__xludf.DUMMYFUNCTION("""COMPUTED_VALUE"""),1475.6)</f>
        <v>1475.6</v>
      </c>
      <c r="C49" s="6">
        <f>IFERROR(__xludf.DUMMYFUNCTION("""COMPUTED_VALUE"""),1576.0)</f>
        <v>1576</v>
      </c>
      <c r="D49" s="6">
        <f>IFERROR(__xludf.DUMMYFUNCTION("""COMPUTED_VALUE"""),1425.85)</f>
        <v>1425.85</v>
      </c>
      <c r="E49" s="6">
        <f>IFERROR(__xludf.DUMMYFUNCTION("""COMPUTED_VALUE"""),1565.8)</f>
        <v>1565.8</v>
      </c>
      <c r="F49" s="6">
        <f>IFERROR(__xludf.DUMMYFUNCTION("""COMPUTED_VALUE"""),8893767.0)</f>
        <v>8893767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IFERROR(__xludf.DUMMYFUNCTION("""COMPUTED_VALUE"""),1582.1)</f>
        <v>1582.1</v>
      </c>
      <c r="C50" s="6">
        <f>IFERROR(__xludf.DUMMYFUNCTION("""COMPUTED_VALUE"""),1694.45)</f>
        <v>1694.45</v>
      </c>
      <c r="D50" s="6">
        <f>IFERROR(__xludf.DUMMYFUNCTION("""COMPUTED_VALUE"""),1565.8)</f>
        <v>1565.8</v>
      </c>
      <c r="E50" s="6">
        <f>IFERROR(__xludf.DUMMYFUNCTION("""COMPUTED_VALUE"""),1686.65)</f>
        <v>1686.65</v>
      </c>
      <c r="F50" s="6">
        <f>IFERROR(__xludf.DUMMYFUNCTION("""COMPUTED_VALUE"""),6342679.0)</f>
        <v>6342679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IFERROR(__xludf.DUMMYFUNCTION("""COMPUTED_VALUE"""),1695.5)</f>
        <v>1695.5</v>
      </c>
      <c r="C51" s="6">
        <f>IFERROR(__xludf.DUMMYFUNCTION("""COMPUTED_VALUE"""),1750.0)</f>
        <v>1750</v>
      </c>
      <c r="D51" s="6">
        <f>IFERROR(__xludf.DUMMYFUNCTION("""COMPUTED_VALUE"""),1676.15)</f>
        <v>1676.15</v>
      </c>
      <c r="E51" s="6">
        <f>IFERROR(__xludf.DUMMYFUNCTION("""COMPUTED_VALUE"""),1731.75)</f>
        <v>1731.75</v>
      </c>
      <c r="F51" s="6">
        <f>IFERROR(__xludf.DUMMYFUNCTION("""COMPUTED_VALUE"""),4940948.0)</f>
        <v>4940948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IFERROR(__xludf.DUMMYFUNCTION("""COMPUTED_VALUE"""),1737.9)</f>
        <v>1737.9</v>
      </c>
      <c r="C52" s="6">
        <f>IFERROR(__xludf.DUMMYFUNCTION("""COMPUTED_VALUE"""),1750.5)</f>
        <v>1750.5</v>
      </c>
      <c r="D52" s="6">
        <f>IFERROR(__xludf.DUMMYFUNCTION("""COMPUTED_VALUE"""),1666.5)</f>
        <v>1666.5</v>
      </c>
      <c r="E52" s="6">
        <f>IFERROR(__xludf.DUMMYFUNCTION("""COMPUTED_VALUE"""),1702.7)</f>
        <v>1702.7</v>
      </c>
      <c r="F52" s="6">
        <f>IFERROR(__xludf.DUMMYFUNCTION("""COMPUTED_VALUE"""),4970209.0)</f>
        <v>4970209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IFERROR(__xludf.DUMMYFUNCTION("""COMPUTED_VALUE"""),1702.7)</f>
        <v>1702.7</v>
      </c>
      <c r="C53" s="6">
        <f>IFERROR(__xludf.DUMMYFUNCTION("""COMPUTED_VALUE"""),1756.5)</f>
        <v>1756.5</v>
      </c>
      <c r="D53" s="6">
        <f>IFERROR(__xludf.DUMMYFUNCTION("""COMPUTED_VALUE"""),1688.3)</f>
        <v>1688.3</v>
      </c>
      <c r="E53" s="6">
        <f>IFERROR(__xludf.DUMMYFUNCTION("""COMPUTED_VALUE"""),1753.7)</f>
        <v>1753.7</v>
      </c>
      <c r="F53" s="6">
        <f>IFERROR(__xludf.DUMMYFUNCTION("""COMPUTED_VALUE"""),4635957.0)</f>
        <v>4635957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IFERROR(__xludf.DUMMYFUNCTION("""COMPUTED_VALUE"""),1769.6)</f>
        <v>1769.6</v>
      </c>
      <c r="C54" s="6">
        <f>IFERROR(__xludf.DUMMYFUNCTION("""COMPUTED_VALUE"""),1769.6)</f>
        <v>1769.6</v>
      </c>
      <c r="D54" s="6">
        <f>IFERROR(__xludf.DUMMYFUNCTION("""COMPUTED_VALUE"""),1610.0)</f>
        <v>1610</v>
      </c>
      <c r="E54" s="6">
        <f>IFERROR(__xludf.DUMMYFUNCTION("""COMPUTED_VALUE"""),1636.75)</f>
        <v>1636.75</v>
      </c>
      <c r="F54" s="6">
        <f>IFERROR(__xludf.DUMMYFUNCTION("""COMPUTED_VALUE"""),6924727.0)</f>
        <v>6924727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IFERROR(__xludf.DUMMYFUNCTION("""COMPUTED_VALUE"""),1705.0)</f>
        <v>1705</v>
      </c>
      <c r="C55" s="6">
        <f>IFERROR(__xludf.DUMMYFUNCTION("""COMPUTED_VALUE"""),1764.0)</f>
        <v>1764</v>
      </c>
      <c r="D55" s="6">
        <f>IFERROR(__xludf.DUMMYFUNCTION("""COMPUTED_VALUE"""),1668.0)</f>
        <v>1668</v>
      </c>
      <c r="E55" s="6">
        <f>IFERROR(__xludf.DUMMYFUNCTION("""COMPUTED_VALUE"""),1685.7)</f>
        <v>1685.7</v>
      </c>
      <c r="F55" s="6">
        <f>IFERROR(__xludf.DUMMYFUNCTION("""COMPUTED_VALUE"""),8350766.0)</f>
        <v>8350766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IFERROR(__xludf.DUMMYFUNCTION("""COMPUTED_VALUE"""),1696.8)</f>
        <v>1696.8</v>
      </c>
      <c r="C56" s="6">
        <f>IFERROR(__xludf.DUMMYFUNCTION("""COMPUTED_VALUE"""),1701.95)</f>
        <v>1701.95</v>
      </c>
      <c r="D56" s="6">
        <f>IFERROR(__xludf.DUMMYFUNCTION("""COMPUTED_VALUE"""),1629.95)</f>
        <v>1629.95</v>
      </c>
      <c r="E56" s="6">
        <f>IFERROR(__xludf.DUMMYFUNCTION("""COMPUTED_VALUE"""),1662.7)</f>
        <v>1662.7</v>
      </c>
      <c r="F56" s="6">
        <f>IFERROR(__xludf.DUMMYFUNCTION("""COMPUTED_VALUE"""),3580289.0)</f>
        <v>3580289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IFERROR(__xludf.DUMMYFUNCTION("""COMPUTED_VALUE"""),1670.95)</f>
        <v>1670.95</v>
      </c>
      <c r="C57" s="6">
        <f>IFERROR(__xludf.DUMMYFUNCTION("""COMPUTED_VALUE"""),1805.0)</f>
        <v>1805</v>
      </c>
      <c r="D57" s="6">
        <f>IFERROR(__xludf.DUMMYFUNCTION("""COMPUTED_VALUE"""),1653.95)</f>
        <v>1653.95</v>
      </c>
      <c r="E57" s="6">
        <f>IFERROR(__xludf.DUMMYFUNCTION("""COMPUTED_VALUE"""),1790.65)</f>
        <v>1790.65</v>
      </c>
      <c r="F57" s="6">
        <f>IFERROR(__xludf.DUMMYFUNCTION("""COMPUTED_VALUE"""),4882010.0)</f>
        <v>4882010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IFERROR(__xludf.DUMMYFUNCTION("""COMPUTED_VALUE"""),1797.8)</f>
        <v>1797.8</v>
      </c>
      <c r="C58" s="6">
        <f>IFERROR(__xludf.DUMMYFUNCTION("""COMPUTED_VALUE"""),1830.95)</f>
        <v>1830.95</v>
      </c>
      <c r="D58" s="6">
        <f>IFERROR(__xludf.DUMMYFUNCTION("""COMPUTED_VALUE"""),1715.3)</f>
        <v>1715.3</v>
      </c>
      <c r="E58" s="6">
        <f>IFERROR(__xludf.DUMMYFUNCTION("""COMPUTED_VALUE"""),1738.45)</f>
        <v>1738.45</v>
      </c>
      <c r="F58" s="6">
        <f>IFERROR(__xludf.DUMMYFUNCTION("""COMPUTED_VALUE"""),2804125.0)</f>
        <v>2804125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IFERROR(__xludf.DUMMYFUNCTION("""COMPUTED_VALUE"""),1738.5)</f>
        <v>1738.5</v>
      </c>
      <c r="C59" s="6">
        <f>IFERROR(__xludf.DUMMYFUNCTION("""COMPUTED_VALUE"""),1756.85)</f>
        <v>1756.85</v>
      </c>
      <c r="D59" s="6">
        <f>IFERROR(__xludf.DUMMYFUNCTION("""COMPUTED_VALUE"""),1649.05)</f>
        <v>1649.05</v>
      </c>
      <c r="E59" s="6">
        <f>IFERROR(__xludf.DUMMYFUNCTION("""COMPUTED_VALUE"""),1663.8)</f>
        <v>1663.8</v>
      </c>
      <c r="F59" s="6">
        <f>IFERROR(__xludf.DUMMYFUNCTION("""COMPUTED_VALUE"""),2151829.0)</f>
        <v>2151829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IFERROR(__xludf.DUMMYFUNCTION("""COMPUTED_VALUE"""),1694.95)</f>
        <v>1694.95</v>
      </c>
      <c r="C60" s="6">
        <f>IFERROR(__xludf.DUMMYFUNCTION("""COMPUTED_VALUE"""),1776.75)</f>
        <v>1776.75</v>
      </c>
      <c r="D60" s="6">
        <f>IFERROR(__xludf.DUMMYFUNCTION("""COMPUTED_VALUE"""),1644.1)</f>
        <v>1644.1</v>
      </c>
      <c r="E60" s="6">
        <f>IFERROR(__xludf.DUMMYFUNCTION("""COMPUTED_VALUE"""),1666.5)</f>
        <v>1666.5</v>
      </c>
      <c r="F60" s="6">
        <f>IFERROR(__xludf.DUMMYFUNCTION("""COMPUTED_VALUE"""),4287563.0)</f>
        <v>4287563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IFERROR(__xludf.DUMMYFUNCTION("""COMPUTED_VALUE"""),1655.0)</f>
        <v>1655</v>
      </c>
      <c r="C61" s="6">
        <f>IFERROR(__xludf.DUMMYFUNCTION("""COMPUTED_VALUE"""),1684.45)</f>
        <v>1684.45</v>
      </c>
      <c r="D61" s="6">
        <f>IFERROR(__xludf.DUMMYFUNCTION("""COMPUTED_VALUE"""),1475.0)</f>
        <v>1475</v>
      </c>
      <c r="E61" s="6">
        <f>IFERROR(__xludf.DUMMYFUNCTION("""COMPUTED_VALUE"""),1533.7)</f>
        <v>1533.7</v>
      </c>
      <c r="F61" s="6">
        <f>IFERROR(__xludf.DUMMYFUNCTION("""COMPUTED_VALUE"""),3006692.0)</f>
        <v>3006692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IFERROR(__xludf.DUMMYFUNCTION("""COMPUTED_VALUE"""),1550.0)</f>
        <v>1550</v>
      </c>
      <c r="C62" s="6">
        <f>IFERROR(__xludf.DUMMYFUNCTION("""COMPUTED_VALUE"""),1597.05)</f>
        <v>1597.05</v>
      </c>
      <c r="D62" s="6">
        <f>IFERROR(__xludf.DUMMYFUNCTION("""COMPUTED_VALUE"""),1451.0)</f>
        <v>1451</v>
      </c>
      <c r="E62" s="6">
        <f>IFERROR(__xludf.DUMMYFUNCTION("""COMPUTED_VALUE"""),1478.2)</f>
        <v>1478.2</v>
      </c>
      <c r="F62" s="6">
        <f>IFERROR(__xludf.DUMMYFUNCTION("""COMPUTED_VALUE"""),3111001.0)</f>
        <v>3111001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IFERROR(__xludf.DUMMYFUNCTION("""COMPUTED_VALUE"""),1478.1)</f>
        <v>1478.1</v>
      </c>
      <c r="C63" s="6">
        <f>IFERROR(__xludf.DUMMYFUNCTION("""COMPUTED_VALUE"""),1533.85)</f>
        <v>1533.85</v>
      </c>
      <c r="D63" s="6">
        <f>IFERROR(__xludf.DUMMYFUNCTION("""COMPUTED_VALUE"""),1478.1)</f>
        <v>1478.1</v>
      </c>
      <c r="E63" s="6">
        <f>IFERROR(__xludf.DUMMYFUNCTION("""COMPUTED_VALUE"""),1528.65)</f>
        <v>1528.65</v>
      </c>
      <c r="F63" s="6">
        <f>IFERROR(__xludf.DUMMYFUNCTION("""COMPUTED_VALUE"""),2188471.0)</f>
        <v>2188471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IFERROR(__xludf.DUMMYFUNCTION("""COMPUTED_VALUE"""),1528.1)</f>
        <v>1528.1</v>
      </c>
      <c r="C64" s="6">
        <f>IFERROR(__xludf.DUMMYFUNCTION("""COMPUTED_VALUE"""),1568.8)</f>
        <v>1568.8</v>
      </c>
      <c r="D64" s="6">
        <f>IFERROR(__xludf.DUMMYFUNCTION("""COMPUTED_VALUE"""),1512.3)</f>
        <v>1512.3</v>
      </c>
      <c r="E64" s="6">
        <f>IFERROR(__xludf.DUMMYFUNCTION("""COMPUTED_VALUE"""),1528.1)</f>
        <v>1528.1</v>
      </c>
      <c r="F64" s="6">
        <f>IFERROR(__xludf.DUMMYFUNCTION("""COMPUTED_VALUE"""),2404991.0)</f>
        <v>2404991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IFERROR(__xludf.DUMMYFUNCTION("""COMPUTED_VALUE"""),1528.0)</f>
        <v>1528</v>
      </c>
      <c r="C65" s="6">
        <f>IFERROR(__xludf.DUMMYFUNCTION("""COMPUTED_VALUE"""),1576.5)</f>
        <v>1576.5</v>
      </c>
      <c r="D65" s="6">
        <f>IFERROR(__xludf.DUMMYFUNCTION("""COMPUTED_VALUE"""),1446.5)</f>
        <v>1446.5</v>
      </c>
      <c r="E65" s="6">
        <f>IFERROR(__xludf.DUMMYFUNCTION("""COMPUTED_VALUE"""),1518.15)</f>
        <v>1518.15</v>
      </c>
      <c r="F65" s="6">
        <f>IFERROR(__xludf.DUMMYFUNCTION("""COMPUTED_VALUE"""),6514515.0)</f>
        <v>6514515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IFERROR(__xludf.DUMMYFUNCTION("""COMPUTED_VALUE"""),1515.1)</f>
        <v>1515.1</v>
      </c>
      <c r="C66" s="6">
        <f>IFERROR(__xludf.DUMMYFUNCTION("""COMPUTED_VALUE"""),1563.4)</f>
        <v>1563.4</v>
      </c>
      <c r="D66" s="6">
        <f>IFERROR(__xludf.DUMMYFUNCTION("""COMPUTED_VALUE"""),1498.2)</f>
        <v>1498.2</v>
      </c>
      <c r="E66" s="6">
        <f>IFERROR(__xludf.DUMMYFUNCTION("""COMPUTED_VALUE"""),1541.65)</f>
        <v>1541.65</v>
      </c>
      <c r="F66" s="6">
        <f>IFERROR(__xludf.DUMMYFUNCTION("""COMPUTED_VALUE"""),2515939.0)</f>
        <v>2515939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IFERROR(__xludf.DUMMYFUNCTION("""COMPUTED_VALUE"""),1553.9)</f>
        <v>1553.9</v>
      </c>
      <c r="C67" s="6">
        <f>IFERROR(__xludf.DUMMYFUNCTION("""COMPUTED_VALUE"""),1604.5)</f>
        <v>1604.5</v>
      </c>
      <c r="D67" s="6">
        <f>IFERROR(__xludf.DUMMYFUNCTION("""COMPUTED_VALUE"""),1510.85)</f>
        <v>1510.85</v>
      </c>
      <c r="E67" s="6">
        <f>IFERROR(__xludf.DUMMYFUNCTION("""COMPUTED_VALUE"""),1585.95)</f>
        <v>1585.95</v>
      </c>
      <c r="F67" s="6">
        <f>IFERROR(__xludf.DUMMYFUNCTION("""COMPUTED_VALUE"""),2555636.0)</f>
        <v>2555636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IFERROR(__xludf.DUMMYFUNCTION("""COMPUTED_VALUE"""),1589.35)</f>
        <v>1589.35</v>
      </c>
      <c r="C68" s="6">
        <f>IFERROR(__xludf.DUMMYFUNCTION("""COMPUTED_VALUE"""),1645.85)</f>
        <v>1645.85</v>
      </c>
      <c r="D68" s="6">
        <f>IFERROR(__xludf.DUMMYFUNCTION("""COMPUTED_VALUE"""),1575.6)</f>
        <v>1575.6</v>
      </c>
      <c r="E68" s="6">
        <f>IFERROR(__xludf.DUMMYFUNCTION("""COMPUTED_VALUE"""),1636.1)</f>
        <v>1636.1</v>
      </c>
      <c r="F68" s="6">
        <f>IFERROR(__xludf.DUMMYFUNCTION("""COMPUTED_VALUE"""),2836278.0)</f>
        <v>2836278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IFERROR(__xludf.DUMMYFUNCTION("""COMPUTED_VALUE"""),1636.1)</f>
        <v>1636.1</v>
      </c>
      <c r="C69" s="6">
        <f>IFERROR(__xludf.DUMMYFUNCTION("""COMPUTED_VALUE"""),1658.0)</f>
        <v>1658</v>
      </c>
      <c r="D69" s="6">
        <f>IFERROR(__xludf.DUMMYFUNCTION("""COMPUTED_VALUE"""),1538.2)</f>
        <v>1538.2</v>
      </c>
      <c r="E69" s="6">
        <f>IFERROR(__xludf.DUMMYFUNCTION("""COMPUTED_VALUE"""),1541.7)</f>
        <v>1541.7</v>
      </c>
      <c r="F69" s="6">
        <f>IFERROR(__xludf.DUMMYFUNCTION("""COMPUTED_VALUE"""),1554309.0)</f>
        <v>1554309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IFERROR(__xludf.DUMMYFUNCTION("""COMPUTED_VALUE"""),1525.0)</f>
        <v>1525</v>
      </c>
      <c r="C70" s="6">
        <f>IFERROR(__xludf.DUMMYFUNCTION("""COMPUTED_VALUE"""),1546.15)</f>
        <v>1546.15</v>
      </c>
      <c r="D70" s="6">
        <f>IFERROR(__xludf.DUMMYFUNCTION("""COMPUTED_VALUE"""),1437.95)</f>
        <v>1437.95</v>
      </c>
      <c r="E70" s="6">
        <f>IFERROR(__xludf.DUMMYFUNCTION("""COMPUTED_VALUE"""),1468.1)</f>
        <v>1468.1</v>
      </c>
      <c r="F70" s="6">
        <f>IFERROR(__xludf.DUMMYFUNCTION("""COMPUTED_VALUE"""),2604889.0)</f>
        <v>2604889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IFERROR(__xludf.DUMMYFUNCTION("""COMPUTED_VALUE"""),1451.15)</f>
        <v>1451.15</v>
      </c>
      <c r="C71" s="6">
        <f>IFERROR(__xludf.DUMMYFUNCTION("""COMPUTED_VALUE"""),1538.55)</f>
        <v>1538.55</v>
      </c>
      <c r="D71" s="6">
        <f>IFERROR(__xludf.DUMMYFUNCTION("""COMPUTED_VALUE"""),1443.5)</f>
        <v>1443.5</v>
      </c>
      <c r="E71" s="6">
        <f>IFERROR(__xludf.DUMMYFUNCTION("""COMPUTED_VALUE"""),1450.1)</f>
        <v>1450.1</v>
      </c>
      <c r="F71" s="6">
        <f>IFERROR(__xludf.DUMMYFUNCTION("""COMPUTED_VALUE"""),1455655.0)</f>
        <v>1455655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IFERROR(__xludf.DUMMYFUNCTION("""COMPUTED_VALUE"""),1437.0)</f>
        <v>1437</v>
      </c>
      <c r="C72" s="6">
        <f>IFERROR(__xludf.DUMMYFUNCTION("""COMPUTED_VALUE"""),1553.4)</f>
        <v>1553.4</v>
      </c>
      <c r="D72" s="6">
        <f>IFERROR(__xludf.DUMMYFUNCTION("""COMPUTED_VALUE"""),1394.0)</f>
        <v>1394</v>
      </c>
      <c r="E72" s="6">
        <f>IFERROR(__xludf.DUMMYFUNCTION("""COMPUTED_VALUE"""),1540.15)</f>
        <v>1540.15</v>
      </c>
      <c r="F72" s="6">
        <f>IFERROR(__xludf.DUMMYFUNCTION("""COMPUTED_VALUE"""),2141592.0)</f>
        <v>2141592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IFERROR(__xludf.DUMMYFUNCTION("""COMPUTED_VALUE"""),1535.45)</f>
        <v>1535.45</v>
      </c>
      <c r="C73" s="6">
        <f>IFERROR(__xludf.DUMMYFUNCTION("""COMPUTED_VALUE"""),1551.95)</f>
        <v>1551.95</v>
      </c>
      <c r="D73" s="6">
        <f>IFERROR(__xludf.DUMMYFUNCTION("""COMPUTED_VALUE"""),1310.9)</f>
        <v>1310.9</v>
      </c>
      <c r="E73" s="6">
        <f>IFERROR(__xludf.DUMMYFUNCTION("""COMPUTED_VALUE"""),1323.05)</f>
        <v>1323.05</v>
      </c>
      <c r="F73" s="6">
        <f>IFERROR(__xludf.DUMMYFUNCTION("""COMPUTED_VALUE"""),3873673.0)</f>
        <v>3873673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IFERROR(__xludf.DUMMYFUNCTION("""COMPUTED_VALUE"""),1320.0)</f>
        <v>1320</v>
      </c>
      <c r="C74" s="6">
        <f>IFERROR(__xludf.DUMMYFUNCTION("""COMPUTED_VALUE"""),1398.4)</f>
        <v>1398.4</v>
      </c>
      <c r="D74" s="6">
        <f>IFERROR(__xludf.DUMMYFUNCTION("""COMPUTED_VALUE"""),1280.3)</f>
        <v>1280.3</v>
      </c>
      <c r="E74" s="6">
        <f>IFERROR(__xludf.DUMMYFUNCTION("""COMPUTED_VALUE"""),1300.8)</f>
        <v>1300.8</v>
      </c>
      <c r="F74" s="6">
        <f>IFERROR(__xludf.DUMMYFUNCTION("""COMPUTED_VALUE"""),4893815.0)</f>
        <v>4893815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IFERROR(__xludf.DUMMYFUNCTION("""COMPUTED_VALUE"""),1300.8)</f>
        <v>1300.8</v>
      </c>
      <c r="C75" s="6">
        <f>IFERROR(__xludf.DUMMYFUNCTION("""COMPUTED_VALUE"""),1354.85)</f>
        <v>1354.85</v>
      </c>
      <c r="D75" s="6">
        <f>IFERROR(__xludf.DUMMYFUNCTION("""COMPUTED_VALUE"""),1275.5)</f>
        <v>1275.5</v>
      </c>
      <c r="E75" s="6">
        <f>IFERROR(__xludf.DUMMYFUNCTION("""COMPUTED_VALUE"""),1278.95)</f>
        <v>1278.95</v>
      </c>
      <c r="F75" s="6">
        <f>IFERROR(__xludf.DUMMYFUNCTION("""COMPUTED_VALUE"""),2755311.0)</f>
        <v>2755311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IFERROR(__xludf.DUMMYFUNCTION("""COMPUTED_VALUE"""),1278.0)</f>
        <v>1278</v>
      </c>
      <c r="C76" s="6">
        <f>IFERROR(__xludf.DUMMYFUNCTION("""COMPUTED_VALUE"""),1415.0)</f>
        <v>1415</v>
      </c>
      <c r="D76" s="6">
        <f>IFERROR(__xludf.DUMMYFUNCTION("""COMPUTED_VALUE"""),1277.3)</f>
        <v>1277.3</v>
      </c>
      <c r="E76" s="6">
        <f>IFERROR(__xludf.DUMMYFUNCTION("""COMPUTED_VALUE"""),1404.4)</f>
        <v>1404.4</v>
      </c>
      <c r="F76" s="6">
        <f>IFERROR(__xludf.DUMMYFUNCTION("""COMPUTED_VALUE"""),2098131.0)</f>
        <v>2098131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IFERROR(__xludf.DUMMYFUNCTION("""COMPUTED_VALUE"""),1404.0)</f>
        <v>1404</v>
      </c>
      <c r="C77" s="6">
        <f>IFERROR(__xludf.DUMMYFUNCTION("""COMPUTED_VALUE"""),1428.0)</f>
        <v>1428</v>
      </c>
      <c r="D77" s="6">
        <f>IFERROR(__xludf.DUMMYFUNCTION("""COMPUTED_VALUE"""),1368.0)</f>
        <v>1368</v>
      </c>
      <c r="E77" s="6">
        <f>IFERROR(__xludf.DUMMYFUNCTION("""COMPUTED_VALUE"""),1405.15)</f>
        <v>1405.15</v>
      </c>
      <c r="F77" s="6">
        <f>IFERROR(__xludf.DUMMYFUNCTION("""COMPUTED_VALUE"""),2142916.0)</f>
        <v>2142916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IFERROR(__xludf.DUMMYFUNCTION("""COMPUTED_VALUE"""),1405.1)</f>
        <v>1405.1</v>
      </c>
      <c r="C78" s="6">
        <f>IFERROR(__xludf.DUMMYFUNCTION("""COMPUTED_VALUE"""),1518.85)</f>
        <v>1518.85</v>
      </c>
      <c r="D78" s="6">
        <f>IFERROR(__xludf.DUMMYFUNCTION("""COMPUTED_VALUE"""),1401.05)</f>
        <v>1401.05</v>
      </c>
      <c r="E78" s="6">
        <f>IFERROR(__xludf.DUMMYFUNCTION("""COMPUTED_VALUE"""),1514.75)</f>
        <v>1514.75</v>
      </c>
      <c r="F78" s="6">
        <f>IFERROR(__xludf.DUMMYFUNCTION("""COMPUTED_VALUE"""),2273069.0)</f>
        <v>2273069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IFERROR(__xludf.DUMMYFUNCTION("""COMPUTED_VALUE"""),1512.9)</f>
        <v>1512.9</v>
      </c>
      <c r="C79" s="6">
        <f>IFERROR(__xludf.DUMMYFUNCTION("""COMPUTED_VALUE"""),1546.4)</f>
        <v>1546.4</v>
      </c>
      <c r="D79" s="6">
        <f>IFERROR(__xludf.DUMMYFUNCTION("""COMPUTED_VALUE"""),1450.05)</f>
        <v>1450.05</v>
      </c>
      <c r="E79" s="6">
        <f>IFERROR(__xludf.DUMMYFUNCTION("""COMPUTED_VALUE"""),1541.05)</f>
        <v>1541.05</v>
      </c>
      <c r="F79" s="6">
        <f>IFERROR(__xludf.DUMMYFUNCTION("""COMPUTED_VALUE"""),4880144.0)</f>
        <v>4880144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IFERROR(__xludf.DUMMYFUNCTION("""COMPUTED_VALUE"""),1540.0)</f>
        <v>1540</v>
      </c>
      <c r="C80" s="6">
        <f>IFERROR(__xludf.DUMMYFUNCTION("""COMPUTED_VALUE"""),1582.95)</f>
        <v>1582.95</v>
      </c>
      <c r="D80" s="6">
        <f>IFERROR(__xludf.DUMMYFUNCTION("""COMPUTED_VALUE"""),1469.0)</f>
        <v>1469</v>
      </c>
      <c r="E80" s="6">
        <f>IFERROR(__xludf.DUMMYFUNCTION("""COMPUTED_VALUE"""),1499.85)</f>
        <v>1499.85</v>
      </c>
      <c r="F80" s="6">
        <f>IFERROR(__xludf.DUMMYFUNCTION("""COMPUTED_VALUE"""),2238912.0)</f>
        <v>2238912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IFERROR(__xludf.DUMMYFUNCTION("""COMPUTED_VALUE"""),1360.0)</f>
        <v>1360</v>
      </c>
      <c r="C81" s="6">
        <f>IFERROR(__xludf.DUMMYFUNCTION("""COMPUTED_VALUE"""),1476.85)</f>
        <v>1476.85</v>
      </c>
      <c r="D81" s="6">
        <f>IFERROR(__xludf.DUMMYFUNCTION("""COMPUTED_VALUE"""),1339.9)</f>
        <v>1339.9</v>
      </c>
      <c r="E81" s="6">
        <f>IFERROR(__xludf.DUMMYFUNCTION("""COMPUTED_VALUE"""),1378.1)</f>
        <v>1378.1</v>
      </c>
      <c r="F81" s="6">
        <f>IFERROR(__xludf.DUMMYFUNCTION("""COMPUTED_VALUE"""),2674439.0)</f>
        <v>2674439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IFERROR(__xludf.DUMMYFUNCTION("""COMPUTED_VALUE"""),1381.2)</f>
        <v>1381.2</v>
      </c>
      <c r="C82" s="6">
        <f>IFERROR(__xludf.DUMMYFUNCTION("""COMPUTED_VALUE"""),1395.7)</f>
        <v>1395.7</v>
      </c>
      <c r="D82" s="6">
        <f>IFERROR(__xludf.DUMMYFUNCTION("""COMPUTED_VALUE"""),1336.0)</f>
        <v>1336</v>
      </c>
      <c r="E82" s="6">
        <f>IFERROR(__xludf.DUMMYFUNCTION("""COMPUTED_VALUE"""),1342.4)</f>
        <v>1342.4</v>
      </c>
      <c r="F82" s="6">
        <f>IFERROR(__xludf.DUMMYFUNCTION("""COMPUTED_VALUE"""),2343362.0)</f>
        <v>2343362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IFERROR(__xludf.DUMMYFUNCTION("""COMPUTED_VALUE"""),1359.0)</f>
        <v>1359</v>
      </c>
      <c r="C83" s="6">
        <f>IFERROR(__xludf.DUMMYFUNCTION("""COMPUTED_VALUE"""),1438.9)</f>
        <v>1438.9</v>
      </c>
      <c r="D83" s="6">
        <f>IFERROR(__xludf.DUMMYFUNCTION("""COMPUTED_VALUE"""),1336.3)</f>
        <v>1336.3</v>
      </c>
      <c r="E83" s="6">
        <f>IFERROR(__xludf.DUMMYFUNCTION("""COMPUTED_VALUE"""),1360.7)</f>
        <v>1360.7</v>
      </c>
      <c r="F83" s="6">
        <f>IFERROR(__xludf.DUMMYFUNCTION("""COMPUTED_VALUE"""),6525906.0)</f>
        <v>6525906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IFERROR(__xludf.DUMMYFUNCTION("""COMPUTED_VALUE"""),1360.0)</f>
        <v>1360</v>
      </c>
      <c r="C84" s="6">
        <f>IFERROR(__xludf.DUMMYFUNCTION("""COMPUTED_VALUE"""),1417.0)</f>
        <v>1417</v>
      </c>
      <c r="D84" s="6">
        <f>IFERROR(__xludf.DUMMYFUNCTION("""COMPUTED_VALUE"""),1359.0)</f>
        <v>1359</v>
      </c>
      <c r="E84" s="6">
        <f>IFERROR(__xludf.DUMMYFUNCTION("""COMPUTED_VALUE"""),1375.0)</f>
        <v>1375</v>
      </c>
      <c r="F84" s="6">
        <f>IFERROR(__xludf.DUMMYFUNCTION("""COMPUTED_VALUE"""),2175772.0)</f>
        <v>2175772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IFERROR(__xludf.DUMMYFUNCTION("""COMPUTED_VALUE"""),1365.0)</f>
        <v>1365</v>
      </c>
      <c r="C85" s="6">
        <f>IFERROR(__xludf.DUMMYFUNCTION("""COMPUTED_VALUE"""),1450.6)</f>
        <v>1450.6</v>
      </c>
      <c r="D85" s="6">
        <f>IFERROR(__xludf.DUMMYFUNCTION("""COMPUTED_VALUE"""),1365.0)</f>
        <v>1365</v>
      </c>
      <c r="E85" s="6">
        <f>IFERROR(__xludf.DUMMYFUNCTION("""COMPUTED_VALUE"""),1398.2)</f>
        <v>1398.2</v>
      </c>
      <c r="F85" s="6">
        <f>IFERROR(__xludf.DUMMYFUNCTION("""COMPUTED_VALUE"""),4007220.0)</f>
        <v>4007220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IFERROR(__xludf.DUMMYFUNCTION("""COMPUTED_VALUE"""),1377.1)</f>
        <v>1377.1</v>
      </c>
      <c r="C86" s="6">
        <f>IFERROR(__xludf.DUMMYFUNCTION("""COMPUTED_VALUE"""),1463.4)</f>
        <v>1463.4</v>
      </c>
      <c r="D86" s="6">
        <f>IFERROR(__xludf.DUMMYFUNCTION("""COMPUTED_VALUE"""),1355.4)</f>
        <v>1355.4</v>
      </c>
      <c r="E86" s="6">
        <f>IFERROR(__xludf.DUMMYFUNCTION("""COMPUTED_VALUE"""),1448.6)</f>
        <v>1448.6</v>
      </c>
      <c r="F86" s="6">
        <f>IFERROR(__xludf.DUMMYFUNCTION("""COMPUTED_VALUE"""),2628464.0)</f>
        <v>2628464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IFERROR(__xludf.DUMMYFUNCTION("""COMPUTED_VALUE"""),1454.0)</f>
        <v>1454</v>
      </c>
      <c r="C87" s="6">
        <f>IFERROR(__xludf.DUMMYFUNCTION("""COMPUTED_VALUE"""),1471.1)</f>
        <v>1471.1</v>
      </c>
      <c r="D87" s="6">
        <f>IFERROR(__xludf.DUMMYFUNCTION("""COMPUTED_VALUE"""),1409.2)</f>
        <v>1409.2</v>
      </c>
      <c r="E87" s="6">
        <f>IFERROR(__xludf.DUMMYFUNCTION("""COMPUTED_VALUE"""),1420.2)</f>
        <v>1420.2</v>
      </c>
      <c r="F87" s="6">
        <f>IFERROR(__xludf.DUMMYFUNCTION("""COMPUTED_VALUE"""),2572053.0)</f>
        <v>2572053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IFERROR(__xludf.DUMMYFUNCTION("""COMPUTED_VALUE"""),1370.0)</f>
        <v>1370</v>
      </c>
      <c r="C88" s="6">
        <f>IFERROR(__xludf.DUMMYFUNCTION("""COMPUTED_VALUE"""),1466.0)</f>
        <v>1466</v>
      </c>
      <c r="D88" s="6">
        <f>IFERROR(__xludf.DUMMYFUNCTION("""COMPUTED_VALUE"""),1370.0)</f>
        <v>1370</v>
      </c>
      <c r="E88" s="6">
        <f>IFERROR(__xludf.DUMMYFUNCTION("""COMPUTED_VALUE"""),1457.1)</f>
        <v>1457.1</v>
      </c>
      <c r="F88" s="6">
        <f>IFERROR(__xludf.DUMMYFUNCTION("""COMPUTED_VALUE"""),5730554.0)</f>
        <v>5730554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IFERROR(__xludf.DUMMYFUNCTION("""COMPUTED_VALUE"""),1457.2)</f>
        <v>1457.2</v>
      </c>
      <c r="C89" s="6">
        <f>IFERROR(__xludf.DUMMYFUNCTION("""COMPUTED_VALUE"""),1598.1)</f>
        <v>1598.1</v>
      </c>
      <c r="D89" s="6">
        <f>IFERROR(__xludf.DUMMYFUNCTION("""COMPUTED_VALUE"""),1448.5)</f>
        <v>1448.5</v>
      </c>
      <c r="E89" s="6">
        <f>IFERROR(__xludf.DUMMYFUNCTION("""COMPUTED_VALUE"""),1590.2)</f>
        <v>1590.2</v>
      </c>
      <c r="F89" s="6">
        <f>IFERROR(__xludf.DUMMYFUNCTION("""COMPUTED_VALUE"""),8273828.0)</f>
        <v>8273828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IFERROR(__xludf.DUMMYFUNCTION("""COMPUTED_VALUE"""),1590.2)</f>
        <v>1590.2</v>
      </c>
      <c r="C90" s="6">
        <f>IFERROR(__xludf.DUMMYFUNCTION("""COMPUTED_VALUE"""),1674.0)</f>
        <v>1674</v>
      </c>
      <c r="D90" s="6">
        <f>IFERROR(__xludf.DUMMYFUNCTION("""COMPUTED_VALUE"""),1589.0)</f>
        <v>1589</v>
      </c>
      <c r="E90" s="6">
        <f>IFERROR(__xludf.DUMMYFUNCTION("""COMPUTED_VALUE"""),1669.9)</f>
        <v>1669.9</v>
      </c>
      <c r="F90" s="6">
        <f>IFERROR(__xludf.DUMMYFUNCTION("""COMPUTED_VALUE"""),4474368.0)</f>
        <v>4474368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IFERROR(__xludf.DUMMYFUNCTION("""COMPUTED_VALUE"""),1683.8)</f>
        <v>1683.8</v>
      </c>
      <c r="C91" s="6">
        <f>IFERROR(__xludf.DUMMYFUNCTION("""COMPUTED_VALUE"""),1687.5)</f>
        <v>1687.5</v>
      </c>
      <c r="D91" s="6">
        <f>IFERROR(__xludf.DUMMYFUNCTION("""COMPUTED_VALUE"""),1625.0)</f>
        <v>1625</v>
      </c>
      <c r="E91" s="6">
        <f>IFERROR(__xludf.DUMMYFUNCTION("""COMPUTED_VALUE"""),1636.7)</f>
        <v>1636.7</v>
      </c>
      <c r="F91" s="6">
        <f>IFERROR(__xludf.DUMMYFUNCTION("""COMPUTED_VALUE"""),5179147.0)</f>
        <v>5179147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IFERROR(__xludf.DUMMYFUNCTION("""COMPUTED_VALUE"""),1636.0)</f>
        <v>1636</v>
      </c>
      <c r="C92" s="6">
        <f>IFERROR(__xludf.DUMMYFUNCTION("""COMPUTED_VALUE"""),1743.6)</f>
        <v>1743.6</v>
      </c>
      <c r="D92" s="6">
        <f>IFERROR(__xludf.DUMMYFUNCTION("""COMPUTED_VALUE"""),1630.1)</f>
        <v>1630.1</v>
      </c>
      <c r="E92" s="6">
        <f>IFERROR(__xludf.DUMMYFUNCTION("""COMPUTED_VALUE"""),1711.2)</f>
        <v>1711.2</v>
      </c>
      <c r="F92" s="6">
        <f>IFERROR(__xludf.DUMMYFUNCTION("""COMPUTED_VALUE"""),6577107.0)</f>
        <v>6577107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IFERROR(__xludf.DUMMYFUNCTION("""COMPUTED_VALUE"""),1719.9)</f>
        <v>1719.9</v>
      </c>
      <c r="C93" s="6">
        <f>IFERROR(__xludf.DUMMYFUNCTION("""COMPUTED_VALUE"""),1843.3)</f>
        <v>1843.3</v>
      </c>
      <c r="D93" s="6">
        <f>IFERROR(__xludf.DUMMYFUNCTION("""COMPUTED_VALUE"""),1715.4)</f>
        <v>1715.4</v>
      </c>
      <c r="E93" s="6">
        <f>IFERROR(__xludf.DUMMYFUNCTION("""COMPUTED_VALUE"""),1830.4)</f>
        <v>1830.4</v>
      </c>
      <c r="F93" s="6">
        <f>IFERROR(__xludf.DUMMYFUNCTION("""COMPUTED_VALUE"""),3135655.0)</f>
        <v>3135655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IFERROR(__xludf.DUMMYFUNCTION("""COMPUTED_VALUE"""),1836.1)</f>
        <v>1836.1</v>
      </c>
      <c r="C94" s="6">
        <f>IFERROR(__xludf.DUMMYFUNCTION("""COMPUTED_VALUE"""),2284.8)</f>
        <v>2284.8</v>
      </c>
      <c r="D94" s="6">
        <f>IFERROR(__xludf.DUMMYFUNCTION("""COMPUTED_VALUE"""),1792.6)</f>
        <v>1792.6</v>
      </c>
      <c r="E94" s="6">
        <f>IFERROR(__xludf.DUMMYFUNCTION("""COMPUTED_VALUE"""),2181.1)</f>
        <v>2181.1</v>
      </c>
      <c r="F94" s="6">
        <f>IFERROR(__xludf.DUMMYFUNCTION("""COMPUTED_VALUE"""),2.2886386E7)</f>
        <v>22886386</v>
      </c>
    </row>
    <row r="95">
      <c r="A95" s="7">
        <f>IFERROR(__xludf.DUMMYFUNCTION("""COMPUTED_VALUE"""),45856.64583333333)</f>
        <v>45856.64583</v>
      </c>
      <c r="B95" s="6">
        <f>IFERROR(__xludf.DUMMYFUNCTION("""COMPUTED_VALUE"""),2170.1)</f>
        <v>2170.1</v>
      </c>
      <c r="C95" s="6">
        <f>IFERROR(__xludf.DUMMYFUNCTION("""COMPUTED_VALUE"""),2266.0)</f>
        <v>2266</v>
      </c>
      <c r="D95" s="6">
        <f>IFERROR(__xludf.DUMMYFUNCTION("""COMPUTED_VALUE"""),2138.5)</f>
        <v>2138.5</v>
      </c>
      <c r="E95" s="6">
        <f>IFERROR(__xludf.DUMMYFUNCTION("""COMPUTED_VALUE"""),2225.5)</f>
        <v>2225.5</v>
      </c>
      <c r="F95" s="6">
        <f>IFERROR(__xludf.DUMMYFUNCTION("""COMPUTED_VALUE"""),1.1297109E7)</f>
        <v>11297109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IFERROR(__xludf.DUMMYFUNCTION("""COMPUTED_VALUE"""),2227.9)</f>
        <v>2227.9</v>
      </c>
      <c r="C96" s="6">
        <f>IFERROR(__xludf.DUMMYFUNCTION("""COMPUTED_VALUE"""),2237.8)</f>
        <v>2237.8</v>
      </c>
      <c r="D96" s="6">
        <f>IFERROR(__xludf.DUMMYFUNCTION("""COMPUTED_VALUE"""),2125.0)</f>
        <v>2125</v>
      </c>
      <c r="E96" s="6">
        <f>IFERROR(__xludf.DUMMYFUNCTION("""COMPUTED_VALUE"""),2145.3)</f>
        <v>2145.3</v>
      </c>
      <c r="F96" s="6">
        <f>IFERROR(__xludf.DUMMYFUNCTION("""COMPUTED_VALUE"""),6457959.0)</f>
        <v>6457959</v>
      </c>
    </row>
    <row r="97">
      <c r="A97" s="7">
        <f>IFERROR(__xludf.DUMMYFUNCTION("""COMPUTED_VALUE"""),45870.64583333333)</f>
        <v>45870.64583</v>
      </c>
      <c r="B97" s="6">
        <f>IFERROR(__xludf.DUMMYFUNCTION("""COMPUTED_VALUE"""),2147.0)</f>
        <v>2147</v>
      </c>
      <c r="C97" s="6">
        <f>IFERROR(__xludf.DUMMYFUNCTION("""COMPUTED_VALUE"""),2177.7)</f>
        <v>2177.7</v>
      </c>
      <c r="D97" s="6">
        <f>IFERROR(__xludf.DUMMYFUNCTION("""COMPUTED_VALUE"""),2053.7)</f>
        <v>2053.7</v>
      </c>
      <c r="E97" s="6">
        <f>IFERROR(__xludf.DUMMYFUNCTION("""COMPUTED_VALUE"""),2067.8)</f>
        <v>2067.8</v>
      </c>
      <c r="F97" s="6">
        <f>IFERROR(__xludf.DUMMYFUNCTION("""COMPUTED_VALUE"""),5602343.0)</f>
        <v>5602343</v>
      </c>
    </row>
    <row r="98">
      <c r="A98" s="7">
        <f>IFERROR(__xludf.DUMMYFUNCTION("""COMPUTED_VALUE"""),45877.64583333333)</f>
        <v>45877.64583</v>
      </c>
      <c r="B98" s="6">
        <f>IFERROR(__xludf.DUMMYFUNCTION("""COMPUTED_VALUE"""),2067.8)</f>
        <v>2067.8</v>
      </c>
      <c r="C98" s="6">
        <f>IFERROR(__xludf.DUMMYFUNCTION("""COMPUTED_VALUE"""),2098.0)</f>
        <v>2098</v>
      </c>
      <c r="D98" s="6">
        <f>IFERROR(__xludf.DUMMYFUNCTION("""COMPUTED_VALUE"""),2005.1)</f>
        <v>2005.1</v>
      </c>
      <c r="E98" s="6">
        <f>IFERROR(__xludf.DUMMYFUNCTION("""COMPUTED_VALUE"""),2019.6)</f>
        <v>2019.6</v>
      </c>
      <c r="F98" s="6">
        <f>IFERROR(__xludf.DUMMYFUNCTION("""COMPUTED_VALUE"""),2808864.0)</f>
        <v>2808864</v>
      </c>
    </row>
    <row r="99">
      <c r="A99" s="7">
        <f>IFERROR(__xludf.DUMMYFUNCTION("""COMPUTED_VALUE"""),45883.64583333333)</f>
        <v>45883.64583</v>
      </c>
      <c r="B99" s="6">
        <f>IFERROR(__xludf.DUMMYFUNCTION("""COMPUTED_VALUE"""),2018.1)</f>
        <v>2018.1</v>
      </c>
      <c r="C99" s="6">
        <f>IFERROR(__xludf.DUMMYFUNCTION("""COMPUTED_VALUE"""),2073.9)</f>
        <v>2073.9</v>
      </c>
      <c r="D99" s="6">
        <f>IFERROR(__xludf.DUMMYFUNCTION("""COMPUTED_VALUE"""),2011.4)</f>
        <v>2011.4</v>
      </c>
      <c r="E99" s="6">
        <f>IFERROR(__xludf.DUMMYFUNCTION("""COMPUTED_VALUE"""),2044.6)</f>
        <v>2044.6</v>
      </c>
      <c r="F99" s="6">
        <f>IFERROR(__xludf.DUMMYFUNCTION("""COMPUTED_VALUE"""),2382918.0)</f>
        <v>2382918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IFERROR(__xludf.DUMMYFUNCTION("""COMPUTED_VALUE"""),2009.9)</f>
        <v>2009.9</v>
      </c>
      <c r="C100" s="6">
        <f>IFERROR(__xludf.DUMMYFUNCTION("""COMPUTED_VALUE"""),2042.9)</f>
        <v>2042.9</v>
      </c>
      <c r="D100" s="6">
        <f>IFERROR(__xludf.DUMMYFUNCTION("""COMPUTED_VALUE"""),1901.1)</f>
        <v>1901.1</v>
      </c>
      <c r="E100" s="6">
        <f>IFERROR(__xludf.DUMMYFUNCTION("""COMPUTED_VALUE"""),1937.3)</f>
        <v>1937.3</v>
      </c>
      <c r="F100" s="6">
        <f>IFERROR(__xludf.DUMMYFUNCTION("""COMPUTED_VALUE"""),5292217.0)</f>
        <v>5292217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IFERROR(__xludf.DUMMYFUNCTION("""COMPUTED_VALUE"""),1940.9)</f>
        <v>1940.9</v>
      </c>
      <c r="C101" s="6">
        <f>IFERROR(__xludf.DUMMYFUNCTION("""COMPUTED_VALUE"""),1976.0)</f>
        <v>1976</v>
      </c>
      <c r="D101" s="6">
        <f>IFERROR(__xludf.DUMMYFUNCTION("""COMPUTED_VALUE"""),1933.0)</f>
        <v>1933</v>
      </c>
      <c r="E101" s="6">
        <f>IFERROR(__xludf.DUMMYFUNCTION("""COMPUTED_VALUE"""),1950.7)</f>
        <v>1950.7</v>
      </c>
      <c r="F101" s="6">
        <f>IFERROR(__xludf.DUMMYFUNCTION("""COMPUTED_VALUE"""),1.0974612E7)</f>
        <v>10974612</v>
      </c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IFERROR(__xludf.DUMMYFUNCTION("GOOGLEFINANCE(""NSE:GMRAIRPORT"",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IFERROR(__xludf.DUMMYFUNCTION("""COMPUTED_VALUE"""),62.45)</f>
        <v>62.45</v>
      </c>
      <c r="C2" s="6">
        <f>IFERROR(__xludf.DUMMYFUNCTION("""COMPUTED_VALUE"""),63.2)</f>
        <v>63.2</v>
      </c>
      <c r="D2" s="6">
        <f>IFERROR(__xludf.DUMMYFUNCTION("""COMPUTED_VALUE"""),59.55)</f>
        <v>59.55</v>
      </c>
      <c r="E2" s="6">
        <f>IFERROR(__xludf.DUMMYFUNCTION("""COMPUTED_VALUE"""),62.95)</f>
        <v>62.95</v>
      </c>
      <c r="F2" s="6">
        <f>IFERROR(__xludf.DUMMYFUNCTION("""COMPUTED_VALUE"""),1.75881452E8)</f>
        <v>175881452</v>
      </c>
    </row>
    <row r="3">
      <c r="A3" s="7">
        <f>IFERROR(__xludf.DUMMYFUNCTION("""COMPUTED_VALUE"""),45177.64583333333)</f>
        <v>45177.64583</v>
      </c>
      <c r="B3" s="6">
        <f>IFERROR(__xludf.DUMMYFUNCTION("""COMPUTED_VALUE"""),63.45)</f>
        <v>63.45</v>
      </c>
      <c r="C3" s="6">
        <f>IFERROR(__xludf.DUMMYFUNCTION("""COMPUTED_VALUE"""),64.9)</f>
        <v>64.9</v>
      </c>
      <c r="D3" s="6">
        <f>IFERROR(__xludf.DUMMYFUNCTION("""COMPUTED_VALUE"""),62.0)</f>
        <v>62</v>
      </c>
      <c r="E3" s="6">
        <f>IFERROR(__xludf.DUMMYFUNCTION("""COMPUTED_VALUE"""),63.8)</f>
        <v>63.8</v>
      </c>
      <c r="F3" s="6">
        <f>IFERROR(__xludf.DUMMYFUNCTION("""COMPUTED_VALUE"""),5.2144469E7)</f>
        <v>52144469</v>
      </c>
    </row>
    <row r="4">
      <c r="A4" s="7">
        <f>IFERROR(__xludf.DUMMYFUNCTION("""COMPUTED_VALUE"""),45184.64583333333)</f>
        <v>45184.64583</v>
      </c>
      <c r="B4" s="6">
        <f>IFERROR(__xludf.DUMMYFUNCTION("""COMPUTED_VALUE"""),63.95)</f>
        <v>63.95</v>
      </c>
      <c r="C4" s="6">
        <f>IFERROR(__xludf.DUMMYFUNCTION("""COMPUTED_VALUE"""),65.0)</f>
        <v>65</v>
      </c>
      <c r="D4" s="6">
        <f>IFERROR(__xludf.DUMMYFUNCTION("""COMPUTED_VALUE"""),58.35)</f>
        <v>58.35</v>
      </c>
      <c r="E4" s="6">
        <f>IFERROR(__xludf.DUMMYFUNCTION("""COMPUTED_VALUE"""),60.65)</f>
        <v>60.65</v>
      </c>
      <c r="F4" s="6">
        <f>IFERROR(__xludf.DUMMYFUNCTION("""COMPUTED_VALUE"""),5.5801675E7)</f>
        <v>55801675</v>
      </c>
    </row>
    <row r="5">
      <c r="A5" s="7">
        <f>IFERROR(__xludf.DUMMYFUNCTION("""COMPUTED_VALUE"""),45191.64583333333)</f>
        <v>45191.64583</v>
      </c>
      <c r="B5" s="6">
        <f>IFERROR(__xludf.DUMMYFUNCTION("""COMPUTED_VALUE"""),60.55)</f>
        <v>60.55</v>
      </c>
      <c r="C5" s="6">
        <f>IFERROR(__xludf.DUMMYFUNCTION("""COMPUTED_VALUE"""),61.0)</f>
        <v>61</v>
      </c>
      <c r="D5" s="6">
        <f>IFERROR(__xludf.DUMMYFUNCTION("""COMPUTED_VALUE"""),56.7)</f>
        <v>56.7</v>
      </c>
      <c r="E5" s="6">
        <f>IFERROR(__xludf.DUMMYFUNCTION("""COMPUTED_VALUE"""),58.55)</f>
        <v>58.55</v>
      </c>
      <c r="F5" s="6">
        <f>IFERROR(__xludf.DUMMYFUNCTION("""COMPUTED_VALUE"""),3.3675522E7)</f>
        <v>33675522</v>
      </c>
    </row>
    <row r="6">
      <c r="A6" s="7">
        <f>IFERROR(__xludf.DUMMYFUNCTION("""COMPUTED_VALUE"""),45198.64583333333)</f>
        <v>45198.64583</v>
      </c>
      <c r="B6" s="6">
        <f>IFERROR(__xludf.DUMMYFUNCTION("""COMPUTED_VALUE"""),58.65)</f>
        <v>58.65</v>
      </c>
      <c r="C6" s="6">
        <f>IFERROR(__xludf.DUMMYFUNCTION("""COMPUTED_VALUE"""),60.0)</f>
        <v>60</v>
      </c>
      <c r="D6" s="6">
        <f>IFERROR(__xludf.DUMMYFUNCTION("""COMPUTED_VALUE"""),57.6)</f>
        <v>57.6</v>
      </c>
      <c r="E6" s="6">
        <f>IFERROR(__xludf.DUMMYFUNCTION("""COMPUTED_VALUE"""),59.55)</f>
        <v>59.55</v>
      </c>
      <c r="F6" s="6">
        <f>IFERROR(__xludf.DUMMYFUNCTION("""COMPUTED_VALUE"""),3.4836822E7)</f>
        <v>34836822</v>
      </c>
    </row>
    <row r="7">
      <c r="A7" s="7">
        <f>IFERROR(__xludf.DUMMYFUNCTION("""COMPUTED_VALUE"""),45205.64583333333)</f>
        <v>45205.64583</v>
      </c>
      <c r="B7" s="6">
        <f>IFERROR(__xludf.DUMMYFUNCTION("""COMPUTED_VALUE"""),59.4)</f>
        <v>59.4</v>
      </c>
      <c r="C7" s="6">
        <f>IFERROR(__xludf.DUMMYFUNCTION("""COMPUTED_VALUE"""),61.85)</f>
        <v>61.85</v>
      </c>
      <c r="D7" s="6">
        <f>IFERROR(__xludf.DUMMYFUNCTION("""COMPUTED_VALUE"""),57.9)</f>
        <v>57.9</v>
      </c>
      <c r="E7" s="6">
        <f>IFERROR(__xludf.DUMMYFUNCTION("""COMPUTED_VALUE"""),61.6)</f>
        <v>61.6</v>
      </c>
      <c r="F7" s="6">
        <f>IFERROR(__xludf.DUMMYFUNCTION("""COMPUTED_VALUE"""),2.8356544E7)</f>
        <v>28356544</v>
      </c>
    </row>
    <row r="8">
      <c r="A8" s="7">
        <f>IFERROR(__xludf.DUMMYFUNCTION("""COMPUTED_VALUE"""),45212.64583333333)</f>
        <v>45212.64583</v>
      </c>
      <c r="B8" s="6">
        <f>IFERROR(__xludf.DUMMYFUNCTION("""COMPUTED_VALUE"""),60.8)</f>
        <v>60.8</v>
      </c>
      <c r="C8" s="6">
        <f>IFERROR(__xludf.DUMMYFUNCTION("""COMPUTED_VALUE"""),60.8)</f>
        <v>60.8</v>
      </c>
      <c r="D8" s="6">
        <f>IFERROR(__xludf.DUMMYFUNCTION("""COMPUTED_VALUE"""),57.5)</f>
        <v>57.5</v>
      </c>
      <c r="E8" s="6">
        <f>IFERROR(__xludf.DUMMYFUNCTION("""COMPUTED_VALUE"""),59.3)</f>
        <v>59.3</v>
      </c>
      <c r="F8" s="6">
        <f>IFERROR(__xludf.DUMMYFUNCTION("""COMPUTED_VALUE"""),3.3876032E7)</f>
        <v>33876032</v>
      </c>
    </row>
    <row r="9">
      <c r="A9" s="7">
        <f>IFERROR(__xludf.DUMMYFUNCTION("""COMPUTED_VALUE"""),45219.64583333333)</f>
        <v>45219.64583</v>
      </c>
      <c r="B9" s="6">
        <f>IFERROR(__xludf.DUMMYFUNCTION("""COMPUTED_VALUE"""),59.0)</f>
        <v>59</v>
      </c>
      <c r="C9" s="6">
        <f>IFERROR(__xludf.DUMMYFUNCTION("""COMPUTED_VALUE"""),59.4)</f>
        <v>59.4</v>
      </c>
      <c r="D9" s="6">
        <f>IFERROR(__xludf.DUMMYFUNCTION("""COMPUTED_VALUE"""),55.0)</f>
        <v>55</v>
      </c>
      <c r="E9" s="6">
        <f>IFERROR(__xludf.DUMMYFUNCTION("""COMPUTED_VALUE"""),55.9)</f>
        <v>55.9</v>
      </c>
      <c r="F9" s="6">
        <f>IFERROR(__xludf.DUMMYFUNCTION("""COMPUTED_VALUE"""),2.5120095E7)</f>
        <v>25120095</v>
      </c>
    </row>
    <row r="10">
      <c r="A10" s="7">
        <f>IFERROR(__xludf.DUMMYFUNCTION("""COMPUTED_VALUE"""),45226.64583333333)</f>
        <v>45226.64583</v>
      </c>
      <c r="B10" s="6">
        <f>IFERROR(__xludf.DUMMYFUNCTION("""COMPUTED_VALUE"""),54.55)</f>
        <v>54.55</v>
      </c>
      <c r="C10" s="6">
        <f>IFERROR(__xludf.DUMMYFUNCTION("""COMPUTED_VALUE"""),56.15)</f>
        <v>56.15</v>
      </c>
      <c r="D10" s="6">
        <f>IFERROR(__xludf.DUMMYFUNCTION("""COMPUTED_VALUE"""),52.0)</f>
        <v>52</v>
      </c>
      <c r="E10" s="6">
        <f>IFERROR(__xludf.DUMMYFUNCTION("""COMPUTED_VALUE"""),54.85)</f>
        <v>54.85</v>
      </c>
      <c r="F10" s="6">
        <f>IFERROR(__xludf.DUMMYFUNCTION("""COMPUTED_VALUE"""),2.2346626E7)</f>
        <v>22346626</v>
      </c>
    </row>
    <row r="11">
      <c r="A11" s="7">
        <f>IFERROR(__xludf.DUMMYFUNCTION("""COMPUTED_VALUE"""),45233.64583333333)</f>
        <v>45233.64583</v>
      </c>
      <c r="B11" s="6">
        <f>IFERROR(__xludf.DUMMYFUNCTION("""COMPUTED_VALUE"""),55.1)</f>
        <v>55.1</v>
      </c>
      <c r="C11" s="6">
        <f>IFERROR(__xludf.DUMMYFUNCTION("""COMPUTED_VALUE"""),57.1)</f>
        <v>57.1</v>
      </c>
      <c r="D11" s="6">
        <f>IFERROR(__xludf.DUMMYFUNCTION("""COMPUTED_VALUE"""),54.05)</f>
        <v>54.05</v>
      </c>
      <c r="E11" s="6">
        <f>IFERROR(__xludf.DUMMYFUNCTION("""COMPUTED_VALUE"""),56.05)</f>
        <v>56.05</v>
      </c>
      <c r="F11" s="6">
        <f>IFERROR(__xludf.DUMMYFUNCTION("""COMPUTED_VALUE"""),2.1952094E7)</f>
        <v>21952094</v>
      </c>
    </row>
    <row r="12">
      <c r="A12" s="7">
        <f>IFERROR(__xludf.DUMMYFUNCTION("""COMPUTED_VALUE"""),45240.64583333333)</f>
        <v>45240.64583</v>
      </c>
      <c r="B12" s="6">
        <f>IFERROR(__xludf.DUMMYFUNCTION("""COMPUTED_VALUE"""),56.5)</f>
        <v>56.5</v>
      </c>
      <c r="C12" s="6">
        <f>IFERROR(__xludf.DUMMYFUNCTION("""COMPUTED_VALUE"""),58.4)</f>
        <v>58.4</v>
      </c>
      <c r="D12" s="6">
        <f>IFERROR(__xludf.DUMMYFUNCTION("""COMPUTED_VALUE"""),55.5)</f>
        <v>55.5</v>
      </c>
      <c r="E12" s="6">
        <f>IFERROR(__xludf.DUMMYFUNCTION("""COMPUTED_VALUE"""),57.65)</f>
        <v>57.65</v>
      </c>
      <c r="F12" s="6">
        <f>IFERROR(__xludf.DUMMYFUNCTION("""COMPUTED_VALUE"""),2.9388213E7)</f>
        <v>29388213</v>
      </c>
    </row>
    <row r="13">
      <c r="A13" s="7">
        <f>IFERROR(__xludf.DUMMYFUNCTION("""COMPUTED_VALUE"""),45247.64583333333)</f>
        <v>45247.64583</v>
      </c>
      <c r="B13" s="6">
        <f>IFERROR(__xludf.DUMMYFUNCTION("""COMPUTED_VALUE"""),58.0)</f>
        <v>58</v>
      </c>
      <c r="C13" s="6">
        <f>IFERROR(__xludf.DUMMYFUNCTION("""COMPUTED_VALUE"""),59.5)</f>
        <v>59.5</v>
      </c>
      <c r="D13" s="6">
        <f>IFERROR(__xludf.DUMMYFUNCTION("""COMPUTED_VALUE"""),57.0)</f>
        <v>57</v>
      </c>
      <c r="E13" s="6">
        <f>IFERROR(__xludf.DUMMYFUNCTION("""COMPUTED_VALUE"""),58.7)</f>
        <v>58.7</v>
      </c>
      <c r="F13" s="6">
        <f>IFERROR(__xludf.DUMMYFUNCTION("""COMPUTED_VALUE"""),2.8091286E7)</f>
        <v>28091286</v>
      </c>
    </row>
    <row r="14">
      <c r="A14" s="7">
        <f>IFERROR(__xludf.DUMMYFUNCTION("""COMPUTED_VALUE"""),45254.64583333333)</f>
        <v>45254.64583</v>
      </c>
      <c r="B14" s="6">
        <f>IFERROR(__xludf.DUMMYFUNCTION("""COMPUTED_VALUE"""),59.0)</f>
        <v>59</v>
      </c>
      <c r="C14" s="6">
        <f>IFERROR(__xludf.DUMMYFUNCTION("""COMPUTED_VALUE"""),60.9)</f>
        <v>60.9</v>
      </c>
      <c r="D14" s="6">
        <f>IFERROR(__xludf.DUMMYFUNCTION("""COMPUTED_VALUE"""),56.4)</f>
        <v>56.4</v>
      </c>
      <c r="E14" s="6">
        <f>IFERROR(__xludf.DUMMYFUNCTION("""COMPUTED_VALUE"""),60.35)</f>
        <v>60.35</v>
      </c>
      <c r="F14" s="6">
        <f>IFERROR(__xludf.DUMMYFUNCTION("""COMPUTED_VALUE"""),4.495372E7)</f>
        <v>44953720</v>
      </c>
    </row>
    <row r="15">
      <c r="A15" s="7">
        <f>IFERROR(__xludf.DUMMYFUNCTION("""COMPUTED_VALUE"""),45261.64583333333)</f>
        <v>45261.64583</v>
      </c>
      <c r="B15" s="6">
        <f>IFERROR(__xludf.DUMMYFUNCTION("""COMPUTED_VALUE"""),61.65)</f>
        <v>61.65</v>
      </c>
      <c r="C15" s="6">
        <f>IFERROR(__xludf.DUMMYFUNCTION("""COMPUTED_VALUE"""),61.9)</f>
        <v>61.9</v>
      </c>
      <c r="D15" s="6">
        <f>IFERROR(__xludf.DUMMYFUNCTION("""COMPUTED_VALUE"""),59.2)</f>
        <v>59.2</v>
      </c>
      <c r="E15" s="6">
        <f>IFERROR(__xludf.DUMMYFUNCTION("""COMPUTED_VALUE"""),60.9)</f>
        <v>60.9</v>
      </c>
      <c r="F15" s="6">
        <f>IFERROR(__xludf.DUMMYFUNCTION("""COMPUTED_VALUE"""),1.04066079E8)</f>
        <v>104066079</v>
      </c>
    </row>
    <row r="16">
      <c r="A16" s="7">
        <f>IFERROR(__xludf.DUMMYFUNCTION("""COMPUTED_VALUE"""),45268.64583333333)</f>
        <v>45268.64583</v>
      </c>
      <c r="B16" s="6">
        <f>IFERROR(__xludf.DUMMYFUNCTION("""COMPUTED_VALUE"""),61.8)</f>
        <v>61.8</v>
      </c>
      <c r="C16" s="6">
        <f>IFERROR(__xludf.DUMMYFUNCTION("""COMPUTED_VALUE"""),70.4)</f>
        <v>70.4</v>
      </c>
      <c r="D16" s="6">
        <f>IFERROR(__xludf.DUMMYFUNCTION("""COMPUTED_VALUE"""),58.75)</f>
        <v>58.75</v>
      </c>
      <c r="E16" s="6">
        <f>IFERROR(__xludf.DUMMYFUNCTION("""COMPUTED_VALUE"""),68.9)</f>
        <v>68.9</v>
      </c>
      <c r="F16" s="6">
        <f>IFERROR(__xludf.DUMMYFUNCTION("""COMPUTED_VALUE"""),5.83732209E8)</f>
        <v>583732209</v>
      </c>
    </row>
    <row r="17">
      <c r="A17" s="7">
        <f>IFERROR(__xludf.DUMMYFUNCTION("""COMPUTED_VALUE"""),45275.64583333333)</f>
        <v>45275.64583</v>
      </c>
      <c r="B17" s="6">
        <f>IFERROR(__xludf.DUMMYFUNCTION("""COMPUTED_VALUE"""),71.45)</f>
        <v>71.45</v>
      </c>
      <c r="C17" s="6">
        <f>IFERROR(__xludf.DUMMYFUNCTION("""COMPUTED_VALUE"""),78.9)</f>
        <v>78.9</v>
      </c>
      <c r="D17" s="6">
        <f>IFERROR(__xludf.DUMMYFUNCTION("""COMPUTED_VALUE"""),69.55)</f>
        <v>69.55</v>
      </c>
      <c r="E17" s="6">
        <f>IFERROR(__xludf.DUMMYFUNCTION("""COMPUTED_VALUE"""),77.5)</f>
        <v>77.5</v>
      </c>
      <c r="F17" s="6">
        <f>IFERROR(__xludf.DUMMYFUNCTION("""COMPUTED_VALUE"""),5.13265935E8)</f>
        <v>513265935</v>
      </c>
    </row>
    <row r="18">
      <c r="A18" s="7">
        <f>IFERROR(__xludf.DUMMYFUNCTION("""COMPUTED_VALUE"""),45282.64583333333)</f>
        <v>45282.64583</v>
      </c>
      <c r="B18" s="6">
        <f>IFERROR(__xludf.DUMMYFUNCTION("""COMPUTED_VALUE"""),77.5)</f>
        <v>77.5</v>
      </c>
      <c r="C18" s="6">
        <f>IFERROR(__xludf.DUMMYFUNCTION("""COMPUTED_VALUE"""),79.5)</f>
        <v>79.5</v>
      </c>
      <c r="D18" s="6">
        <f>IFERROR(__xludf.DUMMYFUNCTION("""COMPUTED_VALUE"""),69.6)</f>
        <v>69.6</v>
      </c>
      <c r="E18" s="6">
        <f>IFERROR(__xludf.DUMMYFUNCTION("""COMPUTED_VALUE"""),74.65)</f>
        <v>74.65</v>
      </c>
      <c r="F18" s="6">
        <f>IFERROR(__xludf.DUMMYFUNCTION("""COMPUTED_VALUE"""),1.12231824E8)</f>
        <v>112231824</v>
      </c>
    </row>
    <row r="19">
      <c r="A19" s="7">
        <f>IFERROR(__xludf.DUMMYFUNCTION("""COMPUTED_VALUE"""),45289.64583333333)</f>
        <v>45289.64583</v>
      </c>
      <c r="B19" s="6">
        <f>IFERROR(__xludf.DUMMYFUNCTION("""COMPUTED_VALUE"""),75.05)</f>
        <v>75.05</v>
      </c>
      <c r="C19" s="6">
        <f>IFERROR(__xludf.DUMMYFUNCTION("""COMPUTED_VALUE"""),81.5)</f>
        <v>81.5</v>
      </c>
      <c r="D19" s="6">
        <f>IFERROR(__xludf.DUMMYFUNCTION("""COMPUTED_VALUE"""),72.95)</f>
        <v>72.95</v>
      </c>
      <c r="E19" s="6">
        <f>IFERROR(__xludf.DUMMYFUNCTION("""COMPUTED_VALUE"""),80.55)</f>
        <v>80.55</v>
      </c>
      <c r="F19" s="6">
        <f>IFERROR(__xludf.DUMMYFUNCTION("""COMPUTED_VALUE"""),1.50128034E8)</f>
        <v>150128034</v>
      </c>
    </row>
    <row r="20">
      <c r="A20" s="7">
        <f>IFERROR(__xludf.DUMMYFUNCTION("""COMPUTED_VALUE"""),45296.64583333333)</f>
        <v>45296.64583</v>
      </c>
      <c r="B20" s="6">
        <f>IFERROR(__xludf.DUMMYFUNCTION("""COMPUTED_VALUE"""),80.9)</f>
        <v>80.9</v>
      </c>
      <c r="C20" s="6">
        <f>IFERROR(__xludf.DUMMYFUNCTION("""COMPUTED_VALUE"""),85.25)</f>
        <v>85.25</v>
      </c>
      <c r="D20" s="6">
        <f>IFERROR(__xludf.DUMMYFUNCTION("""COMPUTED_VALUE"""),77.25)</f>
        <v>77.25</v>
      </c>
      <c r="E20" s="6">
        <f>IFERROR(__xludf.DUMMYFUNCTION("""COMPUTED_VALUE"""),83.9)</f>
        <v>83.9</v>
      </c>
      <c r="F20" s="6">
        <f>IFERROR(__xludf.DUMMYFUNCTION("""COMPUTED_VALUE"""),2.35092617E8)</f>
        <v>235092617</v>
      </c>
    </row>
    <row r="21">
      <c r="A21" s="7">
        <f>IFERROR(__xludf.DUMMYFUNCTION("""COMPUTED_VALUE"""),45303.64583333333)</f>
        <v>45303.64583</v>
      </c>
      <c r="B21" s="6">
        <f>IFERROR(__xludf.DUMMYFUNCTION("""COMPUTED_VALUE"""),80.0)</f>
        <v>80</v>
      </c>
      <c r="C21" s="6">
        <f>IFERROR(__xludf.DUMMYFUNCTION("""COMPUTED_VALUE"""),88.7)</f>
        <v>88.7</v>
      </c>
      <c r="D21" s="6">
        <f>IFERROR(__xludf.DUMMYFUNCTION("""COMPUTED_VALUE"""),80.0)</f>
        <v>80</v>
      </c>
      <c r="E21" s="6">
        <f>IFERROR(__xludf.DUMMYFUNCTION("""COMPUTED_VALUE"""),84.3)</f>
        <v>84.3</v>
      </c>
      <c r="F21" s="6">
        <f>IFERROR(__xludf.DUMMYFUNCTION("""COMPUTED_VALUE"""),4.01174973E8)</f>
        <v>401174973</v>
      </c>
    </row>
    <row r="22">
      <c r="A22" s="7">
        <f>IFERROR(__xludf.DUMMYFUNCTION("""COMPUTED_VALUE"""),45316.64583333333)</f>
        <v>45316.64583</v>
      </c>
      <c r="B22" s="6">
        <f>IFERROR(__xludf.DUMMYFUNCTION("""COMPUTED_VALUE"""),82.5)</f>
        <v>82.5</v>
      </c>
      <c r="C22" s="6">
        <f>IFERROR(__xludf.DUMMYFUNCTION("""COMPUTED_VALUE"""),83.0)</f>
        <v>83</v>
      </c>
      <c r="D22" s="6">
        <f>IFERROR(__xludf.DUMMYFUNCTION("""COMPUTED_VALUE"""),73.6)</f>
        <v>73.6</v>
      </c>
      <c r="E22" s="6">
        <f>IFERROR(__xludf.DUMMYFUNCTION("""COMPUTED_VALUE"""),77.05)</f>
        <v>77.05</v>
      </c>
      <c r="F22" s="6">
        <f>IFERROR(__xludf.DUMMYFUNCTION("""COMPUTED_VALUE"""),1.35418501E8)</f>
        <v>135418501</v>
      </c>
    </row>
    <row r="23">
      <c r="A23" s="7">
        <f>IFERROR(__xludf.DUMMYFUNCTION("""COMPUTED_VALUE"""),45324.64583333333)</f>
        <v>45324.64583</v>
      </c>
      <c r="B23" s="6">
        <f>IFERROR(__xludf.DUMMYFUNCTION("""COMPUTED_VALUE"""),78.1)</f>
        <v>78.1</v>
      </c>
      <c r="C23" s="6">
        <f>IFERROR(__xludf.DUMMYFUNCTION("""COMPUTED_VALUE"""),87.0)</f>
        <v>87</v>
      </c>
      <c r="D23" s="6">
        <f>IFERROR(__xludf.DUMMYFUNCTION("""COMPUTED_VALUE"""),76.05)</f>
        <v>76.05</v>
      </c>
      <c r="E23" s="6">
        <f>IFERROR(__xludf.DUMMYFUNCTION("""COMPUTED_VALUE"""),85.2)</f>
        <v>85.2</v>
      </c>
      <c r="F23" s="6">
        <f>IFERROR(__xludf.DUMMYFUNCTION("""COMPUTED_VALUE"""),2.73924444E8)</f>
        <v>273924444</v>
      </c>
    </row>
    <row r="24">
      <c r="A24" s="7">
        <f>IFERROR(__xludf.DUMMYFUNCTION("""COMPUTED_VALUE"""),45331.64583333333)</f>
        <v>45331.64583</v>
      </c>
      <c r="B24" s="6">
        <f>IFERROR(__xludf.DUMMYFUNCTION("""COMPUTED_VALUE"""),85.7)</f>
        <v>85.7</v>
      </c>
      <c r="C24" s="6">
        <f>IFERROR(__xludf.DUMMYFUNCTION("""COMPUTED_VALUE"""),92.55)</f>
        <v>92.55</v>
      </c>
      <c r="D24" s="6">
        <f>IFERROR(__xludf.DUMMYFUNCTION("""COMPUTED_VALUE"""),84.2)</f>
        <v>84.2</v>
      </c>
      <c r="E24" s="6">
        <f>IFERROR(__xludf.DUMMYFUNCTION("""COMPUTED_VALUE"""),88.85)</f>
        <v>88.85</v>
      </c>
      <c r="F24" s="6">
        <f>IFERROR(__xludf.DUMMYFUNCTION("""COMPUTED_VALUE"""),2.56643663E8)</f>
        <v>256643663</v>
      </c>
    </row>
    <row r="25">
      <c r="A25" s="7">
        <f>IFERROR(__xludf.DUMMYFUNCTION("""COMPUTED_VALUE"""),45338.64583333333)</f>
        <v>45338.64583</v>
      </c>
      <c r="B25" s="6">
        <f>IFERROR(__xludf.DUMMYFUNCTION("""COMPUTED_VALUE"""),89.25)</f>
        <v>89.25</v>
      </c>
      <c r="C25" s="6">
        <f>IFERROR(__xludf.DUMMYFUNCTION("""COMPUTED_VALUE"""),91.7)</f>
        <v>91.7</v>
      </c>
      <c r="D25" s="6">
        <f>IFERROR(__xludf.DUMMYFUNCTION("""COMPUTED_VALUE"""),84.75)</f>
        <v>84.75</v>
      </c>
      <c r="E25" s="6">
        <f>IFERROR(__xludf.DUMMYFUNCTION("""COMPUTED_VALUE"""),89.25)</f>
        <v>89.25</v>
      </c>
      <c r="F25" s="6">
        <f>IFERROR(__xludf.DUMMYFUNCTION("""COMPUTED_VALUE"""),2.1382517E8)</f>
        <v>213825170</v>
      </c>
    </row>
    <row r="26">
      <c r="A26" s="7">
        <f>IFERROR(__xludf.DUMMYFUNCTION("""COMPUTED_VALUE"""),45345.64583333333)</f>
        <v>45345.64583</v>
      </c>
      <c r="B26" s="6">
        <f>IFERROR(__xludf.DUMMYFUNCTION("""COMPUTED_VALUE"""),89.8)</f>
        <v>89.8</v>
      </c>
      <c r="C26" s="6">
        <f>IFERROR(__xludf.DUMMYFUNCTION("""COMPUTED_VALUE"""),94.35)</f>
        <v>94.35</v>
      </c>
      <c r="D26" s="6">
        <f>IFERROR(__xludf.DUMMYFUNCTION("""COMPUTED_VALUE"""),84.55)</f>
        <v>84.55</v>
      </c>
      <c r="E26" s="6">
        <f>IFERROR(__xludf.DUMMYFUNCTION("""COMPUTED_VALUE"""),88.35)</f>
        <v>88.35</v>
      </c>
      <c r="F26" s="6">
        <f>IFERROR(__xludf.DUMMYFUNCTION("""COMPUTED_VALUE"""),2.27150924E8)</f>
        <v>227150924</v>
      </c>
    </row>
    <row r="27">
      <c r="A27" s="7">
        <f>IFERROR(__xludf.DUMMYFUNCTION("""COMPUTED_VALUE"""),45358.64583333333)</f>
        <v>45358.64583</v>
      </c>
      <c r="B27" s="6">
        <f>IFERROR(__xludf.DUMMYFUNCTION("""COMPUTED_VALUE"""),86.35)</f>
        <v>86.35</v>
      </c>
      <c r="C27" s="6">
        <f>IFERROR(__xludf.DUMMYFUNCTION("""COMPUTED_VALUE"""),87.65)</f>
        <v>87.65</v>
      </c>
      <c r="D27" s="6">
        <f>IFERROR(__xludf.DUMMYFUNCTION("""COMPUTED_VALUE"""),80.8)</f>
        <v>80.8</v>
      </c>
      <c r="E27" s="6">
        <f>IFERROR(__xludf.DUMMYFUNCTION("""COMPUTED_VALUE"""),84.5)</f>
        <v>84.5</v>
      </c>
      <c r="F27" s="6">
        <f>IFERROR(__xludf.DUMMYFUNCTION("""COMPUTED_VALUE"""),8.0845671E7)</f>
        <v>80845671</v>
      </c>
    </row>
    <row r="28">
      <c r="A28" s="7">
        <f>IFERROR(__xludf.DUMMYFUNCTION("""COMPUTED_VALUE"""),45366.64583333333)</f>
        <v>45366.64583</v>
      </c>
      <c r="B28" s="6">
        <f>IFERROR(__xludf.DUMMYFUNCTION("""COMPUTED_VALUE"""),85.35)</f>
        <v>85.35</v>
      </c>
      <c r="C28" s="6">
        <f>IFERROR(__xludf.DUMMYFUNCTION("""COMPUTED_VALUE"""),85.4)</f>
        <v>85.4</v>
      </c>
      <c r="D28" s="6">
        <f>IFERROR(__xludf.DUMMYFUNCTION("""COMPUTED_VALUE"""),73.6)</f>
        <v>73.6</v>
      </c>
      <c r="E28" s="6">
        <f>IFERROR(__xludf.DUMMYFUNCTION("""COMPUTED_VALUE"""),77.3)</f>
        <v>77.3</v>
      </c>
      <c r="F28" s="6">
        <f>IFERROR(__xludf.DUMMYFUNCTION("""COMPUTED_VALUE"""),1.21270789E8)</f>
        <v>121270789</v>
      </c>
    </row>
    <row r="29">
      <c r="A29" s="7">
        <f>IFERROR(__xludf.DUMMYFUNCTION("""COMPUTED_VALUE"""),45373.64583333333)</f>
        <v>45373.64583</v>
      </c>
      <c r="B29" s="6">
        <f>IFERROR(__xludf.DUMMYFUNCTION("""COMPUTED_VALUE"""),77.3)</f>
        <v>77.3</v>
      </c>
      <c r="C29" s="6">
        <f>IFERROR(__xludf.DUMMYFUNCTION("""COMPUTED_VALUE"""),79.6)</f>
        <v>79.6</v>
      </c>
      <c r="D29" s="6">
        <f>IFERROR(__xludf.DUMMYFUNCTION("""COMPUTED_VALUE"""),73.0)</f>
        <v>73</v>
      </c>
      <c r="E29" s="6">
        <f>IFERROR(__xludf.DUMMYFUNCTION("""COMPUTED_VALUE"""),78.65)</f>
        <v>78.65</v>
      </c>
      <c r="F29" s="6">
        <f>IFERROR(__xludf.DUMMYFUNCTION("""COMPUTED_VALUE"""),6.4042899E7)</f>
        <v>64042899</v>
      </c>
    </row>
    <row r="30">
      <c r="A30" s="7">
        <f>IFERROR(__xludf.DUMMYFUNCTION("""COMPUTED_VALUE"""),45379.64583333333)</f>
        <v>45379.64583</v>
      </c>
      <c r="B30" s="6">
        <f>IFERROR(__xludf.DUMMYFUNCTION("""COMPUTED_VALUE"""),78.6)</f>
        <v>78.6</v>
      </c>
      <c r="C30" s="6">
        <f>IFERROR(__xludf.DUMMYFUNCTION("""COMPUTED_VALUE"""),82.25)</f>
        <v>82.25</v>
      </c>
      <c r="D30" s="6">
        <f>IFERROR(__xludf.DUMMYFUNCTION("""COMPUTED_VALUE"""),77.75)</f>
        <v>77.75</v>
      </c>
      <c r="E30" s="6">
        <f>IFERROR(__xludf.DUMMYFUNCTION("""COMPUTED_VALUE"""),81.6)</f>
        <v>81.6</v>
      </c>
      <c r="F30" s="6">
        <f>IFERROR(__xludf.DUMMYFUNCTION("""COMPUTED_VALUE"""),6.3583902E7)</f>
        <v>63583902</v>
      </c>
    </row>
    <row r="31">
      <c r="A31" s="7">
        <f>IFERROR(__xludf.DUMMYFUNCTION("""COMPUTED_VALUE"""),45387.64583333333)</f>
        <v>45387.64583</v>
      </c>
      <c r="B31" s="6">
        <f>IFERROR(__xludf.DUMMYFUNCTION("""COMPUTED_VALUE"""),82.4)</f>
        <v>82.4</v>
      </c>
      <c r="C31" s="6">
        <f>IFERROR(__xludf.DUMMYFUNCTION("""COMPUTED_VALUE"""),86.7)</f>
        <v>86.7</v>
      </c>
      <c r="D31" s="6">
        <f>IFERROR(__xludf.DUMMYFUNCTION("""COMPUTED_VALUE"""),82.3)</f>
        <v>82.3</v>
      </c>
      <c r="E31" s="6">
        <f>IFERROR(__xludf.DUMMYFUNCTION("""COMPUTED_VALUE"""),85.65)</f>
        <v>85.65</v>
      </c>
      <c r="F31" s="6">
        <f>IFERROR(__xludf.DUMMYFUNCTION("""COMPUTED_VALUE"""),9.3003346E7)</f>
        <v>93003346</v>
      </c>
    </row>
    <row r="32">
      <c r="A32" s="7">
        <f>IFERROR(__xludf.DUMMYFUNCTION("""COMPUTED_VALUE"""),45394.64583333333)</f>
        <v>45394.64583</v>
      </c>
      <c r="B32" s="6">
        <f>IFERROR(__xludf.DUMMYFUNCTION("""COMPUTED_VALUE"""),86.05)</f>
        <v>86.05</v>
      </c>
      <c r="C32" s="6">
        <f>IFERROR(__xludf.DUMMYFUNCTION("""COMPUTED_VALUE"""),86.5)</f>
        <v>86.5</v>
      </c>
      <c r="D32" s="6">
        <f>IFERROR(__xludf.DUMMYFUNCTION("""COMPUTED_VALUE"""),83.45)</f>
        <v>83.45</v>
      </c>
      <c r="E32" s="6">
        <f>IFERROR(__xludf.DUMMYFUNCTION("""COMPUTED_VALUE"""),83.7)</f>
        <v>83.7</v>
      </c>
      <c r="F32" s="6">
        <f>IFERROR(__xludf.DUMMYFUNCTION("""COMPUTED_VALUE"""),4.4015749E7)</f>
        <v>44015749</v>
      </c>
    </row>
    <row r="33">
      <c r="A33" s="7">
        <f>IFERROR(__xludf.DUMMYFUNCTION("""COMPUTED_VALUE"""),45401.64583333333)</f>
        <v>45401.64583</v>
      </c>
      <c r="B33" s="6">
        <f>IFERROR(__xludf.DUMMYFUNCTION("""COMPUTED_VALUE"""),81.4)</f>
        <v>81.4</v>
      </c>
      <c r="C33" s="6">
        <f>IFERROR(__xludf.DUMMYFUNCTION("""COMPUTED_VALUE"""),83.15)</f>
        <v>83.15</v>
      </c>
      <c r="D33" s="6">
        <f>IFERROR(__xludf.DUMMYFUNCTION("""COMPUTED_VALUE"""),78.25)</f>
        <v>78.25</v>
      </c>
      <c r="E33" s="6">
        <f>IFERROR(__xludf.DUMMYFUNCTION("""COMPUTED_VALUE"""),80.65)</f>
        <v>80.65</v>
      </c>
      <c r="F33" s="6">
        <f>IFERROR(__xludf.DUMMYFUNCTION("""COMPUTED_VALUE"""),8.3654669E7)</f>
        <v>83654669</v>
      </c>
    </row>
    <row r="34">
      <c r="A34" s="7">
        <f>IFERROR(__xludf.DUMMYFUNCTION("""COMPUTED_VALUE"""),45408.64583333333)</f>
        <v>45408.64583</v>
      </c>
      <c r="B34" s="6">
        <f>IFERROR(__xludf.DUMMYFUNCTION("""COMPUTED_VALUE"""),81.4)</f>
        <v>81.4</v>
      </c>
      <c r="C34" s="6">
        <f>IFERROR(__xludf.DUMMYFUNCTION("""COMPUTED_VALUE"""),92.4)</f>
        <v>92.4</v>
      </c>
      <c r="D34" s="6">
        <f>IFERROR(__xludf.DUMMYFUNCTION("""COMPUTED_VALUE"""),80.55)</f>
        <v>80.55</v>
      </c>
      <c r="E34" s="6">
        <f>IFERROR(__xludf.DUMMYFUNCTION("""COMPUTED_VALUE"""),90.75)</f>
        <v>90.75</v>
      </c>
      <c r="F34" s="6">
        <f>IFERROR(__xludf.DUMMYFUNCTION("""COMPUTED_VALUE"""),1.93776525E8)</f>
        <v>193776525</v>
      </c>
    </row>
    <row r="35">
      <c r="A35" s="7">
        <f>IFERROR(__xludf.DUMMYFUNCTION("""COMPUTED_VALUE"""),45415.64583333333)</f>
        <v>45415.64583</v>
      </c>
      <c r="B35" s="6">
        <f>IFERROR(__xludf.DUMMYFUNCTION("""COMPUTED_VALUE"""),91.75)</f>
        <v>91.75</v>
      </c>
      <c r="C35" s="6">
        <f>IFERROR(__xludf.DUMMYFUNCTION("""COMPUTED_VALUE"""),91.9)</f>
        <v>91.9</v>
      </c>
      <c r="D35" s="6">
        <f>IFERROR(__xludf.DUMMYFUNCTION("""COMPUTED_VALUE"""),83.5)</f>
        <v>83.5</v>
      </c>
      <c r="E35" s="6">
        <f>IFERROR(__xludf.DUMMYFUNCTION("""COMPUTED_VALUE"""),85.6)</f>
        <v>85.6</v>
      </c>
      <c r="F35" s="6">
        <f>IFERROR(__xludf.DUMMYFUNCTION("""COMPUTED_VALUE"""),2.4434315E8)</f>
        <v>244343150</v>
      </c>
    </row>
    <row r="36">
      <c r="A36" s="7">
        <f>IFERROR(__xludf.DUMMYFUNCTION("""COMPUTED_VALUE"""),45422.64583333333)</f>
        <v>45422.64583</v>
      </c>
      <c r="B36" s="6">
        <f>IFERROR(__xludf.DUMMYFUNCTION("""COMPUTED_VALUE"""),85.95)</f>
        <v>85.95</v>
      </c>
      <c r="C36" s="6">
        <f>IFERROR(__xludf.DUMMYFUNCTION("""COMPUTED_VALUE"""),85.95)</f>
        <v>85.95</v>
      </c>
      <c r="D36" s="6">
        <f>IFERROR(__xludf.DUMMYFUNCTION("""COMPUTED_VALUE"""),77.6)</f>
        <v>77.6</v>
      </c>
      <c r="E36" s="6">
        <f>IFERROR(__xludf.DUMMYFUNCTION("""COMPUTED_VALUE"""),80.1)</f>
        <v>80.1</v>
      </c>
      <c r="F36" s="6">
        <f>IFERROR(__xludf.DUMMYFUNCTION("""COMPUTED_VALUE"""),1.31969631E8)</f>
        <v>131969631</v>
      </c>
    </row>
    <row r="37">
      <c r="A37" s="7">
        <f>IFERROR(__xludf.DUMMYFUNCTION("""COMPUTED_VALUE"""),45436.64583333333)</f>
        <v>45436.64583</v>
      </c>
      <c r="B37" s="6">
        <f>IFERROR(__xludf.DUMMYFUNCTION("""COMPUTED_VALUE"""),86.2)</f>
        <v>86.2</v>
      </c>
      <c r="C37" s="6">
        <f>IFERROR(__xludf.DUMMYFUNCTION("""COMPUTED_VALUE"""),88.2)</f>
        <v>88.2</v>
      </c>
      <c r="D37" s="6">
        <f>IFERROR(__xludf.DUMMYFUNCTION("""COMPUTED_VALUE"""),83.9)</f>
        <v>83.9</v>
      </c>
      <c r="E37" s="6">
        <f>IFERROR(__xludf.DUMMYFUNCTION("""COMPUTED_VALUE"""),86.95)</f>
        <v>86.95</v>
      </c>
      <c r="F37" s="6">
        <f>IFERROR(__xludf.DUMMYFUNCTION("""COMPUTED_VALUE"""),1.45223653E8)</f>
        <v>145223653</v>
      </c>
    </row>
    <row r="38">
      <c r="A38" s="7">
        <f>IFERROR(__xludf.DUMMYFUNCTION("""COMPUTED_VALUE"""),45443.64583333333)</f>
        <v>45443.64583</v>
      </c>
      <c r="B38" s="6">
        <f>IFERROR(__xludf.DUMMYFUNCTION("""COMPUTED_VALUE"""),88.35)</f>
        <v>88.35</v>
      </c>
      <c r="C38" s="6">
        <f>IFERROR(__xludf.DUMMYFUNCTION("""COMPUTED_VALUE"""),89.75)</f>
        <v>89.75</v>
      </c>
      <c r="D38" s="6">
        <f>IFERROR(__xludf.DUMMYFUNCTION("""COMPUTED_VALUE"""),80.25)</f>
        <v>80.25</v>
      </c>
      <c r="E38" s="6">
        <f>IFERROR(__xludf.DUMMYFUNCTION("""COMPUTED_VALUE"""),84.6)</f>
        <v>84.6</v>
      </c>
      <c r="F38" s="6">
        <f>IFERROR(__xludf.DUMMYFUNCTION("""COMPUTED_VALUE"""),3.26109373E8)</f>
        <v>326109373</v>
      </c>
    </row>
    <row r="39">
      <c r="A39" s="7">
        <f>IFERROR(__xludf.DUMMYFUNCTION("""COMPUTED_VALUE"""),45450.64583333333)</f>
        <v>45450.64583</v>
      </c>
      <c r="B39" s="6">
        <f>IFERROR(__xludf.DUMMYFUNCTION("""COMPUTED_VALUE"""),88.85)</f>
        <v>88.85</v>
      </c>
      <c r="C39" s="6">
        <f>IFERROR(__xludf.DUMMYFUNCTION("""COMPUTED_VALUE"""),88.95)</f>
        <v>88.95</v>
      </c>
      <c r="D39" s="6">
        <f>IFERROR(__xludf.DUMMYFUNCTION("""COMPUTED_VALUE"""),70.65)</f>
        <v>70.65</v>
      </c>
      <c r="E39" s="6">
        <f>IFERROR(__xludf.DUMMYFUNCTION("""COMPUTED_VALUE"""),86.7)</f>
        <v>86.7</v>
      </c>
      <c r="F39" s="6">
        <f>IFERROR(__xludf.DUMMYFUNCTION("""COMPUTED_VALUE"""),3.33607631E8)</f>
        <v>333607631</v>
      </c>
    </row>
    <row r="40">
      <c r="A40" s="7">
        <f>IFERROR(__xludf.DUMMYFUNCTION("""COMPUTED_VALUE"""),45457.64583333333)</f>
        <v>45457.64583</v>
      </c>
      <c r="B40" s="6">
        <f>IFERROR(__xludf.DUMMYFUNCTION("""COMPUTED_VALUE"""),87.0)</f>
        <v>87</v>
      </c>
      <c r="C40" s="6">
        <f>IFERROR(__xludf.DUMMYFUNCTION("""COMPUTED_VALUE"""),94.55)</f>
        <v>94.55</v>
      </c>
      <c r="D40" s="6">
        <f>IFERROR(__xludf.DUMMYFUNCTION("""COMPUTED_VALUE"""),86.4)</f>
        <v>86.4</v>
      </c>
      <c r="E40" s="6">
        <f>IFERROR(__xludf.DUMMYFUNCTION("""COMPUTED_VALUE"""),93.92)</f>
        <v>93.92</v>
      </c>
      <c r="F40" s="6">
        <f>IFERROR(__xludf.DUMMYFUNCTION("""COMPUTED_VALUE"""),3.55515836E8)</f>
        <v>355515836</v>
      </c>
    </row>
    <row r="41">
      <c r="A41" s="7">
        <f>IFERROR(__xludf.DUMMYFUNCTION("""COMPUTED_VALUE"""),45464.64583333333)</f>
        <v>45464.64583</v>
      </c>
      <c r="B41" s="6">
        <f>IFERROR(__xludf.DUMMYFUNCTION("""COMPUTED_VALUE"""),95.1)</f>
        <v>95.1</v>
      </c>
      <c r="C41" s="6">
        <f>IFERROR(__xludf.DUMMYFUNCTION("""COMPUTED_VALUE"""),100.7)</f>
        <v>100.7</v>
      </c>
      <c r="D41" s="6">
        <f>IFERROR(__xludf.DUMMYFUNCTION("""COMPUTED_VALUE"""),95.05)</f>
        <v>95.05</v>
      </c>
      <c r="E41" s="6">
        <f>IFERROR(__xludf.DUMMYFUNCTION("""COMPUTED_VALUE"""),97.97)</f>
        <v>97.97</v>
      </c>
      <c r="F41" s="6">
        <f>IFERROR(__xludf.DUMMYFUNCTION("""COMPUTED_VALUE"""),3.20713915E8)</f>
        <v>320713915</v>
      </c>
    </row>
    <row r="42">
      <c r="A42" s="7">
        <f>IFERROR(__xludf.DUMMYFUNCTION("""COMPUTED_VALUE"""),45471.64583333333)</f>
        <v>45471.64583</v>
      </c>
      <c r="B42" s="6">
        <f>IFERROR(__xludf.DUMMYFUNCTION("""COMPUTED_VALUE"""),97.3)</f>
        <v>97.3</v>
      </c>
      <c r="C42" s="6">
        <f>IFERROR(__xludf.DUMMYFUNCTION("""COMPUTED_VALUE"""),101.25)</f>
        <v>101.25</v>
      </c>
      <c r="D42" s="6">
        <f>IFERROR(__xludf.DUMMYFUNCTION("""COMPUTED_VALUE"""),94.61)</f>
        <v>94.61</v>
      </c>
      <c r="E42" s="6">
        <f>IFERROR(__xludf.DUMMYFUNCTION("""COMPUTED_VALUE"""),96.57)</f>
        <v>96.57</v>
      </c>
      <c r="F42" s="6">
        <f>IFERROR(__xludf.DUMMYFUNCTION("""COMPUTED_VALUE"""),2.12666869E8)</f>
        <v>212666869</v>
      </c>
    </row>
    <row r="43">
      <c r="A43" s="7">
        <f>IFERROR(__xludf.DUMMYFUNCTION("""COMPUTED_VALUE"""),45478.64583333333)</f>
        <v>45478.64583</v>
      </c>
      <c r="B43" s="6">
        <f>IFERROR(__xludf.DUMMYFUNCTION("""COMPUTED_VALUE"""),96.0)</f>
        <v>96</v>
      </c>
      <c r="C43" s="6">
        <f>IFERROR(__xludf.DUMMYFUNCTION("""COMPUTED_VALUE"""),98.49)</f>
        <v>98.49</v>
      </c>
      <c r="D43" s="6">
        <f>IFERROR(__xludf.DUMMYFUNCTION("""COMPUTED_VALUE"""),95.16)</f>
        <v>95.16</v>
      </c>
      <c r="E43" s="6">
        <f>IFERROR(__xludf.DUMMYFUNCTION("""COMPUTED_VALUE"""),96.23)</f>
        <v>96.23</v>
      </c>
      <c r="F43" s="6">
        <f>IFERROR(__xludf.DUMMYFUNCTION("""COMPUTED_VALUE"""),8.7131358E7)</f>
        <v>87131358</v>
      </c>
    </row>
    <row r="44">
      <c r="A44" s="7">
        <f>IFERROR(__xludf.DUMMYFUNCTION("""COMPUTED_VALUE"""),45485.64583333333)</f>
        <v>45485.64583</v>
      </c>
      <c r="B44" s="6">
        <f>IFERROR(__xludf.DUMMYFUNCTION("""COMPUTED_VALUE"""),96.23)</f>
        <v>96.23</v>
      </c>
      <c r="C44" s="6">
        <f>IFERROR(__xludf.DUMMYFUNCTION("""COMPUTED_VALUE"""),100.62)</f>
        <v>100.62</v>
      </c>
      <c r="D44" s="6">
        <f>IFERROR(__xludf.DUMMYFUNCTION("""COMPUTED_VALUE"""),94.57)</f>
        <v>94.57</v>
      </c>
      <c r="E44" s="6">
        <f>IFERROR(__xludf.DUMMYFUNCTION("""COMPUTED_VALUE"""),97.74)</f>
        <v>97.74</v>
      </c>
      <c r="F44" s="6">
        <f>IFERROR(__xludf.DUMMYFUNCTION("""COMPUTED_VALUE"""),1.20279632E8)</f>
        <v>120279632</v>
      </c>
    </row>
    <row r="45">
      <c r="A45" s="7">
        <f>IFERROR(__xludf.DUMMYFUNCTION("""COMPUTED_VALUE"""),45492.64583333333)</f>
        <v>45492.64583</v>
      </c>
      <c r="B45" s="6">
        <f>IFERROR(__xludf.DUMMYFUNCTION("""COMPUTED_VALUE"""),98.0)</f>
        <v>98</v>
      </c>
      <c r="C45" s="6">
        <f>IFERROR(__xludf.DUMMYFUNCTION("""COMPUTED_VALUE"""),100.0)</f>
        <v>100</v>
      </c>
      <c r="D45" s="6">
        <f>IFERROR(__xludf.DUMMYFUNCTION("""COMPUTED_VALUE"""),91.56)</f>
        <v>91.56</v>
      </c>
      <c r="E45" s="6">
        <f>IFERROR(__xludf.DUMMYFUNCTION("""COMPUTED_VALUE"""),91.94)</f>
        <v>91.94</v>
      </c>
      <c r="F45" s="6">
        <f>IFERROR(__xludf.DUMMYFUNCTION("""COMPUTED_VALUE"""),8.498474E7)</f>
        <v>84984740</v>
      </c>
    </row>
    <row r="46">
      <c r="A46" s="7">
        <f>IFERROR(__xludf.DUMMYFUNCTION("""COMPUTED_VALUE"""),45499.64583333333)</f>
        <v>45499.64583</v>
      </c>
      <c r="B46" s="6">
        <f>IFERROR(__xludf.DUMMYFUNCTION("""COMPUTED_VALUE"""),92.5)</f>
        <v>92.5</v>
      </c>
      <c r="C46" s="6">
        <f>IFERROR(__xludf.DUMMYFUNCTION("""COMPUTED_VALUE"""),97.69)</f>
        <v>97.69</v>
      </c>
      <c r="D46" s="6">
        <f>IFERROR(__xludf.DUMMYFUNCTION("""COMPUTED_VALUE"""),88.73)</f>
        <v>88.73</v>
      </c>
      <c r="E46" s="6">
        <f>IFERROR(__xludf.DUMMYFUNCTION("""COMPUTED_VALUE"""),97.27)</f>
        <v>97.27</v>
      </c>
      <c r="F46" s="6">
        <f>IFERROR(__xludf.DUMMYFUNCTION("""COMPUTED_VALUE"""),1.23243125E8)</f>
        <v>123243125</v>
      </c>
    </row>
    <row r="47">
      <c r="A47" s="7">
        <f>IFERROR(__xludf.DUMMYFUNCTION("""COMPUTED_VALUE"""),45506.64583333333)</f>
        <v>45506.64583</v>
      </c>
      <c r="B47" s="6">
        <f>IFERROR(__xludf.DUMMYFUNCTION("""COMPUTED_VALUE"""),97.76)</f>
        <v>97.76</v>
      </c>
      <c r="C47" s="6">
        <f>IFERROR(__xludf.DUMMYFUNCTION("""COMPUTED_VALUE"""),103.75)</f>
        <v>103.75</v>
      </c>
      <c r="D47" s="6">
        <f>IFERROR(__xludf.DUMMYFUNCTION("""COMPUTED_VALUE"""),96.25)</f>
        <v>96.25</v>
      </c>
      <c r="E47" s="6">
        <f>IFERROR(__xludf.DUMMYFUNCTION("""COMPUTED_VALUE"""),98.0)</f>
        <v>98</v>
      </c>
      <c r="F47" s="6">
        <f>IFERROR(__xludf.DUMMYFUNCTION("""COMPUTED_VALUE"""),1.44961149E8)</f>
        <v>144961149</v>
      </c>
    </row>
    <row r="48">
      <c r="A48" s="7">
        <f>IFERROR(__xludf.DUMMYFUNCTION("""COMPUTED_VALUE"""),45513.64583333333)</f>
        <v>45513.64583</v>
      </c>
      <c r="B48" s="6">
        <f>IFERROR(__xludf.DUMMYFUNCTION("""COMPUTED_VALUE"""),95.0)</f>
        <v>95</v>
      </c>
      <c r="C48" s="6">
        <f>IFERROR(__xludf.DUMMYFUNCTION("""COMPUTED_VALUE"""),100.49)</f>
        <v>100.49</v>
      </c>
      <c r="D48" s="6">
        <f>IFERROR(__xludf.DUMMYFUNCTION("""COMPUTED_VALUE"""),90.1)</f>
        <v>90.1</v>
      </c>
      <c r="E48" s="6">
        <f>IFERROR(__xludf.DUMMYFUNCTION("""COMPUTED_VALUE"""),99.48)</f>
        <v>99.48</v>
      </c>
      <c r="F48" s="6">
        <f>IFERROR(__xludf.DUMMYFUNCTION("""COMPUTED_VALUE"""),1.37943823E8)</f>
        <v>137943823</v>
      </c>
    </row>
    <row r="49">
      <c r="A49" s="7">
        <f>IFERROR(__xludf.DUMMYFUNCTION("""COMPUTED_VALUE"""),45520.64583333333)</f>
        <v>45520.64583</v>
      </c>
      <c r="B49" s="6">
        <f>IFERROR(__xludf.DUMMYFUNCTION("""COMPUTED_VALUE"""),99.48)</f>
        <v>99.48</v>
      </c>
      <c r="C49" s="6">
        <f>IFERROR(__xludf.DUMMYFUNCTION("""COMPUTED_VALUE"""),99.49)</f>
        <v>99.49</v>
      </c>
      <c r="D49" s="6">
        <f>IFERROR(__xludf.DUMMYFUNCTION("""COMPUTED_VALUE"""),92.31)</f>
        <v>92.31</v>
      </c>
      <c r="E49" s="6">
        <f>IFERROR(__xludf.DUMMYFUNCTION("""COMPUTED_VALUE"""),95.87)</f>
        <v>95.87</v>
      </c>
      <c r="F49" s="6">
        <f>IFERROR(__xludf.DUMMYFUNCTION("""COMPUTED_VALUE"""),5.7164023E7)</f>
        <v>57164023</v>
      </c>
    </row>
    <row r="50">
      <c r="A50" s="7">
        <f>IFERROR(__xludf.DUMMYFUNCTION("""COMPUTED_VALUE"""),45527.64583333333)</f>
        <v>45527.64583</v>
      </c>
      <c r="B50" s="6">
        <f>IFERROR(__xludf.DUMMYFUNCTION("""COMPUTED_VALUE"""),97.4)</f>
        <v>97.4</v>
      </c>
      <c r="C50" s="6">
        <f>IFERROR(__xludf.DUMMYFUNCTION("""COMPUTED_VALUE"""),98.1)</f>
        <v>98.1</v>
      </c>
      <c r="D50" s="6">
        <f>IFERROR(__xludf.DUMMYFUNCTION("""COMPUTED_VALUE"""),93.77)</f>
        <v>93.77</v>
      </c>
      <c r="E50" s="6">
        <f>IFERROR(__xludf.DUMMYFUNCTION("""COMPUTED_VALUE"""),95.85)</f>
        <v>95.85</v>
      </c>
      <c r="F50" s="6">
        <f>IFERROR(__xludf.DUMMYFUNCTION("""COMPUTED_VALUE"""),1.81248686E8)</f>
        <v>181248686</v>
      </c>
    </row>
    <row r="51">
      <c r="A51" s="7">
        <f>IFERROR(__xludf.DUMMYFUNCTION("""COMPUTED_VALUE"""),45534.64583333333)</f>
        <v>45534.64583</v>
      </c>
      <c r="B51" s="6">
        <f>IFERROR(__xludf.DUMMYFUNCTION("""COMPUTED_VALUE"""),96.34)</f>
        <v>96.34</v>
      </c>
      <c r="C51" s="6">
        <f>IFERROR(__xludf.DUMMYFUNCTION("""COMPUTED_VALUE"""),96.88)</f>
        <v>96.88</v>
      </c>
      <c r="D51" s="6">
        <f>IFERROR(__xludf.DUMMYFUNCTION("""COMPUTED_VALUE"""),92.84)</f>
        <v>92.84</v>
      </c>
      <c r="E51" s="6">
        <f>IFERROR(__xludf.DUMMYFUNCTION("""COMPUTED_VALUE"""),94.48)</f>
        <v>94.48</v>
      </c>
      <c r="F51" s="6">
        <f>IFERROR(__xludf.DUMMYFUNCTION("""COMPUTED_VALUE"""),1.56937654E8)</f>
        <v>156937654</v>
      </c>
    </row>
    <row r="52">
      <c r="A52" s="7">
        <f>IFERROR(__xludf.DUMMYFUNCTION("""COMPUTED_VALUE"""),45541.64583333333)</f>
        <v>45541.64583</v>
      </c>
      <c r="B52" s="6">
        <f>IFERROR(__xludf.DUMMYFUNCTION("""COMPUTED_VALUE"""),95.0)</f>
        <v>95</v>
      </c>
      <c r="C52" s="6">
        <f>IFERROR(__xludf.DUMMYFUNCTION("""COMPUTED_VALUE"""),96.9)</f>
        <v>96.9</v>
      </c>
      <c r="D52" s="6">
        <f>IFERROR(__xludf.DUMMYFUNCTION("""COMPUTED_VALUE"""),90.68)</f>
        <v>90.68</v>
      </c>
      <c r="E52" s="6">
        <f>IFERROR(__xludf.DUMMYFUNCTION("""COMPUTED_VALUE"""),91.03)</f>
        <v>91.03</v>
      </c>
      <c r="F52" s="6">
        <f>IFERROR(__xludf.DUMMYFUNCTION("""COMPUTED_VALUE"""),1.91930522E8)</f>
        <v>191930522</v>
      </c>
    </row>
    <row r="53">
      <c r="A53" s="7">
        <f>IFERROR(__xludf.DUMMYFUNCTION("""COMPUTED_VALUE"""),45548.64583333333)</f>
        <v>45548.64583</v>
      </c>
      <c r="B53" s="6">
        <f>IFERROR(__xludf.DUMMYFUNCTION("""COMPUTED_VALUE"""),90.6)</f>
        <v>90.6</v>
      </c>
      <c r="C53" s="6">
        <f>IFERROR(__xludf.DUMMYFUNCTION("""COMPUTED_VALUE"""),96.8)</f>
        <v>96.8</v>
      </c>
      <c r="D53" s="6">
        <f>IFERROR(__xludf.DUMMYFUNCTION("""COMPUTED_VALUE"""),89.21)</f>
        <v>89.21</v>
      </c>
      <c r="E53" s="6">
        <f>IFERROR(__xludf.DUMMYFUNCTION("""COMPUTED_VALUE"""),96.03)</f>
        <v>96.03</v>
      </c>
      <c r="F53" s="6">
        <f>IFERROR(__xludf.DUMMYFUNCTION("""COMPUTED_VALUE"""),1.00158663E8)</f>
        <v>100158663</v>
      </c>
    </row>
    <row r="54">
      <c r="A54" s="7">
        <f>IFERROR(__xludf.DUMMYFUNCTION("""COMPUTED_VALUE"""),45555.64583333333)</f>
        <v>45555.64583</v>
      </c>
      <c r="B54" s="6">
        <f>IFERROR(__xludf.DUMMYFUNCTION("""COMPUTED_VALUE"""),97.0)</f>
        <v>97</v>
      </c>
      <c r="C54" s="6">
        <f>IFERROR(__xludf.DUMMYFUNCTION("""COMPUTED_VALUE"""),98.23)</f>
        <v>98.23</v>
      </c>
      <c r="D54" s="6">
        <f>IFERROR(__xludf.DUMMYFUNCTION("""COMPUTED_VALUE"""),90.88)</f>
        <v>90.88</v>
      </c>
      <c r="E54" s="6">
        <f>IFERROR(__xludf.DUMMYFUNCTION("""COMPUTED_VALUE"""),94.53)</f>
        <v>94.53</v>
      </c>
      <c r="F54" s="6">
        <f>IFERROR(__xludf.DUMMYFUNCTION("""COMPUTED_VALUE"""),1.52674861E8)</f>
        <v>152674861</v>
      </c>
    </row>
    <row r="55">
      <c r="A55" s="7">
        <f>IFERROR(__xludf.DUMMYFUNCTION("""COMPUTED_VALUE"""),45562.64583333333)</f>
        <v>45562.64583</v>
      </c>
      <c r="B55" s="6">
        <f>IFERROR(__xludf.DUMMYFUNCTION("""COMPUTED_VALUE"""),95.02)</f>
        <v>95.02</v>
      </c>
      <c r="C55" s="6">
        <f>IFERROR(__xludf.DUMMYFUNCTION("""COMPUTED_VALUE"""),96.0)</f>
        <v>96</v>
      </c>
      <c r="D55" s="6">
        <f>IFERROR(__xludf.DUMMYFUNCTION("""COMPUTED_VALUE"""),92.74)</f>
        <v>92.74</v>
      </c>
      <c r="E55" s="6">
        <f>IFERROR(__xludf.DUMMYFUNCTION("""COMPUTED_VALUE"""),95.09)</f>
        <v>95.09</v>
      </c>
      <c r="F55" s="6">
        <f>IFERROR(__xludf.DUMMYFUNCTION("""COMPUTED_VALUE"""),1.09746455E8)</f>
        <v>109746455</v>
      </c>
    </row>
    <row r="56">
      <c r="A56" s="7">
        <f>IFERROR(__xludf.DUMMYFUNCTION("""COMPUTED_VALUE"""),45569.64583333333)</f>
        <v>45569.64583</v>
      </c>
      <c r="B56" s="6">
        <f>IFERROR(__xludf.DUMMYFUNCTION("""COMPUTED_VALUE"""),94.93)</f>
        <v>94.93</v>
      </c>
      <c r="C56" s="6">
        <f>IFERROR(__xludf.DUMMYFUNCTION("""COMPUTED_VALUE"""),95.51)</f>
        <v>95.51</v>
      </c>
      <c r="D56" s="6">
        <f>IFERROR(__xludf.DUMMYFUNCTION("""COMPUTED_VALUE"""),87.9)</f>
        <v>87.9</v>
      </c>
      <c r="E56" s="6">
        <f>IFERROR(__xludf.DUMMYFUNCTION("""COMPUTED_VALUE"""),89.94)</f>
        <v>89.94</v>
      </c>
      <c r="F56" s="6">
        <f>IFERROR(__xludf.DUMMYFUNCTION("""COMPUTED_VALUE"""),1.08642873E8)</f>
        <v>108642873</v>
      </c>
    </row>
    <row r="57">
      <c r="A57" s="7">
        <f>IFERROR(__xludf.DUMMYFUNCTION("""COMPUTED_VALUE"""),45576.64583333333)</f>
        <v>45576.64583</v>
      </c>
      <c r="B57" s="6">
        <f>IFERROR(__xludf.DUMMYFUNCTION("""COMPUTED_VALUE"""),90.09)</f>
        <v>90.09</v>
      </c>
      <c r="C57" s="6">
        <f>IFERROR(__xludf.DUMMYFUNCTION("""COMPUTED_VALUE"""),90.78)</f>
        <v>90.78</v>
      </c>
      <c r="D57" s="6">
        <f>IFERROR(__xludf.DUMMYFUNCTION("""COMPUTED_VALUE"""),84.57)</f>
        <v>84.57</v>
      </c>
      <c r="E57" s="6">
        <f>IFERROR(__xludf.DUMMYFUNCTION("""COMPUTED_VALUE"""),88.42)</f>
        <v>88.42</v>
      </c>
      <c r="F57" s="6">
        <f>IFERROR(__xludf.DUMMYFUNCTION("""COMPUTED_VALUE"""),1.225297E8)</f>
        <v>122529700</v>
      </c>
    </row>
    <row r="58">
      <c r="A58" s="7">
        <f>IFERROR(__xludf.DUMMYFUNCTION("""COMPUTED_VALUE"""),45583.64583333333)</f>
        <v>45583.64583</v>
      </c>
      <c r="B58" s="6">
        <f>IFERROR(__xludf.DUMMYFUNCTION("""COMPUTED_VALUE"""),88.35)</f>
        <v>88.35</v>
      </c>
      <c r="C58" s="6">
        <f>IFERROR(__xludf.DUMMYFUNCTION("""COMPUTED_VALUE"""),90.14)</f>
        <v>90.14</v>
      </c>
      <c r="D58" s="6">
        <f>IFERROR(__xludf.DUMMYFUNCTION("""COMPUTED_VALUE"""),84.68)</f>
        <v>84.68</v>
      </c>
      <c r="E58" s="6">
        <f>IFERROR(__xludf.DUMMYFUNCTION("""COMPUTED_VALUE"""),85.76)</f>
        <v>85.76</v>
      </c>
      <c r="F58" s="6">
        <f>IFERROR(__xludf.DUMMYFUNCTION("""COMPUTED_VALUE"""),5.2558254E7)</f>
        <v>52558254</v>
      </c>
    </row>
    <row r="59">
      <c r="A59" s="7">
        <f>IFERROR(__xludf.DUMMYFUNCTION("""COMPUTED_VALUE"""),45590.64583333333)</f>
        <v>45590.64583</v>
      </c>
      <c r="B59" s="6">
        <f>IFERROR(__xludf.DUMMYFUNCTION("""COMPUTED_VALUE"""),85.0)</f>
        <v>85</v>
      </c>
      <c r="C59" s="6">
        <f>IFERROR(__xludf.DUMMYFUNCTION("""COMPUTED_VALUE"""),85.74)</f>
        <v>85.74</v>
      </c>
      <c r="D59" s="6">
        <f>IFERROR(__xludf.DUMMYFUNCTION("""COMPUTED_VALUE"""),77.67)</f>
        <v>77.67</v>
      </c>
      <c r="E59" s="6">
        <f>IFERROR(__xludf.DUMMYFUNCTION("""COMPUTED_VALUE"""),78.82)</f>
        <v>78.82</v>
      </c>
      <c r="F59" s="6">
        <f>IFERROR(__xludf.DUMMYFUNCTION("""COMPUTED_VALUE"""),1.17170147E8)</f>
        <v>117170147</v>
      </c>
    </row>
    <row r="60">
      <c r="A60" s="7">
        <f>IFERROR(__xludf.DUMMYFUNCTION("""COMPUTED_VALUE"""),45604.64583333333)</f>
        <v>45604.64583</v>
      </c>
      <c r="B60" s="6">
        <f>IFERROR(__xludf.DUMMYFUNCTION("""COMPUTED_VALUE"""),80.0)</f>
        <v>80</v>
      </c>
      <c r="C60" s="6">
        <f>IFERROR(__xludf.DUMMYFUNCTION("""COMPUTED_VALUE"""),82.27)</f>
        <v>82.27</v>
      </c>
      <c r="D60" s="6">
        <f>IFERROR(__xludf.DUMMYFUNCTION("""COMPUTED_VALUE"""),76.12)</f>
        <v>76.12</v>
      </c>
      <c r="E60" s="6">
        <f>IFERROR(__xludf.DUMMYFUNCTION("""COMPUTED_VALUE"""),80.29)</f>
        <v>80.29</v>
      </c>
      <c r="F60" s="6">
        <f>IFERROR(__xludf.DUMMYFUNCTION("""COMPUTED_VALUE"""),7.6740685E7)</f>
        <v>76740685</v>
      </c>
    </row>
    <row r="61">
      <c r="A61" s="7">
        <f>IFERROR(__xludf.DUMMYFUNCTION("""COMPUTED_VALUE"""),45610.64583333333)</f>
        <v>45610.64583</v>
      </c>
      <c r="B61" s="6">
        <f>IFERROR(__xludf.DUMMYFUNCTION("""COMPUTED_VALUE"""),79.5)</f>
        <v>79.5</v>
      </c>
      <c r="C61" s="6">
        <f>IFERROR(__xludf.DUMMYFUNCTION("""COMPUTED_VALUE"""),80.39)</f>
        <v>80.39</v>
      </c>
      <c r="D61" s="6">
        <f>IFERROR(__xludf.DUMMYFUNCTION("""COMPUTED_VALUE"""),75.41)</f>
        <v>75.41</v>
      </c>
      <c r="E61" s="6">
        <f>IFERROR(__xludf.DUMMYFUNCTION("""COMPUTED_VALUE"""),76.81)</f>
        <v>76.81</v>
      </c>
      <c r="F61" s="6">
        <f>IFERROR(__xludf.DUMMYFUNCTION("""COMPUTED_VALUE"""),3.593574E7)</f>
        <v>35935740</v>
      </c>
    </row>
    <row r="62">
      <c r="A62" s="7">
        <f>IFERROR(__xludf.DUMMYFUNCTION("""COMPUTED_VALUE"""),45618.64583333333)</f>
        <v>45618.64583</v>
      </c>
      <c r="B62" s="6">
        <f>IFERROR(__xludf.DUMMYFUNCTION("""COMPUTED_VALUE"""),77.0)</f>
        <v>77</v>
      </c>
      <c r="C62" s="6">
        <f>IFERROR(__xludf.DUMMYFUNCTION("""COMPUTED_VALUE"""),82.4)</f>
        <v>82.4</v>
      </c>
      <c r="D62" s="6">
        <f>IFERROR(__xludf.DUMMYFUNCTION("""COMPUTED_VALUE"""),74.12)</f>
        <v>74.12</v>
      </c>
      <c r="E62" s="6">
        <f>IFERROR(__xludf.DUMMYFUNCTION("""COMPUTED_VALUE"""),79.16)</f>
        <v>79.16</v>
      </c>
      <c r="F62" s="6">
        <f>IFERROR(__xludf.DUMMYFUNCTION("""COMPUTED_VALUE"""),1.47567564E8)</f>
        <v>147567564</v>
      </c>
    </row>
    <row r="63">
      <c r="A63" s="7">
        <f>IFERROR(__xludf.DUMMYFUNCTION("""COMPUTED_VALUE"""),45625.64583333333)</f>
        <v>45625.64583</v>
      </c>
      <c r="B63" s="6">
        <f>IFERROR(__xludf.DUMMYFUNCTION("""COMPUTED_VALUE"""),82.35)</f>
        <v>82.35</v>
      </c>
      <c r="C63" s="6">
        <f>IFERROR(__xludf.DUMMYFUNCTION("""COMPUTED_VALUE"""),83.91)</f>
        <v>83.91</v>
      </c>
      <c r="D63" s="6">
        <f>IFERROR(__xludf.DUMMYFUNCTION("""COMPUTED_VALUE"""),79.33)</f>
        <v>79.33</v>
      </c>
      <c r="E63" s="6">
        <f>IFERROR(__xludf.DUMMYFUNCTION("""COMPUTED_VALUE"""),83.21)</f>
        <v>83.21</v>
      </c>
      <c r="F63" s="6">
        <f>IFERROR(__xludf.DUMMYFUNCTION("""COMPUTED_VALUE"""),1.11326192E8)</f>
        <v>111326192</v>
      </c>
    </row>
    <row r="64">
      <c r="A64" s="7">
        <f>IFERROR(__xludf.DUMMYFUNCTION("""COMPUTED_VALUE"""),45632.64583333333)</f>
        <v>45632.64583</v>
      </c>
      <c r="B64" s="6">
        <f>IFERROR(__xludf.DUMMYFUNCTION("""COMPUTED_VALUE"""),83.2)</f>
        <v>83.2</v>
      </c>
      <c r="C64" s="6">
        <f>IFERROR(__xludf.DUMMYFUNCTION("""COMPUTED_VALUE"""),85.28)</f>
        <v>85.28</v>
      </c>
      <c r="D64" s="6">
        <f>IFERROR(__xludf.DUMMYFUNCTION("""COMPUTED_VALUE"""),82.29)</f>
        <v>82.29</v>
      </c>
      <c r="E64" s="6">
        <f>IFERROR(__xludf.DUMMYFUNCTION("""COMPUTED_VALUE"""),84.5)</f>
        <v>84.5</v>
      </c>
      <c r="F64" s="6">
        <f>IFERROR(__xludf.DUMMYFUNCTION("""COMPUTED_VALUE"""),5.6893592E7)</f>
        <v>56893592</v>
      </c>
    </row>
    <row r="65">
      <c r="A65" s="7">
        <f>IFERROR(__xludf.DUMMYFUNCTION("""COMPUTED_VALUE"""),45639.64583333333)</f>
        <v>45639.64583</v>
      </c>
      <c r="B65" s="6">
        <f>IFERROR(__xludf.DUMMYFUNCTION("""COMPUTED_VALUE"""),84.5)</f>
        <v>84.5</v>
      </c>
      <c r="C65" s="6">
        <f>IFERROR(__xludf.DUMMYFUNCTION("""COMPUTED_VALUE"""),87.19)</f>
        <v>87.19</v>
      </c>
      <c r="D65" s="6">
        <f>IFERROR(__xludf.DUMMYFUNCTION("""COMPUTED_VALUE"""),81.92)</f>
        <v>81.92</v>
      </c>
      <c r="E65" s="6">
        <f>IFERROR(__xludf.DUMMYFUNCTION("""COMPUTED_VALUE"""),83.95)</f>
        <v>83.95</v>
      </c>
      <c r="F65" s="6">
        <f>IFERROR(__xludf.DUMMYFUNCTION("""COMPUTED_VALUE"""),4.7314451E7)</f>
        <v>47314451</v>
      </c>
    </row>
    <row r="66">
      <c r="A66" s="7">
        <f>IFERROR(__xludf.DUMMYFUNCTION("""COMPUTED_VALUE"""),45646.64583333333)</f>
        <v>45646.64583</v>
      </c>
      <c r="B66" s="6">
        <f>IFERROR(__xludf.DUMMYFUNCTION("""COMPUTED_VALUE"""),84.05)</f>
        <v>84.05</v>
      </c>
      <c r="C66" s="6">
        <f>IFERROR(__xludf.DUMMYFUNCTION("""COMPUTED_VALUE"""),85.76)</f>
        <v>85.76</v>
      </c>
      <c r="D66" s="6">
        <f>IFERROR(__xludf.DUMMYFUNCTION("""COMPUTED_VALUE"""),78.0)</f>
        <v>78</v>
      </c>
      <c r="E66" s="6">
        <f>IFERROR(__xludf.DUMMYFUNCTION("""COMPUTED_VALUE"""),78.82)</f>
        <v>78.82</v>
      </c>
      <c r="F66" s="6">
        <f>IFERROR(__xludf.DUMMYFUNCTION("""COMPUTED_VALUE"""),4.0112599E7)</f>
        <v>40112599</v>
      </c>
    </row>
    <row r="67">
      <c r="A67" s="7">
        <f>IFERROR(__xludf.DUMMYFUNCTION("""COMPUTED_VALUE"""),45653.64583333333)</f>
        <v>45653.64583</v>
      </c>
      <c r="B67" s="6">
        <f>IFERROR(__xludf.DUMMYFUNCTION("""COMPUTED_VALUE"""),79.18)</f>
        <v>79.18</v>
      </c>
      <c r="C67" s="6">
        <f>IFERROR(__xludf.DUMMYFUNCTION("""COMPUTED_VALUE"""),80.64)</f>
        <v>80.64</v>
      </c>
      <c r="D67" s="6">
        <f>IFERROR(__xludf.DUMMYFUNCTION("""COMPUTED_VALUE"""),78.55)</f>
        <v>78.55</v>
      </c>
      <c r="E67" s="6">
        <f>IFERROR(__xludf.DUMMYFUNCTION("""COMPUTED_VALUE"""),79.05)</f>
        <v>79.05</v>
      </c>
      <c r="F67" s="6">
        <f>IFERROR(__xludf.DUMMYFUNCTION("""COMPUTED_VALUE"""),4.6738573E7)</f>
        <v>46738573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IFERROR(__xludf.DUMMYFUNCTION("""COMPUTED_VALUE"""),79.24)</f>
        <v>79.24</v>
      </c>
      <c r="C68" s="6">
        <f>IFERROR(__xludf.DUMMYFUNCTION("""COMPUTED_VALUE"""),79.92)</f>
        <v>79.92</v>
      </c>
      <c r="D68" s="6">
        <f>IFERROR(__xludf.DUMMYFUNCTION("""COMPUTED_VALUE"""),76.71)</f>
        <v>76.71</v>
      </c>
      <c r="E68" s="6">
        <f>IFERROR(__xludf.DUMMYFUNCTION("""COMPUTED_VALUE"""),78.68)</f>
        <v>78.68</v>
      </c>
      <c r="F68" s="6">
        <f>IFERROR(__xludf.DUMMYFUNCTION("""COMPUTED_VALUE"""),4.5241281E7)</f>
        <v>45241281</v>
      </c>
    </row>
    <row r="69">
      <c r="A69" s="7">
        <f>IFERROR(__xludf.DUMMYFUNCTION("""COMPUTED_VALUE"""),45667.64583333333)</f>
        <v>45667.64583</v>
      </c>
      <c r="B69" s="6">
        <f>IFERROR(__xludf.DUMMYFUNCTION("""COMPUTED_VALUE"""),78.99)</f>
        <v>78.99</v>
      </c>
      <c r="C69" s="6">
        <f>IFERROR(__xludf.DUMMYFUNCTION("""COMPUTED_VALUE"""),78.99)</f>
        <v>78.99</v>
      </c>
      <c r="D69" s="6">
        <f>IFERROR(__xludf.DUMMYFUNCTION("""COMPUTED_VALUE"""),74.0)</f>
        <v>74</v>
      </c>
      <c r="E69" s="6">
        <f>IFERROR(__xludf.DUMMYFUNCTION("""COMPUTED_VALUE"""),74.53)</f>
        <v>74.53</v>
      </c>
      <c r="F69" s="6">
        <f>IFERROR(__xludf.DUMMYFUNCTION("""COMPUTED_VALUE"""),5.2264296E7)</f>
        <v>52264296</v>
      </c>
    </row>
    <row r="70">
      <c r="A70" s="7">
        <f>IFERROR(__xludf.DUMMYFUNCTION("""COMPUTED_VALUE"""),45674.64583333333)</f>
        <v>45674.64583</v>
      </c>
      <c r="B70" s="6">
        <f>IFERROR(__xludf.DUMMYFUNCTION("""COMPUTED_VALUE"""),73.0)</f>
        <v>73</v>
      </c>
      <c r="C70" s="6">
        <f>IFERROR(__xludf.DUMMYFUNCTION("""COMPUTED_VALUE"""),76.49)</f>
        <v>76.49</v>
      </c>
      <c r="D70" s="6">
        <f>IFERROR(__xludf.DUMMYFUNCTION("""COMPUTED_VALUE"""),69.27)</f>
        <v>69.27</v>
      </c>
      <c r="E70" s="6">
        <f>IFERROR(__xludf.DUMMYFUNCTION("""COMPUTED_VALUE"""),76.07)</f>
        <v>76.07</v>
      </c>
      <c r="F70" s="6">
        <f>IFERROR(__xludf.DUMMYFUNCTION("""COMPUTED_VALUE"""),7.3427523E7)</f>
        <v>73427523</v>
      </c>
    </row>
    <row r="71">
      <c r="A71" s="7">
        <f>IFERROR(__xludf.DUMMYFUNCTION("""COMPUTED_VALUE"""),45681.64583333333)</f>
        <v>45681.64583</v>
      </c>
      <c r="B71" s="6">
        <f>IFERROR(__xludf.DUMMYFUNCTION("""COMPUTED_VALUE"""),75.89)</f>
        <v>75.89</v>
      </c>
      <c r="C71" s="6">
        <f>IFERROR(__xludf.DUMMYFUNCTION("""COMPUTED_VALUE"""),77.35)</f>
        <v>77.35</v>
      </c>
      <c r="D71" s="6">
        <f>IFERROR(__xludf.DUMMYFUNCTION("""COMPUTED_VALUE"""),70.85)</f>
        <v>70.85</v>
      </c>
      <c r="E71" s="6">
        <f>IFERROR(__xludf.DUMMYFUNCTION("""COMPUTED_VALUE"""),71.49)</f>
        <v>71.49</v>
      </c>
      <c r="F71" s="6">
        <f>IFERROR(__xludf.DUMMYFUNCTION("""COMPUTED_VALUE"""),5.0304576E7)</f>
        <v>50304576</v>
      </c>
    </row>
    <row r="72">
      <c r="A72" s="7">
        <f>IFERROR(__xludf.DUMMYFUNCTION("""COMPUTED_VALUE"""),45695.64583333333)</f>
        <v>45695.64583</v>
      </c>
      <c r="B72" s="6">
        <f>IFERROR(__xludf.DUMMYFUNCTION("""COMPUTED_VALUE"""),73.45)</f>
        <v>73.45</v>
      </c>
      <c r="C72" s="6">
        <f>IFERROR(__xludf.DUMMYFUNCTION("""COMPUTED_VALUE"""),76.6)</f>
        <v>76.6</v>
      </c>
      <c r="D72" s="6">
        <f>IFERROR(__xludf.DUMMYFUNCTION("""COMPUTED_VALUE"""),71.64)</f>
        <v>71.64</v>
      </c>
      <c r="E72" s="6">
        <f>IFERROR(__xludf.DUMMYFUNCTION("""COMPUTED_VALUE"""),74.53)</f>
        <v>74.53</v>
      </c>
      <c r="F72" s="6">
        <f>IFERROR(__xludf.DUMMYFUNCTION("""COMPUTED_VALUE"""),5.5804119E7)</f>
        <v>55804119</v>
      </c>
    </row>
    <row r="73">
      <c r="A73" s="7">
        <f>IFERROR(__xludf.DUMMYFUNCTION("""COMPUTED_VALUE"""),45702.64583333333)</f>
        <v>45702.64583</v>
      </c>
      <c r="B73" s="6">
        <f>IFERROR(__xludf.DUMMYFUNCTION("""COMPUTED_VALUE"""),74.49)</f>
        <v>74.49</v>
      </c>
      <c r="C73" s="6">
        <f>IFERROR(__xludf.DUMMYFUNCTION("""COMPUTED_VALUE"""),74.89)</f>
        <v>74.89</v>
      </c>
      <c r="D73" s="6">
        <f>IFERROR(__xludf.DUMMYFUNCTION("""COMPUTED_VALUE"""),68.71)</f>
        <v>68.71</v>
      </c>
      <c r="E73" s="6">
        <f>IFERROR(__xludf.DUMMYFUNCTION("""COMPUTED_VALUE"""),70.48)</f>
        <v>70.48</v>
      </c>
      <c r="F73" s="6">
        <f>IFERROR(__xludf.DUMMYFUNCTION("""COMPUTED_VALUE"""),5.4142313E7)</f>
        <v>54142313</v>
      </c>
    </row>
    <row r="74">
      <c r="A74" s="7">
        <f>IFERROR(__xludf.DUMMYFUNCTION("""COMPUTED_VALUE"""),45709.64583333333)</f>
        <v>45709.64583</v>
      </c>
      <c r="B74" s="6">
        <f>IFERROR(__xludf.DUMMYFUNCTION("""COMPUTED_VALUE"""),70.05)</f>
        <v>70.05</v>
      </c>
      <c r="C74" s="6">
        <f>IFERROR(__xludf.DUMMYFUNCTION("""COMPUTED_VALUE"""),71.92)</f>
        <v>71.92</v>
      </c>
      <c r="D74" s="6">
        <f>IFERROR(__xludf.DUMMYFUNCTION("""COMPUTED_VALUE"""),68.34)</f>
        <v>68.34</v>
      </c>
      <c r="E74" s="6">
        <f>IFERROR(__xludf.DUMMYFUNCTION("""COMPUTED_VALUE"""),69.93)</f>
        <v>69.93</v>
      </c>
      <c r="F74" s="6">
        <f>IFERROR(__xludf.DUMMYFUNCTION("""COMPUTED_VALUE"""),8.0428009E7)</f>
        <v>80428009</v>
      </c>
    </row>
    <row r="75">
      <c r="A75" s="7">
        <f>IFERROR(__xludf.DUMMYFUNCTION("""COMPUTED_VALUE"""),45716.64583333333)</f>
        <v>45716.64583</v>
      </c>
      <c r="B75" s="6">
        <f>IFERROR(__xludf.DUMMYFUNCTION("""COMPUTED_VALUE"""),69.1)</f>
        <v>69.1</v>
      </c>
      <c r="C75" s="6">
        <f>IFERROR(__xludf.DUMMYFUNCTION("""COMPUTED_VALUE"""),70.34)</f>
        <v>70.34</v>
      </c>
      <c r="D75" s="6">
        <f>IFERROR(__xludf.DUMMYFUNCTION("""COMPUTED_VALUE"""),67.75)</f>
        <v>67.75</v>
      </c>
      <c r="E75" s="6">
        <f>IFERROR(__xludf.DUMMYFUNCTION("""COMPUTED_VALUE"""),69.47)</f>
        <v>69.47</v>
      </c>
      <c r="F75" s="6">
        <f>IFERROR(__xludf.DUMMYFUNCTION("""COMPUTED_VALUE"""),4.6436592E7)</f>
        <v>46436592</v>
      </c>
    </row>
    <row r="76">
      <c r="A76" s="7">
        <f>IFERROR(__xludf.DUMMYFUNCTION("""COMPUTED_VALUE"""),45723.64583333333)</f>
        <v>45723.64583</v>
      </c>
      <c r="B76" s="6">
        <f>IFERROR(__xludf.DUMMYFUNCTION("""COMPUTED_VALUE"""),70.3)</f>
        <v>70.3</v>
      </c>
      <c r="C76" s="6">
        <f>IFERROR(__xludf.DUMMYFUNCTION("""COMPUTED_VALUE"""),74.87)</f>
        <v>74.87</v>
      </c>
      <c r="D76" s="6">
        <f>IFERROR(__xludf.DUMMYFUNCTION("""COMPUTED_VALUE"""),68.35)</f>
        <v>68.35</v>
      </c>
      <c r="E76" s="6">
        <f>IFERROR(__xludf.DUMMYFUNCTION("""COMPUTED_VALUE"""),72.82)</f>
        <v>72.82</v>
      </c>
      <c r="F76" s="6">
        <f>IFERROR(__xludf.DUMMYFUNCTION("""COMPUTED_VALUE"""),4.3683457E7)</f>
        <v>43683457</v>
      </c>
    </row>
    <row r="77">
      <c r="A77" s="7">
        <f>IFERROR(__xludf.DUMMYFUNCTION("""COMPUTED_VALUE"""),45729.64583333333)</f>
        <v>45729.64583</v>
      </c>
      <c r="B77" s="6">
        <f>IFERROR(__xludf.DUMMYFUNCTION("""COMPUTED_VALUE"""),72.9)</f>
        <v>72.9</v>
      </c>
      <c r="C77" s="6">
        <f>IFERROR(__xludf.DUMMYFUNCTION("""COMPUTED_VALUE"""),74.7)</f>
        <v>74.7</v>
      </c>
      <c r="D77" s="6">
        <f>IFERROR(__xludf.DUMMYFUNCTION("""COMPUTED_VALUE"""),70.54)</f>
        <v>70.54</v>
      </c>
      <c r="E77" s="6">
        <f>IFERROR(__xludf.DUMMYFUNCTION("""COMPUTED_VALUE"""),74.33)</f>
        <v>74.33</v>
      </c>
      <c r="F77" s="6">
        <f>IFERROR(__xludf.DUMMYFUNCTION("""COMPUTED_VALUE"""),3.1058835E7)</f>
        <v>31058835</v>
      </c>
    </row>
    <row r="78">
      <c r="A78" s="7">
        <f>IFERROR(__xludf.DUMMYFUNCTION("""COMPUTED_VALUE"""),45737.64583333333)</f>
        <v>45737.64583</v>
      </c>
      <c r="B78" s="6">
        <f>IFERROR(__xludf.DUMMYFUNCTION("""COMPUTED_VALUE"""),74.74)</f>
        <v>74.74</v>
      </c>
      <c r="C78" s="6">
        <f>IFERROR(__xludf.DUMMYFUNCTION("""COMPUTED_VALUE"""),77.75)</f>
        <v>77.75</v>
      </c>
      <c r="D78" s="6">
        <f>IFERROR(__xludf.DUMMYFUNCTION("""COMPUTED_VALUE"""),74.35)</f>
        <v>74.35</v>
      </c>
      <c r="E78" s="6">
        <f>IFERROR(__xludf.DUMMYFUNCTION("""COMPUTED_VALUE"""),77.36)</f>
        <v>77.36</v>
      </c>
      <c r="F78" s="6">
        <f>IFERROR(__xludf.DUMMYFUNCTION("""COMPUTED_VALUE"""),3.3151276E7)</f>
        <v>33151276</v>
      </c>
    </row>
    <row r="79">
      <c r="A79" s="7">
        <f>IFERROR(__xludf.DUMMYFUNCTION("""COMPUTED_VALUE"""),45744.64583333333)</f>
        <v>45744.64583</v>
      </c>
      <c r="B79" s="6">
        <f>IFERROR(__xludf.DUMMYFUNCTION("""COMPUTED_VALUE"""),78.0)</f>
        <v>78</v>
      </c>
      <c r="C79" s="6">
        <f>IFERROR(__xludf.DUMMYFUNCTION("""COMPUTED_VALUE"""),78.75)</f>
        <v>78.75</v>
      </c>
      <c r="D79" s="6">
        <f>IFERROR(__xludf.DUMMYFUNCTION("""COMPUTED_VALUE"""),74.96)</f>
        <v>74.96</v>
      </c>
      <c r="E79" s="6">
        <f>IFERROR(__xludf.DUMMYFUNCTION("""COMPUTED_VALUE"""),75.73)</f>
        <v>75.73</v>
      </c>
      <c r="F79" s="6">
        <f>IFERROR(__xludf.DUMMYFUNCTION("""COMPUTED_VALUE"""),9.117856E7)</f>
        <v>91178560</v>
      </c>
    </row>
    <row r="80">
      <c r="A80" s="7">
        <f>IFERROR(__xludf.DUMMYFUNCTION("""COMPUTED_VALUE"""),45751.64583333333)</f>
        <v>45751.64583</v>
      </c>
      <c r="B80" s="6">
        <f>IFERROR(__xludf.DUMMYFUNCTION("""COMPUTED_VALUE"""),76.8)</f>
        <v>76.8</v>
      </c>
      <c r="C80" s="6">
        <f>IFERROR(__xludf.DUMMYFUNCTION("""COMPUTED_VALUE"""),84.08)</f>
        <v>84.08</v>
      </c>
      <c r="D80" s="6">
        <f>IFERROR(__xludf.DUMMYFUNCTION("""COMPUTED_VALUE"""),75.83)</f>
        <v>75.83</v>
      </c>
      <c r="E80" s="6">
        <f>IFERROR(__xludf.DUMMYFUNCTION("""COMPUTED_VALUE"""),80.74)</f>
        <v>80.74</v>
      </c>
      <c r="F80" s="6">
        <f>IFERROR(__xludf.DUMMYFUNCTION("""COMPUTED_VALUE"""),8.2311306E7)</f>
        <v>82311306</v>
      </c>
    </row>
    <row r="81">
      <c r="A81" s="7">
        <f>IFERROR(__xludf.DUMMYFUNCTION("""COMPUTED_VALUE"""),45758.64583333333)</f>
        <v>45758.64583</v>
      </c>
      <c r="B81" s="6">
        <f>IFERROR(__xludf.DUMMYFUNCTION("""COMPUTED_VALUE"""),77.0)</f>
        <v>77</v>
      </c>
      <c r="C81" s="6">
        <f>IFERROR(__xludf.DUMMYFUNCTION("""COMPUTED_VALUE"""),87.14)</f>
        <v>87.14</v>
      </c>
      <c r="D81" s="6">
        <f>IFERROR(__xludf.DUMMYFUNCTION("""COMPUTED_VALUE"""),76.66)</f>
        <v>76.66</v>
      </c>
      <c r="E81" s="6">
        <f>IFERROR(__xludf.DUMMYFUNCTION("""COMPUTED_VALUE"""),85.72)</f>
        <v>85.72</v>
      </c>
      <c r="F81" s="6">
        <f>IFERROR(__xludf.DUMMYFUNCTION("""COMPUTED_VALUE"""),1.2742168E8)</f>
        <v>127421680</v>
      </c>
    </row>
    <row r="82">
      <c r="A82" s="7">
        <f>IFERROR(__xludf.DUMMYFUNCTION("""COMPUTED_VALUE"""),45764.64583333333)</f>
        <v>45764.64583</v>
      </c>
      <c r="B82" s="6">
        <f>IFERROR(__xludf.DUMMYFUNCTION("""COMPUTED_VALUE"""),87.0)</f>
        <v>87</v>
      </c>
      <c r="C82" s="6">
        <f>IFERROR(__xludf.DUMMYFUNCTION("""COMPUTED_VALUE"""),87.5)</f>
        <v>87.5</v>
      </c>
      <c r="D82" s="6">
        <f>IFERROR(__xludf.DUMMYFUNCTION("""COMPUTED_VALUE"""),84.8)</f>
        <v>84.8</v>
      </c>
      <c r="E82" s="6">
        <f>IFERROR(__xludf.DUMMYFUNCTION("""COMPUTED_VALUE"""),86.53)</f>
        <v>86.53</v>
      </c>
      <c r="F82" s="6">
        <f>IFERROR(__xludf.DUMMYFUNCTION("""COMPUTED_VALUE"""),4.4031265E7)</f>
        <v>44031265</v>
      </c>
    </row>
    <row r="83">
      <c r="A83" s="7">
        <f>IFERROR(__xludf.DUMMYFUNCTION("""COMPUTED_VALUE"""),45772.64583333333)</f>
        <v>45772.64583</v>
      </c>
      <c r="B83" s="6">
        <f>IFERROR(__xludf.DUMMYFUNCTION("""COMPUTED_VALUE"""),87.2)</f>
        <v>87.2</v>
      </c>
      <c r="C83" s="6">
        <f>IFERROR(__xludf.DUMMYFUNCTION("""COMPUTED_VALUE"""),90.19)</f>
        <v>90.19</v>
      </c>
      <c r="D83" s="6">
        <f>IFERROR(__xludf.DUMMYFUNCTION("""COMPUTED_VALUE"""),83.86)</f>
        <v>83.86</v>
      </c>
      <c r="E83" s="6">
        <f>IFERROR(__xludf.DUMMYFUNCTION("""COMPUTED_VALUE"""),85.5)</f>
        <v>85.5</v>
      </c>
      <c r="F83" s="6">
        <f>IFERROR(__xludf.DUMMYFUNCTION("""COMPUTED_VALUE"""),6.4645392E7)</f>
        <v>64645392</v>
      </c>
    </row>
    <row r="84">
      <c r="A84" s="7">
        <f>IFERROR(__xludf.DUMMYFUNCTION("""COMPUTED_VALUE"""),45779.64583333333)</f>
        <v>45779.64583</v>
      </c>
      <c r="B84" s="6">
        <f>IFERROR(__xludf.DUMMYFUNCTION("""COMPUTED_VALUE"""),85.0)</f>
        <v>85</v>
      </c>
      <c r="C84" s="6">
        <f>IFERROR(__xludf.DUMMYFUNCTION("""COMPUTED_VALUE"""),90.08)</f>
        <v>90.08</v>
      </c>
      <c r="D84" s="6">
        <f>IFERROR(__xludf.DUMMYFUNCTION("""COMPUTED_VALUE"""),84.86)</f>
        <v>84.86</v>
      </c>
      <c r="E84" s="6">
        <f>IFERROR(__xludf.DUMMYFUNCTION("""COMPUTED_VALUE"""),87.22)</f>
        <v>87.22</v>
      </c>
      <c r="F84" s="6">
        <f>IFERROR(__xludf.DUMMYFUNCTION("""COMPUTED_VALUE"""),8.3615529E7)</f>
        <v>83615529</v>
      </c>
    </row>
    <row r="85">
      <c r="A85" s="7">
        <f>IFERROR(__xludf.DUMMYFUNCTION("""COMPUTED_VALUE"""),45786.64583333333)</f>
        <v>45786.64583</v>
      </c>
      <c r="B85" s="6">
        <f>IFERROR(__xludf.DUMMYFUNCTION("""COMPUTED_VALUE"""),87.39)</f>
        <v>87.39</v>
      </c>
      <c r="C85" s="6">
        <f>IFERROR(__xludf.DUMMYFUNCTION("""COMPUTED_VALUE"""),88.68)</f>
        <v>88.68</v>
      </c>
      <c r="D85" s="6">
        <f>IFERROR(__xludf.DUMMYFUNCTION("""COMPUTED_VALUE"""),80.5)</f>
        <v>80.5</v>
      </c>
      <c r="E85" s="6">
        <f>IFERROR(__xludf.DUMMYFUNCTION("""COMPUTED_VALUE"""),84.2)</f>
        <v>84.2</v>
      </c>
      <c r="F85" s="6">
        <f>IFERROR(__xludf.DUMMYFUNCTION("""COMPUTED_VALUE"""),3.4963826E7)</f>
        <v>34963826</v>
      </c>
    </row>
    <row r="86">
      <c r="A86" s="7">
        <f>IFERROR(__xludf.DUMMYFUNCTION("""COMPUTED_VALUE"""),45793.64583333333)</f>
        <v>45793.64583</v>
      </c>
      <c r="B86" s="6">
        <f>IFERROR(__xludf.DUMMYFUNCTION("""COMPUTED_VALUE"""),88.0)</f>
        <v>88</v>
      </c>
      <c r="C86" s="6">
        <f>IFERROR(__xludf.DUMMYFUNCTION("""COMPUTED_VALUE"""),91.75)</f>
        <v>91.75</v>
      </c>
      <c r="D86" s="6">
        <f>IFERROR(__xludf.DUMMYFUNCTION("""COMPUTED_VALUE"""),86.93)</f>
        <v>86.93</v>
      </c>
      <c r="E86" s="6">
        <f>IFERROR(__xludf.DUMMYFUNCTION("""COMPUTED_VALUE"""),91.07)</f>
        <v>91.07</v>
      </c>
      <c r="F86" s="6">
        <f>IFERROR(__xludf.DUMMYFUNCTION("""COMPUTED_VALUE"""),5.6643028E7)</f>
        <v>56643028</v>
      </c>
    </row>
    <row r="87">
      <c r="A87" s="7">
        <f>IFERROR(__xludf.DUMMYFUNCTION("""COMPUTED_VALUE"""),45800.64583333333)</f>
        <v>45800.64583</v>
      </c>
      <c r="B87" s="6">
        <f>IFERROR(__xludf.DUMMYFUNCTION("""COMPUTED_VALUE"""),91.65)</f>
        <v>91.65</v>
      </c>
      <c r="C87" s="6">
        <f>IFERROR(__xludf.DUMMYFUNCTION("""COMPUTED_VALUE"""),91.72)</f>
        <v>91.72</v>
      </c>
      <c r="D87" s="6">
        <f>IFERROR(__xludf.DUMMYFUNCTION("""COMPUTED_VALUE"""),84.7)</f>
        <v>84.7</v>
      </c>
      <c r="E87" s="6">
        <f>IFERROR(__xludf.DUMMYFUNCTION("""COMPUTED_VALUE"""),86.86)</f>
        <v>86.86</v>
      </c>
      <c r="F87" s="6">
        <f>IFERROR(__xludf.DUMMYFUNCTION("""COMPUTED_VALUE"""),5.5745144E7)</f>
        <v>55745144</v>
      </c>
    </row>
    <row r="88">
      <c r="A88" s="7">
        <f>IFERROR(__xludf.DUMMYFUNCTION("""COMPUTED_VALUE"""),45807.64583333333)</f>
        <v>45807.64583</v>
      </c>
      <c r="B88" s="6">
        <f>IFERROR(__xludf.DUMMYFUNCTION("""COMPUTED_VALUE"""),87.4)</f>
        <v>87.4</v>
      </c>
      <c r="C88" s="6">
        <f>IFERROR(__xludf.DUMMYFUNCTION("""COMPUTED_VALUE"""),87.4)</f>
        <v>87.4</v>
      </c>
      <c r="D88" s="6">
        <f>IFERROR(__xludf.DUMMYFUNCTION("""COMPUTED_VALUE"""),83.4)</f>
        <v>83.4</v>
      </c>
      <c r="E88" s="6">
        <f>IFERROR(__xludf.DUMMYFUNCTION("""COMPUTED_VALUE"""),84.08)</f>
        <v>84.08</v>
      </c>
      <c r="F88" s="6">
        <f>IFERROR(__xludf.DUMMYFUNCTION("""COMPUTED_VALUE"""),4.8961139E7)</f>
        <v>48961139</v>
      </c>
    </row>
    <row r="89">
      <c r="A89" s="7">
        <f>IFERROR(__xludf.DUMMYFUNCTION("""COMPUTED_VALUE"""),45814.64583333333)</f>
        <v>45814.64583</v>
      </c>
      <c r="B89" s="6">
        <f>IFERROR(__xludf.DUMMYFUNCTION("""COMPUTED_VALUE"""),84.05)</f>
        <v>84.05</v>
      </c>
      <c r="C89" s="6">
        <f>IFERROR(__xludf.DUMMYFUNCTION("""COMPUTED_VALUE"""),86.54)</f>
        <v>86.54</v>
      </c>
      <c r="D89" s="6">
        <f>IFERROR(__xludf.DUMMYFUNCTION("""COMPUTED_VALUE"""),83.66)</f>
        <v>83.66</v>
      </c>
      <c r="E89" s="6">
        <f>IFERROR(__xludf.DUMMYFUNCTION("""COMPUTED_VALUE"""),86.26)</f>
        <v>86.26</v>
      </c>
      <c r="F89" s="6">
        <f>IFERROR(__xludf.DUMMYFUNCTION("""COMPUTED_VALUE"""),3.8200978E7)</f>
        <v>38200978</v>
      </c>
    </row>
    <row r="90">
      <c r="A90" s="7">
        <f>IFERROR(__xludf.DUMMYFUNCTION("""COMPUTED_VALUE"""),45821.64583333333)</f>
        <v>45821.64583</v>
      </c>
      <c r="B90" s="6">
        <f>IFERROR(__xludf.DUMMYFUNCTION("""COMPUTED_VALUE"""),86.69)</f>
        <v>86.69</v>
      </c>
      <c r="C90" s="6">
        <f>IFERROR(__xludf.DUMMYFUNCTION("""COMPUTED_VALUE"""),87.17)</f>
        <v>87.17</v>
      </c>
      <c r="D90" s="6">
        <f>IFERROR(__xludf.DUMMYFUNCTION("""COMPUTED_VALUE"""),79.92)</f>
        <v>79.92</v>
      </c>
      <c r="E90" s="6">
        <f>IFERROR(__xludf.DUMMYFUNCTION("""COMPUTED_VALUE"""),80.9)</f>
        <v>80.9</v>
      </c>
      <c r="F90" s="6">
        <f>IFERROR(__xludf.DUMMYFUNCTION("""COMPUTED_VALUE"""),4.817769E7)</f>
        <v>48177690</v>
      </c>
    </row>
    <row r="91">
      <c r="A91" s="7">
        <f>IFERROR(__xludf.DUMMYFUNCTION("""COMPUTED_VALUE"""),45828.64583333333)</f>
        <v>45828.64583</v>
      </c>
      <c r="B91" s="6">
        <f>IFERROR(__xludf.DUMMYFUNCTION("""COMPUTED_VALUE"""),81.8)</f>
        <v>81.8</v>
      </c>
      <c r="C91" s="6">
        <f>IFERROR(__xludf.DUMMYFUNCTION("""COMPUTED_VALUE"""),84.19)</f>
        <v>84.19</v>
      </c>
      <c r="D91" s="6">
        <f>IFERROR(__xludf.DUMMYFUNCTION("""COMPUTED_VALUE"""),80.25)</f>
        <v>80.25</v>
      </c>
      <c r="E91" s="6">
        <f>IFERROR(__xludf.DUMMYFUNCTION("""COMPUTED_VALUE"""),80.97)</f>
        <v>80.97</v>
      </c>
      <c r="F91" s="6">
        <f>IFERROR(__xludf.DUMMYFUNCTION("""COMPUTED_VALUE"""),1.09295673E8)</f>
        <v>109295673</v>
      </c>
    </row>
    <row r="92">
      <c r="A92" s="7">
        <f>IFERROR(__xludf.DUMMYFUNCTION("""COMPUTED_VALUE"""),45835.64583333333)</f>
        <v>45835.64583</v>
      </c>
      <c r="B92" s="6">
        <f>IFERROR(__xludf.DUMMYFUNCTION("""COMPUTED_VALUE"""),80.88)</f>
        <v>80.88</v>
      </c>
      <c r="C92" s="6">
        <f>IFERROR(__xludf.DUMMYFUNCTION("""COMPUTED_VALUE"""),85.64)</f>
        <v>85.64</v>
      </c>
      <c r="D92" s="6">
        <f>IFERROR(__xludf.DUMMYFUNCTION("""COMPUTED_VALUE"""),80.38)</f>
        <v>80.38</v>
      </c>
      <c r="E92" s="6">
        <f>IFERROR(__xludf.DUMMYFUNCTION("""COMPUTED_VALUE"""),84.76)</f>
        <v>84.76</v>
      </c>
      <c r="F92" s="6">
        <f>IFERROR(__xludf.DUMMYFUNCTION("""COMPUTED_VALUE"""),5.8890988E7)</f>
        <v>58890988</v>
      </c>
    </row>
    <row r="93">
      <c r="A93" s="7">
        <f>IFERROR(__xludf.DUMMYFUNCTION("""COMPUTED_VALUE"""),45842.64583333333)</f>
        <v>45842.64583</v>
      </c>
      <c r="B93" s="6">
        <f>IFERROR(__xludf.DUMMYFUNCTION("""COMPUTED_VALUE"""),85.04)</f>
        <v>85.04</v>
      </c>
      <c r="C93" s="6">
        <f>IFERROR(__xludf.DUMMYFUNCTION("""COMPUTED_VALUE"""),90.28)</f>
        <v>90.28</v>
      </c>
      <c r="D93" s="6">
        <f>IFERROR(__xludf.DUMMYFUNCTION("""COMPUTED_VALUE"""),84.36)</f>
        <v>84.36</v>
      </c>
      <c r="E93" s="6">
        <f>IFERROR(__xludf.DUMMYFUNCTION("""COMPUTED_VALUE"""),89.91)</f>
        <v>89.91</v>
      </c>
      <c r="F93" s="6">
        <f>IFERROR(__xludf.DUMMYFUNCTION("""COMPUTED_VALUE"""),8.9289315E7)</f>
        <v>89289315</v>
      </c>
    </row>
    <row r="94">
      <c r="A94" s="7">
        <f>IFERROR(__xludf.DUMMYFUNCTION("""COMPUTED_VALUE"""),45849.64583333333)</f>
        <v>45849.64583</v>
      </c>
      <c r="B94" s="6">
        <f>IFERROR(__xludf.DUMMYFUNCTION("""COMPUTED_VALUE"""),90.0)</f>
        <v>90</v>
      </c>
      <c r="C94" s="6">
        <f>IFERROR(__xludf.DUMMYFUNCTION("""COMPUTED_VALUE"""),93.96)</f>
        <v>93.96</v>
      </c>
      <c r="D94" s="6">
        <f>IFERROR(__xludf.DUMMYFUNCTION("""COMPUTED_VALUE"""),89.34)</f>
        <v>89.34</v>
      </c>
      <c r="E94" s="6">
        <f>IFERROR(__xludf.DUMMYFUNCTION("""COMPUTED_VALUE"""),90.61)</f>
        <v>90.61</v>
      </c>
      <c r="F94" s="6">
        <f>IFERROR(__xludf.DUMMYFUNCTION("""COMPUTED_VALUE"""),6.3542099E7)</f>
        <v>63542099</v>
      </c>
    </row>
    <row r="95">
      <c r="A95" s="7">
        <f>IFERROR(__xludf.DUMMYFUNCTION("""COMPUTED_VALUE"""),45856.64583333333)</f>
        <v>45856.64583</v>
      </c>
      <c r="B95" s="6">
        <f>IFERROR(__xludf.DUMMYFUNCTION("""COMPUTED_VALUE"""),90.3)</f>
        <v>90.3</v>
      </c>
      <c r="C95" s="6">
        <f>IFERROR(__xludf.DUMMYFUNCTION("""COMPUTED_VALUE"""),97.0)</f>
        <v>97</v>
      </c>
      <c r="D95" s="6">
        <f>IFERROR(__xludf.DUMMYFUNCTION("""COMPUTED_VALUE"""),89.65)</f>
        <v>89.65</v>
      </c>
      <c r="E95" s="6">
        <f>IFERROR(__xludf.DUMMYFUNCTION("""COMPUTED_VALUE"""),94.32)</f>
        <v>94.32</v>
      </c>
      <c r="F95" s="6">
        <f>IFERROR(__xludf.DUMMYFUNCTION("""COMPUTED_VALUE"""),6.9587266E7)</f>
        <v>69587266</v>
      </c>
    </row>
    <row r="96">
      <c r="A96" s="7">
        <f>IFERROR(__xludf.DUMMYFUNCTION("""COMPUTED_VALUE"""),45863.64583333333)</f>
        <v>45863.64583</v>
      </c>
      <c r="B96" s="6">
        <f>IFERROR(__xludf.DUMMYFUNCTION("""COMPUTED_VALUE"""),94.5)</f>
        <v>94.5</v>
      </c>
      <c r="C96" s="6">
        <f>IFERROR(__xludf.DUMMYFUNCTION("""COMPUTED_VALUE"""),94.53)</f>
        <v>94.53</v>
      </c>
      <c r="D96" s="6">
        <f>IFERROR(__xludf.DUMMYFUNCTION("""COMPUTED_VALUE"""),89.62)</f>
        <v>89.62</v>
      </c>
      <c r="E96" s="6">
        <f>IFERROR(__xludf.DUMMYFUNCTION("""COMPUTED_VALUE"""),89.93)</f>
        <v>89.93</v>
      </c>
      <c r="F96" s="6">
        <f>IFERROR(__xludf.DUMMYFUNCTION("""COMPUTED_VALUE"""),3.3918905E7)</f>
        <v>33918905</v>
      </c>
    </row>
    <row r="97">
      <c r="A97" s="7">
        <f>IFERROR(__xludf.DUMMYFUNCTION("""COMPUTED_VALUE"""),45870.64583333333)</f>
        <v>45870.64583</v>
      </c>
      <c r="B97" s="6">
        <f>IFERROR(__xludf.DUMMYFUNCTION("""COMPUTED_VALUE"""),89.5)</f>
        <v>89.5</v>
      </c>
      <c r="C97" s="6">
        <f>IFERROR(__xludf.DUMMYFUNCTION("""COMPUTED_VALUE"""),92.43)</f>
        <v>92.43</v>
      </c>
      <c r="D97" s="6">
        <f>IFERROR(__xludf.DUMMYFUNCTION("""COMPUTED_VALUE"""),88.3)</f>
        <v>88.3</v>
      </c>
      <c r="E97" s="6">
        <f>IFERROR(__xludf.DUMMYFUNCTION("""COMPUTED_VALUE"""),89.42)</f>
        <v>89.42</v>
      </c>
      <c r="F97" s="6">
        <f>IFERROR(__xludf.DUMMYFUNCTION("""COMPUTED_VALUE"""),4.9530057E7)</f>
        <v>49530057</v>
      </c>
    </row>
    <row r="98">
      <c r="A98" s="7">
        <f>IFERROR(__xludf.DUMMYFUNCTION("""COMPUTED_VALUE"""),45877.64583333333)</f>
        <v>45877.64583</v>
      </c>
      <c r="B98" s="6">
        <f>IFERROR(__xludf.DUMMYFUNCTION("""COMPUTED_VALUE"""),89.42)</f>
        <v>89.42</v>
      </c>
      <c r="C98" s="6">
        <f>IFERROR(__xludf.DUMMYFUNCTION("""COMPUTED_VALUE"""),93.4)</f>
        <v>93.4</v>
      </c>
      <c r="D98" s="6">
        <f>IFERROR(__xludf.DUMMYFUNCTION("""COMPUTED_VALUE"""),88.68)</f>
        <v>88.68</v>
      </c>
      <c r="E98" s="6">
        <f>IFERROR(__xludf.DUMMYFUNCTION("""COMPUTED_VALUE"""),89.19)</f>
        <v>89.19</v>
      </c>
      <c r="F98" s="6">
        <f>IFERROR(__xludf.DUMMYFUNCTION("""COMPUTED_VALUE"""),6.0220312E7)</f>
        <v>60220312</v>
      </c>
    </row>
    <row r="99">
      <c r="A99" s="7">
        <f>IFERROR(__xludf.DUMMYFUNCTION("""COMPUTED_VALUE"""),45883.64583333333)</f>
        <v>45883.64583</v>
      </c>
      <c r="B99" s="6">
        <f>IFERROR(__xludf.DUMMYFUNCTION("""COMPUTED_VALUE"""),89.2)</f>
        <v>89.2</v>
      </c>
      <c r="C99" s="6">
        <f>IFERROR(__xludf.DUMMYFUNCTION("""COMPUTED_VALUE"""),90.9)</f>
        <v>90.9</v>
      </c>
      <c r="D99" s="6">
        <f>IFERROR(__xludf.DUMMYFUNCTION("""COMPUTED_VALUE"""),87.57)</f>
        <v>87.57</v>
      </c>
      <c r="E99" s="6">
        <f>IFERROR(__xludf.DUMMYFUNCTION("""COMPUTED_VALUE"""),90.77)</f>
        <v>90.77</v>
      </c>
      <c r="F99" s="6">
        <f>IFERROR(__xludf.DUMMYFUNCTION("""COMPUTED_VALUE"""),3.0362809E7)</f>
        <v>30362809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IFERROR(__xludf.DUMMYFUNCTION("""COMPUTED_VALUE"""),91.02)</f>
        <v>91.02</v>
      </c>
      <c r="C100" s="6">
        <f>IFERROR(__xludf.DUMMYFUNCTION("""COMPUTED_VALUE"""),91.69)</f>
        <v>91.69</v>
      </c>
      <c r="D100" s="6">
        <f>IFERROR(__xludf.DUMMYFUNCTION("""COMPUTED_VALUE"""),88.85)</f>
        <v>88.85</v>
      </c>
      <c r="E100" s="6">
        <f>IFERROR(__xludf.DUMMYFUNCTION("""COMPUTED_VALUE"""),89.55)</f>
        <v>89.55</v>
      </c>
      <c r="F100" s="6">
        <f>IFERROR(__xludf.DUMMYFUNCTION("""COMPUTED_VALUE"""),3.0968757E7)</f>
        <v>30968757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IFERROR(__xludf.DUMMYFUNCTION("""COMPUTED_VALUE"""),89.55)</f>
        <v>89.55</v>
      </c>
      <c r="C101" s="6">
        <f>IFERROR(__xludf.DUMMYFUNCTION("""COMPUTED_VALUE"""),90.24)</f>
        <v>90.24</v>
      </c>
      <c r="D101" s="6">
        <f>IFERROR(__xludf.DUMMYFUNCTION("""COMPUTED_VALUE"""),87.3)</f>
        <v>87.3</v>
      </c>
      <c r="E101" s="6">
        <f>IFERROR(__xludf.DUMMYFUNCTION("""COMPUTED_VALUE"""),88.7)</f>
        <v>88.7</v>
      </c>
      <c r="F101" s="6">
        <f>IFERROR(__xludf.DUMMYFUNCTION("""COMPUTED_VALUE"""),1.22420048E8)</f>
        <v>122420048</v>
      </c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IFERROR(__xludf.DUMMYFUNCTION("GOOGLEFINANCE(""NSE:GODREJCP"",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IFERROR(__xludf.DUMMYFUNCTION("""COMPUTED_VALUE"""),1032.9)</f>
        <v>1032.9</v>
      </c>
      <c r="C2" s="6">
        <f>IFERROR(__xludf.DUMMYFUNCTION("""COMPUTED_VALUE"""),1034.75)</f>
        <v>1034.75</v>
      </c>
      <c r="D2" s="6">
        <f>IFERROR(__xludf.DUMMYFUNCTION("""COMPUTED_VALUE"""),1001.05)</f>
        <v>1001.05</v>
      </c>
      <c r="E2" s="6">
        <f>IFERROR(__xludf.DUMMYFUNCTION("""COMPUTED_VALUE"""),1005.35)</f>
        <v>1005.35</v>
      </c>
      <c r="F2" s="6">
        <f>IFERROR(__xludf.DUMMYFUNCTION("""COMPUTED_VALUE"""),2816344.0)</f>
        <v>2816344</v>
      </c>
    </row>
    <row r="3">
      <c r="A3" s="7">
        <f>IFERROR(__xludf.DUMMYFUNCTION("""COMPUTED_VALUE"""),45177.64583333333)</f>
        <v>45177.64583</v>
      </c>
      <c r="B3" s="6">
        <f>IFERROR(__xludf.DUMMYFUNCTION("""COMPUTED_VALUE"""),1008.9)</f>
        <v>1008.9</v>
      </c>
      <c r="C3" s="6">
        <f>IFERROR(__xludf.DUMMYFUNCTION("""COMPUTED_VALUE"""),1028.9)</f>
        <v>1028.9</v>
      </c>
      <c r="D3" s="6">
        <f>IFERROR(__xludf.DUMMYFUNCTION("""COMPUTED_VALUE"""),995.0)</f>
        <v>995</v>
      </c>
      <c r="E3" s="6">
        <f>IFERROR(__xludf.DUMMYFUNCTION("""COMPUTED_VALUE"""),1020.3)</f>
        <v>1020.3</v>
      </c>
      <c r="F3" s="6">
        <f>IFERROR(__xludf.DUMMYFUNCTION("""COMPUTED_VALUE"""),2513658.0)</f>
        <v>2513658</v>
      </c>
    </row>
    <row r="4">
      <c r="A4" s="7">
        <f>IFERROR(__xludf.DUMMYFUNCTION("""COMPUTED_VALUE"""),45184.64583333333)</f>
        <v>45184.64583</v>
      </c>
      <c r="B4" s="6">
        <f>IFERROR(__xludf.DUMMYFUNCTION("""COMPUTED_VALUE"""),1020.5)</f>
        <v>1020.5</v>
      </c>
      <c r="C4" s="6">
        <f>IFERROR(__xludf.DUMMYFUNCTION("""COMPUTED_VALUE"""),1047.15)</f>
        <v>1047.15</v>
      </c>
      <c r="D4" s="6">
        <f>IFERROR(__xludf.DUMMYFUNCTION("""COMPUTED_VALUE"""),991.0)</f>
        <v>991</v>
      </c>
      <c r="E4" s="6">
        <f>IFERROR(__xludf.DUMMYFUNCTION("""COMPUTED_VALUE"""),1002.05)</f>
        <v>1002.05</v>
      </c>
      <c r="F4" s="6">
        <f>IFERROR(__xludf.DUMMYFUNCTION("""COMPUTED_VALUE"""),4514534.0)</f>
        <v>4514534</v>
      </c>
    </row>
    <row r="5">
      <c r="A5" s="7">
        <f>IFERROR(__xludf.DUMMYFUNCTION("""COMPUTED_VALUE"""),45191.64583333333)</f>
        <v>45191.64583</v>
      </c>
      <c r="B5" s="6">
        <f>IFERROR(__xludf.DUMMYFUNCTION("""COMPUTED_VALUE"""),1005.0)</f>
        <v>1005</v>
      </c>
      <c r="C5" s="6">
        <f>IFERROR(__xludf.DUMMYFUNCTION("""COMPUTED_VALUE"""),1007.1)</f>
        <v>1007.1</v>
      </c>
      <c r="D5" s="6">
        <f>IFERROR(__xludf.DUMMYFUNCTION("""COMPUTED_VALUE"""),977.0)</f>
        <v>977</v>
      </c>
      <c r="E5" s="6">
        <f>IFERROR(__xludf.DUMMYFUNCTION("""COMPUTED_VALUE"""),986.15)</f>
        <v>986.15</v>
      </c>
      <c r="F5" s="6">
        <f>IFERROR(__xludf.DUMMYFUNCTION("""COMPUTED_VALUE"""),3509244.0)</f>
        <v>3509244</v>
      </c>
    </row>
    <row r="6">
      <c r="A6" s="7">
        <f>IFERROR(__xludf.DUMMYFUNCTION("""COMPUTED_VALUE"""),45198.64583333333)</f>
        <v>45198.64583</v>
      </c>
      <c r="B6" s="6">
        <f>IFERROR(__xludf.DUMMYFUNCTION("""COMPUTED_VALUE"""),987.0)</f>
        <v>987</v>
      </c>
      <c r="C6" s="6">
        <f>IFERROR(__xludf.DUMMYFUNCTION("""COMPUTED_VALUE"""),1011.0)</f>
        <v>1011</v>
      </c>
      <c r="D6" s="6">
        <f>IFERROR(__xludf.DUMMYFUNCTION("""COMPUTED_VALUE"""),971.55)</f>
        <v>971.55</v>
      </c>
      <c r="E6" s="6">
        <f>IFERROR(__xludf.DUMMYFUNCTION("""COMPUTED_VALUE"""),991.6)</f>
        <v>991.6</v>
      </c>
      <c r="F6" s="6">
        <f>IFERROR(__xludf.DUMMYFUNCTION("""COMPUTED_VALUE"""),4772562.0)</f>
        <v>4772562</v>
      </c>
    </row>
    <row r="7">
      <c r="A7" s="7">
        <f>IFERROR(__xludf.DUMMYFUNCTION("""COMPUTED_VALUE"""),45205.64583333333)</f>
        <v>45205.64583</v>
      </c>
      <c r="B7" s="6">
        <f>IFERROR(__xludf.DUMMYFUNCTION("""COMPUTED_VALUE"""),991.0)</f>
        <v>991</v>
      </c>
      <c r="C7" s="6">
        <f>IFERROR(__xludf.DUMMYFUNCTION("""COMPUTED_VALUE"""),1007.15)</f>
        <v>1007.15</v>
      </c>
      <c r="D7" s="6">
        <f>IFERROR(__xludf.DUMMYFUNCTION("""COMPUTED_VALUE"""),965.2)</f>
        <v>965.2</v>
      </c>
      <c r="E7" s="6">
        <f>IFERROR(__xludf.DUMMYFUNCTION("""COMPUTED_VALUE"""),971.65)</f>
        <v>971.65</v>
      </c>
      <c r="F7" s="6">
        <f>IFERROR(__xludf.DUMMYFUNCTION("""COMPUTED_VALUE"""),4298898.0)</f>
        <v>4298898</v>
      </c>
    </row>
    <row r="8">
      <c r="A8" s="7">
        <f>IFERROR(__xludf.DUMMYFUNCTION("""COMPUTED_VALUE"""),45212.64583333333)</f>
        <v>45212.64583</v>
      </c>
      <c r="B8" s="6">
        <f>IFERROR(__xludf.DUMMYFUNCTION("""COMPUTED_VALUE"""),965.85)</f>
        <v>965.85</v>
      </c>
      <c r="C8" s="6">
        <f>IFERROR(__xludf.DUMMYFUNCTION("""COMPUTED_VALUE"""),990.7)</f>
        <v>990.7</v>
      </c>
      <c r="D8" s="6">
        <f>IFERROR(__xludf.DUMMYFUNCTION("""COMPUTED_VALUE"""),961.85)</f>
        <v>961.85</v>
      </c>
      <c r="E8" s="6">
        <f>IFERROR(__xludf.DUMMYFUNCTION("""COMPUTED_VALUE"""),982.95)</f>
        <v>982.95</v>
      </c>
      <c r="F8" s="6">
        <f>IFERROR(__xludf.DUMMYFUNCTION("""COMPUTED_VALUE"""),2977475.0)</f>
        <v>2977475</v>
      </c>
    </row>
    <row r="9">
      <c r="A9" s="7">
        <f>IFERROR(__xludf.DUMMYFUNCTION("""COMPUTED_VALUE"""),45219.64583333333)</f>
        <v>45219.64583</v>
      </c>
      <c r="B9" s="6">
        <f>IFERROR(__xludf.DUMMYFUNCTION("""COMPUTED_VALUE"""),983.0)</f>
        <v>983</v>
      </c>
      <c r="C9" s="6">
        <f>IFERROR(__xludf.DUMMYFUNCTION("""COMPUTED_VALUE"""),1007.75)</f>
        <v>1007.75</v>
      </c>
      <c r="D9" s="6">
        <f>IFERROR(__xludf.DUMMYFUNCTION("""COMPUTED_VALUE"""),978.4)</f>
        <v>978.4</v>
      </c>
      <c r="E9" s="6">
        <f>IFERROR(__xludf.DUMMYFUNCTION("""COMPUTED_VALUE"""),988.15)</f>
        <v>988.15</v>
      </c>
      <c r="F9" s="6">
        <f>IFERROR(__xludf.DUMMYFUNCTION("""COMPUTED_VALUE"""),4015895.0)</f>
        <v>4015895</v>
      </c>
    </row>
    <row r="10">
      <c r="A10" s="7">
        <f>IFERROR(__xludf.DUMMYFUNCTION("""COMPUTED_VALUE"""),45226.64583333333)</f>
        <v>45226.64583</v>
      </c>
      <c r="B10" s="6">
        <f>IFERROR(__xludf.DUMMYFUNCTION("""COMPUTED_VALUE"""),992.4)</f>
        <v>992.4</v>
      </c>
      <c r="C10" s="6">
        <f>IFERROR(__xludf.DUMMYFUNCTION("""COMPUTED_VALUE"""),994.75)</f>
        <v>994.75</v>
      </c>
      <c r="D10" s="6">
        <f>IFERROR(__xludf.DUMMYFUNCTION("""COMPUTED_VALUE"""),959.8)</f>
        <v>959.8</v>
      </c>
      <c r="E10" s="6">
        <f>IFERROR(__xludf.DUMMYFUNCTION("""COMPUTED_VALUE"""),987.25)</f>
        <v>987.25</v>
      </c>
      <c r="F10" s="6">
        <f>IFERROR(__xludf.DUMMYFUNCTION("""COMPUTED_VALUE"""),2899997.0)</f>
        <v>2899997</v>
      </c>
    </row>
    <row r="11">
      <c r="A11" s="7">
        <f>IFERROR(__xludf.DUMMYFUNCTION("""COMPUTED_VALUE"""),45233.64583333333)</f>
        <v>45233.64583</v>
      </c>
      <c r="B11" s="6">
        <f>IFERROR(__xludf.DUMMYFUNCTION("""COMPUTED_VALUE"""),983.1)</f>
        <v>983.1</v>
      </c>
      <c r="C11" s="6">
        <f>IFERROR(__xludf.DUMMYFUNCTION("""COMPUTED_VALUE"""),1023.1)</f>
        <v>1023.1</v>
      </c>
      <c r="D11" s="6">
        <f>IFERROR(__xludf.DUMMYFUNCTION("""COMPUTED_VALUE"""),973.05)</f>
        <v>973.05</v>
      </c>
      <c r="E11" s="6">
        <f>IFERROR(__xludf.DUMMYFUNCTION("""COMPUTED_VALUE"""),1020.7)</f>
        <v>1020.7</v>
      </c>
      <c r="F11" s="6">
        <f>IFERROR(__xludf.DUMMYFUNCTION("""COMPUTED_VALUE"""),5323843.0)</f>
        <v>5323843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IFERROR(__xludf.DUMMYFUNCTION("""COMPUTED_VALUE"""),1026.8)</f>
        <v>1026.8</v>
      </c>
      <c r="C12" s="6">
        <f>IFERROR(__xludf.DUMMYFUNCTION("""COMPUTED_VALUE"""),1030.0)</f>
        <v>1030</v>
      </c>
      <c r="D12" s="6">
        <f>IFERROR(__xludf.DUMMYFUNCTION("""COMPUTED_VALUE"""),976.05)</f>
        <v>976.05</v>
      </c>
      <c r="E12" s="6">
        <f>IFERROR(__xludf.DUMMYFUNCTION("""COMPUTED_VALUE"""),984.3)</f>
        <v>984.3</v>
      </c>
      <c r="F12" s="6">
        <f>IFERROR(__xludf.DUMMYFUNCTION("""COMPUTED_VALUE"""),3611268.0)</f>
        <v>3611268</v>
      </c>
    </row>
    <row r="13">
      <c r="A13" s="7">
        <f>IFERROR(__xludf.DUMMYFUNCTION("""COMPUTED_VALUE"""),45247.64583333333)</f>
        <v>45247.64583</v>
      </c>
      <c r="B13" s="6">
        <f>IFERROR(__xludf.DUMMYFUNCTION("""COMPUTED_VALUE"""),990.0)</f>
        <v>990</v>
      </c>
      <c r="C13" s="6">
        <f>IFERROR(__xludf.DUMMYFUNCTION("""COMPUTED_VALUE"""),1003.65)</f>
        <v>1003.65</v>
      </c>
      <c r="D13" s="6">
        <f>IFERROR(__xludf.DUMMYFUNCTION("""COMPUTED_VALUE"""),974.3)</f>
        <v>974.3</v>
      </c>
      <c r="E13" s="6">
        <f>IFERROR(__xludf.DUMMYFUNCTION("""COMPUTED_VALUE"""),996.95)</f>
        <v>996.95</v>
      </c>
      <c r="F13" s="6">
        <f>IFERROR(__xludf.DUMMYFUNCTION("""COMPUTED_VALUE"""),4429062.0)</f>
        <v>4429062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IFERROR(__xludf.DUMMYFUNCTION("""COMPUTED_VALUE"""),1001.95)</f>
        <v>1001.95</v>
      </c>
      <c r="C14" s="6">
        <f>IFERROR(__xludf.DUMMYFUNCTION("""COMPUTED_VALUE"""),1015.7)</f>
        <v>1015.7</v>
      </c>
      <c r="D14" s="6">
        <f>IFERROR(__xludf.DUMMYFUNCTION("""COMPUTED_VALUE"""),991.8)</f>
        <v>991.8</v>
      </c>
      <c r="E14" s="6">
        <f>IFERROR(__xludf.DUMMYFUNCTION("""COMPUTED_VALUE"""),1009.5)</f>
        <v>1009.5</v>
      </c>
      <c r="F14" s="6">
        <f>IFERROR(__xludf.DUMMYFUNCTION("""COMPUTED_VALUE"""),2420649.0)</f>
        <v>2420649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IFERROR(__xludf.DUMMYFUNCTION("""COMPUTED_VALUE"""),1009.5)</f>
        <v>1009.5</v>
      </c>
      <c r="C15" s="6">
        <f>IFERROR(__xludf.DUMMYFUNCTION("""COMPUTED_VALUE"""),1029.0)</f>
        <v>1029</v>
      </c>
      <c r="D15" s="6">
        <f>IFERROR(__xludf.DUMMYFUNCTION("""COMPUTED_VALUE"""),996.1)</f>
        <v>996.1</v>
      </c>
      <c r="E15" s="6">
        <f>IFERROR(__xludf.DUMMYFUNCTION("""COMPUTED_VALUE"""),1025.4)</f>
        <v>1025.4</v>
      </c>
      <c r="F15" s="6">
        <f>IFERROR(__xludf.DUMMYFUNCTION("""COMPUTED_VALUE"""),6849548.0)</f>
        <v>6849548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IFERROR(__xludf.DUMMYFUNCTION("""COMPUTED_VALUE"""),1040.0)</f>
        <v>1040</v>
      </c>
      <c r="C16" s="6">
        <f>IFERROR(__xludf.DUMMYFUNCTION("""COMPUTED_VALUE"""),1053.8)</f>
        <v>1053.8</v>
      </c>
      <c r="D16" s="6">
        <f>IFERROR(__xludf.DUMMYFUNCTION("""COMPUTED_VALUE"""),1015.7)</f>
        <v>1015.7</v>
      </c>
      <c r="E16" s="6">
        <f>IFERROR(__xludf.DUMMYFUNCTION("""COMPUTED_VALUE"""),1021.55)</f>
        <v>1021.55</v>
      </c>
      <c r="F16" s="6">
        <f>IFERROR(__xludf.DUMMYFUNCTION("""COMPUTED_VALUE"""),3556461.0)</f>
        <v>3556461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IFERROR(__xludf.DUMMYFUNCTION("""COMPUTED_VALUE"""),1026.2)</f>
        <v>1026.2</v>
      </c>
      <c r="C17" s="6">
        <f>IFERROR(__xludf.DUMMYFUNCTION("""COMPUTED_VALUE"""),1065.0)</f>
        <v>1065</v>
      </c>
      <c r="D17" s="6">
        <f>IFERROR(__xludf.DUMMYFUNCTION("""COMPUTED_VALUE"""),1017.5)</f>
        <v>1017.5</v>
      </c>
      <c r="E17" s="6">
        <f>IFERROR(__xludf.DUMMYFUNCTION("""COMPUTED_VALUE"""),1042.15)</f>
        <v>1042.15</v>
      </c>
      <c r="F17" s="6">
        <f>IFERROR(__xludf.DUMMYFUNCTION("""COMPUTED_VALUE"""),5399380.0)</f>
        <v>5399380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IFERROR(__xludf.DUMMYFUNCTION("""COMPUTED_VALUE"""),1042.0)</f>
        <v>1042</v>
      </c>
      <c r="C18" s="6">
        <f>IFERROR(__xludf.DUMMYFUNCTION("""COMPUTED_VALUE"""),1078.25)</f>
        <v>1078.25</v>
      </c>
      <c r="D18" s="6">
        <f>IFERROR(__xludf.DUMMYFUNCTION("""COMPUTED_VALUE"""),1025.8)</f>
        <v>1025.8</v>
      </c>
      <c r="E18" s="6">
        <f>IFERROR(__xludf.DUMMYFUNCTION("""COMPUTED_VALUE"""),1074.25)</f>
        <v>1074.25</v>
      </c>
      <c r="F18" s="6">
        <f>IFERROR(__xludf.DUMMYFUNCTION("""COMPUTED_VALUE"""),7093013.0)</f>
        <v>7093013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IFERROR(__xludf.DUMMYFUNCTION("""COMPUTED_VALUE"""),1080.0)</f>
        <v>1080</v>
      </c>
      <c r="C19" s="6">
        <f>IFERROR(__xludf.DUMMYFUNCTION("""COMPUTED_VALUE"""),1138.8)</f>
        <v>1138.8</v>
      </c>
      <c r="D19" s="6">
        <f>IFERROR(__xludf.DUMMYFUNCTION("""COMPUTED_VALUE"""),1074.25)</f>
        <v>1074.25</v>
      </c>
      <c r="E19" s="6">
        <f>IFERROR(__xludf.DUMMYFUNCTION("""COMPUTED_VALUE"""),1131.2)</f>
        <v>1131.2</v>
      </c>
      <c r="F19" s="6">
        <f>IFERROR(__xludf.DUMMYFUNCTION("""COMPUTED_VALUE"""),5287439.0)</f>
        <v>5287439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IFERROR(__xludf.DUMMYFUNCTION("""COMPUTED_VALUE"""),1134.8)</f>
        <v>1134.8</v>
      </c>
      <c r="C20" s="6">
        <f>IFERROR(__xludf.DUMMYFUNCTION("""COMPUTED_VALUE"""),1230.0)</f>
        <v>1230</v>
      </c>
      <c r="D20" s="6">
        <f>IFERROR(__xludf.DUMMYFUNCTION("""COMPUTED_VALUE"""),1127.45)</f>
        <v>1127.45</v>
      </c>
      <c r="E20" s="6">
        <f>IFERROR(__xludf.DUMMYFUNCTION("""COMPUTED_VALUE"""),1219.85)</f>
        <v>1219.85</v>
      </c>
      <c r="F20" s="6">
        <f>IFERROR(__xludf.DUMMYFUNCTION("""COMPUTED_VALUE"""),7001825.0)</f>
        <v>7001825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IFERROR(__xludf.DUMMYFUNCTION("""COMPUTED_VALUE"""),1184.2)</f>
        <v>1184.2</v>
      </c>
      <c r="C21" s="6">
        <f>IFERROR(__xludf.DUMMYFUNCTION("""COMPUTED_VALUE"""),1197.15)</f>
        <v>1197.15</v>
      </c>
      <c r="D21" s="6">
        <f>IFERROR(__xludf.DUMMYFUNCTION("""COMPUTED_VALUE"""),1131.8)</f>
        <v>1131.8</v>
      </c>
      <c r="E21" s="6">
        <f>IFERROR(__xludf.DUMMYFUNCTION("""COMPUTED_VALUE"""),1155.5)</f>
        <v>1155.5</v>
      </c>
      <c r="F21" s="6">
        <f>IFERROR(__xludf.DUMMYFUNCTION("""COMPUTED_VALUE"""),9430540.0)</f>
        <v>9430540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IFERROR(__xludf.DUMMYFUNCTION("""COMPUTED_VALUE"""),1144.0)</f>
        <v>1144</v>
      </c>
      <c r="C22" s="6">
        <f>IFERROR(__xludf.DUMMYFUNCTION("""COMPUTED_VALUE"""),1169.0)</f>
        <v>1169</v>
      </c>
      <c r="D22" s="6">
        <f>IFERROR(__xludf.DUMMYFUNCTION("""COMPUTED_VALUE"""),1120.25)</f>
        <v>1120.25</v>
      </c>
      <c r="E22" s="6">
        <f>IFERROR(__xludf.DUMMYFUNCTION("""COMPUTED_VALUE"""),1157.3)</f>
        <v>1157.3</v>
      </c>
      <c r="F22" s="6">
        <f>IFERROR(__xludf.DUMMYFUNCTION("""COMPUTED_VALUE"""),5118137.0)</f>
        <v>5118137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IFERROR(__xludf.DUMMYFUNCTION("""COMPUTED_VALUE"""),1165.8)</f>
        <v>1165.8</v>
      </c>
      <c r="C23" s="6">
        <f>IFERROR(__xludf.DUMMYFUNCTION("""COMPUTED_VALUE"""),1314.3)</f>
        <v>1314.3</v>
      </c>
      <c r="D23" s="6">
        <f>IFERROR(__xludf.DUMMYFUNCTION("""COMPUTED_VALUE"""),1150.15)</f>
        <v>1150.15</v>
      </c>
      <c r="E23" s="6">
        <f>IFERROR(__xludf.DUMMYFUNCTION("""COMPUTED_VALUE"""),1236.85)</f>
        <v>1236.85</v>
      </c>
      <c r="F23" s="6">
        <f>IFERROR(__xludf.DUMMYFUNCTION("""COMPUTED_VALUE"""),1.7287212E7)</f>
        <v>17287212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IFERROR(__xludf.DUMMYFUNCTION("""COMPUTED_VALUE"""),1241.05)</f>
        <v>1241.05</v>
      </c>
      <c r="C24" s="6">
        <f>IFERROR(__xludf.DUMMYFUNCTION("""COMPUTED_VALUE"""),1249.4)</f>
        <v>1249.4</v>
      </c>
      <c r="D24" s="6">
        <f>IFERROR(__xludf.DUMMYFUNCTION("""COMPUTED_VALUE"""),1198.55)</f>
        <v>1198.55</v>
      </c>
      <c r="E24" s="6">
        <f>IFERROR(__xludf.DUMMYFUNCTION("""COMPUTED_VALUE"""),1218.65)</f>
        <v>1218.65</v>
      </c>
      <c r="F24" s="6">
        <f>IFERROR(__xludf.DUMMYFUNCTION("""COMPUTED_VALUE"""),5168836.0)</f>
        <v>5168836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IFERROR(__xludf.DUMMYFUNCTION("""COMPUTED_VALUE"""),1228.0)</f>
        <v>1228</v>
      </c>
      <c r="C25" s="6">
        <f>IFERROR(__xludf.DUMMYFUNCTION("""COMPUTED_VALUE"""),1245.8)</f>
        <v>1245.8</v>
      </c>
      <c r="D25" s="6">
        <f>IFERROR(__xludf.DUMMYFUNCTION("""COMPUTED_VALUE"""),1175.0)</f>
        <v>1175</v>
      </c>
      <c r="E25" s="6">
        <f>IFERROR(__xludf.DUMMYFUNCTION("""COMPUTED_VALUE"""),1241.35)</f>
        <v>1241.35</v>
      </c>
      <c r="F25" s="6">
        <f>IFERROR(__xludf.DUMMYFUNCTION("""COMPUTED_VALUE"""),4731050.0)</f>
        <v>4731050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IFERROR(__xludf.DUMMYFUNCTION("""COMPUTED_VALUE"""),1235.0)</f>
        <v>1235</v>
      </c>
      <c r="C26" s="6">
        <f>IFERROR(__xludf.DUMMYFUNCTION("""COMPUTED_VALUE"""),1265.0)</f>
        <v>1265</v>
      </c>
      <c r="D26" s="6">
        <f>IFERROR(__xludf.DUMMYFUNCTION("""COMPUTED_VALUE"""),1218.7)</f>
        <v>1218.7</v>
      </c>
      <c r="E26" s="6">
        <f>IFERROR(__xludf.DUMMYFUNCTION("""COMPUTED_VALUE"""),1250.95)</f>
        <v>1250.95</v>
      </c>
      <c r="F26" s="6">
        <f>IFERROR(__xludf.DUMMYFUNCTION("""COMPUTED_VALUE"""),3681292.0)</f>
        <v>3681292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IFERROR(__xludf.DUMMYFUNCTION("""COMPUTED_VALUE"""),1280.0)</f>
        <v>1280</v>
      </c>
      <c r="C27" s="6">
        <f>IFERROR(__xludf.DUMMYFUNCTION("""COMPUTED_VALUE"""),1280.4)</f>
        <v>1280.4</v>
      </c>
      <c r="D27" s="6">
        <f>IFERROR(__xludf.DUMMYFUNCTION("""COMPUTED_VALUE"""),1221.0)</f>
        <v>1221</v>
      </c>
      <c r="E27" s="6">
        <f>IFERROR(__xludf.DUMMYFUNCTION("""COMPUTED_VALUE"""),1234.25)</f>
        <v>1234.25</v>
      </c>
      <c r="F27" s="6">
        <f>IFERROR(__xludf.DUMMYFUNCTION("""COMPUTED_VALUE"""),1905473.0)</f>
        <v>1905473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IFERROR(__xludf.DUMMYFUNCTION("""COMPUTED_VALUE"""),1246.45)</f>
        <v>1246.45</v>
      </c>
      <c r="C28" s="6">
        <f>IFERROR(__xludf.DUMMYFUNCTION("""COMPUTED_VALUE"""),1261.05)</f>
        <v>1261.05</v>
      </c>
      <c r="D28" s="6">
        <f>IFERROR(__xludf.DUMMYFUNCTION("""COMPUTED_VALUE"""),1176.55)</f>
        <v>1176.55</v>
      </c>
      <c r="E28" s="6">
        <f>IFERROR(__xludf.DUMMYFUNCTION("""COMPUTED_VALUE"""),1212.7)</f>
        <v>1212.7</v>
      </c>
      <c r="F28" s="6">
        <f>IFERROR(__xludf.DUMMYFUNCTION("""COMPUTED_VALUE"""),4649945.0)</f>
        <v>4649945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IFERROR(__xludf.DUMMYFUNCTION("""COMPUTED_VALUE"""),1212.65)</f>
        <v>1212.65</v>
      </c>
      <c r="C29" s="6">
        <f>IFERROR(__xludf.DUMMYFUNCTION("""COMPUTED_VALUE"""),1254.35)</f>
        <v>1254.35</v>
      </c>
      <c r="D29" s="6">
        <f>IFERROR(__xludf.DUMMYFUNCTION("""COMPUTED_VALUE"""),1186.0)</f>
        <v>1186</v>
      </c>
      <c r="E29" s="6">
        <f>IFERROR(__xludf.DUMMYFUNCTION("""COMPUTED_VALUE"""),1221.65)</f>
        <v>1221.65</v>
      </c>
      <c r="F29" s="6">
        <f>IFERROR(__xludf.DUMMYFUNCTION("""COMPUTED_VALUE"""),5652364.0)</f>
        <v>5652364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IFERROR(__xludf.DUMMYFUNCTION("""COMPUTED_VALUE"""),1201.65)</f>
        <v>1201.65</v>
      </c>
      <c r="C30" s="6">
        <f>IFERROR(__xludf.DUMMYFUNCTION("""COMPUTED_VALUE"""),1259.5)</f>
        <v>1259.5</v>
      </c>
      <c r="D30" s="6">
        <f>IFERROR(__xludf.DUMMYFUNCTION("""COMPUTED_VALUE"""),1192.55)</f>
        <v>1192.55</v>
      </c>
      <c r="E30" s="6">
        <f>IFERROR(__xludf.DUMMYFUNCTION("""COMPUTED_VALUE"""),1251.8)</f>
        <v>1251.8</v>
      </c>
      <c r="F30" s="6">
        <f>IFERROR(__xludf.DUMMYFUNCTION("""COMPUTED_VALUE"""),3971324.0)</f>
        <v>3971324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IFERROR(__xludf.DUMMYFUNCTION("""COMPUTED_VALUE"""),1252.0)</f>
        <v>1252</v>
      </c>
      <c r="C31" s="6">
        <f>IFERROR(__xludf.DUMMYFUNCTION("""COMPUTED_VALUE"""),1271.45)</f>
        <v>1271.45</v>
      </c>
      <c r="D31" s="6">
        <f>IFERROR(__xludf.DUMMYFUNCTION("""COMPUTED_VALUE"""),1173.2)</f>
        <v>1173.2</v>
      </c>
      <c r="E31" s="6">
        <f>IFERROR(__xludf.DUMMYFUNCTION("""COMPUTED_VALUE"""),1210.1)</f>
        <v>1210.1</v>
      </c>
      <c r="F31" s="6">
        <f>IFERROR(__xludf.DUMMYFUNCTION("""COMPUTED_VALUE"""),5116396.0)</f>
        <v>5116396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IFERROR(__xludf.DUMMYFUNCTION("""COMPUTED_VALUE"""),1230.0)</f>
        <v>1230</v>
      </c>
      <c r="C32" s="6">
        <f>IFERROR(__xludf.DUMMYFUNCTION("""COMPUTED_VALUE"""),1279.4)</f>
        <v>1279.4</v>
      </c>
      <c r="D32" s="6">
        <f>IFERROR(__xludf.DUMMYFUNCTION("""COMPUTED_VALUE"""),1193.3)</f>
        <v>1193.3</v>
      </c>
      <c r="E32" s="6">
        <f>IFERROR(__xludf.DUMMYFUNCTION("""COMPUTED_VALUE"""),1199.75)</f>
        <v>1199.75</v>
      </c>
      <c r="F32" s="6">
        <f>IFERROR(__xludf.DUMMYFUNCTION("""COMPUTED_VALUE"""),4766762.0)</f>
        <v>4766762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IFERROR(__xludf.DUMMYFUNCTION("""COMPUTED_VALUE"""),1180.95)</f>
        <v>1180.95</v>
      </c>
      <c r="C33" s="6">
        <f>IFERROR(__xludf.DUMMYFUNCTION("""COMPUTED_VALUE"""),1199.65)</f>
        <v>1199.65</v>
      </c>
      <c r="D33" s="6">
        <f>IFERROR(__xludf.DUMMYFUNCTION("""COMPUTED_VALUE"""),1140.05)</f>
        <v>1140.05</v>
      </c>
      <c r="E33" s="6">
        <f>IFERROR(__xludf.DUMMYFUNCTION("""COMPUTED_VALUE"""),1168.85)</f>
        <v>1168.85</v>
      </c>
      <c r="F33" s="6">
        <f>IFERROR(__xludf.DUMMYFUNCTION("""COMPUTED_VALUE"""),3773631.0)</f>
        <v>3773631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IFERROR(__xludf.DUMMYFUNCTION("""COMPUTED_VALUE"""),1174.95)</f>
        <v>1174.95</v>
      </c>
      <c r="C34" s="6">
        <f>IFERROR(__xludf.DUMMYFUNCTION("""COMPUTED_VALUE"""),1230.0)</f>
        <v>1230</v>
      </c>
      <c r="D34" s="6">
        <f>IFERROR(__xludf.DUMMYFUNCTION("""COMPUTED_VALUE"""),1165.55)</f>
        <v>1165.55</v>
      </c>
      <c r="E34" s="6">
        <f>IFERROR(__xludf.DUMMYFUNCTION("""COMPUTED_VALUE"""),1202.5)</f>
        <v>1202.5</v>
      </c>
      <c r="F34" s="6">
        <f>IFERROR(__xludf.DUMMYFUNCTION("""COMPUTED_VALUE"""),4064043.0)</f>
        <v>4064043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IFERROR(__xludf.DUMMYFUNCTION("""COMPUTED_VALUE"""),1204.5)</f>
        <v>1204.5</v>
      </c>
      <c r="C35" s="6">
        <f>IFERROR(__xludf.DUMMYFUNCTION("""COMPUTED_VALUE"""),1255.0)</f>
        <v>1255</v>
      </c>
      <c r="D35" s="6">
        <f>IFERROR(__xludf.DUMMYFUNCTION("""COMPUTED_VALUE"""),1191.3)</f>
        <v>1191.3</v>
      </c>
      <c r="E35" s="6">
        <f>IFERROR(__xludf.DUMMYFUNCTION("""COMPUTED_VALUE"""),1251.2)</f>
        <v>1251.2</v>
      </c>
      <c r="F35" s="6">
        <f>IFERROR(__xludf.DUMMYFUNCTION("""COMPUTED_VALUE"""),3577523.0)</f>
        <v>3577523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IFERROR(__xludf.DUMMYFUNCTION("""COMPUTED_VALUE"""),1259.8)</f>
        <v>1259.8</v>
      </c>
      <c r="C36" s="6">
        <f>IFERROR(__xludf.DUMMYFUNCTION("""COMPUTED_VALUE"""),1372.95)</f>
        <v>1372.95</v>
      </c>
      <c r="D36" s="6">
        <f>IFERROR(__xludf.DUMMYFUNCTION("""COMPUTED_VALUE"""),1228.85)</f>
        <v>1228.85</v>
      </c>
      <c r="E36" s="6">
        <f>IFERROR(__xludf.DUMMYFUNCTION("""COMPUTED_VALUE"""),1320.95)</f>
        <v>1320.95</v>
      </c>
      <c r="F36" s="6">
        <f>IFERROR(__xludf.DUMMYFUNCTION("""COMPUTED_VALUE"""),1.3528668E7)</f>
        <v>13528668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IFERROR(__xludf.DUMMYFUNCTION("""COMPUTED_VALUE"""),1300.0)</f>
        <v>1300</v>
      </c>
      <c r="C37" s="6">
        <f>IFERROR(__xludf.DUMMYFUNCTION("""COMPUTED_VALUE"""),1329.0)</f>
        <v>1329</v>
      </c>
      <c r="D37" s="6">
        <f>IFERROR(__xludf.DUMMYFUNCTION("""COMPUTED_VALUE"""),1271.2)</f>
        <v>1271.2</v>
      </c>
      <c r="E37" s="6">
        <f>IFERROR(__xludf.DUMMYFUNCTION("""COMPUTED_VALUE"""),1310.35)</f>
        <v>1310.35</v>
      </c>
      <c r="F37" s="6">
        <f>IFERROR(__xludf.DUMMYFUNCTION("""COMPUTED_VALUE"""),4182299.0)</f>
        <v>4182299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IFERROR(__xludf.DUMMYFUNCTION("""COMPUTED_VALUE"""),1310.4)</f>
        <v>1310.4</v>
      </c>
      <c r="C38" s="6">
        <f>IFERROR(__xludf.DUMMYFUNCTION("""COMPUTED_VALUE"""),1344.25)</f>
        <v>1344.25</v>
      </c>
      <c r="D38" s="6">
        <f>IFERROR(__xludf.DUMMYFUNCTION("""COMPUTED_VALUE"""),1259.25)</f>
        <v>1259.25</v>
      </c>
      <c r="E38" s="6">
        <f>IFERROR(__xludf.DUMMYFUNCTION("""COMPUTED_VALUE"""),1270.35)</f>
        <v>1270.35</v>
      </c>
      <c r="F38" s="6">
        <f>IFERROR(__xludf.DUMMYFUNCTION("""COMPUTED_VALUE"""),3830000.0)</f>
        <v>3830000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IFERROR(__xludf.DUMMYFUNCTION("""COMPUTED_VALUE"""),1295.95)</f>
        <v>1295.95</v>
      </c>
      <c r="C39" s="6">
        <f>IFERROR(__xludf.DUMMYFUNCTION("""COMPUTED_VALUE"""),1467.1)</f>
        <v>1467.1</v>
      </c>
      <c r="D39" s="6">
        <f>IFERROR(__xludf.DUMMYFUNCTION("""COMPUTED_VALUE"""),1251.7)</f>
        <v>1251.7</v>
      </c>
      <c r="E39" s="6">
        <f>IFERROR(__xludf.DUMMYFUNCTION("""COMPUTED_VALUE"""),1427.9)</f>
        <v>1427.9</v>
      </c>
      <c r="F39" s="6">
        <f>IFERROR(__xludf.DUMMYFUNCTION("""COMPUTED_VALUE"""),1.107027E7)</f>
        <v>11070270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IFERROR(__xludf.DUMMYFUNCTION("""COMPUTED_VALUE"""),1430.0)</f>
        <v>1430</v>
      </c>
      <c r="C40" s="6">
        <f>IFERROR(__xludf.DUMMYFUNCTION("""COMPUTED_VALUE"""),1447.8)</f>
        <v>1447.8</v>
      </c>
      <c r="D40" s="6">
        <f>IFERROR(__xludf.DUMMYFUNCTION("""COMPUTED_VALUE"""),1389.8)</f>
        <v>1389.8</v>
      </c>
      <c r="E40" s="6">
        <f>IFERROR(__xludf.DUMMYFUNCTION("""COMPUTED_VALUE"""),1392.95)</f>
        <v>1392.95</v>
      </c>
      <c r="F40" s="6">
        <f>IFERROR(__xludf.DUMMYFUNCTION("""COMPUTED_VALUE"""),3569072.0)</f>
        <v>3569072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IFERROR(__xludf.DUMMYFUNCTION("""COMPUTED_VALUE"""),1392.95)</f>
        <v>1392.95</v>
      </c>
      <c r="C41" s="6">
        <f>IFERROR(__xludf.DUMMYFUNCTION("""COMPUTED_VALUE"""),1410.75)</f>
        <v>1410.75</v>
      </c>
      <c r="D41" s="6">
        <f>IFERROR(__xludf.DUMMYFUNCTION("""COMPUTED_VALUE"""),1353.0)</f>
        <v>1353</v>
      </c>
      <c r="E41" s="6">
        <f>IFERROR(__xludf.DUMMYFUNCTION("""COMPUTED_VALUE"""),1356.85)</f>
        <v>1356.85</v>
      </c>
      <c r="F41" s="6">
        <f>IFERROR(__xludf.DUMMYFUNCTION("""COMPUTED_VALUE"""),4002687.0)</f>
        <v>4002687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IFERROR(__xludf.DUMMYFUNCTION("""COMPUTED_VALUE"""),1356.4)</f>
        <v>1356.4</v>
      </c>
      <c r="C42" s="6">
        <f>IFERROR(__xludf.DUMMYFUNCTION("""COMPUTED_VALUE"""),1429.85)</f>
        <v>1429.85</v>
      </c>
      <c r="D42" s="6">
        <f>IFERROR(__xludf.DUMMYFUNCTION("""COMPUTED_VALUE"""),1319.4)</f>
        <v>1319.4</v>
      </c>
      <c r="E42" s="6">
        <f>IFERROR(__xludf.DUMMYFUNCTION("""COMPUTED_VALUE"""),1375.85)</f>
        <v>1375.85</v>
      </c>
      <c r="F42" s="6">
        <f>IFERROR(__xludf.DUMMYFUNCTION("""COMPUTED_VALUE"""),1.0235967E7)</f>
        <v>10235967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IFERROR(__xludf.DUMMYFUNCTION("""COMPUTED_VALUE"""),1375.85)</f>
        <v>1375.85</v>
      </c>
      <c r="C43" s="6">
        <f>IFERROR(__xludf.DUMMYFUNCTION("""COMPUTED_VALUE"""),1419.75)</f>
        <v>1419.75</v>
      </c>
      <c r="D43" s="6">
        <f>IFERROR(__xludf.DUMMYFUNCTION("""COMPUTED_VALUE"""),1359.2)</f>
        <v>1359.2</v>
      </c>
      <c r="E43" s="6">
        <f>IFERROR(__xludf.DUMMYFUNCTION("""COMPUTED_VALUE"""),1373.8)</f>
        <v>1373.8</v>
      </c>
      <c r="F43" s="6">
        <f>IFERROR(__xludf.DUMMYFUNCTION("""COMPUTED_VALUE"""),2773182.0)</f>
        <v>2773182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IFERROR(__xludf.DUMMYFUNCTION("""COMPUTED_VALUE"""),1380.45)</f>
        <v>1380.45</v>
      </c>
      <c r="C44" s="6">
        <f>IFERROR(__xludf.DUMMYFUNCTION("""COMPUTED_VALUE"""),1458.5)</f>
        <v>1458.5</v>
      </c>
      <c r="D44" s="6">
        <f>IFERROR(__xludf.DUMMYFUNCTION("""COMPUTED_VALUE"""),1372.3)</f>
        <v>1372.3</v>
      </c>
      <c r="E44" s="6">
        <f>IFERROR(__xludf.DUMMYFUNCTION("""COMPUTED_VALUE"""),1443.9)</f>
        <v>1443.9</v>
      </c>
      <c r="F44" s="6">
        <f>IFERROR(__xludf.DUMMYFUNCTION("""COMPUTED_VALUE"""),7451432.0)</f>
        <v>7451432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IFERROR(__xludf.DUMMYFUNCTION("""COMPUTED_VALUE"""),1449.95)</f>
        <v>1449.95</v>
      </c>
      <c r="C45" s="6">
        <f>IFERROR(__xludf.DUMMYFUNCTION("""COMPUTED_VALUE"""),1476.95)</f>
        <v>1476.95</v>
      </c>
      <c r="D45" s="6">
        <f>IFERROR(__xludf.DUMMYFUNCTION("""COMPUTED_VALUE"""),1434.1)</f>
        <v>1434.1</v>
      </c>
      <c r="E45" s="6">
        <f>IFERROR(__xludf.DUMMYFUNCTION("""COMPUTED_VALUE"""),1451.9)</f>
        <v>1451.9</v>
      </c>
      <c r="F45" s="6">
        <f>IFERROR(__xludf.DUMMYFUNCTION("""COMPUTED_VALUE"""),4056012.0)</f>
        <v>4056012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IFERROR(__xludf.DUMMYFUNCTION("""COMPUTED_VALUE"""),1451.85)</f>
        <v>1451.85</v>
      </c>
      <c r="C46" s="6">
        <f>IFERROR(__xludf.DUMMYFUNCTION("""COMPUTED_VALUE"""),1525.0)</f>
        <v>1525</v>
      </c>
      <c r="D46" s="6">
        <f>IFERROR(__xludf.DUMMYFUNCTION("""COMPUTED_VALUE"""),1440.75)</f>
        <v>1440.75</v>
      </c>
      <c r="E46" s="6">
        <f>IFERROR(__xludf.DUMMYFUNCTION("""COMPUTED_VALUE"""),1467.5)</f>
        <v>1467.5</v>
      </c>
      <c r="F46" s="6">
        <f>IFERROR(__xludf.DUMMYFUNCTION("""COMPUTED_VALUE"""),5978566.0)</f>
        <v>5978566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IFERROR(__xludf.DUMMYFUNCTION("""COMPUTED_VALUE"""),1474.9)</f>
        <v>1474.9</v>
      </c>
      <c r="C47" s="6">
        <f>IFERROR(__xludf.DUMMYFUNCTION("""COMPUTED_VALUE"""),1505.0)</f>
        <v>1505</v>
      </c>
      <c r="D47" s="6">
        <f>IFERROR(__xludf.DUMMYFUNCTION("""COMPUTED_VALUE"""),1428.7)</f>
        <v>1428.7</v>
      </c>
      <c r="E47" s="6">
        <f>IFERROR(__xludf.DUMMYFUNCTION("""COMPUTED_VALUE"""),1459.15)</f>
        <v>1459.15</v>
      </c>
      <c r="F47" s="6">
        <f>IFERROR(__xludf.DUMMYFUNCTION("""COMPUTED_VALUE"""),5828137.0)</f>
        <v>5828137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IFERROR(__xludf.DUMMYFUNCTION("""COMPUTED_VALUE"""),1426.5)</f>
        <v>1426.5</v>
      </c>
      <c r="C48" s="6">
        <f>IFERROR(__xludf.DUMMYFUNCTION("""COMPUTED_VALUE"""),1509.0)</f>
        <v>1509</v>
      </c>
      <c r="D48" s="6">
        <f>IFERROR(__xludf.DUMMYFUNCTION("""COMPUTED_VALUE"""),1426.5)</f>
        <v>1426.5</v>
      </c>
      <c r="E48" s="6">
        <f>IFERROR(__xludf.DUMMYFUNCTION("""COMPUTED_VALUE"""),1444.8)</f>
        <v>1444.8</v>
      </c>
      <c r="F48" s="6">
        <f>IFERROR(__xludf.DUMMYFUNCTION("""COMPUTED_VALUE"""),6644307.0)</f>
        <v>6644307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IFERROR(__xludf.DUMMYFUNCTION("""COMPUTED_VALUE"""),1444.8)</f>
        <v>1444.8</v>
      </c>
      <c r="C49" s="6">
        <f>IFERROR(__xludf.DUMMYFUNCTION("""COMPUTED_VALUE"""),1445.0)</f>
        <v>1445</v>
      </c>
      <c r="D49" s="6">
        <f>IFERROR(__xludf.DUMMYFUNCTION("""COMPUTED_VALUE"""),1358.15)</f>
        <v>1358.15</v>
      </c>
      <c r="E49" s="6">
        <f>IFERROR(__xludf.DUMMYFUNCTION("""COMPUTED_VALUE"""),1405.05)</f>
        <v>1405.05</v>
      </c>
      <c r="F49" s="6">
        <f>IFERROR(__xludf.DUMMYFUNCTION("""COMPUTED_VALUE"""),4423083.0)</f>
        <v>4423083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IFERROR(__xludf.DUMMYFUNCTION("""COMPUTED_VALUE"""),1411.95)</f>
        <v>1411.95</v>
      </c>
      <c r="C50" s="6">
        <f>IFERROR(__xludf.DUMMYFUNCTION("""COMPUTED_VALUE"""),1446.0)</f>
        <v>1446</v>
      </c>
      <c r="D50" s="6">
        <f>IFERROR(__xludf.DUMMYFUNCTION("""COMPUTED_VALUE"""),1378.55)</f>
        <v>1378.55</v>
      </c>
      <c r="E50" s="6">
        <f>IFERROR(__xludf.DUMMYFUNCTION("""COMPUTED_VALUE"""),1428.35)</f>
        <v>1428.35</v>
      </c>
      <c r="F50" s="6">
        <f>IFERROR(__xludf.DUMMYFUNCTION("""COMPUTED_VALUE"""),4714697.0)</f>
        <v>4714697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IFERROR(__xludf.DUMMYFUNCTION("""COMPUTED_VALUE"""),1438.0)</f>
        <v>1438</v>
      </c>
      <c r="C51" s="6">
        <f>IFERROR(__xludf.DUMMYFUNCTION("""COMPUTED_VALUE"""),1499.95)</f>
        <v>1499.95</v>
      </c>
      <c r="D51" s="6">
        <f>IFERROR(__xludf.DUMMYFUNCTION("""COMPUTED_VALUE"""),1422.1)</f>
        <v>1422.1</v>
      </c>
      <c r="E51" s="6">
        <f>IFERROR(__xludf.DUMMYFUNCTION("""COMPUTED_VALUE"""),1481.2)</f>
        <v>1481.2</v>
      </c>
      <c r="F51" s="6">
        <f>IFERROR(__xludf.DUMMYFUNCTION("""COMPUTED_VALUE"""),3733717.0)</f>
        <v>3733717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IFERROR(__xludf.DUMMYFUNCTION("""COMPUTED_VALUE"""),1488.65)</f>
        <v>1488.65</v>
      </c>
      <c r="C52" s="6">
        <f>IFERROR(__xludf.DUMMYFUNCTION("""COMPUTED_VALUE"""),1491.85)</f>
        <v>1491.85</v>
      </c>
      <c r="D52" s="6">
        <f>IFERROR(__xludf.DUMMYFUNCTION("""COMPUTED_VALUE"""),1417.1)</f>
        <v>1417.1</v>
      </c>
      <c r="E52" s="6">
        <f>IFERROR(__xludf.DUMMYFUNCTION("""COMPUTED_VALUE"""),1443.45)</f>
        <v>1443.45</v>
      </c>
      <c r="F52" s="6">
        <f>IFERROR(__xludf.DUMMYFUNCTION("""COMPUTED_VALUE"""),3785372.0)</f>
        <v>3785372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IFERROR(__xludf.DUMMYFUNCTION("""COMPUTED_VALUE"""),1444.95)</f>
        <v>1444.95</v>
      </c>
      <c r="C53" s="6">
        <f>IFERROR(__xludf.DUMMYFUNCTION("""COMPUTED_VALUE"""),1541.85)</f>
        <v>1541.85</v>
      </c>
      <c r="D53" s="6">
        <f>IFERROR(__xludf.DUMMYFUNCTION("""COMPUTED_VALUE"""),1425.15)</f>
        <v>1425.15</v>
      </c>
      <c r="E53" s="6">
        <f>IFERROR(__xludf.DUMMYFUNCTION("""COMPUTED_VALUE"""),1491.3)</f>
        <v>1491.3</v>
      </c>
      <c r="F53" s="6">
        <f>IFERROR(__xludf.DUMMYFUNCTION("""COMPUTED_VALUE"""),8548856.0)</f>
        <v>8548856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IFERROR(__xludf.DUMMYFUNCTION("""COMPUTED_VALUE"""),1476.0)</f>
        <v>1476</v>
      </c>
      <c r="C54" s="6">
        <f>IFERROR(__xludf.DUMMYFUNCTION("""COMPUTED_VALUE"""),1481.7)</f>
        <v>1481.7</v>
      </c>
      <c r="D54" s="6">
        <f>IFERROR(__xludf.DUMMYFUNCTION("""COMPUTED_VALUE"""),1416.2)</f>
        <v>1416.2</v>
      </c>
      <c r="E54" s="6">
        <f>IFERROR(__xludf.DUMMYFUNCTION("""COMPUTED_VALUE"""),1456.6)</f>
        <v>1456.6</v>
      </c>
      <c r="F54" s="6">
        <f>IFERROR(__xludf.DUMMYFUNCTION("""COMPUTED_VALUE"""),6261974.0)</f>
        <v>6261974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IFERROR(__xludf.DUMMYFUNCTION("""COMPUTED_VALUE"""),1463.85)</f>
        <v>1463.85</v>
      </c>
      <c r="C55" s="6">
        <f>IFERROR(__xludf.DUMMYFUNCTION("""COMPUTED_VALUE"""),1464.95)</f>
        <v>1464.95</v>
      </c>
      <c r="D55" s="6">
        <f>IFERROR(__xludf.DUMMYFUNCTION("""COMPUTED_VALUE"""),1343.55)</f>
        <v>1343.55</v>
      </c>
      <c r="E55" s="6">
        <f>IFERROR(__xludf.DUMMYFUNCTION("""COMPUTED_VALUE"""),1388.65)</f>
        <v>1388.65</v>
      </c>
      <c r="F55" s="6">
        <f>IFERROR(__xludf.DUMMYFUNCTION("""COMPUTED_VALUE"""),9105295.0)</f>
        <v>9105295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IFERROR(__xludf.DUMMYFUNCTION("""COMPUTED_VALUE"""),1388.75)</f>
        <v>1388.75</v>
      </c>
      <c r="C56" s="6">
        <f>IFERROR(__xludf.DUMMYFUNCTION("""COMPUTED_VALUE"""),1415.5)</f>
        <v>1415.5</v>
      </c>
      <c r="D56" s="6">
        <f>IFERROR(__xludf.DUMMYFUNCTION("""COMPUTED_VALUE"""),1333.1)</f>
        <v>1333.1</v>
      </c>
      <c r="E56" s="6">
        <f>IFERROR(__xludf.DUMMYFUNCTION("""COMPUTED_VALUE"""),1343.25)</f>
        <v>1343.25</v>
      </c>
      <c r="F56" s="6">
        <f>IFERROR(__xludf.DUMMYFUNCTION("""COMPUTED_VALUE"""),6526783.0)</f>
        <v>6526783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IFERROR(__xludf.DUMMYFUNCTION("""COMPUTED_VALUE"""),1343.25)</f>
        <v>1343.25</v>
      </c>
      <c r="C57" s="6">
        <f>IFERROR(__xludf.DUMMYFUNCTION("""COMPUTED_VALUE"""),1355.55)</f>
        <v>1355.55</v>
      </c>
      <c r="D57" s="6">
        <f>IFERROR(__xludf.DUMMYFUNCTION("""COMPUTED_VALUE"""),1300.25)</f>
        <v>1300.25</v>
      </c>
      <c r="E57" s="6">
        <f>IFERROR(__xludf.DUMMYFUNCTION("""COMPUTED_VALUE"""),1315.7)</f>
        <v>1315.7</v>
      </c>
      <c r="F57" s="6">
        <f>IFERROR(__xludf.DUMMYFUNCTION("""COMPUTED_VALUE"""),1.102601E7)</f>
        <v>11026010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IFERROR(__xludf.DUMMYFUNCTION("""COMPUTED_VALUE"""),1322.0)</f>
        <v>1322</v>
      </c>
      <c r="C58" s="6">
        <f>IFERROR(__xludf.DUMMYFUNCTION("""COMPUTED_VALUE"""),1366.6)</f>
        <v>1366.6</v>
      </c>
      <c r="D58" s="6">
        <f>IFERROR(__xludf.DUMMYFUNCTION("""COMPUTED_VALUE"""),1306.65)</f>
        <v>1306.65</v>
      </c>
      <c r="E58" s="6">
        <f>IFERROR(__xludf.DUMMYFUNCTION("""COMPUTED_VALUE"""),1336.15)</f>
        <v>1336.15</v>
      </c>
      <c r="F58" s="6">
        <f>IFERROR(__xludf.DUMMYFUNCTION("""COMPUTED_VALUE"""),5670573.0)</f>
        <v>5670573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IFERROR(__xludf.DUMMYFUNCTION("""COMPUTED_VALUE"""),1336.15)</f>
        <v>1336.15</v>
      </c>
      <c r="C59" s="6">
        <f>IFERROR(__xludf.DUMMYFUNCTION("""COMPUTED_VALUE"""),1342.7)</f>
        <v>1342.7</v>
      </c>
      <c r="D59" s="6">
        <f>IFERROR(__xludf.DUMMYFUNCTION("""COMPUTED_VALUE"""),1238.7)</f>
        <v>1238.7</v>
      </c>
      <c r="E59" s="6">
        <f>IFERROR(__xludf.DUMMYFUNCTION("""COMPUTED_VALUE"""),1291.25)</f>
        <v>1291.25</v>
      </c>
      <c r="F59" s="6">
        <f>IFERROR(__xludf.DUMMYFUNCTION("""COMPUTED_VALUE"""),7232034.0)</f>
        <v>7232034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IFERROR(__xludf.DUMMYFUNCTION("""COMPUTED_VALUE"""),1275.0)</f>
        <v>1275</v>
      </c>
      <c r="C60" s="6">
        <f>IFERROR(__xludf.DUMMYFUNCTION("""COMPUTED_VALUE"""),1314.0)</f>
        <v>1314</v>
      </c>
      <c r="D60" s="6">
        <f>IFERROR(__xludf.DUMMYFUNCTION("""COMPUTED_VALUE"""),1242.8)</f>
        <v>1242.8</v>
      </c>
      <c r="E60" s="6">
        <f>IFERROR(__xludf.DUMMYFUNCTION("""COMPUTED_VALUE"""),1251.05)</f>
        <v>1251.05</v>
      </c>
      <c r="F60" s="6">
        <f>IFERROR(__xludf.DUMMYFUNCTION("""COMPUTED_VALUE"""),2895901.0)</f>
        <v>2895901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IFERROR(__xludf.DUMMYFUNCTION("""COMPUTED_VALUE"""),1250.0)</f>
        <v>1250</v>
      </c>
      <c r="C61" s="6">
        <f>IFERROR(__xludf.DUMMYFUNCTION("""COMPUTED_VALUE"""),1250.0)</f>
        <v>1250</v>
      </c>
      <c r="D61" s="6">
        <f>IFERROR(__xludf.DUMMYFUNCTION("""COMPUTED_VALUE"""),1162.25)</f>
        <v>1162.25</v>
      </c>
      <c r="E61" s="6">
        <f>IFERROR(__xludf.DUMMYFUNCTION("""COMPUTED_VALUE"""),1175.1)</f>
        <v>1175.1</v>
      </c>
      <c r="F61" s="6">
        <f>IFERROR(__xludf.DUMMYFUNCTION("""COMPUTED_VALUE"""),5888500.0)</f>
        <v>5888500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IFERROR(__xludf.DUMMYFUNCTION("""COMPUTED_VALUE"""),1175.1)</f>
        <v>1175.1</v>
      </c>
      <c r="C62" s="6">
        <f>IFERROR(__xludf.DUMMYFUNCTION("""COMPUTED_VALUE"""),1199.9)</f>
        <v>1199.9</v>
      </c>
      <c r="D62" s="6">
        <f>IFERROR(__xludf.DUMMYFUNCTION("""COMPUTED_VALUE"""),1163.4)</f>
        <v>1163.4</v>
      </c>
      <c r="E62" s="6">
        <f>IFERROR(__xludf.DUMMYFUNCTION("""COMPUTED_VALUE"""),1192.3)</f>
        <v>1192.3</v>
      </c>
      <c r="F62" s="6">
        <f>IFERROR(__xludf.DUMMYFUNCTION("""COMPUTED_VALUE"""),7237307.0)</f>
        <v>7237307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IFERROR(__xludf.DUMMYFUNCTION("""COMPUTED_VALUE"""),1195.0)</f>
        <v>1195</v>
      </c>
      <c r="C63" s="6">
        <f>IFERROR(__xludf.DUMMYFUNCTION("""COMPUTED_VALUE"""),1281.9)</f>
        <v>1281.9</v>
      </c>
      <c r="D63" s="6">
        <f>IFERROR(__xludf.DUMMYFUNCTION("""COMPUTED_VALUE"""),1195.0)</f>
        <v>1195</v>
      </c>
      <c r="E63" s="6">
        <f>IFERROR(__xludf.DUMMYFUNCTION("""COMPUTED_VALUE"""),1244.65)</f>
        <v>1244.65</v>
      </c>
      <c r="F63" s="6">
        <f>IFERROR(__xludf.DUMMYFUNCTION("""COMPUTED_VALUE"""),6898211.0)</f>
        <v>6898211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IFERROR(__xludf.DUMMYFUNCTION("""COMPUTED_VALUE"""),1225.0)</f>
        <v>1225</v>
      </c>
      <c r="C64" s="6">
        <f>IFERROR(__xludf.DUMMYFUNCTION("""COMPUTED_VALUE"""),1255.0)</f>
        <v>1255</v>
      </c>
      <c r="D64" s="6">
        <f>IFERROR(__xludf.DUMMYFUNCTION("""COMPUTED_VALUE"""),1215.2)</f>
        <v>1215.2</v>
      </c>
      <c r="E64" s="6">
        <f>IFERROR(__xludf.DUMMYFUNCTION("""COMPUTED_VALUE"""),1235.45)</f>
        <v>1235.45</v>
      </c>
      <c r="F64" s="6">
        <f>IFERROR(__xludf.DUMMYFUNCTION("""COMPUTED_VALUE"""),3378098.0)</f>
        <v>3378098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IFERROR(__xludf.DUMMYFUNCTION("""COMPUTED_VALUE"""),1169.95)</f>
        <v>1169.95</v>
      </c>
      <c r="C65" s="6">
        <f>IFERROR(__xludf.DUMMYFUNCTION("""COMPUTED_VALUE"""),1169.95)</f>
        <v>1169.95</v>
      </c>
      <c r="D65" s="6">
        <f>IFERROR(__xludf.DUMMYFUNCTION("""COMPUTED_VALUE"""),1097.35)</f>
        <v>1097.35</v>
      </c>
      <c r="E65" s="6">
        <f>IFERROR(__xludf.DUMMYFUNCTION("""COMPUTED_VALUE"""),1111.45)</f>
        <v>1111.45</v>
      </c>
      <c r="F65" s="6">
        <f>IFERROR(__xludf.DUMMYFUNCTION("""COMPUTED_VALUE"""),2.1001021E7)</f>
        <v>21001021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IFERROR(__xludf.DUMMYFUNCTION("""COMPUTED_VALUE"""),1120.0)</f>
        <v>1120</v>
      </c>
      <c r="C66" s="6">
        <f>IFERROR(__xludf.DUMMYFUNCTION("""COMPUTED_VALUE"""),1128.0)</f>
        <v>1128</v>
      </c>
      <c r="D66" s="6">
        <f>IFERROR(__xludf.DUMMYFUNCTION("""COMPUTED_VALUE"""),1067.0)</f>
        <v>1067</v>
      </c>
      <c r="E66" s="6">
        <f>IFERROR(__xludf.DUMMYFUNCTION("""COMPUTED_VALUE"""),1069.6)</f>
        <v>1069.6</v>
      </c>
      <c r="F66" s="6">
        <f>IFERROR(__xludf.DUMMYFUNCTION("""COMPUTED_VALUE"""),8242806.0)</f>
        <v>8242806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IFERROR(__xludf.DUMMYFUNCTION("""COMPUTED_VALUE"""),1074.8)</f>
        <v>1074.8</v>
      </c>
      <c r="C67" s="6">
        <f>IFERROR(__xludf.DUMMYFUNCTION("""COMPUTED_VALUE"""),1083.15)</f>
        <v>1083.15</v>
      </c>
      <c r="D67" s="6">
        <f>IFERROR(__xludf.DUMMYFUNCTION("""COMPUTED_VALUE"""),1060.0)</f>
        <v>1060</v>
      </c>
      <c r="E67" s="6">
        <f>IFERROR(__xludf.DUMMYFUNCTION("""COMPUTED_VALUE"""),1067.8)</f>
        <v>1067.8</v>
      </c>
      <c r="F67" s="6">
        <f>IFERROR(__xludf.DUMMYFUNCTION("""COMPUTED_VALUE"""),3931268.0)</f>
        <v>3931268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IFERROR(__xludf.DUMMYFUNCTION("""COMPUTED_VALUE"""),1069.95)</f>
        <v>1069.95</v>
      </c>
      <c r="C68" s="6">
        <f>IFERROR(__xludf.DUMMYFUNCTION("""COMPUTED_VALUE"""),1122.0)</f>
        <v>1122</v>
      </c>
      <c r="D68" s="6">
        <f>IFERROR(__xludf.DUMMYFUNCTION("""COMPUTED_VALUE"""),1055.05)</f>
        <v>1055.05</v>
      </c>
      <c r="E68" s="6">
        <f>IFERROR(__xludf.DUMMYFUNCTION("""COMPUTED_VALUE"""),1116.65)</f>
        <v>1116.65</v>
      </c>
      <c r="F68" s="6">
        <f>IFERROR(__xludf.DUMMYFUNCTION("""COMPUTED_VALUE"""),1.0392834E7)</f>
        <v>10392834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IFERROR(__xludf.DUMMYFUNCTION("""COMPUTED_VALUE"""),1122.2)</f>
        <v>1122.2</v>
      </c>
      <c r="C69" s="6">
        <f>IFERROR(__xludf.DUMMYFUNCTION("""COMPUTED_VALUE"""),1198.45)</f>
        <v>1198.45</v>
      </c>
      <c r="D69" s="6">
        <f>IFERROR(__xludf.DUMMYFUNCTION("""COMPUTED_VALUE"""),1111.2)</f>
        <v>1111.2</v>
      </c>
      <c r="E69" s="6">
        <f>IFERROR(__xludf.DUMMYFUNCTION("""COMPUTED_VALUE"""),1174.3)</f>
        <v>1174.3</v>
      </c>
      <c r="F69" s="6">
        <f>IFERROR(__xludf.DUMMYFUNCTION("""COMPUTED_VALUE"""),9235546.0)</f>
        <v>9235546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IFERROR(__xludf.DUMMYFUNCTION("""COMPUTED_VALUE"""),1165.0)</f>
        <v>1165</v>
      </c>
      <c r="C70" s="6">
        <f>IFERROR(__xludf.DUMMYFUNCTION("""COMPUTED_VALUE"""),1197.45)</f>
        <v>1197.45</v>
      </c>
      <c r="D70" s="6">
        <f>IFERROR(__xludf.DUMMYFUNCTION("""COMPUTED_VALUE"""),1126.15)</f>
        <v>1126.15</v>
      </c>
      <c r="E70" s="6">
        <f>IFERROR(__xludf.DUMMYFUNCTION("""COMPUTED_VALUE"""),1187.75)</f>
        <v>1187.75</v>
      </c>
      <c r="F70" s="6">
        <f>IFERROR(__xludf.DUMMYFUNCTION("""COMPUTED_VALUE"""),7086347.0)</f>
        <v>7086347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IFERROR(__xludf.DUMMYFUNCTION("""COMPUTED_VALUE"""),1192.8)</f>
        <v>1192.8</v>
      </c>
      <c r="C71" s="6">
        <f>IFERROR(__xludf.DUMMYFUNCTION("""COMPUTED_VALUE"""),1193.95)</f>
        <v>1193.95</v>
      </c>
      <c r="D71" s="6">
        <f>IFERROR(__xludf.DUMMYFUNCTION("""COMPUTED_VALUE"""),1120.85)</f>
        <v>1120.85</v>
      </c>
      <c r="E71" s="6">
        <f>IFERROR(__xludf.DUMMYFUNCTION("""COMPUTED_VALUE"""),1130.35)</f>
        <v>1130.35</v>
      </c>
      <c r="F71" s="6">
        <f>IFERROR(__xludf.DUMMYFUNCTION("""COMPUTED_VALUE"""),5740546.0)</f>
        <v>5740546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IFERROR(__xludf.DUMMYFUNCTION("""COMPUTED_VALUE"""),1175.05)</f>
        <v>1175.05</v>
      </c>
      <c r="C72" s="6">
        <f>IFERROR(__xludf.DUMMYFUNCTION("""COMPUTED_VALUE"""),1187.9)</f>
        <v>1187.9</v>
      </c>
      <c r="D72" s="6">
        <f>IFERROR(__xludf.DUMMYFUNCTION("""COMPUTED_VALUE"""),1094.55)</f>
        <v>1094.55</v>
      </c>
      <c r="E72" s="6">
        <f>IFERROR(__xludf.DUMMYFUNCTION("""COMPUTED_VALUE"""),1106.75)</f>
        <v>1106.75</v>
      </c>
      <c r="F72" s="6">
        <f>IFERROR(__xludf.DUMMYFUNCTION("""COMPUTED_VALUE"""),4993607.0)</f>
        <v>4993607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IFERROR(__xludf.DUMMYFUNCTION("""COMPUTED_VALUE"""),1112.25)</f>
        <v>1112.25</v>
      </c>
      <c r="C73" s="6">
        <f>IFERROR(__xludf.DUMMYFUNCTION("""COMPUTED_VALUE"""),1170.0)</f>
        <v>1170</v>
      </c>
      <c r="D73" s="6">
        <f>IFERROR(__xludf.DUMMYFUNCTION("""COMPUTED_VALUE"""),1047.5)</f>
        <v>1047.5</v>
      </c>
      <c r="E73" s="6">
        <f>IFERROR(__xludf.DUMMYFUNCTION("""COMPUTED_VALUE"""),1058.9)</f>
        <v>1058.9</v>
      </c>
      <c r="F73" s="6">
        <f>IFERROR(__xludf.DUMMYFUNCTION("""COMPUTED_VALUE"""),3588154.0)</f>
        <v>3588154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IFERROR(__xludf.DUMMYFUNCTION("""COMPUTED_VALUE"""),1058.8)</f>
        <v>1058.8</v>
      </c>
      <c r="C74" s="6">
        <f>IFERROR(__xludf.DUMMYFUNCTION("""COMPUTED_VALUE"""),1080.85)</f>
        <v>1080.85</v>
      </c>
      <c r="D74" s="6">
        <f>IFERROR(__xludf.DUMMYFUNCTION("""COMPUTED_VALUE"""),997.2)</f>
        <v>997.2</v>
      </c>
      <c r="E74" s="6">
        <f>IFERROR(__xludf.DUMMYFUNCTION("""COMPUTED_VALUE"""),1052.2)</f>
        <v>1052.2</v>
      </c>
      <c r="F74" s="6">
        <f>IFERROR(__xludf.DUMMYFUNCTION("""COMPUTED_VALUE"""),8429927.0)</f>
        <v>8429927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IFERROR(__xludf.DUMMYFUNCTION("""COMPUTED_VALUE"""),1048.15)</f>
        <v>1048.15</v>
      </c>
      <c r="C75" s="6">
        <f>IFERROR(__xludf.DUMMYFUNCTION("""COMPUTED_VALUE"""),1067.7)</f>
        <v>1067.7</v>
      </c>
      <c r="D75" s="6">
        <f>IFERROR(__xludf.DUMMYFUNCTION("""COMPUTED_VALUE"""),999.35)</f>
        <v>999.35</v>
      </c>
      <c r="E75" s="6">
        <f>IFERROR(__xludf.DUMMYFUNCTION("""COMPUTED_VALUE"""),1005.15)</f>
        <v>1005.15</v>
      </c>
      <c r="F75" s="6">
        <f>IFERROR(__xludf.DUMMYFUNCTION("""COMPUTED_VALUE"""),6875825.0)</f>
        <v>6875825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IFERROR(__xludf.DUMMYFUNCTION("""COMPUTED_VALUE"""),1006.0)</f>
        <v>1006</v>
      </c>
      <c r="C76" s="6">
        <f>IFERROR(__xludf.DUMMYFUNCTION("""COMPUTED_VALUE"""),1053.4)</f>
        <v>1053.4</v>
      </c>
      <c r="D76" s="6">
        <f>IFERROR(__xludf.DUMMYFUNCTION("""COMPUTED_VALUE"""),979.5)</f>
        <v>979.5</v>
      </c>
      <c r="E76" s="6">
        <f>IFERROR(__xludf.DUMMYFUNCTION("""COMPUTED_VALUE"""),1045.3)</f>
        <v>1045.3</v>
      </c>
      <c r="F76" s="6">
        <f>IFERROR(__xludf.DUMMYFUNCTION("""COMPUTED_VALUE"""),5722382.0)</f>
        <v>5722382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IFERROR(__xludf.DUMMYFUNCTION("""COMPUTED_VALUE"""),1042.0)</f>
        <v>1042</v>
      </c>
      <c r="C77" s="6">
        <f>IFERROR(__xludf.DUMMYFUNCTION("""COMPUTED_VALUE"""),1063.2)</f>
        <v>1063.2</v>
      </c>
      <c r="D77" s="6">
        <f>IFERROR(__xludf.DUMMYFUNCTION("""COMPUTED_VALUE"""),1020.35)</f>
        <v>1020.35</v>
      </c>
      <c r="E77" s="6">
        <f>IFERROR(__xludf.DUMMYFUNCTION("""COMPUTED_VALUE"""),1025.8)</f>
        <v>1025.8</v>
      </c>
      <c r="F77" s="6">
        <f>IFERROR(__xludf.DUMMYFUNCTION("""COMPUTED_VALUE"""),2582478.0)</f>
        <v>2582478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IFERROR(__xludf.DUMMYFUNCTION("""COMPUTED_VALUE"""),1025.1)</f>
        <v>1025.1</v>
      </c>
      <c r="C78" s="6">
        <f>IFERROR(__xludf.DUMMYFUNCTION("""COMPUTED_VALUE"""),1120.55)</f>
        <v>1120.55</v>
      </c>
      <c r="D78" s="6">
        <f>IFERROR(__xludf.DUMMYFUNCTION("""COMPUTED_VALUE"""),1024.65)</f>
        <v>1024.65</v>
      </c>
      <c r="E78" s="6">
        <f>IFERROR(__xludf.DUMMYFUNCTION("""COMPUTED_VALUE"""),1111.95)</f>
        <v>1111.95</v>
      </c>
      <c r="F78" s="6">
        <f>IFERROR(__xludf.DUMMYFUNCTION("""COMPUTED_VALUE"""),8322248.0)</f>
        <v>8322248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IFERROR(__xludf.DUMMYFUNCTION("""COMPUTED_VALUE"""),1116.0)</f>
        <v>1116</v>
      </c>
      <c r="C79" s="6">
        <f>IFERROR(__xludf.DUMMYFUNCTION("""COMPUTED_VALUE"""),1169.65)</f>
        <v>1169.65</v>
      </c>
      <c r="D79" s="6">
        <f>IFERROR(__xludf.DUMMYFUNCTION("""COMPUTED_VALUE"""),1054.05)</f>
        <v>1054.05</v>
      </c>
      <c r="E79" s="6">
        <f>IFERROR(__xludf.DUMMYFUNCTION("""COMPUTED_VALUE"""),1159.25)</f>
        <v>1159.25</v>
      </c>
      <c r="F79" s="6">
        <f>IFERROR(__xludf.DUMMYFUNCTION("""COMPUTED_VALUE"""),1.0366242E7)</f>
        <v>10366242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IFERROR(__xludf.DUMMYFUNCTION("""COMPUTED_VALUE"""),1150.7)</f>
        <v>1150.7</v>
      </c>
      <c r="C80" s="6">
        <f>IFERROR(__xludf.DUMMYFUNCTION("""COMPUTED_VALUE"""),1176.7)</f>
        <v>1176.7</v>
      </c>
      <c r="D80" s="6">
        <f>IFERROR(__xludf.DUMMYFUNCTION("""COMPUTED_VALUE"""),1136.0)</f>
        <v>1136</v>
      </c>
      <c r="E80" s="6">
        <f>IFERROR(__xludf.DUMMYFUNCTION("""COMPUTED_VALUE"""),1156.6)</f>
        <v>1156.6</v>
      </c>
      <c r="F80" s="6">
        <f>IFERROR(__xludf.DUMMYFUNCTION("""COMPUTED_VALUE"""),3186727.0)</f>
        <v>3186727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IFERROR(__xludf.DUMMYFUNCTION("""COMPUTED_VALUE"""),1158.0)</f>
        <v>1158</v>
      </c>
      <c r="C81" s="6">
        <f>IFERROR(__xludf.DUMMYFUNCTION("""COMPUTED_VALUE"""),1286.0)</f>
        <v>1286</v>
      </c>
      <c r="D81" s="6">
        <f>IFERROR(__xludf.DUMMYFUNCTION("""COMPUTED_VALUE"""),1125.05)</f>
        <v>1125.05</v>
      </c>
      <c r="E81" s="6">
        <f>IFERROR(__xludf.DUMMYFUNCTION("""COMPUTED_VALUE"""),1223.6)</f>
        <v>1223.6</v>
      </c>
      <c r="F81" s="6">
        <f>IFERROR(__xludf.DUMMYFUNCTION("""COMPUTED_VALUE"""),1.2134015E7)</f>
        <v>12134015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IFERROR(__xludf.DUMMYFUNCTION("""COMPUTED_VALUE"""),1234.7)</f>
        <v>1234.7</v>
      </c>
      <c r="C82" s="6">
        <f>IFERROR(__xludf.DUMMYFUNCTION("""COMPUTED_VALUE"""),1246.8)</f>
        <v>1246.8</v>
      </c>
      <c r="D82" s="6">
        <f>IFERROR(__xludf.DUMMYFUNCTION("""COMPUTED_VALUE"""),1203.4)</f>
        <v>1203.4</v>
      </c>
      <c r="E82" s="6">
        <f>IFERROR(__xludf.DUMMYFUNCTION("""COMPUTED_VALUE"""),1239.3)</f>
        <v>1239.3</v>
      </c>
      <c r="F82" s="6">
        <f>IFERROR(__xludf.DUMMYFUNCTION("""COMPUTED_VALUE"""),3560559.0)</f>
        <v>3560559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IFERROR(__xludf.DUMMYFUNCTION("""COMPUTED_VALUE"""),1245.0)</f>
        <v>1245</v>
      </c>
      <c r="C83" s="6">
        <f>IFERROR(__xludf.DUMMYFUNCTION("""COMPUTED_VALUE"""),1281.0)</f>
        <v>1281</v>
      </c>
      <c r="D83" s="6">
        <f>IFERROR(__xludf.DUMMYFUNCTION("""COMPUTED_VALUE"""),1211.0)</f>
        <v>1211</v>
      </c>
      <c r="E83" s="6">
        <f>IFERROR(__xludf.DUMMYFUNCTION("""COMPUTED_VALUE"""),1266.5)</f>
        <v>1266.5</v>
      </c>
      <c r="F83" s="6">
        <f>IFERROR(__xludf.DUMMYFUNCTION("""COMPUTED_VALUE"""),7644856.0)</f>
        <v>7644856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IFERROR(__xludf.DUMMYFUNCTION("""COMPUTED_VALUE"""),1267.1)</f>
        <v>1267.1</v>
      </c>
      <c r="C84" s="6">
        <f>IFERROR(__xludf.DUMMYFUNCTION("""COMPUTED_VALUE"""),1279.0)</f>
        <v>1279</v>
      </c>
      <c r="D84" s="6">
        <f>IFERROR(__xludf.DUMMYFUNCTION("""COMPUTED_VALUE"""),1239.7)</f>
        <v>1239.7</v>
      </c>
      <c r="E84" s="6">
        <f>IFERROR(__xludf.DUMMYFUNCTION("""COMPUTED_VALUE"""),1256.7)</f>
        <v>1256.7</v>
      </c>
      <c r="F84" s="6">
        <f>IFERROR(__xludf.DUMMYFUNCTION("""COMPUTED_VALUE"""),3206508.0)</f>
        <v>3206508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IFERROR(__xludf.DUMMYFUNCTION("""COMPUTED_VALUE"""),1264.0)</f>
        <v>1264</v>
      </c>
      <c r="C85" s="6">
        <f>IFERROR(__xludf.DUMMYFUNCTION("""COMPUTED_VALUE"""),1287.9)</f>
        <v>1287.9</v>
      </c>
      <c r="D85" s="6">
        <f>IFERROR(__xludf.DUMMYFUNCTION("""COMPUTED_VALUE"""),1195.2)</f>
        <v>1195.2</v>
      </c>
      <c r="E85" s="6">
        <f>IFERROR(__xludf.DUMMYFUNCTION("""COMPUTED_VALUE"""),1242.1)</f>
        <v>1242.1</v>
      </c>
      <c r="F85" s="6">
        <f>IFERROR(__xludf.DUMMYFUNCTION("""COMPUTED_VALUE"""),6328600.0)</f>
        <v>6328600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IFERROR(__xludf.DUMMYFUNCTION("""COMPUTED_VALUE"""),1282.0)</f>
        <v>1282</v>
      </c>
      <c r="C86" s="6">
        <f>IFERROR(__xludf.DUMMYFUNCTION("""COMPUTED_VALUE"""),1305.0)</f>
        <v>1305</v>
      </c>
      <c r="D86" s="6">
        <f>IFERROR(__xludf.DUMMYFUNCTION("""COMPUTED_VALUE"""),1257.6)</f>
        <v>1257.6</v>
      </c>
      <c r="E86" s="6">
        <f>IFERROR(__xludf.DUMMYFUNCTION("""COMPUTED_VALUE"""),1299.5)</f>
        <v>1299.5</v>
      </c>
      <c r="F86" s="6">
        <f>IFERROR(__xludf.DUMMYFUNCTION("""COMPUTED_VALUE"""),5031322.0)</f>
        <v>5031322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IFERROR(__xludf.DUMMYFUNCTION("""COMPUTED_VALUE"""),1303.0)</f>
        <v>1303</v>
      </c>
      <c r="C87" s="6">
        <f>IFERROR(__xludf.DUMMYFUNCTION("""COMPUTED_VALUE"""),1308.2)</f>
        <v>1308.2</v>
      </c>
      <c r="D87" s="6">
        <f>IFERROR(__xludf.DUMMYFUNCTION("""COMPUTED_VALUE"""),1255.2)</f>
        <v>1255.2</v>
      </c>
      <c r="E87" s="6">
        <f>IFERROR(__xludf.DUMMYFUNCTION("""COMPUTED_VALUE"""),1277.4)</f>
        <v>1277.4</v>
      </c>
      <c r="F87" s="6">
        <f>IFERROR(__xludf.DUMMYFUNCTION("""COMPUTED_VALUE"""),2889612.0)</f>
        <v>2889612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IFERROR(__xludf.DUMMYFUNCTION("""COMPUTED_VALUE"""),1278.8)</f>
        <v>1278.8</v>
      </c>
      <c r="C88" s="6">
        <f>IFERROR(__xludf.DUMMYFUNCTION("""COMPUTED_VALUE"""),1291.2)</f>
        <v>1291.2</v>
      </c>
      <c r="D88" s="6">
        <f>IFERROR(__xludf.DUMMYFUNCTION("""COMPUTED_VALUE"""),1224.0)</f>
        <v>1224</v>
      </c>
      <c r="E88" s="6">
        <f>IFERROR(__xludf.DUMMYFUNCTION("""COMPUTED_VALUE"""),1231.4)</f>
        <v>1231.4</v>
      </c>
      <c r="F88" s="6">
        <f>IFERROR(__xludf.DUMMYFUNCTION("""COMPUTED_VALUE"""),4203528.0)</f>
        <v>4203528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IFERROR(__xludf.DUMMYFUNCTION("""COMPUTED_VALUE"""),1256.9)</f>
        <v>1256.9</v>
      </c>
      <c r="C89" s="6">
        <f>IFERROR(__xludf.DUMMYFUNCTION("""COMPUTED_VALUE"""),1301.3)</f>
        <v>1301.3</v>
      </c>
      <c r="D89" s="6">
        <f>IFERROR(__xludf.DUMMYFUNCTION("""COMPUTED_VALUE"""),1206.3)</f>
        <v>1206.3</v>
      </c>
      <c r="E89" s="6">
        <f>IFERROR(__xludf.DUMMYFUNCTION("""COMPUTED_VALUE"""),1210.1)</f>
        <v>1210.1</v>
      </c>
      <c r="F89" s="6">
        <f>IFERROR(__xludf.DUMMYFUNCTION("""COMPUTED_VALUE"""),6115338.0)</f>
        <v>6115338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IFERROR(__xludf.DUMMYFUNCTION("""COMPUTED_VALUE"""),1216.0)</f>
        <v>1216</v>
      </c>
      <c r="C90" s="6">
        <f>IFERROR(__xludf.DUMMYFUNCTION("""COMPUTED_VALUE"""),1234.0)</f>
        <v>1234</v>
      </c>
      <c r="D90" s="6">
        <f>IFERROR(__xludf.DUMMYFUNCTION("""COMPUTED_VALUE"""),1160.0)</f>
        <v>1160</v>
      </c>
      <c r="E90" s="6">
        <f>IFERROR(__xludf.DUMMYFUNCTION("""COMPUTED_VALUE"""),1188.8)</f>
        <v>1188.8</v>
      </c>
      <c r="F90" s="6">
        <f>IFERROR(__xludf.DUMMYFUNCTION("""COMPUTED_VALUE"""),3828279.0)</f>
        <v>3828279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IFERROR(__xludf.DUMMYFUNCTION("""COMPUTED_VALUE"""),1191.0)</f>
        <v>1191</v>
      </c>
      <c r="C91" s="6">
        <f>IFERROR(__xludf.DUMMYFUNCTION("""COMPUTED_VALUE"""),1205.8)</f>
        <v>1205.8</v>
      </c>
      <c r="D91" s="6">
        <f>IFERROR(__xludf.DUMMYFUNCTION("""COMPUTED_VALUE"""),1175.3)</f>
        <v>1175.3</v>
      </c>
      <c r="E91" s="6">
        <f>IFERROR(__xludf.DUMMYFUNCTION("""COMPUTED_VALUE"""),1189.4)</f>
        <v>1189.4</v>
      </c>
      <c r="F91" s="6">
        <f>IFERROR(__xludf.DUMMYFUNCTION("""COMPUTED_VALUE"""),8155479.0)</f>
        <v>8155479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IFERROR(__xludf.DUMMYFUNCTION("""COMPUTED_VALUE"""),1189.0)</f>
        <v>1189</v>
      </c>
      <c r="C92" s="6">
        <f>IFERROR(__xludf.DUMMYFUNCTION("""COMPUTED_VALUE"""),1192.4)</f>
        <v>1192.4</v>
      </c>
      <c r="D92" s="6">
        <f>IFERROR(__xludf.DUMMYFUNCTION("""COMPUTED_VALUE"""),1168.1)</f>
        <v>1168.1</v>
      </c>
      <c r="E92" s="6">
        <f>IFERROR(__xludf.DUMMYFUNCTION("""COMPUTED_VALUE"""),1176.4)</f>
        <v>1176.4</v>
      </c>
      <c r="F92" s="6">
        <f>IFERROR(__xludf.DUMMYFUNCTION("""COMPUTED_VALUE"""),8055216.0)</f>
        <v>8055216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IFERROR(__xludf.DUMMYFUNCTION("""COMPUTED_VALUE"""),1182.0)</f>
        <v>1182</v>
      </c>
      <c r="C93" s="6">
        <f>IFERROR(__xludf.DUMMYFUNCTION("""COMPUTED_VALUE"""),1198.8)</f>
        <v>1198.8</v>
      </c>
      <c r="D93" s="6">
        <f>IFERROR(__xludf.DUMMYFUNCTION("""COMPUTED_VALUE"""),1160.3)</f>
        <v>1160.3</v>
      </c>
      <c r="E93" s="6">
        <f>IFERROR(__xludf.DUMMYFUNCTION("""COMPUTED_VALUE"""),1192.9)</f>
        <v>1192.9</v>
      </c>
      <c r="F93" s="6">
        <f>IFERROR(__xludf.DUMMYFUNCTION("""COMPUTED_VALUE"""),3334950.0)</f>
        <v>3334950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IFERROR(__xludf.DUMMYFUNCTION("""COMPUTED_VALUE"""),1225.2)</f>
        <v>1225.2</v>
      </c>
      <c r="C94" s="6">
        <f>IFERROR(__xludf.DUMMYFUNCTION("""COMPUTED_VALUE"""),1308.0)</f>
        <v>1308</v>
      </c>
      <c r="D94" s="6">
        <f>IFERROR(__xludf.DUMMYFUNCTION("""COMPUTED_VALUE"""),1225.2)</f>
        <v>1225.2</v>
      </c>
      <c r="E94" s="6">
        <f>IFERROR(__xludf.DUMMYFUNCTION("""COMPUTED_VALUE"""),1285.0)</f>
        <v>1285</v>
      </c>
      <c r="F94" s="6">
        <f>IFERROR(__xludf.DUMMYFUNCTION("""COMPUTED_VALUE"""),1.3759433E7)</f>
        <v>13759433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IFERROR(__xludf.DUMMYFUNCTION("""COMPUTED_VALUE"""),1288.0)</f>
        <v>1288</v>
      </c>
      <c r="C95" s="6">
        <f>IFERROR(__xludf.DUMMYFUNCTION("""COMPUTED_VALUE"""),1289.3)</f>
        <v>1289.3</v>
      </c>
      <c r="D95" s="6">
        <f>IFERROR(__xludf.DUMMYFUNCTION("""COMPUTED_VALUE"""),1245.8)</f>
        <v>1245.8</v>
      </c>
      <c r="E95" s="6">
        <f>IFERROR(__xludf.DUMMYFUNCTION("""COMPUTED_VALUE"""),1251.3)</f>
        <v>1251.3</v>
      </c>
      <c r="F95" s="6">
        <f>IFERROR(__xludf.DUMMYFUNCTION("""COMPUTED_VALUE"""),3821144.0)</f>
        <v>3821144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IFERROR(__xludf.DUMMYFUNCTION("""COMPUTED_VALUE"""),1251.3)</f>
        <v>1251.3</v>
      </c>
      <c r="C96" s="6">
        <f>IFERROR(__xludf.DUMMYFUNCTION("""COMPUTED_VALUE"""),1255.6)</f>
        <v>1255.6</v>
      </c>
      <c r="D96" s="6">
        <f>IFERROR(__xludf.DUMMYFUNCTION("""COMPUTED_VALUE"""),1210.1)</f>
        <v>1210.1</v>
      </c>
      <c r="E96" s="6">
        <f>IFERROR(__xludf.DUMMYFUNCTION("""COMPUTED_VALUE"""),1217.1)</f>
        <v>1217.1</v>
      </c>
      <c r="F96" s="6">
        <f>IFERROR(__xludf.DUMMYFUNCTION("""COMPUTED_VALUE"""),3163793.0)</f>
        <v>3163793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IFERROR(__xludf.DUMMYFUNCTION("""COMPUTED_VALUE"""),1215.0)</f>
        <v>1215</v>
      </c>
      <c r="C97" s="6">
        <f>IFERROR(__xludf.DUMMYFUNCTION("""COMPUTED_VALUE"""),1290.0)</f>
        <v>1290</v>
      </c>
      <c r="D97" s="6">
        <f>IFERROR(__xludf.DUMMYFUNCTION("""COMPUTED_VALUE"""),1202.2)</f>
        <v>1202.2</v>
      </c>
      <c r="E97" s="6">
        <f>IFERROR(__xludf.DUMMYFUNCTION("""COMPUTED_VALUE"""),1266.5)</f>
        <v>1266.5</v>
      </c>
      <c r="F97" s="6">
        <f>IFERROR(__xludf.DUMMYFUNCTION("""COMPUTED_VALUE"""),7318216.0)</f>
        <v>7318216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IFERROR(__xludf.DUMMYFUNCTION("""COMPUTED_VALUE"""),1269.9)</f>
        <v>1269.9</v>
      </c>
      <c r="C98" s="6">
        <f>IFERROR(__xludf.DUMMYFUNCTION("""COMPUTED_VALUE"""),1269.9)</f>
        <v>1269.9</v>
      </c>
      <c r="D98" s="6">
        <f>IFERROR(__xludf.DUMMYFUNCTION("""COMPUTED_VALUE"""),1182.9)</f>
        <v>1182.9</v>
      </c>
      <c r="E98" s="6">
        <f>IFERROR(__xludf.DUMMYFUNCTION("""COMPUTED_VALUE"""),1186.1)</f>
        <v>1186.1</v>
      </c>
      <c r="F98" s="6">
        <f>IFERROR(__xludf.DUMMYFUNCTION("""COMPUTED_VALUE"""),7516018.0)</f>
        <v>7516018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IFERROR(__xludf.DUMMYFUNCTION("""COMPUTED_VALUE"""),1187.1)</f>
        <v>1187.1</v>
      </c>
      <c r="C99" s="6">
        <f>IFERROR(__xludf.DUMMYFUNCTION("""COMPUTED_VALUE"""),1208.8)</f>
        <v>1208.8</v>
      </c>
      <c r="D99" s="6">
        <f>IFERROR(__xludf.DUMMYFUNCTION("""COMPUTED_VALUE"""),1159.6)</f>
        <v>1159.6</v>
      </c>
      <c r="E99" s="6">
        <f>IFERROR(__xludf.DUMMYFUNCTION("""COMPUTED_VALUE"""),1184.9)</f>
        <v>1184.9</v>
      </c>
      <c r="F99" s="6">
        <f>IFERROR(__xludf.DUMMYFUNCTION("""COMPUTED_VALUE"""),3882231.0)</f>
        <v>3882231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IFERROR(__xludf.DUMMYFUNCTION("""COMPUTED_VALUE"""),1201.0)</f>
        <v>1201</v>
      </c>
      <c r="C100" s="6">
        <f>IFERROR(__xludf.DUMMYFUNCTION("""COMPUTED_VALUE"""),1265.4)</f>
        <v>1265.4</v>
      </c>
      <c r="D100" s="6">
        <f>IFERROR(__xludf.DUMMYFUNCTION("""COMPUTED_VALUE"""),1199.0)</f>
        <v>1199</v>
      </c>
      <c r="E100" s="6">
        <f>IFERROR(__xludf.DUMMYFUNCTION("""COMPUTED_VALUE"""),1257.2)</f>
        <v>1257.2</v>
      </c>
      <c r="F100" s="6">
        <f>IFERROR(__xludf.DUMMYFUNCTION("""COMPUTED_VALUE"""),7086936.0)</f>
        <v>7086936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IFERROR(__xludf.DUMMYFUNCTION("""COMPUTED_VALUE"""),1264.2)</f>
        <v>1264.2</v>
      </c>
      <c r="C101" s="6">
        <f>IFERROR(__xludf.DUMMYFUNCTION("""COMPUTED_VALUE"""),1269.9)</f>
        <v>1269.9</v>
      </c>
      <c r="D101" s="6">
        <f>IFERROR(__xludf.DUMMYFUNCTION("""COMPUTED_VALUE"""),1249.2)</f>
        <v>1249.2</v>
      </c>
      <c r="E101" s="6">
        <f>IFERROR(__xludf.DUMMYFUNCTION("""COMPUTED_VALUE"""),1258.6)</f>
        <v>1258.6</v>
      </c>
      <c r="F101" s="6">
        <f>IFERROR(__xludf.DUMMYFUNCTION("""COMPUTED_VALUE"""),1.9410344E7)</f>
        <v>19410344</v>
      </c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IFERROR(__xludf.DUMMYFUNCTION("GOOGLEFINANCE(""NSE:GODREJPROP"",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IFERROR(__xludf.DUMMYFUNCTION("""COMPUTED_VALUE"""),1595.2)</f>
        <v>1595.2</v>
      </c>
      <c r="C2" s="6">
        <f>IFERROR(__xludf.DUMMYFUNCTION("""COMPUTED_VALUE"""),1664.45)</f>
        <v>1664.45</v>
      </c>
      <c r="D2" s="6">
        <f>IFERROR(__xludf.DUMMYFUNCTION("""COMPUTED_VALUE"""),1595.2)</f>
        <v>1595.2</v>
      </c>
      <c r="E2" s="6">
        <f>IFERROR(__xludf.DUMMYFUNCTION("""COMPUTED_VALUE"""),1643.65)</f>
        <v>1643.65</v>
      </c>
      <c r="F2" s="6">
        <f>IFERROR(__xludf.DUMMYFUNCTION("""COMPUTED_VALUE"""),3232208.0)</f>
        <v>3232208</v>
      </c>
    </row>
    <row r="3">
      <c r="A3" s="7">
        <f>IFERROR(__xludf.DUMMYFUNCTION("""COMPUTED_VALUE"""),45177.64583333333)</f>
        <v>45177.64583</v>
      </c>
      <c r="B3" s="6">
        <f>IFERROR(__xludf.DUMMYFUNCTION("""COMPUTED_VALUE"""),1643.5)</f>
        <v>1643.5</v>
      </c>
      <c r="C3" s="6">
        <f>IFERROR(__xludf.DUMMYFUNCTION("""COMPUTED_VALUE"""),1702.05)</f>
        <v>1702.05</v>
      </c>
      <c r="D3" s="6">
        <f>IFERROR(__xludf.DUMMYFUNCTION("""COMPUTED_VALUE"""),1616.0)</f>
        <v>1616</v>
      </c>
      <c r="E3" s="6">
        <f>IFERROR(__xludf.DUMMYFUNCTION("""COMPUTED_VALUE"""),1693.25)</f>
        <v>1693.25</v>
      </c>
      <c r="F3" s="6">
        <f>IFERROR(__xludf.DUMMYFUNCTION("""COMPUTED_VALUE"""),2498126.0)</f>
        <v>2498126</v>
      </c>
    </row>
    <row r="4">
      <c r="A4" s="7">
        <f>IFERROR(__xludf.DUMMYFUNCTION("""COMPUTED_VALUE"""),45184.64583333333)</f>
        <v>45184.64583</v>
      </c>
      <c r="B4" s="6">
        <f>IFERROR(__xludf.DUMMYFUNCTION("""COMPUTED_VALUE"""),1699.0)</f>
        <v>1699</v>
      </c>
      <c r="C4" s="6">
        <f>IFERROR(__xludf.DUMMYFUNCTION("""COMPUTED_VALUE"""),1707.9)</f>
        <v>1707.9</v>
      </c>
      <c r="D4" s="6">
        <f>IFERROR(__xludf.DUMMYFUNCTION("""COMPUTED_VALUE"""),1600.0)</f>
        <v>1600</v>
      </c>
      <c r="E4" s="6">
        <f>IFERROR(__xludf.DUMMYFUNCTION("""COMPUTED_VALUE"""),1660.85)</f>
        <v>1660.85</v>
      </c>
      <c r="F4" s="6">
        <f>IFERROR(__xludf.DUMMYFUNCTION("""COMPUTED_VALUE"""),2450001.0)</f>
        <v>2450001</v>
      </c>
    </row>
    <row r="5">
      <c r="A5" s="7">
        <f>IFERROR(__xludf.DUMMYFUNCTION("""COMPUTED_VALUE"""),45191.64583333333)</f>
        <v>45191.64583</v>
      </c>
      <c r="B5" s="6">
        <f>IFERROR(__xludf.DUMMYFUNCTION("""COMPUTED_VALUE"""),1660.0)</f>
        <v>1660</v>
      </c>
      <c r="C5" s="6">
        <f>IFERROR(__xludf.DUMMYFUNCTION("""COMPUTED_VALUE"""),1660.0)</f>
        <v>1660</v>
      </c>
      <c r="D5" s="6">
        <f>IFERROR(__xludf.DUMMYFUNCTION("""COMPUTED_VALUE"""),1536.2)</f>
        <v>1536.2</v>
      </c>
      <c r="E5" s="6">
        <f>IFERROR(__xludf.DUMMYFUNCTION("""COMPUTED_VALUE"""),1538.8)</f>
        <v>1538.8</v>
      </c>
      <c r="F5" s="6">
        <f>IFERROR(__xludf.DUMMYFUNCTION("""COMPUTED_VALUE"""),1976969.0)</f>
        <v>1976969</v>
      </c>
    </row>
    <row r="6">
      <c r="A6" s="7">
        <f>IFERROR(__xludf.DUMMYFUNCTION("""COMPUTED_VALUE"""),45198.64583333333)</f>
        <v>45198.64583</v>
      </c>
      <c r="B6" s="6">
        <f>IFERROR(__xludf.DUMMYFUNCTION("""COMPUTED_VALUE"""),1551.2)</f>
        <v>1551.2</v>
      </c>
      <c r="C6" s="6">
        <f>IFERROR(__xludf.DUMMYFUNCTION("""COMPUTED_VALUE"""),1615.4)</f>
        <v>1615.4</v>
      </c>
      <c r="D6" s="6">
        <f>IFERROR(__xludf.DUMMYFUNCTION("""COMPUTED_VALUE"""),1532.0)</f>
        <v>1532</v>
      </c>
      <c r="E6" s="6">
        <f>IFERROR(__xludf.DUMMYFUNCTION("""COMPUTED_VALUE"""),1554.1)</f>
        <v>1554.1</v>
      </c>
      <c r="F6" s="6">
        <f>IFERROR(__xludf.DUMMYFUNCTION("""COMPUTED_VALUE"""),3546494.0)</f>
        <v>3546494</v>
      </c>
    </row>
    <row r="7">
      <c r="A7" s="7">
        <f>IFERROR(__xludf.DUMMYFUNCTION("""COMPUTED_VALUE"""),45205.64583333333)</f>
        <v>45205.64583</v>
      </c>
      <c r="B7" s="6">
        <f>IFERROR(__xludf.DUMMYFUNCTION("""COMPUTED_VALUE"""),1556.0)</f>
        <v>1556</v>
      </c>
      <c r="C7" s="6">
        <f>IFERROR(__xludf.DUMMYFUNCTION("""COMPUTED_VALUE"""),1686.95)</f>
        <v>1686.95</v>
      </c>
      <c r="D7" s="6">
        <f>IFERROR(__xludf.DUMMYFUNCTION("""COMPUTED_VALUE"""),1532.85)</f>
        <v>1532.85</v>
      </c>
      <c r="E7" s="6">
        <f>IFERROR(__xludf.DUMMYFUNCTION("""COMPUTED_VALUE"""),1675.0)</f>
        <v>1675</v>
      </c>
      <c r="F7" s="6">
        <f>IFERROR(__xludf.DUMMYFUNCTION("""COMPUTED_VALUE"""),2525543.0)</f>
        <v>2525543</v>
      </c>
    </row>
    <row r="8">
      <c r="A8" s="7">
        <f>IFERROR(__xludf.DUMMYFUNCTION("""COMPUTED_VALUE"""),45212.64583333333)</f>
        <v>45212.64583</v>
      </c>
      <c r="B8" s="6">
        <f>IFERROR(__xludf.DUMMYFUNCTION("""COMPUTED_VALUE"""),1670.0)</f>
        <v>1670</v>
      </c>
      <c r="C8" s="6">
        <f>IFERROR(__xludf.DUMMYFUNCTION("""COMPUTED_VALUE"""),1757.9)</f>
        <v>1757.9</v>
      </c>
      <c r="D8" s="6">
        <f>IFERROR(__xludf.DUMMYFUNCTION("""COMPUTED_VALUE"""),1623.9)</f>
        <v>1623.9</v>
      </c>
      <c r="E8" s="6">
        <f>IFERROR(__xludf.DUMMYFUNCTION("""COMPUTED_VALUE"""),1688.2)</f>
        <v>1688.2</v>
      </c>
      <c r="F8" s="6">
        <f>IFERROR(__xludf.DUMMYFUNCTION("""COMPUTED_VALUE"""),5068438.0)</f>
        <v>5068438</v>
      </c>
    </row>
    <row r="9">
      <c r="A9" s="7">
        <f>IFERROR(__xludf.DUMMYFUNCTION("""COMPUTED_VALUE"""),45219.64583333333)</f>
        <v>45219.64583</v>
      </c>
      <c r="B9" s="6">
        <f>IFERROR(__xludf.DUMMYFUNCTION("""COMPUTED_VALUE"""),1689.0)</f>
        <v>1689</v>
      </c>
      <c r="C9" s="6">
        <f>IFERROR(__xludf.DUMMYFUNCTION("""COMPUTED_VALUE"""),1715.0)</f>
        <v>1715</v>
      </c>
      <c r="D9" s="6">
        <f>IFERROR(__xludf.DUMMYFUNCTION("""COMPUTED_VALUE"""),1641.0)</f>
        <v>1641</v>
      </c>
      <c r="E9" s="6">
        <f>IFERROR(__xludf.DUMMYFUNCTION("""COMPUTED_VALUE"""),1649.5)</f>
        <v>1649.5</v>
      </c>
      <c r="F9" s="6">
        <f>IFERROR(__xludf.DUMMYFUNCTION("""COMPUTED_VALUE"""),2250262.0)</f>
        <v>2250262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IFERROR(__xludf.DUMMYFUNCTION("""COMPUTED_VALUE"""),1649.0)</f>
        <v>1649</v>
      </c>
      <c r="C10" s="6">
        <f>IFERROR(__xludf.DUMMYFUNCTION("""COMPUTED_VALUE"""),1659.4)</f>
        <v>1659.4</v>
      </c>
      <c r="D10" s="6">
        <f>IFERROR(__xludf.DUMMYFUNCTION("""COMPUTED_VALUE"""),1548.8)</f>
        <v>1548.8</v>
      </c>
      <c r="E10" s="6">
        <f>IFERROR(__xludf.DUMMYFUNCTION("""COMPUTED_VALUE"""),1602.2)</f>
        <v>1602.2</v>
      </c>
      <c r="F10" s="6">
        <f>IFERROR(__xludf.DUMMYFUNCTION("""COMPUTED_VALUE"""),2582634.0)</f>
        <v>2582634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IFERROR(__xludf.DUMMYFUNCTION("""COMPUTED_VALUE"""),1604.1)</f>
        <v>1604.1</v>
      </c>
      <c r="C11" s="6">
        <f>IFERROR(__xludf.DUMMYFUNCTION("""COMPUTED_VALUE"""),1804.7)</f>
        <v>1804.7</v>
      </c>
      <c r="D11" s="6">
        <f>IFERROR(__xludf.DUMMYFUNCTION("""COMPUTED_VALUE"""),1595.95)</f>
        <v>1595.95</v>
      </c>
      <c r="E11" s="6">
        <f>IFERROR(__xludf.DUMMYFUNCTION("""COMPUTED_VALUE"""),1784.4)</f>
        <v>1784.4</v>
      </c>
      <c r="F11" s="6">
        <f>IFERROR(__xludf.DUMMYFUNCTION("""COMPUTED_VALUE"""),5702328.0)</f>
        <v>5702328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IFERROR(__xludf.DUMMYFUNCTION("""COMPUTED_VALUE"""),1819.0)</f>
        <v>1819</v>
      </c>
      <c r="C12" s="6">
        <f>IFERROR(__xludf.DUMMYFUNCTION("""COMPUTED_VALUE"""),1861.1)</f>
        <v>1861.1</v>
      </c>
      <c r="D12" s="6">
        <f>IFERROR(__xludf.DUMMYFUNCTION("""COMPUTED_VALUE"""),1754.6)</f>
        <v>1754.6</v>
      </c>
      <c r="E12" s="6">
        <f>IFERROR(__xludf.DUMMYFUNCTION("""COMPUTED_VALUE"""),1817.65)</f>
        <v>1817.65</v>
      </c>
      <c r="F12" s="6">
        <f>IFERROR(__xludf.DUMMYFUNCTION("""COMPUTED_VALUE"""),5852814.0)</f>
        <v>5852814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IFERROR(__xludf.DUMMYFUNCTION("""COMPUTED_VALUE"""),1829.95)</f>
        <v>1829.95</v>
      </c>
      <c r="C13" s="6">
        <f>IFERROR(__xludf.DUMMYFUNCTION("""COMPUTED_VALUE"""),1888.0)</f>
        <v>1888</v>
      </c>
      <c r="D13" s="6">
        <f>IFERROR(__xludf.DUMMYFUNCTION("""COMPUTED_VALUE"""),1801.05)</f>
        <v>1801.05</v>
      </c>
      <c r="E13" s="6">
        <f>IFERROR(__xludf.DUMMYFUNCTION("""COMPUTED_VALUE"""),1862.9)</f>
        <v>1862.9</v>
      </c>
      <c r="F13" s="6">
        <f>IFERROR(__xludf.DUMMYFUNCTION("""COMPUTED_VALUE"""),2668721.0)</f>
        <v>2668721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IFERROR(__xludf.DUMMYFUNCTION("""COMPUTED_VALUE"""),1862.9)</f>
        <v>1862.9</v>
      </c>
      <c r="C14" s="6">
        <f>IFERROR(__xludf.DUMMYFUNCTION("""COMPUTED_VALUE"""),1914.55)</f>
        <v>1914.55</v>
      </c>
      <c r="D14" s="6">
        <f>IFERROR(__xludf.DUMMYFUNCTION("""COMPUTED_VALUE"""),1832.2)</f>
        <v>1832.2</v>
      </c>
      <c r="E14" s="6">
        <f>IFERROR(__xludf.DUMMYFUNCTION("""COMPUTED_VALUE"""),1841.05)</f>
        <v>1841.05</v>
      </c>
      <c r="F14" s="6">
        <f>IFERROR(__xludf.DUMMYFUNCTION("""COMPUTED_VALUE"""),2723953.0)</f>
        <v>2723953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IFERROR(__xludf.DUMMYFUNCTION("""COMPUTED_VALUE"""),1841.05)</f>
        <v>1841.05</v>
      </c>
      <c r="C15" s="6">
        <f>IFERROR(__xludf.DUMMYFUNCTION("""COMPUTED_VALUE"""),1896.5)</f>
        <v>1896.5</v>
      </c>
      <c r="D15" s="6">
        <f>IFERROR(__xludf.DUMMYFUNCTION("""COMPUTED_VALUE"""),1823.15)</f>
        <v>1823.15</v>
      </c>
      <c r="E15" s="6">
        <f>IFERROR(__xludf.DUMMYFUNCTION("""COMPUTED_VALUE"""),1872.65)</f>
        <v>1872.65</v>
      </c>
      <c r="F15" s="6">
        <f>IFERROR(__xludf.DUMMYFUNCTION("""COMPUTED_VALUE"""),1992492.0)</f>
        <v>1992492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IFERROR(__xludf.DUMMYFUNCTION("""COMPUTED_VALUE"""),1901.0)</f>
        <v>1901</v>
      </c>
      <c r="C16" s="6">
        <f>IFERROR(__xludf.DUMMYFUNCTION("""COMPUTED_VALUE"""),1955.0)</f>
        <v>1955</v>
      </c>
      <c r="D16" s="6">
        <f>IFERROR(__xludf.DUMMYFUNCTION("""COMPUTED_VALUE"""),1865.1)</f>
        <v>1865.1</v>
      </c>
      <c r="E16" s="6">
        <f>IFERROR(__xludf.DUMMYFUNCTION("""COMPUTED_VALUE"""),1930.15)</f>
        <v>1930.15</v>
      </c>
      <c r="F16" s="6">
        <f>IFERROR(__xludf.DUMMYFUNCTION("""COMPUTED_VALUE"""),3084614.0)</f>
        <v>3084614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IFERROR(__xludf.DUMMYFUNCTION("""COMPUTED_VALUE"""),1931.2)</f>
        <v>1931.2</v>
      </c>
      <c r="C17" s="6">
        <f>IFERROR(__xludf.DUMMYFUNCTION("""COMPUTED_VALUE"""),2075.5)</f>
        <v>2075.5</v>
      </c>
      <c r="D17" s="6">
        <f>IFERROR(__xludf.DUMMYFUNCTION("""COMPUTED_VALUE"""),1887.0)</f>
        <v>1887</v>
      </c>
      <c r="E17" s="6">
        <f>IFERROR(__xludf.DUMMYFUNCTION("""COMPUTED_VALUE"""),2052.1)</f>
        <v>2052.1</v>
      </c>
      <c r="F17" s="6">
        <f>IFERROR(__xludf.DUMMYFUNCTION("""COMPUTED_VALUE"""),4284813.0)</f>
        <v>4284813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IFERROR(__xludf.DUMMYFUNCTION("""COMPUTED_VALUE"""),2052.0)</f>
        <v>2052</v>
      </c>
      <c r="C18" s="6">
        <f>IFERROR(__xludf.DUMMYFUNCTION("""COMPUTED_VALUE"""),2052.05)</f>
        <v>2052.05</v>
      </c>
      <c r="D18" s="6">
        <f>IFERROR(__xludf.DUMMYFUNCTION("""COMPUTED_VALUE"""),1864.2)</f>
        <v>1864.2</v>
      </c>
      <c r="E18" s="6">
        <f>IFERROR(__xludf.DUMMYFUNCTION("""COMPUTED_VALUE"""),1971.7)</f>
        <v>1971.7</v>
      </c>
      <c r="F18" s="6">
        <f>IFERROR(__xludf.DUMMYFUNCTION("""COMPUTED_VALUE"""),4014952.0)</f>
        <v>4014952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IFERROR(__xludf.DUMMYFUNCTION("""COMPUTED_VALUE"""),1987.3)</f>
        <v>1987.3</v>
      </c>
      <c r="C19" s="6">
        <f>IFERROR(__xludf.DUMMYFUNCTION("""COMPUTED_VALUE"""),2034.0)</f>
        <v>2034</v>
      </c>
      <c r="D19" s="6">
        <f>IFERROR(__xludf.DUMMYFUNCTION("""COMPUTED_VALUE"""),1976.25)</f>
        <v>1976.25</v>
      </c>
      <c r="E19" s="6">
        <f>IFERROR(__xludf.DUMMYFUNCTION("""COMPUTED_VALUE"""),2013.35)</f>
        <v>2013.35</v>
      </c>
      <c r="F19" s="6">
        <f>IFERROR(__xludf.DUMMYFUNCTION("""COMPUTED_VALUE"""),2145219.0)</f>
        <v>2145219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IFERROR(__xludf.DUMMYFUNCTION("""COMPUTED_VALUE"""),2015.0)</f>
        <v>2015</v>
      </c>
      <c r="C20" s="6">
        <f>IFERROR(__xludf.DUMMYFUNCTION("""COMPUTED_VALUE"""),2252.9)</f>
        <v>2252.9</v>
      </c>
      <c r="D20" s="6">
        <f>IFERROR(__xludf.DUMMYFUNCTION("""COMPUTED_VALUE"""),1982.5)</f>
        <v>1982.5</v>
      </c>
      <c r="E20" s="6">
        <f>IFERROR(__xludf.DUMMYFUNCTION("""COMPUTED_VALUE"""),2244.3)</f>
        <v>2244.3</v>
      </c>
      <c r="F20" s="6">
        <f>IFERROR(__xludf.DUMMYFUNCTION("""COMPUTED_VALUE"""),5852974.0)</f>
        <v>5852974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IFERROR(__xludf.DUMMYFUNCTION("""COMPUTED_VALUE"""),2225.0)</f>
        <v>2225</v>
      </c>
      <c r="C21" s="6">
        <f>IFERROR(__xludf.DUMMYFUNCTION("""COMPUTED_VALUE"""),2285.0)</f>
        <v>2285</v>
      </c>
      <c r="D21" s="6">
        <f>IFERROR(__xludf.DUMMYFUNCTION("""COMPUTED_VALUE"""),2152.95)</f>
        <v>2152.95</v>
      </c>
      <c r="E21" s="6">
        <f>IFERROR(__xludf.DUMMYFUNCTION("""COMPUTED_VALUE"""),2273.8)</f>
        <v>2273.8</v>
      </c>
      <c r="F21" s="6">
        <f>IFERROR(__xludf.DUMMYFUNCTION("""COMPUTED_VALUE"""),4128148.0)</f>
        <v>4128148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IFERROR(__xludf.DUMMYFUNCTION("""COMPUTED_VALUE"""),2324.95)</f>
        <v>2324.95</v>
      </c>
      <c r="C22" s="6">
        <f>IFERROR(__xludf.DUMMYFUNCTION("""COMPUTED_VALUE"""),2334.9)</f>
        <v>2334.9</v>
      </c>
      <c r="D22" s="6">
        <f>IFERROR(__xludf.DUMMYFUNCTION("""COMPUTED_VALUE"""),2223.35)</f>
        <v>2223.35</v>
      </c>
      <c r="E22" s="6">
        <f>IFERROR(__xludf.DUMMYFUNCTION("""COMPUTED_VALUE"""),2326.9)</f>
        <v>2326.9</v>
      </c>
      <c r="F22" s="6">
        <f>IFERROR(__xludf.DUMMYFUNCTION("""COMPUTED_VALUE"""),4314947.0)</f>
        <v>4314947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IFERROR(__xludf.DUMMYFUNCTION("""COMPUTED_VALUE"""),2335.1)</f>
        <v>2335.1</v>
      </c>
      <c r="C23" s="6">
        <f>IFERROR(__xludf.DUMMYFUNCTION("""COMPUTED_VALUE"""),2453.7)</f>
        <v>2453.7</v>
      </c>
      <c r="D23" s="6">
        <f>IFERROR(__xludf.DUMMYFUNCTION("""COMPUTED_VALUE"""),2330.05)</f>
        <v>2330.05</v>
      </c>
      <c r="E23" s="6">
        <f>IFERROR(__xludf.DUMMYFUNCTION("""COMPUTED_VALUE"""),2375.55)</f>
        <v>2375.55</v>
      </c>
      <c r="F23" s="6">
        <f>IFERROR(__xludf.DUMMYFUNCTION("""COMPUTED_VALUE"""),3560236.0)</f>
        <v>3560236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IFERROR(__xludf.DUMMYFUNCTION("""COMPUTED_VALUE"""),2375.75)</f>
        <v>2375.75</v>
      </c>
      <c r="C24" s="6">
        <f>IFERROR(__xludf.DUMMYFUNCTION("""COMPUTED_VALUE"""),2390.55)</f>
        <v>2390.55</v>
      </c>
      <c r="D24" s="6">
        <f>IFERROR(__xludf.DUMMYFUNCTION("""COMPUTED_VALUE"""),2175.35)</f>
        <v>2175.35</v>
      </c>
      <c r="E24" s="6">
        <f>IFERROR(__xludf.DUMMYFUNCTION("""COMPUTED_VALUE"""),2256.8)</f>
        <v>2256.8</v>
      </c>
      <c r="F24" s="6">
        <f>IFERROR(__xludf.DUMMYFUNCTION("""COMPUTED_VALUE"""),4336004.0)</f>
        <v>4336004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IFERROR(__xludf.DUMMYFUNCTION("""COMPUTED_VALUE"""),2275.0)</f>
        <v>2275</v>
      </c>
      <c r="C25" s="6">
        <f>IFERROR(__xludf.DUMMYFUNCTION("""COMPUTED_VALUE"""),2356.7)</f>
        <v>2356.7</v>
      </c>
      <c r="D25" s="6">
        <f>IFERROR(__xludf.DUMMYFUNCTION("""COMPUTED_VALUE"""),2217.45)</f>
        <v>2217.45</v>
      </c>
      <c r="E25" s="6">
        <f>IFERROR(__xludf.DUMMYFUNCTION("""COMPUTED_VALUE"""),2302.9)</f>
        <v>2302.9</v>
      </c>
      <c r="F25" s="6">
        <f>IFERROR(__xludf.DUMMYFUNCTION("""COMPUTED_VALUE"""),2385389.0)</f>
        <v>2385389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IFERROR(__xludf.DUMMYFUNCTION("""COMPUTED_VALUE"""),2302.9)</f>
        <v>2302.9</v>
      </c>
      <c r="C26" s="6">
        <f>IFERROR(__xludf.DUMMYFUNCTION("""COMPUTED_VALUE"""),2483.6)</f>
        <v>2483.6</v>
      </c>
      <c r="D26" s="6">
        <f>IFERROR(__xludf.DUMMYFUNCTION("""COMPUTED_VALUE"""),2269.05)</f>
        <v>2269.05</v>
      </c>
      <c r="E26" s="6">
        <f>IFERROR(__xludf.DUMMYFUNCTION("""COMPUTED_VALUE"""),2468.85)</f>
        <v>2468.85</v>
      </c>
      <c r="F26" s="6">
        <f>IFERROR(__xludf.DUMMYFUNCTION("""COMPUTED_VALUE"""),3112454.0)</f>
        <v>3112454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IFERROR(__xludf.DUMMYFUNCTION("""COMPUTED_VALUE"""),2484.0)</f>
        <v>2484</v>
      </c>
      <c r="C27" s="6">
        <f>IFERROR(__xludf.DUMMYFUNCTION("""COMPUTED_VALUE"""),2541.3)</f>
        <v>2541.3</v>
      </c>
      <c r="D27" s="6">
        <f>IFERROR(__xludf.DUMMYFUNCTION("""COMPUTED_VALUE"""),2403.1)</f>
        <v>2403.1</v>
      </c>
      <c r="E27" s="6">
        <f>IFERROR(__xludf.DUMMYFUNCTION("""COMPUTED_VALUE"""),2465.45)</f>
        <v>2465.45</v>
      </c>
      <c r="F27" s="6">
        <f>IFERROR(__xludf.DUMMYFUNCTION("""COMPUTED_VALUE"""),2747051.0)</f>
        <v>2747051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IFERROR(__xludf.DUMMYFUNCTION("""COMPUTED_VALUE"""),2470.15)</f>
        <v>2470.15</v>
      </c>
      <c r="C28" s="6">
        <f>IFERROR(__xludf.DUMMYFUNCTION("""COMPUTED_VALUE"""),2497.0)</f>
        <v>2497</v>
      </c>
      <c r="D28" s="6">
        <f>IFERROR(__xludf.DUMMYFUNCTION("""COMPUTED_VALUE"""),2126.15)</f>
        <v>2126.15</v>
      </c>
      <c r="E28" s="6">
        <f>IFERROR(__xludf.DUMMYFUNCTION("""COMPUTED_VALUE"""),2218.25)</f>
        <v>2218.25</v>
      </c>
      <c r="F28" s="6">
        <f>IFERROR(__xludf.DUMMYFUNCTION("""COMPUTED_VALUE"""),4143662.0)</f>
        <v>4143662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IFERROR(__xludf.DUMMYFUNCTION("""COMPUTED_VALUE"""),2220.0)</f>
        <v>2220</v>
      </c>
      <c r="C29" s="6">
        <f>IFERROR(__xludf.DUMMYFUNCTION("""COMPUTED_VALUE"""),2256.55)</f>
        <v>2256.55</v>
      </c>
      <c r="D29" s="6">
        <f>IFERROR(__xludf.DUMMYFUNCTION("""COMPUTED_VALUE"""),2097.05)</f>
        <v>2097.05</v>
      </c>
      <c r="E29" s="6">
        <f>IFERROR(__xludf.DUMMYFUNCTION("""COMPUTED_VALUE"""),2246.45)</f>
        <v>2246.45</v>
      </c>
      <c r="F29" s="6">
        <f>IFERROR(__xludf.DUMMYFUNCTION("""COMPUTED_VALUE"""),2990610.0)</f>
        <v>2990610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IFERROR(__xludf.DUMMYFUNCTION("""COMPUTED_VALUE"""),2201.6)</f>
        <v>2201.6</v>
      </c>
      <c r="C30" s="6">
        <f>IFERROR(__xludf.DUMMYFUNCTION("""COMPUTED_VALUE"""),2315.0)</f>
        <v>2315</v>
      </c>
      <c r="D30" s="6">
        <f>IFERROR(__xludf.DUMMYFUNCTION("""COMPUTED_VALUE"""),2201.6)</f>
        <v>2201.6</v>
      </c>
      <c r="E30" s="6">
        <f>IFERROR(__xludf.DUMMYFUNCTION("""COMPUTED_VALUE"""),2300.1)</f>
        <v>2300.1</v>
      </c>
      <c r="F30" s="6">
        <f>IFERROR(__xludf.DUMMYFUNCTION("""COMPUTED_VALUE"""),1072982.0)</f>
        <v>1072982</v>
      </c>
    </row>
    <row r="31">
      <c r="A31" s="7">
        <f>IFERROR(__xludf.DUMMYFUNCTION("""COMPUTED_VALUE"""),45387.64583333333)</f>
        <v>45387.64583</v>
      </c>
      <c r="B31" s="6">
        <f>IFERROR(__xludf.DUMMYFUNCTION("""COMPUTED_VALUE"""),2299.95)</f>
        <v>2299.95</v>
      </c>
      <c r="C31" s="6">
        <f>IFERROR(__xludf.DUMMYFUNCTION("""COMPUTED_VALUE"""),2515.0)</f>
        <v>2515</v>
      </c>
      <c r="D31" s="6">
        <f>IFERROR(__xludf.DUMMYFUNCTION("""COMPUTED_VALUE"""),2288.0)</f>
        <v>2288</v>
      </c>
      <c r="E31" s="6">
        <f>IFERROR(__xludf.DUMMYFUNCTION("""COMPUTED_VALUE"""),2500.35)</f>
        <v>2500.35</v>
      </c>
      <c r="F31" s="6">
        <f>IFERROR(__xludf.DUMMYFUNCTION("""COMPUTED_VALUE"""),4288878.0)</f>
        <v>4288878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IFERROR(__xludf.DUMMYFUNCTION("""COMPUTED_VALUE"""),2552.0)</f>
        <v>2552</v>
      </c>
      <c r="C32" s="6">
        <f>IFERROR(__xludf.DUMMYFUNCTION("""COMPUTED_VALUE"""),2791.8)</f>
        <v>2791.8</v>
      </c>
      <c r="D32" s="6">
        <f>IFERROR(__xludf.DUMMYFUNCTION("""COMPUTED_VALUE"""),2526.05)</f>
        <v>2526.05</v>
      </c>
      <c r="E32" s="6">
        <f>IFERROR(__xludf.DUMMYFUNCTION("""COMPUTED_VALUE"""),2671.5)</f>
        <v>2671.5</v>
      </c>
      <c r="F32" s="6">
        <f>IFERROR(__xludf.DUMMYFUNCTION("""COMPUTED_VALUE"""),8479511.0)</f>
        <v>8479511</v>
      </c>
    </row>
    <row r="33">
      <c r="A33" s="7">
        <f>IFERROR(__xludf.DUMMYFUNCTION("""COMPUTED_VALUE"""),45401.64583333333)</f>
        <v>45401.64583</v>
      </c>
      <c r="B33" s="6">
        <f>IFERROR(__xludf.DUMMYFUNCTION("""COMPUTED_VALUE"""),2636.0)</f>
        <v>2636</v>
      </c>
      <c r="C33" s="6">
        <f>IFERROR(__xludf.DUMMYFUNCTION("""COMPUTED_VALUE"""),2668.0)</f>
        <v>2668</v>
      </c>
      <c r="D33" s="6">
        <f>IFERROR(__xludf.DUMMYFUNCTION("""COMPUTED_VALUE"""),2477.0)</f>
        <v>2477</v>
      </c>
      <c r="E33" s="6">
        <f>IFERROR(__xludf.DUMMYFUNCTION("""COMPUTED_VALUE"""),2500.9)</f>
        <v>2500.9</v>
      </c>
      <c r="F33" s="6">
        <f>IFERROR(__xludf.DUMMYFUNCTION("""COMPUTED_VALUE"""),2029147.0)</f>
        <v>2029147</v>
      </c>
    </row>
    <row r="34">
      <c r="A34" s="7">
        <f>IFERROR(__xludf.DUMMYFUNCTION("""COMPUTED_VALUE"""),45408.64583333333)</f>
        <v>45408.64583</v>
      </c>
      <c r="B34" s="6">
        <f>IFERROR(__xludf.DUMMYFUNCTION("""COMPUTED_VALUE"""),2525.0)</f>
        <v>2525</v>
      </c>
      <c r="C34" s="6">
        <f>IFERROR(__xludf.DUMMYFUNCTION("""COMPUTED_VALUE"""),2644.35)</f>
        <v>2644.35</v>
      </c>
      <c r="D34" s="6">
        <f>IFERROR(__xludf.DUMMYFUNCTION("""COMPUTED_VALUE"""),2492.6)</f>
        <v>2492.6</v>
      </c>
      <c r="E34" s="6">
        <f>IFERROR(__xludf.DUMMYFUNCTION("""COMPUTED_VALUE"""),2634.8)</f>
        <v>2634.8</v>
      </c>
      <c r="F34" s="6">
        <f>IFERROR(__xludf.DUMMYFUNCTION("""COMPUTED_VALUE"""),2592971.0)</f>
        <v>2592971</v>
      </c>
    </row>
    <row r="35">
      <c r="A35" s="7">
        <f>IFERROR(__xludf.DUMMYFUNCTION("""COMPUTED_VALUE"""),45415.64583333333)</f>
        <v>45415.64583</v>
      </c>
      <c r="B35" s="6">
        <f>IFERROR(__xludf.DUMMYFUNCTION("""COMPUTED_VALUE"""),2650.0)</f>
        <v>2650</v>
      </c>
      <c r="C35" s="6">
        <f>IFERROR(__xludf.DUMMYFUNCTION("""COMPUTED_VALUE"""),2680.1)</f>
        <v>2680.1</v>
      </c>
      <c r="D35" s="6">
        <f>IFERROR(__xludf.DUMMYFUNCTION("""COMPUTED_VALUE"""),2479.35)</f>
        <v>2479.35</v>
      </c>
      <c r="E35" s="6">
        <f>IFERROR(__xludf.DUMMYFUNCTION("""COMPUTED_VALUE"""),2569.7)</f>
        <v>2569.7</v>
      </c>
      <c r="F35" s="6">
        <f>IFERROR(__xludf.DUMMYFUNCTION("""COMPUTED_VALUE"""),5164062.0)</f>
        <v>5164062</v>
      </c>
    </row>
    <row r="36">
      <c r="A36" s="7">
        <f>IFERROR(__xludf.DUMMYFUNCTION("""COMPUTED_VALUE"""),45422.64583333333)</f>
        <v>45422.64583</v>
      </c>
      <c r="B36" s="6">
        <f>IFERROR(__xludf.DUMMYFUNCTION("""COMPUTED_VALUE"""),2680.0)</f>
        <v>2680</v>
      </c>
      <c r="C36" s="6">
        <f>IFERROR(__xludf.DUMMYFUNCTION("""COMPUTED_VALUE"""),2912.45)</f>
        <v>2912.45</v>
      </c>
      <c r="D36" s="6">
        <f>IFERROR(__xludf.DUMMYFUNCTION("""COMPUTED_VALUE"""),2645.05)</f>
        <v>2645.05</v>
      </c>
      <c r="E36" s="6">
        <f>IFERROR(__xludf.DUMMYFUNCTION("""COMPUTED_VALUE"""),2690.95)</f>
        <v>2690.95</v>
      </c>
      <c r="F36" s="6">
        <f>IFERROR(__xludf.DUMMYFUNCTION("""COMPUTED_VALUE"""),1.0368559E7)</f>
        <v>10368559</v>
      </c>
    </row>
    <row r="37">
      <c r="A37" s="7">
        <f>IFERROR(__xludf.DUMMYFUNCTION("""COMPUTED_VALUE"""),45436.64583333333)</f>
        <v>45436.64583</v>
      </c>
      <c r="B37" s="6">
        <f>IFERROR(__xludf.DUMMYFUNCTION("""COMPUTED_VALUE"""),2863.9)</f>
        <v>2863.9</v>
      </c>
      <c r="C37" s="6">
        <f>IFERROR(__xludf.DUMMYFUNCTION("""COMPUTED_VALUE"""),2868.95)</f>
        <v>2868.95</v>
      </c>
      <c r="D37" s="6">
        <f>IFERROR(__xludf.DUMMYFUNCTION("""COMPUTED_VALUE"""),2658.05)</f>
        <v>2658.05</v>
      </c>
      <c r="E37" s="6">
        <f>IFERROR(__xludf.DUMMYFUNCTION("""COMPUTED_VALUE"""),2737.0)</f>
        <v>2737</v>
      </c>
      <c r="F37" s="6">
        <f>IFERROR(__xludf.DUMMYFUNCTION("""COMPUTED_VALUE"""),2948687.0)</f>
        <v>2948687</v>
      </c>
    </row>
    <row r="38">
      <c r="A38" s="7">
        <f>IFERROR(__xludf.DUMMYFUNCTION("""COMPUTED_VALUE"""),45443.64583333333)</f>
        <v>45443.64583</v>
      </c>
      <c r="B38" s="6">
        <f>IFERROR(__xludf.DUMMYFUNCTION("""COMPUTED_VALUE"""),2750.0)</f>
        <v>2750</v>
      </c>
      <c r="C38" s="6">
        <f>IFERROR(__xludf.DUMMYFUNCTION("""COMPUTED_VALUE"""),2889.0)</f>
        <v>2889</v>
      </c>
      <c r="D38" s="6">
        <f>IFERROR(__xludf.DUMMYFUNCTION("""COMPUTED_VALUE"""),2707.95)</f>
        <v>2707.95</v>
      </c>
      <c r="E38" s="6">
        <f>IFERROR(__xludf.DUMMYFUNCTION("""COMPUTED_VALUE"""),2778.7)</f>
        <v>2778.7</v>
      </c>
      <c r="F38" s="6">
        <f>IFERROR(__xludf.DUMMYFUNCTION("""COMPUTED_VALUE"""),3557176.0)</f>
        <v>3557176</v>
      </c>
    </row>
    <row r="39">
      <c r="A39" s="7">
        <f>IFERROR(__xludf.DUMMYFUNCTION("""COMPUTED_VALUE"""),45450.64583333333)</f>
        <v>45450.64583</v>
      </c>
      <c r="B39" s="6">
        <f>IFERROR(__xludf.DUMMYFUNCTION("""COMPUTED_VALUE"""),2855.0)</f>
        <v>2855</v>
      </c>
      <c r="C39" s="6">
        <f>IFERROR(__xludf.DUMMYFUNCTION("""COMPUTED_VALUE"""),3007.2)</f>
        <v>3007.2</v>
      </c>
      <c r="D39" s="6">
        <f>IFERROR(__xludf.DUMMYFUNCTION("""COMPUTED_VALUE"""),2492.1)</f>
        <v>2492.1</v>
      </c>
      <c r="E39" s="6">
        <f>IFERROR(__xludf.DUMMYFUNCTION("""COMPUTED_VALUE"""),2873.55)</f>
        <v>2873.55</v>
      </c>
      <c r="F39" s="6">
        <f>IFERROR(__xludf.DUMMYFUNCTION("""COMPUTED_VALUE"""),5967182.0)</f>
        <v>5967182</v>
      </c>
    </row>
    <row r="40">
      <c r="A40" s="7">
        <f>IFERROR(__xludf.DUMMYFUNCTION("""COMPUTED_VALUE"""),45457.64583333333)</f>
        <v>45457.64583</v>
      </c>
      <c r="B40" s="6">
        <f>IFERROR(__xludf.DUMMYFUNCTION("""COMPUTED_VALUE"""),2900.0)</f>
        <v>2900</v>
      </c>
      <c r="C40" s="6">
        <f>IFERROR(__xludf.DUMMYFUNCTION("""COMPUTED_VALUE"""),3057.85)</f>
        <v>3057.85</v>
      </c>
      <c r="D40" s="6">
        <f>IFERROR(__xludf.DUMMYFUNCTION("""COMPUTED_VALUE"""),2812.0)</f>
        <v>2812</v>
      </c>
      <c r="E40" s="6">
        <f>IFERROR(__xludf.DUMMYFUNCTION("""COMPUTED_VALUE"""),2998.5)</f>
        <v>2998.5</v>
      </c>
      <c r="F40" s="6">
        <f>IFERROR(__xludf.DUMMYFUNCTION("""COMPUTED_VALUE"""),4097143.0)</f>
        <v>4097143</v>
      </c>
    </row>
    <row r="41">
      <c r="A41" s="7">
        <f>IFERROR(__xludf.DUMMYFUNCTION("""COMPUTED_VALUE"""),45464.64583333333)</f>
        <v>45464.64583</v>
      </c>
      <c r="B41" s="6">
        <f>IFERROR(__xludf.DUMMYFUNCTION("""COMPUTED_VALUE"""),3006.3)</f>
        <v>3006.3</v>
      </c>
      <c r="C41" s="6">
        <f>IFERROR(__xludf.DUMMYFUNCTION("""COMPUTED_VALUE"""),3098.0)</f>
        <v>3098</v>
      </c>
      <c r="D41" s="6">
        <f>IFERROR(__xludf.DUMMYFUNCTION("""COMPUTED_VALUE"""),2982.05)</f>
        <v>2982.05</v>
      </c>
      <c r="E41" s="6">
        <f>IFERROR(__xludf.DUMMYFUNCTION("""COMPUTED_VALUE"""),3007.3)</f>
        <v>3007.3</v>
      </c>
      <c r="F41" s="6">
        <f>IFERROR(__xludf.DUMMYFUNCTION("""COMPUTED_VALUE"""),2005185.0)</f>
        <v>2005185</v>
      </c>
    </row>
    <row r="42">
      <c r="A42" s="7">
        <f>IFERROR(__xludf.DUMMYFUNCTION("""COMPUTED_VALUE"""),45471.64583333333)</f>
        <v>45471.64583</v>
      </c>
      <c r="B42" s="6">
        <f>IFERROR(__xludf.DUMMYFUNCTION("""COMPUTED_VALUE"""),2972.15)</f>
        <v>2972.15</v>
      </c>
      <c r="C42" s="6">
        <f>IFERROR(__xludf.DUMMYFUNCTION("""COMPUTED_VALUE"""),3220.0)</f>
        <v>3220</v>
      </c>
      <c r="D42" s="6">
        <f>IFERROR(__xludf.DUMMYFUNCTION("""COMPUTED_VALUE"""),2956.5)</f>
        <v>2956.5</v>
      </c>
      <c r="E42" s="6">
        <f>IFERROR(__xludf.DUMMYFUNCTION("""COMPUTED_VALUE"""),3207.9)</f>
        <v>3207.9</v>
      </c>
      <c r="F42" s="6">
        <f>IFERROR(__xludf.DUMMYFUNCTION("""COMPUTED_VALUE"""),3891173.0)</f>
        <v>3891173</v>
      </c>
    </row>
    <row r="43">
      <c r="A43" s="7">
        <f>IFERROR(__xludf.DUMMYFUNCTION("""COMPUTED_VALUE"""),45478.64583333333)</f>
        <v>45478.64583</v>
      </c>
      <c r="B43" s="6">
        <f>IFERROR(__xludf.DUMMYFUNCTION("""COMPUTED_VALUE"""),3290.0)</f>
        <v>3290</v>
      </c>
      <c r="C43" s="6">
        <f>IFERROR(__xludf.DUMMYFUNCTION("""COMPUTED_VALUE"""),3358.05)</f>
        <v>3358.05</v>
      </c>
      <c r="D43" s="6">
        <f>IFERROR(__xludf.DUMMYFUNCTION("""COMPUTED_VALUE"""),3154.05)</f>
        <v>3154.05</v>
      </c>
      <c r="E43" s="6">
        <f>IFERROR(__xludf.DUMMYFUNCTION("""COMPUTED_VALUE"""),3281.7)</f>
        <v>3281.7</v>
      </c>
      <c r="F43" s="6">
        <f>IFERROR(__xludf.DUMMYFUNCTION("""COMPUTED_VALUE"""),4634354.0)</f>
        <v>4634354</v>
      </c>
    </row>
    <row r="44">
      <c r="A44" s="7">
        <f>IFERROR(__xludf.DUMMYFUNCTION("""COMPUTED_VALUE"""),45485.64583333333)</f>
        <v>45485.64583</v>
      </c>
      <c r="B44" s="6">
        <f>IFERROR(__xludf.DUMMYFUNCTION("""COMPUTED_VALUE"""),3298.0)</f>
        <v>3298</v>
      </c>
      <c r="C44" s="6">
        <f>IFERROR(__xludf.DUMMYFUNCTION("""COMPUTED_VALUE"""),3332.0)</f>
        <v>3332</v>
      </c>
      <c r="D44" s="6">
        <f>IFERROR(__xludf.DUMMYFUNCTION("""COMPUTED_VALUE"""),3220.0)</f>
        <v>3220</v>
      </c>
      <c r="E44" s="6">
        <f>IFERROR(__xludf.DUMMYFUNCTION("""COMPUTED_VALUE"""),3262.0)</f>
        <v>3262</v>
      </c>
      <c r="F44" s="6">
        <f>IFERROR(__xludf.DUMMYFUNCTION("""COMPUTED_VALUE"""),2234918.0)</f>
        <v>2234918</v>
      </c>
    </row>
    <row r="45">
      <c r="A45" s="7">
        <f>IFERROR(__xludf.DUMMYFUNCTION("""COMPUTED_VALUE"""),45492.64583333333)</f>
        <v>45492.64583</v>
      </c>
      <c r="B45" s="6">
        <f>IFERROR(__xludf.DUMMYFUNCTION("""COMPUTED_VALUE"""),3279.0)</f>
        <v>3279</v>
      </c>
      <c r="C45" s="6">
        <f>IFERROR(__xludf.DUMMYFUNCTION("""COMPUTED_VALUE"""),3402.7)</f>
        <v>3402.7</v>
      </c>
      <c r="D45" s="6">
        <f>IFERROR(__xludf.DUMMYFUNCTION("""COMPUTED_VALUE"""),3202.05)</f>
        <v>3202.05</v>
      </c>
      <c r="E45" s="6">
        <f>IFERROR(__xludf.DUMMYFUNCTION("""COMPUTED_VALUE"""),3245.75)</f>
        <v>3245.75</v>
      </c>
      <c r="F45" s="6">
        <f>IFERROR(__xludf.DUMMYFUNCTION("""COMPUTED_VALUE"""),2155201.0)</f>
        <v>2155201</v>
      </c>
    </row>
    <row r="46">
      <c r="A46" s="7">
        <f>IFERROR(__xludf.DUMMYFUNCTION("""COMPUTED_VALUE"""),45499.64583333333)</f>
        <v>45499.64583</v>
      </c>
      <c r="B46" s="6">
        <f>IFERROR(__xludf.DUMMYFUNCTION("""COMPUTED_VALUE"""),3240.0)</f>
        <v>3240</v>
      </c>
      <c r="C46" s="6">
        <f>IFERROR(__xludf.DUMMYFUNCTION("""COMPUTED_VALUE"""),3319.9)</f>
        <v>3319.9</v>
      </c>
      <c r="D46" s="6">
        <f>IFERROR(__xludf.DUMMYFUNCTION("""COMPUTED_VALUE"""),3063.25)</f>
        <v>3063.25</v>
      </c>
      <c r="E46" s="6">
        <f>IFERROR(__xludf.DUMMYFUNCTION("""COMPUTED_VALUE"""),3128.7)</f>
        <v>3128.7</v>
      </c>
      <c r="F46" s="6">
        <f>IFERROR(__xludf.DUMMYFUNCTION("""COMPUTED_VALUE"""),4416913.0)</f>
        <v>4416913</v>
      </c>
    </row>
    <row r="47">
      <c r="A47" s="7">
        <f>IFERROR(__xludf.DUMMYFUNCTION("""COMPUTED_VALUE"""),45506.64583333333)</f>
        <v>45506.64583</v>
      </c>
      <c r="B47" s="6">
        <f>IFERROR(__xludf.DUMMYFUNCTION("""COMPUTED_VALUE"""),3150.0)</f>
        <v>3150</v>
      </c>
      <c r="C47" s="6">
        <f>IFERROR(__xludf.DUMMYFUNCTION("""COMPUTED_VALUE"""),3298.5)</f>
        <v>3298.5</v>
      </c>
      <c r="D47" s="6">
        <f>IFERROR(__xludf.DUMMYFUNCTION("""COMPUTED_VALUE"""),2988.0)</f>
        <v>2988</v>
      </c>
      <c r="E47" s="6">
        <f>IFERROR(__xludf.DUMMYFUNCTION("""COMPUTED_VALUE"""),3001.55)</f>
        <v>3001.55</v>
      </c>
      <c r="F47" s="6">
        <f>IFERROR(__xludf.DUMMYFUNCTION("""COMPUTED_VALUE"""),8958311.0)</f>
        <v>8958311</v>
      </c>
    </row>
    <row r="48">
      <c r="A48" s="7">
        <f>IFERROR(__xludf.DUMMYFUNCTION("""COMPUTED_VALUE"""),45513.64583333333)</f>
        <v>45513.64583</v>
      </c>
      <c r="B48" s="6">
        <f>IFERROR(__xludf.DUMMYFUNCTION("""COMPUTED_VALUE"""),2925.0)</f>
        <v>2925</v>
      </c>
      <c r="C48" s="6">
        <f>IFERROR(__xludf.DUMMYFUNCTION("""COMPUTED_VALUE"""),3055.1)</f>
        <v>3055.1</v>
      </c>
      <c r="D48" s="6">
        <f>IFERROR(__xludf.DUMMYFUNCTION("""COMPUTED_VALUE"""),2792.55)</f>
        <v>2792.55</v>
      </c>
      <c r="E48" s="6">
        <f>IFERROR(__xludf.DUMMYFUNCTION("""COMPUTED_VALUE"""),2925.7)</f>
        <v>2925.7</v>
      </c>
      <c r="F48" s="6">
        <f>IFERROR(__xludf.DUMMYFUNCTION("""COMPUTED_VALUE"""),6091261.0)</f>
        <v>6091261</v>
      </c>
    </row>
    <row r="49">
      <c r="A49" s="7">
        <f>IFERROR(__xludf.DUMMYFUNCTION("""COMPUTED_VALUE"""),45520.64583333333)</f>
        <v>45520.64583</v>
      </c>
      <c r="B49" s="6">
        <f>IFERROR(__xludf.DUMMYFUNCTION("""COMPUTED_VALUE"""),2927.0)</f>
        <v>2927</v>
      </c>
      <c r="C49" s="6">
        <f>IFERROR(__xludf.DUMMYFUNCTION("""COMPUTED_VALUE"""),2965.5)</f>
        <v>2965.5</v>
      </c>
      <c r="D49" s="6">
        <f>IFERROR(__xludf.DUMMYFUNCTION("""COMPUTED_VALUE"""),2858.0)</f>
        <v>2858</v>
      </c>
      <c r="E49" s="6">
        <f>IFERROR(__xludf.DUMMYFUNCTION("""COMPUTED_VALUE"""),2940.25)</f>
        <v>2940.25</v>
      </c>
      <c r="F49" s="6">
        <f>IFERROR(__xludf.DUMMYFUNCTION("""COMPUTED_VALUE"""),2147265.0)</f>
        <v>2147265</v>
      </c>
    </row>
    <row r="50">
      <c r="A50" s="7">
        <f>IFERROR(__xludf.DUMMYFUNCTION("""COMPUTED_VALUE"""),45527.64583333333)</f>
        <v>45527.64583</v>
      </c>
      <c r="B50" s="6">
        <f>IFERROR(__xludf.DUMMYFUNCTION("""COMPUTED_VALUE"""),2959.4)</f>
        <v>2959.4</v>
      </c>
      <c r="C50" s="6">
        <f>IFERROR(__xludf.DUMMYFUNCTION("""COMPUTED_VALUE"""),2997.95)</f>
        <v>2997.95</v>
      </c>
      <c r="D50" s="6">
        <f>IFERROR(__xludf.DUMMYFUNCTION("""COMPUTED_VALUE"""),2870.5)</f>
        <v>2870.5</v>
      </c>
      <c r="E50" s="6">
        <f>IFERROR(__xludf.DUMMYFUNCTION("""COMPUTED_VALUE"""),2883.65)</f>
        <v>2883.65</v>
      </c>
      <c r="F50" s="6">
        <f>IFERROR(__xludf.DUMMYFUNCTION("""COMPUTED_VALUE"""),2716170.0)</f>
        <v>2716170</v>
      </c>
    </row>
    <row r="51">
      <c r="A51" s="7">
        <f>IFERROR(__xludf.DUMMYFUNCTION("""COMPUTED_VALUE"""),45534.64583333333)</f>
        <v>45534.64583</v>
      </c>
      <c r="B51" s="6">
        <f>IFERROR(__xludf.DUMMYFUNCTION("""COMPUTED_VALUE"""),2890.0)</f>
        <v>2890</v>
      </c>
      <c r="C51" s="6">
        <f>IFERROR(__xludf.DUMMYFUNCTION("""COMPUTED_VALUE"""),2927.55)</f>
        <v>2927.55</v>
      </c>
      <c r="D51" s="6">
        <f>IFERROR(__xludf.DUMMYFUNCTION("""COMPUTED_VALUE"""),2836.25)</f>
        <v>2836.25</v>
      </c>
      <c r="E51" s="6">
        <f>IFERROR(__xludf.DUMMYFUNCTION("""COMPUTED_VALUE"""),2909.25)</f>
        <v>2909.25</v>
      </c>
      <c r="F51" s="6">
        <f>IFERROR(__xludf.DUMMYFUNCTION("""COMPUTED_VALUE"""),2318339.0)</f>
        <v>2318339</v>
      </c>
    </row>
    <row r="52">
      <c r="A52" s="7">
        <f>IFERROR(__xludf.DUMMYFUNCTION("""COMPUTED_VALUE"""),45541.64583333333)</f>
        <v>45541.64583</v>
      </c>
      <c r="B52" s="6">
        <f>IFERROR(__xludf.DUMMYFUNCTION("""COMPUTED_VALUE"""),2940.5)</f>
        <v>2940.5</v>
      </c>
      <c r="C52" s="6">
        <f>IFERROR(__xludf.DUMMYFUNCTION("""COMPUTED_VALUE"""),2947.7)</f>
        <v>2947.7</v>
      </c>
      <c r="D52" s="6">
        <f>IFERROR(__xludf.DUMMYFUNCTION("""COMPUTED_VALUE"""),2840.6)</f>
        <v>2840.6</v>
      </c>
      <c r="E52" s="6">
        <f>IFERROR(__xludf.DUMMYFUNCTION("""COMPUTED_VALUE"""),2856.45)</f>
        <v>2856.45</v>
      </c>
      <c r="F52" s="6">
        <f>IFERROR(__xludf.DUMMYFUNCTION("""COMPUTED_VALUE"""),2269074.0)</f>
        <v>2269074</v>
      </c>
    </row>
    <row r="53">
      <c r="A53" s="7">
        <f>IFERROR(__xludf.DUMMYFUNCTION("""COMPUTED_VALUE"""),45548.64583333333)</f>
        <v>45548.64583</v>
      </c>
      <c r="B53" s="6">
        <f>IFERROR(__xludf.DUMMYFUNCTION("""COMPUTED_VALUE"""),2850.0)</f>
        <v>2850</v>
      </c>
      <c r="C53" s="6">
        <f>IFERROR(__xludf.DUMMYFUNCTION("""COMPUTED_VALUE"""),2973.95)</f>
        <v>2973.95</v>
      </c>
      <c r="D53" s="6">
        <f>IFERROR(__xludf.DUMMYFUNCTION("""COMPUTED_VALUE"""),2822.4)</f>
        <v>2822.4</v>
      </c>
      <c r="E53" s="6">
        <f>IFERROR(__xludf.DUMMYFUNCTION("""COMPUTED_VALUE"""),2950.85)</f>
        <v>2950.85</v>
      </c>
      <c r="F53" s="6">
        <f>IFERROR(__xludf.DUMMYFUNCTION("""COMPUTED_VALUE"""),1954069.0)</f>
        <v>1954069</v>
      </c>
    </row>
    <row r="54">
      <c r="A54" s="7">
        <f>IFERROR(__xludf.DUMMYFUNCTION("""COMPUTED_VALUE"""),45555.64583333333)</f>
        <v>45555.64583</v>
      </c>
      <c r="B54" s="6">
        <f>IFERROR(__xludf.DUMMYFUNCTION("""COMPUTED_VALUE"""),2969.0)</f>
        <v>2969</v>
      </c>
      <c r="C54" s="6">
        <f>IFERROR(__xludf.DUMMYFUNCTION("""COMPUTED_VALUE"""),3004.7)</f>
        <v>3004.7</v>
      </c>
      <c r="D54" s="6">
        <f>IFERROR(__xludf.DUMMYFUNCTION("""COMPUTED_VALUE"""),2797.5)</f>
        <v>2797.5</v>
      </c>
      <c r="E54" s="6">
        <f>IFERROR(__xludf.DUMMYFUNCTION("""COMPUTED_VALUE"""),2988.0)</f>
        <v>2988</v>
      </c>
      <c r="F54" s="6">
        <f>IFERROR(__xludf.DUMMYFUNCTION("""COMPUTED_VALUE"""),3529171.0)</f>
        <v>3529171</v>
      </c>
    </row>
    <row r="55">
      <c r="A55" s="7">
        <f>IFERROR(__xludf.DUMMYFUNCTION("""COMPUTED_VALUE"""),45562.64583333333)</f>
        <v>45562.64583</v>
      </c>
      <c r="B55" s="6">
        <f>IFERROR(__xludf.DUMMYFUNCTION("""COMPUTED_VALUE"""),3001.0)</f>
        <v>3001</v>
      </c>
      <c r="C55" s="6">
        <f>IFERROR(__xludf.DUMMYFUNCTION("""COMPUTED_VALUE"""),3399.0)</f>
        <v>3399</v>
      </c>
      <c r="D55" s="6">
        <f>IFERROR(__xludf.DUMMYFUNCTION("""COMPUTED_VALUE"""),3001.0)</f>
        <v>3001</v>
      </c>
      <c r="E55" s="6">
        <f>IFERROR(__xludf.DUMMYFUNCTION("""COMPUTED_VALUE"""),3191.4)</f>
        <v>3191.4</v>
      </c>
      <c r="F55" s="6">
        <f>IFERROR(__xludf.DUMMYFUNCTION("""COMPUTED_VALUE"""),8309578.0)</f>
        <v>8309578</v>
      </c>
    </row>
    <row r="56">
      <c r="A56" s="7">
        <f>IFERROR(__xludf.DUMMYFUNCTION("""COMPUTED_VALUE"""),45569.64583333333)</f>
        <v>45569.64583</v>
      </c>
      <c r="B56" s="6">
        <f>IFERROR(__xludf.DUMMYFUNCTION("""COMPUTED_VALUE"""),3150.0)</f>
        <v>3150</v>
      </c>
      <c r="C56" s="6">
        <f>IFERROR(__xludf.DUMMYFUNCTION("""COMPUTED_VALUE"""),3279.95)</f>
        <v>3279.95</v>
      </c>
      <c r="D56" s="6">
        <f>IFERROR(__xludf.DUMMYFUNCTION("""COMPUTED_VALUE"""),2889.05)</f>
        <v>2889.05</v>
      </c>
      <c r="E56" s="6">
        <f>IFERROR(__xludf.DUMMYFUNCTION("""COMPUTED_VALUE"""),2897.45)</f>
        <v>2897.45</v>
      </c>
      <c r="F56" s="6">
        <f>IFERROR(__xludf.DUMMYFUNCTION("""COMPUTED_VALUE"""),3685625.0)</f>
        <v>3685625</v>
      </c>
    </row>
    <row r="57">
      <c r="A57" s="7">
        <f>IFERROR(__xludf.DUMMYFUNCTION("""COMPUTED_VALUE"""),45576.64583333333)</f>
        <v>45576.64583</v>
      </c>
      <c r="B57" s="6">
        <f>IFERROR(__xludf.DUMMYFUNCTION("""COMPUTED_VALUE"""),2926.0)</f>
        <v>2926</v>
      </c>
      <c r="C57" s="6">
        <f>IFERROR(__xludf.DUMMYFUNCTION("""COMPUTED_VALUE"""),3058.65)</f>
        <v>3058.65</v>
      </c>
      <c r="D57" s="6">
        <f>IFERROR(__xludf.DUMMYFUNCTION("""COMPUTED_VALUE"""),2833.4)</f>
        <v>2833.4</v>
      </c>
      <c r="E57" s="6">
        <f>IFERROR(__xludf.DUMMYFUNCTION("""COMPUTED_VALUE"""),3014.25)</f>
        <v>3014.25</v>
      </c>
      <c r="F57" s="6">
        <f>IFERROR(__xludf.DUMMYFUNCTION("""COMPUTED_VALUE"""),3106494.0)</f>
        <v>3106494</v>
      </c>
    </row>
    <row r="58">
      <c r="A58" s="7">
        <f>IFERROR(__xludf.DUMMYFUNCTION("""COMPUTED_VALUE"""),45583.64583333333)</f>
        <v>45583.64583</v>
      </c>
      <c r="B58" s="6">
        <f>IFERROR(__xludf.DUMMYFUNCTION("""COMPUTED_VALUE"""),3025.0)</f>
        <v>3025</v>
      </c>
      <c r="C58" s="6">
        <f>IFERROR(__xludf.DUMMYFUNCTION("""COMPUTED_VALUE"""),3239.65)</f>
        <v>3239.65</v>
      </c>
      <c r="D58" s="6">
        <f>IFERROR(__xludf.DUMMYFUNCTION("""COMPUTED_VALUE"""),3001.0)</f>
        <v>3001</v>
      </c>
      <c r="E58" s="6">
        <f>IFERROR(__xludf.DUMMYFUNCTION("""COMPUTED_VALUE"""),3133.65)</f>
        <v>3133.65</v>
      </c>
      <c r="F58" s="6">
        <f>IFERROR(__xludf.DUMMYFUNCTION("""COMPUTED_VALUE"""),3342458.0)</f>
        <v>3342458</v>
      </c>
    </row>
    <row r="59">
      <c r="A59" s="7">
        <f>IFERROR(__xludf.DUMMYFUNCTION("""COMPUTED_VALUE"""),45590.64583333333)</f>
        <v>45590.64583</v>
      </c>
      <c r="B59" s="6">
        <f>IFERROR(__xludf.DUMMYFUNCTION("""COMPUTED_VALUE"""),3151.05)</f>
        <v>3151.05</v>
      </c>
      <c r="C59" s="6">
        <f>IFERROR(__xludf.DUMMYFUNCTION("""COMPUTED_VALUE"""),3175.8)</f>
        <v>3175.8</v>
      </c>
      <c r="D59" s="6">
        <f>IFERROR(__xludf.DUMMYFUNCTION("""COMPUTED_VALUE"""),2870.1)</f>
        <v>2870.1</v>
      </c>
      <c r="E59" s="6">
        <f>IFERROR(__xludf.DUMMYFUNCTION("""COMPUTED_VALUE"""),2929.25)</f>
        <v>2929.25</v>
      </c>
      <c r="F59" s="6">
        <f>IFERROR(__xludf.DUMMYFUNCTION("""COMPUTED_VALUE"""),4240202.0)</f>
        <v>4240202</v>
      </c>
    </row>
    <row r="60">
      <c r="A60" s="7">
        <f>IFERROR(__xludf.DUMMYFUNCTION("""COMPUTED_VALUE"""),45604.64583333333)</f>
        <v>45604.64583</v>
      </c>
      <c r="B60" s="6">
        <f>IFERROR(__xludf.DUMMYFUNCTION("""COMPUTED_VALUE"""),2882.0)</f>
        <v>2882</v>
      </c>
      <c r="C60" s="6">
        <f>IFERROR(__xludf.DUMMYFUNCTION("""COMPUTED_VALUE"""),2914.0)</f>
        <v>2914</v>
      </c>
      <c r="D60" s="6">
        <f>IFERROR(__xludf.DUMMYFUNCTION("""COMPUTED_VALUE"""),2675.1)</f>
        <v>2675.1</v>
      </c>
      <c r="E60" s="6">
        <f>IFERROR(__xludf.DUMMYFUNCTION("""COMPUTED_VALUE"""),2685.2)</f>
        <v>2685.2</v>
      </c>
      <c r="F60" s="6">
        <f>IFERROR(__xludf.DUMMYFUNCTION("""COMPUTED_VALUE"""),2166330.0)</f>
        <v>2166330</v>
      </c>
    </row>
    <row r="61">
      <c r="A61" s="7">
        <f>IFERROR(__xludf.DUMMYFUNCTION("""COMPUTED_VALUE"""),45610.64583333333)</f>
        <v>45610.64583</v>
      </c>
      <c r="B61" s="6">
        <f>IFERROR(__xludf.DUMMYFUNCTION("""COMPUTED_VALUE"""),2670.05)</f>
        <v>2670.05</v>
      </c>
      <c r="C61" s="6">
        <f>IFERROR(__xludf.DUMMYFUNCTION("""COMPUTED_VALUE"""),2722.75)</f>
        <v>2722.75</v>
      </c>
      <c r="D61" s="6">
        <f>IFERROR(__xludf.DUMMYFUNCTION("""COMPUTED_VALUE"""),2552.95)</f>
        <v>2552.95</v>
      </c>
      <c r="E61" s="6">
        <f>IFERROR(__xludf.DUMMYFUNCTION("""COMPUTED_VALUE"""),2595.3)</f>
        <v>2595.3</v>
      </c>
      <c r="F61" s="6">
        <f>IFERROR(__xludf.DUMMYFUNCTION("""COMPUTED_VALUE"""),2200284.0)</f>
        <v>2200284</v>
      </c>
    </row>
    <row r="62">
      <c r="A62" s="7">
        <f>IFERROR(__xludf.DUMMYFUNCTION("""COMPUTED_VALUE"""),45618.64583333333)</f>
        <v>45618.64583</v>
      </c>
      <c r="B62" s="6">
        <f>IFERROR(__xludf.DUMMYFUNCTION("""COMPUTED_VALUE"""),2598.4)</f>
        <v>2598.4</v>
      </c>
      <c r="C62" s="6">
        <f>IFERROR(__xludf.DUMMYFUNCTION("""COMPUTED_VALUE"""),2870.0)</f>
        <v>2870</v>
      </c>
      <c r="D62" s="6">
        <f>IFERROR(__xludf.DUMMYFUNCTION("""COMPUTED_VALUE"""),2594.3)</f>
        <v>2594.3</v>
      </c>
      <c r="E62" s="6">
        <f>IFERROR(__xludf.DUMMYFUNCTION("""COMPUTED_VALUE"""),2857.15)</f>
        <v>2857.15</v>
      </c>
      <c r="F62" s="6">
        <f>IFERROR(__xludf.DUMMYFUNCTION("""COMPUTED_VALUE"""),2600350.0)</f>
        <v>2600350</v>
      </c>
    </row>
    <row r="63">
      <c r="A63" s="7">
        <f>IFERROR(__xludf.DUMMYFUNCTION("""COMPUTED_VALUE"""),45625.64583333333)</f>
        <v>45625.64583</v>
      </c>
      <c r="B63" s="6">
        <f>IFERROR(__xludf.DUMMYFUNCTION("""COMPUTED_VALUE"""),2913.4)</f>
        <v>2913.4</v>
      </c>
      <c r="C63" s="6">
        <f>IFERROR(__xludf.DUMMYFUNCTION("""COMPUTED_VALUE"""),3015.9)</f>
        <v>3015.9</v>
      </c>
      <c r="D63" s="6">
        <f>IFERROR(__xludf.DUMMYFUNCTION("""COMPUTED_VALUE"""),2759.0)</f>
        <v>2759</v>
      </c>
      <c r="E63" s="6">
        <f>IFERROR(__xludf.DUMMYFUNCTION("""COMPUTED_VALUE"""),2776.15)</f>
        <v>2776.15</v>
      </c>
      <c r="F63" s="6">
        <f>IFERROR(__xludf.DUMMYFUNCTION("""COMPUTED_VALUE"""),5236013.0)</f>
        <v>5236013</v>
      </c>
    </row>
    <row r="64">
      <c r="A64" s="7">
        <f>IFERROR(__xludf.DUMMYFUNCTION("""COMPUTED_VALUE"""),45632.64583333333)</f>
        <v>45632.64583</v>
      </c>
      <c r="B64" s="6">
        <f>IFERROR(__xludf.DUMMYFUNCTION("""COMPUTED_VALUE"""),2790.65)</f>
        <v>2790.65</v>
      </c>
      <c r="C64" s="6">
        <f>IFERROR(__xludf.DUMMYFUNCTION("""COMPUTED_VALUE"""),2960.0)</f>
        <v>2960</v>
      </c>
      <c r="D64" s="6">
        <f>IFERROR(__xludf.DUMMYFUNCTION("""COMPUTED_VALUE"""),2763.8)</f>
        <v>2763.8</v>
      </c>
      <c r="E64" s="6">
        <f>IFERROR(__xludf.DUMMYFUNCTION("""COMPUTED_VALUE"""),2840.7)</f>
        <v>2840.7</v>
      </c>
      <c r="F64" s="6">
        <f>IFERROR(__xludf.DUMMYFUNCTION("""COMPUTED_VALUE"""),5566667.0)</f>
        <v>5566667</v>
      </c>
    </row>
    <row r="65">
      <c r="A65" s="7">
        <f>IFERROR(__xludf.DUMMYFUNCTION("""COMPUTED_VALUE"""),45639.64583333333)</f>
        <v>45639.64583</v>
      </c>
      <c r="B65" s="6">
        <f>IFERROR(__xludf.DUMMYFUNCTION("""COMPUTED_VALUE"""),2830.0)</f>
        <v>2830</v>
      </c>
      <c r="C65" s="6">
        <f>IFERROR(__xludf.DUMMYFUNCTION("""COMPUTED_VALUE"""),2941.45)</f>
        <v>2941.45</v>
      </c>
      <c r="D65" s="6">
        <f>IFERROR(__xludf.DUMMYFUNCTION("""COMPUTED_VALUE"""),2788.0)</f>
        <v>2788</v>
      </c>
      <c r="E65" s="6">
        <f>IFERROR(__xludf.DUMMYFUNCTION("""COMPUTED_VALUE"""),2926.95)</f>
        <v>2926.95</v>
      </c>
      <c r="F65" s="6">
        <f>IFERROR(__xludf.DUMMYFUNCTION("""COMPUTED_VALUE"""),6458131.0)</f>
        <v>6458131</v>
      </c>
    </row>
    <row r="66">
      <c r="A66" s="7">
        <f>IFERROR(__xludf.DUMMYFUNCTION("""COMPUTED_VALUE"""),45646.64583333333)</f>
        <v>45646.64583</v>
      </c>
      <c r="B66" s="6">
        <f>IFERROR(__xludf.DUMMYFUNCTION("""COMPUTED_VALUE"""),2926.45)</f>
        <v>2926.45</v>
      </c>
      <c r="C66" s="6">
        <f>IFERROR(__xludf.DUMMYFUNCTION("""COMPUTED_VALUE"""),3015.0)</f>
        <v>3015</v>
      </c>
      <c r="D66" s="6">
        <f>IFERROR(__xludf.DUMMYFUNCTION("""COMPUTED_VALUE"""),2835.6)</f>
        <v>2835.6</v>
      </c>
      <c r="E66" s="6">
        <f>IFERROR(__xludf.DUMMYFUNCTION("""COMPUTED_VALUE"""),2855.95)</f>
        <v>2855.95</v>
      </c>
      <c r="F66" s="6">
        <f>IFERROR(__xludf.DUMMYFUNCTION("""COMPUTED_VALUE"""),4318448.0)</f>
        <v>4318448</v>
      </c>
    </row>
    <row r="67">
      <c r="A67" s="7">
        <f>IFERROR(__xludf.DUMMYFUNCTION("""COMPUTED_VALUE"""),45653.64583333333)</f>
        <v>45653.64583</v>
      </c>
      <c r="B67" s="6">
        <f>IFERROR(__xludf.DUMMYFUNCTION("""COMPUTED_VALUE"""),2861.1)</f>
        <v>2861.1</v>
      </c>
      <c r="C67" s="6">
        <f>IFERROR(__xludf.DUMMYFUNCTION("""COMPUTED_VALUE"""),2917.05)</f>
        <v>2917.05</v>
      </c>
      <c r="D67" s="6">
        <f>IFERROR(__xludf.DUMMYFUNCTION("""COMPUTED_VALUE"""),2818.0)</f>
        <v>2818</v>
      </c>
      <c r="E67" s="6">
        <f>IFERROR(__xludf.DUMMYFUNCTION("""COMPUTED_VALUE"""),2830.7)</f>
        <v>2830.7</v>
      </c>
      <c r="F67" s="6">
        <f>IFERROR(__xludf.DUMMYFUNCTION("""COMPUTED_VALUE"""),1071586.0)</f>
        <v>1071586</v>
      </c>
    </row>
    <row r="68">
      <c r="A68" s="7">
        <f>IFERROR(__xludf.DUMMYFUNCTION("""COMPUTED_VALUE"""),45660.64583333333)</f>
        <v>45660.64583</v>
      </c>
      <c r="B68" s="6">
        <f>IFERROR(__xludf.DUMMYFUNCTION("""COMPUTED_VALUE"""),2830.0)</f>
        <v>2830</v>
      </c>
      <c r="C68" s="6">
        <f>IFERROR(__xludf.DUMMYFUNCTION("""COMPUTED_VALUE"""),2848.0)</f>
        <v>2848</v>
      </c>
      <c r="D68" s="6">
        <f>IFERROR(__xludf.DUMMYFUNCTION("""COMPUTED_VALUE"""),2724.0)</f>
        <v>2724</v>
      </c>
      <c r="E68" s="6">
        <f>IFERROR(__xludf.DUMMYFUNCTION("""COMPUTED_VALUE"""),2734.1)</f>
        <v>2734.1</v>
      </c>
      <c r="F68" s="6">
        <f>IFERROR(__xludf.DUMMYFUNCTION("""COMPUTED_VALUE"""),2487629.0)</f>
        <v>2487629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IFERROR(__xludf.DUMMYFUNCTION("""COMPUTED_VALUE"""),2747.0)</f>
        <v>2747</v>
      </c>
      <c r="C69" s="6">
        <f>IFERROR(__xludf.DUMMYFUNCTION("""COMPUTED_VALUE"""),2764.7)</f>
        <v>2764.7</v>
      </c>
      <c r="D69" s="6">
        <f>IFERROR(__xludf.DUMMYFUNCTION("""COMPUTED_VALUE"""),2381.95)</f>
        <v>2381.95</v>
      </c>
      <c r="E69" s="6">
        <f>IFERROR(__xludf.DUMMYFUNCTION("""COMPUTED_VALUE"""),2386.5)</f>
        <v>2386.5</v>
      </c>
      <c r="F69" s="6">
        <f>IFERROR(__xludf.DUMMYFUNCTION("""COMPUTED_VALUE"""),3090449.0)</f>
        <v>3090449</v>
      </c>
    </row>
    <row r="70">
      <c r="A70" s="7">
        <f>IFERROR(__xludf.DUMMYFUNCTION("""COMPUTED_VALUE"""),45674.64583333333)</f>
        <v>45674.64583</v>
      </c>
      <c r="B70" s="6">
        <f>IFERROR(__xludf.DUMMYFUNCTION("""COMPUTED_VALUE"""),2359.0)</f>
        <v>2359</v>
      </c>
      <c r="C70" s="6">
        <f>IFERROR(__xludf.DUMMYFUNCTION("""COMPUTED_VALUE"""),2421.65)</f>
        <v>2421.65</v>
      </c>
      <c r="D70" s="6">
        <f>IFERROR(__xludf.DUMMYFUNCTION("""COMPUTED_VALUE"""),2240.05)</f>
        <v>2240.05</v>
      </c>
      <c r="E70" s="6">
        <f>IFERROR(__xludf.DUMMYFUNCTION("""COMPUTED_VALUE"""),2407.6)</f>
        <v>2407.6</v>
      </c>
      <c r="F70" s="6">
        <f>IFERROR(__xludf.DUMMYFUNCTION("""COMPUTED_VALUE"""),3552253.0)</f>
        <v>3552253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IFERROR(__xludf.DUMMYFUNCTION("""COMPUTED_VALUE"""),2427.45)</f>
        <v>2427.45</v>
      </c>
      <c r="C71" s="6">
        <f>IFERROR(__xludf.DUMMYFUNCTION("""COMPUTED_VALUE"""),2446.45)</f>
        <v>2446.45</v>
      </c>
      <c r="D71" s="6">
        <f>IFERROR(__xludf.DUMMYFUNCTION("""COMPUTED_VALUE"""),2147.05)</f>
        <v>2147.05</v>
      </c>
      <c r="E71" s="6">
        <f>IFERROR(__xludf.DUMMYFUNCTION("""COMPUTED_VALUE"""),2155.0)</f>
        <v>2155</v>
      </c>
      <c r="F71" s="6">
        <f>IFERROR(__xludf.DUMMYFUNCTION("""COMPUTED_VALUE"""),4497367.0)</f>
        <v>4497367</v>
      </c>
    </row>
    <row r="72">
      <c r="A72" s="7">
        <f>IFERROR(__xludf.DUMMYFUNCTION("""COMPUTED_VALUE"""),45695.64583333333)</f>
        <v>45695.64583</v>
      </c>
      <c r="B72" s="6">
        <f>IFERROR(__xludf.DUMMYFUNCTION("""COMPUTED_VALUE"""),2339.95)</f>
        <v>2339.95</v>
      </c>
      <c r="C72" s="6">
        <f>IFERROR(__xludf.DUMMYFUNCTION("""COMPUTED_VALUE"""),2522.0)</f>
        <v>2522</v>
      </c>
      <c r="D72" s="6">
        <f>IFERROR(__xludf.DUMMYFUNCTION("""COMPUTED_VALUE"""),2186.65)</f>
        <v>2186.65</v>
      </c>
      <c r="E72" s="6">
        <f>IFERROR(__xludf.DUMMYFUNCTION("""COMPUTED_VALUE"""),2196.9)</f>
        <v>2196.9</v>
      </c>
      <c r="F72" s="6">
        <f>IFERROR(__xludf.DUMMYFUNCTION("""COMPUTED_VALUE"""),7230840.0)</f>
        <v>7230840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IFERROR(__xludf.DUMMYFUNCTION("""COMPUTED_VALUE"""),2205.1)</f>
        <v>2205.1</v>
      </c>
      <c r="C73" s="6">
        <f>IFERROR(__xludf.DUMMYFUNCTION("""COMPUTED_VALUE"""),2210.5)</f>
        <v>2210.5</v>
      </c>
      <c r="D73" s="6">
        <f>IFERROR(__xludf.DUMMYFUNCTION("""COMPUTED_VALUE"""),1904.6)</f>
        <v>1904.6</v>
      </c>
      <c r="E73" s="6">
        <f>IFERROR(__xludf.DUMMYFUNCTION("""COMPUTED_VALUE"""),1968.15)</f>
        <v>1968.15</v>
      </c>
      <c r="F73" s="6">
        <f>IFERROR(__xludf.DUMMYFUNCTION("""COMPUTED_VALUE"""),6364257.0)</f>
        <v>6364257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IFERROR(__xludf.DUMMYFUNCTION("""COMPUTED_VALUE"""),1966.55)</f>
        <v>1966.55</v>
      </c>
      <c r="C74" s="6">
        <f>IFERROR(__xludf.DUMMYFUNCTION("""COMPUTED_VALUE"""),2097.0)</f>
        <v>2097</v>
      </c>
      <c r="D74" s="6">
        <f>IFERROR(__xludf.DUMMYFUNCTION("""COMPUTED_VALUE"""),1901.0)</f>
        <v>1901</v>
      </c>
      <c r="E74" s="6">
        <f>IFERROR(__xludf.DUMMYFUNCTION("""COMPUTED_VALUE"""),1991.35)</f>
        <v>1991.35</v>
      </c>
      <c r="F74" s="6">
        <f>IFERROR(__xludf.DUMMYFUNCTION("""COMPUTED_VALUE"""),4471590.0)</f>
        <v>4471590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IFERROR(__xludf.DUMMYFUNCTION("""COMPUTED_VALUE"""),1980.0)</f>
        <v>1980</v>
      </c>
      <c r="C75" s="6">
        <f>IFERROR(__xludf.DUMMYFUNCTION("""COMPUTED_VALUE"""),2037.8)</f>
        <v>2037.8</v>
      </c>
      <c r="D75" s="6">
        <f>IFERROR(__xludf.DUMMYFUNCTION("""COMPUTED_VALUE"""),1905.1)</f>
        <v>1905.1</v>
      </c>
      <c r="E75" s="6">
        <f>IFERROR(__xludf.DUMMYFUNCTION("""COMPUTED_VALUE"""),1936.3)</f>
        <v>1936.3</v>
      </c>
      <c r="F75" s="6">
        <f>IFERROR(__xludf.DUMMYFUNCTION("""COMPUTED_VALUE"""),4529881.0)</f>
        <v>4529881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IFERROR(__xludf.DUMMYFUNCTION("""COMPUTED_VALUE"""),1940.1)</f>
        <v>1940.1</v>
      </c>
      <c r="C76" s="6">
        <f>IFERROR(__xludf.DUMMYFUNCTION("""COMPUTED_VALUE"""),2114.9)</f>
        <v>2114.9</v>
      </c>
      <c r="D76" s="6">
        <f>IFERROR(__xludf.DUMMYFUNCTION("""COMPUTED_VALUE"""),1913.85)</f>
        <v>1913.85</v>
      </c>
      <c r="E76" s="6">
        <f>IFERROR(__xludf.DUMMYFUNCTION("""COMPUTED_VALUE"""),2008.35)</f>
        <v>2008.35</v>
      </c>
      <c r="F76" s="6">
        <f>IFERROR(__xludf.DUMMYFUNCTION("""COMPUTED_VALUE"""),4820571.0)</f>
        <v>4820571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IFERROR(__xludf.DUMMYFUNCTION("""COMPUTED_VALUE"""),1996.0)</f>
        <v>1996</v>
      </c>
      <c r="C77" s="6">
        <f>IFERROR(__xludf.DUMMYFUNCTION("""COMPUTED_VALUE"""),2070.45)</f>
        <v>2070.45</v>
      </c>
      <c r="D77" s="6">
        <f>IFERROR(__xludf.DUMMYFUNCTION("""COMPUTED_VALUE"""),1945.0)</f>
        <v>1945</v>
      </c>
      <c r="E77" s="6">
        <f>IFERROR(__xludf.DUMMYFUNCTION("""COMPUTED_VALUE"""),1969.1)</f>
        <v>1969.1</v>
      </c>
      <c r="F77" s="6">
        <f>IFERROR(__xludf.DUMMYFUNCTION("""COMPUTED_VALUE"""),2254037.0)</f>
        <v>2254037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IFERROR(__xludf.DUMMYFUNCTION("""COMPUTED_VALUE"""),1984.0)</f>
        <v>1984</v>
      </c>
      <c r="C78" s="6">
        <f>IFERROR(__xludf.DUMMYFUNCTION("""COMPUTED_VALUE"""),2178.95)</f>
        <v>2178.95</v>
      </c>
      <c r="D78" s="6">
        <f>IFERROR(__xludf.DUMMYFUNCTION("""COMPUTED_VALUE"""),1967.0)</f>
        <v>1967</v>
      </c>
      <c r="E78" s="6">
        <f>IFERROR(__xludf.DUMMYFUNCTION("""COMPUTED_VALUE"""),2143.95)</f>
        <v>2143.95</v>
      </c>
      <c r="F78" s="6">
        <f>IFERROR(__xludf.DUMMYFUNCTION("""COMPUTED_VALUE"""),7367005.0)</f>
        <v>7367005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IFERROR(__xludf.DUMMYFUNCTION("""COMPUTED_VALUE"""),2199.0)</f>
        <v>2199</v>
      </c>
      <c r="C79" s="6">
        <f>IFERROR(__xludf.DUMMYFUNCTION("""COMPUTED_VALUE"""),2218.4)</f>
        <v>2218.4</v>
      </c>
      <c r="D79" s="6">
        <f>IFERROR(__xludf.DUMMYFUNCTION("""COMPUTED_VALUE"""),2101.05)</f>
        <v>2101.05</v>
      </c>
      <c r="E79" s="6">
        <f>IFERROR(__xludf.DUMMYFUNCTION("""COMPUTED_VALUE"""),2129.6)</f>
        <v>2129.6</v>
      </c>
      <c r="F79" s="6">
        <f>IFERROR(__xludf.DUMMYFUNCTION("""COMPUTED_VALUE"""),3817009.0)</f>
        <v>3817009</v>
      </c>
    </row>
    <row r="80">
      <c r="A80" s="7">
        <f>IFERROR(__xludf.DUMMYFUNCTION("""COMPUTED_VALUE"""),45751.64583333333)</f>
        <v>45751.64583</v>
      </c>
      <c r="B80" s="6">
        <f>IFERROR(__xludf.DUMMYFUNCTION("""COMPUTED_VALUE"""),2119.0)</f>
        <v>2119</v>
      </c>
      <c r="C80" s="6">
        <f>IFERROR(__xludf.DUMMYFUNCTION("""COMPUTED_VALUE"""),2175.45)</f>
        <v>2175.45</v>
      </c>
      <c r="D80" s="6">
        <f>IFERROR(__xludf.DUMMYFUNCTION("""COMPUTED_VALUE"""),2033.1)</f>
        <v>2033.1</v>
      </c>
      <c r="E80" s="6">
        <f>IFERROR(__xludf.DUMMYFUNCTION("""COMPUTED_VALUE"""),2067.95)</f>
        <v>2067.95</v>
      </c>
      <c r="F80" s="6">
        <f>IFERROR(__xludf.DUMMYFUNCTION("""COMPUTED_VALUE"""),3252847.0)</f>
        <v>3252847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IFERROR(__xludf.DUMMYFUNCTION("""COMPUTED_VALUE"""),1985.35)</f>
        <v>1985.35</v>
      </c>
      <c r="C81" s="6">
        <f>IFERROR(__xludf.DUMMYFUNCTION("""COMPUTED_VALUE"""),2052.95)</f>
        <v>2052.95</v>
      </c>
      <c r="D81" s="6">
        <f>IFERROR(__xludf.DUMMYFUNCTION("""COMPUTED_VALUE"""),1900.0)</f>
        <v>1900</v>
      </c>
      <c r="E81" s="6">
        <f>IFERROR(__xludf.DUMMYFUNCTION("""COMPUTED_VALUE"""),1948.4)</f>
        <v>1948.4</v>
      </c>
      <c r="F81" s="6">
        <f>IFERROR(__xludf.DUMMYFUNCTION("""COMPUTED_VALUE"""),4222264.0)</f>
        <v>4222264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IFERROR(__xludf.DUMMYFUNCTION("""COMPUTED_VALUE"""),2000.0)</f>
        <v>2000</v>
      </c>
      <c r="C82" s="6">
        <f>IFERROR(__xludf.DUMMYFUNCTION("""COMPUTED_VALUE"""),2033.9)</f>
        <v>2033.9</v>
      </c>
      <c r="D82" s="6">
        <f>IFERROR(__xludf.DUMMYFUNCTION("""COMPUTED_VALUE"""),1975.4)</f>
        <v>1975.4</v>
      </c>
      <c r="E82" s="6">
        <f>IFERROR(__xludf.DUMMYFUNCTION("""COMPUTED_VALUE"""),1991.1)</f>
        <v>1991.1</v>
      </c>
      <c r="F82" s="6">
        <f>IFERROR(__xludf.DUMMYFUNCTION("""COMPUTED_VALUE"""),3365660.0)</f>
        <v>3365660</v>
      </c>
    </row>
    <row r="83">
      <c r="A83" s="7">
        <f>IFERROR(__xludf.DUMMYFUNCTION("""COMPUTED_VALUE"""),45772.64583333333)</f>
        <v>45772.64583</v>
      </c>
      <c r="B83" s="6">
        <f>IFERROR(__xludf.DUMMYFUNCTION("""COMPUTED_VALUE"""),2007.0)</f>
        <v>2007</v>
      </c>
      <c r="C83" s="6">
        <f>IFERROR(__xludf.DUMMYFUNCTION("""COMPUTED_VALUE"""),2180.9)</f>
        <v>2180.9</v>
      </c>
      <c r="D83" s="6">
        <f>IFERROR(__xludf.DUMMYFUNCTION("""COMPUTED_VALUE"""),1977.0)</f>
        <v>1977</v>
      </c>
      <c r="E83" s="6">
        <f>IFERROR(__xludf.DUMMYFUNCTION("""COMPUTED_VALUE"""),2085.3)</f>
        <v>2085.3</v>
      </c>
      <c r="F83" s="6">
        <f>IFERROR(__xludf.DUMMYFUNCTION("""COMPUTED_VALUE"""),5127576.0)</f>
        <v>5127576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IFERROR(__xludf.DUMMYFUNCTION("""COMPUTED_VALUE"""),2080.0)</f>
        <v>2080</v>
      </c>
      <c r="C84" s="6">
        <f>IFERROR(__xludf.DUMMYFUNCTION("""COMPUTED_VALUE"""),2236.8)</f>
        <v>2236.8</v>
      </c>
      <c r="D84" s="6">
        <f>IFERROR(__xludf.DUMMYFUNCTION("""COMPUTED_VALUE"""),2072.5)</f>
        <v>2072.5</v>
      </c>
      <c r="E84" s="6">
        <f>IFERROR(__xludf.DUMMYFUNCTION("""COMPUTED_VALUE"""),2249.3)</f>
        <v>2249.3</v>
      </c>
      <c r="F84" s="6">
        <f>IFERROR(__xludf.DUMMYFUNCTION("""COMPUTED_VALUE"""),5821061.0)</f>
        <v>5821061</v>
      </c>
    </row>
    <row r="85">
      <c r="A85" s="7">
        <f>IFERROR(__xludf.DUMMYFUNCTION("""COMPUTED_VALUE"""),45786.64583333333)</f>
        <v>45786.64583</v>
      </c>
      <c r="B85" s="6">
        <f>IFERROR(__xludf.DUMMYFUNCTION("""COMPUTED_VALUE"""),2260.4)</f>
        <v>2260.4</v>
      </c>
      <c r="C85" s="6">
        <f>IFERROR(__xludf.DUMMYFUNCTION("""COMPUTED_VALUE"""),2319.9)</f>
        <v>2319.9</v>
      </c>
      <c r="D85" s="6">
        <f>IFERROR(__xludf.DUMMYFUNCTION("""COMPUTED_VALUE"""),1948.0)</f>
        <v>1948</v>
      </c>
      <c r="E85" s="6">
        <f>IFERROR(__xludf.DUMMYFUNCTION("""COMPUTED_VALUE"""),2000.5)</f>
        <v>2000.5</v>
      </c>
      <c r="F85" s="6">
        <f>IFERROR(__xludf.DUMMYFUNCTION("""COMPUTED_VALUE"""),4809411.0)</f>
        <v>4809411</v>
      </c>
    </row>
    <row r="86">
      <c r="A86" s="7">
        <f>IFERROR(__xludf.DUMMYFUNCTION("""COMPUTED_VALUE"""),45793.64583333333)</f>
        <v>45793.64583</v>
      </c>
      <c r="B86" s="6">
        <f>IFERROR(__xludf.DUMMYFUNCTION("""COMPUTED_VALUE"""),2083.0)</f>
        <v>2083</v>
      </c>
      <c r="C86" s="6">
        <f>IFERROR(__xludf.DUMMYFUNCTION("""COMPUTED_VALUE"""),2201.6)</f>
        <v>2201.6</v>
      </c>
      <c r="D86" s="6">
        <f>IFERROR(__xludf.DUMMYFUNCTION("""COMPUTED_VALUE"""),2072.7)</f>
        <v>2072.7</v>
      </c>
      <c r="E86" s="6">
        <f>IFERROR(__xludf.DUMMYFUNCTION("""COMPUTED_VALUE"""),2176.1)</f>
        <v>2176.1</v>
      </c>
      <c r="F86" s="6">
        <f>IFERROR(__xludf.DUMMYFUNCTION("""COMPUTED_VALUE"""),4696361.0)</f>
        <v>4696361</v>
      </c>
    </row>
    <row r="87">
      <c r="A87" s="7">
        <f>IFERROR(__xludf.DUMMYFUNCTION("""COMPUTED_VALUE"""),45800.64583333333)</f>
        <v>45800.64583</v>
      </c>
      <c r="B87" s="6">
        <f>IFERROR(__xludf.DUMMYFUNCTION("""COMPUTED_VALUE"""),2175.0)</f>
        <v>2175</v>
      </c>
      <c r="C87" s="6">
        <f>IFERROR(__xludf.DUMMYFUNCTION("""COMPUTED_VALUE"""),2269.1)</f>
        <v>2269.1</v>
      </c>
      <c r="D87" s="6">
        <f>IFERROR(__xludf.DUMMYFUNCTION("""COMPUTED_VALUE"""),2141.0)</f>
        <v>2141</v>
      </c>
      <c r="E87" s="6">
        <f>IFERROR(__xludf.DUMMYFUNCTION("""COMPUTED_VALUE"""),2182.4)</f>
        <v>2182.4</v>
      </c>
      <c r="F87" s="6">
        <f>IFERROR(__xludf.DUMMYFUNCTION("""COMPUTED_VALUE"""),3987048.0)</f>
        <v>3987048</v>
      </c>
    </row>
    <row r="88">
      <c r="A88" s="7">
        <f>IFERROR(__xludf.DUMMYFUNCTION("""COMPUTED_VALUE"""),45807.64583333333)</f>
        <v>45807.64583</v>
      </c>
      <c r="B88" s="6">
        <f>IFERROR(__xludf.DUMMYFUNCTION("""COMPUTED_VALUE"""),2190.0)</f>
        <v>2190</v>
      </c>
      <c r="C88" s="6">
        <f>IFERROR(__xludf.DUMMYFUNCTION("""COMPUTED_VALUE"""),2286.0)</f>
        <v>2286</v>
      </c>
      <c r="D88" s="6">
        <f>IFERROR(__xludf.DUMMYFUNCTION("""COMPUTED_VALUE"""),2165.5)</f>
        <v>2165.5</v>
      </c>
      <c r="E88" s="6">
        <f>IFERROR(__xludf.DUMMYFUNCTION("""COMPUTED_VALUE"""),2243.8)</f>
        <v>2243.8</v>
      </c>
      <c r="F88" s="6">
        <f>IFERROR(__xludf.DUMMYFUNCTION("""COMPUTED_VALUE"""),5523190.0)</f>
        <v>5523190</v>
      </c>
    </row>
    <row r="89">
      <c r="A89" s="7">
        <f>IFERROR(__xludf.DUMMYFUNCTION("""COMPUTED_VALUE"""),45814.64583333333)</f>
        <v>45814.64583</v>
      </c>
      <c r="B89" s="6">
        <f>IFERROR(__xludf.DUMMYFUNCTION("""COMPUTED_VALUE"""),2249.9)</f>
        <v>2249.9</v>
      </c>
      <c r="C89" s="6">
        <f>IFERROR(__xludf.DUMMYFUNCTION("""COMPUTED_VALUE"""),2485.0)</f>
        <v>2485</v>
      </c>
      <c r="D89" s="6">
        <f>IFERROR(__xludf.DUMMYFUNCTION("""COMPUTED_VALUE"""),2205.4)</f>
        <v>2205.4</v>
      </c>
      <c r="E89" s="6">
        <f>IFERROR(__xludf.DUMMYFUNCTION("""COMPUTED_VALUE"""),2467.0)</f>
        <v>2467</v>
      </c>
      <c r="F89" s="6">
        <f>IFERROR(__xludf.DUMMYFUNCTION("""COMPUTED_VALUE"""),8068733.0)</f>
        <v>8068733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IFERROR(__xludf.DUMMYFUNCTION("""COMPUTED_VALUE"""),2479.0)</f>
        <v>2479</v>
      </c>
      <c r="C90" s="6">
        <f>IFERROR(__xludf.DUMMYFUNCTION("""COMPUTED_VALUE"""),2506.5)</f>
        <v>2506.5</v>
      </c>
      <c r="D90" s="6">
        <f>IFERROR(__xludf.DUMMYFUNCTION("""COMPUTED_VALUE"""),2306.4)</f>
        <v>2306.4</v>
      </c>
      <c r="E90" s="6">
        <f>IFERROR(__xludf.DUMMYFUNCTION("""COMPUTED_VALUE"""),2402.0)</f>
        <v>2402</v>
      </c>
      <c r="F90" s="6">
        <f>IFERROR(__xludf.DUMMYFUNCTION("""COMPUTED_VALUE"""),4657180.0)</f>
        <v>4657180</v>
      </c>
    </row>
    <row r="91">
      <c r="A91" s="7">
        <f>IFERROR(__xludf.DUMMYFUNCTION("""COMPUTED_VALUE"""),45828.64583333333)</f>
        <v>45828.64583</v>
      </c>
      <c r="B91" s="6">
        <f>IFERROR(__xludf.DUMMYFUNCTION("""COMPUTED_VALUE"""),2414.0)</f>
        <v>2414</v>
      </c>
      <c r="C91" s="6">
        <f>IFERROR(__xludf.DUMMYFUNCTION("""COMPUTED_VALUE"""),2494.0)</f>
        <v>2494</v>
      </c>
      <c r="D91" s="6">
        <f>IFERROR(__xludf.DUMMYFUNCTION("""COMPUTED_VALUE"""),2371.1)</f>
        <v>2371.1</v>
      </c>
      <c r="E91" s="6">
        <f>IFERROR(__xludf.DUMMYFUNCTION("""COMPUTED_VALUE"""),2432.0)</f>
        <v>2432</v>
      </c>
      <c r="F91" s="6">
        <f>IFERROR(__xludf.DUMMYFUNCTION("""COMPUTED_VALUE"""),5090236.0)</f>
        <v>5090236</v>
      </c>
    </row>
    <row r="92">
      <c r="A92" s="7">
        <f>IFERROR(__xludf.DUMMYFUNCTION("""COMPUTED_VALUE"""),45835.64583333333)</f>
        <v>45835.64583</v>
      </c>
      <c r="B92" s="6">
        <f>IFERROR(__xludf.DUMMYFUNCTION("""COMPUTED_VALUE"""),2418.1)</f>
        <v>2418.1</v>
      </c>
      <c r="C92" s="6">
        <f>IFERROR(__xludf.DUMMYFUNCTION("""COMPUTED_VALUE"""),2450.9)</f>
        <v>2450.9</v>
      </c>
      <c r="D92" s="6">
        <f>IFERROR(__xludf.DUMMYFUNCTION("""COMPUTED_VALUE"""),2353.0)</f>
        <v>2353</v>
      </c>
      <c r="E92" s="6">
        <f>IFERROR(__xludf.DUMMYFUNCTION("""COMPUTED_VALUE"""),2362.3)</f>
        <v>2362.3</v>
      </c>
      <c r="F92" s="6">
        <f>IFERROR(__xludf.DUMMYFUNCTION("""COMPUTED_VALUE"""),3338864.0)</f>
        <v>3338864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IFERROR(__xludf.DUMMYFUNCTION("""COMPUTED_VALUE"""),2380.0)</f>
        <v>2380</v>
      </c>
      <c r="C93" s="6">
        <f>IFERROR(__xludf.DUMMYFUNCTION("""COMPUTED_VALUE"""),2385.0)</f>
        <v>2385</v>
      </c>
      <c r="D93" s="6">
        <f>IFERROR(__xludf.DUMMYFUNCTION("""COMPUTED_VALUE"""),2261.0)</f>
        <v>2261</v>
      </c>
      <c r="E93" s="6">
        <f>IFERROR(__xludf.DUMMYFUNCTION("""COMPUTED_VALUE"""),2304.0)</f>
        <v>2304</v>
      </c>
      <c r="F93" s="6">
        <f>IFERROR(__xludf.DUMMYFUNCTION("""COMPUTED_VALUE"""),3354481.0)</f>
        <v>3354481</v>
      </c>
    </row>
    <row r="94">
      <c r="A94" s="7">
        <f>IFERROR(__xludf.DUMMYFUNCTION("""COMPUTED_VALUE"""),45849.64583333333)</f>
        <v>45849.64583</v>
      </c>
      <c r="B94" s="6">
        <f>IFERROR(__xludf.DUMMYFUNCTION("""COMPUTED_VALUE"""),2305.0)</f>
        <v>2305</v>
      </c>
      <c r="C94" s="6">
        <f>IFERROR(__xludf.DUMMYFUNCTION("""COMPUTED_VALUE"""),2319.5)</f>
        <v>2319.5</v>
      </c>
      <c r="D94" s="6">
        <f>IFERROR(__xludf.DUMMYFUNCTION("""COMPUTED_VALUE"""),2196.0)</f>
        <v>2196</v>
      </c>
      <c r="E94" s="6">
        <f>IFERROR(__xludf.DUMMYFUNCTION("""COMPUTED_VALUE"""),2206.3)</f>
        <v>2206.3</v>
      </c>
      <c r="F94" s="6">
        <f>IFERROR(__xludf.DUMMYFUNCTION("""COMPUTED_VALUE"""),3342755.0)</f>
        <v>3342755</v>
      </c>
    </row>
    <row r="95">
      <c r="A95" s="7">
        <f>IFERROR(__xludf.DUMMYFUNCTION("""COMPUTED_VALUE"""),45856.64583333333)</f>
        <v>45856.64583</v>
      </c>
      <c r="B95" s="6">
        <f>IFERROR(__xludf.DUMMYFUNCTION("""COMPUTED_VALUE"""),2206.3)</f>
        <v>2206.3</v>
      </c>
      <c r="C95" s="6">
        <f>IFERROR(__xludf.DUMMYFUNCTION("""COMPUTED_VALUE"""),2369.0)</f>
        <v>2369</v>
      </c>
      <c r="D95" s="6">
        <f>IFERROR(__xludf.DUMMYFUNCTION("""COMPUTED_VALUE"""),2192.9)</f>
        <v>2192.9</v>
      </c>
      <c r="E95" s="6">
        <f>IFERROR(__xludf.DUMMYFUNCTION("""COMPUTED_VALUE"""),2365.4)</f>
        <v>2365.4</v>
      </c>
      <c r="F95" s="6">
        <f>IFERROR(__xludf.DUMMYFUNCTION("""COMPUTED_VALUE"""),4783274.0)</f>
        <v>4783274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IFERROR(__xludf.DUMMYFUNCTION("""COMPUTED_VALUE"""),2371.5)</f>
        <v>2371.5</v>
      </c>
      <c r="C96" s="6">
        <f>IFERROR(__xludf.DUMMYFUNCTION("""COMPUTED_VALUE"""),2407.9)</f>
        <v>2407.9</v>
      </c>
      <c r="D96" s="6">
        <f>IFERROR(__xludf.DUMMYFUNCTION("""COMPUTED_VALUE"""),2225.6)</f>
        <v>2225.6</v>
      </c>
      <c r="E96" s="6">
        <f>IFERROR(__xludf.DUMMYFUNCTION("""COMPUTED_VALUE"""),2233.8)</f>
        <v>2233.8</v>
      </c>
      <c r="F96" s="6">
        <f>IFERROR(__xludf.DUMMYFUNCTION("""COMPUTED_VALUE"""),3242770.0)</f>
        <v>3242770</v>
      </c>
    </row>
    <row r="97">
      <c r="A97" s="7">
        <f>IFERROR(__xludf.DUMMYFUNCTION("""COMPUTED_VALUE"""),45870.64583333333)</f>
        <v>45870.64583</v>
      </c>
      <c r="B97" s="6">
        <f>IFERROR(__xludf.DUMMYFUNCTION("""COMPUTED_VALUE"""),2225.0)</f>
        <v>2225</v>
      </c>
      <c r="C97" s="6">
        <f>IFERROR(__xludf.DUMMYFUNCTION("""COMPUTED_VALUE"""),2225.0)</f>
        <v>2225</v>
      </c>
      <c r="D97" s="6">
        <f>IFERROR(__xludf.DUMMYFUNCTION("""COMPUTED_VALUE"""),2042.0)</f>
        <v>2042</v>
      </c>
      <c r="E97" s="6">
        <f>IFERROR(__xludf.DUMMYFUNCTION("""COMPUTED_VALUE"""),2050.6)</f>
        <v>2050.6</v>
      </c>
      <c r="F97" s="6">
        <f>IFERROR(__xludf.DUMMYFUNCTION("""COMPUTED_VALUE"""),4510573.0)</f>
        <v>4510573</v>
      </c>
    </row>
    <row r="98">
      <c r="A98" s="7">
        <f>IFERROR(__xludf.DUMMYFUNCTION("""COMPUTED_VALUE"""),45877.64583333333)</f>
        <v>45877.64583</v>
      </c>
      <c r="B98" s="6">
        <f>IFERROR(__xludf.DUMMYFUNCTION("""COMPUTED_VALUE"""),2036.0)</f>
        <v>2036</v>
      </c>
      <c r="C98" s="6">
        <f>IFERROR(__xludf.DUMMYFUNCTION("""COMPUTED_VALUE"""),2120.0)</f>
        <v>2120</v>
      </c>
      <c r="D98" s="6">
        <f>IFERROR(__xludf.DUMMYFUNCTION("""COMPUTED_VALUE"""),1965.5)</f>
        <v>1965.5</v>
      </c>
      <c r="E98" s="6">
        <f>IFERROR(__xludf.DUMMYFUNCTION("""COMPUTED_VALUE"""),1971.9)</f>
        <v>1971.9</v>
      </c>
      <c r="F98" s="6">
        <f>IFERROR(__xludf.DUMMYFUNCTION("""COMPUTED_VALUE"""),3891877.0)</f>
        <v>3891877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IFERROR(__xludf.DUMMYFUNCTION("""COMPUTED_VALUE"""),1973.3)</f>
        <v>1973.3</v>
      </c>
      <c r="C99" s="6">
        <f>IFERROR(__xludf.DUMMYFUNCTION("""COMPUTED_VALUE"""),1997.0)</f>
        <v>1997</v>
      </c>
      <c r="D99" s="6">
        <f>IFERROR(__xludf.DUMMYFUNCTION("""COMPUTED_VALUE"""),1934.8)</f>
        <v>1934.8</v>
      </c>
      <c r="E99" s="6">
        <f>IFERROR(__xludf.DUMMYFUNCTION("""COMPUTED_VALUE"""),1936.6)</f>
        <v>1936.6</v>
      </c>
      <c r="F99" s="6">
        <f>IFERROR(__xludf.DUMMYFUNCTION("""COMPUTED_VALUE"""),4053175.0)</f>
        <v>4053175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IFERROR(__xludf.DUMMYFUNCTION("""COMPUTED_VALUE"""),1971.0)</f>
        <v>1971</v>
      </c>
      <c r="C100" s="6">
        <f>IFERROR(__xludf.DUMMYFUNCTION("""COMPUTED_VALUE"""),2091.9)</f>
        <v>2091.9</v>
      </c>
      <c r="D100" s="6">
        <f>IFERROR(__xludf.DUMMYFUNCTION("""COMPUTED_VALUE"""),1953.9)</f>
        <v>1953.9</v>
      </c>
      <c r="E100" s="6">
        <f>IFERROR(__xludf.DUMMYFUNCTION("""COMPUTED_VALUE"""),2052.9)</f>
        <v>2052.9</v>
      </c>
      <c r="F100" s="6">
        <f>IFERROR(__xludf.DUMMYFUNCTION("""COMPUTED_VALUE"""),4433189.0)</f>
        <v>4433189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IFERROR(__xludf.DUMMYFUNCTION("""COMPUTED_VALUE"""),2074.0)</f>
        <v>2074</v>
      </c>
      <c r="C101" s="6">
        <f>IFERROR(__xludf.DUMMYFUNCTION("""COMPUTED_VALUE"""),2095.0)</f>
        <v>2095</v>
      </c>
      <c r="D101" s="6">
        <f>IFERROR(__xludf.DUMMYFUNCTION("""COMPUTED_VALUE"""),2000.0)</f>
        <v>2000</v>
      </c>
      <c r="E101" s="6">
        <f>IFERROR(__xludf.DUMMYFUNCTION("""COMPUTED_VALUE"""),2007.1)</f>
        <v>2007.1</v>
      </c>
      <c r="F101" s="6">
        <f>IFERROR(__xludf.DUMMYFUNCTION("""COMPUTED_VALUE"""),6746176.0)</f>
        <v>6746176</v>
      </c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IFERROR(__xludf.DUMMYFUNCTION("GOOGLEFINANCE(""NSE:GRASIM"",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IFERROR(__xludf.DUMMYFUNCTION("""COMPUTED_VALUE"""),1770.91)</f>
        <v>1770.91</v>
      </c>
      <c r="C2" s="6">
        <f>IFERROR(__xludf.DUMMYFUNCTION("""COMPUTED_VALUE"""),1817.77)</f>
        <v>1817.77</v>
      </c>
      <c r="D2" s="6">
        <f>IFERROR(__xludf.DUMMYFUNCTION("""COMPUTED_VALUE"""),1761.3)</f>
        <v>1761.3</v>
      </c>
      <c r="E2" s="6">
        <f>IFERROR(__xludf.DUMMYFUNCTION("""COMPUTED_VALUE"""),1804.33)</f>
        <v>1804.33</v>
      </c>
      <c r="F2" s="6">
        <f>IFERROR(__xludf.DUMMYFUNCTION("""COMPUTED_VALUE"""),3549366.0)</f>
        <v>3549366</v>
      </c>
    </row>
    <row r="3">
      <c r="A3" s="7">
        <f>IFERROR(__xludf.DUMMYFUNCTION("""COMPUTED_VALUE"""),45177.64583333333)</f>
        <v>45177.64583</v>
      </c>
      <c r="B3" s="6">
        <f>IFERROR(__xludf.DUMMYFUNCTION("""COMPUTED_VALUE"""),1807.86)</f>
        <v>1807.86</v>
      </c>
      <c r="C3" s="6">
        <f>IFERROR(__xludf.DUMMYFUNCTION("""COMPUTED_VALUE"""),1864.59)</f>
        <v>1864.59</v>
      </c>
      <c r="D3" s="6">
        <f>IFERROR(__xludf.DUMMYFUNCTION("""COMPUTED_VALUE"""),1807.81)</f>
        <v>1807.81</v>
      </c>
      <c r="E3" s="6">
        <f>IFERROR(__xludf.DUMMYFUNCTION("""COMPUTED_VALUE"""),1842.42)</f>
        <v>1842.42</v>
      </c>
      <c r="F3" s="6">
        <f>IFERROR(__xludf.DUMMYFUNCTION("""COMPUTED_VALUE"""),3193585.0)</f>
        <v>3193585</v>
      </c>
    </row>
    <row r="4">
      <c r="A4" s="7">
        <f>IFERROR(__xludf.DUMMYFUNCTION("""COMPUTED_VALUE"""),45184.64583333333)</f>
        <v>45184.64583</v>
      </c>
      <c r="B4" s="6">
        <f>IFERROR(__xludf.DUMMYFUNCTION("""COMPUTED_VALUE"""),1842.42)</f>
        <v>1842.42</v>
      </c>
      <c r="C4" s="6">
        <f>IFERROR(__xludf.DUMMYFUNCTION("""COMPUTED_VALUE"""),1980.08)</f>
        <v>1980.08</v>
      </c>
      <c r="D4" s="6">
        <f>IFERROR(__xludf.DUMMYFUNCTION("""COMPUTED_VALUE"""),1828.73)</f>
        <v>1828.73</v>
      </c>
      <c r="E4" s="6">
        <f>IFERROR(__xludf.DUMMYFUNCTION("""COMPUTED_VALUE"""),1965.04)</f>
        <v>1965.04</v>
      </c>
      <c r="F4" s="6">
        <f>IFERROR(__xludf.DUMMYFUNCTION("""COMPUTED_VALUE"""),8055504.0)</f>
        <v>8055504</v>
      </c>
    </row>
    <row r="5">
      <c r="A5" s="7">
        <f>IFERROR(__xludf.DUMMYFUNCTION("""COMPUTED_VALUE"""),45191.64583333333)</f>
        <v>45191.64583</v>
      </c>
      <c r="B5" s="6">
        <f>IFERROR(__xludf.DUMMYFUNCTION("""COMPUTED_VALUE"""),1972.16)</f>
        <v>1972.16</v>
      </c>
      <c r="C5" s="6">
        <f>IFERROR(__xludf.DUMMYFUNCTION("""COMPUTED_VALUE"""),1980.23)</f>
        <v>1980.23</v>
      </c>
      <c r="D5" s="6">
        <f>IFERROR(__xludf.DUMMYFUNCTION("""COMPUTED_VALUE"""),1881.82)</f>
        <v>1881.82</v>
      </c>
      <c r="E5" s="6">
        <f>IFERROR(__xludf.DUMMYFUNCTION("""COMPUTED_VALUE"""),1904.38)</f>
        <v>1904.38</v>
      </c>
      <c r="F5" s="6">
        <f>IFERROR(__xludf.DUMMYFUNCTION("""COMPUTED_VALUE"""),2933773.0)</f>
        <v>2933773</v>
      </c>
    </row>
    <row r="6">
      <c r="A6" s="7">
        <f>IFERROR(__xludf.DUMMYFUNCTION("""COMPUTED_VALUE"""),45198.64583333333)</f>
        <v>45198.64583</v>
      </c>
      <c r="B6" s="6">
        <f>IFERROR(__xludf.DUMMYFUNCTION("""COMPUTED_VALUE"""),1904.38)</f>
        <v>1904.38</v>
      </c>
      <c r="C6" s="6">
        <f>IFERROR(__xludf.DUMMYFUNCTION("""COMPUTED_VALUE"""),1959.06)</f>
        <v>1959.06</v>
      </c>
      <c r="D6" s="6">
        <f>IFERROR(__xludf.DUMMYFUNCTION("""COMPUTED_VALUE"""),1889.09)</f>
        <v>1889.09</v>
      </c>
      <c r="E6" s="6">
        <f>IFERROR(__xludf.DUMMYFUNCTION("""COMPUTED_VALUE"""),1934.71)</f>
        <v>1934.71</v>
      </c>
      <c r="F6" s="6">
        <f>IFERROR(__xludf.DUMMYFUNCTION("""COMPUTED_VALUE"""),3450630.0)</f>
        <v>3450630</v>
      </c>
    </row>
    <row r="7">
      <c r="A7" s="7">
        <f>IFERROR(__xludf.DUMMYFUNCTION("""COMPUTED_VALUE"""),45205.64583333333)</f>
        <v>45205.64583</v>
      </c>
      <c r="B7" s="6">
        <f>IFERROR(__xludf.DUMMYFUNCTION("""COMPUTED_VALUE"""),1920.46)</f>
        <v>1920.46</v>
      </c>
      <c r="C7" s="6">
        <f>IFERROR(__xludf.DUMMYFUNCTION("""COMPUTED_VALUE"""),1931.32)</f>
        <v>1931.32</v>
      </c>
      <c r="D7" s="6">
        <f>IFERROR(__xludf.DUMMYFUNCTION("""COMPUTED_VALUE"""),1869.62)</f>
        <v>1869.62</v>
      </c>
      <c r="E7" s="6">
        <f>IFERROR(__xludf.DUMMYFUNCTION("""COMPUTED_VALUE"""),1895.76)</f>
        <v>1895.76</v>
      </c>
      <c r="F7" s="6">
        <f>IFERROR(__xludf.DUMMYFUNCTION("""COMPUTED_VALUE"""),2232320.0)</f>
        <v>2232320</v>
      </c>
    </row>
    <row r="8">
      <c r="A8" s="7">
        <f>IFERROR(__xludf.DUMMYFUNCTION("""COMPUTED_VALUE"""),45212.64583333333)</f>
        <v>45212.64583</v>
      </c>
      <c r="B8" s="6">
        <f>IFERROR(__xludf.DUMMYFUNCTION("""COMPUTED_VALUE"""),1882.56)</f>
        <v>1882.56</v>
      </c>
      <c r="C8" s="6">
        <f>IFERROR(__xludf.DUMMYFUNCTION("""COMPUTED_VALUE"""),2013.99)</f>
        <v>2013.99</v>
      </c>
      <c r="D8" s="6">
        <f>IFERROR(__xludf.DUMMYFUNCTION("""COMPUTED_VALUE"""),1867.67)</f>
        <v>1867.67</v>
      </c>
      <c r="E8" s="6">
        <f>IFERROR(__xludf.DUMMYFUNCTION("""COMPUTED_VALUE"""),1974.75)</f>
        <v>1974.75</v>
      </c>
      <c r="F8" s="6">
        <f>IFERROR(__xludf.DUMMYFUNCTION("""COMPUTED_VALUE"""),4020858.0)</f>
        <v>4020858</v>
      </c>
    </row>
    <row r="9">
      <c r="A9" s="7">
        <f>IFERROR(__xludf.DUMMYFUNCTION("""COMPUTED_VALUE"""),45219.64583333333)</f>
        <v>45219.64583</v>
      </c>
      <c r="B9" s="6">
        <f>IFERROR(__xludf.DUMMYFUNCTION("""COMPUTED_VALUE"""),1974.75)</f>
        <v>1974.75</v>
      </c>
      <c r="C9" s="6">
        <f>IFERROR(__xludf.DUMMYFUNCTION("""COMPUTED_VALUE"""),2012.15)</f>
        <v>2012.15</v>
      </c>
      <c r="D9" s="6">
        <f>IFERROR(__xludf.DUMMYFUNCTION("""COMPUTED_VALUE"""),1920.17)</f>
        <v>1920.17</v>
      </c>
      <c r="E9" s="6">
        <f>IFERROR(__xludf.DUMMYFUNCTION("""COMPUTED_VALUE"""),1938.64)</f>
        <v>1938.64</v>
      </c>
      <c r="F9" s="6">
        <f>IFERROR(__xludf.DUMMYFUNCTION("""COMPUTED_VALUE"""),3759998.0)</f>
        <v>3759998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IFERROR(__xludf.DUMMYFUNCTION("""COMPUTED_VALUE"""),1931.52)</f>
        <v>1931.52</v>
      </c>
      <c r="C10" s="6">
        <f>IFERROR(__xludf.DUMMYFUNCTION("""COMPUTED_VALUE"""),1931.52)</f>
        <v>1931.52</v>
      </c>
      <c r="D10" s="6">
        <f>IFERROR(__xludf.DUMMYFUNCTION("""COMPUTED_VALUE"""),1832.26)</f>
        <v>1832.26</v>
      </c>
      <c r="E10" s="6">
        <f>IFERROR(__xludf.DUMMYFUNCTION("""COMPUTED_VALUE"""),1848.65)</f>
        <v>1848.65</v>
      </c>
      <c r="F10" s="6">
        <f>IFERROR(__xludf.DUMMYFUNCTION("""COMPUTED_VALUE"""),3035084.0)</f>
        <v>3035084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IFERROR(__xludf.DUMMYFUNCTION("""COMPUTED_VALUE"""),1848.65)</f>
        <v>1848.65</v>
      </c>
      <c r="C11" s="6">
        <f>IFERROR(__xludf.DUMMYFUNCTION("""COMPUTED_VALUE"""),1907.42)</f>
        <v>1907.42</v>
      </c>
      <c r="D11" s="6">
        <f>IFERROR(__xludf.DUMMYFUNCTION("""COMPUTED_VALUE"""),1820.81)</f>
        <v>1820.81</v>
      </c>
      <c r="E11" s="6">
        <f>IFERROR(__xludf.DUMMYFUNCTION("""COMPUTED_VALUE"""),1888.69)</f>
        <v>1888.69</v>
      </c>
      <c r="F11" s="6">
        <f>IFERROR(__xludf.DUMMYFUNCTION("""COMPUTED_VALUE"""),1704520.0)</f>
        <v>1704520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IFERROR(__xludf.DUMMYFUNCTION("""COMPUTED_VALUE"""),1894.57)</f>
        <v>1894.57</v>
      </c>
      <c r="C12" s="6">
        <f>IFERROR(__xludf.DUMMYFUNCTION("""COMPUTED_VALUE"""),1940.09)</f>
        <v>1940.09</v>
      </c>
      <c r="D12" s="6">
        <f>IFERROR(__xludf.DUMMYFUNCTION("""COMPUTED_VALUE"""),1888.69)</f>
        <v>1888.69</v>
      </c>
      <c r="E12" s="6">
        <f>IFERROR(__xludf.DUMMYFUNCTION("""COMPUTED_VALUE"""),1935.3)</f>
        <v>1935.3</v>
      </c>
      <c r="F12" s="6">
        <f>IFERROR(__xludf.DUMMYFUNCTION("""COMPUTED_VALUE"""),1420555.0)</f>
        <v>1420555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IFERROR(__xludf.DUMMYFUNCTION("""COMPUTED_VALUE"""),1942.18)</f>
        <v>1942.18</v>
      </c>
      <c r="C13" s="6">
        <f>IFERROR(__xludf.DUMMYFUNCTION("""COMPUTED_VALUE"""),1975.74)</f>
        <v>1975.74</v>
      </c>
      <c r="D13" s="6">
        <f>IFERROR(__xludf.DUMMYFUNCTION("""COMPUTED_VALUE"""),1906.27)</f>
        <v>1906.27</v>
      </c>
      <c r="E13" s="6">
        <f>IFERROR(__xludf.DUMMYFUNCTION("""COMPUTED_VALUE"""),1962.75)</f>
        <v>1962.75</v>
      </c>
      <c r="F13" s="6">
        <f>IFERROR(__xludf.DUMMYFUNCTION("""COMPUTED_VALUE"""),3029760.0)</f>
        <v>3029760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IFERROR(__xludf.DUMMYFUNCTION("""COMPUTED_VALUE"""),1963.79)</f>
        <v>1963.79</v>
      </c>
      <c r="C14" s="6">
        <f>IFERROR(__xludf.DUMMYFUNCTION("""COMPUTED_VALUE"""),1980.13)</f>
        <v>1980.13</v>
      </c>
      <c r="D14" s="6">
        <f>IFERROR(__xludf.DUMMYFUNCTION("""COMPUTED_VALUE"""),1937.75)</f>
        <v>1937.75</v>
      </c>
      <c r="E14" s="6">
        <f>IFERROR(__xludf.DUMMYFUNCTION("""COMPUTED_VALUE"""),1941.68)</f>
        <v>1941.68</v>
      </c>
      <c r="F14" s="6">
        <f>IFERROR(__xludf.DUMMYFUNCTION("""COMPUTED_VALUE"""),1520495.0)</f>
        <v>1520495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IFERROR(__xludf.DUMMYFUNCTION("""COMPUTED_VALUE"""),1955.23)</f>
        <v>1955.23</v>
      </c>
      <c r="C15" s="6">
        <f>IFERROR(__xludf.DUMMYFUNCTION("""COMPUTED_VALUE"""),2030.92)</f>
        <v>2030.92</v>
      </c>
      <c r="D15" s="6">
        <f>IFERROR(__xludf.DUMMYFUNCTION("""COMPUTED_VALUE"""),1945.51)</f>
        <v>1945.51</v>
      </c>
      <c r="E15" s="6">
        <f>IFERROR(__xludf.DUMMYFUNCTION("""COMPUTED_VALUE"""),2008.07)</f>
        <v>2008.07</v>
      </c>
      <c r="F15" s="6">
        <f>IFERROR(__xludf.DUMMYFUNCTION("""COMPUTED_VALUE"""),4146097.0)</f>
        <v>4146097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IFERROR(__xludf.DUMMYFUNCTION("""COMPUTED_VALUE"""),2066.78)</f>
        <v>2066.78</v>
      </c>
      <c r="C16" s="6">
        <f>IFERROR(__xludf.DUMMYFUNCTION("""COMPUTED_VALUE"""),2090.99)</f>
        <v>2090.99</v>
      </c>
      <c r="D16" s="6">
        <f>IFERROR(__xludf.DUMMYFUNCTION("""COMPUTED_VALUE"""),2020.42)</f>
        <v>2020.42</v>
      </c>
      <c r="E16" s="6">
        <f>IFERROR(__xludf.DUMMYFUNCTION("""COMPUTED_VALUE"""),2061.85)</f>
        <v>2061.85</v>
      </c>
      <c r="F16" s="6">
        <f>IFERROR(__xludf.DUMMYFUNCTION("""COMPUTED_VALUE"""),2985521.0)</f>
        <v>2985521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IFERROR(__xludf.DUMMYFUNCTION("""COMPUTED_VALUE"""),2063.79)</f>
        <v>2063.79</v>
      </c>
      <c r="C17" s="6">
        <f>IFERROR(__xludf.DUMMYFUNCTION("""COMPUTED_VALUE"""),2124.3)</f>
        <v>2124.3</v>
      </c>
      <c r="D17" s="6">
        <f>IFERROR(__xludf.DUMMYFUNCTION("""COMPUTED_VALUE"""),2029.23)</f>
        <v>2029.23</v>
      </c>
      <c r="E17" s="6">
        <f>IFERROR(__xludf.DUMMYFUNCTION("""COMPUTED_VALUE"""),2119.27)</f>
        <v>2119.27</v>
      </c>
      <c r="F17" s="6">
        <f>IFERROR(__xludf.DUMMYFUNCTION("""COMPUTED_VALUE"""),3156648.0)</f>
        <v>3156648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IFERROR(__xludf.DUMMYFUNCTION("""COMPUTED_VALUE"""),2119.27)</f>
        <v>2119.27</v>
      </c>
      <c r="C18" s="6">
        <f>IFERROR(__xludf.DUMMYFUNCTION("""COMPUTED_VALUE"""),2129.33)</f>
        <v>2129.33</v>
      </c>
      <c r="D18" s="6">
        <f>IFERROR(__xludf.DUMMYFUNCTION("""COMPUTED_VALUE"""),2026.84)</f>
        <v>2026.84</v>
      </c>
      <c r="E18" s="6">
        <f>IFERROR(__xludf.DUMMYFUNCTION("""COMPUTED_VALUE"""),2038.1)</f>
        <v>2038.1</v>
      </c>
      <c r="F18" s="6">
        <f>IFERROR(__xludf.DUMMYFUNCTION("""COMPUTED_VALUE"""),2751341.0)</f>
        <v>2751341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IFERROR(__xludf.DUMMYFUNCTION("""COMPUTED_VALUE"""),2042.88)</f>
        <v>2042.88</v>
      </c>
      <c r="C19" s="6">
        <f>IFERROR(__xludf.DUMMYFUNCTION("""COMPUTED_VALUE"""),2139.74)</f>
        <v>2139.74</v>
      </c>
      <c r="D19" s="6">
        <f>IFERROR(__xludf.DUMMYFUNCTION("""COMPUTED_VALUE"""),2040.89)</f>
        <v>2040.89</v>
      </c>
      <c r="E19" s="6">
        <f>IFERROR(__xludf.DUMMYFUNCTION("""COMPUTED_VALUE"""),2126.35)</f>
        <v>2126.35</v>
      </c>
      <c r="F19" s="6">
        <f>IFERROR(__xludf.DUMMYFUNCTION("""COMPUTED_VALUE"""),3483236.0)</f>
        <v>3483236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IFERROR(__xludf.DUMMYFUNCTION("""COMPUTED_VALUE"""),2136.5)</f>
        <v>2136.5</v>
      </c>
      <c r="C20" s="6">
        <f>IFERROR(__xludf.DUMMYFUNCTION("""COMPUTED_VALUE"""),2166.39)</f>
        <v>2166.39</v>
      </c>
      <c r="D20" s="6">
        <f>IFERROR(__xludf.DUMMYFUNCTION("""COMPUTED_VALUE"""),2045.42)</f>
        <v>2045.42</v>
      </c>
      <c r="E20" s="6">
        <f>IFERROR(__xludf.DUMMYFUNCTION("""COMPUTED_VALUE"""),2071.26)</f>
        <v>2071.26</v>
      </c>
      <c r="F20" s="6">
        <f>IFERROR(__xludf.DUMMYFUNCTION("""COMPUTED_VALUE"""),4615880.0)</f>
        <v>4615880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IFERROR(__xludf.DUMMYFUNCTION("""COMPUTED_VALUE"""),2071.26)</f>
        <v>2071.26</v>
      </c>
      <c r="C21" s="6">
        <f>IFERROR(__xludf.DUMMYFUNCTION("""COMPUTED_VALUE"""),2120.9)</f>
        <v>2120.9</v>
      </c>
      <c r="D21" s="6">
        <f>IFERROR(__xludf.DUMMYFUNCTION("""COMPUTED_VALUE"""),2040.85)</f>
        <v>2040.85</v>
      </c>
      <c r="E21" s="6">
        <f>IFERROR(__xludf.DUMMYFUNCTION("""COMPUTED_VALUE"""),2111.55)</f>
        <v>2111.55</v>
      </c>
      <c r="F21" s="6">
        <f>IFERROR(__xludf.DUMMYFUNCTION("""COMPUTED_VALUE"""),3468077.0)</f>
        <v>3468077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IFERROR(__xludf.DUMMYFUNCTION("""COMPUTED_VALUE"""),2078.1)</f>
        <v>2078.1</v>
      </c>
      <c r="C22" s="6">
        <f>IFERROR(__xludf.DUMMYFUNCTION("""COMPUTED_VALUE"""),2087.35)</f>
        <v>2087.35</v>
      </c>
      <c r="D22" s="6">
        <f>IFERROR(__xludf.DUMMYFUNCTION("""COMPUTED_VALUE"""),2016.55)</f>
        <v>2016.55</v>
      </c>
      <c r="E22" s="6">
        <f>IFERROR(__xludf.DUMMYFUNCTION("""COMPUTED_VALUE"""),2076.5)</f>
        <v>2076.5</v>
      </c>
      <c r="F22" s="6">
        <f>IFERROR(__xludf.DUMMYFUNCTION("""COMPUTED_VALUE"""),2009396.0)</f>
        <v>2009396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IFERROR(__xludf.DUMMYFUNCTION("""COMPUTED_VALUE"""),2080.0)</f>
        <v>2080</v>
      </c>
      <c r="C23" s="6">
        <f>IFERROR(__xludf.DUMMYFUNCTION("""COMPUTED_VALUE"""),2182.05)</f>
        <v>2182.05</v>
      </c>
      <c r="D23" s="6">
        <f>IFERROR(__xludf.DUMMYFUNCTION("""COMPUTED_VALUE"""),2077.75)</f>
        <v>2077.75</v>
      </c>
      <c r="E23" s="6">
        <f>IFERROR(__xludf.DUMMYFUNCTION("""COMPUTED_VALUE"""),2139.45)</f>
        <v>2139.45</v>
      </c>
      <c r="F23" s="6">
        <f>IFERROR(__xludf.DUMMYFUNCTION("""COMPUTED_VALUE"""),3527794.0)</f>
        <v>3527794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IFERROR(__xludf.DUMMYFUNCTION("""COMPUTED_VALUE"""),2130.1)</f>
        <v>2130.1</v>
      </c>
      <c r="C24" s="6">
        <f>IFERROR(__xludf.DUMMYFUNCTION("""COMPUTED_VALUE"""),2182.0)</f>
        <v>2182</v>
      </c>
      <c r="D24" s="6">
        <f>IFERROR(__xludf.DUMMYFUNCTION("""COMPUTED_VALUE"""),2046.9)</f>
        <v>2046.9</v>
      </c>
      <c r="E24" s="6">
        <f>IFERROR(__xludf.DUMMYFUNCTION("""COMPUTED_VALUE"""),2168.5)</f>
        <v>2168.5</v>
      </c>
      <c r="F24" s="6">
        <f>IFERROR(__xludf.DUMMYFUNCTION("""COMPUTED_VALUE"""),6062054.0)</f>
        <v>6062054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IFERROR(__xludf.DUMMYFUNCTION("""COMPUTED_VALUE"""),2175.0)</f>
        <v>2175</v>
      </c>
      <c r="C25" s="6">
        <f>IFERROR(__xludf.DUMMYFUNCTION("""COMPUTED_VALUE"""),2199.0)</f>
        <v>2199</v>
      </c>
      <c r="D25" s="6">
        <f>IFERROR(__xludf.DUMMYFUNCTION("""COMPUTED_VALUE"""),2027.5)</f>
        <v>2027.5</v>
      </c>
      <c r="E25" s="6">
        <f>IFERROR(__xludf.DUMMYFUNCTION("""COMPUTED_VALUE"""),2105.65)</f>
        <v>2105.65</v>
      </c>
      <c r="F25" s="6">
        <f>IFERROR(__xludf.DUMMYFUNCTION("""COMPUTED_VALUE"""),3729416.0)</f>
        <v>3729416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IFERROR(__xludf.DUMMYFUNCTION("""COMPUTED_VALUE"""),2107.45)</f>
        <v>2107.45</v>
      </c>
      <c r="C26" s="6">
        <f>IFERROR(__xludf.DUMMYFUNCTION("""COMPUTED_VALUE"""),2244.0)</f>
        <v>2244</v>
      </c>
      <c r="D26" s="6">
        <f>IFERROR(__xludf.DUMMYFUNCTION("""COMPUTED_VALUE"""),2102.2)</f>
        <v>2102.2</v>
      </c>
      <c r="E26" s="6">
        <f>IFERROR(__xludf.DUMMYFUNCTION("""COMPUTED_VALUE"""),2194.4)</f>
        <v>2194.4</v>
      </c>
      <c r="F26" s="6">
        <f>IFERROR(__xludf.DUMMYFUNCTION("""COMPUTED_VALUE"""),8718369.0)</f>
        <v>8718369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IFERROR(__xludf.DUMMYFUNCTION("""COMPUTED_VALUE"""),2245.0)</f>
        <v>2245</v>
      </c>
      <c r="C27" s="6">
        <f>IFERROR(__xludf.DUMMYFUNCTION("""COMPUTED_VALUE"""),2260.0)</f>
        <v>2260</v>
      </c>
      <c r="D27" s="6">
        <f>IFERROR(__xludf.DUMMYFUNCTION("""COMPUTED_VALUE"""),2196.6)</f>
        <v>2196.6</v>
      </c>
      <c r="E27" s="6">
        <f>IFERROR(__xludf.DUMMYFUNCTION("""COMPUTED_VALUE"""),2228.1)</f>
        <v>2228.1</v>
      </c>
      <c r="F27" s="6">
        <f>IFERROR(__xludf.DUMMYFUNCTION("""COMPUTED_VALUE"""),2023503.0)</f>
        <v>2023503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IFERROR(__xludf.DUMMYFUNCTION("""COMPUTED_VALUE"""),2230.0)</f>
        <v>2230</v>
      </c>
      <c r="C28" s="6">
        <f>IFERROR(__xludf.DUMMYFUNCTION("""COMPUTED_VALUE"""),2270.55)</f>
        <v>2270.55</v>
      </c>
      <c r="D28" s="6">
        <f>IFERROR(__xludf.DUMMYFUNCTION("""COMPUTED_VALUE"""),2128.6)</f>
        <v>2128.6</v>
      </c>
      <c r="E28" s="6">
        <f>IFERROR(__xludf.DUMMYFUNCTION("""COMPUTED_VALUE"""),2197.1)</f>
        <v>2197.1</v>
      </c>
      <c r="F28" s="6">
        <f>IFERROR(__xludf.DUMMYFUNCTION("""COMPUTED_VALUE"""),6100167.0)</f>
        <v>6100167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IFERROR(__xludf.DUMMYFUNCTION("""COMPUTED_VALUE"""),2181.0)</f>
        <v>2181</v>
      </c>
      <c r="C29" s="6">
        <f>IFERROR(__xludf.DUMMYFUNCTION("""COMPUTED_VALUE"""),2234.0)</f>
        <v>2234</v>
      </c>
      <c r="D29" s="6">
        <f>IFERROR(__xludf.DUMMYFUNCTION("""COMPUTED_VALUE"""),2131.0)</f>
        <v>2131</v>
      </c>
      <c r="E29" s="6">
        <f>IFERROR(__xludf.DUMMYFUNCTION("""COMPUTED_VALUE"""),2223.55)</f>
        <v>2223.55</v>
      </c>
      <c r="F29" s="6">
        <f>IFERROR(__xludf.DUMMYFUNCTION("""COMPUTED_VALUE"""),3256412.0)</f>
        <v>3256412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IFERROR(__xludf.DUMMYFUNCTION("""COMPUTED_VALUE"""),2215.0)</f>
        <v>2215</v>
      </c>
      <c r="C30" s="6">
        <f>IFERROR(__xludf.DUMMYFUNCTION("""COMPUTED_VALUE"""),2309.2)</f>
        <v>2309.2</v>
      </c>
      <c r="D30" s="6">
        <f>IFERROR(__xludf.DUMMYFUNCTION("""COMPUTED_VALUE"""),2198.7)</f>
        <v>2198.7</v>
      </c>
      <c r="E30" s="6">
        <f>IFERROR(__xludf.DUMMYFUNCTION("""COMPUTED_VALUE"""),2287.3)</f>
        <v>2287.3</v>
      </c>
      <c r="F30" s="6">
        <f>IFERROR(__xludf.DUMMYFUNCTION("""COMPUTED_VALUE"""),3551989.0)</f>
        <v>3551989</v>
      </c>
    </row>
    <row r="31">
      <c r="A31" s="7">
        <f>IFERROR(__xludf.DUMMYFUNCTION("""COMPUTED_VALUE"""),45387.64583333333)</f>
        <v>45387.64583</v>
      </c>
      <c r="B31" s="6">
        <f>IFERROR(__xludf.DUMMYFUNCTION("""COMPUTED_VALUE"""),2300.0)</f>
        <v>2300</v>
      </c>
      <c r="C31" s="6">
        <f>IFERROR(__xludf.DUMMYFUNCTION("""COMPUTED_VALUE"""),2323.75)</f>
        <v>2323.75</v>
      </c>
      <c r="D31" s="6">
        <f>IFERROR(__xludf.DUMMYFUNCTION("""COMPUTED_VALUE"""),2233.5)</f>
        <v>2233.5</v>
      </c>
      <c r="E31" s="6">
        <f>IFERROR(__xludf.DUMMYFUNCTION("""COMPUTED_VALUE"""),2237.55)</f>
        <v>2237.55</v>
      </c>
      <c r="F31" s="6">
        <f>IFERROR(__xludf.DUMMYFUNCTION("""COMPUTED_VALUE"""),2308544.0)</f>
        <v>2308544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IFERROR(__xludf.DUMMYFUNCTION("""COMPUTED_VALUE"""),2247.0)</f>
        <v>2247</v>
      </c>
      <c r="C32" s="6">
        <f>IFERROR(__xludf.DUMMYFUNCTION("""COMPUTED_VALUE"""),2314.9)</f>
        <v>2314.9</v>
      </c>
      <c r="D32" s="6">
        <f>IFERROR(__xludf.DUMMYFUNCTION("""COMPUTED_VALUE"""),2235.0)</f>
        <v>2235</v>
      </c>
      <c r="E32" s="6">
        <f>IFERROR(__xludf.DUMMYFUNCTION("""COMPUTED_VALUE"""),2254.05)</f>
        <v>2254.05</v>
      </c>
      <c r="F32" s="6">
        <f>IFERROR(__xludf.DUMMYFUNCTION("""COMPUTED_VALUE"""),1815591.0)</f>
        <v>1815591</v>
      </c>
    </row>
    <row r="33">
      <c r="A33" s="7">
        <f>IFERROR(__xludf.DUMMYFUNCTION("""COMPUTED_VALUE"""),45401.64583333333)</f>
        <v>45401.64583</v>
      </c>
      <c r="B33" s="6">
        <f>IFERROR(__xludf.DUMMYFUNCTION("""COMPUTED_VALUE"""),2239.0)</f>
        <v>2239</v>
      </c>
      <c r="C33" s="6">
        <f>IFERROR(__xludf.DUMMYFUNCTION("""COMPUTED_VALUE"""),2300.85)</f>
        <v>2300.85</v>
      </c>
      <c r="D33" s="6">
        <f>IFERROR(__xludf.DUMMYFUNCTION("""COMPUTED_VALUE"""),2201.35)</f>
        <v>2201.35</v>
      </c>
      <c r="E33" s="6">
        <f>IFERROR(__xludf.DUMMYFUNCTION("""COMPUTED_VALUE"""),2273.15)</f>
        <v>2273.15</v>
      </c>
      <c r="F33" s="6">
        <f>IFERROR(__xludf.DUMMYFUNCTION("""COMPUTED_VALUE"""),3021269.0)</f>
        <v>3021269</v>
      </c>
    </row>
    <row r="34">
      <c r="A34" s="7">
        <f>IFERROR(__xludf.DUMMYFUNCTION("""COMPUTED_VALUE"""),45408.64583333333)</f>
        <v>45408.64583</v>
      </c>
      <c r="B34" s="6">
        <f>IFERROR(__xludf.DUMMYFUNCTION("""COMPUTED_VALUE"""),2275.0)</f>
        <v>2275</v>
      </c>
      <c r="C34" s="6">
        <f>IFERROR(__xludf.DUMMYFUNCTION("""COMPUTED_VALUE"""),2384.3)</f>
        <v>2384.3</v>
      </c>
      <c r="D34" s="6">
        <f>IFERROR(__xludf.DUMMYFUNCTION("""COMPUTED_VALUE"""),2266.05)</f>
        <v>2266.05</v>
      </c>
      <c r="E34" s="6">
        <f>IFERROR(__xludf.DUMMYFUNCTION("""COMPUTED_VALUE"""),2342.45)</f>
        <v>2342.45</v>
      </c>
      <c r="F34" s="6">
        <f>IFERROR(__xludf.DUMMYFUNCTION("""COMPUTED_VALUE"""),5318218.0)</f>
        <v>5318218</v>
      </c>
    </row>
    <row r="35">
      <c r="A35" s="7">
        <f>IFERROR(__xludf.DUMMYFUNCTION("""COMPUTED_VALUE"""),45415.64583333333)</f>
        <v>45415.64583</v>
      </c>
      <c r="B35" s="6">
        <f>IFERROR(__xludf.DUMMYFUNCTION("""COMPUTED_VALUE"""),2355.0)</f>
        <v>2355</v>
      </c>
      <c r="C35" s="6">
        <f>IFERROR(__xludf.DUMMYFUNCTION("""COMPUTED_VALUE"""),2487.0)</f>
        <v>2487</v>
      </c>
      <c r="D35" s="6">
        <f>IFERROR(__xludf.DUMMYFUNCTION("""COMPUTED_VALUE"""),2309.6)</f>
        <v>2309.6</v>
      </c>
      <c r="E35" s="6">
        <f>IFERROR(__xludf.DUMMYFUNCTION("""COMPUTED_VALUE"""),2481.35)</f>
        <v>2481.35</v>
      </c>
      <c r="F35" s="6">
        <f>IFERROR(__xludf.DUMMYFUNCTION("""COMPUTED_VALUE"""),4317091.0)</f>
        <v>4317091</v>
      </c>
    </row>
    <row r="36">
      <c r="A36" s="7">
        <f>IFERROR(__xludf.DUMMYFUNCTION("""COMPUTED_VALUE"""),45422.64583333333)</f>
        <v>45422.64583</v>
      </c>
      <c r="B36" s="6">
        <f>IFERROR(__xludf.DUMMYFUNCTION("""COMPUTED_VALUE"""),2489.0)</f>
        <v>2489</v>
      </c>
      <c r="C36" s="6">
        <f>IFERROR(__xludf.DUMMYFUNCTION("""COMPUTED_VALUE"""),2489.75)</f>
        <v>2489.75</v>
      </c>
      <c r="D36" s="6">
        <f>IFERROR(__xludf.DUMMYFUNCTION("""COMPUTED_VALUE"""),2322.0)</f>
        <v>2322</v>
      </c>
      <c r="E36" s="6">
        <f>IFERROR(__xludf.DUMMYFUNCTION("""COMPUTED_VALUE"""),2377.15)</f>
        <v>2377.15</v>
      </c>
      <c r="F36" s="6">
        <f>IFERROR(__xludf.DUMMYFUNCTION("""COMPUTED_VALUE"""),2955988.0)</f>
        <v>2955988</v>
      </c>
    </row>
    <row r="37">
      <c r="A37" s="7">
        <f>IFERROR(__xludf.DUMMYFUNCTION("""COMPUTED_VALUE"""),45436.64583333333)</f>
        <v>45436.64583</v>
      </c>
      <c r="B37" s="6">
        <f>IFERROR(__xludf.DUMMYFUNCTION("""COMPUTED_VALUE"""),2430.1)</f>
        <v>2430.1</v>
      </c>
      <c r="C37" s="6">
        <f>IFERROR(__xludf.DUMMYFUNCTION("""COMPUTED_VALUE"""),2474.8)</f>
        <v>2474.8</v>
      </c>
      <c r="D37" s="6">
        <f>IFERROR(__xludf.DUMMYFUNCTION("""COMPUTED_VALUE"""),2395.65)</f>
        <v>2395.65</v>
      </c>
      <c r="E37" s="6">
        <f>IFERROR(__xludf.DUMMYFUNCTION("""COMPUTED_VALUE"""),2441.0)</f>
        <v>2441</v>
      </c>
      <c r="F37" s="6">
        <f>IFERROR(__xludf.DUMMYFUNCTION("""COMPUTED_VALUE"""),2852282.0)</f>
        <v>2852282</v>
      </c>
    </row>
    <row r="38">
      <c r="A38" s="7">
        <f>IFERROR(__xludf.DUMMYFUNCTION("""COMPUTED_VALUE"""),45443.64583333333)</f>
        <v>45443.64583</v>
      </c>
      <c r="B38" s="6">
        <f>IFERROR(__xludf.DUMMYFUNCTION("""COMPUTED_VALUE"""),2441.05)</f>
        <v>2441.05</v>
      </c>
      <c r="C38" s="6">
        <f>IFERROR(__xludf.DUMMYFUNCTION("""COMPUTED_VALUE"""),2469.95)</f>
        <v>2469.95</v>
      </c>
      <c r="D38" s="6">
        <f>IFERROR(__xludf.DUMMYFUNCTION("""COMPUTED_VALUE"""),2295.95)</f>
        <v>2295.95</v>
      </c>
      <c r="E38" s="6">
        <f>IFERROR(__xludf.DUMMYFUNCTION("""COMPUTED_VALUE"""),2316.25)</f>
        <v>2316.25</v>
      </c>
      <c r="F38" s="6">
        <f>IFERROR(__xludf.DUMMYFUNCTION("""COMPUTED_VALUE"""),5319421.0)</f>
        <v>5319421</v>
      </c>
    </row>
    <row r="39">
      <c r="A39" s="7">
        <f>IFERROR(__xludf.DUMMYFUNCTION("""COMPUTED_VALUE"""),45450.64583333333)</f>
        <v>45450.64583</v>
      </c>
      <c r="B39" s="6">
        <f>IFERROR(__xludf.DUMMYFUNCTION("""COMPUTED_VALUE"""),2400.0)</f>
        <v>2400</v>
      </c>
      <c r="C39" s="6">
        <f>IFERROR(__xludf.DUMMYFUNCTION("""COMPUTED_VALUE"""),2405.2)</f>
        <v>2405.2</v>
      </c>
      <c r="D39" s="6">
        <f>IFERROR(__xludf.DUMMYFUNCTION("""COMPUTED_VALUE"""),2171.6)</f>
        <v>2171.6</v>
      </c>
      <c r="E39" s="6">
        <f>IFERROR(__xludf.DUMMYFUNCTION("""COMPUTED_VALUE"""),2379.85)</f>
        <v>2379.85</v>
      </c>
      <c r="F39" s="6">
        <f>IFERROR(__xludf.DUMMYFUNCTION("""COMPUTED_VALUE"""),5653840.0)</f>
        <v>5653840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IFERROR(__xludf.DUMMYFUNCTION("""COMPUTED_VALUE"""),2381.1)</f>
        <v>2381.1</v>
      </c>
      <c r="C40" s="6">
        <f>IFERROR(__xludf.DUMMYFUNCTION("""COMPUTED_VALUE"""),2523.7)</f>
        <v>2523.7</v>
      </c>
      <c r="D40" s="6">
        <f>IFERROR(__xludf.DUMMYFUNCTION("""COMPUTED_VALUE"""),2375.3)</f>
        <v>2375.3</v>
      </c>
      <c r="E40" s="6">
        <f>IFERROR(__xludf.DUMMYFUNCTION("""COMPUTED_VALUE"""),2471.2)</f>
        <v>2471.2</v>
      </c>
      <c r="F40" s="6">
        <f>IFERROR(__xludf.DUMMYFUNCTION("""COMPUTED_VALUE"""),4031622.0)</f>
        <v>4031622</v>
      </c>
    </row>
    <row r="41">
      <c r="A41" s="7">
        <f>IFERROR(__xludf.DUMMYFUNCTION("""COMPUTED_VALUE"""),45464.64583333333)</f>
        <v>45464.64583</v>
      </c>
      <c r="B41" s="6">
        <f>IFERROR(__xludf.DUMMYFUNCTION("""COMPUTED_VALUE"""),2471.0)</f>
        <v>2471</v>
      </c>
      <c r="C41" s="6">
        <f>IFERROR(__xludf.DUMMYFUNCTION("""COMPUTED_VALUE"""),2515.6)</f>
        <v>2515.6</v>
      </c>
      <c r="D41" s="6">
        <f>IFERROR(__xludf.DUMMYFUNCTION("""COMPUTED_VALUE"""),2412.0)</f>
        <v>2412</v>
      </c>
      <c r="E41" s="6">
        <f>IFERROR(__xludf.DUMMYFUNCTION("""COMPUTED_VALUE"""),2466.15)</f>
        <v>2466.15</v>
      </c>
      <c r="F41" s="6">
        <f>IFERROR(__xludf.DUMMYFUNCTION("""COMPUTED_VALUE"""),5012467.0)</f>
        <v>5012467</v>
      </c>
    </row>
    <row r="42">
      <c r="A42" s="7">
        <f>IFERROR(__xludf.DUMMYFUNCTION("""COMPUTED_VALUE"""),45471.64583333333)</f>
        <v>45471.64583</v>
      </c>
      <c r="B42" s="6">
        <f>IFERROR(__xludf.DUMMYFUNCTION("""COMPUTED_VALUE"""),2463.9)</f>
        <v>2463.9</v>
      </c>
      <c r="C42" s="6">
        <f>IFERROR(__xludf.DUMMYFUNCTION("""COMPUTED_VALUE"""),2678.95)</f>
        <v>2678.95</v>
      </c>
      <c r="D42" s="6">
        <f>IFERROR(__xludf.DUMMYFUNCTION("""COMPUTED_VALUE"""),2443.1)</f>
        <v>2443.1</v>
      </c>
      <c r="E42" s="6">
        <f>IFERROR(__xludf.DUMMYFUNCTION("""COMPUTED_VALUE"""),2670.45)</f>
        <v>2670.45</v>
      </c>
      <c r="F42" s="6">
        <f>IFERROR(__xludf.DUMMYFUNCTION("""COMPUTED_VALUE"""),9248812.0)</f>
        <v>9248812</v>
      </c>
    </row>
    <row r="43">
      <c r="A43" s="7">
        <f>IFERROR(__xludf.DUMMYFUNCTION("""COMPUTED_VALUE"""),45478.64583333333)</f>
        <v>45478.64583</v>
      </c>
      <c r="B43" s="6">
        <f>IFERROR(__xludf.DUMMYFUNCTION("""COMPUTED_VALUE"""),2666.2)</f>
        <v>2666.2</v>
      </c>
      <c r="C43" s="6">
        <f>IFERROR(__xludf.DUMMYFUNCTION("""COMPUTED_VALUE"""),2762.7)</f>
        <v>2762.7</v>
      </c>
      <c r="D43" s="6">
        <f>IFERROR(__xludf.DUMMYFUNCTION("""COMPUTED_VALUE"""),2662.05)</f>
        <v>2662.05</v>
      </c>
      <c r="E43" s="6">
        <f>IFERROR(__xludf.DUMMYFUNCTION("""COMPUTED_VALUE"""),2748.0)</f>
        <v>2748</v>
      </c>
      <c r="F43" s="6">
        <f>IFERROR(__xludf.DUMMYFUNCTION("""COMPUTED_VALUE"""),3397461.0)</f>
        <v>3397461</v>
      </c>
    </row>
    <row r="44">
      <c r="A44" s="7">
        <f>IFERROR(__xludf.DUMMYFUNCTION("""COMPUTED_VALUE"""),45485.64583333333)</f>
        <v>45485.64583</v>
      </c>
      <c r="B44" s="6">
        <f>IFERROR(__xludf.DUMMYFUNCTION("""COMPUTED_VALUE"""),2751.7)</f>
        <v>2751.7</v>
      </c>
      <c r="C44" s="6">
        <f>IFERROR(__xludf.DUMMYFUNCTION("""COMPUTED_VALUE"""),2850.0)</f>
        <v>2850</v>
      </c>
      <c r="D44" s="6">
        <f>IFERROR(__xludf.DUMMYFUNCTION("""COMPUTED_VALUE"""),2713.85)</f>
        <v>2713.85</v>
      </c>
      <c r="E44" s="6">
        <f>IFERROR(__xludf.DUMMYFUNCTION("""COMPUTED_VALUE"""),2843.75)</f>
        <v>2843.75</v>
      </c>
      <c r="F44" s="6">
        <f>IFERROR(__xludf.DUMMYFUNCTION("""COMPUTED_VALUE"""),5050555.0)</f>
        <v>5050555</v>
      </c>
    </row>
    <row r="45">
      <c r="A45" s="7">
        <f>IFERROR(__xludf.DUMMYFUNCTION("""COMPUTED_VALUE"""),45492.64583333333)</f>
        <v>45492.64583</v>
      </c>
      <c r="B45" s="6">
        <f>IFERROR(__xludf.DUMMYFUNCTION("""COMPUTED_VALUE"""),2850.0)</f>
        <v>2850</v>
      </c>
      <c r="C45" s="6">
        <f>IFERROR(__xludf.DUMMYFUNCTION("""COMPUTED_VALUE"""),2852.95)</f>
        <v>2852.95</v>
      </c>
      <c r="D45" s="6">
        <f>IFERROR(__xludf.DUMMYFUNCTION("""COMPUTED_VALUE"""),2734.5)</f>
        <v>2734.5</v>
      </c>
      <c r="E45" s="6">
        <f>IFERROR(__xludf.DUMMYFUNCTION("""COMPUTED_VALUE"""),2743.0)</f>
        <v>2743</v>
      </c>
      <c r="F45" s="6">
        <f>IFERROR(__xludf.DUMMYFUNCTION("""COMPUTED_VALUE"""),3695840.0)</f>
        <v>3695840</v>
      </c>
    </row>
    <row r="46">
      <c r="A46" s="7">
        <f>IFERROR(__xludf.DUMMYFUNCTION("""COMPUTED_VALUE"""),45499.64583333333)</f>
        <v>45499.64583</v>
      </c>
      <c r="B46" s="6">
        <f>IFERROR(__xludf.DUMMYFUNCTION("""COMPUTED_VALUE"""),2702.0)</f>
        <v>2702</v>
      </c>
      <c r="C46" s="6">
        <f>IFERROR(__xludf.DUMMYFUNCTION("""COMPUTED_VALUE"""),2877.75)</f>
        <v>2877.75</v>
      </c>
      <c r="D46" s="6">
        <f>IFERROR(__xludf.DUMMYFUNCTION("""COMPUTED_VALUE"""),2702.0)</f>
        <v>2702</v>
      </c>
      <c r="E46" s="6">
        <f>IFERROR(__xludf.DUMMYFUNCTION("""COMPUTED_VALUE"""),2843.3)</f>
        <v>2843.3</v>
      </c>
      <c r="F46" s="6">
        <f>IFERROR(__xludf.DUMMYFUNCTION("""COMPUTED_VALUE"""),6427839.0)</f>
        <v>6427839</v>
      </c>
    </row>
    <row r="47">
      <c r="A47" s="7">
        <f>IFERROR(__xludf.DUMMYFUNCTION("""COMPUTED_VALUE"""),45506.64583333333)</f>
        <v>45506.64583</v>
      </c>
      <c r="B47" s="6">
        <f>IFERROR(__xludf.DUMMYFUNCTION("""COMPUTED_VALUE"""),2859.9)</f>
        <v>2859.9</v>
      </c>
      <c r="C47" s="6">
        <f>IFERROR(__xludf.DUMMYFUNCTION("""COMPUTED_VALUE"""),2865.0)</f>
        <v>2865</v>
      </c>
      <c r="D47" s="6">
        <f>IFERROR(__xludf.DUMMYFUNCTION("""COMPUTED_VALUE"""),2701.0)</f>
        <v>2701</v>
      </c>
      <c r="E47" s="6">
        <f>IFERROR(__xludf.DUMMYFUNCTION("""COMPUTED_VALUE"""),2706.8)</f>
        <v>2706.8</v>
      </c>
      <c r="F47" s="6">
        <f>IFERROR(__xludf.DUMMYFUNCTION("""COMPUTED_VALUE"""),2670543.0)</f>
        <v>2670543</v>
      </c>
    </row>
    <row r="48">
      <c r="A48" s="7">
        <f>IFERROR(__xludf.DUMMYFUNCTION("""COMPUTED_VALUE"""),45513.64583333333)</f>
        <v>45513.64583</v>
      </c>
      <c r="B48" s="6">
        <f>IFERROR(__xludf.DUMMYFUNCTION("""COMPUTED_VALUE"""),2655.15)</f>
        <v>2655.15</v>
      </c>
      <c r="C48" s="6">
        <f>IFERROR(__xludf.DUMMYFUNCTION("""COMPUTED_VALUE"""),2679.4)</f>
        <v>2679.4</v>
      </c>
      <c r="D48" s="6">
        <f>IFERROR(__xludf.DUMMYFUNCTION("""COMPUTED_VALUE"""),2531.1)</f>
        <v>2531.1</v>
      </c>
      <c r="E48" s="6">
        <f>IFERROR(__xludf.DUMMYFUNCTION("""COMPUTED_VALUE"""),2572.75)</f>
        <v>2572.75</v>
      </c>
      <c r="F48" s="6">
        <f>IFERROR(__xludf.DUMMYFUNCTION("""COMPUTED_VALUE"""),6291566.0)</f>
        <v>6291566</v>
      </c>
    </row>
    <row r="49">
      <c r="A49" s="7">
        <f>IFERROR(__xludf.DUMMYFUNCTION("""COMPUTED_VALUE"""),45520.64583333333)</f>
        <v>45520.64583</v>
      </c>
      <c r="B49" s="6">
        <f>IFERROR(__xludf.DUMMYFUNCTION("""COMPUTED_VALUE"""),2570.0)</f>
        <v>2570</v>
      </c>
      <c r="C49" s="6">
        <f>IFERROR(__xludf.DUMMYFUNCTION("""COMPUTED_VALUE"""),2621.0)</f>
        <v>2621</v>
      </c>
      <c r="D49" s="6">
        <f>IFERROR(__xludf.DUMMYFUNCTION("""COMPUTED_VALUE"""),2505.05)</f>
        <v>2505.05</v>
      </c>
      <c r="E49" s="6">
        <f>IFERROR(__xludf.DUMMYFUNCTION("""COMPUTED_VALUE"""),2600.35)</f>
        <v>2600.35</v>
      </c>
      <c r="F49" s="6">
        <f>IFERROR(__xludf.DUMMYFUNCTION("""COMPUTED_VALUE"""),3624901.0)</f>
        <v>3624901</v>
      </c>
    </row>
    <row r="50">
      <c r="A50" s="7">
        <f>IFERROR(__xludf.DUMMYFUNCTION("""COMPUTED_VALUE"""),45527.64583333333)</f>
        <v>45527.64583</v>
      </c>
      <c r="B50" s="6">
        <f>IFERROR(__xludf.DUMMYFUNCTION("""COMPUTED_VALUE"""),2619.8)</f>
        <v>2619.8</v>
      </c>
      <c r="C50" s="6">
        <f>IFERROR(__xludf.DUMMYFUNCTION("""COMPUTED_VALUE"""),2780.9)</f>
        <v>2780.9</v>
      </c>
      <c r="D50" s="6">
        <f>IFERROR(__xludf.DUMMYFUNCTION("""COMPUTED_VALUE"""),2557.05)</f>
        <v>2557.05</v>
      </c>
      <c r="E50" s="6">
        <f>IFERROR(__xludf.DUMMYFUNCTION("""COMPUTED_VALUE"""),2748.55)</f>
        <v>2748.55</v>
      </c>
      <c r="F50" s="6">
        <f>IFERROR(__xludf.DUMMYFUNCTION("""COMPUTED_VALUE"""),5392147.0)</f>
        <v>5392147</v>
      </c>
    </row>
    <row r="51">
      <c r="A51" s="7">
        <f>IFERROR(__xludf.DUMMYFUNCTION("""COMPUTED_VALUE"""),45534.64583333333)</f>
        <v>45534.64583</v>
      </c>
      <c r="B51" s="6">
        <f>IFERROR(__xludf.DUMMYFUNCTION("""COMPUTED_VALUE"""),2752.0)</f>
        <v>2752</v>
      </c>
      <c r="C51" s="6">
        <f>IFERROR(__xludf.DUMMYFUNCTION("""COMPUTED_VALUE"""),2763.2)</f>
        <v>2763.2</v>
      </c>
      <c r="D51" s="6">
        <f>IFERROR(__xludf.DUMMYFUNCTION("""COMPUTED_VALUE"""),2640.05)</f>
        <v>2640.05</v>
      </c>
      <c r="E51" s="6">
        <f>IFERROR(__xludf.DUMMYFUNCTION("""COMPUTED_VALUE"""),2698.85)</f>
        <v>2698.85</v>
      </c>
      <c r="F51" s="6">
        <f>IFERROR(__xludf.DUMMYFUNCTION("""COMPUTED_VALUE"""),4966510.0)</f>
        <v>4966510</v>
      </c>
    </row>
    <row r="52">
      <c r="A52" s="7">
        <f>IFERROR(__xludf.DUMMYFUNCTION("""COMPUTED_VALUE"""),45541.64583333333)</f>
        <v>45541.64583</v>
      </c>
      <c r="B52" s="6">
        <f>IFERROR(__xludf.DUMMYFUNCTION("""COMPUTED_VALUE"""),2706.75)</f>
        <v>2706.75</v>
      </c>
      <c r="C52" s="6">
        <f>IFERROR(__xludf.DUMMYFUNCTION("""COMPUTED_VALUE"""),2774.0)</f>
        <v>2774</v>
      </c>
      <c r="D52" s="6">
        <f>IFERROR(__xludf.DUMMYFUNCTION("""COMPUTED_VALUE"""),2674.05)</f>
        <v>2674.05</v>
      </c>
      <c r="E52" s="6">
        <f>IFERROR(__xludf.DUMMYFUNCTION("""COMPUTED_VALUE"""),2692.85)</f>
        <v>2692.85</v>
      </c>
      <c r="F52" s="6">
        <f>IFERROR(__xludf.DUMMYFUNCTION("""COMPUTED_VALUE"""),3389266.0)</f>
        <v>3389266</v>
      </c>
    </row>
    <row r="53">
      <c r="A53" s="7">
        <f>IFERROR(__xludf.DUMMYFUNCTION("""COMPUTED_VALUE"""),45548.64583333333)</f>
        <v>45548.64583</v>
      </c>
      <c r="B53" s="6">
        <f>IFERROR(__xludf.DUMMYFUNCTION("""COMPUTED_VALUE"""),2689.95)</f>
        <v>2689.95</v>
      </c>
      <c r="C53" s="6">
        <f>IFERROR(__xludf.DUMMYFUNCTION("""COMPUTED_VALUE"""),2799.0)</f>
        <v>2799</v>
      </c>
      <c r="D53" s="6">
        <f>IFERROR(__xludf.DUMMYFUNCTION("""COMPUTED_VALUE"""),2673.9)</f>
        <v>2673.9</v>
      </c>
      <c r="E53" s="6">
        <f>IFERROR(__xludf.DUMMYFUNCTION("""COMPUTED_VALUE"""),2784.35)</f>
        <v>2784.35</v>
      </c>
      <c r="F53" s="6">
        <f>IFERROR(__xludf.DUMMYFUNCTION("""COMPUTED_VALUE"""),2621152.0)</f>
        <v>2621152</v>
      </c>
    </row>
    <row r="54">
      <c r="A54" s="7">
        <f>IFERROR(__xludf.DUMMYFUNCTION("""COMPUTED_VALUE"""),45555.64583333333)</f>
        <v>45555.64583</v>
      </c>
      <c r="B54" s="6">
        <f>IFERROR(__xludf.DUMMYFUNCTION("""COMPUTED_VALUE"""),2802.8)</f>
        <v>2802.8</v>
      </c>
      <c r="C54" s="6">
        <f>IFERROR(__xludf.DUMMYFUNCTION("""COMPUTED_VALUE"""),2819.05)</f>
        <v>2819.05</v>
      </c>
      <c r="D54" s="6">
        <f>IFERROR(__xludf.DUMMYFUNCTION("""COMPUTED_VALUE"""),2664.2)</f>
        <v>2664.2</v>
      </c>
      <c r="E54" s="6">
        <f>IFERROR(__xludf.DUMMYFUNCTION("""COMPUTED_VALUE"""),2678.25)</f>
        <v>2678.25</v>
      </c>
      <c r="F54" s="6">
        <f>IFERROR(__xludf.DUMMYFUNCTION("""COMPUTED_VALUE"""),4226136.0)</f>
        <v>4226136</v>
      </c>
    </row>
    <row r="55">
      <c r="A55" s="7">
        <f>IFERROR(__xludf.DUMMYFUNCTION("""COMPUTED_VALUE"""),45562.64583333333)</f>
        <v>45562.64583</v>
      </c>
      <c r="B55" s="6">
        <f>IFERROR(__xludf.DUMMYFUNCTION("""COMPUTED_VALUE"""),2705.0)</f>
        <v>2705</v>
      </c>
      <c r="C55" s="6">
        <f>IFERROR(__xludf.DUMMYFUNCTION("""COMPUTED_VALUE"""),2807.0)</f>
        <v>2807</v>
      </c>
      <c r="D55" s="6">
        <f>IFERROR(__xludf.DUMMYFUNCTION("""COMPUTED_VALUE"""),2583.95)</f>
        <v>2583.95</v>
      </c>
      <c r="E55" s="6">
        <f>IFERROR(__xludf.DUMMYFUNCTION("""COMPUTED_VALUE"""),2783.15)</f>
        <v>2783.15</v>
      </c>
      <c r="F55" s="6">
        <f>IFERROR(__xludf.DUMMYFUNCTION("""COMPUTED_VALUE"""),5553722.0)</f>
        <v>5553722</v>
      </c>
    </row>
    <row r="56">
      <c r="A56" s="7">
        <f>IFERROR(__xludf.DUMMYFUNCTION("""COMPUTED_VALUE"""),45569.64583333333)</f>
        <v>45569.64583</v>
      </c>
      <c r="B56" s="6">
        <f>IFERROR(__xludf.DUMMYFUNCTION("""COMPUTED_VALUE"""),2784.0)</f>
        <v>2784</v>
      </c>
      <c r="C56" s="6">
        <f>IFERROR(__xludf.DUMMYFUNCTION("""COMPUTED_VALUE"""),2833.0)</f>
        <v>2833</v>
      </c>
      <c r="D56" s="6">
        <f>IFERROR(__xludf.DUMMYFUNCTION("""COMPUTED_VALUE"""),2731.0)</f>
        <v>2731</v>
      </c>
      <c r="E56" s="6">
        <f>IFERROR(__xludf.DUMMYFUNCTION("""COMPUTED_VALUE"""),2745.1)</f>
        <v>2745.1</v>
      </c>
      <c r="F56" s="6">
        <f>IFERROR(__xludf.DUMMYFUNCTION("""COMPUTED_VALUE"""),3013740.0)</f>
        <v>3013740</v>
      </c>
    </row>
    <row r="57">
      <c r="A57" s="7">
        <f>IFERROR(__xludf.DUMMYFUNCTION("""COMPUTED_VALUE"""),45576.64583333333)</f>
        <v>45576.64583</v>
      </c>
      <c r="B57" s="6">
        <f>IFERROR(__xludf.DUMMYFUNCTION("""COMPUTED_VALUE"""),2760.0)</f>
        <v>2760</v>
      </c>
      <c r="C57" s="6">
        <f>IFERROR(__xludf.DUMMYFUNCTION("""COMPUTED_VALUE"""),2769.95)</f>
        <v>2769.95</v>
      </c>
      <c r="D57" s="6">
        <f>IFERROR(__xludf.DUMMYFUNCTION("""COMPUTED_VALUE"""),2685.5)</f>
        <v>2685.5</v>
      </c>
      <c r="E57" s="6">
        <f>IFERROR(__xludf.DUMMYFUNCTION("""COMPUTED_VALUE"""),2725.55)</f>
        <v>2725.55</v>
      </c>
      <c r="F57" s="6">
        <f>IFERROR(__xludf.DUMMYFUNCTION("""COMPUTED_VALUE"""),2440622.0)</f>
        <v>2440622</v>
      </c>
    </row>
    <row r="58">
      <c r="A58" s="7">
        <f>IFERROR(__xludf.DUMMYFUNCTION("""COMPUTED_VALUE"""),45583.64583333333)</f>
        <v>45583.64583</v>
      </c>
      <c r="B58" s="6">
        <f>IFERROR(__xludf.DUMMYFUNCTION("""COMPUTED_VALUE"""),2737.55)</f>
        <v>2737.55</v>
      </c>
      <c r="C58" s="6">
        <f>IFERROR(__xludf.DUMMYFUNCTION("""COMPUTED_VALUE"""),2789.8)</f>
        <v>2789.8</v>
      </c>
      <c r="D58" s="6">
        <f>IFERROR(__xludf.DUMMYFUNCTION("""COMPUTED_VALUE"""),2674.65)</f>
        <v>2674.65</v>
      </c>
      <c r="E58" s="6">
        <f>IFERROR(__xludf.DUMMYFUNCTION("""COMPUTED_VALUE"""),2760.95)</f>
        <v>2760.95</v>
      </c>
      <c r="F58" s="6">
        <f>IFERROR(__xludf.DUMMYFUNCTION("""COMPUTED_VALUE"""),2354983.0)</f>
        <v>2354983</v>
      </c>
    </row>
    <row r="59">
      <c r="A59" s="7">
        <f>IFERROR(__xludf.DUMMYFUNCTION("""COMPUTED_VALUE"""),45590.64583333333)</f>
        <v>45590.64583</v>
      </c>
      <c r="B59" s="6">
        <f>IFERROR(__xludf.DUMMYFUNCTION("""COMPUTED_VALUE"""),2760.0)</f>
        <v>2760</v>
      </c>
      <c r="C59" s="6">
        <f>IFERROR(__xludf.DUMMYFUNCTION("""COMPUTED_VALUE"""),2765.4)</f>
        <v>2765.4</v>
      </c>
      <c r="D59" s="6">
        <f>IFERROR(__xludf.DUMMYFUNCTION("""COMPUTED_VALUE"""),2600.0)</f>
        <v>2600</v>
      </c>
      <c r="E59" s="6">
        <f>IFERROR(__xludf.DUMMYFUNCTION("""COMPUTED_VALUE"""),2615.2)</f>
        <v>2615.2</v>
      </c>
      <c r="F59" s="6">
        <f>IFERROR(__xludf.DUMMYFUNCTION("""COMPUTED_VALUE"""),3145304.0)</f>
        <v>3145304</v>
      </c>
    </row>
    <row r="60">
      <c r="A60" s="7">
        <f>IFERROR(__xludf.DUMMYFUNCTION("""COMPUTED_VALUE"""),45604.64583333333)</f>
        <v>45604.64583</v>
      </c>
      <c r="B60" s="6">
        <f>IFERROR(__xludf.DUMMYFUNCTION("""COMPUTED_VALUE"""),2696.65)</f>
        <v>2696.65</v>
      </c>
      <c r="C60" s="6">
        <f>IFERROR(__xludf.DUMMYFUNCTION("""COMPUTED_VALUE"""),2700.0)</f>
        <v>2700</v>
      </c>
      <c r="D60" s="6">
        <f>IFERROR(__xludf.DUMMYFUNCTION("""COMPUTED_VALUE"""),2540.0)</f>
        <v>2540</v>
      </c>
      <c r="E60" s="6">
        <f>IFERROR(__xludf.DUMMYFUNCTION("""COMPUTED_VALUE"""),2544.85)</f>
        <v>2544.85</v>
      </c>
      <c r="F60" s="6">
        <f>IFERROR(__xludf.DUMMYFUNCTION("""COMPUTED_VALUE"""),2870104.0)</f>
        <v>2870104</v>
      </c>
    </row>
    <row r="61">
      <c r="A61" s="7">
        <f>IFERROR(__xludf.DUMMYFUNCTION("""COMPUTED_VALUE"""),45610.64583333333)</f>
        <v>45610.64583</v>
      </c>
      <c r="B61" s="6">
        <f>IFERROR(__xludf.DUMMYFUNCTION("""COMPUTED_VALUE"""),2528.05)</f>
        <v>2528.05</v>
      </c>
      <c r="C61" s="6">
        <f>IFERROR(__xludf.DUMMYFUNCTION("""COMPUTED_VALUE"""),2553.85)</f>
        <v>2553.85</v>
      </c>
      <c r="D61" s="6">
        <f>IFERROR(__xludf.DUMMYFUNCTION("""COMPUTED_VALUE"""),2472.05)</f>
        <v>2472.05</v>
      </c>
      <c r="E61" s="6">
        <f>IFERROR(__xludf.DUMMYFUNCTION("""COMPUTED_VALUE"""),2523.95)</f>
        <v>2523.95</v>
      </c>
      <c r="F61" s="6">
        <f>IFERROR(__xludf.DUMMYFUNCTION("""COMPUTED_VALUE"""),2906281.0)</f>
        <v>2906281</v>
      </c>
    </row>
    <row r="62">
      <c r="A62" s="7">
        <f>IFERROR(__xludf.DUMMYFUNCTION("""COMPUTED_VALUE"""),45618.64583333333)</f>
        <v>45618.64583</v>
      </c>
      <c r="B62" s="6">
        <f>IFERROR(__xludf.DUMMYFUNCTION("""COMPUTED_VALUE"""),2497.0)</f>
        <v>2497</v>
      </c>
      <c r="C62" s="6">
        <f>IFERROR(__xludf.DUMMYFUNCTION("""COMPUTED_VALUE"""),2609.9)</f>
        <v>2609.9</v>
      </c>
      <c r="D62" s="6">
        <f>IFERROR(__xludf.DUMMYFUNCTION("""COMPUTED_VALUE"""),2479.05)</f>
        <v>2479.05</v>
      </c>
      <c r="E62" s="6">
        <f>IFERROR(__xludf.DUMMYFUNCTION("""COMPUTED_VALUE"""),2598.65)</f>
        <v>2598.65</v>
      </c>
      <c r="F62" s="6">
        <f>IFERROR(__xludf.DUMMYFUNCTION("""COMPUTED_VALUE"""),3376295.0)</f>
        <v>3376295</v>
      </c>
    </row>
    <row r="63">
      <c r="A63" s="7">
        <f>IFERROR(__xludf.DUMMYFUNCTION("""COMPUTED_VALUE"""),45625.64583333333)</f>
        <v>45625.64583</v>
      </c>
      <c r="B63" s="6">
        <f>IFERROR(__xludf.DUMMYFUNCTION("""COMPUTED_VALUE"""),2615.0)</f>
        <v>2615</v>
      </c>
      <c r="C63" s="6">
        <f>IFERROR(__xludf.DUMMYFUNCTION("""COMPUTED_VALUE"""),2654.0)</f>
        <v>2654</v>
      </c>
      <c r="D63" s="6">
        <f>IFERROR(__xludf.DUMMYFUNCTION("""COMPUTED_VALUE"""),2554.05)</f>
        <v>2554.05</v>
      </c>
      <c r="E63" s="6">
        <f>IFERROR(__xludf.DUMMYFUNCTION("""COMPUTED_VALUE"""),2606.25)</f>
        <v>2606.25</v>
      </c>
      <c r="F63" s="6">
        <f>IFERROR(__xludf.DUMMYFUNCTION("""COMPUTED_VALUE"""),3280838.0)</f>
        <v>3280838</v>
      </c>
    </row>
    <row r="64">
      <c r="A64" s="7">
        <f>IFERROR(__xludf.DUMMYFUNCTION("""COMPUTED_VALUE"""),45632.64583333333)</f>
        <v>45632.64583</v>
      </c>
      <c r="B64" s="6">
        <f>IFERROR(__xludf.DUMMYFUNCTION("""COMPUTED_VALUE"""),2605.85)</f>
        <v>2605.85</v>
      </c>
      <c r="C64" s="6">
        <f>IFERROR(__xludf.DUMMYFUNCTION("""COMPUTED_VALUE"""),2733.75)</f>
        <v>2733.75</v>
      </c>
      <c r="D64" s="6">
        <f>IFERROR(__xludf.DUMMYFUNCTION("""COMPUTED_VALUE"""),2591.75)</f>
        <v>2591.75</v>
      </c>
      <c r="E64" s="6">
        <f>IFERROR(__xludf.DUMMYFUNCTION("""COMPUTED_VALUE"""),2701.9)</f>
        <v>2701.9</v>
      </c>
      <c r="F64" s="6">
        <f>IFERROR(__xludf.DUMMYFUNCTION("""COMPUTED_VALUE"""),3256373.0)</f>
        <v>3256373</v>
      </c>
    </row>
    <row r="65">
      <c r="A65" s="7">
        <f>IFERROR(__xludf.DUMMYFUNCTION("""COMPUTED_VALUE"""),45639.64583333333)</f>
        <v>45639.64583</v>
      </c>
      <c r="B65" s="6">
        <f>IFERROR(__xludf.DUMMYFUNCTION("""COMPUTED_VALUE"""),2701.9)</f>
        <v>2701.9</v>
      </c>
      <c r="C65" s="6">
        <f>IFERROR(__xludf.DUMMYFUNCTION("""COMPUTED_VALUE"""),2714.05)</f>
        <v>2714.05</v>
      </c>
      <c r="D65" s="6">
        <f>IFERROR(__xludf.DUMMYFUNCTION("""COMPUTED_VALUE"""),2620.5)</f>
        <v>2620.5</v>
      </c>
      <c r="E65" s="6">
        <f>IFERROR(__xludf.DUMMYFUNCTION("""COMPUTED_VALUE"""),2692.7)</f>
        <v>2692.7</v>
      </c>
      <c r="F65" s="6">
        <f>IFERROR(__xludf.DUMMYFUNCTION("""COMPUTED_VALUE"""),2133354.0)</f>
        <v>2133354</v>
      </c>
    </row>
    <row r="66">
      <c r="A66" s="7">
        <f>IFERROR(__xludf.DUMMYFUNCTION("""COMPUTED_VALUE"""),45646.64583333333)</f>
        <v>45646.64583</v>
      </c>
      <c r="B66" s="6">
        <f>IFERROR(__xludf.DUMMYFUNCTION("""COMPUTED_VALUE"""),2680.1)</f>
        <v>2680.1</v>
      </c>
      <c r="C66" s="6">
        <f>IFERROR(__xludf.DUMMYFUNCTION("""COMPUTED_VALUE"""),2718.0)</f>
        <v>2718</v>
      </c>
      <c r="D66" s="6">
        <f>IFERROR(__xludf.DUMMYFUNCTION("""COMPUTED_VALUE"""),2479.75)</f>
        <v>2479.75</v>
      </c>
      <c r="E66" s="6">
        <f>IFERROR(__xludf.DUMMYFUNCTION("""COMPUTED_VALUE"""),2488.7)</f>
        <v>2488.7</v>
      </c>
      <c r="F66" s="6">
        <f>IFERROR(__xludf.DUMMYFUNCTION("""COMPUTED_VALUE"""),2831268.0)</f>
        <v>2831268</v>
      </c>
    </row>
    <row r="67">
      <c r="A67" s="7">
        <f>IFERROR(__xludf.DUMMYFUNCTION("""COMPUTED_VALUE"""),45653.64583333333)</f>
        <v>45653.64583</v>
      </c>
      <c r="B67" s="6">
        <f>IFERROR(__xludf.DUMMYFUNCTION("""COMPUTED_VALUE"""),2495.7)</f>
        <v>2495.7</v>
      </c>
      <c r="C67" s="6">
        <f>IFERROR(__xludf.DUMMYFUNCTION("""COMPUTED_VALUE"""),2553.7)</f>
        <v>2553.7</v>
      </c>
      <c r="D67" s="6">
        <f>IFERROR(__xludf.DUMMYFUNCTION("""COMPUTED_VALUE"""),2472.5)</f>
        <v>2472.5</v>
      </c>
      <c r="E67" s="6">
        <f>IFERROR(__xludf.DUMMYFUNCTION("""COMPUTED_VALUE"""),2480.3)</f>
        <v>2480.3</v>
      </c>
      <c r="F67" s="6">
        <f>IFERROR(__xludf.DUMMYFUNCTION("""COMPUTED_VALUE"""),1700356.0)</f>
        <v>1700356</v>
      </c>
    </row>
    <row r="68">
      <c r="A68" s="7">
        <f>IFERROR(__xludf.DUMMYFUNCTION("""COMPUTED_VALUE"""),45660.64583333333)</f>
        <v>45660.64583</v>
      </c>
      <c r="B68" s="6">
        <f>IFERROR(__xludf.DUMMYFUNCTION("""COMPUTED_VALUE"""),2489.0)</f>
        <v>2489</v>
      </c>
      <c r="C68" s="6">
        <f>IFERROR(__xludf.DUMMYFUNCTION("""COMPUTED_VALUE"""),2559.5)</f>
        <v>2559.5</v>
      </c>
      <c r="D68" s="6">
        <f>IFERROR(__xludf.DUMMYFUNCTION("""COMPUTED_VALUE"""),2413.1)</f>
        <v>2413.1</v>
      </c>
      <c r="E68" s="6">
        <f>IFERROR(__xludf.DUMMYFUNCTION("""COMPUTED_VALUE"""),2510.0)</f>
        <v>2510</v>
      </c>
      <c r="F68" s="6">
        <f>IFERROR(__xludf.DUMMYFUNCTION("""COMPUTED_VALUE"""),3347174.0)</f>
        <v>3347174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IFERROR(__xludf.DUMMYFUNCTION("""COMPUTED_VALUE"""),2517.0)</f>
        <v>2517</v>
      </c>
      <c r="C69" s="6">
        <f>IFERROR(__xludf.DUMMYFUNCTION("""COMPUTED_VALUE"""),2527.95)</f>
        <v>2527.95</v>
      </c>
      <c r="D69" s="6">
        <f>IFERROR(__xludf.DUMMYFUNCTION("""COMPUTED_VALUE"""),2352.2)</f>
        <v>2352.2</v>
      </c>
      <c r="E69" s="6">
        <f>IFERROR(__xludf.DUMMYFUNCTION("""COMPUTED_VALUE"""),2364.1)</f>
        <v>2364.1</v>
      </c>
      <c r="F69" s="6">
        <f>IFERROR(__xludf.DUMMYFUNCTION("""COMPUTED_VALUE"""),2612415.0)</f>
        <v>2612415</v>
      </c>
    </row>
    <row r="70">
      <c r="A70" s="7">
        <f>IFERROR(__xludf.DUMMYFUNCTION("""COMPUTED_VALUE"""),45674.64583333333)</f>
        <v>45674.64583</v>
      </c>
      <c r="B70" s="6">
        <f>IFERROR(__xludf.DUMMYFUNCTION("""COMPUTED_VALUE"""),2329.95)</f>
        <v>2329.95</v>
      </c>
      <c r="C70" s="6">
        <f>IFERROR(__xludf.DUMMYFUNCTION("""COMPUTED_VALUE"""),2387.25)</f>
        <v>2387.25</v>
      </c>
      <c r="D70" s="6">
        <f>IFERROR(__xludf.DUMMYFUNCTION("""COMPUTED_VALUE"""),2276.95)</f>
        <v>2276.95</v>
      </c>
      <c r="E70" s="6">
        <f>IFERROR(__xludf.DUMMYFUNCTION("""COMPUTED_VALUE"""),2375.85)</f>
        <v>2375.85</v>
      </c>
      <c r="F70" s="6">
        <f>IFERROR(__xludf.DUMMYFUNCTION("""COMPUTED_VALUE"""),3709847.0)</f>
        <v>3709847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IFERROR(__xludf.DUMMYFUNCTION("""COMPUTED_VALUE"""),2380.05)</f>
        <v>2380.05</v>
      </c>
      <c r="C71" s="6">
        <f>IFERROR(__xludf.DUMMYFUNCTION("""COMPUTED_VALUE"""),2514.05)</f>
        <v>2514.05</v>
      </c>
      <c r="D71" s="6">
        <f>IFERROR(__xludf.DUMMYFUNCTION("""COMPUTED_VALUE"""),2361.65)</f>
        <v>2361.65</v>
      </c>
      <c r="E71" s="6">
        <f>IFERROR(__xludf.DUMMYFUNCTION("""COMPUTED_VALUE"""),2490.75)</f>
        <v>2490.75</v>
      </c>
      <c r="F71" s="6">
        <f>IFERROR(__xludf.DUMMYFUNCTION("""COMPUTED_VALUE"""),3441101.0)</f>
        <v>3441101</v>
      </c>
    </row>
    <row r="72">
      <c r="A72" s="7">
        <f>IFERROR(__xludf.DUMMYFUNCTION("""COMPUTED_VALUE"""),45695.64583333333)</f>
        <v>45695.64583</v>
      </c>
      <c r="B72" s="6">
        <f>IFERROR(__xludf.DUMMYFUNCTION("""COMPUTED_VALUE"""),2418.0)</f>
        <v>2418</v>
      </c>
      <c r="C72" s="6">
        <f>IFERROR(__xludf.DUMMYFUNCTION("""COMPUTED_VALUE"""),2522.75)</f>
        <v>2522.75</v>
      </c>
      <c r="D72" s="6">
        <f>IFERROR(__xludf.DUMMYFUNCTION("""COMPUTED_VALUE"""),2418.0)</f>
        <v>2418</v>
      </c>
      <c r="E72" s="6">
        <f>IFERROR(__xludf.DUMMYFUNCTION("""COMPUTED_VALUE"""),2487.6)</f>
        <v>2487.6</v>
      </c>
      <c r="F72" s="6">
        <f>IFERROR(__xludf.DUMMYFUNCTION("""COMPUTED_VALUE"""),2562530.0)</f>
        <v>2562530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IFERROR(__xludf.DUMMYFUNCTION("""COMPUTED_VALUE"""),2485.0)</f>
        <v>2485</v>
      </c>
      <c r="C73" s="6">
        <f>IFERROR(__xludf.DUMMYFUNCTION("""COMPUTED_VALUE"""),2542.0)</f>
        <v>2542</v>
      </c>
      <c r="D73" s="6">
        <f>IFERROR(__xludf.DUMMYFUNCTION("""COMPUTED_VALUE"""),2405.5)</f>
        <v>2405.5</v>
      </c>
      <c r="E73" s="6">
        <f>IFERROR(__xludf.DUMMYFUNCTION("""COMPUTED_VALUE"""),2431.3)</f>
        <v>2431.3</v>
      </c>
      <c r="F73" s="6">
        <f>IFERROR(__xludf.DUMMYFUNCTION("""COMPUTED_VALUE"""),4268841.0)</f>
        <v>4268841</v>
      </c>
    </row>
    <row r="74">
      <c r="A74" s="7">
        <f>IFERROR(__xludf.DUMMYFUNCTION("""COMPUTED_VALUE"""),45709.64583333333)</f>
        <v>45709.64583</v>
      </c>
      <c r="B74" s="6">
        <f>IFERROR(__xludf.DUMMYFUNCTION("""COMPUTED_VALUE"""),2431.3)</f>
        <v>2431.3</v>
      </c>
      <c r="C74" s="6">
        <f>IFERROR(__xludf.DUMMYFUNCTION("""COMPUTED_VALUE"""),2482.95)</f>
        <v>2482.95</v>
      </c>
      <c r="D74" s="6">
        <f>IFERROR(__xludf.DUMMYFUNCTION("""COMPUTED_VALUE"""),2401.05)</f>
        <v>2401.05</v>
      </c>
      <c r="E74" s="6">
        <f>IFERROR(__xludf.DUMMYFUNCTION("""COMPUTED_VALUE"""),2431.05)</f>
        <v>2431.05</v>
      </c>
      <c r="F74" s="6">
        <f>IFERROR(__xludf.DUMMYFUNCTION("""COMPUTED_VALUE"""),2463623.0)</f>
        <v>2463623</v>
      </c>
    </row>
    <row r="75">
      <c r="A75" s="7">
        <f>IFERROR(__xludf.DUMMYFUNCTION("""COMPUTED_VALUE"""),45716.64583333333)</f>
        <v>45716.64583</v>
      </c>
      <c r="B75" s="6">
        <f>IFERROR(__xludf.DUMMYFUNCTION("""COMPUTED_VALUE"""),2412.0)</f>
        <v>2412</v>
      </c>
      <c r="C75" s="6">
        <f>IFERROR(__xludf.DUMMYFUNCTION("""COMPUTED_VALUE"""),2420.0)</f>
        <v>2420</v>
      </c>
      <c r="D75" s="6">
        <f>IFERROR(__xludf.DUMMYFUNCTION("""COMPUTED_VALUE"""),2301.65)</f>
        <v>2301.65</v>
      </c>
      <c r="E75" s="6">
        <f>IFERROR(__xludf.DUMMYFUNCTION("""COMPUTED_VALUE"""),2306.65)</f>
        <v>2306.65</v>
      </c>
      <c r="F75" s="6">
        <f>IFERROR(__xludf.DUMMYFUNCTION("""COMPUTED_VALUE"""),3238784.0)</f>
        <v>3238784</v>
      </c>
    </row>
    <row r="76">
      <c r="A76" s="7">
        <f>IFERROR(__xludf.DUMMYFUNCTION("""COMPUTED_VALUE"""),45723.64583333333)</f>
        <v>45723.64583</v>
      </c>
      <c r="B76" s="6">
        <f>IFERROR(__xludf.DUMMYFUNCTION("""COMPUTED_VALUE"""),2328.5)</f>
        <v>2328.5</v>
      </c>
      <c r="C76" s="6">
        <f>IFERROR(__xludf.DUMMYFUNCTION("""COMPUTED_VALUE"""),2415.0)</f>
        <v>2415</v>
      </c>
      <c r="D76" s="6">
        <f>IFERROR(__xludf.DUMMYFUNCTION("""COMPUTED_VALUE"""),2317.9)</f>
        <v>2317.9</v>
      </c>
      <c r="E76" s="6">
        <f>IFERROR(__xludf.DUMMYFUNCTION("""COMPUTED_VALUE"""),2407.25)</f>
        <v>2407.25</v>
      </c>
      <c r="F76" s="6">
        <f>IFERROR(__xludf.DUMMYFUNCTION("""COMPUTED_VALUE"""),3138471.0)</f>
        <v>3138471</v>
      </c>
    </row>
    <row r="77">
      <c r="A77" s="7">
        <f>IFERROR(__xludf.DUMMYFUNCTION("""COMPUTED_VALUE"""),45729.64583333333)</f>
        <v>45729.64583</v>
      </c>
      <c r="B77" s="6">
        <f>IFERROR(__xludf.DUMMYFUNCTION("""COMPUTED_VALUE"""),2407.25)</f>
        <v>2407.25</v>
      </c>
      <c r="C77" s="6">
        <f>IFERROR(__xludf.DUMMYFUNCTION("""COMPUTED_VALUE"""),2438.9)</f>
        <v>2438.9</v>
      </c>
      <c r="D77" s="6">
        <f>IFERROR(__xludf.DUMMYFUNCTION("""COMPUTED_VALUE"""),2363.3)</f>
        <v>2363.3</v>
      </c>
      <c r="E77" s="6">
        <f>IFERROR(__xludf.DUMMYFUNCTION("""COMPUTED_VALUE"""),2370.2)</f>
        <v>2370.2</v>
      </c>
      <c r="F77" s="6">
        <f>IFERROR(__xludf.DUMMYFUNCTION("""COMPUTED_VALUE"""),2137587.0)</f>
        <v>2137587</v>
      </c>
    </row>
    <row r="78">
      <c r="A78" s="7">
        <f>IFERROR(__xludf.DUMMYFUNCTION("""COMPUTED_VALUE"""),45737.64583333333)</f>
        <v>45737.64583</v>
      </c>
      <c r="B78" s="6">
        <f>IFERROR(__xludf.DUMMYFUNCTION("""COMPUTED_VALUE"""),2381.75)</f>
        <v>2381.75</v>
      </c>
      <c r="C78" s="6">
        <f>IFERROR(__xludf.DUMMYFUNCTION("""COMPUTED_VALUE"""),2514.75)</f>
        <v>2514.75</v>
      </c>
      <c r="D78" s="6">
        <f>IFERROR(__xludf.DUMMYFUNCTION("""COMPUTED_VALUE"""),2370.85)</f>
        <v>2370.85</v>
      </c>
      <c r="E78" s="6">
        <f>IFERROR(__xludf.DUMMYFUNCTION("""COMPUTED_VALUE"""),2469.4)</f>
        <v>2469.4</v>
      </c>
      <c r="F78" s="6">
        <f>IFERROR(__xludf.DUMMYFUNCTION("""COMPUTED_VALUE"""),3174825.0)</f>
        <v>3174825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IFERROR(__xludf.DUMMYFUNCTION("""COMPUTED_VALUE"""),2478.65)</f>
        <v>2478.65</v>
      </c>
      <c r="C79" s="6">
        <f>IFERROR(__xludf.DUMMYFUNCTION("""COMPUTED_VALUE"""),2637.65)</f>
        <v>2637.65</v>
      </c>
      <c r="D79" s="6">
        <f>IFERROR(__xludf.DUMMYFUNCTION("""COMPUTED_VALUE"""),2475.0)</f>
        <v>2475</v>
      </c>
      <c r="E79" s="6">
        <f>IFERROR(__xludf.DUMMYFUNCTION("""COMPUTED_VALUE"""),2611.15)</f>
        <v>2611.15</v>
      </c>
      <c r="F79" s="6">
        <f>IFERROR(__xludf.DUMMYFUNCTION("""COMPUTED_VALUE"""),3824223.0)</f>
        <v>3824223</v>
      </c>
    </row>
    <row r="80">
      <c r="A80" s="7">
        <f>IFERROR(__xludf.DUMMYFUNCTION("""COMPUTED_VALUE"""),45751.64583333333)</f>
        <v>45751.64583</v>
      </c>
      <c r="B80" s="6">
        <f>IFERROR(__xludf.DUMMYFUNCTION("""COMPUTED_VALUE"""),2611.4)</f>
        <v>2611.4</v>
      </c>
      <c r="C80" s="6">
        <f>IFERROR(__xludf.DUMMYFUNCTION("""COMPUTED_VALUE"""),2664.0)</f>
        <v>2664</v>
      </c>
      <c r="D80" s="6">
        <f>IFERROR(__xludf.DUMMYFUNCTION("""COMPUTED_VALUE"""),2595.1)</f>
        <v>2595.1</v>
      </c>
      <c r="E80" s="6">
        <f>IFERROR(__xludf.DUMMYFUNCTION("""COMPUTED_VALUE"""),2616.9)</f>
        <v>2616.9</v>
      </c>
      <c r="F80" s="6">
        <f>IFERROR(__xludf.DUMMYFUNCTION("""COMPUTED_VALUE"""),1320360.0)</f>
        <v>1320360</v>
      </c>
    </row>
    <row r="81">
      <c r="A81" s="7">
        <f>IFERROR(__xludf.DUMMYFUNCTION("""COMPUTED_VALUE"""),45758.64583333333)</f>
        <v>45758.64583</v>
      </c>
      <c r="B81" s="6">
        <f>IFERROR(__xludf.DUMMYFUNCTION("""COMPUTED_VALUE"""),2550.0)</f>
        <v>2550</v>
      </c>
      <c r="C81" s="6">
        <f>IFERROR(__xludf.DUMMYFUNCTION("""COMPUTED_VALUE"""),2660.0)</f>
        <v>2660</v>
      </c>
      <c r="D81" s="6">
        <f>IFERROR(__xludf.DUMMYFUNCTION("""COMPUTED_VALUE"""),2465.5)</f>
        <v>2465.5</v>
      </c>
      <c r="E81" s="6">
        <f>IFERROR(__xludf.DUMMYFUNCTION("""COMPUTED_VALUE"""),2651.25)</f>
        <v>2651.25</v>
      </c>
      <c r="F81" s="6">
        <f>IFERROR(__xludf.DUMMYFUNCTION("""COMPUTED_VALUE"""),3433473.0)</f>
        <v>3433473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IFERROR(__xludf.DUMMYFUNCTION("""COMPUTED_VALUE"""),2675.0)</f>
        <v>2675</v>
      </c>
      <c r="C82" s="6">
        <f>IFERROR(__xludf.DUMMYFUNCTION("""COMPUTED_VALUE"""),2772.0)</f>
        <v>2772</v>
      </c>
      <c r="D82" s="6">
        <f>IFERROR(__xludf.DUMMYFUNCTION("""COMPUTED_VALUE"""),2670.0)</f>
        <v>2670</v>
      </c>
      <c r="E82" s="6">
        <f>IFERROR(__xludf.DUMMYFUNCTION("""COMPUTED_VALUE"""),2760.7)</f>
        <v>2760.7</v>
      </c>
      <c r="F82" s="6">
        <f>IFERROR(__xludf.DUMMYFUNCTION("""COMPUTED_VALUE"""),2338570.0)</f>
        <v>2338570</v>
      </c>
    </row>
    <row r="83">
      <c r="A83" s="7">
        <f>IFERROR(__xludf.DUMMYFUNCTION("""COMPUTED_VALUE"""),45772.64583333333)</f>
        <v>45772.64583</v>
      </c>
      <c r="B83" s="6">
        <f>IFERROR(__xludf.DUMMYFUNCTION("""COMPUTED_VALUE"""),2755.0)</f>
        <v>2755</v>
      </c>
      <c r="C83" s="6">
        <f>IFERROR(__xludf.DUMMYFUNCTION("""COMPUTED_VALUE"""),2787.3)</f>
        <v>2787.3</v>
      </c>
      <c r="D83" s="6">
        <f>IFERROR(__xludf.DUMMYFUNCTION("""COMPUTED_VALUE"""),2673.0)</f>
        <v>2673</v>
      </c>
      <c r="E83" s="6">
        <f>IFERROR(__xludf.DUMMYFUNCTION("""COMPUTED_VALUE"""),2734.8)</f>
        <v>2734.8</v>
      </c>
      <c r="F83" s="6">
        <f>IFERROR(__xludf.DUMMYFUNCTION("""COMPUTED_VALUE"""),2349311.0)</f>
        <v>2349311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IFERROR(__xludf.DUMMYFUNCTION("""COMPUTED_VALUE"""),2735.0)</f>
        <v>2735</v>
      </c>
      <c r="C84" s="6">
        <f>IFERROR(__xludf.DUMMYFUNCTION("""COMPUTED_VALUE"""),2773.7)</f>
        <v>2773.7</v>
      </c>
      <c r="D84" s="6">
        <f>IFERROR(__xludf.DUMMYFUNCTION("""COMPUTED_VALUE"""),2695.8)</f>
        <v>2695.8</v>
      </c>
      <c r="E84" s="6">
        <f>IFERROR(__xludf.DUMMYFUNCTION("""COMPUTED_VALUE"""),2718.3)</f>
        <v>2718.3</v>
      </c>
      <c r="F84" s="6">
        <f>IFERROR(__xludf.DUMMYFUNCTION("""COMPUTED_VALUE"""),2768890.0)</f>
        <v>2768890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IFERROR(__xludf.DUMMYFUNCTION("""COMPUTED_VALUE"""),2730.0)</f>
        <v>2730</v>
      </c>
      <c r="C85" s="6">
        <f>IFERROR(__xludf.DUMMYFUNCTION("""COMPUTED_VALUE"""),2773.0)</f>
        <v>2773</v>
      </c>
      <c r="D85" s="6">
        <f>IFERROR(__xludf.DUMMYFUNCTION("""COMPUTED_VALUE"""),2626.6)</f>
        <v>2626.6</v>
      </c>
      <c r="E85" s="6">
        <f>IFERROR(__xludf.DUMMYFUNCTION("""COMPUTED_VALUE"""),2634.8)</f>
        <v>2634.8</v>
      </c>
      <c r="F85" s="6">
        <f>IFERROR(__xludf.DUMMYFUNCTION("""COMPUTED_VALUE"""),2778998.0)</f>
        <v>2778998</v>
      </c>
    </row>
    <row r="86">
      <c r="A86" s="7">
        <f>IFERROR(__xludf.DUMMYFUNCTION("""COMPUTED_VALUE"""),45793.64583333333)</f>
        <v>45793.64583</v>
      </c>
      <c r="B86" s="6">
        <f>IFERROR(__xludf.DUMMYFUNCTION("""COMPUTED_VALUE"""),2671.1)</f>
        <v>2671.1</v>
      </c>
      <c r="C86" s="6">
        <f>IFERROR(__xludf.DUMMYFUNCTION("""COMPUTED_VALUE"""),2845.0)</f>
        <v>2845</v>
      </c>
      <c r="D86" s="6">
        <f>IFERROR(__xludf.DUMMYFUNCTION("""COMPUTED_VALUE"""),2671.1)</f>
        <v>2671.1</v>
      </c>
      <c r="E86" s="6">
        <f>IFERROR(__xludf.DUMMYFUNCTION("""COMPUTED_VALUE"""),2804.2)</f>
        <v>2804.2</v>
      </c>
      <c r="F86" s="6">
        <f>IFERROR(__xludf.DUMMYFUNCTION("""COMPUTED_VALUE"""),3196669.0)</f>
        <v>3196669</v>
      </c>
    </row>
    <row r="87">
      <c r="A87" s="7">
        <f>IFERROR(__xludf.DUMMYFUNCTION("""COMPUTED_VALUE"""),45800.64583333333)</f>
        <v>45800.64583</v>
      </c>
      <c r="B87" s="6">
        <f>IFERROR(__xludf.DUMMYFUNCTION("""COMPUTED_VALUE"""),2820.0)</f>
        <v>2820</v>
      </c>
      <c r="C87" s="6">
        <f>IFERROR(__xludf.DUMMYFUNCTION("""COMPUTED_VALUE"""),2820.1)</f>
        <v>2820.1</v>
      </c>
      <c r="D87" s="6">
        <f>IFERROR(__xludf.DUMMYFUNCTION("""COMPUTED_VALUE"""),2648.3)</f>
        <v>2648.3</v>
      </c>
      <c r="E87" s="6">
        <f>IFERROR(__xludf.DUMMYFUNCTION("""COMPUTED_VALUE"""),2659.4)</f>
        <v>2659.4</v>
      </c>
      <c r="F87" s="6">
        <f>IFERROR(__xludf.DUMMYFUNCTION("""COMPUTED_VALUE"""),2932210.0)</f>
        <v>2932210</v>
      </c>
    </row>
    <row r="88">
      <c r="A88" s="7">
        <f>IFERROR(__xludf.DUMMYFUNCTION("""COMPUTED_VALUE"""),45807.64583333333)</f>
        <v>45807.64583</v>
      </c>
      <c r="B88" s="6">
        <f>IFERROR(__xludf.DUMMYFUNCTION("""COMPUTED_VALUE"""),2672.5)</f>
        <v>2672.5</v>
      </c>
      <c r="C88" s="6">
        <f>IFERROR(__xludf.DUMMYFUNCTION("""COMPUTED_VALUE"""),2696.6)</f>
        <v>2696.6</v>
      </c>
      <c r="D88" s="6">
        <f>IFERROR(__xludf.DUMMYFUNCTION("""COMPUTED_VALUE"""),2536.0)</f>
        <v>2536</v>
      </c>
      <c r="E88" s="6">
        <f>IFERROR(__xludf.DUMMYFUNCTION("""COMPUTED_VALUE"""),2545.8)</f>
        <v>2545.8</v>
      </c>
      <c r="F88" s="6">
        <f>IFERROR(__xludf.DUMMYFUNCTION("""COMPUTED_VALUE"""),3979785.0)</f>
        <v>3979785</v>
      </c>
    </row>
    <row r="89">
      <c r="A89" s="7">
        <f>IFERROR(__xludf.DUMMYFUNCTION("""COMPUTED_VALUE"""),45814.64583333333)</f>
        <v>45814.64583</v>
      </c>
      <c r="B89" s="6">
        <f>IFERROR(__xludf.DUMMYFUNCTION("""COMPUTED_VALUE"""),2546.0)</f>
        <v>2546</v>
      </c>
      <c r="C89" s="6">
        <f>IFERROR(__xludf.DUMMYFUNCTION("""COMPUTED_VALUE"""),2599.0)</f>
        <v>2599</v>
      </c>
      <c r="D89" s="6">
        <f>IFERROR(__xludf.DUMMYFUNCTION("""COMPUTED_VALUE"""),2511.0)</f>
        <v>2511</v>
      </c>
      <c r="E89" s="6">
        <f>IFERROR(__xludf.DUMMYFUNCTION("""COMPUTED_VALUE"""),2574.4)</f>
        <v>2574.4</v>
      </c>
      <c r="F89" s="6">
        <f>IFERROR(__xludf.DUMMYFUNCTION("""COMPUTED_VALUE"""),4597673.0)</f>
        <v>4597673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IFERROR(__xludf.DUMMYFUNCTION("""COMPUTED_VALUE"""),2585.9)</f>
        <v>2585.9</v>
      </c>
      <c r="C90" s="6">
        <f>IFERROR(__xludf.DUMMYFUNCTION("""COMPUTED_VALUE"""),2742.0)</f>
        <v>2742</v>
      </c>
      <c r="D90" s="6">
        <f>IFERROR(__xludf.DUMMYFUNCTION("""COMPUTED_VALUE"""),2574.7)</f>
        <v>2574.7</v>
      </c>
      <c r="E90" s="6">
        <f>IFERROR(__xludf.DUMMYFUNCTION("""COMPUTED_VALUE"""),2663.8)</f>
        <v>2663.8</v>
      </c>
      <c r="F90" s="6">
        <f>IFERROR(__xludf.DUMMYFUNCTION("""COMPUTED_VALUE"""),5334178.0)</f>
        <v>5334178</v>
      </c>
    </row>
    <row r="91">
      <c r="A91" s="7">
        <f>IFERROR(__xludf.DUMMYFUNCTION("""COMPUTED_VALUE"""),45828.64583333333)</f>
        <v>45828.64583</v>
      </c>
      <c r="B91" s="6">
        <f>IFERROR(__xludf.DUMMYFUNCTION("""COMPUTED_VALUE"""),2665.0)</f>
        <v>2665</v>
      </c>
      <c r="C91" s="6">
        <f>IFERROR(__xludf.DUMMYFUNCTION("""COMPUTED_VALUE"""),2732.9)</f>
        <v>2732.9</v>
      </c>
      <c r="D91" s="6">
        <f>IFERROR(__xludf.DUMMYFUNCTION("""COMPUTED_VALUE"""),2652.1)</f>
        <v>2652.1</v>
      </c>
      <c r="E91" s="6">
        <f>IFERROR(__xludf.DUMMYFUNCTION("""COMPUTED_VALUE"""),2712.6)</f>
        <v>2712.6</v>
      </c>
      <c r="F91" s="6">
        <f>IFERROR(__xludf.DUMMYFUNCTION("""COMPUTED_VALUE"""),2920348.0)</f>
        <v>2920348</v>
      </c>
    </row>
    <row r="92">
      <c r="A92" s="7">
        <f>IFERROR(__xludf.DUMMYFUNCTION("""COMPUTED_VALUE"""),45835.64583333333)</f>
        <v>45835.64583</v>
      </c>
      <c r="B92" s="6">
        <f>IFERROR(__xludf.DUMMYFUNCTION("""COMPUTED_VALUE"""),2700.0)</f>
        <v>2700</v>
      </c>
      <c r="C92" s="6">
        <f>IFERROR(__xludf.DUMMYFUNCTION("""COMPUTED_VALUE"""),2896.0)</f>
        <v>2896</v>
      </c>
      <c r="D92" s="6">
        <f>IFERROR(__xludf.DUMMYFUNCTION("""COMPUTED_VALUE"""),2678.1)</f>
        <v>2678.1</v>
      </c>
      <c r="E92" s="6">
        <f>IFERROR(__xludf.DUMMYFUNCTION("""COMPUTED_VALUE"""),2861.1)</f>
        <v>2861.1</v>
      </c>
      <c r="F92" s="6">
        <f>IFERROR(__xludf.DUMMYFUNCTION("""COMPUTED_VALUE"""),5311274.0)</f>
        <v>5311274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IFERROR(__xludf.DUMMYFUNCTION("""COMPUTED_VALUE"""),2863.3)</f>
        <v>2863.3</v>
      </c>
      <c r="C93" s="6">
        <f>IFERROR(__xludf.DUMMYFUNCTION("""COMPUTED_VALUE"""),2890.0)</f>
        <v>2890</v>
      </c>
      <c r="D93" s="6">
        <f>IFERROR(__xludf.DUMMYFUNCTION("""COMPUTED_VALUE"""),2785.7)</f>
        <v>2785.7</v>
      </c>
      <c r="E93" s="6">
        <f>IFERROR(__xludf.DUMMYFUNCTION("""COMPUTED_VALUE"""),2805.9)</f>
        <v>2805.9</v>
      </c>
      <c r="F93" s="6">
        <f>IFERROR(__xludf.DUMMYFUNCTION("""COMPUTED_VALUE"""),2580838.0)</f>
        <v>2580838</v>
      </c>
    </row>
    <row r="94">
      <c r="A94" s="7">
        <f>IFERROR(__xludf.DUMMYFUNCTION("""COMPUTED_VALUE"""),45849.64583333333)</f>
        <v>45849.64583</v>
      </c>
      <c r="B94" s="6">
        <f>IFERROR(__xludf.DUMMYFUNCTION("""COMPUTED_VALUE"""),2810.0)</f>
        <v>2810</v>
      </c>
      <c r="C94" s="6">
        <f>IFERROR(__xludf.DUMMYFUNCTION("""COMPUTED_VALUE"""),2841.3)</f>
        <v>2841.3</v>
      </c>
      <c r="D94" s="6">
        <f>IFERROR(__xludf.DUMMYFUNCTION("""COMPUTED_VALUE"""),2756.4)</f>
        <v>2756.4</v>
      </c>
      <c r="E94" s="6">
        <f>IFERROR(__xludf.DUMMYFUNCTION("""COMPUTED_VALUE"""),2762.0)</f>
        <v>2762</v>
      </c>
      <c r="F94" s="6">
        <f>IFERROR(__xludf.DUMMYFUNCTION("""COMPUTED_VALUE"""),3040912.0)</f>
        <v>3040912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IFERROR(__xludf.DUMMYFUNCTION("""COMPUTED_VALUE"""),2774.0)</f>
        <v>2774</v>
      </c>
      <c r="C95" s="6">
        <f>IFERROR(__xludf.DUMMYFUNCTION("""COMPUTED_VALUE"""),2812.1)</f>
        <v>2812.1</v>
      </c>
      <c r="D95" s="6">
        <f>IFERROR(__xludf.DUMMYFUNCTION("""COMPUTED_VALUE"""),2716.5)</f>
        <v>2716.5</v>
      </c>
      <c r="E95" s="6">
        <f>IFERROR(__xludf.DUMMYFUNCTION("""COMPUTED_VALUE"""),2728.5)</f>
        <v>2728.5</v>
      </c>
      <c r="F95" s="6">
        <f>IFERROR(__xludf.DUMMYFUNCTION("""COMPUTED_VALUE"""),5255320.0)</f>
        <v>5255320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IFERROR(__xludf.DUMMYFUNCTION("""COMPUTED_VALUE"""),2728.0)</f>
        <v>2728</v>
      </c>
      <c r="C96" s="6">
        <f>IFERROR(__xludf.DUMMYFUNCTION("""COMPUTED_VALUE"""),2759.0)</f>
        <v>2759</v>
      </c>
      <c r="D96" s="6">
        <f>IFERROR(__xludf.DUMMYFUNCTION("""COMPUTED_VALUE"""),2667.3)</f>
        <v>2667.3</v>
      </c>
      <c r="E96" s="6">
        <f>IFERROR(__xludf.DUMMYFUNCTION("""COMPUTED_VALUE"""),2708.6)</f>
        <v>2708.6</v>
      </c>
      <c r="F96" s="6">
        <f>IFERROR(__xludf.DUMMYFUNCTION("""COMPUTED_VALUE"""),3013065.0)</f>
        <v>3013065</v>
      </c>
    </row>
    <row r="97">
      <c r="A97" s="7">
        <f>IFERROR(__xludf.DUMMYFUNCTION("""COMPUTED_VALUE"""),45870.64583333333)</f>
        <v>45870.64583</v>
      </c>
      <c r="B97" s="6">
        <f>IFERROR(__xludf.DUMMYFUNCTION("""COMPUTED_VALUE"""),2704.1)</f>
        <v>2704.1</v>
      </c>
      <c r="C97" s="6">
        <f>IFERROR(__xludf.DUMMYFUNCTION("""COMPUTED_VALUE"""),2794.0)</f>
        <v>2794</v>
      </c>
      <c r="D97" s="6">
        <f>IFERROR(__xludf.DUMMYFUNCTION("""COMPUTED_VALUE"""),2697.0)</f>
        <v>2697</v>
      </c>
      <c r="E97" s="6">
        <f>IFERROR(__xludf.DUMMYFUNCTION("""COMPUTED_VALUE"""),2722.2)</f>
        <v>2722.2</v>
      </c>
      <c r="F97" s="6">
        <f>IFERROR(__xludf.DUMMYFUNCTION("""COMPUTED_VALUE"""),2974623.0)</f>
        <v>2974623</v>
      </c>
    </row>
    <row r="98">
      <c r="A98" s="7">
        <f>IFERROR(__xludf.DUMMYFUNCTION("""COMPUTED_VALUE"""),45877.64583333333)</f>
        <v>45877.64583</v>
      </c>
      <c r="B98" s="6">
        <f>IFERROR(__xludf.DUMMYFUNCTION("""COMPUTED_VALUE"""),2730.0)</f>
        <v>2730</v>
      </c>
      <c r="C98" s="6">
        <f>IFERROR(__xludf.DUMMYFUNCTION("""COMPUTED_VALUE"""),2824.9)</f>
        <v>2824.9</v>
      </c>
      <c r="D98" s="6">
        <f>IFERROR(__xludf.DUMMYFUNCTION("""COMPUTED_VALUE"""),2672.6)</f>
        <v>2672.6</v>
      </c>
      <c r="E98" s="6">
        <f>IFERROR(__xludf.DUMMYFUNCTION("""COMPUTED_VALUE"""),2691.6)</f>
        <v>2691.6</v>
      </c>
      <c r="F98" s="6">
        <f>IFERROR(__xludf.DUMMYFUNCTION("""COMPUTED_VALUE"""),3501245.0)</f>
        <v>3501245</v>
      </c>
    </row>
    <row r="99">
      <c r="A99" s="7">
        <f>IFERROR(__xludf.DUMMYFUNCTION("""COMPUTED_VALUE"""),45883.64583333333)</f>
        <v>45883.64583</v>
      </c>
      <c r="B99" s="6">
        <f>IFERROR(__xludf.DUMMYFUNCTION("""COMPUTED_VALUE"""),2726.0)</f>
        <v>2726</v>
      </c>
      <c r="C99" s="6">
        <f>IFERROR(__xludf.DUMMYFUNCTION("""COMPUTED_VALUE"""),2795.0)</f>
        <v>2795</v>
      </c>
      <c r="D99" s="6">
        <f>IFERROR(__xludf.DUMMYFUNCTION("""COMPUTED_VALUE"""),2705.1)</f>
        <v>2705.1</v>
      </c>
      <c r="E99" s="6">
        <f>IFERROR(__xludf.DUMMYFUNCTION("""COMPUTED_VALUE"""),2764.9)</f>
        <v>2764.9</v>
      </c>
      <c r="F99" s="6">
        <f>IFERROR(__xludf.DUMMYFUNCTION("""COMPUTED_VALUE"""),2888529.0)</f>
        <v>2888529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IFERROR(__xludf.DUMMYFUNCTION("""COMPUTED_VALUE"""),2795.0)</f>
        <v>2795</v>
      </c>
      <c r="C100" s="6">
        <f>IFERROR(__xludf.DUMMYFUNCTION("""COMPUTED_VALUE"""),2898.4)</f>
        <v>2898.4</v>
      </c>
      <c r="D100" s="6">
        <f>IFERROR(__xludf.DUMMYFUNCTION("""COMPUTED_VALUE"""),2776.5)</f>
        <v>2776.5</v>
      </c>
      <c r="E100" s="6">
        <f>IFERROR(__xludf.DUMMYFUNCTION("""COMPUTED_VALUE"""),2813.8)</f>
        <v>2813.8</v>
      </c>
      <c r="F100" s="6">
        <f>IFERROR(__xludf.DUMMYFUNCTION("""COMPUTED_VALUE"""),4393267.0)</f>
        <v>4393267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IFERROR(__xludf.DUMMYFUNCTION("""COMPUTED_VALUE"""),2825.7)</f>
        <v>2825.7</v>
      </c>
      <c r="C101" s="6">
        <f>IFERROR(__xludf.DUMMYFUNCTION("""COMPUTED_VALUE"""),2832.7)</f>
        <v>2832.7</v>
      </c>
      <c r="D101" s="6">
        <f>IFERROR(__xludf.DUMMYFUNCTION("""COMPUTED_VALUE"""),2780.4)</f>
        <v>2780.4</v>
      </c>
      <c r="E101" s="6">
        <f>IFERROR(__xludf.DUMMYFUNCTION("""COMPUTED_VALUE"""),2796.2)</f>
        <v>2796.2</v>
      </c>
      <c r="F101" s="6">
        <f>IFERROR(__xludf.DUMMYFUNCTION("""COMPUTED_VALUE"""),8804364.0)</f>
        <v>8804364</v>
      </c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IFERROR(__xludf.DUMMYFUNCTION("GOOGLEFINANCE(""NSE:HAL"",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IFERROR(__xludf.DUMMYFUNCTION("""COMPUTED_VALUE"""),1965.0)</f>
        <v>1965</v>
      </c>
      <c r="C2" s="6">
        <f>IFERROR(__xludf.DUMMYFUNCTION("""COMPUTED_VALUE"""),1989.4)</f>
        <v>1989.4</v>
      </c>
      <c r="D2" s="6">
        <f>IFERROR(__xludf.DUMMYFUNCTION("""COMPUTED_VALUE"""),1937.58)</f>
        <v>1937.58</v>
      </c>
      <c r="E2" s="6">
        <f>IFERROR(__xludf.DUMMYFUNCTION("""COMPUTED_VALUE"""),1970.88)</f>
        <v>1970.88</v>
      </c>
      <c r="F2" s="6">
        <f>IFERROR(__xludf.DUMMYFUNCTION("""COMPUTED_VALUE"""),4381020.0)</f>
        <v>4381020</v>
      </c>
    </row>
    <row r="3">
      <c r="A3" s="7">
        <f>IFERROR(__xludf.DUMMYFUNCTION("""COMPUTED_VALUE"""),45177.64583333333)</f>
        <v>45177.64583</v>
      </c>
      <c r="B3" s="6">
        <f>IFERROR(__xludf.DUMMYFUNCTION("""COMPUTED_VALUE"""),1982.18)</f>
        <v>1982.18</v>
      </c>
      <c r="C3" s="6">
        <f>IFERROR(__xludf.DUMMYFUNCTION("""COMPUTED_VALUE"""),2069.45)</f>
        <v>2069.45</v>
      </c>
      <c r="D3" s="6">
        <f>IFERROR(__xludf.DUMMYFUNCTION("""COMPUTED_VALUE"""),1971.6)</f>
        <v>1971.6</v>
      </c>
      <c r="E3" s="6">
        <f>IFERROR(__xludf.DUMMYFUNCTION("""COMPUTED_VALUE"""),2052.78)</f>
        <v>2052.78</v>
      </c>
      <c r="F3" s="6">
        <f>IFERROR(__xludf.DUMMYFUNCTION("""COMPUTED_VALUE"""),4781467.0)</f>
        <v>4781467</v>
      </c>
    </row>
    <row r="4">
      <c r="A4" s="7">
        <f>IFERROR(__xludf.DUMMYFUNCTION("""COMPUTED_VALUE"""),45184.64583333333)</f>
        <v>45184.64583</v>
      </c>
      <c r="B4" s="6">
        <f>IFERROR(__xludf.DUMMYFUNCTION("""COMPUTED_VALUE"""),2085.0)</f>
        <v>2085</v>
      </c>
      <c r="C4" s="6">
        <f>IFERROR(__xludf.DUMMYFUNCTION("""COMPUTED_VALUE"""),2085.0)</f>
        <v>2085</v>
      </c>
      <c r="D4" s="6">
        <f>IFERROR(__xludf.DUMMYFUNCTION("""COMPUTED_VALUE"""),1945.05)</f>
        <v>1945.05</v>
      </c>
      <c r="E4" s="6">
        <f>IFERROR(__xludf.DUMMYFUNCTION("""COMPUTED_VALUE"""),1973.83)</f>
        <v>1973.83</v>
      </c>
      <c r="F4" s="6">
        <f>IFERROR(__xludf.DUMMYFUNCTION("""COMPUTED_VALUE"""),3267436.0)</f>
        <v>3267436</v>
      </c>
    </row>
    <row r="5">
      <c r="A5" s="7">
        <f>IFERROR(__xludf.DUMMYFUNCTION("""COMPUTED_VALUE"""),45191.64583333333)</f>
        <v>45191.64583</v>
      </c>
      <c r="B5" s="6">
        <f>IFERROR(__xludf.DUMMYFUNCTION("""COMPUTED_VALUE"""),2050.0)</f>
        <v>2050</v>
      </c>
      <c r="C5" s="6">
        <f>IFERROR(__xludf.DUMMYFUNCTION("""COMPUTED_VALUE"""),2055.57)</f>
        <v>2055.57</v>
      </c>
      <c r="D5" s="6">
        <f>IFERROR(__xludf.DUMMYFUNCTION("""COMPUTED_VALUE"""),1927.5)</f>
        <v>1927.5</v>
      </c>
      <c r="E5" s="6">
        <f>IFERROR(__xludf.DUMMYFUNCTION("""COMPUTED_VALUE"""),1935.0)</f>
        <v>1935</v>
      </c>
      <c r="F5" s="6">
        <f>IFERROR(__xludf.DUMMYFUNCTION("""COMPUTED_VALUE"""),4205729.0)</f>
        <v>4205729</v>
      </c>
    </row>
    <row r="6">
      <c r="A6" s="7">
        <f>IFERROR(__xludf.DUMMYFUNCTION("""COMPUTED_VALUE"""),45198.64583333333)</f>
        <v>45198.64583</v>
      </c>
      <c r="B6" s="6">
        <f>IFERROR(__xludf.DUMMYFUNCTION("""COMPUTED_VALUE"""),1943.3)</f>
        <v>1943.3</v>
      </c>
      <c r="C6" s="6">
        <f>IFERROR(__xludf.DUMMYFUNCTION("""COMPUTED_VALUE"""),1958.43)</f>
        <v>1958.43</v>
      </c>
      <c r="D6" s="6">
        <f>IFERROR(__xludf.DUMMYFUNCTION("""COMPUTED_VALUE"""),1885.0)</f>
        <v>1885</v>
      </c>
      <c r="E6" s="6">
        <f>IFERROR(__xludf.DUMMYFUNCTION("""COMPUTED_VALUE"""),1928.15)</f>
        <v>1928.15</v>
      </c>
      <c r="F6" s="6">
        <f>IFERROR(__xludf.DUMMYFUNCTION("""COMPUTED_VALUE"""),5657412.0)</f>
        <v>5657412</v>
      </c>
    </row>
    <row r="7">
      <c r="A7" s="7">
        <f>IFERROR(__xludf.DUMMYFUNCTION("""COMPUTED_VALUE"""),45205.64583333333)</f>
        <v>45205.64583</v>
      </c>
      <c r="B7" s="6">
        <f>IFERROR(__xludf.DUMMYFUNCTION("""COMPUTED_VALUE"""),1939.15)</f>
        <v>1939.15</v>
      </c>
      <c r="C7" s="6">
        <f>IFERROR(__xludf.DUMMYFUNCTION("""COMPUTED_VALUE"""),1972.0)</f>
        <v>1972</v>
      </c>
      <c r="D7" s="6">
        <f>IFERROR(__xludf.DUMMYFUNCTION("""COMPUTED_VALUE"""),1888.0)</f>
        <v>1888</v>
      </c>
      <c r="E7" s="6">
        <f>IFERROR(__xludf.DUMMYFUNCTION("""COMPUTED_VALUE"""),1956.1)</f>
        <v>1956.1</v>
      </c>
      <c r="F7" s="6">
        <f>IFERROR(__xludf.DUMMYFUNCTION("""COMPUTED_VALUE"""),6841194.0)</f>
        <v>6841194</v>
      </c>
    </row>
    <row r="8">
      <c r="A8" s="7">
        <f>IFERROR(__xludf.DUMMYFUNCTION("""COMPUTED_VALUE"""),45212.64583333333)</f>
        <v>45212.64583</v>
      </c>
      <c r="B8" s="6">
        <f>IFERROR(__xludf.DUMMYFUNCTION("""COMPUTED_VALUE"""),1936.0)</f>
        <v>1936</v>
      </c>
      <c r="C8" s="6">
        <f>IFERROR(__xludf.DUMMYFUNCTION("""COMPUTED_VALUE"""),1990.0)</f>
        <v>1990</v>
      </c>
      <c r="D8" s="6">
        <f>IFERROR(__xludf.DUMMYFUNCTION("""COMPUTED_VALUE"""),1915.65)</f>
        <v>1915.65</v>
      </c>
      <c r="E8" s="6">
        <f>IFERROR(__xludf.DUMMYFUNCTION("""COMPUTED_VALUE"""),1975.1)</f>
        <v>1975.1</v>
      </c>
      <c r="F8" s="6">
        <f>IFERROR(__xludf.DUMMYFUNCTION("""COMPUTED_VALUE"""),4686857.0)</f>
        <v>4686857</v>
      </c>
    </row>
    <row r="9">
      <c r="A9" s="7">
        <f>IFERROR(__xludf.DUMMYFUNCTION("""COMPUTED_VALUE"""),45219.64583333333)</f>
        <v>45219.64583</v>
      </c>
      <c r="B9" s="6">
        <f>IFERROR(__xludf.DUMMYFUNCTION("""COMPUTED_VALUE"""),1974.05)</f>
        <v>1974.05</v>
      </c>
      <c r="C9" s="6">
        <f>IFERROR(__xludf.DUMMYFUNCTION("""COMPUTED_VALUE"""),1984.05)</f>
        <v>1984.05</v>
      </c>
      <c r="D9" s="6">
        <f>IFERROR(__xludf.DUMMYFUNCTION("""COMPUTED_VALUE"""),1905.05)</f>
        <v>1905.05</v>
      </c>
      <c r="E9" s="6">
        <f>IFERROR(__xludf.DUMMYFUNCTION("""COMPUTED_VALUE"""),1912.7)</f>
        <v>1912.7</v>
      </c>
      <c r="F9" s="6">
        <f>IFERROR(__xludf.DUMMYFUNCTION("""COMPUTED_VALUE"""),3198869.0)</f>
        <v>3198869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IFERROR(__xludf.DUMMYFUNCTION("""COMPUTED_VALUE"""),1912.7)</f>
        <v>1912.7</v>
      </c>
      <c r="C10" s="6">
        <f>IFERROR(__xludf.DUMMYFUNCTION("""COMPUTED_VALUE"""),1917.8)</f>
        <v>1917.8</v>
      </c>
      <c r="D10" s="6">
        <f>IFERROR(__xludf.DUMMYFUNCTION("""COMPUTED_VALUE"""),1767.8)</f>
        <v>1767.8</v>
      </c>
      <c r="E10" s="6">
        <f>IFERROR(__xludf.DUMMYFUNCTION("""COMPUTED_VALUE"""),1854.4)</f>
        <v>1854.4</v>
      </c>
      <c r="F10" s="6">
        <f>IFERROR(__xludf.DUMMYFUNCTION("""COMPUTED_VALUE"""),5393834.0)</f>
        <v>5393834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IFERROR(__xludf.DUMMYFUNCTION("""COMPUTED_VALUE"""),1870.0)</f>
        <v>1870</v>
      </c>
      <c r="C11" s="6">
        <f>IFERROR(__xludf.DUMMYFUNCTION("""COMPUTED_VALUE"""),1904.9)</f>
        <v>1904.9</v>
      </c>
      <c r="D11" s="6">
        <f>IFERROR(__xludf.DUMMYFUNCTION("""COMPUTED_VALUE"""),1818.65)</f>
        <v>1818.65</v>
      </c>
      <c r="E11" s="6">
        <f>IFERROR(__xludf.DUMMYFUNCTION("""COMPUTED_VALUE"""),1901.75)</f>
        <v>1901.75</v>
      </c>
      <c r="F11" s="6">
        <f>IFERROR(__xludf.DUMMYFUNCTION("""COMPUTED_VALUE"""),3824203.0)</f>
        <v>3824203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IFERROR(__xludf.DUMMYFUNCTION("""COMPUTED_VALUE"""),1910.0)</f>
        <v>1910</v>
      </c>
      <c r="C12" s="6">
        <f>IFERROR(__xludf.DUMMYFUNCTION("""COMPUTED_VALUE"""),2110.95)</f>
        <v>2110.95</v>
      </c>
      <c r="D12" s="6">
        <f>IFERROR(__xludf.DUMMYFUNCTION("""COMPUTED_VALUE"""),1908.0)</f>
        <v>1908</v>
      </c>
      <c r="E12" s="6">
        <f>IFERROR(__xludf.DUMMYFUNCTION("""COMPUTED_VALUE"""),2058.9)</f>
        <v>2058.9</v>
      </c>
      <c r="F12" s="6">
        <f>IFERROR(__xludf.DUMMYFUNCTION("""COMPUTED_VALUE"""),1.1057578E7)</f>
        <v>11057578</v>
      </c>
    </row>
    <row r="13">
      <c r="A13" s="7">
        <f>IFERROR(__xludf.DUMMYFUNCTION("""COMPUTED_VALUE"""),45247.64583333333)</f>
        <v>45247.64583</v>
      </c>
      <c r="B13" s="6">
        <f>IFERROR(__xludf.DUMMYFUNCTION("""COMPUTED_VALUE"""),2088.0)</f>
        <v>2088</v>
      </c>
      <c r="C13" s="6">
        <f>IFERROR(__xludf.DUMMYFUNCTION("""COMPUTED_VALUE"""),2155.0)</f>
        <v>2155</v>
      </c>
      <c r="D13" s="6">
        <f>IFERROR(__xludf.DUMMYFUNCTION("""COMPUTED_VALUE"""),2040.55)</f>
        <v>2040.55</v>
      </c>
      <c r="E13" s="6">
        <f>IFERROR(__xludf.DUMMYFUNCTION("""COMPUTED_VALUE"""),2126.0)</f>
        <v>2126</v>
      </c>
      <c r="F13" s="6">
        <f>IFERROR(__xludf.DUMMYFUNCTION("""COMPUTED_VALUE"""),6792606.0)</f>
        <v>6792606</v>
      </c>
    </row>
    <row r="14">
      <c r="A14" s="7">
        <f>IFERROR(__xludf.DUMMYFUNCTION("""COMPUTED_VALUE"""),45254.64583333333)</f>
        <v>45254.64583</v>
      </c>
      <c r="B14" s="6">
        <f>IFERROR(__xludf.DUMMYFUNCTION("""COMPUTED_VALUE"""),2137.3)</f>
        <v>2137.3</v>
      </c>
      <c r="C14" s="6">
        <f>IFERROR(__xludf.DUMMYFUNCTION("""COMPUTED_VALUE"""),2251.0)</f>
        <v>2251</v>
      </c>
      <c r="D14" s="6">
        <f>IFERROR(__xludf.DUMMYFUNCTION("""COMPUTED_VALUE"""),2088.95)</f>
        <v>2088.95</v>
      </c>
      <c r="E14" s="6">
        <f>IFERROR(__xludf.DUMMYFUNCTION("""COMPUTED_VALUE"""),2240.3)</f>
        <v>2240.3</v>
      </c>
      <c r="F14" s="6">
        <f>IFERROR(__xludf.DUMMYFUNCTION("""COMPUTED_VALUE"""),7469166.0)</f>
        <v>7469166</v>
      </c>
    </row>
    <row r="15">
      <c r="A15" s="7">
        <f>IFERROR(__xludf.DUMMYFUNCTION("""COMPUTED_VALUE"""),45261.64583333333)</f>
        <v>45261.64583</v>
      </c>
      <c r="B15" s="6">
        <f>IFERROR(__xludf.DUMMYFUNCTION("""COMPUTED_VALUE"""),2309.0)</f>
        <v>2309</v>
      </c>
      <c r="C15" s="6">
        <f>IFERROR(__xludf.DUMMYFUNCTION("""COMPUTED_VALUE"""),2500.0)</f>
        <v>2500</v>
      </c>
      <c r="D15" s="6">
        <f>IFERROR(__xludf.DUMMYFUNCTION("""COMPUTED_VALUE"""),2266.0)</f>
        <v>2266</v>
      </c>
      <c r="E15" s="6">
        <f>IFERROR(__xludf.DUMMYFUNCTION("""COMPUTED_VALUE"""),2462.25)</f>
        <v>2462.25</v>
      </c>
      <c r="F15" s="6">
        <f>IFERROR(__xludf.DUMMYFUNCTION("""COMPUTED_VALUE"""),1.7124111E7)</f>
        <v>17124111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IFERROR(__xludf.DUMMYFUNCTION("""COMPUTED_VALUE"""),2534.0)</f>
        <v>2534</v>
      </c>
      <c r="C16" s="6">
        <f>IFERROR(__xludf.DUMMYFUNCTION("""COMPUTED_VALUE"""),2783.2)</f>
        <v>2783.2</v>
      </c>
      <c r="D16" s="6">
        <f>IFERROR(__xludf.DUMMYFUNCTION("""COMPUTED_VALUE"""),2473.0)</f>
        <v>2473</v>
      </c>
      <c r="E16" s="6">
        <f>IFERROR(__xludf.DUMMYFUNCTION("""COMPUTED_VALUE"""),2733.65)</f>
        <v>2733.65</v>
      </c>
      <c r="F16" s="6">
        <f>IFERROR(__xludf.DUMMYFUNCTION("""COMPUTED_VALUE"""),1.5711821E7)</f>
        <v>15711821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IFERROR(__xludf.DUMMYFUNCTION("""COMPUTED_VALUE"""),2739.95)</f>
        <v>2739.95</v>
      </c>
      <c r="C17" s="6">
        <f>IFERROR(__xludf.DUMMYFUNCTION("""COMPUTED_VALUE"""),2820.25)</f>
        <v>2820.25</v>
      </c>
      <c r="D17" s="6">
        <f>IFERROR(__xludf.DUMMYFUNCTION("""COMPUTED_VALUE"""),2715.3)</f>
        <v>2715.3</v>
      </c>
      <c r="E17" s="6">
        <f>IFERROR(__xludf.DUMMYFUNCTION("""COMPUTED_VALUE"""),2761.8)</f>
        <v>2761.8</v>
      </c>
      <c r="F17" s="6">
        <f>IFERROR(__xludf.DUMMYFUNCTION("""COMPUTED_VALUE"""),9081240.0)</f>
        <v>9081240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IFERROR(__xludf.DUMMYFUNCTION("""COMPUTED_VALUE"""),2760.0)</f>
        <v>2760</v>
      </c>
      <c r="C18" s="6">
        <f>IFERROR(__xludf.DUMMYFUNCTION("""COMPUTED_VALUE"""),2849.75)</f>
        <v>2849.75</v>
      </c>
      <c r="D18" s="6">
        <f>IFERROR(__xludf.DUMMYFUNCTION("""COMPUTED_VALUE"""),2585.0)</f>
        <v>2585</v>
      </c>
      <c r="E18" s="6">
        <f>IFERROR(__xludf.DUMMYFUNCTION("""COMPUTED_VALUE"""),2703.7)</f>
        <v>2703.7</v>
      </c>
      <c r="F18" s="6">
        <f>IFERROR(__xludf.DUMMYFUNCTION("""COMPUTED_VALUE"""),9346714.0)</f>
        <v>9346714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IFERROR(__xludf.DUMMYFUNCTION("""COMPUTED_VALUE"""),2710.0)</f>
        <v>2710</v>
      </c>
      <c r="C19" s="6">
        <f>IFERROR(__xludf.DUMMYFUNCTION("""COMPUTED_VALUE"""),2836.95)</f>
        <v>2836.95</v>
      </c>
      <c r="D19" s="6">
        <f>IFERROR(__xludf.DUMMYFUNCTION("""COMPUTED_VALUE"""),2701.25)</f>
        <v>2701.25</v>
      </c>
      <c r="E19" s="6">
        <f>IFERROR(__xludf.DUMMYFUNCTION("""COMPUTED_VALUE"""),2804.0)</f>
        <v>2804</v>
      </c>
      <c r="F19" s="6">
        <f>IFERROR(__xludf.DUMMYFUNCTION("""COMPUTED_VALUE"""),5086560.0)</f>
        <v>5086560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IFERROR(__xludf.DUMMYFUNCTION("""COMPUTED_VALUE"""),2805.1)</f>
        <v>2805.1</v>
      </c>
      <c r="C20" s="6">
        <f>IFERROR(__xludf.DUMMYFUNCTION("""COMPUTED_VALUE"""),3079.0)</f>
        <v>3079</v>
      </c>
      <c r="D20" s="6">
        <f>IFERROR(__xludf.DUMMYFUNCTION("""COMPUTED_VALUE"""),2748.45)</f>
        <v>2748.45</v>
      </c>
      <c r="E20" s="6">
        <f>IFERROR(__xludf.DUMMYFUNCTION("""COMPUTED_VALUE"""),2998.85)</f>
        <v>2998.85</v>
      </c>
      <c r="F20" s="6">
        <f>IFERROR(__xludf.DUMMYFUNCTION("""COMPUTED_VALUE"""),1.1550935E7)</f>
        <v>11550935</v>
      </c>
    </row>
    <row r="21">
      <c r="A21" s="7">
        <f>IFERROR(__xludf.DUMMYFUNCTION("""COMPUTED_VALUE"""),45303.64583333333)</f>
        <v>45303.64583</v>
      </c>
      <c r="B21" s="6">
        <f>IFERROR(__xludf.DUMMYFUNCTION("""COMPUTED_VALUE"""),3017.0)</f>
        <v>3017</v>
      </c>
      <c r="C21" s="6">
        <f>IFERROR(__xludf.DUMMYFUNCTION("""COMPUTED_VALUE"""),3074.8)</f>
        <v>3074.8</v>
      </c>
      <c r="D21" s="6">
        <f>IFERROR(__xludf.DUMMYFUNCTION("""COMPUTED_VALUE"""),2978.15)</f>
        <v>2978.15</v>
      </c>
      <c r="E21" s="6">
        <f>IFERROR(__xludf.DUMMYFUNCTION("""COMPUTED_VALUE"""),3001.95)</f>
        <v>3001.95</v>
      </c>
      <c r="F21" s="6">
        <f>IFERROR(__xludf.DUMMYFUNCTION("""COMPUTED_VALUE"""),6501370.0)</f>
        <v>6501370</v>
      </c>
    </row>
    <row r="22">
      <c r="A22" s="7">
        <f>IFERROR(__xludf.DUMMYFUNCTION("""COMPUTED_VALUE"""),45316.64583333333)</f>
        <v>45316.64583</v>
      </c>
      <c r="B22" s="6">
        <f>IFERROR(__xludf.DUMMYFUNCTION("""COMPUTED_VALUE"""),3007.0)</f>
        <v>3007</v>
      </c>
      <c r="C22" s="6">
        <f>IFERROR(__xludf.DUMMYFUNCTION("""COMPUTED_VALUE"""),3022.0)</f>
        <v>3022</v>
      </c>
      <c r="D22" s="6">
        <f>IFERROR(__xludf.DUMMYFUNCTION("""COMPUTED_VALUE"""),2820.0)</f>
        <v>2820</v>
      </c>
      <c r="E22" s="6">
        <f>IFERROR(__xludf.DUMMYFUNCTION("""COMPUTED_VALUE"""),2903.8)</f>
        <v>2903.8</v>
      </c>
      <c r="F22" s="6">
        <f>IFERROR(__xludf.DUMMYFUNCTION("""COMPUTED_VALUE"""),4268034.0)</f>
        <v>4268034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IFERROR(__xludf.DUMMYFUNCTION("""COMPUTED_VALUE"""),2910.0)</f>
        <v>2910</v>
      </c>
      <c r="C23" s="6">
        <f>IFERROR(__xludf.DUMMYFUNCTION("""COMPUTED_VALUE"""),3074.0)</f>
        <v>3074</v>
      </c>
      <c r="D23" s="6">
        <f>IFERROR(__xludf.DUMMYFUNCTION("""COMPUTED_VALUE"""),2903.9)</f>
        <v>2903.9</v>
      </c>
      <c r="E23" s="6">
        <f>IFERROR(__xludf.DUMMYFUNCTION("""COMPUTED_VALUE"""),2970.7)</f>
        <v>2970.7</v>
      </c>
      <c r="F23" s="6">
        <f>IFERROR(__xludf.DUMMYFUNCTION("""COMPUTED_VALUE"""),7318291.0)</f>
        <v>7318291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IFERROR(__xludf.DUMMYFUNCTION("""COMPUTED_VALUE"""),2980.0)</f>
        <v>2980</v>
      </c>
      <c r="C24" s="6">
        <f>IFERROR(__xludf.DUMMYFUNCTION("""COMPUTED_VALUE"""),3132.0)</f>
        <v>3132</v>
      </c>
      <c r="D24" s="6">
        <f>IFERROR(__xludf.DUMMYFUNCTION("""COMPUTED_VALUE"""),2907.05)</f>
        <v>2907.05</v>
      </c>
      <c r="E24" s="6">
        <f>IFERROR(__xludf.DUMMYFUNCTION("""COMPUTED_VALUE"""),2965.35)</f>
        <v>2965.35</v>
      </c>
      <c r="F24" s="6">
        <f>IFERROR(__xludf.DUMMYFUNCTION("""COMPUTED_VALUE"""),1.0903154E7)</f>
        <v>10903154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IFERROR(__xludf.DUMMYFUNCTION("""COMPUTED_VALUE"""),2975.0)</f>
        <v>2975</v>
      </c>
      <c r="C25" s="6">
        <f>IFERROR(__xludf.DUMMYFUNCTION("""COMPUTED_VALUE"""),3105.0)</f>
        <v>3105</v>
      </c>
      <c r="D25" s="6">
        <f>IFERROR(__xludf.DUMMYFUNCTION("""COMPUTED_VALUE"""),2824.85)</f>
        <v>2824.85</v>
      </c>
      <c r="E25" s="6">
        <f>IFERROR(__xludf.DUMMYFUNCTION("""COMPUTED_VALUE"""),3078.8)</f>
        <v>3078.8</v>
      </c>
      <c r="F25" s="6">
        <f>IFERROR(__xludf.DUMMYFUNCTION("""COMPUTED_VALUE"""),1.0329889E7)</f>
        <v>10329889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IFERROR(__xludf.DUMMYFUNCTION("""COMPUTED_VALUE"""),3099.95)</f>
        <v>3099.95</v>
      </c>
      <c r="C26" s="6">
        <f>IFERROR(__xludf.DUMMYFUNCTION("""COMPUTED_VALUE"""),3113.9)</f>
        <v>3113.9</v>
      </c>
      <c r="D26" s="6">
        <f>IFERROR(__xludf.DUMMYFUNCTION("""COMPUTED_VALUE"""),2935.1)</f>
        <v>2935.1</v>
      </c>
      <c r="E26" s="6">
        <f>IFERROR(__xludf.DUMMYFUNCTION("""COMPUTED_VALUE"""),3045.5)</f>
        <v>3045.5</v>
      </c>
      <c r="F26" s="6">
        <f>IFERROR(__xludf.DUMMYFUNCTION("""COMPUTED_VALUE"""),6184743.0)</f>
        <v>6184743</v>
      </c>
    </row>
    <row r="27">
      <c r="A27" s="7">
        <f>IFERROR(__xludf.DUMMYFUNCTION("""COMPUTED_VALUE"""),45358.64583333333)</f>
        <v>45358.64583</v>
      </c>
      <c r="B27" s="6">
        <f>IFERROR(__xludf.DUMMYFUNCTION("""COMPUTED_VALUE"""),3157.0)</f>
        <v>3157</v>
      </c>
      <c r="C27" s="6">
        <f>IFERROR(__xludf.DUMMYFUNCTION("""COMPUTED_VALUE"""),3334.0)</f>
        <v>3334</v>
      </c>
      <c r="D27" s="6">
        <f>IFERROR(__xludf.DUMMYFUNCTION("""COMPUTED_VALUE"""),3133.0)</f>
        <v>3133</v>
      </c>
      <c r="E27" s="6">
        <f>IFERROR(__xludf.DUMMYFUNCTION("""COMPUTED_VALUE"""),3317.3)</f>
        <v>3317.3</v>
      </c>
      <c r="F27" s="6">
        <f>IFERROR(__xludf.DUMMYFUNCTION("""COMPUTED_VALUE"""),6938734.0)</f>
        <v>6938734</v>
      </c>
    </row>
    <row r="28">
      <c r="A28" s="7">
        <f>IFERROR(__xludf.DUMMYFUNCTION("""COMPUTED_VALUE"""),45366.64583333333)</f>
        <v>45366.64583</v>
      </c>
      <c r="B28" s="6">
        <f>IFERROR(__xludf.DUMMYFUNCTION("""COMPUTED_VALUE"""),3365.0)</f>
        <v>3365</v>
      </c>
      <c r="C28" s="6">
        <f>IFERROR(__xludf.DUMMYFUNCTION("""COMPUTED_VALUE"""),3428.0)</f>
        <v>3428</v>
      </c>
      <c r="D28" s="6">
        <f>IFERROR(__xludf.DUMMYFUNCTION("""COMPUTED_VALUE"""),3006.0)</f>
        <v>3006</v>
      </c>
      <c r="E28" s="6">
        <f>IFERROR(__xludf.DUMMYFUNCTION("""COMPUTED_VALUE"""),3099.1)</f>
        <v>3099.1</v>
      </c>
      <c r="F28" s="6">
        <f>IFERROR(__xludf.DUMMYFUNCTION("""COMPUTED_VALUE"""),1.2584025E7)</f>
        <v>12584025</v>
      </c>
    </row>
    <row r="29">
      <c r="A29" s="7">
        <f>IFERROR(__xludf.DUMMYFUNCTION("""COMPUTED_VALUE"""),45373.64583333333)</f>
        <v>45373.64583</v>
      </c>
      <c r="B29" s="6">
        <f>IFERROR(__xludf.DUMMYFUNCTION("""COMPUTED_VALUE"""),3138.0)</f>
        <v>3138</v>
      </c>
      <c r="C29" s="6">
        <f>IFERROR(__xludf.DUMMYFUNCTION("""COMPUTED_VALUE"""),3209.9)</f>
        <v>3209.9</v>
      </c>
      <c r="D29" s="6">
        <f>IFERROR(__xludf.DUMMYFUNCTION("""COMPUTED_VALUE"""),2913.6)</f>
        <v>2913.6</v>
      </c>
      <c r="E29" s="6">
        <f>IFERROR(__xludf.DUMMYFUNCTION("""COMPUTED_VALUE"""),3170.8)</f>
        <v>3170.8</v>
      </c>
      <c r="F29" s="6">
        <f>IFERROR(__xludf.DUMMYFUNCTION("""COMPUTED_VALUE"""),1.0658337E7)</f>
        <v>10658337</v>
      </c>
    </row>
    <row r="30">
      <c r="A30" s="7">
        <f>IFERROR(__xludf.DUMMYFUNCTION("""COMPUTED_VALUE"""),45379.64583333333)</f>
        <v>45379.64583</v>
      </c>
      <c r="B30" s="6">
        <f>IFERROR(__xludf.DUMMYFUNCTION("""COMPUTED_VALUE"""),3193.0)</f>
        <v>3193</v>
      </c>
      <c r="C30" s="6">
        <f>IFERROR(__xludf.DUMMYFUNCTION("""COMPUTED_VALUE"""),3345.0)</f>
        <v>3345</v>
      </c>
      <c r="D30" s="6">
        <f>IFERROR(__xludf.DUMMYFUNCTION("""COMPUTED_VALUE"""),3180.0)</f>
        <v>3180</v>
      </c>
      <c r="E30" s="6">
        <f>IFERROR(__xludf.DUMMYFUNCTION("""COMPUTED_VALUE"""),3327.0)</f>
        <v>3327</v>
      </c>
      <c r="F30" s="6">
        <f>IFERROR(__xludf.DUMMYFUNCTION("""COMPUTED_VALUE"""),5462728.0)</f>
        <v>5462728</v>
      </c>
    </row>
    <row r="31">
      <c r="A31" s="7">
        <f>IFERROR(__xludf.DUMMYFUNCTION("""COMPUTED_VALUE"""),45387.64583333333)</f>
        <v>45387.64583</v>
      </c>
      <c r="B31" s="6">
        <f>IFERROR(__xludf.DUMMYFUNCTION("""COMPUTED_VALUE"""),3392.0)</f>
        <v>3392</v>
      </c>
      <c r="C31" s="6">
        <f>IFERROR(__xludf.DUMMYFUNCTION("""COMPUTED_VALUE"""),3614.95)</f>
        <v>3614.95</v>
      </c>
      <c r="D31" s="6">
        <f>IFERROR(__xludf.DUMMYFUNCTION("""COMPUTED_VALUE"""),3362.1)</f>
        <v>3362.1</v>
      </c>
      <c r="E31" s="6">
        <f>IFERROR(__xludf.DUMMYFUNCTION("""COMPUTED_VALUE"""),3586.05)</f>
        <v>3586.05</v>
      </c>
      <c r="F31" s="6">
        <f>IFERROR(__xludf.DUMMYFUNCTION("""COMPUTED_VALUE"""),1.0476185E7)</f>
        <v>10476185</v>
      </c>
    </row>
    <row r="32">
      <c r="A32" s="7">
        <f>IFERROR(__xludf.DUMMYFUNCTION("""COMPUTED_VALUE"""),45394.64583333333)</f>
        <v>45394.64583</v>
      </c>
      <c r="B32" s="6">
        <f>IFERROR(__xludf.DUMMYFUNCTION("""COMPUTED_VALUE"""),3600.0)</f>
        <v>3600</v>
      </c>
      <c r="C32" s="6">
        <f>IFERROR(__xludf.DUMMYFUNCTION("""COMPUTED_VALUE"""),3677.55)</f>
        <v>3677.55</v>
      </c>
      <c r="D32" s="6">
        <f>IFERROR(__xludf.DUMMYFUNCTION("""COMPUTED_VALUE"""),3527.0)</f>
        <v>3527</v>
      </c>
      <c r="E32" s="6">
        <f>IFERROR(__xludf.DUMMYFUNCTION("""COMPUTED_VALUE"""),3638.1)</f>
        <v>3638.1</v>
      </c>
      <c r="F32" s="6">
        <f>IFERROR(__xludf.DUMMYFUNCTION("""COMPUTED_VALUE"""),5718503.0)</f>
        <v>5718503</v>
      </c>
    </row>
    <row r="33">
      <c r="A33" s="7">
        <f>IFERROR(__xludf.DUMMYFUNCTION("""COMPUTED_VALUE"""),45401.64583333333)</f>
        <v>45401.64583</v>
      </c>
      <c r="B33" s="6">
        <f>IFERROR(__xludf.DUMMYFUNCTION("""COMPUTED_VALUE"""),3640.0)</f>
        <v>3640</v>
      </c>
      <c r="C33" s="6">
        <f>IFERROR(__xludf.DUMMYFUNCTION("""COMPUTED_VALUE"""),3768.0)</f>
        <v>3768</v>
      </c>
      <c r="D33" s="6">
        <f>IFERROR(__xludf.DUMMYFUNCTION("""COMPUTED_VALUE"""),3564.05)</f>
        <v>3564.05</v>
      </c>
      <c r="E33" s="6">
        <f>IFERROR(__xludf.DUMMYFUNCTION("""COMPUTED_VALUE"""),3751.3)</f>
        <v>3751.3</v>
      </c>
      <c r="F33" s="6">
        <f>IFERROR(__xludf.DUMMYFUNCTION("""COMPUTED_VALUE"""),1.1338742E7)</f>
        <v>11338742</v>
      </c>
    </row>
    <row r="34">
      <c r="A34" s="7">
        <f>IFERROR(__xludf.DUMMYFUNCTION("""COMPUTED_VALUE"""),45408.64583333333)</f>
        <v>45408.64583</v>
      </c>
      <c r="B34" s="6">
        <f>IFERROR(__xludf.DUMMYFUNCTION("""COMPUTED_VALUE"""),3800.0)</f>
        <v>3800</v>
      </c>
      <c r="C34" s="6">
        <f>IFERROR(__xludf.DUMMYFUNCTION("""COMPUTED_VALUE"""),4039.95)</f>
        <v>4039.95</v>
      </c>
      <c r="D34" s="6">
        <f>IFERROR(__xludf.DUMMYFUNCTION("""COMPUTED_VALUE"""),3732.6)</f>
        <v>3732.6</v>
      </c>
      <c r="E34" s="6">
        <f>IFERROR(__xludf.DUMMYFUNCTION("""COMPUTED_VALUE"""),3984.4)</f>
        <v>3984.4</v>
      </c>
      <c r="F34" s="6">
        <f>IFERROR(__xludf.DUMMYFUNCTION("""COMPUTED_VALUE"""),1.1153682E7)</f>
        <v>11153682</v>
      </c>
    </row>
    <row r="35">
      <c r="A35" s="7">
        <f>IFERROR(__xludf.DUMMYFUNCTION("""COMPUTED_VALUE"""),45415.64583333333)</f>
        <v>45415.64583</v>
      </c>
      <c r="B35" s="6">
        <f>IFERROR(__xludf.DUMMYFUNCTION("""COMPUTED_VALUE"""),4006.35)</f>
        <v>4006.35</v>
      </c>
      <c r="C35" s="6">
        <f>IFERROR(__xludf.DUMMYFUNCTION("""COMPUTED_VALUE"""),4044.75)</f>
        <v>4044.75</v>
      </c>
      <c r="D35" s="6">
        <f>IFERROR(__xludf.DUMMYFUNCTION("""COMPUTED_VALUE"""),3880.0)</f>
        <v>3880</v>
      </c>
      <c r="E35" s="6">
        <f>IFERROR(__xludf.DUMMYFUNCTION("""COMPUTED_VALUE"""),3920.2)</f>
        <v>3920.2</v>
      </c>
      <c r="F35" s="6">
        <f>IFERROR(__xludf.DUMMYFUNCTION("""COMPUTED_VALUE"""),5445078.0)</f>
        <v>5445078</v>
      </c>
    </row>
    <row r="36">
      <c r="A36" s="7">
        <f>IFERROR(__xludf.DUMMYFUNCTION("""COMPUTED_VALUE"""),45422.64583333333)</f>
        <v>45422.64583</v>
      </c>
      <c r="B36" s="6">
        <f>IFERROR(__xludf.DUMMYFUNCTION("""COMPUTED_VALUE"""),3936.0)</f>
        <v>3936</v>
      </c>
      <c r="C36" s="6">
        <f>IFERROR(__xludf.DUMMYFUNCTION("""COMPUTED_VALUE"""),3954.0)</f>
        <v>3954</v>
      </c>
      <c r="D36" s="6">
        <f>IFERROR(__xludf.DUMMYFUNCTION("""COMPUTED_VALUE"""),3671.0)</f>
        <v>3671</v>
      </c>
      <c r="E36" s="6">
        <f>IFERROR(__xludf.DUMMYFUNCTION("""COMPUTED_VALUE"""),3872.9)</f>
        <v>3872.9</v>
      </c>
      <c r="F36" s="6">
        <f>IFERROR(__xludf.DUMMYFUNCTION("""COMPUTED_VALUE"""),9380359.0)</f>
        <v>9380359</v>
      </c>
    </row>
    <row r="37">
      <c r="A37" s="7">
        <f>IFERROR(__xludf.DUMMYFUNCTION("""COMPUTED_VALUE"""),45436.64583333333)</f>
        <v>45436.64583</v>
      </c>
      <c r="B37" s="6">
        <f>IFERROR(__xludf.DUMMYFUNCTION("""COMPUTED_VALUE"""),4750.0)</f>
        <v>4750</v>
      </c>
      <c r="C37" s="6">
        <f>IFERROR(__xludf.DUMMYFUNCTION("""COMPUTED_VALUE"""),5378.0)</f>
        <v>5378</v>
      </c>
      <c r="D37" s="6">
        <f>IFERROR(__xludf.DUMMYFUNCTION("""COMPUTED_VALUE"""),4725.15)</f>
        <v>4725.15</v>
      </c>
      <c r="E37" s="6">
        <f>IFERROR(__xludf.DUMMYFUNCTION("""COMPUTED_VALUE"""),5166.65)</f>
        <v>5166.65</v>
      </c>
      <c r="F37" s="6">
        <f>IFERROR(__xludf.DUMMYFUNCTION("""COMPUTED_VALUE"""),2.2981278E7)</f>
        <v>22981278</v>
      </c>
    </row>
    <row r="38">
      <c r="A38" s="7">
        <f>IFERROR(__xludf.DUMMYFUNCTION("""COMPUTED_VALUE"""),45443.64583333333)</f>
        <v>45443.64583</v>
      </c>
      <c r="B38" s="6">
        <f>IFERROR(__xludf.DUMMYFUNCTION("""COMPUTED_VALUE"""),5192.5)</f>
        <v>5192.5</v>
      </c>
      <c r="C38" s="6">
        <f>IFERROR(__xludf.DUMMYFUNCTION("""COMPUTED_VALUE"""),5223.2)</f>
        <v>5223.2</v>
      </c>
      <c r="D38" s="6">
        <f>IFERROR(__xludf.DUMMYFUNCTION("""COMPUTED_VALUE"""),4862.2)</f>
        <v>4862.2</v>
      </c>
      <c r="E38" s="6">
        <f>IFERROR(__xludf.DUMMYFUNCTION("""COMPUTED_VALUE"""),4973.85)</f>
        <v>4973.85</v>
      </c>
      <c r="F38" s="6">
        <f>IFERROR(__xludf.DUMMYFUNCTION("""COMPUTED_VALUE"""),1.9520222E7)</f>
        <v>19520222</v>
      </c>
    </row>
    <row r="39">
      <c r="A39" s="7">
        <f>IFERROR(__xludf.DUMMYFUNCTION("""COMPUTED_VALUE"""),45450.64583333333)</f>
        <v>45450.64583</v>
      </c>
      <c r="B39" s="6">
        <f>IFERROR(__xludf.DUMMYFUNCTION("""COMPUTED_VALUE"""),5444.0)</f>
        <v>5444</v>
      </c>
      <c r="C39" s="6">
        <f>IFERROR(__xludf.DUMMYFUNCTION("""COMPUTED_VALUE"""),5444.0)</f>
        <v>5444</v>
      </c>
      <c r="D39" s="6">
        <f>IFERROR(__xludf.DUMMYFUNCTION("""COMPUTED_VALUE"""),3920.0)</f>
        <v>3920</v>
      </c>
      <c r="E39" s="6">
        <f>IFERROR(__xludf.DUMMYFUNCTION("""COMPUTED_VALUE"""),4745.15)</f>
        <v>4745.15</v>
      </c>
      <c r="F39" s="6">
        <f>IFERROR(__xludf.DUMMYFUNCTION("""COMPUTED_VALUE"""),4.7537585E7)</f>
        <v>47537585</v>
      </c>
    </row>
    <row r="40">
      <c r="A40" s="7">
        <f>IFERROR(__xludf.DUMMYFUNCTION("""COMPUTED_VALUE"""),45457.64583333333)</f>
        <v>45457.64583</v>
      </c>
      <c r="B40" s="6">
        <f>IFERROR(__xludf.DUMMYFUNCTION("""COMPUTED_VALUE"""),4800.0)</f>
        <v>4800</v>
      </c>
      <c r="C40" s="6">
        <f>IFERROR(__xludf.DUMMYFUNCTION("""COMPUTED_VALUE"""),5260.0)</f>
        <v>5260</v>
      </c>
      <c r="D40" s="6">
        <f>IFERROR(__xludf.DUMMYFUNCTION("""COMPUTED_VALUE"""),4751.55)</f>
        <v>4751.55</v>
      </c>
      <c r="E40" s="6">
        <f>IFERROR(__xludf.DUMMYFUNCTION("""COMPUTED_VALUE"""),5200.55)</f>
        <v>5200.55</v>
      </c>
      <c r="F40" s="6">
        <f>IFERROR(__xludf.DUMMYFUNCTION("""COMPUTED_VALUE"""),1.8311954E7)</f>
        <v>18311954</v>
      </c>
    </row>
    <row r="41">
      <c r="A41" s="7">
        <f>IFERROR(__xludf.DUMMYFUNCTION("""COMPUTED_VALUE"""),45464.64583333333)</f>
        <v>45464.64583</v>
      </c>
      <c r="B41" s="6">
        <f>IFERROR(__xludf.DUMMYFUNCTION("""COMPUTED_VALUE"""),5460.1)</f>
        <v>5460.1</v>
      </c>
      <c r="C41" s="6">
        <f>IFERROR(__xludf.DUMMYFUNCTION("""COMPUTED_VALUE"""),5582.8)</f>
        <v>5582.8</v>
      </c>
      <c r="D41" s="6">
        <f>IFERROR(__xludf.DUMMYFUNCTION("""COMPUTED_VALUE"""),5151.0)</f>
        <v>5151</v>
      </c>
      <c r="E41" s="6">
        <f>IFERROR(__xludf.DUMMYFUNCTION("""COMPUTED_VALUE"""),5170.55)</f>
        <v>5170.55</v>
      </c>
      <c r="F41" s="6">
        <f>IFERROR(__xludf.DUMMYFUNCTION("""COMPUTED_VALUE"""),2.6215747E7)</f>
        <v>26215747</v>
      </c>
    </row>
    <row r="42">
      <c r="A42" s="7">
        <f>IFERROR(__xludf.DUMMYFUNCTION("""COMPUTED_VALUE"""),45471.64583333333)</f>
        <v>45471.64583</v>
      </c>
      <c r="B42" s="6">
        <f>IFERROR(__xludf.DUMMYFUNCTION("""COMPUTED_VALUE"""),5170.0)</f>
        <v>5170</v>
      </c>
      <c r="C42" s="6">
        <f>IFERROR(__xludf.DUMMYFUNCTION("""COMPUTED_VALUE"""),5455.0)</f>
        <v>5455</v>
      </c>
      <c r="D42" s="6">
        <f>IFERROR(__xludf.DUMMYFUNCTION("""COMPUTED_VALUE"""),5114.6)</f>
        <v>5114.6</v>
      </c>
      <c r="E42" s="6">
        <f>IFERROR(__xludf.DUMMYFUNCTION("""COMPUTED_VALUE"""),5264.25)</f>
        <v>5264.25</v>
      </c>
      <c r="F42" s="6">
        <f>IFERROR(__xludf.DUMMYFUNCTION("""COMPUTED_VALUE"""),1.3975482E7)</f>
        <v>13975482</v>
      </c>
    </row>
    <row r="43">
      <c r="A43" s="7">
        <f>IFERROR(__xludf.DUMMYFUNCTION("""COMPUTED_VALUE"""),45478.64583333333)</f>
        <v>45478.64583</v>
      </c>
      <c r="B43" s="6">
        <f>IFERROR(__xludf.DUMMYFUNCTION("""COMPUTED_VALUE"""),5270.0)</f>
        <v>5270</v>
      </c>
      <c r="C43" s="6">
        <f>IFERROR(__xludf.DUMMYFUNCTION("""COMPUTED_VALUE"""),5624.95)</f>
        <v>5624.95</v>
      </c>
      <c r="D43" s="6">
        <f>IFERROR(__xludf.DUMMYFUNCTION("""COMPUTED_VALUE"""),5253.3)</f>
        <v>5253.3</v>
      </c>
      <c r="E43" s="6">
        <f>IFERROR(__xludf.DUMMYFUNCTION("""COMPUTED_VALUE"""),5552.0)</f>
        <v>5552</v>
      </c>
      <c r="F43" s="6">
        <f>IFERROR(__xludf.DUMMYFUNCTION("""COMPUTED_VALUE"""),1.4056044E7)</f>
        <v>14056044</v>
      </c>
    </row>
    <row r="44">
      <c r="A44" s="7">
        <f>IFERROR(__xludf.DUMMYFUNCTION("""COMPUTED_VALUE"""),45485.64583333333)</f>
        <v>45485.64583</v>
      </c>
      <c r="B44" s="6">
        <f>IFERROR(__xludf.DUMMYFUNCTION("""COMPUTED_VALUE"""),5580.0)</f>
        <v>5580</v>
      </c>
      <c r="C44" s="6">
        <f>IFERROR(__xludf.DUMMYFUNCTION("""COMPUTED_VALUE"""),5674.75)</f>
        <v>5674.75</v>
      </c>
      <c r="D44" s="6">
        <f>IFERROR(__xludf.DUMMYFUNCTION("""COMPUTED_VALUE"""),5319.0)</f>
        <v>5319</v>
      </c>
      <c r="E44" s="6">
        <f>IFERROR(__xludf.DUMMYFUNCTION("""COMPUTED_VALUE"""),5489.2)</f>
        <v>5489.2</v>
      </c>
      <c r="F44" s="6">
        <f>IFERROR(__xludf.DUMMYFUNCTION("""COMPUTED_VALUE"""),1.128238E7)</f>
        <v>11282380</v>
      </c>
    </row>
    <row r="45">
      <c r="A45" s="7">
        <f>IFERROR(__xludf.DUMMYFUNCTION("""COMPUTED_VALUE"""),45492.64583333333)</f>
        <v>45492.64583</v>
      </c>
      <c r="B45" s="6">
        <f>IFERROR(__xludf.DUMMYFUNCTION("""COMPUTED_VALUE"""),5495.0)</f>
        <v>5495</v>
      </c>
      <c r="C45" s="6">
        <f>IFERROR(__xludf.DUMMYFUNCTION("""COMPUTED_VALUE"""),5535.0)</f>
        <v>5535</v>
      </c>
      <c r="D45" s="6">
        <f>IFERROR(__xludf.DUMMYFUNCTION("""COMPUTED_VALUE"""),4783.1)</f>
        <v>4783.1</v>
      </c>
      <c r="E45" s="6">
        <f>IFERROR(__xludf.DUMMYFUNCTION("""COMPUTED_VALUE"""),4800.25)</f>
        <v>4800.25</v>
      </c>
      <c r="F45" s="6">
        <f>IFERROR(__xludf.DUMMYFUNCTION("""COMPUTED_VALUE"""),1.8302228E7)</f>
        <v>18302228</v>
      </c>
    </row>
    <row r="46">
      <c r="A46" s="7">
        <f>IFERROR(__xludf.DUMMYFUNCTION("""COMPUTED_VALUE"""),45499.64583333333)</f>
        <v>45499.64583</v>
      </c>
      <c r="B46" s="6">
        <f>IFERROR(__xludf.DUMMYFUNCTION("""COMPUTED_VALUE"""),4799.75)</f>
        <v>4799.75</v>
      </c>
      <c r="C46" s="6">
        <f>IFERROR(__xludf.DUMMYFUNCTION("""COMPUTED_VALUE"""),5073.85)</f>
        <v>5073.85</v>
      </c>
      <c r="D46" s="6">
        <f>IFERROR(__xludf.DUMMYFUNCTION("""COMPUTED_VALUE"""),4510.0)</f>
        <v>4510</v>
      </c>
      <c r="E46" s="6">
        <f>IFERROR(__xludf.DUMMYFUNCTION("""COMPUTED_VALUE"""),4905.4)</f>
        <v>4905.4</v>
      </c>
      <c r="F46" s="6">
        <f>IFERROR(__xludf.DUMMYFUNCTION("""COMPUTED_VALUE"""),1.9751067E7)</f>
        <v>19751067</v>
      </c>
    </row>
    <row r="47">
      <c r="A47" s="7">
        <f>IFERROR(__xludf.DUMMYFUNCTION("""COMPUTED_VALUE"""),45506.64583333333)</f>
        <v>45506.64583</v>
      </c>
      <c r="B47" s="6">
        <f>IFERROR(__xludf.DUMMYFUNCTION("""COMPUTED_VALUE"""),4946.8)</f>
        <v>4946.8</v>
      </c>
      <c r="C47" s="6">
        <f>IFERROR(__xludf.DUMMYFUNCTION("""COMPUTED_VALUE"""),5082.0)</f>
        <v>5082</v>
      </c>
      <c r="D47" s="6">
        <f>IFERROR(__xludf.DUMMYFUNCTION("""COMPUTED_VALUE"""),4631.35)</f>
        <v>4631.35</v>
      </c>
      <c r="E47" s="6">
        <f>IFERROR(__xludf.DUMMYFUNCTION("""COMPUTED_VALUE"""),4695.75)</f>
        <v>4695.75</v>
      </c>
      <c r="F47" s="6">
        <f>IFERROR(__xludf.DUMMYFUNCTION("""COMPUTED_VALUE"""),1.1799904E7)</f>
        <v>11799904</v>
      </c>
    </row>
    <row r="48">
      <c r="A48" s="7">
        <f>IFERROR(__xludf.DUMMYFUNCTION("""COMPUTED_VALUE"""),45513.64583333333)</f>
        <v>45513.64583</v>
      </c>
      <c r="B48" s="6">
        <f>IFERROR(__xludf.DUMMYFUNCTION("""COMPUTED_VALUE"""),4501.05)</f>
        <v>4501.05</v>
      </c>
      <c r="C48" s="6">
        <f>IFERROR(__xludf.DUMMYFUNCTION("""COMPUTED_VALUE"""),4773.5)</f>
        <v>4773.5</v>
      </c>
      <c r="D48" s="6">
        <f>IFERROR(__xludf.DUMMYFUNCTION("""COMPUTED_VALUE"""),4480.1)</f>
        <v>4480.1</v>
      </c>
      <c r="E48" s="6">
        <f>IFERROR(__xludf.DUMMYFUNCTION("""COMPUTED_VALUE"""),4723.9)</f>
        <v>4723.9</v>
      </c>
      <c r="F48" s="6">
        <f>IFERROR(__xludf.DUMMYFUNCTION("""COMPUTED_VALUE"""),1.0080749E7)</f>
        <v>10080749</v>
      </c>
    </row>
    <row r="49">
      <c r="A49" s="7">
        <f>IFERROR(__xludf.DUMMYFUNCTION("""COMPUTED_VALUE"""),45520.64583333333)</f>
        <v>45520.64583</v>
      </c>
      <c r="B49" s="6">
        <f>IFERROR(__xludf.DUMMYFUNCTION("""COMPUTED_VALUE"""),4690.0)</f>
        <v>4690</v>
      </c>
      <c r="C49" s="6">
        <f>IFERROR(__xludf.DUMMYFUNCTION("""COMPUTED_VALUE"""),4811.5)</f>
        <v>4811.5</v>
      </c>
      <c r="D49" s="6">
        <f>IFERROR(__xludf.DUMMYFUNCTION("""COMPUTED_VALUE"""),4593.75)</f>
        <v>4593.75</v>
      </c>
      <c r="E49" s="6">
        <f>IFERROR(__xludf.DUMMYFUNCTION("""COMPUTED_VALUE"""),4769.8)</f>
        <v>4769.8</v>
      </c>
      <c r="F49" s="6">
        <f>IFERROR(__xludf.DUMMYFUNCTION("""COMPUTED_VALUE"""),9303006.0)</f>
        <v>9303006</v>
      </c>
    </row>
    <row r="50">
      <c r="A50" s="7">
        <f>IFERROR(__xludf.DUMMYFUNCTION("""COMPUTED_VALUE"""),45527.64583333333)</f>
        <v>45527.64583</v>
      </c>
      <c r="B50" s="6">
        <f>IFERROR(__xludf.DUMMYFUNCTION("""COMPUTED_VALUE"""),4810.0)</f>
        <v>4810</v>
      </c>
      <c r="C50" s="6">
        <f>IFERROR(__xludf.DUMMYFUNCTION("""COMPUTED_VALUE"""),4864.0)</f>
        <v>4864</v>
      </c>
      <c r="D50" s="6">
        <f>IFERROR(__xludf.DUMMYFUNCTION("""COMPUTED_VALUE"""),4683.6)</f>
        <v>4683.6</v>
      </c>
      <c r="E50" s="6">
        <f>IFERROR(__xludf.DUMMYFUNCTION("""COMPUTED_VALUE"""),4822.75)</f>
        <v>4822.75</v>
      </c>
      <c r="F50" s="6">
        <f>IFERROR(__xludf.DUMMYFUNCTION("""COMPUTED_VALUE"""),7860932.0)</f>
        <v>7860932</v>
      </c>
    </row>
    <row r="51">
      <c r="A51" s="7">
        <f>IFERROR(__xludf.DUMMYFUNCTION("""COMPUTED_VALUE"""),45534.64583333333)</f>
        <v>45534.64583</v>
      </c>
      <c r="B51" s="6">
        <f>IFERROR(__xludf.DUMMYFUNCTION("""COMPUTED_VALUE"""),4850.0)</f>
        <v>4850</v>
      </c>
      <c r="C51" s="6">
        <f>IFERROR(__xludf.DUMMYFUNCTION("""COMPUTED_VALUE"""),4850.0)</f>
        <v>4850</v>
      </c>
      <c r="D51" s="6">
        <f>IFERROR(__xludf.DUMMYFUNCTION("""COMPUTED_VALUE"""),4540.45)</f>
        <v>4540.45</v>
      </c>
      <c r="E51" s="6">
        <f>IFERROR(__xludf.DUMMYFUNCTION("""COMPUTED_VALUE"""),4679.95)</f>
        <v>4679.95</v>
      </c>
      <c r="F51" s="6">
        <f>IFERROR(__xludf.DUMMYFUNCTION("""COMPUTED_VALUE"""),6609695.0)</f>
        <v>6609695</v>
      </c>
    </row>
    <row r="52">
      <c r="A52" s="7">
        <f>IFERROR(__xludf.DUMMYFUNCTION("""COMPUTED_VALUE"""),45541.64583333333)</f>
        <v>45541.64583</v>
      </c>
      <c r="B52" s="6">
        <f>IFERROR(__xludf.DUMMYFUNCTION("""COMPUTED_VALUE"""),4699.0)</f>
        <v>4699</v>
      </c>
      <c r="C52" s="6">
        <f>IFERROR(__xludf.DUMMYFUNCTION("""COMPUTED_VALUE"""),4950.0)</f>
        <v>4950</v>
      </c>
      <c r="D52" s="6">
        <f>IFERROR(__xludf.DUMMYFUNCTION("""COMPUTED_VALUE"""),4662.8)</f>
        <v>4662.8</v>
      </c>
      <c r="E52" s="6">
        <f>IFERROR(__xludf.DUMMYFUNCTION("""COMPUTED_VALUE"""),4703.45)</f>
        <v>4703.45</v>
      </c>
      <c r="F52" s="6">
        <f>IFERROR(__xludf.DUMMYFUNCTION("""COMPUTED_VALUE"""),1.1466056E7)</f>
        <v>11466056</v>
      </c>
    </row>
    <row r="53">
      <c r="A53" s="7">
        <f>IFERROR(__xludf.DUMMYFUNCTION("""COMPUTED_VALUE"""),45548.64583333333)</f>
        <v>45548.64583</v>
      </c>
      <c r="B53" s="6">
        <f>IFERROR(__xludf.DUMMYFUNCTION("""COMPUTED_VALUE"""),4688.1)</f>
        <v>4688.1</v>
      </c>
      <c r="C53" s="6">
        <f>IFERROR(__xludf.DUMMYFUNCTION("""COMPUTED_VALUE"""),4736.9)</f>
        <v>4736.9</v>
      </c>
      <c r="D53" s="6">
        <f>IFERROR(__xludf.DUMMYFUNCTION("""COMPUTED_VALUE"""),4581.2)</f>
        <v>4581.2</v>
      </c>
      <c r="E53" s="6">
        <f>IFERROR(__xludf.DUMMYFUNCTION("""COMPUTED_VALUE"""),4644.95)</f>
        <v>4644.95</v>
      </c>
      <c r="F53" s="6">
        <f>IFERROR(__xludf.DUMMYFUNCTION("""COMPUTED_VALUE"""),5804553.0)</f>
        <v>5804553</v>
      </c>
    </row>
    <row r="54">
      <c r="A54" s="7">
        <f>IFERROR(__xludf.DUMMYFUNCTION("""COMPUTED_VALUE"""),45555.64583333333)</f>
        <v>45555.64583</v>
      </c>
      <c r="B54" s="6">
        <f>IFERROR(__xludf.DUMMYFUNCTION("""COMPUTED_VALUE"""),4655.0)</f>
        <v>4655</v>
      </c>
      <c r="C54" s="6">
        <f>IFERROR(__xludf.DUMMYFUNCTION("""COMPUTED_VALUE"""),4662.9)</f>
        <v>4662.9</v>
      </c>
      <c r="D54" s="6">
        <f>IFERROR(__xludf.DUMMYFUNCTION("""COMPUTED_VALUE"""),4172.0)</f>
        <v>4172</v>
      </c>
      <c r="E54" s="6">
        <f>IFERROR(__xludf.DUMMYFUNCTION("""COMPUTED_VALUE"""),4333.35)</f>
        <v>4333.35</v>
      </c>
      <c r="F54" s="6">
        <f>IFERROR(__xludf.DUMMYFUNCTION("""COMPUTED_VALUE"""),1.256082E7)</f>
        <v>12560820</v>
      </c>
    </row>
    <row r="55">
      <c r="A55" s="7">
        <f>IFERROR(__xludf.DUMMYFUNCTION("""COMPUTED_VALUE"""),45562.64583333333)</f>
        <v>45562.64583</v>
      </c>
      <c r="B55" s="6">
        <f>IFERROR(__xludf.DUMMYFUNCTION("""COMPUTED_VALUE"""),4370.0)</f>
        <v>4370</v>
      </c>
      <c r="C55" s="6">
        <f>IFERROR(__xludf.DUMMYFUNCTION("""COMPUTED_VALUE"""),4484.35)</f>
        <v>4484.35</v>
      </c>
      <c r="D55" s="6">
        <f>IFERROR(__xludf.DUMMYFUNCTION("""COMPUTED_VALUE"""),4318.0)</f>
        <v>4318</v>
      </c>
      <c r="E55" s="6">
        <f>IFERROR(__xludf.DUMMYFUNCTION("""COMPUTED_VALUE"""),4474.15)</f>
        <v>4474.15</v>
      </c>
      <c r="F55" s="6">
        <f>IFERROR(__xludf.DUMMYFUNCTION("""COMPUTED_VALUE"""),7293187.0)</f>
        <v>7293187</v>
      </c>
    </row>
    <row r="56">
      <c r="A56" s="7">
        <f>IFERROR(__xludf.DUMMYFUNCTION("""COMPUTED_VALUE"""),45569.64583333333)</f>
        <v>45569.64583</v>
      </c>
      <c r="B56" s="6">
        <f>IFERROR(__xludf.DUMMYFUNCTION("""COMPUTED_VALUE"""),4460.0)</f>
        <v>4460</v>
      </c>
      <c r="C56" s="6">
        <f>IFERROR(__xludf.DUMMYFUNCTION("""COMPUTED_VALUE"""),4463.0)</f>
        <v>4463</v>
      </c>
      <c r="D56" s="6">
        <f>IFERROR(__xludf.DUMMYFUNCTION("""COMPUTED_VALUE"""),4200.0)</f>
        <v>4200</v>
      </c>
      <c r="E56" s="6">
        <f>IFERROR(__xludf.DUMMYFUNCTION("""COMPUTED_VALUE"""),4256.65)</f>
        <v>4256.65</v>
      </c>
      <c r="F56" s="6">
        <f>IFERROR(__xludf.DUMMYFUNCTION("""COMPUTED_VALUE"""),5172171.0)</f>
        <v>5172171</v>
      </c>
    </row>
    <row r="57">
      <c r="A57" s="7">
        <f>IFERROR(__xludf.DUMMYFUNCTION("""COMPUTED_VALUE"""),45576.64583333333)</f>
        <v>45576.64583</v>
      </c>
      <c r="B57" s="6">
        <f>IFERROR(__xludf.DUMMYFUNCTION("""COMPUTED_VALUE"""),4256.65)</f>
        <v>4256.65</v>
      </c>
      <c r="C57" s="6">
        <f>IFERROR(__xludf.DUMMYFUNCTION("""COMPUTED_VALUE"""),4538.0)</f>
        <v>4538</v>
      </c>
      <c r="D57" s="6">
        <f>IFERROR(__xludf.DUMMYFUNCTION("""COMPUTED_VALUE"""),4120.35)</f>
        <v>4120.35</v>
      </c>
      <c r="E57" s="6">
        <f>IFERROR(__xludf.DUMMYFUNCTION("""COMPUTED_VALUE"""),4446.15)</f>
        <v>4446.15</v>
      </c>
      <c r="F57" s="6">
        <f>IFERROR(__xludf.DUMMYFUNCTION("""COMPUTED_VALUE"""),8175885.0)</f>
        <v>8175885</v>
      </c>
    </row>
    <row r="58">
      <c r="A58" s="7">
        <f>IFERROR(__xludf.DUMMYFUNCTION("""COMPUTED_VALUE"""),45583.64583333333)</f>
        <v>45583.64583</v>
      </c>
      <c r="B58" s="6">
        <f>IFERROR(__xludf.DUMMYFUNCTION("""COMPUTED_VALUE"""),4518.3)</f>
        <v>4518.3</v>
      </c>
      <c r="C58" s="6">
        <f>IFERROR(__xludf.DUMMYFUNCTION("""COMPUTED_VALUE"""),4676.6)</f>
        <v>4676.6</v>
      </c>
      <c r="D58" s="6">
        <f>IFERROR(__xludf.DUMMYFUNCTION("""COMPUTED_VALUE"""),4423.25)</f>
        <v>4423.25</v>
      </c>
      <c r="E58" s="6">
        <f>IFERROR(__xludf.DUMMYFUNCTION("""COMPUTED_VALUE"""),4524.7)</f>
        <v>4524.7</v>
      </c>
      <c r="F58" s="6">
        <f>IFERROR(__xludf.DUMMYFUNCTION("""COMPUTED_VALUE"""),8356897.0)</f>
        <v>8356897</v>
      </c>
    </row>
    <row r="59">
      <c r="A59" s="7">
        <f>IFERROR(__xludf.DUMMYFUNCTION("""COMPUTED_VALUE"""),45590.64583333333)</f>
        <v>45590.64583</v>
      </c>
      <c r="B59" s="6">
        <f>IFERROR(__xludf.DUMMYFUNCTION("""COMPUTED_VALUE"""),4534.8)</f>
        <v>4534.8</v>
      </c>
      <c r="C59" s="6">
        <f>IFERROR(__xludf.DUMMYFUNCTION("""COMPUTED_VALUE"""),4586.8)</f>
        <v>4586.8</v>
      </c>
      <c r="D59" s="6">
        <f>IFERROR(__xludf.DUMMYFUNCTION("""COMPUTED_VALUE"""),4075.2)</f>
        <v>4075.2</v>
      </c>
      <c r="E59" s="6">
        <f>IFERROR(__xludf.DUMMYFUNCTION("""COMPUTED_VALUE"""),4165.6)</f>
        <v>4165.6</v>
      </c>
      <c r="F59" s="6">
        <f>IFERROR(__xludf.DUMMYFUNCTION("""COMPUTED_VALUE"""),6740749.0)</f>
        <v>6740749</v>
      </c>
    </row>
    <row r="60">
      <c r="A60" s="7">
        <f>IFERROR(__xludf.DUMMYFUNCTION("""COMPUTED_VALUE"""),45604.64583333333)</f>
        <v>45604.64583</v>
      </c>
      <c r="B60" s="6">
        <f>IFERROR(__xludf.DUMMYFUNCTION("""COMPUTED_VALUE"""),4287.95)</f>
        <v>4287.95</v>
      </c>
      <c r="C60" s="6">
        <f>IFERROR(__xludf.DUMMYFUNCTION("""COMPUTED_VALUE"""),4476.85)</f>
        <v>4476.85</v>
      </c>
      <c r="D60" s="6">
        <f>IFERROR(__xludf.DUMMYFUNCTION("""COMPUTED_VALUE"""),4130.0)</f>
        <v>4130</v>
      </c>
      <c r="E60" s="6">
        <f>IFERROR(__xludf.DUMMYFUNCTION("""COMPUTED_VALUE"""),4400.6)</f>
        <v>4400.6</v>
      </c>
      <c r="F60" s="6">
        <f>IFERROR(__xludf.DUMMYFUNCTION("""COMPUTED_VALUE"""),5716906.0)</f>
        <v>5716906</v>
      </c>
    </row>
    <row r="61">
      <c r="A61" s="7">
        <f>IFERROR(__xludf.DUMMYFUNCTION("""COMPUTED_VALUE"""),45610.64583333333)</f>
        <v>45610.64583</v>
      </c>
      <c r="B61" s="6">
        <f>IFERROR(__xludf.DUMMYFUNCTION("""COMPUTED_VALUE"""),4383.95)</f>
        <v>4383.95</v>
      </c>
      <c r="C61" s="6">
        <f>IFERROR(__xludf.DUMMYFUNCTION("""COMPUTED_VALUE"""),4489.9)</f>
        <v>4489.9</v>
      </c>
      <c r="D61" s="6">
        <f>IFERROR(__xludf.DUMMYFUNCTION("""COMPUTED_VALUE"""),3920.35)</f>
        <v>3920.35</v>
      </c>
      <c r="E61" s="6">
        <f>IFERROR(__xludf.DUMMYFUNCTION("""COMPUTED_VALUE"""),4087.05)</f>
        <v>4087.05</v>
      </c>
      <c r="F61" s="6">
        <f>IFERROR(__xludf.DUMMYFUNCTION("""COMPUTED_VALUE"""),8474602.0)</f>
        <v>8474602</v>
      </c>
    </row>
    <row r="62">
      <c r="A62" s="7">
        <f>IFERROR(__xludf.DUMMYFUNCTION("""COMPUTED_VALUE"""),45618.64583333333)</f>
        <v>45618.64583</v>
      </c>
      <c r="B62" s="6">
        <f>IFERROR(__xludf.DUMMYFUNCTION("""COMPUTED_VALUE"""),4189.95)</f>
        <v>4189.95</v>
      </c>
      <c r="C62" s="6">
        <f>IFERROR(__xludf.DUMMYFUNCTION("""COMPUTED_VALUE"""),4248.0)</f>
        <v>4248</v>
      </c>
      <c r="D62" s="6">
        <f>IFERROR(__xludf.DUMMYFUNCTION("""COMPUTED_VALUE"""),3931.05)</f>
        <v>3931.05</v>
      </c>
      <c r="E62" s="6">
        <f>IFERROR(__xludf.DUMMYFUNCTION("""COMPUTED_VALUE"""),4111.35)</f>
        <v>4111.35</v>
      </c>
      <c r="F62" s="6">
        <f>IFERROR(__xludf.DUMMYFUNCTION("""COMPUTED_VALUE"""),6831316.0)</f>
        <v>6831316</v>
      </c>
    </row>
    <row r="63">
      <c r="A63" s="7">
        <f>IFERROR(__xludf.DUMMYFUNCTION("""COMPUTED_VALUE"""),45625.64583333333)</f>
        <v>45625.64583</v>
      </c>
      <c r="B63" s="6">
        <f>IFERROR(__xludf.DUMMYFUNCTION("""COMPUTED_VALUE"""),4280.0)</f>
        <v>4280</v>
      </c>
      <c r="C63" s="6">
        <f>IFERROR(__xludf.DUMMYFUNCTION("""COMPUTED_VALUE"""),4529.5)</f>
        <v>4529.5</v>
      </c>
      <c r="D63" s="6">
        <f>IFERROR(__xludf.DUMMYFUNCTION("""COMPUTED_VALUE"""),4231.25)</f>
        <v>4231.25</v>
      </c>
      <c r="E63" s="6">
        <f>IFERROR(__xludf.DUMMYFUNCTION("""COMPUTED_VALUE"""),4476.85)</f>
        <v>4476.85</v>
      </c>
      <c r="F63" s="6">
        <f>IFERROR(__xludf.DUMMYFUNCTION("""COMPUTED_VALUE"""),8783057.0)</f>
        <v>8783057</v>
      </c>
    </row>
    <row r="64">
      <c r="A64" s="7">
        <f>IFERROR(__xludf.DUMMYFUNCTION("""COMPUTED_VALUE"""),45632.64583333333)</f>
        <v>45632.64583</v>
      </c>
      <c r="B64" s="6">
        <f>IFERROR(__xludf.DUMMYFUNCTION("""COMPUTED_VALUE"""),4475.0)</f>
        <v>4475</v>
      </c>
      <c r="C64" s="6">
        <f>IFERROR(__xludf.DUMMYFUNCTION("""COMPUTED_VALUE"""),4627.0)</f>
        <v>4627</v>
      </c>
      <c r="D64" s="6">
        <f>IFERROR(__xludf.DUMMYFUNCTION("""COMPUTED_VALUE"""),4444.0)</f>
        <v>4444</v>
      </c>
      <c r="E64" s="6">
        <f>IFERROR(__xludf.DUMMYFUNCTION("""COMPUTED_VALUE"""),4559.65)</f>
        <v>4559.65</v>
      </c>
      <c r="F64" s="6">
        <f>IFERROR(__xludf.DUMMYFUNCTION("""COMPUTED_VALUE"""),6619846.0)</f>
        <v>6619846</v>
      </c>
    </row>
    <row r="65">
      <c r="A65" s="7">
        <f>IFERROR(__xludf.DUMMYFUNCTION("""COMPUTED_VALUE"""),45639.64583333333)</f>
        <v>45639.64583</v>
      </c>
      <c r="B65" s="6">
        <f>IFERROR(__xludf.DUMMYFUNCTION("""COMPUTED_VALUE"""),4561.0)</f>
        <v>4561</v>
      </c>
      <c r="C65" s="6">
        <f>IFERROR(__xludf.DUMMYFUNCTION("""COMPUTED_VALUE"""),4755.0)</f>
        <v>4755</v>
      </c>
      <c r="D65" s="6">
        <f>IFERROR(__xludf.DUMMYFUNCTION("""COMPUTED_VALUE"""),4551.0)</f>
        <v>4551</v>
      </c>
      <c r="E65" s="6">
        <f>IFERROR(__xludf.DUMMYFUNCTION("""COMPUTED_VALUE"""),4669.65)</f>
        <v>4669.65</v>
      </c>
      <c r="F65" s="6">
        <f>IFERROR(__xludf.DUMMYFUNCTION("""COMPUTED_VALUE"""),8246018.0)</f>
        <v>8246018</v>
      </c>
    </row>
    <row r="66">
      <c r="A66" s="7">
        <f>IFERROR(__xludf.DUMMYFUNCTION("""COMPUTED_VALUE"""),45646.64583333333)</f>
        <v>45646.64583</v>
      </c>
      <c r="B66" s="6">
        <f>IFERROR(__xludf.DUMMYFUNCTION("""COMPUTED_VALUE"""),4692.1)</f>
        <v>4692.1</v>
      </c>
      <c r="C66" s="6">
        <f>IFERROR(__xludf.DUMMYFUNCTION("""COMPUTED_VALUE"""),4716.0)</f>
        <v>4716</v>
      </c>
      <c r="D66" s="6">
        <f>IFERROR(__xludf.DUMMYFUNCTION("""COMPUTED_VALUE"""),4175.0)</f>
        <v>4175</v>
      </c>
      <c r="E66" s="6">
        <f>IFERROR(__xludf.DUMMYFUNCTION("""COMPUTED_VALUE"""),4190.2)</f>
        <v>4190.2</v>
      </c>
      <c r="F66" s="6">
        <f>IFERROR(__xludf.DUMMYFUNCTION("""COMPUTED_VALUE"""),5601160.0)</f>
        <v>5601160</v>
      </c>
    </row>
    <row r="67">
      <c r="A67" s="7">
        <f>IFERROR(__xludf.DUMMYFUNCTION("""COMPUTED_VALUE"""),45653.64583333333)</f>
        <v>45653.64583</v>
      </c>
      <c r="B67" s="6">
        <f>IFERROR(__xludf.DUMMYFUNCTION("""COMPUTED_VALUE"""),4239.0)</f>
        <v>4239</v>
      </c>
      <c r="C67" s="6">
        <f>IFERROR(__xludf.DUMMYFUNCTION("""COMPUTED_VALUE"""),4293.0)</f>
        <v>4293</v>
      </c>
      <c r="D67" s="6">
        <f>IFERROR(__xludf.DUMMYFUNCTION("""COMPUTED_VALUE"""),4150.0)</f>
        <v>4150</v>
      </c>
      <c r="E67" s="6">
        <f>IFERROR(__xludf.DUMMYFUNCTION("""COMPUTED_VALUE"""),4233.35)</f>
        <v>4233.35</v>
      </c>
      <c r="F67" s="6">
        <f>IFERROR(__xludf.DUMMYFUNCTION("""COMPUTED_VALUE"""),3405894.0)</f>
        <v>3405894</v>
      </c>
    </row>
    <row r="68">
      <c r="A68" s="7">
        <f>IFERROR(__xludf.DUMMYFUNCTION("""COMPUTED_VALUE"""),45660.64583333333)</f>
        <v>45660.64583</v>
      </c>
      <c r="B68" s="6">
        <f>IFERROR(__xludf.DUMMYFUNCTION("""COMPUTED_VALUE"""),4239.0)</f>
        <v>4239</v>
      </c>
      <c r="C68" s="6">
        <f>IFERROR(__xludf.DUMMYFUNCTION("""COMPUTED_VALUE"""),4270.05)</f>
        <v>4270.05</v>
      </c>
      <c r="D68" s="6">
        <f>IFERROR(__xludf.DUMMYFUNCTION("""COMPUTED_VALUE"""),4050.0)</f>
        <v>4050</v>
      </c>
      <c r="E68" s="6">
        <f>IFERROR(__xludf.DUMMYFUNCTION("""COMPUTED_VALUE"""),4206.0)</f>
        <v>4206</v>
      </c>
      <c r="F68" s="6">
        <f>IFERROR(__xludf.DUMMYFUNCTION("""COMPUTED_VALUE"""),7090251.0)</f>
        <v>7090251</v>
      </c>
    </row>
    <row r="69">
      <c r="A69" s="7">
        <f>IFERROR(__xludf.DUMMYFUNCTION("""COMPUTED_VALUE"""),45667.64583333333)</f>
        <v>45667.64583</v>
      </c>
      <c r="B69" s="6">
        <f>IFERROR(__xludf.DUMMYFUNCTION("""COMPUTED_VALUE"""),4218.0)</f>
        <v>4218</v>
      </c>
      <c r="C69" s="6">
        <f>IFERROR(__xludf.DUMMYFUNCTION("""COMPUTED_VALUE"""),4220.0)</f>
        <v>4220</v>
      </c>
      <c r="D69" s="6">
        <f>IFERROR(__xludf.DUMMYFUNCTION("""COMPUTED_VALUE"""),3981.0)</f>
        <v>3981</v>
      </c>
      <c r="E69" s="6">
        <f>IFERROR(__xludf.DUMMYFUNCTION("""COMPUTED_VALUE"""),4000.5)</f>
        <v>4000.5</v>
      </c>
      <c r="F69" s="6">
        <f>IFERROR(__xludf.DUMMYFUNCTION("""COMPUTED_VALUE"""),5251631.0)</f>
        <v>5251631</v>
      </c>
    </row>
    <row r="70">
      <c r="A70" s="7">
        <f>IFERROR(__xludf.DUMMYFUNCTION("""COMPUTED_VALUE"""),45674.64583333333)</f>
        <v>45674.64583</v>
      </c>
      <c r="B70" s="6">
        <f>IFERROR(__xludf.DUMMYFUNCTION("""COMPUTED_VALUE"""),3900.0)</f>
        <v>3900</v>
      </c>
      <c r="C70" s="6">
        <f>IFERROR(__xludf.DUMMYFUNCTION("""COMPUTED_VALUE"""),4142.0)</f>
        <v>4142</v>
      </c>
      <c r="D70" s="6">
        <f>IFERROR(__xludf.DUMMYFUNCTION("""COMPUTED_VALUE"""),3772.35)</f>
        <v>3772.35</v>
      </c>
      <c r="E70" s="6">
        <f>IFERROR(__xludf.DUMMYFUNCTION("""COMPUTED_VALUE"""),4116.6)</f>
        <v>4116.6</v>
      </c>
      <c r="F70" s="6">
        <f>IFERROR(__xludf.DUMMYFUNCTION("""COMPUTED_VALUE"""),8808310.0)</f>
        <v>8808310</v>
      </c>
    </row>
    <row r="71">
      <c r="A71" s="7">
        <f>IFERROR(__xludf.DUMMYFUNCTION("""COMPUTED_VALUE"""),45681.64583333333)</f>
        <v>45681.64583</v>
      </c>
      <c r="B71" s="6">
        <f>IFERROR(__xludf.DUMMYFUNCTION("""COMPUTED_VALUE"""),4133.5)</f>
        <v>4133.5</v>
      </c>
      <c r="C71" s="6">
        <f>IFERROR(__xludf.DUMMYFUNCTION("""COMPUTED_VALUE"""),4242.0)</f>
        <v>4242</v>
      </c>
      <c r="D71" s="6">
        <f>IFERROR(__xludf.DUMMYFUNCTION("""COMPUTED_VALUE"""),3820.0)</f>
        <v>3820</v>
      </c>
      <c r="E71" s="6">
        <f>IFERROR(__xludf.DUMMYFUNCTION("""COMPUTED_VALUE"""),3849.8)</f>
        <v>3849.8</v>
      </c>
      <c r="F71" s="6">
        <f>IFERROR(__xludf.DUMMYFUNCTION("""COMPUTED_VALUE"""),9687581.0)</f>
        <v>9687581</v>
      </c>
    </row>
    <row r="72">
      <c r="A72" s="7">
        <f>IFERROR(__xludf.DUMMYFUNCTION("""COMPUTED_VALUE"""),45695.64583333333)</f>
        <v>45695.64583</v>
      </c>
      <c r="B72" s="6">
        <f>IFERROR(__xludf.DUMMYFUNCTION("""COMPUTED_VALUE"""),3720.0)</f>
        <v>3720</v>
      </c>
      <c r="C72" s="6">
        <f>IFERROR(__xludf.DUMMYFUNCTION("""COMPUTED_VALUE"""),3853.8)</f>
        <v>3853.8</v>
      </c>
      <c r="D72" s="6">
        <f>IFERROR(__xludf.DUMMYFUNCTION("""COMPUTED_VALUE"""),3513.0)</f>
        <v>3513</v>
      </c>
      <c r="E72" s="6">
        <f>IFERROR(__xludf.DUMMYFUNCTION("""COMPUTED_VALUE"""),3818.85)</f>
        <v>3818.85</v>
      </c>
      <c r="F72" s="6">
        <f>IFERROR(__xludf.DUMMYFUNCTION("""COMPUTED_VALUE"""),1.0424473E7)</f>
        <v>10424473</v>
      </c>
    </row>
    <row r="73">
      <c r="A73" s="7">
        <f>IFERROR(__xludf.DUMMYFUNCTION("""COMPUTED_VALUE"""),45702.64583333333)</f>
        <v>45702.64583</v>
      </c>
      <c r="B73" s="6">
        <f>IFERROR(__xludf.DUMMYFUNCTION("""COMPUTED_VALUE"""),3818.0)</f>
        <v>3818</v>
      </c>
      <c r="C73" s="6">
        <f>IFERROR(__xludf.DUMMYFUNCTION("""COMPUTED_VALUE"""),3849.0)</f>
        <v>3849</v>
      </c>
      <c r="D73" s="6">
        <f>IFERROR(__xludf.DUMMYFUNCTION("""COMPUTED_VALUE"""),3470.05)</f>
        <v>3470.05</v>
      </c>
      <c r="E73" s="6">
        <f>IFERROR(__xludf.DUMMYFUNCTION("""COMPUTED_VALUE"""),3513.7)</f>
        <v>3513.7</v>
      </c>
      <c r="F73" s="6">
        <f>IFERROR(__xludf.DUMMYFUNCTION("""COMPUTED_VALUE"""),1.0567894E7)</f>
        <v>10567894</v>
      </c>
    </row>
    <row r="74">
      <c r="A74" s="7">
        <f>IFERROR(__xludf.DUMMYFUNCTION("""COMPUTED_VALUE"""),45709.64583333333)</f>
        <v>45709.64583</v>
      </c>
      <c r="B74" s="6">
        <f>IFERROR(__xludf.DUMMYFUNCTION("""COMPUTED_VALUE"""),3489.0)</f>
        <v>3489</v>
      </c>
      <c r="C74" s="6">
        <f>IFERROR(__xludf.DUMMYFUNCTION("""COMPUTED_VALUE"""),3549.95)</f>
        <v>3549.95</v>
      </c>
      <c r="D74" s="6">
        <f>IFERROR(__xludf.DUMMYFUNCTION("""COMPUTED_VALUE"""),3275.15)</f>
        <v>3275.15</v>
      </c>
      <c r="E74" s="6">
        <f>IFERROR(__xludf.DUMMYFUNCTION("""COMPUTED_VALUE"""),3368.5)</f>
        <v>3368.5</v>
      </c>
      <c r="F74" s="6">
        <f>IFERROR(__xludf.DUMMYFUNCTION("""COMPUTED_VALUE"""),9555502.0)</f>
        <v>9555502</v>
      </c>
    </row>
    <row r="75">
      <c r="A75" s="7">
        <f>IFERROR(__xludf.DUMMYFUNCTION("""COMPUTED_VALUE"""),45716.64583333333)</f>
        <v>45716.64583</v>
      </c>
      <c r="B75" s="6">
        <f>IFERROR(__xludf.DUMMYFUNCTION("""COMPUTED_VALUE"""),3350.0)</f>
        <v>3350</v>
      </c>
      <c r="C75" s="6">
        <f>IFERROR(__xludf.DUMMYFUNCTION("""COMPUTED_VALUE"""),3377.05)</f>
        <v>3377.05</v>
      </c>
      <c r="D75" s="6">
        <f>IFERROR(__xludf.DUMMYFUNCTION("""COMPUTED_VALUE"""),3080.0)</f>
        <v>3080</v>
      </c>
      <c r="E75" s="6">
        <f>IFERROR(__xludf.DUMMYFUNCTION("""COMPUTED_VALUE"""),3088.2)</f>
        <v>3088.2</v>
      </c>
      <c r="F75" s="6">
        <f>IFERROR(__xludf.DUMMYFUNCTION("""COMPUTED_VALUE"""),6148139.0)</f>
        <v>6148139</v>
      </c>
    </row>
    <row r="76">
      <c r="A76" s="7">
        <f>IFERROR(__xludf.DUMMYFUNCTION("""COMPUTED_VALUE"""),45723.64583333333)</f>
        <v>45723.64583</v>
      </c>
      <c r="B76" s="6">
        <f>IFERROR(__xludf.DUMMYFUNCTION("""COMPUTED_VALUE"""),3096.0)</f>
        <v>3096</v>
      </c>
      <c r="C76" s="6">
        <f>IFERROR(__xludf.DUMMYFUNCTION("""COMPUTED_VALUE"""),3502.0)</f>
        <v>3502</v>
      </c>
      <c r="D76" s="6">
        <f>IFERROR(__xludf.DUMMYFUNCTION("""COMPUTED_VALUE"""),3046.05)</f>
        <v>3046.05</v>
      </c>
      <c r="E76" s="6">
        <f>IFERROR(__xludf.DUMMYFUNCTION("""COMPUTED_VALUE"""),3452.05)</f>
        <v>3452.05</v>
      </c>
      <c r="F76" s="6">
        <f>IFERROR(__xludf.DUMMYFUNCTION("""COMPUTED_VALUE"""),9853257.0)</f>
        <v>9853257</v>
      </c>
    </row>
    <row r="77">
      <c r="A77" s="7">
        <f>IFERROR(__xludf.DUMMYFUNCTION("""COMPUTED_VALUE"""),45729.64583333333)</f>
        <v>45729.64583</v>
      </c>
      <c r="B77" s="6">
        <f>IFERROR(__xludf.DUMMYFUNCTION("""COMPUTED_VALUE"""),3452.05)</f>
        <v>3452.05</v>
      </c>
      <c r="C77" s="6">
        <f>IFERROR(__xludf.DUMMYFUNCTION("""COMPUTED_VALUE"""),3538.95)</f>
        <v>3538.95</v>
      </c>
      <c r="D77" s="6">
        <f>IFERROR(__xludf.DUMMYFUNCTION("""COMPUTED_VALUE"""),3355.0)</f>
        <v>3355</v>
      </c>
      <c r="E77" s="6">
        <f>IFERROR(__xludf.DUMMYFUNCTION("""COMPUTED_VALUE"""),3396.15)</f>
        <v>3396.15</v>
      </c>
      <c r="F77" s="6">
        <f>IFERROR(__xludf.DUMMYFUNCTION("""COMPUTED_VALUE"""),5959334.0)</f>
        <v>5959334</v>
      </c>
    </row>
    <row r="78">
      <c r="A78" s="7">
        <f>IFERROR(__xludf.DUMMYFUNCTION("""COMPUTED_VALUE"""),45737.64583333333)</f>
        <v>45737.64583</v>
      </c>
      <c r="B78" s="6">
        <f>IFERROR(__xludf.DUMMYFUNCTION("""COMPUTED_VALUE"""),3400.0)</f>
        <v>3400</v>
      </c>
      <c r="C78" s="6">
        <f>IFERROR(__xludf.DUMMYFUNCTION("""COMPUTED_VALUE"""),3947.45)</f>
        <v>3947.45</v>
      </c>
      <c r="D78" s="6">
        <f>IFERROR(__xludf.DUMMYFUNCTION("""COMPUTED_VALUE"""),3399.0)</f>
        <v>3399</v>
      </c>
      <c r="E78" s="6">
        <f>IFERROR(__xludf.DUMMYFUNCTION("""COMPUTED_VALUE"""),3891.25)</f>
        <v>3891.25</v>
      </c>
      <c r="F78" s="6">
        <f>IFERROR(__xludf.DUMMYFUNCTION("""COMPUTED_VALUE"""),1.2336524E7)</f>
        <v>12336524</v>
      </c>
    </row>
    <row r="79">
      <c r="A79" s="7">
        <f>IFERROR(__xludf.DUMMYFUNCTION("""COMPUTED_VALUE"""),45744.64583333333)</f>
        <v>45744.64583</v>
      </c>
      <c r="B79" s="6">
        <f>IFERROR(__xludf.DUMMYFUNCTION("""COMPUTED_VALUE"""),3953.0)</f>
        <v>3953</v>
      </c>
      <c r="C79" s="6">
        <f>IFERROR(__xludf.DUMMYFUNCTION("""COMPUTED_VALUE"""),4294.0)</f>
        <v>4294</v>
      </c>
      <c r="D79" s="6">
        <f>IFERROR(__xludf.DUMMYFUNCTION("""COMPUTED_VALUE"""),3940.2)</f>
        <v>3940.2</v>
      </c>
      <c r="E79" s="6">
        <f>IFERROR(__xludf.DUMMYFUNCTION("""COMPUTED_VALUE"""),4177.45)</f>
        <v>4177.45</v>
      </c>
      <c r="F79" s="6">
        <f>IFERROR(__xludf.DUMMYFUNCTION("""COMPUTED_VALUE"""),1.9030573E7)</f>
        <v>19030573</v>
      </c>
    </row>
    <row r="80">
      <c r="A80" s="7">
        <f>IFERROR(__xludf.DUMMYFUNCTION("""COMPUTED_VALUE"""),45751.64583333333)</f>
        <v>45751.64583</v>
      </c>
      <c r="B80" s="6">
        <f>IFERROR(__xludf.DUMMYFUNCTION("""COMPUTED_VALUE"""),4400.0)</f>
        <v>4400</v>
      </c>
      <c r="C80" s="6">
        <f>IFERROR(__xludf.DUMMYFUNCTION("""COMPUTED_VALUE"""),4444.95)</f>
        <v>4444.95</v>
      </c>
      <c r="D80" s="6">
        <f>IFERROR(__xludf.DUMMYFUNCTION("""COMPUTED_VALUE"""),4151.05)</f>
        <v>4151.05</v>
      </c>
      <c r="E80" s="6">
        <f>IFERROR(__xludf.DUMMYFUNCTION("""COMPUTED_VALUE"""),4239.1)</f>
        <v>4239.1</v>
      </c>
      <c r="F80" s="6">
        <f>IFERROR(__xludf.DUMMYFUNCTION("""COMPUTED_VALUE"""),1.4021875E7)</f>
        <v>14021875</v>
      </c>
    </row>
    <row r="81">
      <c r="A81" s="7">
        <f>IFERROR(__xludf.DUMMYFUNCTION("""COMPUTED_VALUE"""),45758.64583333333)</f>
        <v>45758.64583</v>
      </c>
      <c r="B81" s="6">
        <f>IFERROR(__xludf.DUMMYFUNCTION("""COMPUTED_VALUE"""),3821.0)</f>
        <v>3821</v>
      </c>
      <c r="C81" s="6">
        <f>IFERROR(__xludf.DUMMYFUNCTION("""COMPUTED_VALUE"""),4142.7)</f>
        <v>4142.7</v>
      </c>
      <c r="D81" s="6">
        <f>IFERROR(__xludf.DUMMYFUNCTION("""COMPUTED_VALUE"""),3820.1)</f>
        <v>3820.1</v>
      </c>
      <c r="E81" s="6">
        <f>IFERROR(__xludf.DUMMYFUNCTION("""COMPUTED_VALUE"""),4107.2)</f>
        <v>4107.2</v>
      </c>
      <c r="F81" s="6">
        <f>IFERROR(__xludf.DUMMYFUNCTION("""COMPUTED_VALUE"""),8197645.0)</f>
        <v>8197645</v>
      </c>
    </row>
    <row r="82">
      <c r="A82" s="7">
        <f>IFERROR(__xludf.DUMMYFUNCTION("""COMPUTED_VALUE"""),45764.64583333333)</f>
        <v>45764.64583</v>
      </c>
      <c r="B82" s="6">
        <f>IFERROR(__xludf.DUMMYFUNCTION("""COMPUTED_VALUE"""),4250.0)</f>
        <v>4250</v>
      </c>
      <c r="C82" s="6">
        <f>IFERROR(__xludf.DUMMYFUNCTION("""COMPUTED_VALUE"""),4253.0)</f>
        <v>4253</v>
      </c>
      <c r="D82" s="6">
        <f>IFERROR(__xludf.DUMMYFUNCTION("""COMPUTED_VALUE"""),4170.8)</f>
        <v>4170.8</v>
      </c>
      <c r="E82" s="6">
        <f>IFERROR(__xludf.DUMMYFUNCTION("""COMPUTED_VALUE"""),4220.4)</f>
        <v>4220.4</v>
      </c>
      <c r="F82" s="6">
        <f>IFERROR(__xludf.DUMMYFUNCTION("""COMPUTED_VALUE"""),4276738.0)</f>
        <v>4276738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IFERROR(__xludf.DUMMYFUNCTION("""COMPUTED_VALUE"""),4248.0)</f>
        <v>4248</v>
      </c>
      <c r="C83" s="6">
        <f>IFERROR(__xludf.DUMMYFUNCTION("""COMPUTED_VALUE"""),4364.8)</f>
        <v>4364.8</v>
      </c>
      <c r="D83" s="6">
        <f>IFERROR(__xludf.DUMMYFUNCTION("""COMPUTED_VALUE"""),4147.5)</f>
        <v>4147.5</v>
      </c>
      <c r="E83" s="6">
        <f>IFERROR(__xludf.DUMMYFUNCTION("""COMPUTED_VALUE"""),4196.4)</f>
        <v>4196.4</v>
      </c>
      <c r="F83" s="6">
        <f>IFERROR(__xludf.DUMMYFUNCTION("""COMPUTED_VALUE"""),8389033.0)</f>
        <v>8389033</v>
      </c>
    </row>
    <row r="84">
      <c r="A84" s="7">
        <f>IFERROR(__xludf.DUMMYFUNCTION("""COMPUTED_VALUE"""),45779.64583333333)</f>
        <v>45779.64583</v>
      </c>
      <c r="B84" s="6">
        <f>IFERROR(__xludf.DUMMYFUNCTION("""COMPUTED_VALUE"""),4209.9)</f>
        <v>4209.9</v>
      </c>
      <c r="C84" s="6">
        <f>IFERROR(__xludf.DUMMYFUNCTION("""COMPUTED_VALUE"""),4660.0)</f>
        <v>4660</v>
      </c>
      <c r="D84" s="6">
        <f>IFERROR(__xludf.DUMMYFUNCTION("""COMPUTED_VALUE"""),4200.5)</f>
        <v>4200.5</v>
      </c>
      <c r="E84" s="6">
        <f>IFERROR(__xludf.DUMMYFUNCTION("""COMPUTED_VALUE"""),4492.4)</f>
        <v>4492.4</v>
      </c>
      <c r="F84" s="6">
        <f>IFERROR(__xludf.DUMMYFUNCTION("""COMPUTED_VALUE"""),1.3449171E7)</f>
        <v>13449171</v>
      </c>
    </row>
    <row r="85">
      <c r="A85" s="7">
        <f>IFERROR(__xludf.DUMMYFUNCTION("""COMPUTED_VALUE"""),45786.64583333333)</f>
        <v>45786.64583</v>
      </c>
      <c r="B85" s="6">
        <f>IFERROR(__xludf.DUMMYFUNCTION("""COMPUTED_VALUE"""),4536.8)</f>
        <v>4536.8</v>
      </c>
      <c r="C85" s="6">
        <f>IFERROR(__xludf.DUMMYFUNCTION("""COMPUTED_VALUE"""),4675.0)</f>
        <v>4675</v>
      </c>
      <c r="D85" s="6">
        <f>IFERROR(__xludf.DUMMYFUNCTION("""COMPUTED_VALUE"""),4360.2)</f>
        <v>4360.2</v>
      </c>
      <c r="E85" s="6">
        <f>IFERROR(__xludf.DUMMYFUNCTION("""COMPUTED_VALUE"""),4501.2)</f>
        <v>4501.2</v>
      </c>
      <c r="F85" s="6">
        <f>IFERROR(__xludf.DUMMYFUNCTION("""COMPUTED_VALUE"""),1.2425391E7)</f>
        <v>12425391</v>
      </c>
    </row>
    <row r="86">
      <c r="A86" s="7">
        <f>IFERROR(__xludf.DUMMYFUNCTION("""COMPUTED_VALUE"""),45793.64583333333)</f>
        <v>45793.64583</v>
      </c>
      <c r="B86" s="6">
        <f>IFERROR(__xludf.DUMMYFUNCTION("""COMPUTED_VALUE"""),4603.1)</f>
        <v>4603.1</v>
      </c>
      <c r="C86" s="6">
        <f>IFERROR(__xludf.DUMMYFUNCTION("""COMPUTED_VALUE"""),5165.0)</f>
        <v>5165</v>
      </c>
      <c r="D86" s="6">
        <f>IFERROR(__xludf.DUMMYFUNCTION("""COMPUTED_VALUE"""),4420.0)</f>
        <v>4420</v>
      </c>
      <c r="E86" s="6">
        <f>IFERROR(__xludf.DUMMYFUNCTION("""COMPUTED_VALUE"""),5127.7)</f>
        <v>5127.7</v>
      </c>
      <c r="F86" s="6">
        <f>IFERROR(__xludf.DUMMYFUNCTION("""COMPUTED_VALUE"""),2.8427914E7)</f>
        <v>28427914</v>
      </c>
    </row>
    <row r="87">
      <c r="A87" s="7">
        <f>IFERROR(__xludf.DUMMYFUNCTION("""COMPUTED_VALUE"""),45800.64583333333)</f>
        <v>45800.64583</v>
      </c>
      <c r="B87" s="6">
        <f>IFERROR(__xludf.DUMMYFUNCTION("""COMPUTED_VALUE"""),5140.0)</f>
        <v>5140</v>
      </c>
      <c r="C87" s="6">
        <f>IFERROR(__xludf.DUMMYFUNCTION("""COMPUTED_VALUE"""),5157.9)</f>
        <v>5157.9</v>
      </c>
      <c r="D87" s="6">
        <f>IFERROR(__xludf.DUMMYFUNCTION("""COMPUTED_VALUE"""),4779.3)</f>
        <v>4779.3</v>
      </c>
      <c r="E87" s="6">
        <f>IFERROR(__xludf.DUMMYFUNCTION("""COMPUTED_VALUE"""),4961.6)</f>
        <v>4961.6</v>
      </c>
      <c r="F87" s="6">
        <f>IFERROR(__xludf.DUMMYFUNCTION("""COMPUTED_VALUE"""),1.6873952E7)</f>
        <v>16873952</v>
      </c>
    </row>
    <row r="88">
      <c r="A88" s="7">
        <f>IFERROR(__xludf.DUMMYFUNCTION("""COMPUTED_VALUE"""),45807.64583333333)</f>
        <v>45807.64583</v>
      </c>
      <c r="B88" s="6">
        <f>IFERROR(__xludf.DUMMYFUNCTION("""COMPUTED_VALUE"""),4990.0)</f>
        <v>4990</v>
      </c>
      <c r="C88" s="6">
        <f>IFERROR(__xludf.DUMMYFUNCTION("""COMPUTED_VALUE"""),5110.0)</f>
        <v>5110</v>
      </c>
      <c r="D88" s="6">
        <f>IFERROR(__xludf.DUMMYFUNCTION("""COMPUTED_VALUE"""),4950.0)</f>
        <v>4950</v>
      </c>
      <c r="E88" s="6">
        <f>IFERROR(__xludf.DUMMYFUNCTION("""COMPUTED_VALUE"""),4974.1)</f>
        <v>4974.1</v>
      </c>
      <c r="F88" s="6">
        <f>IFERROR(__xludf.DUMMYFUNCTION("""COMPUTED_VALUE"""),8611659.0)</f>
        <v>8611659</v>
      </c>
    </row>
    <row r="89">
      <c r="A89" s="7">
        <f>IFERROR(__xludf.DUMMYFUNCTION("""COMPUTED_VALUE"""),45814.64583333333)</f>
        <v>45814.64583</v>
      </c>
      <c r="B89" s="6">
        <f>IFERROR(__xludf.DUMMYFUNCTION("""COMPUTED_VALUE"""),4970.0)</f>
        <v>4970</v>
      </c>
      <c r="C89" s="6">
        <f>IFERROR(__xludf.DUMMYFUNCTION("""COMPUTED_VALUE"""),5099.0)</f>
        <v>5099</v>
      </c>
      <c r="D89" s="6">
        <f>IFERROR(__xludf.DUMMYFUNCTION("""COMPUTED_VALUE"""),4891.0)</f>
        <v>4891</v>
      </c>
      <c r="E89" s="6">
        <f>IFERROR(__xludf.DUMMYFUNCTION("""COMPUTED_VALUE"""),4989.3)</f>
        <v>4989.3</v>
      </c>
      <c r="F89" s="6">
        <f>IFERROR(__xludf.DUMMYFUNCTION("""COMPUTED_VALUE"""),9027629.0)</f>
        <v>9027629</v>
      </c>
    </row>
    <row r="90">
      <c r="A90" s="7">
        <f>IFERROR(__xludf.DUMMYFUNCTION("""COMPUTED_VALUE"""),45821.64583333333)</f>
        <v>45821.64583</v>
      </c>
      <c r="B90" s="6">
        <f>IFERROR(__xludf.DUMMYFUNCTION("""COMPUTED_VALUE"""),5014.2)</f>
        <v>5014.2</v>
      </c>
      <c r="C90" s="6">
        <f>IFERROR(__xludf.DUMMYFUNCTION("""COMPUTED_VALUE"""),5147.0)</f>
        <v>5147</v>
      </c>
      <c r="D90" s="6">
        <f>IFERROR(__xludf.DUMMYFUNCTION("""COMPUTED_VALUE"""),4892.1)</f>
        <v>4892.1</v>
      </c>
      <c r="E90" s="6">
        <f>IFERROR(__xludf.DUMMYFUNCTION("""COMPUTED_VALUE"""),5026.0)</f>
        <v>5026</v>
      </c>
      <c r="F90" s="6">
        <f>IFERROR(__xludf.DUMMYFUNCTION("""COMPUTED_VALUE"""),9607376.0)</f>
        <v>9607376</v>
      </c>
    </row>
    <row r="91">
      <c r="A91" s="7">
        <f>IFERROR(__xludf.DUMMYFUNCTION("""COMPUTED_VALUE"""),45828.64583333333)</f>
        <v>45828.64583</v>
      </c>
      <c r="B91" s="6">
        <f>IFERROR(__xludf.DUMMYFUNCTION("""COMPUTED_VALUE"""),5048.8)</f>
        <v>5048.8</v>
      </c>
      <c r="C91" s="6">
        <f>IFERROR(__xludf.DUMMYFUNCTION("""COMPUTED_VALUE"""),5132.6)</f>
        <v>5132.6</v>
      </c>
      <c r="D91" s="6">
        <f>IFERROR(__xludf.DUMMYFUNCTION("""COMPUTED_VALUE"""),4844.0)</f>
        <v>4844</v>
      </c>
      <c r="E91" s="6">
        <f>IFERROR(__xludf.DUMMYFUNCTION("""COMPUTED_VALUE"""),4973.1)</f>
        <v>4973.1</v>
      </c>
      <c r="F91" s="6">
        <f>IFERROR(__xludf.DUMMYFUNCTION("""COMPUTED_VALUE"""),7997425.0)</f>
        <v>7997425</v>
      </c>
    </row>
    <row r="92">
      <c r="A92" s="7">
        <f>IFERROR(__xludf.DUMMYFUNCTION("""COMPUTED_VALUE"""),45835.64583333333)</f>
        <v>45835.64583</v>
      </c>
      <c r="B92" s="6">
        <f>IFERROR(__xludf.DUMMYFUNCTION("""COMPUTED_VALUE"""),4973.1)</f>
        <v>4973.1</v>
      </c>
      <c r="C92" s="6">
        <f>IFERROR(__xludf.DUMMYFUNCTION("""COMPUTED_VALUE"""),5060.0)</f>
        <v>5060</v>
      </c>
      <c r="D92" s="6">
        <f>IFERROR(__xludf.DUMMYFUNCTION("""COMPUTED_VALUE"""),4785.0)</f>
        <v>4785</v>
      </c>
      <c r="E92" s="6">
        <f>IFERROR(__xludf.DUMMYFUNCTION("""COMPUTED_VALUE"""),4897.9)</f>
        <v>4897.9</v>
      </c>
      <c r="F92" s="6">
        <f>IFERROR(__xludf.DUMMYFUNCTION("""COMPUTED_VALUE"""),9132217.0)</f>
        <v>9132217</v>
      </c>
    </row>
    <row r="93">
      <c r="A93" s="7">
        <f>IFERROR(__xludf.DUMMYFUNCTION("""COMPUTED_VALUE"""),45842.64583333333)</f>
        <v>45842.64583</v>
      </c>
      <c r="B93" s="6">
        <f>IFERROR(__xludf.DUMMYFUNCTION("""COMPUTED_VALUE"""),4910.0)</f>
        <v>4910</v>
      </c>
      <c r="C93" s="6">
        <f>IFERROR(__xludf.DUMMYFUNCTION("""COMPUTED_VALUE"""),5020.0)</f>
        <v>5020</v>
      </c>
      <c r="D93" s="6">
        <f>IFERROR(__xludf.DUMMYFUNCTION("""COMPUTED_VALUE"""),4845.0)</f>
        <v>4845</v>
      </c>
      <c r="E93" s="6">
        <f>IFERROR(__xludf.DUMMYFUNCTION("""COMPUTED_VALUE"""),4993.2)</f>
        <v>4993.2</v>
      </c>
      <c r="F93" s="6">
        <f>IFERROR(__xludf.DUMMYFUNCTION("""COMPUTED_VALUE"""),5959688.0)</f>
        <v>5959688</v>
      </c>
    </row>
    <row r="94">
      <c r="A94" s="7">
        <f>IFERROR(__xludf.DUMMYFUNCTION("""COMPUTED_VALUE"""),45849.64583333333)</f>
        <v>45849.64583</v>
      </c>
      <c r="B94" s="6">
        <f>IFERROR(__xludf.DUMMYFUNCTION("""COMPUTED_VALUE"""),4994.0)</f>
        <v>4994</v>
      </c>
      <c r="C94" s="6">
        <f>IFERROR(__xludf.DUMMYFUNCTION("""COMPUTED_VALUE"""),5065.0)</f>
        <v>5065</v>
      </c>
      <c r="D94" s="6">
        <f>IFERROR(__xludf.DUMMYFUNCTION("""COMPUTED_VALUE"""),4819.7)</f>
        <v>4819.7</v>
      </c>
      <c r="E94" s="6">
        <f>IFERROR(__xludf.DUMMYFUNCTION("""COMPUTED_VALUE"""),4866.1)</f>
        <v>4866.1</v>
      </c>
      <c r="F94" s="6">
        <f>IFERROR(__xludf.DUMMYFUNCTION("""COMPUTED_VALUE"""),5080503.0)</f>
        <v>5080503</v>
      </c>
    </row>
    <row r="95">
      <c r="A95" s="7">
        <f>IFERROR(__xludf.DUMMYFUNCTION("""COMPUTED_VALUE"""),45856.64583333333)</f>
        <v>45856.64583</v>
      </c>
      <c r="B95" s="6">
        <f>IFERROR(__xludf.DUMMYFUNCTION("""COMPUTED_VALUE"""),4866.1)</f>
        <v>4866.1</v>
      </c>
      <c r="C95" s="6">
        <f>IFERROR(__xludf.DUMMYFUNCTION("""COMPUTED_VALUE"""),4932.0)</f>
        <v>4932</v>
      </c>
      <c r="D95" s="6">
        <f>IFERROR(__xludf.DUMMYFUNCTION("""COMPUTED_VALUE"""),4643.3)</f>
        <v>4643.3</v>
      </c>
      <c r="E95" s="6">
        <f>IFERROR(__xludf.DUMMYFUNCTION("""COMPUTED_VALUE"""),4651.7)</f>
        <v>4651.7</v>
      </c>
      <c r="F95" s="6">
        <f>IFERROR(__xludf.DUMMYFUNCTION("""COMPUTED_VALUE"""),4719042.0)</f>
        <v>4719042</v>
      </c>
    </row>
    <row r="96">
      <c r="A96" s="7">
        <f>IFERROR(__xludf.DUMMYFUNCTION("""COMPUTED_VALUE"""),45863.64583333333)</f>
        <v>45863.64583</v>
      </c>
      <c r="B96" s="6">
        <f>IFERROR(__xludf.DUMMYFUNCTION("""COMPUTED_VALUE"""),4651.7)</f>
        <v>4651.7</v>
      </c>
      <c r="C96" s="6">
        <f>IFERROR(__xludf.DUMMYFUNCTION("""COMPUTED_VALUE"""),4809.9)</f>
        <v>4809.9</v>
      </c>
      <c r="D96" s="6">
        <f>IFERROR(__xludf.DUMMYFUNCTION("""COMPUTED_VALUE"""),4543.1)</f>
        <v>4543.1</v>
      </c>
      <c r="E96" s="6">
        <f>IFERROR(__xludf.DUMMYFUNCTION("""COMPUTED_VALUE"""),4552.7)</f>
        <v>4552.7</v>
      </c>
      <c r="F96" s="6">
        <f>IFERROR(__xludf.DUMMYFUNCTION("""COMPUTED_VALUE"""),4736756.0)</f>
        <v>4736756</v>
      </c>
    </row>
    <row r="97">
      <c r="A97" s="7">
        <f>IFERROR(__xludf.DUMMYFUNCTION("""COMPUTED_VALUE"""),45870.64583333333)</f>
        <v>45870.64583</v>
      </c>
      <c r="B97" s="6">
        <f>IFERROR(__xludf.DUMMYFUNCTION("""COMPUTED_VALUE"""),4549.9)</f>
        <v>4549.9</v>
      </c>
      <c r="C97" s="6">
        <f>IFERROR(__xludf.DUMMYFUNCTION("""COMPUTED_VALUE"""),4595.0)</f>
        <v>4595</v>
      </c>
      <c r="D97" s="6">
        <f>IFERROR(__xludf.DUMMYFUNCTION("""COMPUTED_VALUE"""),4401.0)</f>
        <v>4401</v>
      </c>
      <c r="E97" s="6">
        <f>IFERROR(__xludf.DUMMYFUNCTION("""COMPUTED_VALUE"""),4438.7)</f>
        <v>4438.7</v>
      </c>
      <c r="F97" s="6">
        <f>IFERROR(__xludf.DUMMYFUNCTION("""COMPUTED_VALUE"""),4267589.0)</f>
        <v>4267589</v>
      </c>
    </row>
    <row r="98">
      <c r="A98" s="7">
        <f>IFERROR(__xludf.DUMMYFUNCTION("""COMPUTED_VALUE"""),45877.64583333333)</f>
        <v>45877.64583</v>
      </c>
      <c r="B98" s="6">
        <f>IFERROR(__xludf.DUMMYFUNCTION("""COMPUTED_VALUE"""),4438.7)</f>
        <v>4438.7</v>
      </c>
      <c r="C98" s="6">
        <f>IFERROR(__xludf.DUMMYFUNCTION("""COMPUTED_VALUE"""),4619.0)</f>
        <v>4619</v>
      </c>
      <c r="D98" s="6">
        <f>IFERROR(__xludf.DUMMYFUNCTION("""COMPUTED_VALUE"""),4424.2)</f>
        <v>4424.2</v>
      </c>
      <c r="E98" s="6">
        <f>IFERROR(__xludf.DUMMYFUNCTION("""COMPUTED_VALUE"""),4440.6)</f>
        <v>4440.6</v>
      </c>
      <c r="F98" s="6">
        <f>IFERROR(__xludf.DUMMYFUNCTION("""COMPUTED_VALUE"""),3778973.0)</f>
        <v>3778973</v>
      </c>
    </row>
    <row r="99">
      <c r="A99" s="7">
        <f>IFERROR(__xludf.DUMMYFUNCTION("""COMPUTED_VALUE"""),45883.64583333333)</f>
        <v>45883.64583</v>
      </c>
      <c r="B99" s="6">
        <f>IFERROR(__xludf.DUMMYFUNCTION("""COMPUTED_VALUE"""),4460.0)</f>
        <v>4460</v>
      </c>
      <c r="C99" s="6">
        <f>IFERROR(__xludf.DUMMYFUNCTION("""COMPUTED_VALUE"""),4568.6)</f>
        <v>4568.6</v>
      </c>
      <c r="D99" s="6">
        <f>IFERROR(__xludf.DUMMYFUNCTION("""COMPUTED_VALUE"""),4325.0)</f>
        <v>4325</v>
      </c>
      <c r="E99" s="6">
        <f>IFERROR(__xludf.DUMMYFUNCTION("""COMPUTED_VALUE"""),4555.1)</f>
        <v>4555.1</v>
      </c>
      <c r="F99" s="6">
        <f>IFERROR(__xludf.DUMMYFUNCTION("""COMPUTED_VALUE"""),7942393.0)</f>
        <v>7942393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IFERROR(__xludf.DUMMYFUNCTION("""COMPUTED_VALUE"""),4590.6)</f>
        <v>4590.6</v>
      </c>
      <c r="C100" s="6">
        <f>IFERROR(__xludf.DUMMYFUNCTION("""COMPUTED_VALUE"""),4605.0)</f>
        <v>4605</v>
      </c>
      <c r="D100" s="6">
        <f>IFERROR(__xludf.DUMMYFUNCTION("""COMPUTED_VALUE"""),4425.1)</f>
        <v>4425.1</v>
      </c>
      <c r="E100" s="6">
        <f>IFERROR(__xludf.DUMMYFUNCTION("""COMPUTED_VALUE"""),4473.0)</f>
        <v>4473</v>
      </c>
      <c r="F100" s="6">
        <f>IFERROR(__xludf.DUMMYFUNCTION("""COMPUTED_VALUE"""),8761132.0)</f>
        <v>8761132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IFERROR(__xludf.DUMMYFUNCTION("""COMPUTED_VALUE"""),4510.0)</f>
        <v>4510</v>
      </c>
      <c r="C101" s="6">
        <f>IFERROR(__xludf.DUMMYFUNCTION("""COMPUTED_VALUE"""),4513.0)</f>
        <v>4513</v>
      </c>
      <c r="D101" s="6">
        <f>IFERROR(__xludf.DUMMYFUNCTION("""COMPUTED_VALUE"""),4370.0)</f>
        <v>4370</v>
      </c>
      <c r="E101" s="6">
        <f>IFERROR(__xludf.DUMMYFUNCTION("""COMPUTED_VALUE"""),4383.6)</f>
        <v>4383.6</v>
      </c>
      <c r="F101" s="6">
        <f>IFERROR(__xludf.DUMMYFUNCTION("""COMPUTED_VALUE"""),1.893692E7)</f>
        <v>18936920</v>
      </c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IFERROR(__xludf.DUMMYFUNCTION("GOOGLEFINANCE(""NSE:HAVELLS"",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IFERROR(__xludf.DUMMYFUNCTION("""COMPUTED_VALUE"""),1310.0)</f>
        <v>1310</v>
      </c>
      <c r="C2" s="6">
        <f>IFERROR(__xludf.DUMMYFUNCTION("""COMPUTED_VALUE"""),1399.0)</f>
        <v>1399</v>
      </c>
      <c r="D2" s="6">
        <f>IFERROR(__xludf.DUMMYFUNCTION("""COMPUTED_VALUE"""),1305.15)</f>
        <v>1305.15</v>
      </c>
      <c r="E2" s="6">
        <f>IFERROR(__xludf.DUMMYFUNCTION("""COMPUTED_VALUE"""),1377.75)</f>
        <v>1377.75</v>
      </c>
      <c r="F2" s="6">
        <f>IFERROR(__xludf.DUMMYFUNCTION("""COMPUTED_VALUE"""),5329324.0)</f>
        <v>5329324</v>
      </c>
    </row>
    <row r="3">
      <c r="A3" s="7">
        <f>IFERROR(__xludf.DUMMYFUNCTION("""COMPUTED_VALUE"""),45177.64583333333)</f>
        <v>45177.64583</v>
      </c>
      <c r="B3" s="6">
        <f>IFERROR(__xludf.DUMMYFUNCTION("""COMPUTED_VALUE"""),1379.0)</f>
        <v>1379</v>
      </c>
      <c r="C3" s="6">
        <f>IFERROR(__xludf.DUMMYFUNCTION("""COMPUTED_VALUE"""),1454.0)</f>
        <v>1454</v>
      </c>
      <c r="D3" s="6">
        <f>IFERROR(__xludf.DUMMYFUNCTION("""COMPUTED_VALUE"""),1348.2)</f>
        <v>1348.2</v>
      </c>
      <c r="E3" s="6">
        <f>IFERROR(__xludf.DUMMYFUNCTION("""COMPUTED_VALUE"""),1450.25)</f>
        <v>1450.25</v>
      </c>
      <c r="F3" s="6">
        <f>IFERROR(__xludf.DUMMYFUNCTION("""COMPUTED_VALUE"""),7331303.0)</f>
        <v>7331303</v>
      </c>
    </row>
    <row r="4">
      <c r="A4" s="7">
        <f>IFERROR(__xludf.DUMMYFUNCTION("""COMPUTED_VALUE"""),45184.64583333333)</f>
        <v>45184.64583</v>
      </c>
      <c r="B4" s="6">
        <f>IFERROR(__xludf.DUMMYFUNCTION("""COMPUTED_VALUE"""),1465.85)</f>
        <v>1465.85</v>
      </c>
      <c r="C4" s="6">
        <f>IFERROR(__xludf.DUMMYFUNCTION("""COMPUTED_VALUE"""),1465.85)</f>
        <v>1465.85</v>
      </c>
      <c r="D4" s="6">
        <f>IFERROR(__xludf.DUMMYFUNCTION("""COMPUTED_VALUE"""),1373.5)</f>
        <v>1373.5</v>
      </c>
      <c r="E4" s="6">
        <f>IFERROR(__xludf.DUMMYFUNCTION("""COMPUTED_VALUE"""),1431.05)</f>
        <v>1431.05</v>
      </c>
      <c r="F4" s="6">
        <f>IFERROR(__xludf.DUMMYFUNCTION("""COMPUTED_VALUE"""),4978144.0)</f>
        <v>4978144</v>
      </c>
    </row>
    <row r="5">
      <c r="A5" s="7">
        <f>IFERROR(__xludf.DUMMYFUNCTION("""COMPUTED_VALUE"""),45191.64583333333)</f>
        <v>45191.64583</v>
      </c>
      <c r="B5" s="6">
        <f>IFERROR(__xludf.DUMMYFUNCTION("""COMPUTED_VALUE"""),1435.0)</f>
        <v>1435</v>
      </c>
      <c r="C5" s="6">
        <f>IFERROR(__xludf.DUMMYFUNCTION("""COMPUTED_VALUE"""),1440.8)</f>
        <v>1440.8</v>
      </c>
      <c r="D5" s="6">
        <f>IFERROR(__xludf.DUMMYFUNCTION("""COMPUTED_VALUE"""),1388.35)</f>
        <v>1388.35</v>
      </c>
      <c r="E5" s="6">
        <f>IFERROR(__xludf.DUMMYFUNCTION("""COMPUTED_VALUE"""),1392.6)</f>
        <v>1392.6</v>
      </c>
      <c r="F5" s="6">
        <f>IFERROR(__xludf.DUMMYFUNCTION("""COMPUTED_VALUE"""),2106141.0)</f>
        <v>2106141</v>
      </c>
    </row>
    <row r="6">
      <c r="A6" s="7">
        <f>IFERROR(__xludf.DUMMYFUNCTION("""COMPUTED_VALUE"""),45198.64583333333)</f>
        <v>45198.64583</v>
      </c>
      <c r="B6" s="6">
        <f>IFERROR(__xludf.DUMMYFUNCTION("""COMPUTED_VALUE"""),1390.0)</f>
        <v>1390</v>
      </c>
      <c r="C6" s="6">
        <f>IFERROR(__xludf.DUMMYFUNCTION("""COMPUTED_VALUE"""),1416.6)</f>
        <v>1416.6</v>
      </c>
      <c r="D6" s="6">
        <f>IFERROR(__xludf.DUMMYFUNCTION("""COMPUTED_VALUE"""),1368.05)</f>
        <v>1368.05</v>
      </c>
      <c r="E6" s="6">
        <f>IFERROR(__xludf.DUMMYFUNCTION("""COMPUTED_VALUE"""),1388.95)</f>
        <v>1388.95</v>
      </c>
      <c r="F6" s="6">
        <f>IFERROR(__xludf.DUMMYFUNCTION("""COMPUTED_VALUE"""),2542328.0)</f>
        <v>2542328</v>
      </c>
    </row>
    <row r="7">
      <c r="A7" s="7">
        <f>IFERROR(__xludf.DUMMYFUNCTION("""COMPUTED_VALUE"""),45205.64583333333)</f>
        <v>45205.64583</v>
      </c>
      <c r="B7" s="6">
        <f>IFERROR(__xludf.DUMMYFUNCTION("""COMPUTED_VALUE"""),1385.0)</f>
        <v>1385</v>
      </c>
      <c r="C7" s="6">
        <f>IFERROR(__xludf.DUMMYFUNCTION("""COMPUTED_VALUE"""),1425.0)</f>
        <v>1425</v>
      </c>
      <c r="D7" s="6">
        <f>IFERROR(__xludf.DUMMYFUNCTION("""COMPUTED_VALUE"""),1369.0)</f>
        <v>1369</v>
      </c>
      <c r="E7" s="6">
        <f>IFERROR(__xludf.DUMMYFUNCTION("""COMPUTED_VALUE"""),1399.45)</f>
        <v>1399.45</v>
      </c>
      <c r="F7" s="6">
        <f>IFERROR(__xludf.DUMMYFUNCTION("""COMPUTED_VALUE"""),2286960.0)</f>
        <v>2286960</v>
      </c>
    </row>
    <row r="8">
      <c r="A8" s="7">
        <f>IFERROR(__xludf.DUMMYFUNCTION("""COMPUTED_VALUE"""),45212.64583333333)</f>
        <v>45212.64583</v>
      </c>
      <c r="B8" s="6">
        <f>IFERROR(__xludf.DUMMYFUNCTION("""COMPUTED_VALUE"""),1390.4)</f>
        <v>1390.4</v>
      </c>
      <c r="C8" s="6">
        <f>IFERROR(__xludf.DUMMYFUNCTION("""COMPUTED_VALUE"""),1419.6)</f>
        <v>1419.6</v>
      </c>
      <c r="D8" s="6">
        <f>IFERROR(__xludf.DUMMYFUNCTION("""COMPUTED_VALUE"""),1379.85)</f>
        <v>1379.85</v>
      </c>
      <c r="E8" s="6">
        <f>IFERROR(__xludf.DUMMYFUNCTION("""COMPUTED_VALUE"""),1391.0)</f>
        <v>1391</v>
      </c>
      <c r="F8" s="6">
        <f>IFERROR(__xludf.DUMMYFUNCTION("""COMPUTED_VALUE"""),2112122.0)</f>
        <v>2112122</v>
      </c>
    </row>
    <row r="9">
      <c r="A9" s="7">
        <f>IFERROR(__xludf.DUMMYFUNCTION("""COMPUTED_VALUE"""),45219.64583333333)</f>
        <v>45219.64583</v>
      </c>
      <c r="B9" s="6">
        <f>IFERROR(__xludf.DUMMYFUNCTION("""COMPUTED_VALUE"""),1391.0)</f>
        <v>1391</v>
      </c>
      <c r="C9" s="6">
        <f>IFERROR(__xludf.DUMMYFUNCTION("""COMPUTED_VALUE"""),1424.85)</f>
        <v>1424.85</v>
      </c>
      <c r="D9" s="6">
        <f>IFERROR(__xludf.DUMMYFUNCTION("""COMPUTED_VALUE"""),1290.0)</f>
        <v>1290</v>
      </c>
      <c r="E9" s="6">
        <f>IFERROR(__xludf.DUMMYFUNCTION("""COMPUTED_VALUE"""),1292.95)</f>
        <v>1292.95</v>
      </c>
      <c r="F9" s="6">
        <f>IFERROR(__xludf.DUMMYFUNCTION("""COMPUTED_VALUE"""),8543810.0)</f>
        <v>8543810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IFERROR(__xludf.DUMMYFUNCTION("""COMPUTED_VALUE"""),1292.0)</f>
        <v>1292</v>
      </c>
      <c r="C10" s="6">
        <f>IFERROR(__xludf.DUMMYFUNCTION("""COMPUTED_VALUE"""),1301.25)</f>
        <v>1301.25</v>
      </c>
      <c r="D10" s="6">
        <f>IFERROR(__xludf.DUMMYFUNCTION("""COMPUTED_VALUE"""),1240.25)</f>
        <v>1240.25</v>
      </c>
      <c r="E10" s="6">
        <f>IFERROR(__xludf.DUMMYFUNCTION("""COMPUTED_VALUE"""),1259.9)</f>
        <v>1259.9</v>
      </c>
      <c r="F10" s="6">
        <f>IFERROR(__xludf.DUMMYFUNCTION("""COMPUTED_VALUE"""),3699000.0)</f>
        <v>3699000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IFERROR(__xludf.DUMMYFUNCTION("""COMPUTED_VALUE"""),1261.9)</f>
        <v>1261.9</v>
      </c>
      <c r="C11" s="6">
        <f>IFERROR(__xludf.DUMMYFUNCTION("""COMPUTED_VALUE"""),1279.65)</f>
        <v>1279.65</v>
      </c>
      <c r="D11" s="6">
        <f>IFERROR(__xludf.DUMMYFUNCTION("""COMPUTED_VALUE"""),1232.85)</f>
        <v>1232.85</v>
      </c>
      <c r="E11" s="6">
        <f>IFERROR(__xludf.DUMMYFUNCTION("""COMPUTED_VALUE"""),1271.0)</f>
        <v>1271</v>
      </c>
      <c r="F11" s="6">
        <f>IFERROR(__xludf.DUMMYFUNCTION("""COMPUTED_VALUE"""),3564286.0)</f>
        <v>3564286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IFERROR(__xludf.DUMMYFUNCTION("""COMPUTED_VALUE"""),1263.5)</f>
        <v>1263.5</v>
      </c>
      <c r="C12" s="6">
        <f>IFERROR(__xludf.DUMMYFUNCTION("""COMPUTED_VALUE"""),1270.0)</f>
        <v>1270</v>
      </c>
      <c r="D12" s="6">
        <f>IFERROR(__xludf.DUMMYFUNCTION("""COMPUTED_VALUE"""),1244.3)</f>
        <v>1244.3</v>
      </c>
      <c r="E12" s="6">
        <f>IFERROR(__xludf.DUMMYFUNCTION("""COMPUTED_VALUE"""),1257.4)</f>
        <v>1257.4</v>
      </c>
      <c r="F12" s="6">
        <f>IFERROR(__xludf.DUMMYFUNCTION("""COMPUTED_VALUE"""),3925894.0)</f>
        <v>3925894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IFERROR(__xludf.DUMMYFUNCTION("""COMPUTED_VALUE"""),1265.05)</f>
        <v>1265.05</v>
      </c>
      <c r="C13" s="6">
        <f>IFERROR(__xludf.DUMMYFUNCTION("""COMPUTED_VALUE"""),1286.45)</f>
        <v>1286.45</v>
      </c>
      <c r="D13" s="6">
        <f>IFERROR(__xludf.DUMMYFUNCTION("""COMPUTED_VALUE"""),1244.0)</f>
        <v>1244</v>
      </c>
      <c r="E13" s="6">
        <f>IFERROR(__xludf.DUMMYFUNCTION("""COMPUTED_VALUE"""),1280.75)</f>
        <v>1280.75</v>
      </c>
      <c r="F13" s="6">
        <f>IFERROR(__xludf.DUMMYFUNCTION("""COMPUTED_VALUE"""),2166217.0)</f>
        <v>2166217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IFERROR(__xludf.DUMMYFUNCTION("""COMPUTED_VALUE"""),1284.7)</f>
        <v>1284.7</v>
      </c>
      <c r="C14" s="6">
        <f>IFERROR(__xludf.DUMMYFUNCTION("""COMPUTED_VALUE"""),1315.0)</f>
        <v>1315</v>
      </c>
      <c r="D14" s="6">
        <f>IFERROR(__xludf.DUMMYFUNCTION("""COMPUTED_VALUE"""),1273.0)</f>
        <v>1273</v>
      </c>
      <c r="E14" s="6">
        <f>IFERROR(__xludf.DUMMYFUNCTION("""COMPUTED_VALUE"""),1294.3)</f>
        <v>1294.3</v>
      </c>
      <c r="F14" s="6">
        <f>IFERROR(__xludf.DUMMYFUNCTION("""COMPUTED_VALUE"""),2563974.0)</f>
        <v>2563974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IFERROR(__xludf.DUMMYFUNCTION("""COMPUTED_VALUE"""),1294.3)</f>
        <v>1294.3</v>
      </c>
      <c r="C15" s="6">
        <f>IFERROR(__xludf.DUMMYFUNCTION("""COMPUTED_VALUE"""),1320.0)</f>
        <v>1320</v>
      </c>
      <c r="D15" s="6">
        <f>IFERROR(__xludf.DUMMYFUNCTION("""COMPUTED_VALUE"""),1278.0)</f>
        <v>1278</v>
      </c>
      <c r="E15" s="6">
        <f>IFERROR(__xludf.DUMMYFUNCTION("""COMPUTED_VALUE"""),1312.45)</f>
        <v>1312.45</v>
      </c>
      <c r="F15" s="6">
        <f>IFERROR(__xludf.DUMMYFUNCTION("""COMPUTED_VALUE"""),2425647.0)</f>
        <v>2425647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IFERROR(__xludf.DUMMYFUNCTION("""COMPUTED_VALUE"""),1321.0)</f>
        <v>1321</v>
      </c>
      <c r="C16" s="6">
        <f>IFERROR(__xludf.DUMMYFUNCTION("""COMPUTED_VALUE"""),1357.0)</f>
        <v>1357</v>
      </c>
      <c r="D16" s="6">
        <f>IFERROR(__xludf.DUMMYFUNCTION("""COMPUTED_VALUE"""),1305.0)</f>
        <v>1305</v>
      </c>
      <c r="E16" s="6">
        <f>IFERROR(__xludf.DUMMYFUNCTION("""COMPUTED_VALUE"""),1343.0)</f>
        <v>1343</v>
      </c>
      <c r="F16" s="6">
        <f>IFERROR(__xludf.DUMMYFUNCTION("""COMPUTED_VALUE"""),2751308.0)</f>
        <v>2751308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IFERROR(__xludf.DUMMYFUNCTION("""COMPUTED_VALUE"""),1348.0)</f>
        <v>1348</v>
      </c>
      <c r="C17" s="6">
        <f>IFERROR(__xludf.DUMMYFUNCTION("""COMPUTED_VALUE"""),1363.7)</f>
        <v>1363.7</v>
      </c>
      <c r="D17" s="6">
        <f>IFERROR(__xludf.DUMMYFUNCTION("""COMPUTED_VALUE"""),1310.5)</f>
        <v>1310.5</v>
      </c>
      <c r="E17" s="6">
        <f>IFERROR(__xludf.DUMMYFUNCTION("""COMPUTED_VALUE"""),1332.4)</f>
        <v>1332.4</v>
      </c>
      <c r="F17" s="6">
        <f>IFERROR(__xludf.DUMMYFUNCTION("""COMPUTED_VALUE"""),2961026.0)</f>
        <v>2961026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IFERROR(__xludf.DUMMYFUNCTION("""COMPUTED_VALUE"""),1330.3)</f>
        <v>1330.3</v>
      </c>
      <c r="C18" s="6">
        <f>IFERROR(__xludf.DUMMYFUNCTION("""COMPUTED_VALUE"""),1395.0)</f>
        <v>1395</v>
      </c>
      <c r="D18" s="6">
        <f>IFERROR(__xludf.DUMMYFUNCTION("""COMPUTED_VALUE"""),1312.55)</f>
        <v>1312.55</v>
      </c>
      <c r="E18" s="6">
        <f>IFERROR(__xludf.DUMMYFUNCTION("""COMPUTED_VALUE"""),1351.8)</f>
        <v>1351.8</v>
      </c>
      <c r="F18" s="6">
        <f>IFERROR(__xludf.DUMMYFUNCTION("""COMPUTED_VALUE"""),4094259.0)</f>
        <v>4094259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IFERROR(__xludf.DUMMYFUNCTION("""COMPUTED_VALUE"""),1349.0)</f>
        <v>1349</v>
      </c>
      <c r="C19" s="6">
        <f>IFERROR(__xludf.DUMMYFUNCTION("""COMPUTED_VALUE"""),1383.85)</f>
        <v>1383.85</v>
      </c>
      <c r="D19" s="6">
        <f>IFERROR(__xludf.DUMMYFUNCTION("""COMPUTED_VALUE"""),1349.0)</f>
        <v>1349</v>
      </c>
      <c r="E19" s="6">
        <f>IFERROR(__xludf.DUMMYFUNCTION("""COMPUTED_VALUE"""),1367.95)</f>
        <v>1367.95</v>
      </c>
      <c r="F19" s="6">
        <f>IFERROR(__xludf.DUMMYFUNCTION("""COMPUTED_VALUE"""),2100776.0)</f>
        <v>2100776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IFERROR(__xludf.DUMMYFUNCTION("""COMPUTED_VALUE"""),1367.95)</f>
        <v>1367.95</v>
      </c>
      <c r="C20" s="6">
        <f>IFERROR(__xludf.DUMMYFUNCTION("""COMPUTED_VALUE"""),1421.35)</f>
        <v>1421.35</v>
      </c>
      <c r="D20" s="6">
        <f>IFERROR(__xludf.DUMMYFUNCTION("""COMPUTED_VALUE"""),1346.1)</f>
        <v>1346.1</v>
      </c>
      <c r="E20" s="6">
        <f>IFERROR(__xludf.DUMMYFUNCTION("""COMPUTED_VALUE"""),1405.5)</f>
        <v>1405.5</v>
      </c>
      <c r="F20" s="6">
        <f>IFERROR(__xludf.DUMMYFUNCTION("""COMPUTED_VALUE"""),3462938.0)</f>
        <v>3462938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IFERROR(__xludf.DUMMYFUNCTION("""COMPUTED_VALUE"""),1405.45)</f>
        <v>1405.45</v>
      </c>
      <c r="C21" s="6">
        <f>IFERROR(__xludf.DUMMYFUNCTION("""COMPUTED_VALUE"""),1472.0)</f>
        <v>1472</v>
      </c>
      <c r="D21" s="6">
        <f>IFERROR(__xludf.DUMMYFUNCTION("""COMPUTED_VALUE"""),1365.4)</f>
        <v>1365.4</v>
      </c>
      <c r="E21" s="6">
        <f>IFERROR(__xludf.DUMMYFUNCTION("""COMPUTED_VALUE"""),1432.05)</f>
        <v>1432.05</v>
      </c>
      <c r="F21" s="6">
        <f>IFERROR(__xludf.DUMMYFUNCTION("""COMPUTED_VALUE"""),6765726.0)</f>
        <v>6765726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IFERROR(__xludf.DUMMYFUNCTION("""COMPUTED_VALUE"""),1370.05)</f>
        <v>1370.05</v>
      </c>
      <c r="C22" s="6">
        <f>IFERROR(__xludf.DUMMYFUNCTION("""COMPUTED_VALUE"""),1374.9)</f>
        <v>1374.9</v>
      </c>
      <c r="D22" s="6">
        <f>IFERROR(__xludf.DUMMYFUNCTION("""COMPUTED_VALUE"""),1280.0)</f>
        <v>1280</v>
      </c>
      <c r="E22" s="6">
        <f>IFERROR(__xludf.DUMMYFUNCTION("""COMPUTED_VALUE"""),1290.35)</f>
        <v>1290.35</v>
      </c>
      <c r="F22" s="6">
        <f>IFERROR(__xludf.DUMMYFUNCTION("""COMPUTED_VALUE"""),2879409.0)</f>
        <v>2879409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IFERROR(__xludf.DUMMYFUNCTION("""COMPUTED_VALUE"""),1290.35)</f>
        <v>1290.35</v>
      </c>
      <c r="C23" s="6">
        <f>IFERROR(__xludf.DUMMYFUNCTION("""COMPUTED_VALUE"""),1343.75)</f>
        <v>1343.75</v>
      </c>
      <c r="D23" s="6">
        <f>IFERROR(__xludf.DUMMYFUNCTION("""COMPUTED_VALUE"""),1287.45)</f>
        <v>1287.45</v>
      </c>
      <c r="E23" s="6">
        <f>IFERROR(__xludf.DUMMYFUNCTION("""COMPUTED_VALUE"""),1341.3)</f>
        <v>1341.3</v>
      </c>
      <c r="F23" s="6">
        <f>IFERROR(__xludf.DUMMYFUNCTION("""COMPUTED_VALUE"""),4579833.0)</f>
        <v>4579833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IFERROR(__xludf.DUMMYFUNCTION("""COMPUTED_VALUE"""),1350.0)</f>
        <v>1350</v>
      </c>
      <c r="C24" s="6">
        <f>IFERROR(__xludf.DUMMYFUNCTION("""COMPUTED_VALUE"""),1357.8)</f>
        <v>1357.8</v>
      </c>
      <c r="D24" s="6">
        <f>IFERROR(__xludf.DUMMYFUNCTION("""COMPUTED_VALUE"""),1326.65)</f>
        <v>1326.65</v>
      </c>
      <c r="E24" s="6">
        <f>IFERROR(__xludf.DUMMYFUNCTION("""COMPUTED_VALUE"""),1346.9)</f>
        <v>1346.9</v>
      </c>
      <c r="F24" s="6">
        <f>IFERROR(__xludf.DUMMYFUNCTION("""COMPUTED_VALUE"""),4247847.0)</f>
        <v>4247847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IFERROR(__xludf.DUMMYFUNCTION("""COMPUTED_VALUE"""),1345.0)</f>
        <v>1345</v>
      </c>
      <c r="C25" s="6">
        <f>IFERROR(__xludf.DUMMYFUNCTION("""COMPUTED_VALUE"""),1401.0)</f>
        <v>1401</v>
      </c>
      <c r="D25" s="6">
        <f>IFERROR(__xludf.DUMMYFUNCTION("""COMPUTED_VALUE"""),1315.05)</f>
        <v>1315.05</v>
      </c>
      <c r="E25" s="6">
        <f>IFERROR(__xludf.DUMMYFUNCTION("""COMPUTED_VALUE"""),1399.1)</f>
        <v>1399.1</v>
      </c>
      <c r="F25" s="6">
        <f>IFERROR(__xludf.DUMMYFUNCTION("""COMPUTED_VALUE"""),3562808.0)</f>
        <v>3562808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IFERROR(__xludf.DUMMYFUNCTION("""COMPUTED_VALUE"""),1401.05)</f>
        <v>1401.05</v>
      </c>
      <c r="C26" s="6">
        <f>IFERROR(__xludf.DUMMYFUNCTION("""COMPUTED_VALUE"""),1438.8)</f>
        <v>1438.8</v>
      </c>
      <c r="D26" s="6">
        <f>IFERROR(__xludf.DUMMYFUNCTION("""COMPUTED_VALUE"""),1392.05)</f>
        <v>1392.05</v>
      </c>
      <c r="E26" s="6">
        <f>IFERROR(__xludf.DUMMYFUNCTION("""COMPUTED_VALUE"""),1429.5)</f>
        <v>1429.5</v>
      </c>
      <c r="F26" s="6">
        <f>IFERROR(__xludf.DUMMYFUNCTION("""COMPUTED_VALUE"""),4460273.0)</f>
        <v>4460273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IFERROR(__xludf.DUMMYFUNCTION("""COMPUTED_VALUE"""),1588.0)</f>
        <v>1588</v>
      </c>
      <c r="C27" s="6">
        <f>IFERROR(__xludf.DUMMYFUNCTION("""COMPUTED_VALUE"""),1588.0)</f>
        <v>1588</v>
      </c>
      <c r="D27" s="6">
        <f>IFERROR(__xludf.DUMMYFUNCTION("""COMPUTED_VALUE"""),1508.0)</f>
        <v>1508</v>
      </c>
      <c r="E27" s="6">
        <f>IFERROR(__xludf.DUMMYFUNCTION("""COMPUTED_VALUE"""),1543.15)</f>
        <v>1543.15</v>
      </c>
      <c r="F27" s="6">
        <f>IFERROR(__xludf.DUMMYFUNCTION("""COMPUTED_VALUE"""),5757659.0)</f>
        <v>5757659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IFERROR(__xludf.DUMMYFUNCTION("""COMPUTED_VALUE"""),1543.15)</f>
        <v>1543.15</v>
      </c>
      <c r="C28" s="6">
        <f>IFERROR(__xludf.DUMMYFUNCTION("""COMPUTED_VALUE"""),1561.35)</f>
        <v>1561.35</v>
      </c>
      <c r="D28" s="6">
        <f>IFERROR(__xludf.DUMMYFUNCTION("""COMPUTED_VALUE"""),1458.05)</f>
        <v>1458.05</v>
      </c>
      <c r="E28" s="6">
        <f>IFERROR(__xludf.DUMMYFUNCTION("""COMPUTED_VALUE"""),1482.3)</f>
        <v>1482.3</v>
      </c>
      <c r="F28" s="6">
        <f>IFERROR(__xludf.DUMMYFUNCTION("""COMPUTED_VALUE"""),4841913.0)</f>
        <v>4841913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IFERROR(__xludf.DUMMYFUNCTION("""COMPUTED_VALUE"""),1482.35)</f>
        <v>1482.35</v>
      </c>
      <c r="C29" s="6">
        <f>IFERROR(__xludf.DUMMYFUNCTION("""COMPUTED_VALUE"""),1505.6)</f>
        <v>1505.6</v>
      </c>
      <c r="D29" s="6">
        <f>IFERROR(__xludf.DUMMYFUNCTION("""COMPUTED_VALUE"""),1435.05)</f>
        <v>1435.05</v>
      </c>
      <c r="E29" s="6">
        <f>IFERROR(__xludf.DUMMYFUNCTION("""COMPUTED_VALUE"""),1469.25)</f>
        <v>1469.25</v>
      </c>
      <c r="F29" s="6">
        <f>IFERROR(__xludf.DUMMYFUNCTION("""COMPUTED_VALUE"""),2293433.0)</f>
        <v>2293433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IFERROR(__xludf.DUMMYFUNCTION("""COMPUTED_VALUE"""),1450.0)</f>
        <v>1450</v>
      </c>
      <c r="C30" s="6">
        <f>IFERROR(__xludf.DUMMYFUNCTION("""COMPUTED_VALUE"""),1525.0)</f>
        <v>1525</v>
      </c>
      <c r="D30" s="6">
        <f>IFERROR(__xludf.DUMMYFUNCTION("""COMPUTED_VALUE"""),1449.0)</f>
        <v>1449</v>
      </c>
      <c r="E30" s="6">
        <f>IFERROR(__xludf.DUMMYFUNCTION("""COMPUTED_VALUE"""),1515.0)</f>
        <v>1515</v>
      </c>
      <c r="F30" s="6">
        <f>IFERROR(__xludf.DUMMYFUNCTION("""COMPUTED_VALUE"""),2661360.0)</f>
        <v>2661360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IFERROR(__xludf.DUMMYFUNCTION("""COMPUTED_VALUE"""),1529.0)</f>
        <v>1529</v>
      </c>
      <c r="C31" s="6">
        <f>IFERROR(__xludf.DUMMYFUNCTION("""COMPUTED_VALUE"""),1561.9)</f>
        <v>1561.9</v>
      </c>
      <c r="D31" s="6">
        <f>IFERROR(__xludf.DUMMYFUNCTION("""COMPUTED_VALUE"""),1510.75)</f>
        <v>1510.75</v>
      </c>
      <c r="E31" s="6">
        <f>IFERROR(__xludf.DUMMYFUNCTION("""COMPUTED_VALUE"""),1550.1)</f>
        <v>1550.1</v>
      </c>
      <c r="F31" s="6">
        <f>IFERROR(__xludf.DUMMYFUNCTION("""COMPUTED_VALUE"""),6964557.0)</f>
        <v>6964557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IFERROR(__xludf.DUMMYFUNCTION("""COMPUTED_VALUE"""),1563.0)</f>
        <v>1563</v>
      </c>
      <c r="C32" s="6">
        <f>IFERROR(__xludf.DUMMYFUNCTION("""COMPUTED_VALUE"""),1582.0)</f>
        <v>1582</v>
      </c>
      <c r="D32" s="6">
        <f>IFERROR(__xludf.DUMMYFUNCTION("""COMPUTED_VALUE"""),1488.35)</f>
        <v>1488.35</v>
      </c>
      <c r="E32" s="6">
        <f>IFERROR(__xludf.DUMMYFUNCTION("""COMPUTED_VALUE"""),1510.65)</f>
        <v>1510.65</v>
      </c>
      <c r="F32" s="6">
        <f>IFERROR(__xludf.DUMMYFUNCTION("""COMPUTED_VALUE"""),5765619.0)</f>
        <v>5765619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IFERROR(__xludf.DUMMYFUNCTION("""COMPUTED_VALUE"""),1490.0)</f>
        <v>1490</v>
      </c>
      <c r="C33" s="6">
        <f>IFERROR(__xludf.DUMMYFUNCTION("""COMPUTED_VALUE"""),1530.0)</f>
        <v>1530</v>
      </c>
      <c r="D33" s="6">
        <f>IFERROR(__xludf.DUMMYFUNCTION("""COMPUTED_VALUE"""),1453.95)</f>
        <v>1453.95</v>
      </c>
      <c r="E33" s="6">
        <f>IFERROR(__xludf.DUMMYFUNCTION("""COMPUTED_VALUE"""),1501.7)</f>
        <v>1501.7</v>
      </c>
      <c r="F33" s="6">
        <f>IFERROR(__xludf.DUMMYFUNCTION("""COMPUTED_VALUE"""),4232594.0)</f>
        <v>4232594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IFERROR(__xludf.DUMMYFUNCTION("""COMPUTED_VALUE"""),1517.05)</f>
        <v>1517.05</v>
      </c>
      <c r="C34" s="6">
        <f>IFERROR(__xludf.DUMMYFUNCTION("""COMPUTED_VALUE"""),1652.7)</f>
        <v>1652.7</v>
      </c>
      <c r="D34" s="6">
        <f>IFERROR(__xludf.DUMMYFUNCTION("""COMPUTED_VALUE"""),1507.0)</f>
        <v>1507</v>
      </c>
      <c r="E34" s="6">
        <f>IFERROR(__xludf.DUMMYFUNCTION("""COMPUTED_VALUE"""),1640.05)</f>
        <v>1640.05</v>
      </c>
      <c r="F34" s="6">
        <f>IFERROR(__xludf.DUMMYFUNCTION("""COMPUTED_VALUE"""),8990889.0)</f>
        <v>8990889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IFERROR(__xludf.DUMMYFUNCTION("""COMPUTED_VALUE"""),1656.5)</f>
        <v>1656.5</v>
      </c>
      <c r="C35" s="6">
        <f>IFERROR(__xludf.DUMMYFUNCTION("""COMPUTED_VALUE"""),1706.85)</f>
        <v>1706.85</v>
      </c>
      <c r="D35" s="6">
        <f>IFERROR(__xludf.DUMMYFUNCTION("""COMPUTED_VALUE"""),1625.5)</f>
        <v>1625.5</v>
      </c>
      <c r="E35" s="6">
        <f>IFERROR(__xludf.DUMMYFUNCTION("""COMPUTED_VALUE"""),1663.55)</f>
        <v>1663.55</v>
      </c>
      <c r="F35" s="6">
        <f>IFERROR(__xludf.DUMMYFUNCTION("""COMPUTED_VALUE"""),8383416.0)</f>
        <v>8383416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IFERROR(__xludf.DUMMYFUNCTION("""COMPUTED_VALUE"""),1669.95)</f>
        <v>1669.95</v>
      </c>
      <c r="C36" s="6">
        <f>IFERROR(__xludf.DUMMYFUNCTION("""COMPUTED_VALUE"""),1705.0)</f>
        <v>1705</v>
      </c>
      <c r="D36" s="6">
        <f>IFERROR(__xludf.DUMMYFUNCTION("""COMPUTED_VALUE"""),1656.2)</f>
        <v>1656.2</v>
      </c>
      <c r="E36" s="6">
        <f>IFERROR(__xludf.DUMMYFUNCTION("""COMPUTED_VALUE"""),1686.75)</f>
        <v>1686.75</v>
      </c>
      <c r="F36" s="6">
        <f>IFERROR(__xludf.DUMMYFUNCTION("""COMPUTED_VALUE"""),6602831.0)</f>
        <v>6602831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IFERROR(__xludf.DUMMYFUNCTION("""COMPUTED_VALUE"""),1825.0)</f>
        <v>1825</v>
      </c>
      <c r="C37" s="6">
        <f>IFERROR(__xludf.DUMMYFUNCTION("""COMPUTED_VALUE"""),1925.0)</f>
        <v>1925</v>
      </c>
      <c r="D37" s="6">
        <f>IFERROR(__xludf.DUMMYFUNCTION("""COMPUTED_VALUE"""),1822.8)</f>
        <v>1822.8</v>
      </c>
      <c r="E37" s="6">
        <f>IFERROR(__xludf.DUMMYFUNCTION("""COMPUTED_VALUE"""),1889.85)</f>
        <v>1889.85</v>
      </c>
      <c r="F37" s="6">
        <f>IFERROR(__xludf.DUMMYFUNCTION("""COMPUTED_VALUE"""),6118587.0)</f>
        <v>6118587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IFERROR(__xludf.DUMMYFUNCTION("""COMPUTED_VALUE"""),1899.0)</f>
        <v>1899</v>
      </c>
      <c r="C38" s="6">
        <f>IFERROR(__xludf.DUMMYFUNCTION("""COMPUTED_VALUE"""),1950.05)</f>
        <v>1950.05</v>
      </c>
      <c r="D38" s="6">
        <f>IFERROR(__xludf.DUMMYFUNCTION("""COMPUTED_VALUE"""),1854.4)</f>
        <v>1854.4</v>
      </c>
      <c r="E38" s="6">
        <f>IFERROR(__xludf.DUMMYFUNCTION("""COMPUTED_VALUE"""),1907.3)</f>
        <v>1907.3</v>
      </c>
      <c r="F38" s="6">
        <f>IFERROR(__xludf.DUMMYFUNCTION("""COMPUTED_VALUE"""),6849098.0)</f>
        <v>6849098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IFERROR(__xludf.DUMMYFUNCTION("""COMPUTED_VALUE"""),1980.0)</f>
        <v>1980</v>
      </c>
      <c r="C39" s="6">
        <f>IFERROR(__xludf.DUMMYFUNCTION("""COMPUTED_VALUE"""),1985.4)</f>
        <v>1985.4</v>
      </c>
      <c r="D39" s="6">
        <f>IFERROR(__xludf.DUMMYFUNCTION("""COMPUTED_VALUE"""),1711.25)</f>
        <v>1711.25</v>
      </c>
      <c r="E39" s="6">
        <f>IFERROR(__xludf.DUMMYFUNCTION("""COMPUTED_VALUE"""),1855.35)</f>
        <v>1855.35</v>
      </c>
      <c r="F39" s="6">
        <f>IFERROR(__xludf.DUMMYFUNCTION("""COMPUTED_VALUE"""),8104213.0)</f>
        <v>8104213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IFERROR(__xludf.DUMMYFUNCTION("""COMPUTED_VALUE"""),1860.0)</f>
        <v>1860</v>
      </c>
      <c r="C40" s="6">
        <f>IFERROR(__xludf.DUMMYFUNCTION("""COMPUTED_VALUE"""),1885.9)</f>
        <v>1885.9</v>
      </c>
      <c r="D40" s="6">
        <f>IFERROR(__xludf.DUMMYFUNCTION("""COMPUTED_VALUE"""),1820.0)</f>
        <v>1820</v>
      </c>
      <c r="E40" s="6">
        <f>IFERROR(__xludf.DUMMYFUNCTION("""COMPUTED_VALUE"""),1839.5)</f>
        <v>1839.5</v>
      </c>
      <c r="F40" s="6">
        <f>IFERROR(__xludf.DUMMYFUNCTION("""COMPUTED_VALUE"""),7100772.0)</f>
        <v>7100772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IFERROR(__xludf.DUMMYFUNCTION("""COMPUTED_VALUE"""),1831.5)</f>
        <v>1831.5</v>
      </c>
      <c r="C41" s="6">
        <f>IFERROR(__xludf.DUMMYFUNCTION("""COMPUTED_VALUE"""),1924.9)</f>
        <v>1924.9</v>
      </c>
      <c r="D41" s="6">
        <f>IFERROR(__xludf.DUMMYFUNCTION("""COMPUTED_VALUE"""),1805.65)</f>
        <v>1805.65</v>
      </c>
      <c r="E41" s="6">
        <f>IFERROR(__xludf.DUMMYFUNCTION("""COMPUTED_VALUE"""),1887.05)</f>
        <v>1887.05</v>
      </c>
      <c r="F41" s="6">
        <f>IFERROR(__xludf.DUMMYFUNCTION("""COMPUTED_VALUE"""),9415516.0)</f>
        <v>9415516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IFERROR(__xludf.DUMMYFUNCTION("""COMPUTED_VALUE"""),1891.0)</f>
        <v>1891</v>
      </c>
      <c r="C42" s="6">
        <f>IFERROR(__xludf.DUMMYFUNCTION("""COMPUTED_VALUE"""),1968.95)</f>
        <v>1968.95</v>
      </c>
      <c r="D42" s="6">
        <f>IFERROR(__xludf.DUMMYFUNCTION("""COMPUTED_VALUE"""),1812.6)</f>
        <v>1812.6</v>
      </c>
      <c r="E42" s="6">
        <f>IFERROR(__xludf.DUMMYFUNCTION("""COMPUTED_VALUE"""),1822.4)</f>
        <v>1822.4</v>
      </c>
      <c r="F42" s="6">
        <f>IFERROR(__xludf.DUMMYFUNCTION("""COMPUTED_VALUE"""),9337475.0)</f>
        <v>9337475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IFERROR(__xludf.DUMMYFUNCTION("""COMPUTED_VALUE"""),1821.55)</f>
        <v>1821.55</v>
      </c>
      <c r="C43" s="6">
        <f>IFERROR(__xludf.DUMMYFUNCTION("""COMPUTED_VALUE"""),1908.9)</f>
        <v>1908.9</v>
      </c>
      <c r="D43" s="6">
        <f>IFERROR(__xludf.DUMMYFUNCTION("""COMPUTED_VALUE"""),1806.75)</f>
        <v>1806.75</v>
      </c>
      <c r="E43" s="6">
        <f>IFERROR(__xludf.DUMMYFUNCTION("""COMPUTED_VALUE"""),1893.65)</f>
        <v>1893.65</v>
      </c>
      <c r="F43" s="6">
        <f>IFERROR(__xludf.DUMMYFUNCTION("""COMPUTED_VALUE"""),5684802.0)</f>
        <v>5684802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IFERROR(__xludf.DUMMYFUNCTION("""COMPUTED_VALUE"""),1904.8)</f>
        <v>1904.8</v>
      </c>
      <c r="C44" s="6">
        <f>IFERROR(__xludf.DUMMYFUNCTION("""COMPUTED_VALUE"""),1949.7)</f>
        <v>1949.7</v>
      </c>
      <c r="D44" s="6">
        <f>IFERROR(__xludf.DUMMYFUNCTION("""COMPUTED_VALUE"""),1866.0)</f>
        <v>1866</v>
      </c>
      <c r="E44" s="6">
        <f>IFERROR(__xludf.DUMMYFUNCTION("""COMPUTED_VALUE"""),1908.45)</f>
        <v>1908.45</v>
      </c>
      <c r="F44" s="6">
        <f>IFERROR(__xludf.DUMMYFUNCTION("""COMPUTED_VALUE"""),3533326.0)</f>
        <v>3533326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IFERROR(__xludf.DUMMYFUNCTION("""COMPUTED_VALUE"""),1913.0)</f>
        <v>1913</v>
      </c>
      <c r="C45" s="6">
        <f>IFERROR(__xludf.DUMMYFUNCTION("""COMPUTED_VALUE"""),1939.1)</f>
        <v>1939.1</v>
      </c>
      <c r="D45" s="6">
        <f>IFERROR(__xludf.DUMMYFUNCTION("""COMPUTED_VALUE"""),1765.0)</f>
        <v>1765</v>
      </c>
      <c r="E45" s="6">
        <f>IFERROR(__xludf.DUMMYFUNCTION("""COMPUTED_VALUE"""),1768.5)</f>
        <v>1768.5</v>
      </c>
      <c r="F45" s="6">
        <f>IFERROR(__xludf.DUMMYFUNCTION("""COMPUTED_VALUE"""),7069149.0)</f>
        <v>7069149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IFERROR(__xludf.DUMMYFUNCTION("""COMPUTED_VALUE"""),1768.0)</f>
        <v>1768</v>
      </c>
      <c r="C46" s="6">
        <f>IFERROR(__xludf.DUMMYFUNCTION("""COMPUTED_VALUE"""),1856.8)</f>
        <v>1856.8</v>
      </c>
      <c r="D46" s="6">
        <f>IFERROR(__xludf.DUMMYFUNCTION("""COMPUTED_VALUE"""),1687.55)</f>
        <v>1687.55</v>
      </c>
      <c r="E46" s="6">
        <f>IFERROR(__xludf.DUMMYFUNCTION("""COMPUTED_VALUE"""),1838.65)</f>
        <v>1838.65</v>
      </c>
      <c r="F46" s="6">
        <f>IFERROR(__xludf.DUMMYFUNCTION("""COMPUTED_VALUE"""),6037489.0)</f>
        <v>6037489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IFERROR(__xludf.DUMMYFUNCTION("""COMPUTED_VALUE"""),1855.0)</f>
        <v>1855</v>
      </c>
      <c r="C47" s="6">
        <f>IFERROR(__xludf.DUMMYFUNCTION("""COMPUTED_VALUE"""),1865.0)</f>
        <v>1865</v>
      </c>
      <c r="D47" s="6">
        <f>IFERROR(__xludf.DUMMYFUNCTION("""COMPUTED_VALUE"""),1807.4)</f>
        <v>1807.4</v>
      </c>
      <c r="E47" s="6">
        <f>IFERROR(__xludf.DUMMYFUNCTION("""COMPUTED_VALUE"""),1819.5)</f>
        <v>1819.5</v>
      </c>
      <c r="F47" s="6">
        <f>IFERROR(__xludf.DUMMYFUNCTION("""COMPUTED_VALUE"""),3720546.0)</f>
        <v>3720546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IFERROR(__xludf.DUMMYFUNCTION("""COMPUTED_VALUE"""),1765.1)</f>
        <v>1765.1</v>
      </c>
      <c r="C48" s="6">
        <f>IFERROR(__xludf.DUMMYFUNCTION("""COMPUTED_VALUE"""),1832.9)</f>
        <v>1832.9</v>
      </c>
      <c r="D48" s="6">
        <f>IFERROR(__xludf.DUMMYFUNCTION("""COMPUTED_VALUE"""),1765.1)</f>
        <v>1765.1</v>
      </c>
      <c r="E48" s="6">
        <f>IFERROR(__xludf.DUMMYFUNCTION("""COMPUTED_VALUE"""),1799.4)</f>
        <v>1799.4</v>
      </c>
      <c r="F48" s="6">
        <f>IFERROR(__xludf.DUMMYFUNCTION("""COMPUTED_VALUE"""),3579610.0)</f>
        <v>3579610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IFERROR(__xludf.DUMMYFUNCTION("""COMPUTED_VALUE"""),1791.0)</f>
        <v>1791</v>
      </c>
      <c r="C49" s="6">
        <f>IFERROR(__xludf.DUMMYFUNCTION("""COMPUTED_VALUE"""),1890.9)</f>
        <v>1890.9</v>
      </c>
      <c r="D49" s="6">
        <f>IFERROR(__xludf.DUMMYFUNCTION("""COMPUTED_VALUE"""),1790.55)</f>
        <v>1790.55</v>
      </c>
      <c r="E49" s="6">
        <f>IFERROR(__xludf.DUMMYFUNCTION("""COMPUTED_VALUE"""),1876.45)</f>
        <v>1876.45</v>
      </c>
      <c r="F49" s="6">
        <f>IFERROR(__xludf.DUMMYFUNCTION("""COMPUTED_VALUE"""),3698654.0)</f>
        <v>3698654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IFERROR(__xludf.DUMMYFUNCTION("""COMPUTED_VALUE"""),1886.0)</f>
        <v>1886</v>
      </c>
      <c r="C50" s="6">
        <f>IFERROR(__xludf.DUMMYFUNCTION("""COMPUTED_VALUE"""),1925.0)</f>
        <v>1925</v>
      </c>
      <c r="D50" s="6">
        <f>IFERROR(__xludf.DUMMYFUNCTION("""COMPUTED_VALUE"""),1866.0)</f>
        <v>1866</v>
      </c>
      <c r="E50" s="6">
        <f>IFERROR(__xludf.DUMMYFUNCTION("""COMPUTED_VALUE"""),1884.65)</f>
        <v>1884.65</v>
      </c>
      <c r="F50" s="6">
        <f>IFERROR(__xludf.DUMMYFUNCTION("""COMPUTED_VALUE"""),3846666.0)</f>
        <v>3846666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IFERROR(__xludf.DUMMYFUNCTION("""COMPUTED_VALUE"""),1882.1)</f>
        <v>1882.1</v>
      </c>
      <c r="C51" s="6">
        <f>IFERROR(__xludf.DUMMYFUNCTION("""COMPUTED_VALUE"""),1957.45)</f>
        <v>1957.45</v>
      </c>
      <c r="D51" s="6">
        <f>IFERROR(__xludf.DUMMYFUNCTION("""COMPUTED_VALUE"""),1863.55)</f>
        <v>1863.55</v>
      </c>
      <c r="E51" s="6">
        <f>IFERROR(__xludf.DUMMYFUNCTION("""COMPUTED_VALUE"""),1899.35)</f>
        <v>1899.35</v>
      </c>
      <c r="F51" s="6">
        <f>IFERROR(__xludf.DUMMYFUNCTION("""COMPUTED_VALUE"""),4577526.0)</f>
        <v>4577526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IFERROR(__xludf.DUMMYFUNCTION("""COMPUTED_VALUE"""),1920.0)</f>
        <v>1920</v>
      </c>
      <c r="C52" s="6">
        <f>IFERROR(__xludf.DUMMYFUNCTION("""COMPUTED_VALUE"""),1920.0)</f>
        <v>1920</v>
      </c>
      <c r="D52" s="6">
        <f>IFERROR(__xludf.DUMMYFUNCTION("""COMPUTED_VALUE"""),1860.0)</f>
        <v>1860</v>
      </c>
      <c r="E52" s="6">
        <f>IFERROR(__xludf.DUMMYFUNCTION("""COMPUTED_VALUE"""),1872.35)</f>
        <v>1872.35</v>
      </c>
      <c r="F52" s="6">
        <f>IFERROR(__xludf.DUMMYFUNCTION("""COMPUTED_VALUE"""),3164421.0)</f>
        <v>3164421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IFERROR(__xludf.DUMMYFUNCTION("""COMPUTED_VALUE"""),1872.35)</f>
        <v>1872.35</v>
      </c>
      <c r="C53" s="6">
        <f>IFERROR(__xludf.DUMMYFUNCTION("""COMPUTED_VALUE"""),2023.0)</f>
        <v>2023</v>
      </c>
      <c r="D53" s="6">
        <f>IFERROR(__xludf.DUMMYFUNCTION("""COMPUTED_VALUE"""),1859.05)</f>
        <v>1859.05</v>
      </c>
      <c r="E53" s="6">
        <f>IFERROR(__xludf.DUMMYFUNCTION("""COMPUTED_VALUE"""),1988.05)</f>
        <v>1988.05</v>
      </c>
      <c r="F53" s="6">
        <f>IFERROR(__xludf.DUMMYFUNCTION("""COMPUTED_VALUE"""),5905811.0)</f>
        <v>5905811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IFERROR(__xludf.DUMMYFUNCTION("""COMPUTED_VALUE"""),1987.75)</f>
        <v>1987.75</v>
      </c>
      <c r="C54" s="6">
        <f>IFERROR(__xludf.DUMMYFUNCTION("""COMPUTED_VALUE"""),2058.85)</f>
        <v>2058.85</v>
      </c>
      <c r="D54" s="6">
        <f>IFERROR(__xludf.DUMMYFUNCTION("""COMPUTED_VALUE"""),1967.6)</f>
        <v>1967.6</v>
      </c>
      <c r="E54" s="6">
        <f>IFERROR(__xludf.DUMMYFUNCTION("""COMPUTED_VALUE"""),2048.1)</f>
        <v>2048.1</v>
      </c>
      <c r="F54" s="6">
        <f>IFERROR(__xludf.DUMMYFUNCTION("""COMPUTED_VALUE"""),3466026.0)</f>
        <v>3466026</v>
      </c>
    </row>
    <row r="55">
      <c r="A55" s="7">
        <f>IFERROR(__xludf.DUMMYFUNCTION("""COMPUTED_VALUE"""),45562.64583333333)</f>
        <v>45562.64583</v>
      </c>
      <c r="B55" s="6">
        <f>IFERROR(__xludf.DUMMYFUNCTION("""COMPUTED_VALUE"""),2057.0)</f>
        <v>2057</v>
      </c>
      <c r="C55" s="6">
        <f>IFERROR(__xludf.DUMMYFUNCTION("""COMPUTED_VALUE"""),2106.0)</f>
        <v>2106</v>
      </c>
      <c r="D55" s="6">
        <f>IFERROR(__xludf.DUMMYFUNCTION("""COMPUTED_VALUE"""),1991.85)</f>
        <v>1991.85</v>
      </c>
      <c r="E55" s="6">
        <f>IFERROR(__xludf.DUMMYFUNCTION("""COMPUTED_VALUE"""),2031.3)</f>
        <v>2031.3</v>
      </c>
      <c r="F55" s="6">
        <f>IFERROR(__xludf.DUMMYFUNCTION("""COMPUTED_VALUE"""),5639713.0)</f>
        <v>5639713</v>
      </c>
    </row>
    <row r="56">
      <c r="A56" s="7">
        <f>IFERROR(__xludf.DUMMYFUNCTION("""COMPUTED_VALUE"""),45569.64583333333)</f>
        <v>45569.64583</v>
      </c>
      <c r="B56" s="6">
        <f>IFERROR(__xludf.DUMMYFUNCTION("""COMPUTED_VALUE"""),2035.0)</f>
        <v>2035</v>
      </c>
      <c r="C56" s="6">
        <f>IFERROR(__xludf.DUMMYFUNCTION("""COMPUTED_VALUE"""),2065.4)</f>
        <v>2065.4</v>
      </c>
      <c r="D56" s="6">
        <f>IFERROR(__xludf.DUMMYFUNCTION("""COMPUTED_VALUE"""),1919.55)</f>
        <v>1919.55</v>
      </c>
      <c r="E56" s="6">
        <f>IFERROR(__xludf.DUMMYFUNCTION("""COMPUTED_VALUE"""),1934.45)</f>
        <v>1934.45</v>
      </c>
      <c r="F56" s="6">
        <f>IFERROR(__xludf.DUMMYFUNCTION("""COMPUTED_VALUE"""),4317774.0)</f>
        <v>4317774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IFERROR(__xludf.DUMMYFUNCTION("""COMPUTED_VALUE"""),1944.0)</f>
        <v>1944</v>
      </c>
      <c r="C57" s="6">
        <f>IFERROR(__xludf.DUMMYFUNCTION("""COMPUTED_VALUE"""),1971.8)</f>
        <v>1971.8</v>
      </c>
      <c r="D57" s="6">
        <f>IFERROR(__xludf.DUMMYFUNCTION("""COMPUTED_VALUE"""),1900.95)</f>
        <v>1900.95</v>
      </c>
      <c r="E57" s="6">
        <f>IFERROR(__xludf.DUMMYFUNCTION("""COMPUTED_VALUE"""),1938.5)</f>
        <v>1938.5</v>
      </c>
      <c r="F57" s="6">
        <f>IFERROR(__xludf.DUMMYFUNCTION("""COMPUTED_VALUE"""),3947476.0)</f>
        <v>3947476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IFERROR(__xludf.DUMMYFUNCTION("""COMPUTED_VALUE"""),1939.15)</f>
        <v>1939.15</v>
      </c>
      <c r="C58" s="6">
        <f>IFERROR(__xludf.DUMMYFUNCTION("""COMPUTED_VALUE"""),1970.0)</f>
        <v>1970</v>
      </c>
      <c r="D58" s="6">
        <f>IFERROR(__xludf.DUMMYFUNCTION("""COMPUTED_VALUE"""),1763.65)</f>
        <v>1763.65</v>
      </c>
      <c r="E58" s="6">
        <f>IFERROR(__xludf.DUMMYFUNCTION("""COMPUTED_VALUE"""),1849.7)</f>
        <v>1849.7</v>
      </c>
      <c r="F58" s="6">
        <f>IFERROR(__xludf.DUMMYFUNCTION("""COMPUTED_VALUE"""),7417787.0)</f>
        <v>7417787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IFERROR(__xludf.DUMMYFUNCTION("""COMPUTED_VALUE"""),1855.0)</f>
        <v>1855</v>
      </c>
      <c r="C59" s="6">
        <f>IFERROR(__xludf.DUMMYFUNCTION("""COMPUTED_VALUE"""),1865.0)</f>
        <v>1865</v>
      </c>
      <c r="D59" s="6">
        <f>IFERROR(__xludf.DUMMYFUNCTION("""COMPUTED_VALUE"""),1677.1)</f>
        <v>1677.1</v>
      </c>
      <c r="E59" s="6">
        <f>IFERROR(__xludf.DUMMYFUNCTION("""COMPUTED_VALUE"""),1694.95)</f>
        <v>1694.95</v>
      </c>
      <c r="F59" s="6">
        <f>IFERROR(__xludf.DUMMYFUNCTION("""COMPUTED_VALUE"""),5727488.0)</f>
        <v>5727488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IFERROR(__xludf.DUMMYFUNCTION("""COMPUTED_VALUE"""),1652.9)</f>
        <v>1652.9</v>
      </c>
      <c r="C60" s="6">
        <f>IFERROR(__xludf.DUMMYFUNCTION("""COMPUTED_VALUE"""),1700.05)</f>
        <v>1700.05</v>
      </c>
      <c r="D60" s="6">
        <f>IFERROR(__xludf.DUMMYFUNCTION("""COMPUTED_VALUE"""),1590.0)</f>
        <v>1590</v>
      </c>
      <c r="E60" s="6">
        <f>IFERROR(__xludf.DUMMYFUNCTION("""COMPUTED_VALUE"""),1660.65)</f>
        <v>1660.65</v>
      </c>
      <c r="F60" s="6">
        <f>IFERROR(__xludf.DUMMYFUNCTION("""COMPUTED_VALUE"""),4714489.0)</f>
        <v>4714489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IFERROR(__xludf.DUMMYFUNCTION("""COMPUTED_VALUE"""),1655.0)</f>
        <v>1655</v>
      </c>
      <c r="C61" s="6">
        <f>IFERROR(__xludf.DUMMYFUNCTION("""COMPUTED_VALUE"""),1665.55)</f>
        <v>1665.55</v>
      </c>
      <c r="D61" s="6">
        <f>IFERROR(__xludf.DUMMYFUNCTION("""COMPUTED_VALUE"""),1586.75)</f>
        <v>1586.75</v>
      </c>
      <c r="E61" s="6">
        <f>IFERROR(__xludf.DUMMYFUNCTION("""COMPUTED_VALUE"""),1618.85)</f>
        <v>1618.85</v>
      </c>
      <c r="F61" s="6">
        <f>IFERROR(__xludf.DUMMYFUNCTION("""COMPUTED_VALUE"""),2491172.0)</f>
        <v>2491172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IFERROR(__xludf.DUMMYFUNCTION("""COMPUTED_VALUE"""),1619.0)</f>
        <v>1619</v>
      </c>
      <c r="C62" s="6">
        <f>IFERROR(__xludf.DUMMYFUNCTION("""COMPUTED_VALUE"""),1676.0)</f>
        <v>1676</v>
      </c>
      <c r="D62" s="6">
        <f>IFERROR(__xludf.DUMMYFUNCTION("""COMPUTED_VALUE"""),1601.7)</f>
        <v>1601.7</v>
      </c>
      <c r="E62" s="6">
        <f>IFERROR(__xludf.DUMMYFUNCTION("""COMPUTED_VALUE"""),1665.8)</f>
        <v>1665.8</v>
      </c>
      <c r="F62" s="6">
        <f>IFERROR(__xludf.DUMMYFUNCTION("""COMPUTED_VALUE"""),2513820.0)</f>
        <v>2513820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IFERROR(__xludf.DUMMYFUNCTION("""COMPUTED_VALUE"""),1689.9)</f>
        <v>1689.9</v>
      </c>
      <c r="C63" s="6">
        <f>IFERROR(__xludf.DUMMYFUNCTION("""COMPUTED_VALUE"""),1742.4)</f>
        <v>1742.4</v>
      </c>
      <c r="D63" s="6">
        <f>IFERROR(__xludf.DUMMYFUNCTION("""COMPUTED_VALUE"""),1686.7)</f>
        <v>1686.7</v>
      </c>
      <c r="E63" s="6">
        <f>IFERROR(__xludf.DUMMYFUNCTION("""COMPUTED_VALUE"""),1718.0)</f>
        <v>1718</v>
      </c>
      <c r="F63" s="6">
        <f>IFERROR(__xludf.DUMMYFUNCTION("""COMPUTED_VALUE"""),5938373.0)</f>
        <v>5938373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IFERROR(__xludf.DUMMYFUNCTION("""COMPUTED_VALUE"""),1726.9)</f>
        <v>1726.9</v>
      </c>
      <c r="C64" s="6">
        <f>IFERROR(__xludf.DUMMYFUNCTION("""COMPUTED_VALUE"""),1772.0)</f>
        <v>1772</v>
      </c>
      <c r="D64" s="6">
        <f>IFERROR(__xludf.DUMMYFUNCTION("""COMPUTED_VALUE"""),1709.05)</f>
        <v>1709.05</v>
      </c>
      <c r="E64" s="6">
        <f>IFERROR(__xludf.DUMMYFUNCTION("""COMPUTED_VALUE"""),1738.75)</f>
        <v>1738.75</v>
      </c>
      <c r="F64" s="6">
        <f>IFERROR(__xludf.DUMMYFUNCTION("""COMPUTED_VALUE"""),3667432.0)</f>
        <v>3667432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IFERROR(__xludf.DUMMYFUNCTION("""COMPUTED_VALUE"""),1730.1)</f>
        <v>1730.1</v>
      </c>
      <c r="C65" s="6">
        <f>IFERROR(__xludf.DUMMYFUNCTION("""COMPUTED_VALUE"""),1782.65)</f>
        <v>1782.65</v>
      </c>
      <c r="D65" s="6">
        <f>IFERROR(__xludf.DUMMYFUNCTION("""COMPUTED_VALUE"""),1699.95)</f>
        <v>1699.95</v>
      </c>
      <c r="E65" s="6">
        <f>IFERROR(__xludf.DUMMYFUNCTION("""COMPUTED_VALUE"""),1757.85)</f>
        <v>1757.85</v>
      </c>
      <c r="F65" s="6">
        <f>IFERROR(__xludf.DUMMYFUNCTION("""COMPUTED_VALUE"""),4120224.0)</f>
        <v>4120224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IFERROR(__xludf.DUMMYFUNCTION("""COMPUTED_VALUE"""),1757.85)</f>
        <v>1757.85</v>
      </c>
      <c r="C66" s="6">
        <f>IFERROR(__xludf.DUMMYFUNCTION("""COMPUTED_VALUE"""),1775.0)</f>
        <v>1775</v>
      </c>
      <c r="D66" s="6">
        <f>IFERROR(__xludf.DUMMYFUNCTION("""COMPUTED_VALUE"""),1650.0)</f>
        <v>1650</v>
      </c>
      <c r="E66" s="6">
        <f>IFERROR(__xludf.DUMMYFUNCTION("""COMPUTED_VALUE"""),1657.4)</f>
        <v>1657.4</v>
      </c>
      <c r="F66" s="6">
        <f>IFERROR(__xludf.DUMMYFUNCTION("""COMPUTED_VALUE"""),3813973.0)</f>
        <v>3813973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IFERROR(__xludf.DUMMYFUNCTION("""COMPUTED_VALUE"""),1668.05)</f>
        <v>1668.05</v>
      </c>
      <c r="C67" s="6">
        <f>IFERROR(__xludf.DUMMYFUNCTION("""COMPUTED_VALUE"""),1691.0)</f>
        <v>1691</v>
      </c>
      <c r="D67" s="6">
        <f>IFERROR(__xludf.DUMMYFUNCTION("""COMPUTED_VALUE"""),1646.15)</f>
        <v>1646.15</v>
      </c>
      <c r="E67" s="6">
        <f>IFERROR(__xludf.DUMMYFUNCTION("""COMPUTED_VALUE"""),1649.9)</f>
        <v>1649.9</v>
      </c>
      <c r="F67" s="6">
        <f>IFERROR(__xludf.DUMMYFUNCTION("""COMPUTED_VALUE"""),1495604.0)</f>
        <v>1495604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IFERROR(__xludf.DUMMYFUNCTION("""COMPUTED_VALUE"""),1646.25)</f>
        <v>1646.25</v>
      </c>
      <c r="C68" s="6">
        <f>IFERROR(__xludf.DUMMYFUNCTION("""COMPUTED_VALUE"""),1721.2)</f>
        <v>1721.2</v>
      </c>
      <c r="D68" s="6">
        <f>IFERROR(__xludf.DUMMYFUNCTION("""COMPUTED_VALUE"""),1633.4)</f>
        <v>1633.4</v>
      </c>
      <c r="E68" s="6">
        <f>IFERROR(__xludf.DUMMYFUNCTION("""COMPUTED_VALUE"""),1700.0)</f>
        <v>1700</v>
      </c>
      <c r="F68" s="6">
        <f>IFERROR(__xludf.DUMMYFUNCTION("""COMPUTED_VALUE"""),4373463.0)</f>
        <v>4373463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IFERROR(__xludf.DUMMYFUNCTION("""COMPUTED_VALUE"""),1701.0)</f>
        <v>1701</v>
      </c>
      <c r="C69" s="6">
        <f>IFERROR(__xludf.DUMMYFUNCTION("""COMPUTED_VALUE"""),1704.7)</f>
        <v>1704.7</v>
      </c>
      <c r="D69" s="6">
        <f>IFERROR(__xludf.DUMMYFUNCTION("""COMPUTED_VALUE"""),1591.0)</f>
        <v>1591</v>
      </c>
      <c r="E69" s="6">
        <f>IFERROR(__xludf.DUMMYFUNCTION("""COMPUTED_VALUE"""),1600.25)</f>
        <v>1600.25</v>
      </c>
      <c r="F69" s="6">
        <f>IFERROR(__xludf.DUMMYFUNCTION("""COMPUTED_VALUE"""),3645694.0)</f>
        <v>3645694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IFERROR(__xludf.DUMMYFUNCTION("""COMPUTED_VALUE"""),1580.2)</f>
        <v>1580.2</v>
      </c>
      <c r="C70" s="6">
        <f>IFERROR(__xludf.DUMMYFUNCTION("""COMPUTED_VALUE"""),1616.25)</f>
        <v>1616.25</v>
      </c>
      <c r="D70" s="6">
        <f>IFERROR(__xludf.DUMMYFUNCTION("""COMPUTED_VALUE"""),1506.7)</f>
        <v>1506.7</v>
      </c>
      <c r="E70" s="6">
        <f>IFERROR(__xludf.DUMMYFUNCTION("""COMPUTED_VALUE"""),1574.2)</f>
        <v>1574.2</v>
      </c>
      <c r="F70" s="6">
        <f>IFERROR(__xludf.DUMMYFUNCTION("""COMPUTED_VALUE"""),1.0830549E7)</f>
        <v>10830549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IFERROR(__xludf.DUMMYFUNCTION("""COMPUTED_VALUE"""),1600.0)</f>
        <v>1600</v>
      </c>
      <c r="C71" s="6">
        <f>IFERROR(__xludf.DUMMYFUNCTION("""COMPUTED_VALUE"""),1624.95)</f>
        <v>1624.95</v>
      </c>
      <c r="D71" s="6">
        <f>IFERROR(__xludf.DUMMYFUNCTION("""COMPUTED_VALUE"""),1517.55)</f>
        <v>1517.55</v>
      </c>
      <c r="E71" s="6">
        <f>IFERROR(__xludf.DUMMYFUNCTION("""COMPUTED_VALUE"""),1523.2)</f>
        <v>1523.2</v>
      </c>
      <c r="F71" s="6">
        <f>IFERROR(__xludf.DUMMYFUNCTION("""COMPUTED_VALUE"""),5237067.0)</f>
        <v>5237067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IFERROR(__xludf.DUMMYFUNCTION("""COMPUTED_VALUE"""),1645.0)</f>
        <v>1645</v>
      </c>
      <c r="C72" s="6">
        <f>IFERROR(__xludf.DUMMYFUNCTION("""COMPUTED_VALUE"""),1712.85)</f>
        <v>1712.85</v>
      </c>
      <c r="D72" s="6">
        <f>IFERROR(__xludf.DUMMYFUNCTION("""COMPUTED_VALUE"""),1596.15)</f>
        <v>1596.15</v>
      </c>
      <c r="E72" s="6">
        <f>IFERROR(__xludf.DUMMYFUNCTION("""COMPUTED_VALUE"""),1614.1)</f>
        <v>1614.1</v>
      </c>
      <c r="F72" s="6">
        <f>IFERROR(__xludf.DUMMYFUNCTION("""COMPUTED_VALUE"""),3682133.0)</f>
        <v>3682133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IFERROR(__xludf.DUMMYFUNCTION("""COMPUTED_VALUE"""),1617.0)</f>
        <v>1617</v>
      </c>
      <c r="C73" s="6">
        <f>IFERROR(__xludf.DUMMYFUNCTION("""COMPUTED_VALUE"""),1630.0)</f>
        <v>1630</v>
      </c>
      <c r="D73" s="6">
        <f>IFERROR(__xludf.DUMMYFUNCTION("""COMPUTED_VALUE"""),1490.0)</f>
        <v>1490</v>
      </c>
      <c r="E73" s="6">
        <f>IFERROR(__xludf.DUMMYFUNCTION("""COMPUTED_VALUE"""),1498.25)</f>
        <v>1498.25</v>
      </c>
      <c r="F73" s="6">
        <f>IFERROR(__xludf.DUMMYFUNCTION("""COMPUTED_VALUE"""),2885089.0)</f>
        <v>2885089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IFERROR(__xludf.DUMMYFUNCTION("""COMPUTED_VALUE"""),1495.0)</f>
        <v>1495</v>
      </c>
      <c r="C74" s="6">
        <f>IFERROR(__xludf.DUMMYFUNCTION("""COMPUTED_VALUE"""),1545.0)</f>
        <v>1545</v>
      </c>
      <c r="D74" s="6">
        <f>IFERROR(__xludf.DUMMYFUNCTION("""COMPUTED_VALUE"""),1475.05)</f>
        <v>1475.05</v>
      </c>
      <c r="E74" s="6">
        <f>IFERROR(__xludf.DUMMYFUNCTION("""COMPUTED_VALUE"""),1520.3)</f>
        <v>1520.3</v>
      </c>
      <c r="F74" s="6">
        <f>IFERROR(__xludf.DUMMYFUNCTION("""COMPUTED_VALUE"""),3485604.0)</f>
        <v>3485604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IFERROR(__xludf.DUMMYFUNCTION("""COMPUTED_VALUE"""),1509.95)</f>
        <v>1509.95</v>
      </c>
      <c r="C75" s="6">
        <f>IFERROR(__xludf.DUMMYFUNCTION("""COMPUTED_VALUE"""),1552.65)</f>
        <v>1552.65</v>
      </c>
      <c r="D75" s="6">
        <f>IFERROR(__xludf.DUMMYFUNCTION("""COMPUTED_VALUE"""),1402.2)</f>
        <v>1402.2</v>
      </c>
      <c r="E75" s="6">
        <f>IFERROR(__xludf.DUMMYFUNCTION("""COMPUTED_VALUE"""),1421.8)</f>
        <v>1421.8</v>
      </c>
      <c r="F75" s="6">
        <f>IFERROR(__xludf.DUMMYFUNCTION("""COMPUTED_VALUE"""),9003770.0)</f>
        <v>9003770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IFERROR(__xludf.DUMMYFUNCTION("""COMPUTED_VALUE"""),1438.0)</f>
        <v>1438</v>
      </c>
      <c r="C76" s="6">
        <f>IFERROR(__xludf.DUMMYFUNCTION("""COMPUTED_VALUE"""),1478.1)</f>
        <v>1478.1</v>
      </c>
      <c r="D76" s="6">
        <f>IFERROR(__xludf.DUMMYFUNCTION("""COMPUTED_VALUE"""),1381.3)</f>
        <v>1381.3</v>
      </c>
      <c r="E76" s="6">
        <f>IFERROR(__xludf.DUMMYFUNCTION("""COMPUTED_VALUE"""),1460.55)</f>
        <v>1460.55</v>
      </c>
      <c r="F76" s="6">
        <f>IFERROR(__xludf.DUMMYFUNCTION("""COMPUTED_VALUE"""),4077700.0)</f>
        <v>4077700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IFERROR(__xludf.DUMMYFUNCTION("""COMPUTED_VALUE"""),1470.0)</f>
        <v>1470</v>
      </c>
      <c r="C77" s="6">
        <f>IFERROR(__xludf.DUMMYFUNCTION("""COMPUTED_VALUE"""),1498.15)</f>
        <v>1498.15</v>
      </c>
      <c r="D77" s="6">
        <f>IFERROR(__xludf.DUMMYFUNCTION("""COMPUTED_VALUE"""),1448.3)</f>
        <v>1448.3</v>
      </c>
      <c r="E77" s="6">
        <f>IFERROR(__xludf.DUMMYFUNCTION("""COMPUTED_VALUE"""),1458.65)</f>
        <v>1458.65</v>
      </c>
      <c r="F77" s="6">
        <f>IFERROR(__xludf.DUMMYFUNCTION("""COMPUTED_VALUE"""),3307410.0)</f>
        <v>3307410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IFERROR(__xludf.DUMMYFUNCTION("""COMPUTED_VALUE"""),1464.9)</f>
        <v>1464.9</v>
      </c>
      <c r="C78" s="6">
        <f>IFERROR(__xludf.DUMMYFUNCTION("""COMPUTED_VALUE"""),1567.05)</f>
        <v>1567.05</v>
      </c>
      <c r="D78" s="6">
        <f>IFERROR(__xludf.DUMMYFUNCTION("""COMPUTED_VALUE"""),1463.7)</f>
        <v>1463.7</v>
      </c>
      <c r="E78" s="6">
        <f>IFERROR(__xludf.DUMMYFUNCTION("""COMPUTED_VALUE"""),1480.8)</f>
        <v>1480.8</v>
      </c>
      <c r="F78" s="6">
        <f>IFERROR(__xludf.DUMMYFUNCTION("""COMPUTED_VALUE"""),8172047.0)</f>
        <v>8172047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IFERROR(__xludf.DUMMYFUNCTION("""COMPUTED_VALUE"""),1490.0)</f>
        <v>1490</v>
      </c>
      <c r="C79" s="6">
        <f>IFERROR(__xludf.DUMMYFUNCTION("""COMPUTED_VALUE"""),1543.6)</f>
        <v>1543.6</v>
      </c>
      <c r="D79" s="6">
        <f>IFERROR(__xludf.DUMMYFUNCTION("""COMPUTED_VALUE"""),1470.3)</f>
        <v>1470.3</v>
      </c>
      <c r="E79" s="6">
        <f>IFERROR(__xludf.DUMMYFUNCTION("""COMPUTED_VALUE"""),1528.9)</f>
        <v>1528.9</v>
      </c>
      <c r="F79" s="6">
        <f>IFERROR(__xludf.DUMMYFUNCTION("""COMPUTED_VALUE"""),5507195.0)</f>
        <v>5507195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IFERROR(__xludf.DUMMYFUNCTION("""COMPUTED_VALUE"""),1515.0)</f>
        <v>1515</v>
      </c>
      <c r="C80" s="6">
        <f>IFERROR(__xludf.DUMMYFUNCTION("""COMPUTED_VALUE"""),1528.0)</f>
        <v>1528</v>
      </c>
      <c r="D80" s="6">
        <f>IFERROR(__xludf.DUMMYFUNCTION("""COMPUTED_VALUE"""),1456.05)</f>
        <v>1456.05</v>
      </c>
      <c r="E80" s="6">
        <f>IFERROR(__xludf.DUMMYFUNCTION("""COMPUTED_VALUE"""),1469.25)</f>
        <v>1469.25</v>
      </c>
      <c r="F80" s="6">
        <f>IFERROR(__xludf.DUMMYFUNCTION("""COMPUTED_VALUE"""),2732112.0)</f>
        <v>2732112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IFERROR(__xludf.DUMMYFUNCTION("""COMPUTED_VALUE"""),1397.0)</f>
        <v>1397</v>
      </c>
      <c r="C81" s="6">
        <f>IFERROR(__xludf.DUMMYFUNCTION("""COMPUTED_VALUE"""),1537.7)</f>
        <v>1537.7</v>
      </c>
      <c r="D81" s="6">
        <f>IFERROR(__xludf.DUMMYFUNCTION("""COMPUTED_VALUE"""),1389.5)</f>
        <v>1389.5</v>
      </c>
      <c r="E81" s="6">
        <f>IFERROR(__xludf.DUMMYFUNCTION("""COMPUTED_VALUE"""),1532.85)</f>
        <v>1532.85</v>
      </c>
      <c r="F81" s="6">
        <f>IFERROR(__xludf.DUMMYFUNCTION("""COMPUTED_VALUE"""),3550629.0)</f>
        <v>3550629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IFERROR(__xludf.DUMMYFUNCTION("""COMPUTED_VALUE"""),1529.1)</f>
        <v>1529.1</v>
      </c>
      <c r="C82" s="6">
        <f>IFERROR(__xludf.DUMMYFUNCTION("""COMPUTED_VALUE"""),1646.8)</f>
        <v>1646.8</v>
      </c>
      <c r="D82" s="6">
        <f>IFERROR(__xludf.DUMMYFUNCTION("""COMPUTED_VALUE"""),1499.5)</f>
        <v>1499.5</v>
      </c>
      <c r="E82" s="6">
        <f>IFERROR(__xludf.DUMMYFUNCTION("""COMPUTED_VALUE"""),1638.5)</f>
        <v>1638.5</v>
      </c>
      <c r="F82" s="6">
        <f>IFERROR(__xludf.DUMMYFUNCTION("""COMPUTED_VALUE"""),4449265.0)</f>
        <v>4449265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IFERROR(__xludf.DUMMYFUNCTION("""COMPUTED_VALUE"""),1640.0)</f>
        <v>1640</v>
      </c>
      <c r="C83" s="6">
        <f>IFERROR(__xludf.DUMMYFUNCTION("""COMPUTED_VALUE"""),1673.8)</f>
        <v>1673.8</v>
      </c>
      <c r="D83" s="6">
        <f>IFERROR(__xludf.DUMMYFUNCTION("""COMPUTED_VALUE"""),1573.3)</f>
        <v>1573.3</v>
      </c>
      <c r="E83" s="6">
        <f>IFERROR(__xludf.DUMMYFUNCTION("""COMPUTED_VALUE"""),1599.8)</f>
        <v>1599.8</v>
      </c>
      <c r="F83" s="6">
        <f>IFERROR(__xludf.DUMMYFUNCTION("""COMPUTED_VALUE"""),1.03619E7)</f>
        <v>10361900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IFERROR(__xludf.DUMMYFUNCTION("""COMPUTED_VALUE"""),1599.8)</f>
        <v>1599.8</v>
      </c>
      <c r="C84" s="6">
        <f>IFERROR(__xludf.DUMMYFUNCTION("""COMPUTED_VALUE"""),1633.0)</f>
        <v>1633</v>
      </c>
      <c r="D84" s="6">
        <f>IFERROR(__xludf.DUMMYFUNCTION("""COMPUTED_VALUE"""),1556.6)</f>
        <v>1556.6</v>
      </c>
      <c r="E84" s="6">
        <f>IFERROR(__xludf.DUMMYFUNCTION("""COMPUTED_VALUE"""),1567.0)</f>
        <v>1567</v>
      </c>
      <c r="F84" s="6">
        <f>IFERROR(__xludf.DUMMYFUNCTION("""COMPUTED_VALUE"""),3690467.0)</f>
        <v>3690467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IFERROR(__xludf.DUMMYFUNCTION("""COMPUTED_VALUE"""),1571.9)</f>
        <v>1571.9</v>
      </c>
      <c r="C85" s="6">
        <f>IFERROR(__xludf.DUMMYFUNCTION("""COMPUTED_VALUE"""),1592.0)</f>
        <v>1592</v>
      </c>
      <c r="D85" s="6">
        <f>IFERROR(__xludf.DUMMYFUNCTION("""COMPUTED_VALUE"""),1513.1)</f>
        <v>1513.1</v>
      </c>
      <c r="E85" s="6">
        <f>IFERROR(__xludf.DUMMYFUNCTION("""COMPUTED_VALUE"""),1548.3)</f>
        <v>1548.3</v>
      </c>
      <c r="F85" s="6">
        <f>IFERROR(__xludf.DUMMYFUNCTION("""COMPUTED_VALUE"""),3285134.0)</f>
        <v>3285134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IFERROR(__xludf.DUMMYFUNCTION("""COMPUTED_VALUE"""),1576.6)</f>
        <v>1576.6</v>
      </c>
      <c r="C86" s="6">
        <f>IFERROR(__xludf.DUMMYFUNCTION("""COMPUTED_VALUE"""),1623.7)</f>
        <v>1623.7</v>
      </c>
      <c r="D86" s="6">
        <f>IFERROR(__xludf.DUMMYFUNCTION("""COMPUTED_VALUE"""),1565.2)</f>
        <v>1565.2</v>
      </c>
      <c r="E86" s="6">
        <f>IFERROR(__xludf.DUMMYFUNCTION("""COMPUTED_VALUE"""),1577.4)</f>
        <v>1577.4</v>
      </c>
      <c r="F86" s="6">
        <f>IFERROR(__xludf.DUMMYFUNCTION("""COMPUTED_VALUE"""),4788993.0)</f>
        <v>4788993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IFERROR(__xludf.DUMMYFUNCTION("""COMPUTED_VALUE"""),1588.0)</f>
        <v>1588</v>
      </c>
      <c r="C87" s="6">
        <f>IFERROR(__xludf.DUMMYFUNCTION("""COMPUTED_VALUE"""),1600.8)</f>
        <v>1600.8</v>
      </c>
      <c r="D87" s="6">
        <f>IFERROR(__xludf.DUMMYFUNCTION("""COMPUTED_VALUE"""),1555.2)</f>
        <v>1555.2</v>
      </c>
      <c r="E87" s="6">
        <f>IFERROR(__xludf.DUMMYFUNCTION("""COMPUTED_VALUE"""),1573.6)</f>
        <v>1573.6</v>
      </c>
      <c r="F87" s="6">
        <f>IFERROR(__xludf.DUMMYFUNCTION("""COMPUTED_VALUE"""),4907098.0)</f>
        <v>4907098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IFERROR(__xludf.DUMMYFUNCTION("""COMPUTED_VALUE"""),1588.8)</f>
        <v>1588.8</v>
      </c>
      <c r="C88" s="6">
        <f>IFERROR(__xludf.DUMMYFUNCTION("""COMPUTED_VALUE"""),1589.3)</f>
        <v>1589.3</v>
      </c>
      <c r="D88" s="6">
        <f>IFERROR(__xludf.DUMMYFUNCTION("""COMPUTED_VALUE"""),1522.6)</f>
        <v>1522.6</v>
      </c>
      <c r="E88" s="6">
        <f>IFERROR(__xludf.DUMMYFUNCTION("""COMPUTED_VALUE"""),1527.0)</f>
        <v>1527</v>
      </c>
      <c r="F88" s="6">
        <f>IFERROR(__xludf.DUMMYFUNCTION("""COMPUTED_VALUE"""),4208307.0)</f>
        <v>4208307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IFERROR(__xludf.DUMMYFUNCTION("""COMPUTED_VALUE"""),1529.7)</f>
        <v>1529.7</v>
      </c>
      <c r="C89" s="6">
        <f>IFERROR(__xludf.DUMMYFUNCTION("""COMPUTED_VALUE"""),1533.8)</f>
        <v>1533.8</v>
      </c>
      <c r="D89" s="6">
        <f>IFERROR(__xludf.DUMMYFUNCTION("""COMPUTED_VALUE"""),1482.0)</f>
        <v>1482</v>
      </c>
      <c r="E89" s="6">
        <f>IFERROR(__xludf.DUMMYFUNCTION("""COMPUTED_VALUE"""),1523.2)</f>
        <v>1523.2</v>
      </c>
      <c r="F89" s="6">
        <f>IFERROR(__xludf.DUMMYFUNCTION("""COMPUTED_VALUE"""),5021495.0)</f>
        <v>5021495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IFERROR(__xludf.DUMMYFUNCTION("""COMPUTED_VALUE"""),1536.0)</f>
        <v>1536</v>
      </c>
      <c r="C90" s="6">
        <f>IFERROR(__xludf.DUMMYFUNCTION("""COMPUTED_VALUE"""),1583.7)</f>
        <v>1583.7</v>
      </c>
      <c r="D90" s="6">
        <f>IFERROR(__xludf.DUMMYFUNCTION("""COMPUTED_VALUE"""),1485.3)</f>
        <v>1485.3</v>
      </c>
      <c r="E90" s="6">
        <f>IFERROR(__xludf.DUMMYFUNCTION("""COMPUTED_VALUE"""),1541.1)</f>
        <v>1541.1</v>
      </c>
      <c r="F90" s="6">
        <f>IFERROR(__xludf.DUMMYFUNCTION("""COMPUTED_VALUE"""),3825546.0)</f>
        <v>3825546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IFERROR(__xludf.DUMMYFUNCTION("""COMPUTED_VALUE"""),1535.5)</f>
        <v>1535.5</v>
      </c>
      <c r="C91" s="6">
        <f>IFERROR(__xludf.DUMMYFUNCTION("""COMPUTED_VALUE"""),1569.3)</f>
        <v>1569.3</v>
      </c>
      <c r="D91" s="6">
        <f>IFERROR(__xludf.DUMMYFUNCTION("""COMPUTED_VALUE"""),1510.9)</f>
        <v>1510.9</v>
      </c>
      <c r="E91" s="6">
        <f>IFERROR(__xludf.DUMMYFUNCTION("""COMPUTED_VALUE"""),1533.5)</f>
        <v>1533.5</v>
      </c>
      <c r="F91" s="6">
        <f>IFERROR(__xludf.DUMMYFUNCTION("""COMPUTED_VALUE"""),2914223.0)</f>
        <v>2914223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IFERROR(__xludf.DUMMYFUNCTION("""COMPUTED_VALUE"""),1532.0)</f>
        <v>1532</v>
      </c>
      <c r="C92" s="6">
        <f>IFERROR(__xludf.DUMMYFUNCTION("""COMPUTED_VALUE"""),1599.0)</f>
        <v>1599</v>
      </c>
      <c r="D92" s="6">
        <f>IFERROR(__xludf.DUMMYFUNCTION("""COMPUTED_VALUE"""),1530.0)</f>
        <v>1530</v>
      </c>
      <c r="E92" s="6">
        <f>IFERROR(__xludf.DUMMYFUNCTION("""COMPUTED_VALUE"""),1566.8)</f>
        <v>1566.8</v>
      </c>
      <c r="F92" s="6">
        <f>IFERROR(__xludf.DUMMYFUNCTION("""COMPUTED_VALUE"""),6143782.0)</f>
        <v>6143782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IFERROR(__xludf.DUMMYFUNCTION("""COMPUTED_VALUE"""),1572.3)</f>
        <v>1572.3</v>
      </c>
      <c r="C93" s="6">
        <f>IFERROR(__xludf.DUMMYFUNCTION("""COMPUTED_VALUE"""),1592.0)</f>
        <v>1592</v>
      </c>
      <c r="D93" s="6">
        <f>IFERROR(__xludf.DUMMYFUNCTION("""COMPUTED_VALUE"""),1535.4)</f>
        <v>1535.4</v>
      </c>
      <c r="E93" s="6">
        <f>IFERROR(__xludf.DUMMYFUNCTION("""COMPUTED_VALUE"""),1577.6)</f>
        <v>1577.6</v>
      </c>
      <c r="F93" s="6">
        <f>IFERROR(__xludf.DUMMYFUNCTION("""COMPUTED_VALUE"""),4535288.0)</f>
        <v>4535288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IFERROR(__xludf.DUMMYFUNCTION("""COMPUTED_VALUE"""),1581.7)</f>
        <v>1581.7</v>
      </c>
      <c r="C94" s="6">
        <f>IFERROR(__xludf.DUMMYFUNCTION("""COMPUTED_VALUE"""),1593.5)</f>
        <v>1593.5</v>
      </c>
      <c r="D94" s="6">
        <f>IFERROR(__xludf.DUMMYFUNCTION("""COMPUTED_VALUE"""),1511.1)</f>
        <v>1511.1</v>
      </c>
      <c r="E94" s="6">
        <f>IFERROR(__xludf.DUMMYFUNCTION("""COMPUTED_VALUE"""),1527.8)</f>
        <v>1527.8</v>
      </c>
      <c r="F94" s="6">
        <f>IFERROR(__xludf.DUMMYFUNCTION("""COMPUTED_VALUE"""),5316421.0)</f>
        <v>5316421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IFERROR(__xludf.DUMMYFUNCTION("""COMPUTED_VALUE"""),1521.5)</f>
        <v>1521.5</v>
      </c>
      <c r="C95" s="6">
        <f>IFERROR(__xludf.DUMMYFUNCTION("""COMPUTED_VALUE"""),1547.5)</f>
        <v>1547.5</v>
      </c>
      <c r="D95" s="6">
        <f>IFERROR(__xludf.DUMMYFUNCTION("""COMPUTED_VALUE"""),1513.0)</f>
        <v>1513</v>
      </c>
      <c r="E95" s="6">
        <f>IFERROR(__xludf.DUMMYFUNCTION("""COMPUTED_VALUE"""),1518.5)</f>
        <v>1518.5</v>
      </c>
      <c r="F95" s="6">
        <f>IFERROR(__xludf.DUMMYFUNCTION("""COMPUTED_VALUE"""),5287153.0)</f>
        <v>5287153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IFERROR(__xludf.DUMMYFUNCTION("""COMPUTED_VALUE"""),1515.0)</f>
        <v>1515</v>
      </c>
      <c r="C96" s="6">
        <f>IFERROR(__xludf.DUMMYFUNCTION("""COMPUTED_VALUE"""),1583.6)</f>
        <v>1583.6</v>
      </c>
      <c r="D96" s="6">
        <f>IFERROR(__xludf.DUMMYFUNCTION("""COMPUTED_VALUE"""),1511.6)</f>
        <v>1511.6</v>
      </c>
      <c r="E96" s="6">
        <f>IFERROR(__xludf.DUMMYFUNCTION("""COMPUTED_VALUE"""),1523.6)</f>
        <v>1523.6</v>
      </c>
      <c r="F96" s="6">
        <f>IFERROR(__xludf.DUMMYFUNCTION("""COMPUTED_VALUE"""),9477634.0)</f>
        <v>9477634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IFERROR(__xludf.DUMMYFUNCTION("""COMPUTED_VALUE"""),1523.9)</f>
        <v>1523.9</v>
      </c>
      <c r="C97" s="6">
        <f>IFERROR(__xludf.DUMMYFUNCTION("""COMPUTED_VALUE"""),1535.0)</f>
        <v>1535</v>
      </c>
      <c r="D97" s="6">
        <f>IFERROR(__xludf.DUMMYFUNCTION("""COMPUTED_VALUE"""),1476.0)</f>
        <v>1476</v>
      </c>
      <c r="E97" s="6">
        <f>IFERROR(__xludf.DUMMYFUNCTION("""COMPUTED_VALUE"""),1482.6)</f>
        <v>1482.6</v>
      </c>
      <c r="F97" s="6">
        <f>IFERROR(__xludf.DUMMYFUNCTION("""COMPUTED_VALUE"""),3616403.0)</f>
        <v>3616403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IFERROR(__xludf.DUMMYFUNCTION("""COMPUTED_VALUE"""),1482.6)</f>
        <v>1482.6</v>
      </c>
      <c r="C98" s="6">
        <f>IFERROR(__xludf.DUMMYFUNCTION("""COMPUTED_VALUE"""),1516.4)</f>
        <v>1516.4</v>
      </c>
      <c r="D98" s="6">
        <f>IFERROR(__xludf.DUMMYFUNCTION("""COMPUTED_VALUE"""),1472.2)</f>
        <v>1472.2</v>
      </c>
      <c r="E98" s="6">
        <f>IFERROR(__xludf.DUMMYFUNCTION("""COMPUTED_VALUE"""),1491.6)</f>
        <v>1491.6</v>
      </c>
      <c r="F98" s="6">
        <f>IFERROR(__xludf.DUMMYFUNCTION("""COMPUTED_VALUE"""),3334429.0)</f>
        <v>3334429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IFERROR(__xludf.DUMMYFUNCTION("""COMPUTED_VALUE"""),1490.0)</f>
        <v>1490</v>
      </c>
      <c r="C99" s="6">
        <f>IFERROR(__xludf.DUMMYFUNCTION("""COMPUTED_VALUE"""),1494.9)</f>
        <v>1494.9</v>
      </c>
      <c r="D99" s="6">
        <f>IFERROR(__xludf.DUMMYFUNCTION("""COMPUTED_VALUE"""),1451.4)</f>
        <v>1451.4</v>
      </c>
      <c r="E99" s="6">
        <f>IFERROR(__xludf.DUMMYFUNCTION("""COMPUTED_VALUE"""),1479.2)</f>
        <v>1479.2</v>
      </c>
      <c r="F99" s="6">
        <f>IFERROR(__xludf.DUMMYFUNCTION("""COMPUTED_VALUE"""),3940390.0)</f>
        <v>3940390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IFERROR(__xludf.DUMMYFUNCTION("""COMPUTED_VALUE"""),1525.0)</f>
        <v>1525</v>
      </c>
      <c r="C100" s="6">
        <f>IFERROR(__xludf.DUMMYFUNCTION("""COMPUTED_VALUE"""),1582.0)</f>
        <v>1582</v>
      </c>
      <c r="D100" s="6">
        <f>IFERROR(__xludf.DUMMYFUNCTION("""COMPUTED_VALUE"""),1524.6)</f>
        <v>1524.6</v>
      </c>
      <c r="E100" s="6">
        <f>IFERROR(__xludf.DUMMYFUNCTION("""COMPUTED_VALUE"""),1556.0)</f>
        <v>1556</v>
      </c>
      <c r="F100" s="6">
        <f>IFERROR(__xludf.DUMMYFUNCTION("""COMPUTED_VALUE"""),3644463.0)</f>
        <v>3644463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IFERROR(__xludf.DUMMYFUNCTION("""COMPUTED_VALUE"""),1560.0)</f>
        <v>1560</v>
      </c>
      <c r="C101" s="6">
        <f>IFERROR(__xludf.DUMMYFUNCTION("""COMPUTED_VALUE"""),1571.1)</f>
        <v>1571.1</v>
      </c>
      <c r="D101" s="6">
        <f>IFERROR(__xludf.DUMMYFUNCTION("""COMPUTED_VALUE"""),1508.9)</f>
        <v>1508.9</v>
      </c>
      <c r="E101" s="6">
        <f>IFERROR(__xludf.DUMMYFUNCTION("""COMPUTED_VALUE"""),1517.9)</f>
        <v>1517.9</v>
      </c>
      <c r="F101" s="6">
        <f>IFERROR(__xludf.DUMMYFUNCTION("""COMPUTED_VALUE"""),2.6162306E7)</f>
        <v>26162306</v>
      </c>
    </row>
  </sheetData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IFERROR(__xludf.DUMMYFUNCTION("GOOGLEFINANCE(""NSE:HCLTECH"",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IFERROR(__xludf.DUMMYFUNCTION("""COMPUTED_VALUE"""),1155.0)</f>
        <v>1155</v>
      </c>
      <c r="C2" s="6">
        <f>IFERROR(__xludf.DUMMYFUNCTION("""COMPUTED_VALUE"""),1188.1)</f>
        <v>1188.1</v>
      </c>
      <c r="D2" s="6">
        <f>IFERROR(__xludf.DUMMYFUNCTION("""COMPUTED_VALUE"""),1139.3)</f>
        <v>1139.3</v>
      </c>
      <c r="E2" s="6">
        <f>IFERROR(__xludf.DUMMYFUNCTION("""COMPUTED_VALUE"""),1185.8)</f>
        <v>1185.8</v>
      </c>
      <c r="F2" s="6">
        <f>IFERROR(__xludf.DUMMYFUNCTION("""COMPUTED_VALUE"""),1.2017582E7)</f>
        <v>12017582</v>
      </c>
    </row>
    <row r="3">
      <c r="A3" s="7">
        <f>IFERROR(__xludf.DUMMYFUNCTION("""COMPUTED_VALUE"""),45177.64583333333)</f>
        <v>45177.64583</v>
      </c>
      <c r="B3" s="6">
        <f>IFERROR(__xludf.DUMMYFUNCTION("""COMPUTED_VALUE"""),1186.0)</f>
        <v>1186</v>
      </c>
      <c r="C3" s="6">
        <f>IFERROR(__xludf.DUMMYFUNCTION("""COMPUTED_VALUE"""),1269.55)</f>
        <v>1269.55</v>
      </c>
      <c r="D3" s="6">
        <f>IFERROR(__xludf.DUMMYFUNCTION("""COMPUTED_VALUE"""),1185.0)</f>
        <v>1185</v>
      </c>
      <c r="E3" s="6">
        <f>IFERROR(__xludf.DUMMYFUNCTION("""COMPUTED_VALUE"""),1262.05)</f>
        <v>1262.05</v>
      </c>
      <c r="F3" s="6">
        <f>IFERROR(__xludf.DUMMYFUNCTION("""COMPUTED_VALUE"""),1.3990825E7)</f>
        <v>13990825</v>
      </c>
    </row>
    <row r="4">
      <c r="A4" s="7">
        <f>IFERROR(__xludf.DUMMYFUNCTION("""COMPUTED_VALUE"""),45184.64583333333)</f>
        <v>45184.64583</v>
      </c>
      <c r="B4" s="6">
        <f>IFERROR(__xludf.DUMMYFUNCTION("""COMPUTED_VALUE"""),1276.55)</f>
        <v>1276.55</v>
      </c>
      <c r="C4" s="6">
        <f>IFERROR(__xludf.DUMMYFUNCTION("""COMPUTED_VALUE"""),1310.0)</f>
        <v>1310</v>
      </c>
      <c r="D4" s="6">
        <f>IFERROR(__xludf.DUMMYFUNCTION("""COMPUTED_VALUE"""),1265.5)</f>
        <v>1265.5</v>
      </c>
      <c r="E4" s="6">
        <f>IFERROR(__xludf.DUMMYFUNCTION("""COMPUTED_VALUE"""),1304.6)</f>
        <v>1304.6</v>
      </c>
      <c r="F4" s="6">
        <f>IFERROR(__xludf.DUMMYFUNCTION("""COMPUTED_VALUE"""),1.404958E7)</f>
        <v>14049580</v>
      </c>
    </row>
    <row r="5">
      <c r="A5" s="7">
        <f>IFERROR(__xludf.DUMMYFUNCTION("""COMPUTED_VALUE"""),45191.64583333333)</f>
        <v>45191.64583</v>
      </c>
      <c r="B5" s="6">
        <f>IFERROR(__xludf.DUMMYFUNCTION("""COMPUTED_VALUE"""),1302.0)</f>
        <v>1302</v>
      </c>
      <c r="C5" s="6">
        <f>IFERROR(__xludf.DUMMYFUNCTION("""COMPUTED_VALUE"""),1311.3)</f>
        <v>1311.3</v>
      </c>
      <c r="D5" s="6">
        <f>IFERROR(__xludf.DUMMYFUNCTION("""COMPUTED_VALUE"""),1259.3)</f>
        <v>1259.3</v>
      </c>
      <c r="E5" s="6">
        <f>IFERROR(__xludf.DUMMYFUNCTION("""COMPUTED_VALUE"""),1273.7)</f>
        <v>1273.7</v>
      </c>
      <c r="F5" s="6">
        <f>IFERROR(__xludf.DUMMYFUNCTION("""COMPUTED_VALUE"""),9416808.0)</f>
        <v>9416808</v>
      </c>
    </row>
    <row r="6">
      <c r="A6" s="7">
        <f>IFERROR(__xludf.DUMMYFUNCTION("""COMPUTED_VALUE"""),45198.64583333333)</f>
        <v>45198.64583</v>
      </c>
      <c r="B6" s="6">
        <f>IFERROR(__xludf.DUMMYFUNCTION("""COMPUTED_VALUE"""),1270.0)</f>
        <v>1270</v>
      </c>
      <c r="C6" s="6">
        <f>IFERROR(__xludf.DUMMYFUNCTION("""COMPUTED_VALUE"""),1280.0)</f>
        <v>1280</v>
      </c>
      <c r="D6" s="6">
        <f>IFERROR(__xludf.DUMMYFUNCTION("""COMPUTED_VALUE"""),1227.25)</f>
        <v>1227.25</v>
      </c>
      <c r="E6" s="6">
        <f>IFERROR(__xludf.DUMMYFUNCTION("""COMPUTED_VALUE"""),1234.8)</f>
        <v>1234.8</v>
      </c>
      <c r="F6" s="6">
        <f>IFERROR(__xludf.DUMMYFUNCTION("""COMPUTED_VALUE"""),7965627.0)</f>
        <v>7965627</v>
      </c>
    </row>
    <row r="7">
      <c r="A7" s="7">
        <f>IFERROR(__xludf.DUMMYFUNCTION("""COMPUTED_VALUE"""),45205.64583333333)</f>
        <v>45205.64583</v>
      </c>
      <c r="B7" s="6">
        <f>IFERROR(__xludf.DUMMYFUNCTION("""COMPUTED_VALUE"""),1232.5)</f>
        <v>1232.5</v>
      </c>
      <c r="C7" s="6">
        <f>IFERROR(__xludf.DUMMYFUNCTION("""COMPUTED_VALUE"""),1256.7)</f>
        <v>1256.7</v>
      </c>
      <c r="D7" s="6">
        <f>IFERROR(__xludf.DUMMYFUNCTION("""COMPUTED_VALUE"""),1222.7)</f>
        <v>1222.7</v>
      </c>
      <c r="E7" s="6">
        <f>IFERROR(__xludf.DUMMYFUNCTION("""COMPUTED_VALUE"""),1237.7)</f>
        <v>1237.7</v>
      </c>
      <c r="F7" s="6">
        <f>IFERROR(__xludf.DUMMYFUNCTION("""COMPUTED_VALUE"""),9909332.0)</f>
        <v>9909332</v>
      </c>
    </row>
    <row r="8">
      <c r="A8" s="7">
        <f>IFERROR(__xludf.DUMMYFUNCTION("""COMPUTED_VALUE"""),45212.64583333333)</f>
        <v>45212.64583</v>
      </c>
      <c r="B8" s="6">
        <f>IFERROR(__xludf.DUMMYFUNCTION("""COMPUTED_VALUE"""),1236.0)</f>
        <v>1236</v>
      </c>
      <c r="C8" s="6">
        <f>IFERROR(__xludf.DUMMYFUNCTION("""COMPUTED_VALUE"""),1274.45)</f>
        <v>1274.45</v>
      </c>
      <c r="D8" s="6">
        <f>IFERROR(__xludf.DUMMYFUNCTION("""COMPUTED_VALUE"""),1208.55)</f>
        <v>1208.55</v>
      </c>
      <c r="E8" s="6">
        <f>IFERROR(__xludf.DUMMYFUNCTION("""COMPUTED_VALUE"""),1255.9)</f>
        <v>1255.9</v>
      </c>
      <c r="F8" s="6">
        <f>IFERROR(__xludf.DUMMYFUNCTION("""COMPUTED_VALUE"""),1.6811166E7)</f>
        <v>16811166</v>
      </c>
    </row>
    <row r="9">
      <c r="A9" s="7">
        <f>IFERROR(__xludf.DUMMYFUNCTION("""COMPUTED_VALUE"""),45219.64583333333)</f>
        <v>45219.64583</v>
      </c>
      <c r="B9" s="6">
        <f>IFERROR(__xludf.DUMMYFUNCTION("""COMPUTED_VALUE"""),1263.0)</f>
        <v>1263</v>
      </c>
      <c r="C9" s="6">
        <f>IFERROR(__xludf.DUMMYFUNCTION("""COMPUTED_VALUE"""),1281.5)</f>
        <v>1281.5</v>
      </c>
      <c r="D9" s="6">
        <f>IFERROR(__xludf.DUMMYFUNCTION("""COMPUTED_VALUE"""),1245.45)</f>
        <v>1245.45</v>
      </c>
      <c r="E9" s="6">
        <f>IFERROR(__xludf.DUMMYFUNCTION("""COMPUTED_VALUE"""),1258.6)</f>
        <v>1258.6</v>
      </c>
      <c r="F9" s="6">
        <f>IFERROR(__xludf.DUMMYFUNCTION("""COMPUTED_VALUE"""),9862759.0)</f>
        <v>9862759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IFERROR(__xludf.DUMMYFUNCTION("""COMPUTED_VALUE"""),1248.0)</f>
        <v>1248</v>
      </c>
      <c r="C10" s="6">
        <f>IFERROR(__xludf.DUMMYFUNCTION("""COMPUTED_VALUE"""),1270.0)</f>
        <v>1270</v>
      </c>
      <c r="D10" s="6">
        <f>IFERROR(__xludf.DUMMYFUNCTION("""COMPUTED_VALUE"""),1212.05)</f>
        <v>1212.05</v>
      </c>
      <c r="E10" s="6">
        <f>IFERROR(__xludf.DUMMYFUNCTION("""COMPUTED_VALUE"""),1268.7)</f>
        <v>1268.7</v>
      </c>
      <c r="F10" s="6">
        <f>IFERROR(__xludf.DUMMYFUNCTION("""COMPUTED_VALUE"""),1.0359204E7)</f>
        <v>10359204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IFERROR(__xludf.DUMMYFUNCTION("""COMPUTED_VALUE"""),1270.0)</f>
        <v>1270</v>
      </c>
      <c r="C11" s="6">
        <f>IFERROR(__xludf.DUMMYFUNCTION("""COMPUTED_VALUE"""),1287.3)</f>
        <v>1287.3</v>
      </c>
      <c r="D11" s="6">
        <f>IFERROR(__xludf.DUMMYFUNCTION("""COMPUTED_VALUE"""),1255.3)</f>
        <v>1255.3</v>
      </c>
      <c r="E11" s="6">
        <f>IFERROR(__xludf.DUMMYFUNCTION("""COMPUTED_VALUE"""),1266.25)</f>
        <v>1266.25</v>
      </c>
      <c r="F11" s="6">
        <f>IFERROR(__xludf.DUMMYFUNCTION("""COMPUTED_VALUE"""),8678499.0)</f>
        <v>8678499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IFERROR(__xludf.DUMMYFUNCTION("""COMPUTED_VALUE"""),1276.25)</f>
        <v>1276.25</v>
      </c>
      <c r="C12" s="6">
        <f>IFERROR(__xludf.DUMMYFUNCTION("""COMPUTED_VALUE"""),1280.8)</f>
        <v>1280.8</v>
      </c>
      <c r="D12" s="6">
        <f>IFERROR(__xludf.DUMMYFUNCTION("""COMPUTED_VALUE"""),1250.65)</f>
        <v>1250.65</v>
      </c>
      <c r="E12" s="6">
        <f>IFERROR(__xludf.DUMMYFUNCTION("""COMPUTED_VALUE"""),1255.45)</f>
        <v>1255.45</v>
      </c>
      <c r="F12" s="6">
        <f>IFERROR(__xludf.DUMMYFUNCTION("""COMPUTED_VALUE"""),6452427.0)</f>
        <v>6452427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IFERROR(__xludf.DUMMYFUNCTION("""COMPUTED_VALUE"""),1265.0)</f>
        <v>1265</v>
      </c>
      <c r="C13" s="6">
        <f>IFERROR(__xludf.DUMMYFUNCTION("""COMPUTED_VALUE"""),1325.75)</f>
        <v>1325.75</v>
      </c>
      <c r="D13" s="6">
        <f>IFERROR(__xludf.DUMMYFUNCTION("""COMPUTED_VALUE"""),1253.3)</f>
        <v>1253.3</v>
      </c>
      <c r="E13" s="6">
        <f>IFERROR(__xludf.DUMMYFUNCTION("""COMPUTED_VALUE"""),1309.15)</f>
        <v>1309.15</v>
      </c>
      <c r="F13" s="6">
        <f>IFERROR(__xludf.DUMMYFUNCTION("""COMPUTED_VALUE"""),1.0093245E7)</f>
        <v>10093245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IFERROR(__xludf.DUMMYFUNCTION("""COMPUTED_VALUE"""),1314.95)</f>
        <v>1314.95</v>
      </c>
      <c r="C14" s="6">
        <f>IFERROR(__xludf.DUMMYFUNCTION("""COMPUTED_VALUE"""),1336.0)</f>
        <v>1336</v>
      </c>
      <c r="D14" s="6">
        <f>IFERROR(__xludf.DUMMYFUNCTION("""COMPUTED_VALUE"""),1305.65)</f>
        <v>1305.65</v>
      </c>
      <c r="E14" s="6">
        <f>IFERROR(__xludf.DUMMYFUNCTION("""COMPUTED_VALUE"""),1309.15)</f>
        <v>1309.15</v>
      </c>
      <c r="F14" s="6">
        <f>IFERROR(__xludf.DUMMYFUNCTION("""COMPUTED_VALUE"""),8985021.0)</f>
        <v>8985021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IFERROR(__xludf.DUMMYFUNCTION("""COMPUTED_VALUE"""),1309.15)</f>
        <v>1309.15</v>
      </c>
      <c r="C15" s="6">
        <f>IFERROR(__xludf.DUMMYFUNCTION("""COMPUTED_VALUE"""),1349.0)</f>
        <v>1349</v>
      </c>
      <c r="D15" s="6">
        <f>IFERROR(__xludf.DUMMYFUNCTION("""COMPUTED_VALUE"""),1295.3)</f>
        <v>1295.3</v>
      </c>
      <c r="E15" s="6">
        <f>IFERROR(__xludf.DUMMYFUNCTION("""COMPUTED_VALUE"""),1336.7)</f>
        <v>1336.7</v>
      </c>
      <c r="F15" s="6">
        <f>IFERROR(__xludf.DUMMYFUNCTION("""COMPUTED_VALUE"""),9947184.0)</f>
        <v>9947184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IFERROR(__xludf.DUMMYFUNCTION("""COMPUTED_VALUE"""),1350.0)</f>
        <v>1350</v>
      </c>
      <c r="C16" s="6">
        <f>IFERROR(__xludf.DUMMYFUNCTION("""COMPUTED_VALUE"""),1369.95)</f>
        <v>1369.95</v>
      </c>
      <c r="D16" s="6">
        <f>IFERROR(__xludf.DUMMYFUNCTION("""COMPUTED_VALUE"""),1308.3)</f>
        <v>1308.3</v>
      </c>
      <c r="E16" s="6">
        <f>IFERROR(__xludf.DUMMYFUNCTION("""COMPUTED_VALUE"""),1364.1)</f>
        <v>1364.1</v>
      </c>
      <c r="F16" s="6">
        <f>IFERROR(__xludf.DUMMYFUNCTION("""COMPUTED_VALUE"""),1.4051096E7)</f>
        <v>14051096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IFERROR(__xludf.DUMMYFUNCTION("""COMPUTED_VALUE"""),1370.1)</f>
        <v>1370.1</v>
      </c>
      <c r="C17" s="6">
        <f>IFERROR(__xludf.DUMMYFUNCTION("""COMPUTED_VALUE"""),1497.0)</f>
        <v>1497</v>
      </c>
      <c r="D17" s="6">
        <f>IFERROR(__xludf.DUMMYFUNCTION("""COMPUTED_VALUE"""),1357.05)</f>
        <v>1357.05</v>
      </c>
      <c r="E17" s="6">
        <f>IFERROR(__xludf.DUMMYFUNCTION("""COMPUTED_VALUE"""),1491.3)</f>
        <v>1491.3</v>
      </c>
      <c r="F17" s="6">
        <f>IFERROR(__xludf.DUMMYFUNCTION("""COMPUTED_VALUE"""),1.9971873E7)</f>
        <v>19971873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IFERROR(__xludf.DUMMYFUNCTION("""COMPUTED_VALUE"""),1489.85)</f>
        <v>1489.85</v>
      </c>
      <c r="C18" s="6">
        <f>IFERROR(__xludf.DUMMYFUNCTION("""COMPUTED_VALUE"""),1509.9)</f>
        <v>1509.9</v>
      </c>
      <c r="D18" s="6">
        <f>IFERROR(__xludf.DUMMYFUNCTION("""COMPUTED_VALUE"""),1420.1)</f>
        <v>1420.1</v>
      </c>
      <c r="E18" s="6">
        <f>IFERROR(__xludf.DUMMYFUNCTION("""COMPUTED_VALUE"""),1462.7)</f>
        <v>1462.7</v>
      </c>
      <c r="F18" s="6">
        <f>IFERROR(__xludf.DUMMYFUNCTION("""COMPUTED_VALUE"""),1.5179273E7)</f>
        <v>15179273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IFERROR(__xludf.DUMMYFUNCTION("""COMPUTED_VALUE"""),1462.7)</f>
        <v>1462.7</v>
      </c>
      <c r="C19" s="6">
        <f>IFERROR(__xludf.DUMMYFUNCTION("""COMPUTED_VALUE"""),1482.7)</f>
        <v>1482.7</v>
      </c>
      <c r="D19" s="6">
        <f>IFERROR(__xludf.DUMMYFUNCTION("""COMPUTED_VALUE"""),1442.15)</f>
        <v>1442.15</v>
      </c>
      <c r="E19" s="6">
        <f>IFERROR(__xludf.DUMMYFUNCTION("""COMPUTED_VALUE"""),1466.1)</f>
        <v>1466.1</v>
      </c>
      <c r="F19" s="6">
        <f>IFERROR(__xludf.DUMMYFUNCTION("""COMPUTED_VALUE"""),6175827.0)</f>
        <v>6175827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IFERROR(__xludf.DUMMYFUNCTION("""COMPUTED_VALUE"""),1460.0)</f>
        <v>1460</v>
      </c>
      <c r="C20" s="6">
        <f>IFERROR(__xludf.DUMMYFUNCTION("""COMPUTED_VALUE"""),1495.75)</f>
        <v>1495.75</v>
      </c>
      <c r="D20" s="6">
        <f>IFERROR(__xludf.DUMMYFUNCTION("""COMPUTED_VALUE"""),1417.15)</f>
        <v>1417.15</v>
      </c>
      <c r="E20" s="6">
        <f>IFERROR(__xludf.DUMMYFUNCTION("""COMPUTED_VALUE"""),1432.8)</f>
        <v>1432.8</v>
      </c>
      <c r="F20" s="6">
        <f>IFERROR(__xludf.DUMMYFUNCTION("""COMPUTED_VALUE"""),9484085.0)</f>
        <v>9484085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IFERROR(__xludf.DUMMYFUNCTION("""COMPUTED_VALUE"""),1435.0)</f>
        <v>1435</v>
      </c>
      <c r="C21" s="6">
        <f>IFERROR(__xludf.DUMMYFUNCTION("""COMPUTED_VALUE"""),1555.0)</f>
        <v>1555</v>
      </c>
      <c r="D21" s="6">
        <f>IFERROR(__xludf.DUMMYFUNCTION("""COMPUTED_VALUE"""),1430.55)</f>
        <v>1430.55</v>
      </c>
      <c r="E21" s="6">
        <f>IFERROR(__xludf.DUMMYFUNCTION("""COMPUTED_VALUE"""),1540.8)</f>
        <v>1540.8</v>
      </c>
      <c r="F21" s="6">
        <f>IFERROR(__xludf.DUMMYFUNCTION("""COMPUTED_VALUE"""),1.7646859E7)</f>
        <v>17646859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IFERROR(__xludf.DUMMYFUNCTION("""COMPUTED_VALUE"""),1558.9)</f>
        <v>1558.9</v>
      </c>
      <c r="C22" s="6">
        <f>IFERROR(__xludf.DUMMYFUNCTION("""COMPUTED_VALUE"""),1581.2)</f>
        <v>1581.2</v>
      </c>
      <c r="D22" s="6">
        <f>IFERROR(__xludf.DUMMYFUNCTION("""COMPUTED_VALUE"""),1517.05)</f>
        <v>1517.05</v>
      </c>
      <c r="E22" s="6">
        <f>IFERROR(__xludf.DUMMYFUNCTION("""COMPUTED_VALUE"""),1550.25)</f>
        <v>1550.25</v>
      </c>
      <c r="F22" s="6">
        <f>IFERROR(__xludf.DUMMYFUNCTION("""COMPUTED_VALUE"""),7974309.0)</f>
        <v>7974309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IFERROR(__xludf.DUMMYFUNCTION("""COMPUTED_VALUE"""),1565.0)</f>
        <v>1565</v>
      </c>
      <c r="C23" s="6">
        <f>IFERROR(__xludf.DUMMYFUNCTION("""COMPUTED_VALUE"""),1613.9)</f>
        <v>1613.9</v>
      </c>
      <c r="D23" s="6">
        <f>IFERROR(__xludf.DUMMYFUNCTION("""COMPUTED_VALUE"""),1546.35)</f>
        <v>1546.35</v>
      </c>
      <c r="E23" s="6">
        <f>IFERROR(__xludf.DUMMYFUNCTION("""COMPUTED_VALUE"""),1583.75)</f>
        <v>1583.75</v>
      </c>
      <c r="F23" s="6">
        <f>IFERROR(__xludf.DUMMYFUNCTION("""COMPUTED_VALUE"""),1.6669697E7)</f>
        <v>16669697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IFERROR(__xludf.DUMMYFUNCTION("""COMPUTED_VALUE"""),1584.95)</f>
        <v>1584.95</v>
      </c>
      <c r="C24" s="6">
        <f>IFERROR(__xludf.DUMMYFUNCTION("""COMPUTED_VALUE"""),1647.7)</f>
        <v>1647.7</v>
      </c>
      <c r="D24" s="6">
        <f>IFERROR(__xludf.DUMMYFUNCTION("""COMPUTED_VALUE"""),1551.45)</f>
        <v>1551.45</v>
      </c>
      <c r="E24" s="6">
        <f>IFERROR(__xludf.DUMMYFUNCTION("""COMPUTED_VALUE"""),1630.6)</f>
        <v>1630.6</v>
      </c>
      <c r="F24" s="6">
        <f>IFERROR(__xludf.DUMMYFUNCTION("""COMPUTED_VALUE"""),1.6599363E7)</f>
        <v>16599363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IFERROR(__xludf.DUMMYFUNCTION("""COMPUTED_VALUE"""),1639.0)</f>
        <v>1639</v>
      </c>
      <c r="C25" s="6">
        <f>IFERROR(__xludf.DUMMYFUNCTION("""COMPUTED_VALUE"""),1696.5)</f>
        <v>1696.5</v>
      </c>
      <c r="D25" s="6">
        <f>IFERROR(__xludf.DUMMYFUNCTION("""COMPUTED_VALUE"""),1625.45)</f>
        <v>1625.45</v>
      </c>
      <c r="E25" s="6">
        <f>IFERROR(__xludf.DUMMYFUNCTION("""COMPUTED_VALUE"""),1667.45)</f>
        <v>1667.45</v>
      </c>
      <c r="F25" s="6">
        <f>IFERROR(__xludf.DUMMYFUNCTION("""COMPUTED_VALUE"""),1.3734028E7)</f>
        <v>13734028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IFERROR(__xludf.DUMMYFUNCTION("""COMPUTED_VALUE"""),1670.0)</f>
        <v>1670</v>
      </c>
      <c r="C26" s="6">
        <f>IFERROR(__xludf.DUMMYFUNCTION("""COMPUTED_VALUE"""),1697.35)</f>
        <v>1697.35</v>
      </c>
      <c r="D26" s="6">
        <f>IFERROR(__xludf.DUMMYFUNCTION("""COMPUTED_VALUE"""),1632.05)</f>
        <v>1632.05</v>
      </c>
      <c r="E26" s="6">
        <f>IFERROR(__xludf.DUMMYFUNCTION("""COMPUTED_VALUE"""),1665.75)</f>
        <v>1665.75</v>
      </c>
      <c r="F26" s="6">
        <f>IFERROR(__xludf.DUMMYFUNCTION("""COMPUTED_VALUE"""),1.1906479E7)</f>
        <v>11906479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IFERROR(__xludf.DUMMYFUNCTION("""COMPUTED_VALUE"""),1649.0)</f>
        <v>1649</v>
      </c>
      <c r="C27" s="6">
        <f>IFERROR(__xludf.DUMMYFUNCTION("""COMPUTED_VALUE"""),1654.55)</f>
        <v>1654.55</v>
      </c>
      <c r="D27" s="6">
        <f>IFERROR(__xludf.DUMMYFUNCTION("""COMPUTED_VALUE"""),1603.85)</f>
        <v>1603.85</v>
      </c>
      <c r="E27" s="6">
        <f>IFERROR(__xludf.DUMMYFUNCTION("""COMPUTED_VALUE"""),1637.65)</f>
        <v>1637.65</v>
      </c>
      <c r="F27" s="6">
        <f>IFERROR(__xludf.DUMMYFUNCTION("""COMPUTED_VALUE"""),1.0675033E7)</f>
        <v>10675033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IFERROR(__xludf.DUMMYFUNCTION("""COMPUTED_VALUE"""),1655.0)</f>
        <v>1655</v>
      </c>
      <c r="C28" s="6">
        <f>IFERROR(__xludf.DUMMYFUNCTION("""COMPUTED_VALUE"""),1683.0)</f>
        <v>1683</v>
      </c>
      <c r="D28" s="6">
        <f>IFERROR(__xludf.DUMMYFUNCTION("""COMPUTED_VALUE"""),1610.0)</f>
        <v>1610</v>
      </c>
      <c r="E28" s="6">
        <f>IFERROR(__xludf.DUMMYFUNCTION("""COMPUTED_VALUE"""),1647.3)</f>
        <v>1647.3</v>
      </c>
      <c r="F28" s="6">
        <f>IFERROR(__xludf.DUMMYFUNCTION("""COMPUTED_VALUE"""),1.5394086E7)</f>
        <v>15394086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IFERROR(__xludf.DUMMYFUNCTION("""COMPUTED_VALUE"""),1649.9)</f>
        <v>1649.9</v>
      </c>
      <c r="C29" s="6">
        <f>IFERROR(__xludf.DUMMYFUNCTION("""COMPUTED_VALUE"""),1663.3)</f>
        <v>1663.3</v>
      </c>
      <c r="D29" s="6">
        <f>IFERROR(__xludf.DUMMYFUNCTION("""COMPUTED_VALUE"""),1508.2)</f>
        <v>1508.2</v>
      </c>
      <c r="E29" s="6">
        <f>IFERROR(__xludf.DUMMYFUNCTION("""COMPUTED_VALUE"""),1557.85)</f>
        <v>1557.85</v>
      </c>
      <c r="F29" s="6">
        <f>IFERROR(__xludf.DUMMYFUNCTION("""COMPUTED_VALUE"""),1.5067669E7)</f>
        <v>15067669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IFERROR(__xludf.DUMMYFUNCTION("""COMPUTED_VALUE"""),1562.25)</f>
        <v>1562.25</v>
      </c>
      <c r="C30" s="6">
        <f>IFERROR(__xludf.DUMMYFUNCTION("""COMPUTED_VALUE"""),1592.55)</f>
        <v>1592.55</v>
      </c>
      <c r="D30" s="6">
        <f>IFERROR(__xludf.DUMMYFUNCTION("""COMPUTED_VALUE"""),1531.0)</f>
        <v>1531</v>
      </c>
      <c r="E30" s="6">
        <f>IFERROR(__xludf.DUMMYFUNCTION("""COMPUTED_VALUE"""),1543.55)</f>
        <v>1543.55</v>
      </c>
      <c r="F30" s="6">
        <f>IFERROR(__xludf.DUMMYFUNCTION("""COMPUTED_VALUE"""),1.2387534E7)</f>
        <v>12387534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IFERROR(__xludf.DUMMYFUNCTION("""COMPUTED_VALUE"""),1549.0)</f>
        <v>1549</v>
      </c>
      <c r="C31" s="6">
        <f>IFERROR(__xludf.DUMMYFUNCTION("""COMPUTED_VALUE"""),1569.0)</f>
        <v>1569</v>
      </c>
      <c r="D31" s="6">
        <f>IFERROR(__xludf.DUMMYFUNCTION("""COMPUTED_VALUE"""),1518.0)</f>
        <v>1518</v>
      </c>
      <c r="E31" s="6">
        <f>IFERROR(__xludf.DUMMYFUNCTION("""COMPUTED_VALUE"""),1545.25)</f>
        <v>1545.25</v>
      </c>
      <c r="F31" s="6">
        <f>IFERROR(__xludf.DUMMYFUNCTION("""COMPUTED_VALUE"""),1.2552535E7)</f>
        <v>12552535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IFERROR(__xludf.DUMMYFUNCTION("""COMPUTED_VALUE"""),1554.0)</f>
        <v>1554</v>
      </c>
      <c r="C32" s="6">
        <f>IFERROR(__xludf.DUMMYFUNCTION("""COMPUTED_VALUE"""),1561.8)</f>
        <v>1561.8</v>
      </c>
      <c r="D32" s="6">
        <f>IFERROR(__xludf.DUMMYFUNCTION("""COMPUTED_VALUE"""),1516.2)</f>
        <v>1516.2</v>
      </c>
      <c r="E32" s="6">
        <f>IFERROR(__xludf.DUMMYFUNCTION("""COMPUTED_VALUE"""),1521.5)</f>
        <v>1521.5</v>
      </c>
      <c r="F32" s="6">
        <f>IFERROR(__xludf.DUMMYFUNCTION("""COMPUTED_VALUE"""),1.0402208E7)</f>
        <v>10402208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IFERROR(__xludf.DUMMYFUNCTION("""COMPUTED_VALUE"""),1507.1)</f>
        <v>1507.1</v>
      </c>
      <c r="C33" s="6">
        <f>IFERROR(__xludf.DUMMYFUNCTION("""COMPUTED_VALUE"""),1530.5)</f>
        <v>1530.5</v>
      </c>
      <c r="D33" s="6">
        <f>IFERROR(__xludf.DUMMYFUNCTION("""COMPUTED_VALUE"""),1435.0)</f>
        <v>1435</v>
      </c>
      <c r="E33" s="6">
        <f>IFERROR(__xludf.DUMMYFUNCTION("""COMPUTED_VALUE"""),1447.5)</f>
        <v>1447.5</v>
      </c>
      <c r="F33" s="6">
        <f>IFERROR(__xludf.DUMMYFUNCTION("""COMPUTED_VALUE"""),1.6142346E7)</f>
        <v>16142346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IFERROR(__xludf.DUMMYFUNCTION("""COMPUTED_VALUE"""),1452.2)</f>
        <v>1452.2</v>
      </c>
      <c r="C34" s="6">
        <f>IFERROR(__xludf.DUMMYFUNCTION("""COMPUTED_VALUE"""),1531.45)</f>
        <v>1531.45</v>
      </c>
      <c r="D34" s="6">
        <f>IFERROR(__xludf.DUMMYFUNCTION("""COMPUTED_VALUE"""),1450.5)</f>
        <v>1450.5</v>
      </c>
      <c r="E34" s="6">
        <f>IFERROR(__xludf.DUMMYFUNCTION("""COMPUTED_VALUE"""),1473.85)</f>
        <v>1473.85</v>
      </c>
      <c r="F34" s="6">
        <f>IFERROR(__xludf.DUMMYFUNCTION("""COMPUTED_VALUE"""),1.493147E7)</f>
        <v>14931470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IFERROR(__xludf.DUMMYFUNCTION("""COMPUTED_VALUE"""),1415.0)</f>
        <v>1415</v>
      </c>
      <c r="C35" s="6">
        <f>IFERROR(__xludf.DUMMYFUNCTION("""COMPUTED_VALUE"""),1436.0)</f>
        <v>1436</v>
      </c>
      <c r="D35" s="6">
        <f>IFERROR(__xludf.DUMMYFUNCTION("""COMPUTED_VALUE"""),1333.55)</f>
        <v>1333.55</v>
      </c>
      <c r="E35" s="6">
        <f>IFERROR(__xludf.DUMMYFUNCTION("""COMPUTED_VALUE"""),1348.05)</f>
        <v>1348.05</v>
      </c>
      <c r="F35" s="6">
        <f>IFERROR(__xludf.DUMMYFUNCTION("""COMPUTED_VALUE"""),3.1619682E7)</f>
        <v>31619682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IFERROR(__xludf.DUMMYFUNCTION("""COMPUTED_VALUE"""),1358.0)</f>
        <v>1358</v>
      </c>
      <c r="C36" s="6">
        <f>IFERROR(__xludf.DUMMYFUNCTION("""COMPUTED_VALUE"""),1365.0)</f>
        <v>1365</v>
      </c>
      <c r="D36" s="6">
        <f>IFERROR(__xludf.DUMMYFUNCTION("""COMPUTED_VALUE"""),1303.6)</f>
        <v>1303.6</v>
      </c>
      <c r="E36" s="6">
        <f>IFERROR(__xludf.DUMMYFUNCTION("""COMPUTED_VALUE"""),1316.2)</f>
        <v>1316.2</v>
      </c>
      <c r="F36" s="6">
        <f>IFERROR(__xludf.DUMMYFUNCTION("""COMPUTED_VALUE"""),2.3444027E7)</f>
        <v>23444027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IFERROR(__xludf.DUMMYFUNCTION("""COMPUTED_VALUE"""),1314.0)</f>
        <v>1314</v>
      </c>
      <c r="C37" s="6">
        <f>IFERROR(__xludf.DUMMYFUNCTION("""COMPUTED_VALUE"""),1360.0)</f>
        <v>1360</v>
      </c>
      <c r="D37" s="6">
        <f>IFERROR(__xludf.DUMMYFUNCTION("""COMPUTED_VALUE"""),1314.0)</f>
        <v>1314</v>
      </c>
      <c r="E37" s="6">
        <f>IFERROR(__xludf.DUMMYFUNCTION("""COMPUTED_VALUE"""),1345.2)</f>
        <v>1345.2</v>
      </c>
      <c r="F37" s="6">
        <f>IFERROR(__xludf.DUMMYFUNCTION("""COMPUTED_VALUE"""),1.2453613E7)</f>
        <v>12453613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IFERROR(__xludf.DUMMYFUNCTION("""COMPUTED_VALUE"""),1351.0)</f>
        <v>1351</v>
      </c>
      <c r="C38" s="6">
        <f>IFERROR(__xludf.DUMMYFUNCTION("""COMPUTED_VALUE"""),1366.6)</f>
        <v>1366.6</v>
      </c>
      <c r="D38" s="6">
        <f>IFERROR(__xludf.DUMMYFUNCTION("""COMPUTED_VALUE"""),1315.75)</f>
        <v>1315.75</v>
      </c>
      <c r="E38" s="6">
        <f>IFERROR(__xludf.DUMMYFUNCTION("""COMPUTED_VALUE"""),1324.1)</f>
        <v>1324.1</v>
      </c>
      <c r="F38" s="6">
        <f>IFERROR(__xludf.DUMMYFUNCTION("""COMPUTED_VALUE"""),2.2404984E7)</f>
        <v>22404984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IFERROR(__xludf.DUMMYFUNCTION("""COMPUTED_VALUE"""),1350.55)</f>
        <v>1350.55</v>
      </c>
      <c r="C39" s="6">
        <f>IFERROR(__xludf.DUMMYFUNCTION("""COMPUTED_VALUE"""),1438.65)</f>
        <v>1438.65</v>
      </c>
      <c r="D39" s="6">
        <f>IFERROR(__xludf.DUMMYFUNCTION("""COMPUTED_VALUE"""),1235.0)</f>
        <v>1235</v>
      </c>
      <c r="E39" s="6">
        <f>IFERROR(__xludf.DUMMYFUNCTION("""COMPUTED_VALUE"""),1431.5)</f>
        <v>1431.5</v>
      </c>
      <c r="F39" s="6">
        <f>IFERROR(__xludf.DUMMYFUNCTION("""COMPUTED_VALUE"""),2.5657181E7)</f>
        <v>25657181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IFERROR(__xludf.DUMMYFUNCTION("""COMPUTED_VALUE"""),1440.0)</f>
        <v>1440</v>
      </c>
      <c r="C40" s="6">
        <f>IFERROR(__xludf.DUMMYFUNCTION("""COMPUTED_VALUE"""),1472.0)</f>
        <v>1472</v>
      </c>
      <c r="D40" s="6">
        <f>IFERROR(__xludf.DUMMYFUNCTION("""COMPUTED_VALUE"""),1397.5)</f>
        <v>1397.5</v>
      </c>
      <c r="E40" s="6">
        <f>IFERROR(__xludf.DUMMYFUNCTION("""COMPUTED_VALUE"""),1431.05)</f>
        <v>1431.05</v>
      </c>
      <c r="F40" s="6">
        <f>IFERROR(__xludf.DUMMYFUNCTION("""COMPUTED_VALUE"""),1.8851657E7)</f>
        <v>18851657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IFERROR(__xludf.DUMMYFUNCTION("""COMPUTED_VALUE"""),1431.05)</f>
        <v>1431.05</v>
      </c>
      <c r="C41" s="6">
        <f>IFERROR(__xludf.DUMMYFUNCTION("""COMPUTED_VALUE"""),1481.95)</f>
        <v>1481.95</v>
      </c>
      <c r="D41" s="6">
        <f>IFERROR(__xludf.DUMMYFUNCTION("""COMPUTED_VALUE"""),1427.05)</f>
        <v>1427.05</v>
      </c>
      <c r="E41" s="6">
        <f>IFERROR(__xludf.DUMMYFUNCTION("""COMPUTED_VALUE"""),1447.85)</f>
        <v>1447.85</v>
      </c>
      <c r="F41" s="6">
        <f>IFERROR(__xludf.DUMMYFUNCTION("""COMPUTED_VALUE"""),1.4993732E7)</f>
        <v>14993732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IFERROR(__xludf.DUMMYFUNCTION("""COMPUTED_VALUE"""),1437.85)</f>
        <v>1437.85</v>
      </c>
      <c r="C42" s="6">
        <f>IFERROR(__xludf.DUMMYFUNCTION("""COMPUTED_VALUE"""),1468.7)</f>
        <v>1468.7</v>
      </c>
      <c r="D42" s="6">
        <f>IFERROR(__xludf.DUMMYFUNCTION("""COMPUTED_VALUE"""),1423.5)</f>
        <v>1423.5</v>
      </c>
      <c r="E42" s="6">
        <f>IFERROR(__xludf.DUMMYFUNCTION("""COMPUTED_VALUE"""),1459.6)</f>
        <v>1459.6</v>
      </c>
      <c r="F42" s="6">
        <f>IFERROR(__xludf.DUMMYFUNCTION("""COMPUTED_VALUE"""),1.7541921E7)</f>
        <v>17541921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IFERROR(__xludf.DUMMYFUNCTION("""COMPUTED_VALUE"""),1465.0)</f>
        <v>1465</v>
      </c>
      <c r="C43" s="6">
        <f>IFERROR(__xludf.DUMMYFUNCTION("""COMPUTED_VALUE"""),1534.55)</f>
        <v>1534.55</v>
      </c>
      <c r="D43" s="6">
        <f>IFERROR(__xludf.DUMMYFUNCTION("""COMPUTED_VALUE"""),1455.0)</f>
        <v>1455</v>
      </c>
      <c r="E43" s="6">
        <f>IFERROR(__xludf.DUMMYFUNCTION("""COMPUTED_VALUE"""),1519.4)</f>
        <v>1519.4</v>
      </c>
      <c r="F43" s="6">
        <f>IFERROR(__xludf.DUMMYFUNCTION("""COMPUTED_VALUE"""),1.9489781E7)</f>
        <v>19489781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IFERROR(__xludf.DUMMYFUNCTION("""COMPUTED_VALUE"""),1528.0)</f>
        <v>1528</v>
      </c>
      <c r="C44" s="6">
        <f>IFERROR(__xludf.DUMMYFUNCTION("""COMPUTED_VALUE"""),1566.0)</f>
        <v>1566</v>
      </c>
      <c r="D44" s="6">
        <f>IFERROR(__xludf.DUMMYFUNCTION("""COMPUTED_VALUE"""),1487.85)</f>
        <v>1487.85</v>
      </c>
      <c r="E44" s="6">
        <f>IFERROR(__xludf.DUMMYFUNCTION("""COMPUTED_VALUE"""),1560.2)</f>
        <v>1560.2</v>
      </c>
      <c r="F44" s="6">
        <f>IFERROR(__xludf.DUMMYFUNCTION("""COMPUTED_VALUE"""),1.8840024E7)</f>
        <v>18840024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IFERROR(__xludf.DUMMYFUNCTION("""COMPUTED_VALUE"""),1580.0)</f>
        <v>1580</v>
      </c>
      <c r="C45" s="6">
        <f>IFERROR(__xludf.DUMMYFUNCTION("""COMPUTED_VALUE"""),1636.4)</f>
        <v>1636.4</v>
      </c>
      <c r="D45" s="6">
        <f>IFERROR(__xludf.DUMMYFUNCTION("""COMPUTED_VALUE"""),1555.0)</f>
        <v>1555</v>
      </c>
      <c r="E45" s="6">
        <f>IFERROR(__xludf.DUMMYFUNCTION("""COMPUTED_VALUE"""),1594.55)</f>
        <v>1594.55</v>
      </c>
      <c r="F45" s="6">
        <f>IFERROR(__xludf.DUMMYFUNCTION("""COMPUTED_VALUE"""),2.3911445E7)</f>
        <v>23911445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IFERROR(__xludf.DUMMYFUNCTION("""COMPUTED_VALUE"""),1588.6)</f>
        <v>1588.6</v>
      </c>
      <c r="C46" s="6">
        <f>IFERROR(__xludf.DUMMYFUNCTION("""COMPUTED_VALUE"""),1640.0)</f>
        <v>1640</v>
      </c>
      <c r="D46" s="6">
        <f>IFERROR(__xludf.DUMMYFUNCTION("""COMPUTED_VALUE"""),1551.1)</f>
        <v>1551.1</v>
      </c>
      <c r="E46" s="6">
        <f>IFERROR(__xludf.DUMMYFUNCTION("""COMPUTED_VALUE"""),1635.35)</f>
        <v>1635.35</v>
      </c>
      <c r="F46" s="6">
        <f>IFERROR(__xludf.DUMMYFUNCTION("""COMPUTED_VALUE"""),1.3845358E7)</f>
        <v>13845358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IFERROR(__xludf.DUMMYFUNCTION("""COMPUTED_VALUE"""),1640.2)</f>
        <v>1640.2</v>
      </c>
      <c r="C47" s="6">
        <f>IFERROR(__xludf.DUMMYFUNCTION("""COMPUTED_VALUE"""),1655.5)</f>
        <v>1655.5</v>
      </c>
      <c r="D47" s="6">
        <f>IFERROR(__xludf.DUMMYFUNCTION("""COMPUTED_VALUE"""),1601.15)</f>
        <v>1601.15</v>
      </c>
      <c r="E47" s="6">
        <f>IFERROR(__xludf.DUMMYFUNCTION("""COMPUTED_VALUE"""),1609.3)</f>
        <v>1609.3</v>
      </c>
      <c r="F47" s="6">
        <f>IFERROR(__xludf.DUMMYFUNCTION("""COMPUTED_VALUE"""),8886393.0)</f>
        <v>8886393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IFERROR(__xludf.DUMMYFUNCTION("""COMPUTED_VALUE"""),1575.0)</f>
        <v>1575</v>
      </c>
      <c r="C48" s="6">
        <f>IFERROR(__xludf.DUMMYFUNCTION("""COMPUTED_VALUE"""),1615.0)</f>
        <v>1615</v>
      </c>
      <c r="D48" s="6">
        <f>IFERROR(__xludf.DUMMYFUNCTION("""COMPUTED_VALUE"""),1537.0)</f>
        <v>1537</v>
      </c>
      <c r="E48" s="6">
        <f>IFERROR(__xludf.DUMMYFUNCTION("""COMPUTED_VALUE"""),1589.95)</f>
        <v>1589.95</v>
      </c>
      <c r="F48" s="6">
        <f>IFERROR(__xludf.DUMMYFUNCTION("""COMPUTED_VALUE"""),1.1711775E7)</f>
        <v>11711775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IFERROR(__xludf.DUMMYFUNCTION("""COMPUTED_VALUE"""),1590.0)</f>
        <v>1590</v>
      </c>
      <c r="C49" s="6">
        <f>IFERROR(__xludf.DUMMYFUNCTION("""COMPUTED_VALUE"""),1674.0)</f>
        <v>1674</v>
      </c>
      <c r="D49" s="6">
        <f>IFERROR(__xludf.DUMMYFUNCTION("""COMPUTED_VALUE"""),1573.85)</f>
        <v>1573.85</v>
      </c>
      <c r="E49" s="6">
        <f>IFERROR(__xludf.DUMMYFUNCTION("""COMPUTED_VALUE"""),1668.25)</f>
        <v>1668.25</v>
      </c>
      <c r="F49" s="6">
        <f>IFERROR(__xludf.DUMMYFUNCTION("""COMPUTED_VALUE"""),1.0280768E7)</f>
        <v>10280768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IFERROR(__xludf.DUMMYFUNCTION("""COMPUTED_VALUE"""),1665.0)</f>
        <v>1665</v>
      </c>
      <c r="C50" s="6">
        <f>IFERROR(__xludf.DUMMYFUNCTION("""COMPUTED_VALUE"""),1695.05)</f>
        <v>1695.05</v>
      </c>
      <c r="D50" s="6">
        <f>IFERROR(__xludf.DUMMYFUNCTION("""COMPUTED_VALUE"""),1657.15)</f>
        <v>1657.15</v>
      </c>
      <c r="E50" s="6">
        <f>IFERROR(__xludf.DUMMYFUNCTION("""COMPUTED_VALUE"""),1661.45)</f>
        <v>1661.45</v>
      </c>
      <c r="F50" s="6">
        <f>IFERROR(__xludf.DUMMYFUNCTION("""COMPUTED_VALUE"""),9735738.0)</f>
        <v>9735738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IFERROR(__xludf.DUMMYFUNCTION("""COMPUTED_VALUE"""),1671.0)</f>
        <v>1671</v>
      </c>
      <c r="C51" s="6">
        <f>IFERROR(__xludf.DUMMYFUNCTION("""COMPUTED_VALUE"""),1766.3)</f>
        <v>1766.3</v>
      </c>
      <c r="D51" s="6">
        <f>IFERROR(__xludf.DUMMYFUNCTION("""COMPUTED_VALUE"""),1667.1)</f>
        <v>1667.1</v>
      </c>
      <c r="E51" s="6">
        <f>IFERROR(__xludf.DUMMYFUNCTION("""COMPUTED_VALUE"""),1753.25)</f>
        <v>1753.25</v>
      </c>
      <c r="F51" s="6">
        <f>IFERROR(__xludf.DUMMYFUNCTION("""COMPUTED_VALUE"""),1.8650624E7)</f>
        <v>18650624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IFERROR(__xludf.DUMMYFUNCTION("""COMPUTED_VALUE"""),1764.2)</f>
        <v>1764.2</v>
      </c>
      <c r="C52" s="6">
        <f>IFERROR(__xludf.DUMMYFUNCTION("""COMPUTED_VALUE"""),1817.15)</f>
        <v>1817.15</v>
      </c>
      <c r="D52" s="6">
        <f>IFERROR(__xludf.DUMMYFUNCTION("""COMPUTED_VALUE"""),1740.05)</f>
        <v>1740.05</v>
      </c>
      <c r="E52" s="6">
        <f>IFERROR(__xludf.DUMMYFUNCTION("""COMPUTED_VALUE"""),1756.1)</f>
        <v>1756.1</v>
      </c>
      <c r="F52" s="6">
        <f>IFERROR(__xludf.DUMMYFUNCTION("""COMPUTED_VALUE"""),1.5873881E7)</f>
        <v>15873881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IFERROR(__xludf.DUMMYFUNCTION("""COMPUTED_VALUE"""),1758.35)</f>
        <v>1758.35</v>
      </c>
      <c r="C53" s="6">
        <f>IFERROR(__xludf.DUMMYFUNCTION("""COMPUTED_VALUE"""),1820.0)</f>
        <v>1820</v>
      </c>
      <c r="D53" s="6">
        <f>IFERROR(__xludf.DUMMYFUNCTION("""COMPUTED_VALUE"""),1741.15)</f>
        <v>1741.15</v>
      </c>
      <c r="E53" s="6">
        <f>IFERROR(__xludf.DUMMYFUNCTION("""COMPUTED_VALUE"""),1812.8)</f>
        <v>1812.8</v>
      </c>
      <c r="F53" s="6">
        <f>IFERROR(__xludf.DUMMYFUNCTION("""COMPUTED_VALUE"""),1.0978534E7)</f>
        <v>10978534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IFERROR(__xludf.DUMMYFUNCTION("""COMPUTED_VALUE"""),1819.0)</f>
        <v>1819</v>
      </c>
      <c r="C54" s="6">
        <f>IFERROR(__xludf.DUMMYFUNCTION("""COMPUTED_VALUE"""),1828.0)</f>
        <v>1828</v>
      </c>
      <c r="D54" s="6">
        <f>IFERROR(__xludf.DUMMYFUNCTION("""COMPUTED_VALUE"""),1721.4)</f>
        <v>1721.4</v>
      </c>
      <c r="E54" s="6">
        <f>IFERROR(__xludf.DUMMYFUNCTION("""COMPUTED_VALUE"""),1760.05)</f>
        <v>1760.05</v>
      </c>
      <c r="F54" s="6">
        <f>IFERROR(__xludf.DUMMYFUNCTION("""COMPUTED_VALUE"""),1.3107342E7)</f>
        <v>13107342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IFERROR(__xludf.DUMMYFUNCTION("""COMPUTED_VALUE"""),1764.0)</f>
        <v>1764</v>
      </c>
      <c r="C55" s="6">
        <f>IFERROR(__xludf.DUMMYFUNCTION("""COMPUTED_VALUE"""),1828.55)</f>
        <v>1828.55</v>
      </c>
      <c r="D55" s="6">
        <f>IFERROR(__xludf.DUMMYFUNCTION("""COMPUTED_VALUE"""),1732.5)</f>
        <v>1732.5</v>
      </c>
      <c r="E55" s="6">
        <f>IFERROR(__xludf.DUMMYFUNCTION("""COMPUTED_VALUE"""),1808.4)</f>
        <v>1808.4</v>
      </c>
      <c r="F55" s="6">
        <f>IFERROR(__xludf.DUMMYFUNCTION("""COMPUTED_VALUE"""),1.4091831E7)</f>
        <v>14091831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IFERROR(__xludf.DUMMYFUNCTION("""COMPUTED_VALUE"""),1808.0)</f>
        <v>1808</v>
      </c>
      <c r="C56" s="6">
        <f>IFERROR(__xludf.DUMMYFUNCTION("""COMPUTED_VALUE"""),1822.45)</f>
        <v>1822.45</v>
      </c>
      <c r="D56" s="6">
        <f>IFERROR(__xludf.DUMMYFUNCTION("""COMPUTED_VALUE"""),1767.25)</f>
        <v>1767.25</v>
      </c>
      <c r="E56" s="6">
        <f>IFERROR(__xludf.DUMMYFUNCTION("""COMPUTED_VALUE"""),1776.6)</f>
        <v>1776.6</v>
      </c>
      <c r="F56" s="6">
        <f>IFERROR(__xludf.DUMMYFUNCTION("""COMPUTED_VALUE"""),1.0295581E7)</f>
        <v>10295581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IFERROR(__xludf.DUMMYFUNCTION("""COMPUTED_VALUE"""),1784.95)</f>
        <v>1784.95</v>
      </c>
      <c r="C57" s="6">
        <f>IFERROR(__xludf.DUMMYFUNCTION("""COMPUTED_VALUE"""),1852.8)</f>
        <v>1852.8</v>
      </c>
      <c r="D57" s="6">
        <f>IFERROR(__xludf.DUMMYFUNCTION("""COMPUTED_VALUE"""),1743.0)</f>
        <v>1743</v>
      </c>
      <c r="E57" s="6">
        <f>IFERROR(__xludf.DUMMYFUNCTION("""COMPUTED_VALUE"""),1839.65)</f>
        <v>1839.65</v>
      </c>
      <c r="F57" s="6">
        <f>IFERROR(__xludf.DUMMYFUNCTION("""COMPUTED_VALUE"""),1.5002653E7)</f>
        <v>15002653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IFERROR(__xludf.DUMMYFUNCTION("""COMPUTED_VALUE"""),1846.05)</f>
        <v>1846.05</v>
      </c>
      <c r="C58" s="6">
        <f>IFERROR(__xludf.DUMMYFUNCTION("""COMPUTED_VALUE"""),1885.0)</f>
        <v>1885</v>
      </c>
      <c r="D58" s="6">
        <f>IFERROR(__xludf.DUMMYFUNCTION("""COMPUTED_VALUE"""),1829.95)</f>
        <v>1829.95</v>
      </c>
      <c r="E58" s="6">
        <f>IFERROR(__xludf.DUMMYFUNCTION("""COMPUTED_VALUE"""),1857.7)</f>
        <v>1857.7</v>
      </c>
      <c r="F58" s="6">
        <f>IFERROR(__xludf.DUMMYFUNCTION("""COMPUTED_VALUE"""),1.4357583E7)</f>
        <v>14357583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IFERROR(__xludf.DUMMYFUNCTION("""COMPUTED_VALUE"""),1875.3)</f>
        <v>1875.3</v>
      </c>
      <c r="C59" s="6">
        <f>IFERROR(__xludf.DUMMYFUNCTION("""COMPUTED_VALUE"""),1888.5)</f>
        <v>1888.5</v>
      </c>
      <c r="D59" s="6">
        <f>IFERROR(__xludf.DUMMYFUNCTION("""COMPUTED_VALUE"""),1793.5)</f>
        <v>1793.5</v>
      </c>
      <c r="E59" s="6">
        <f>IFERROR(__xludf.DUMMYFUNCTION("""COMPUTED_VALUE"""),1852.35)</f>
        <v>1852.35</v>
      </c>
      <c r="F59" s="6">
        <f>IFERROR(__xludf.DUMMYFUNCTION("""COMPUTED_VALUE"""),1.1596758E7)</f>
        <v>11596758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IFERROR(__xludf.DUMMYFUNCTION("""COMPUTED_VALUE"""),1763.0)</f>
        <v>1763</v>
      </c>
      <c r="C60" s="6">
        <f>IFERROR(__xludf.DUMMYFUNCTION("""COMPUTED_VALUE"""),1862.55)</f>
        <v>1862.55</v>
      </c>
      <c r="D60" s="6">
        <f>IFERROR(__xludf.DUMMYFUNCTION("""COMPUTED_VALUE"""),1745.0)</f>
        <v>1745</v>
      </c>
      <c r="E60" s="6">
        <f>IFERROR(__xludf.DUMMYFUNCTION("""COMPUTED_VALUE"""),1837.5)</f>
        <v>1837.5</v>
      </c>
      <c r="F60" s="6">
        <f>IFERROR(__xludf.DUMMYFUNCTION("""COMPUTED_VALUE"""),1.1834262E7)</f>
        <v>11834262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IFERROR(__xludf.DUMMYFUNCTION("""COMPUTED_VALUE"""),1846.7)</f>
        <v>1846.7</v>
      </c>
      <c r="C61" s="6">
        <f>IFERROR(__xludf.DUMMYFUNCTION("""COMPUTED_VALUE"""),1897.0)</f>
        <v>1897</v>
      </c>
      <c r="D61" s="6">
        <f>IFERROR(__xludf.DUMMYFUNCTION("""COMPUTED_VALUE"""),1834.0)</f>
        <v>1834</v>
      </c>
      <c r="E61" s="6">
        <f>IFERROR(__xludf.DUMMYFUNCTION("""COMPUTED_VALUE"""),1858.95)</f>
        <v>1858.95</v>
      </c>
      <c r="F61" s="6">
        <f>IFERROR(__xludf.DUMMYFUNCTION("""COMPUTED_VALUE"""),8107558.0)</f>
        <v>8107558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IFERROR(__xludf.DUMMYFUNCTION("""COMPUTED_VALUE"""),1858.95)</f>
        <v>1858.95</v>
      </c>
      <c r="C62" s="6">
        <f>IFERROR(__xludf.DUMMYFUNCTION("""COMPUTED_VALUE"""),1902.0)</f>
        <v>1902</v>
      </c>
      <c r="D62" s="6">
        <f>IFERROR(__xludf.DUMMYFUNCTION("""COMPUTED_VALUE"""),1815.0)</f>
        <v>1815</v>
      </c>
      <c r="E62" s="6">
        <f>IFERROR(__xludf.DUMMYFUNCTION("""COMPUTED_VALUE"""),1898.4)</f>
        <v>1898.4</v>
      </c>
      <c r="F62" s="6">
        <f>IFERROR(__xludf.DUMMYFUNCTION("""COMPUTED_VALUE"""),9445332.0)</f>
        <v>9445332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IFERROR(__xludf.DUMMYFUNCTION("""COMPUTED_VALUE"""),1919.0)</f>
        <v>1919</v>
      </c>
      <c r="C63" s="6">
        <f>IFERROR(__xludf.DUMMYFUNCTION("""COMPUTED_VALUE"""),1919.95)</f>
        <v>1919.95</v>
      </c>
      <c r="D63" s="6">
        <f>IFERROR(__xludf.DUMMYFUNCTION("""COMPUTED_VALUE"""),1833.95)</f>
        <v>1833.95</v>
      </c>
      <c r="E63" s="6">
        <f>IFERROR(__xludf.DUMMYFUNCTION("""COMPUTED_VALUE"""),1848.05)</f>
        <v>1848.05</v>
      </c>
      <c r="F63" s="6">
        <f>IFERROR(__xludf.DUMMYFUNCTION("""COMPUTED_VALUE"""),1.6356907E7)</f>
        <v>16356907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IFERROR(__xludf.DUMMYFUNCTION("""COMPUTED_VALUE"""),1848.05)</f>
        <v>1848.05</v>
      </c>
      <c r="C64" s="6">
        <f>IFERROR(__xludf.DUMMYFUNCTION("""COMPUTED_VALUE"""),1939.35)</f>
        <v>1939.35</v>
      </c>
      <c r="D64" s="6">
        <f>IFERROR(__xludf.DUMMYFUNCTION("""COMPUTED_VALUE"""),1835.45)</f>
        <v>1835.45</v>
      </c>
      <c r="E64" s="6">
        <f>IFERROR(__xludf.DUMMYFUNCTION("""COMPUTED_VALUE"""),1922.7)</f>
        <v>1922.7</v>
      </c>
      <c r="F64" s="6">
        <f>IFERROR(__xludf.DUMMYFUNCTION("""COMPUTED_VALUE"""),1.4832257E7)</f>
        <v>14832257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IFERROR(__xludf.DUMMYFUNCTION("""COMPUTED_VALUE"""),1915.0)</f>
        <v>1915</v>
      </c>
      <c r="C65" s="6">
        <f>IFERROR(__xludf.DUMMYFUNCTION("""COMPUTED_VALUE"""),1975.0)</f>
        <v>1975</v>
      </c>
      <c r="D65" s="6">
        <f>IFERROR(__xludf.DUMMYFUNCTION("""COMPUTED_VALUE"""),1901.0)</f>
        <v>1901</v>
      </c>
      <c r="E65" s="6">
        <f>IFERROR(__xludf.DUMMYFUNCTION("""COMPUTED_VALUE"""),1968.8)</f>
        <v>1968.8</v>
      </c>
      <c r="F65" s="6">
        <f>IFERROR(__xludf.DUMMYFUNCTION("""COMPUTED_VALUE"""),1.0337935E7)</f>
        <v>10337935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IFERROR(__xludf.DUMMYFUNCTION("""COMPUTED_VALUE"""),1970.85)</f>
        <v>1970.85</v>
      </c>
      <c r="C66" s="6">
        <f>IFERROR(__xludf.DUMMYFUNCTION("""COMPUTED_VALUE"""),1980.0)</f>
        <v>1980</v>
      </c>
      <c r="D66" s="6">
        <f>IFERROR(__xludf.DUMMYFUNCTION("""COMPUTED_VALUE"""),1896.4)</f>
        <v>1896.4</v>
      </c>
      <c r="E66" s="6">
        <f>IFERROR(__xludf.DUMMYFUNCTION("""COMPUTED_VALUE"""),1911.35)</f>
        <v>1911.35</v>
      </c>
      <c r="F66" s="6">
        <f>IFERROR(__xludf.DUMMYFUNCTION("""COMPUTED_VALUE"""),1.2522946E7)</f>
        <v>12522946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IFERROR(__xludf.DUMMYFUNCTION("""COMPUTED_VALUE"""),1918.5)</f>
        <v>1918.5</v>
      </c>
      <c r="C67" s="6">
        <f>IFERROR(__xludf.DUMMYFUNCTION("""COMPUTED_VALUE"""),1939.4)</f>
        <v>1939.4</v>
      </c>
      <c r="D67" s="6">
        <f>IFERROR(__xludf.DUMMYFUNCTION("""COMPUTED_VALUE"""),1882.7)</f>
        <v>1882.7</v>
      </c>
      <c r="E67" s="6">
        <f>IFERROR(__xludf.DUMMYFUNCTION("""COMPUTED_VALUE"""),1892.0)</f>
        <v>1892</v>
      </c>
      <c r="F67" s="6">
        <f>IFERROR(__xludf.DUMMYFUNCTION("""COMPUTED_VALUE"""),5762293.0)</f>
        <v>5762293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IFERROR(__xludf.DUMMYFUNCTION("""COMPUTED_VALUE"""),1888.0)</f>
        <v>1888</v>
      </c>
      <c r="C68" s="6">
        <f>IFERROR(__xludf.DUMMYFUNCTION("""COMPUTED_VALUE"""),1992.1)</f>
        <v>1992.1</v>
      </c>
      <c r="D68" s="6">
        <f>IFERROR(__xludf.DUMMYFUNCTION("""COMPUTED_VALUE"""),1865.65)</f>
        <v>1865.65</v>
      </c>
      <c r="E68" s="6">
        <f>IFERROR(__xludf.DUMMYFUNCTION("""COMPUTED_VALUE"""),1946.65)</f>
        <v>1946.65</v>
      </c>
      <c r="F68" s="6">
        <f>IFERROR(__xludf.DUMMYFUNCTION("""COMPUTED_VALUE"""),1.5452537E7)</f>
        <v>15452537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IFERROR(__xludf.DUMMYFUNCTION("""COMPUTED_VALUE"""),1951.25)</f>
        <v>1951.25</v>
      </c>
      <c r="C69" s="6">
        <f>IFERROR(__xludf.DUMMYFUNCTION("""COMPUTED_VALUE"""),2002.35)</f>
        <v>2002.35</v>
      </c>
      <c r="D69" s="6">
        <f>IFERROR(__xludf.DUMMYFUNCTION("""COMPUTED_VALUE"""),1894.55)</f>
        <v>1894.55</v>
      </c>
      <c r="E69" s="6">
        <f>IFERROR(__xludf.DUMMYFUNCTION("""COMPUTED_VALUE"""),1995.1)</f>
        <v>1995.1</v>
      </c>
      <c r="F69" s="6">
        <f>IFERROR(__xludf.DUMMYFUNCTION("""COMPUTED_VALUE"""),1.419994E7)</f>
        <v>14199940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IFERROR(__xludf.DUMMYFUNCTION("""COMPUTED_VALUE"""),1994.9)</f>
        <v>1994.9</v>
      </c>
      <c r="C70" s="6">
        <f>IFERROR(__xludf.DUMMYFUNCTION("""COMPUTED_VALUE"""),2012.2)</f>
        <v>2012.2</v>
      </c>
      <c r="D70" s="6">
        <f>IFERROR(__xludf.DUMMYFUNCTION("""COMPUTED_VALUE"""),1750.05)</f>
        <v>1750.05</v>
      </c>
      <c r="E70" s="6">
        <f>IFERROR(__xludf.DUMMYFUNCTION("""COMPUTED_VALUE"""),1788.9)</f>
        <v>1788.9</v>
      </c>
      <c r="F70" s="6">
        <f>IFERROR(__xludf.DUMMYFUNCTION("""COMPUTED_VALUE"""),3.2650408E7)</f>
        <v>32650408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IFERROR(__xludf.DUMMYFUNCTION("""COMPUTED_VALUE"""),1790.1)</f>
        <v>1790.1</v>
      </c>
      <c r="C71" s="6">
        <f>IFERROR(__xludf.DUMMYFUNCTION("""COMPUTED_VALUE"""),1831.45)</f>
        <v>1831.45</v>
      </c>
      <c r="D71" s="6">
        <f>IFERROR(__xludf.DUMMYFUNCTION("""COMPUTED_VALUE"""),1762.6)</f>
        <v>1762.6</v>
      </c>
      <c r="E71" s="6">
        <f>IFERROR(__xludf.DUMMYFUNCTION("""COMPUTED_VALUE"""),1792.85)</f>
        <v>1792.85</v>
      </c>
      <c r="F71" s="6">
        <f>IFERROR(__xludf.DUMMYFUNCTION("""COMPUTED_VALUE"""),1.7337811E7)</f>
        <v>17337811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IFERROR(__xludf.DUMMYFUNCTION("""COMPUTED_VALUE"""),1665.0)</f>
        <v>1665</v>
      </c>
      <c r="C72" s="6">
        <f>IFERROR(__xludf.DUMMYFUNCTION("""COMPUTED_VALUE"""),1746.8)</f>
        <v>1746.8</v>
      </c>
      <c r="D72" s="6">
        <f>IFERROR(__xludf.DUMMYFUNCTION("""COMPUTED_VALUE"""),1661.5)</f>
        <v>1661.5</v>
      </c>
      <c r="E72" s="6">
        <f>IFERROR(__xludf.DUMMYFUNCTION("""COMPUTED_VALUE"""),1725.65)</f>
        <v>1725.65</v>
      </c>
      <c r="F72" s="6">
        <f>IFERROR(__xludf.DUMMYFUNCTION("""COMPUTED_VALUE"""),1.3475535E7)</f>
        <v>13475535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IFERROR(__xludf.DUMMYFUNCTION("""COMPUTED_VALUE"""),1723.95)</f>
        <v>1723.95</v>
      </c>
      <c r="C73" s="6">
        <f>IFERROR(__xludf.DUMMYFUNCTION("""COMPUTED_VALUE"""),1749.0)</f>
        <v>1749</v>
      </c>
      <c r="D73" s="6">
        <f>IFERROR(__xludf.DUMMYFUNCTION("""COMPUTED_VALUE"""),1699.15)</f>
        <v>1699.15</v>
      </c>
      <c r="E73" s="6">
        <f>IFERROR(__xludf.DUMMYFUNCTION("""COMPUTED_VALUE"""),1711.25)</f>
        <v>1711.25</v>
      </c>
      <c r="F73" s="6">
        <f>IFERROR(__xludf.DUMMYFUNCTION("""COMPUTED_VALUE"""),9038853.0)</f>
        <v>9038853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IFERROR(__xludf.DUMMYFUNCTION("""COMPUTED_VALUE"""),1711.25)</f>
        <v>1711.25</v>
      </c>
      <c r="C74" s="6">
        <f>IFERROR(__xludf.DUMMYFUNCTION("""COMPUTED_VALUE"""),1731.6)</f>
        <v>1731.6</v>
      </c>
      <c r="D74" s="6">
        <f>IFERROR(__xludf.DUMMYFUNCTION("""COMPUTED_VALUE"""),1683.55)</f>
        <v>1683.55</v>
      </c>
      <c r="E74" s="6">
        <f>IFERROR(__xludf.DUMMYFUNCTION("""COMPUTED_VALUE"""),1700.7)</f>
        <v>1700.7</v>
      </c>
      <c r="F74" s="6">
        <f>IFERROR(__xludf.DUMMYFUNCTION("""COMPUTED_VALUE"""),6837128.0)</f>
        <v>6837128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IFERROR(__xludf.DUMMYFUNCTION("""COMPUTED_VALUE"""),1685.0)</f>
        <v>1685</v>
      </c>
      <c r="C75" s="6">
        <f>IFERROR(__xludf.DUMMYFUNCTION("""COMPUTED_VALUE"""),1690.0)</f>
        <v>1690</v>
      </c>
      <c r="D75" s="6">
        <f>IFERROR(__xludf.DUMMYFUNCTION("""COMPUTED_VALUE"""),1562.45)</f>
        <v>1562.45</v>
      </c>
      <c r="E75" s="6">
        <f>IFERROR(__xludf.DUMMYFUNCTION("""COMPUTED_VALUE"""),1575.05)</f>
        <v>1575.05</v>
      </c>
      <c r="F75" s="6">
        <f>IFERROR(__xludf.DUMMYFUNCTION("""COMPUTED_VALUE"""),1.3583926E7)</f>
        <v>13583926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IFERROR(__xludf.DUMMYFUNCTION("""COMPUTED_VALUE"""),1575.05)</f>
        <v>1575.05</v>
      </c>
      <c r="C76" s="6">
        <f>IFERROR(__xludf.DUMMYFUNCTION("""COMPUTED_VALUE"""),1603.4)</f>
        <v>1603.4</v>
      </c>
      <c r="D76" s="6">
        <f>IFERROR(__xludf.DUMMYFUNCTION("""COMPUTED_VALUE"""),1523.0)</f>
        <v>1523</v>
      </c>
      <c r="E76" s="6">
        <f>IFERROR(__xludf.DUMMYFUNCTION("""COMPUTED_VALUE"""),1557.95)</f>
        <v>1557.95</v>
      </c>
      <c r="F76" s="6">
        <f>IFERROR(__xludf.DUMMYFUNCTION("""COMPUTED_VALUE"""),1.2246806E7)</f>
        <v>12246806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IFERROR(__xludf.DUMMYFUNCTION("""COMPUTED_VALUE"""),1557.0)</f>
        <v>1557</v>
      </c>
      <c r="C77" s="6">
        <f>IFERROR(__xludf.DUMMYFUNCTION("""COMPUTED_VALUE"""),1573.95)</f>
        <v>1573.95</v>
      </c>
      <c r="D77" s="6">
        <f>IFERROR(__xludf.DUMMYFUNCTION("""COMPUTED_VALUE"""),1507.1)</f>
        <v>1507.1</v>
      </c>
      <c r="E77" s="6">
        <f>IFERROR(__xludf.DUMMYFUNCTION("""COMPUTED_VALUE"""),1534.75)</f>
        <v>1534.75</v>
      </c>
      <c r="F77" s="6">
        <f>IFERROR(__xludf.DUMMYFUNCTION("""COMPUTED_VALUE"""),8799167.0)</f>
        <v>8799167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IFERROR(__xludf.DUMMYFUNCTION("""COMPUTED_VALUE"""),1528.0)</f>
        <v>1528</v>
      </c>
      <c r="C78" s="6">
        <f>IFERROR(__xludf.DUMMYFUNCTION("""COMPUTED_VALUE"""),1592.05)</f>
        <v>1592.05</v>
      </c>
      <c r="D78" s="6">
        <f>IFERROR(__xludf.DUMMYFUNCTION("""COMPUTED_VALUE"""),1519.05)</f>
        <v>1519.05</v>
      </c>
      <c r="E78" s="6">
        <f>IFERROR(__xludf.DUMMYFUNCTION("""COMPUTED_VALUE"""),1566.7)</f>
        <v>1566.7</v>
      </c>
      <c r="F78" s="6">
        <f>IFERROR(__xludf.DUMMYFUNCTION("""COMPUTED_VALUE"""),2.2200681E7)</f>
        <v>22200681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IFERROR(__xludf.DUMMYFUNCTION("""COMPUTED_VALUE"""),1591.0)</f>
        <v>1591</v>
      </c>
      <c r="C79" s="6">
        <f>IFERROR(__xludf.DUMMYFUNCTION("""COMPUTED_VALUE"""),1658.95)</f>
        <v>1658.95</v>
      </c>
      <c r="D79" s="6">
        <f>IFERROR(__xludf.DUMMYFUNCTION("""COMPUTED_VALUE"""),1560.0)</f>
        <v>1560</v>
      </c>
      <c r="E79" s="6">
        <f>IFERROR(__xludf.DUMMYFUNCTION("""COMPUTED_VALUE"""),1592.5)</f>
        <v>1592.5</v>
      </c>
      <c r="F79" s="6">
        <f>IFERROR(__xludf.DUMMYFUNCTION("""COMPUTED_VALUE"""),1.6084526E7)</f>
        <v>16084526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IFERROR(__xludf.DUMMYFUNCTION("""COMPUTED_VALUE"""),1577.0)</f>
        <v>1577</v>
      </c>
      <c r="C80" s="6">
        <f>IFERROR(__xludf.DUMMYFUNCTION("""COMPUTED_VALUE"""),1585.0)</f>
        <v>1585</v>
      </c>
      <c r="D80" s="6">
        <f>IFERROR(__xludf.DUMMYFUNCTION("""COMPUTED_VALUE"""),1419.1)</f>
        <v>1419.1</v>
      </c>
      <c r="E80" s="6">
        <f>IFERROR(__xludf.DUMMYFUNCTION("""COMPUTED_VALUE"""),1422.1)</f>
        <v>1422.1</v>
      </c>
      <c r="F80" s="6">
        <f>IFERROR(__xludf.DUMMYFUNCTION("""COMPUTED_VALUE"""),1.5682163E7)</f>
        <v>15682163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IFERROR(__xludf.DUMMYFUNCTION("""COMPUTED_VALUE"""),1345.0)</f>
        <v>1345</v>
      </c>
      <c r="C81" s="6">
        <f>IFERROR(__xludf.DUMMYFUNCTION("""COMPUTED_VALUE"""),1425.0)</f>
        <v>1425</v>
      </c>
      <c r="D81" s="6">
        <f>IFERROR(__xludf.DUMMYFUNCTION("""COMPUTED_VALUE"""),1302.75)</f>
        <v>1302.75</v>
      </c>
      <c r="E81" s="6">
        <f>IFERROR(__xludf.DUMMYFUNCTION("""COMPUTED_VALUE"""),1390.55)</f>
        <v>1390.55</v>
      </c>
      <c r="F81" s="6">
        <f>IFERROR(__xludf.DUMMYFUNCTION("""COMPUTED_VALUE"""),1.8588921E7)</f>
        <v>18588921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IFERROR(__xludf.DUMMYFUNCTION("""COMPUTED_VALUE"""),1420.0)</f>
        <v>1420</v>
      </c>
      <c r="C82" s="6">
        <f>IFERROR(__xludf.DUMMYFUNCTION("""COMPUTED_VALUE"""),1442.1)</f>
        <v>1442.1</v>
      </c>
      <c r="D82" s="6">
        <f>IFERROR(__xludf.DUMMYFUNCTION("""COMPUTED_VALUE"""),1384.0)</f>
        <v>1384</v>
      </c>
      <c r="E82" s="6">
        <f>IFERROR(__xludf.DUMMYFUNCTION("""COMPUTED_VALUE"""),1438.0)</f>
        <v>1438</v>
      </c>
      <c r="F82" s="6">
        <f>IFERROR(__xludf.DUMMYFUNCTION("""COMPUTED_VALUE"""),9368227.0)</f>
        <v>9368227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IFERROR(__xludf.DUMMYFUNCTION("""COMPUTED_VALUE"""),1435.0)</f>
        <v>1435</v>
      </c>
      <c r="C83" s="6">
        <f>IFERROR(__xludf.DUMMYFUNCTION("""COMPUTED_VALUE"""),1618.0)</f>
        <v>1618</v>
      </c>
      <c r="D83" s="6">
        <f>IFERROR(__xludf.DUMMYFUNCTION("""COMPUTED_VALUE"""),1430.0)</f>
        <v>1430</v>
      </c>
      <c r="E83" s="6">
        <f>IFERROR(__xludf.DUMMYFUNCTION("""COMPUTED_VALUE"""),1578.2)</f>
        <v>1578.2</v>
      </c>
      <c r="F83" s="6">
        <f>IFERROR(__xludf.DUMMYFUNCTION("""COMPUTED_VALUE"""),2.57351E7)</f>
        <v>25735100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IFERROR(__xludf.DUMMYFUNCTION("""COMPUTED_VALUE"""),1565.0)</f>
        <v>1565</v>
      </c>
      <c r="C84" s="6">
        <f>IFERROR(__xludf.DUMMYFUNCTION("""COMPUTED_VALUE"""),1587.9)</f>
        <v>1587.9</v>
      </c>
      <c r="D84" s="6">
        <f>IFERROR(__xludf.DUMMYFUNCTION("""COMPUTED_VALUE"""),1537.1)</f>
        <v>1537.1</v>
      </c>
      <c r="E84" s="6">
        <f>IFERROR(__xludf.DUMMYFUNCTION("""COMPUTED_VALUE"""),1576.5)</f>
        <v>1576.5</v>
      </c>
      <c r="F84" s="6">
        <f>IFERROR(__xludf.DUMMYFUNCTION("""COMPUTED_VALUE"""),9902983.0)</f>
        <v>9902983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IFERROR(__xludf.DUMMYFUNCTION("""COMPUTED_VALUE"""),1580.0)</f>
        <v>1580</v>
      </c>
      <c r="C85" s="6">
        <f>IFERROR(__xludf.DUMMYFUNCTION("""COMPUTED_VALUE"""),1598.0)</f>
        <v>1598</v>
      </c>
      <c r="D85" s="6">
        <f>IFERROR(__xludf.DUMMYFUNCTION("""COMPUTED_VALUE"""),1545.0)</f>
        <v>1545</v>
      </c>
      <c r="E85" s="6">
        <f>IFERROR(__xludf.DUMMYFUNCTION("""COMPUTED_VALUE"""),1569.4)</f>
        <v>1569.4</v>
      </c>
      <c r="F85" s="6">
        <f>IFERROR(__xludf.DUMMYFUNCTION("""COMPUTED_VALUE"""),1.3361397E7)</f>
        <v>13361397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IFERROR(__xludf.DUMMYFUNCTION("""COMPUTED_VALUE"""),1598.8)</f>
        <v>1598.8</v>
      </c>
      <c r="C86" s="6">
        <f>IFERROR(__xludf.DUMMYFUNCTION("""COMPUTED_VALUE"""),1702.6)</f>
        <v>1702.6</v>
      </c>
      <c r="D86" s="6">
        <f>IFERROR(__xludf.DUMMYFUNCTION("""COMPUTED_VALUE"""),1594.0)</f>
        <v>1594</v>
      </c>
      <c r="E86" s="6">
        <f>IFERROR(__xludf.DUMMYFUNCTION("""COMPUTED_VALUE"""),1659.9)</f>
        <v>1659.9</v>
      </c>
      <c r="F86" s="6">
        <f>IFERROR(__xludf.DUMMYFUNCTION("""COMPUTED_VALUE"""),1.6263648E7)</f>
        <v>16263648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IFERROR(__xludf.DUMMYFUNCTION("""COMPUTED_VALUE"""),1661.0)</f>
        <v>1661</v>
      </c>
      <c r="C87" s="6">
        <f>IFERROR(__xludf.DUMMYFUNCTION("""COMPUTED_VALUE"""),1670.8)</f>
        <v>1670.8</v>
      </c>
      <c r="D87" s="6">
        <f>IFERROR(__xludf.DUMMYFUNCTION("""COMPUTED_VALUE"""),1614.0)</f>
        <v>1614</v>
      </c>
      <c r="E87" s="6">
        <f>IFERROR(__xludf.DUMMYFUNCTION("""COMPUTED_VALUE"""),1648.2)</f>
        <v>1648.2</v>
      </c>
      <c r="F87" s="6">
        <f>IFERROR(__xludf.DUMMYFUNCTION("""COMPUTED_VALUE"""),9145980.0)</f>
        <v>9145980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IFERROR(__xludf.DUMMYFUNCTION("""COMPUTED_VALUE"""),1652.4)</f>
        <v>1652.4</v>
      </c>
      <c r="C88" s="6">
        <f>IFERROR(__xludf.DUMMYFUNCTION("""COMPUTED_VALUE"""),1675.8)</f>
        <v>1675.8</v>
      </c>
      <c r="D88" s="6">
        <f>IFERROR(__xludf.DUMMYFUNCTION("""COMPUTED_VALUE"""),1627.3)</f>
        <v>1627.3</v>
      </c>
      <c r="E88" s="6">
        <f>IFERROR(__xludf.DUMMYFUNCTION("""COMPUTED_VALUE"""),1636.6)</f>
        <v>1636.6</v>
      </c>
      <c r="F88" s="6">
        <f>IFERROR(__xludf.DUMMYFUNCTION("""COMPUTED_VALUE"""),1.237723E7)</f>
        <v>12377230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IFERROR(__xludf.DUMMYFUNCTION("""COMPUTED_VALUE"""),1625.1)</f>
        <v>1625.1</v>
      </c>
      <c r="C89" s="6">
        <f>IFERROR(__xludf.DUMMYFUNCTION("""COMPUTED_VALUE"""),1653.9)</f>
        <v>1653.9</v>
      </c>
      <c r="D89" s="6">
        <f>IFERROR(__xludf.DUMMYFUNCTION("""COMPUTED_VALUE"""),1605.7)</f>
        <v>1605.7</v>
      </c>
      <c r="E89" s="6">
        <f>IFERROR(__xludf.DUMMYFUNCTION("""COMPUTED_VALUE"""),1637.7)</f>
        <v>1637.7</v>
      </c>
      <c r="F89" s="6">
        <f>IFERROR(__xludf.DUMMYFUNCTION("""COMPUTED_VALUE"""),8593556.0)</f>
        <v>8593556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IFERROR(__xludf.DUMMYFUNCTION("""COMPUTED_VALUE"""),1648.0)</f>
        <v>1648</v>
      </c>
      <c r="C90" s="6">
        <f>IFERROR(__xludf.DUMMYFUNCTION("""COMPUTED_VALUE"""),1726.0)</f>
        <v>1726</v>
      </c>
      <c r="D90" s="6">
        <f>IFERROR(__xludf.DUMMYFUNCTION("""COMPUTED_VALUE"""),1639.0)</f>
        <v>1639</v>
      </c>
      <c r="E90" s="6">
        <f>IFERROR(__xludf.DUMMYFUNCTION("""COMPUTED_VALUE"""),1695.3)</f>
        <v>1695.3</v>
      </c>
      <c r="F90" s="6">
        <f>IFERROR(__xludf.DUMMYFUNCTION("""COMPUTED_VALUE"""),1.5037214E7)</f>
        <v>15037214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IFERROR(__xludf.DUMMYFUNCTION("""COMPUTED_VALUE"""),1692.0)</f>
        <v>1692</v>
      </c>
      <c r="C91" s="6">
        <f>IFERROR(__xludf.DUMMYFUNCTION("""COMPUTED_VALUE"""),1745.0)</f>
        <v>1745</v>
      </c>
      <c r="D91" s="6">
        <f>IFERROR(__xludf.DUMMYFUNCTION("""COMPUTED_VALUE"""),1683.4)</f>
        <v>1683.4</v>
      </c>
      <c r="E91" s="6">
        <f>IFERROR(__xludf.DUMMYFUNCTION("""COMPUTED_VALUE"""),1739.9)</f>
        <v>1739.9</v>
      </c>
      <c r="F91" s="6">
        <f>IFERROR(__xludf.DUMMYFUNCTION("""COMPUTED_VALUE"""),1.092207E7)</f>
        <v>10922070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IFERROR(__xludf.DUMMYFUNCTION("""COMPUTED_VALUE"""),1729.2)</f>
        <v>1729.2</v>
      </c>
      <c r="C92" s="6">
        <f>IFERROR(__xludf.DUMMYFUNCTION("""COMPUTED_VALUE"""),1752.5)</f>
        <v>1752.5</v>
      </c>
      <c r="D92" s="6">
        <f>IFERROR(__xludf.DUMMYFUNCTION("""COMPUTED_VALUE"""),1689.2)</f>
        <v>1689.2</v>
      </c>
      <c r="E92" s="6">
        <f>IFERROR(__xludf.DUMMYFUNCTION("""COMPUTED_VALUE"""),1723.3)</f>
        <v>1723.3</v>
      </c>
      <c r="F92" s="6">
        <f>IFERROR(__xludf.DUMMYFUNCTION("""COMPUTED_VALUE"""),1.6579373E7)</f>
        <v>16579373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IFERROR(__xludf.DUMMYFUNCTION("""COMPUTED_VALUE"""),1725.0)</f>
        <v>1725</v>
      </c>
      <c r="C93" s="6">
        <f>IFERROR(__xludf.DUMMYFUNCTION("""COMPUTED_VALUE"""),1745.0)</f>
        <v>1745</v>
      </c>
      <c r="D93" s="6">
        <f>IFERROR(__xludf.DUMMYFUNCTION("""COMPUTED_VALUE"""),1706.2)</f>
        <v>1706.2</v>
      </c>
      <c r="E93" s="6">
        <f>IFERROR(__xludf.DUMMYFUNCTION("""COMPUTED_VALUE"""),1725.9)</f>
        <v>1725.9</v>
      </c>
      <c r="F93" s="6">
        <f>IFERROR(__xludf.DUMMYFUNCTION("""COMPUTED_VALUE"""),8172065.0)</f>
        <v>8172065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IFERROR(__xludf.DUMMYFUNCTION("""COMPUTED_VALUE"""),1725.5)</f>
        <v>1725.5</v>
      </c>
      <c r="C94" s="6">
        <f>IFERROR(__xludf.DUMMYFUNCTION("""COMPUTED_VALUE"""),1725.5)</f>
        <v>1725.5</v>
      </c>
      <c r="D94" s="6">
        <f>IFERROR(__xludf.DUMMYFUNCTION("""COMPUTED_VALUE"""),1630.0)</f>
        <v>1630</v>
      </c>
      <c r="E94" s="6">
        <f>IFERROR(__xludf.DUMMYFUNCTION("""COMPUTED_VALUE"""),1638.3)</f>
        <v>1638.3</v>
      </c>
      <c r="F94" s="6">
        <f>IFERROR(__xludf.DUMMYFUNCTION("""COMPUTED_VALUE"""),1.1689419E7)</f>
        <v>11689419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IFERROR(__xludf.DUMMYFUNCTION("""COMPUTED_VALUE"""),1640.0)</f>
        <v>1640</v>
      </c>
      <c r="C95" s="6">
        <f>IFERROR(__xludf.DUMMYFUNCTION("""COMPUTED_VALUE"""),1642.4)</f>
        <v>1642.4</v>
      </c>
      <c r="D95" s="6">
        <f>IFERROR(__xludf.DUMMYFUNCTION("""COMPUTED_VALUE"""),1530.0)</f>
        <v>1530</v>
      </c>
      <c r="E95" s="6">
        <f>IFERROR(__xludf.DUMMYFUNCTION("""COMPUTED_VALUE"""),1548.8)</f>
        <v>1548.8</v>
      </c>
      <c r="F95" s="6">
        <f>IFERROR(__xludf.DUMMYFUNCTION("""COMPUTED_VALUE"""),3.2106949E7)</f>
        <v>32106949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IFERROR(__xludf.DUMMYFUNCTION("""COMPUTED_VALUE"""),1548.8)</f>
        <v>1548.8</v>
      </c>
      <c r="C96" s="6">
        <f>IFERROR(__xludf.DUMMYFUNCTION("""COMPUTED_VALUE"""),1550.7)</f>
        <v>1550.7</v>
      </c>
      <c r="D96" s="6">
        <f>IFERROR(__xludf.DUMMYFUNCTION("""COMPUTED_VALUE"""),1486.6)</f>
        <v>1486.6</v>
      </c>
      <c r="E96" s="6">
        <f>IFERROR(__xludf.DUMMYFUNCTION("""COMPUTED_VALUE"""),1490.1)</f>
        <v>1490.1</v>
      </c>
      <c r="F96" s="6">
        <f>IFERROR(__xludf.DUMMYFUNCTION("""COMPUTED_VALUE"""),1.7446681E7)</f>
        <v>17446681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IFERROR(__xludf.DUMMYFUNCTION("""COMPUTED_VALUE"""),1490.1)</f>
        <v>1490.1</v>
      </c>
      <c r="C97" s="6">
        <f>IFERROR(__xludf.DUMMYFUNCTION("""COMPUTED_VALUE"""),1494.2)</f>
        <v>1494.2</v>
      </c>
      <c r="D97" s="6">
        <f>IFERROR(__xludf.DUMMYFUNCTION("""COMPUTED_VALUE"""),1450.0)</f>
        <v>1450</v>
      </c>
      <c r="E97" s="6">
        <f>IFERROR(__xludf.DUMMYFUNCTION("""COMPUTED_VALUE"""),1452.1)</f>
        <v>1452.1</v>
      </c>
      <c r="F97" s="6">
        <f>IFERROR(__xludf.DUMMYFUNCTION("""COMPUTED_VALUE"""),1.6729891E7)</f>
        <v>16729891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IFERROR(__xludf.DUMMYFUNCTION("""COMPUTED_VALUE"""),1452.1)</f>
        <v>1452.1</v>
      </c>
      <c r="C98" s="6">
        <f>IFERROR(__xludf.DUMMYFUNCTION("""COMPUTED_VALUE"""),1485.4)</f>
        <v>1485.4</v>
      </c>
      <c r="D98" s="6">
        <f>IFERROR(__xludf.DUMMYFUNCTION("""COMPUTED_VALUE"""),1440.6)</f>
        <v>1440.6</v>
      </c>
      <c r="E98" s="6">
        <f>IFERROR(__xludf.DUMMYFUNCTION("""COMPUTED_VALUE"""),1475.7)</f>
        <v>1475.7</v>
      </c>
      <c r="F98" s="6">
        <f>IFERROR(__xludf.DUMMYFUNCTION("""COMPUTED_VALUE"""),1.1045842E7)</f>
        <v>11045842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IFERROR(__xludf.DUMMYFUNCTION("""COMPUTED_VALUE"""),1475.0)</f>
        <v>1475</v>
      </c>
      <c r="C99" s="6">
        <f>IFERROR(__xludf.DUMMYFUNCTION("""COMPUTED_VALUE"""),1531.0)</f>
        <v>1531</v>
      </c>
      <c r="D99" s="6">
        <f>IFERROR(__xludf.DUMMYFUNCTION("""COMPUTED_VALUE"""),1465.6)</f>
        <v>1465.6</v>
      </c>
      <c r="E99" s="6">
        <f>IFERROR(__xludf.DUMMYFUNCTION("""COMPUTED_VALUE"""),1489.8)</f>
        <v>1489.8</v>
      </c>
      <c r="F99" s="6">
        <f>IFERROR(__xludf.DUMMYFUNCTION("""COMPUTED_VALUE"""),1.2940878E7)</f>
        <v>12940878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IFERROR(__xludf.DUMMYFUNCTION("""COMPUTED_VALUE"""),1498.1)</f>
        <v>1498.1</v>
      </c>
      <c r="C100" s="6">
        <f>IFERROR(__xludf.DUMMYFUNCTION("""COMPUTED_VALUE"""),1505.0)</f>
        <v>1505</v>
      </c>
      <c r="D100" s="6">
        <f>IFERROR(__xludf.DUMMYFUNCTION("""COMPUTED_VALUE"""),1458.0)</f>
        <v>1458</v>
      </c>
      <c r="E100" s="6">
        <f>IFERROR(__xludf.DUMMYFUNCTION("""COMPUTED_VALUE"""),1466.3)</f>
        <v>1466.3</v>
      </c>
      <c r="F100" s="6">
        <f>IFERROR(__xludf.DUMMYFUNCTION("""COMPUTED_VALUE"""),2.0490708E7)</f>
        <v>20490708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IFERROR(__xludf.DUMMYFUNCTION("""COMPUTED_VALUE"""),1480.0)</f>
        <v>1480</v>
      </c>
      <c r="C101" s="6">
        <f>IFERROR(__xludf.DUMMYFUNCTION("""COMPUTED_VALUE"""),1509.7)</f>
        <v>1509.7</v>
      </c>
      <c r="D101" s="6">
        <f>IFERROR(__xludf.DUMMYFUNCTION("""COMPUTED_VALUE"""),1476.2)</f>
        <v>1476.2</v>
      </c>
      <c r="E101" s="6">
        <f>IFERROR(__xludf.DUMMYFUNCTION("""COMPUTED_VALUE"""),1492.8)</f>
        <v>1492.8</v>
      </c>
      <c r="F101" s="6">
        <f>IFERROR(__xludf.DUMMYFUNCTION("""COMPUTED_VALUE"""),4.954555E7)</f>
        <v>49545550</v>
      </c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IFERROR(__xludf.DUMMYFUNCTION("GOOGLEFINANCE(""NSE:HDFCAMC"",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IFERROR(__xludf.DUMMYFUNCTION("""COMPUTED_VALUE"""),2489.95)</f>
        <v>2489.95</v>
      </c>
      <c r="C2" s="6">
        <f>IFERROR(__xludf.DUMMYFUNCTION("""COMPUTED_VALUE"""),2558.35)</f>
        <v>2558.35</v>
      </c>
      <c r="D2" s="6">
        <f>IFERROR(__xludf.DUMMYFUNCTION("""COMPUTED_VALUE"""),2416.05)</f>
        <v>2416.05</v>
      </c>
      <c r="E2" s="6">
        <f>IFERROR(__xludf.DUMMYFUNCTION("""COMPUTED_VALUE"""),2431.25)</f>
        <v>2431.25</v>
      </c>
      <c r="F2" s="6">
        <f>IFERROR(__xludf.DUMMYFUNCTION("""COMPUTED_VALUE"""),1.426033E7)</f>
        <v>14260330</v>
      </c>
    </row>
    <row r="3">
      <c r="A3" s="7">
        <f>IFERROR(__xludf.DUMMYFUNCTION("""COMPUTED_VALUE"""),45177.64583333333)</f>
        <v>45177.64583</v>
      </c>
      <c r="B3" s="6">
        <f>IFERROR(__xludf.DUMMYFUNCTION("""COMPUTED_VALUE"""),2443.0)</f>
        <v>2443</v>
      </c>
      <c r="C3" s="6">
        <f>IFERROR(__xludf.DUMMYFUNCTION("""COMPUTED_VALUE"""),2546.0)</f>
        <v>2546</v>
      </c>
      <c r="D3" s="6">
        <f>IFERROR(__xludf.DUMMYFUNCTION("""COMPUTED_VALUE"""),2424.0)</f>
        <v>2424</v>
      </c>
      <c r="E3" s="6">
        <f>IFERROR(__xludf.DUMMYFUNCTION("""COMPUTED_VALUE"""),2535.8)</f>
        <v>2535.8</v>
      </c>
      <c r="F3" s="6">
        <f>IFERROR(__xludf.DUMMYFUNCTION("""COMPUTED_VALUE"""),2341699.0)</f>
        <v>2341699</v>
      </c>
    </row>
    <row r="4">
      <c r="A4" s="7">
        <f>IFERROR(__xludf.DUMMYFUNCTION("""COMPUTED_VALUE"""),45184.64583333333)</f>
        <v>45184.64583</v>
      </c>
      <c r="B4" s="6">
        <f>IFERROR(__xludf.DUMMYFUNCTION("""COMPUTED_VALUE"""),2537.0)</f>
        <v>2537</v>
      </c>
      <c r="C4" s="6">
        <f>IFERROR(__xludf.DUMMYFUNCTION("""COMPUTED_VALUE"""),2755.0)</f>
        <v>2755</v>
      </c>
      <c r="D4" s="6">
        <f>IFERROR(__xludf.DUMMYFUNCTION("""COMPUTED_VALUE"""),2525.15)</f>
        <v>2525.15</v>
      </c>
      <c r="E4" s="6">
        <f>IFERROR(__xludf.DUMMYFUNCTION("""COMPUTED_VALUE"""),2726.05)</f>
        <v>2726.05</v>
      </c>
      <c r="F4" s="6">
        <f>IFERROR(__xludf.DUMMYFUNCTION("""COMPUTED_VALUE"""),3228906.0)</f>
        <v>3228906</v>
      </c>
    </row>
    <row r="5">
      <c r="A5" s="7">
        <f>IFERROR(__xludf.DUMMYFUNCTION("""COMPUTED_VALUE"""),45191.64583333333)</f>
        <v>45191.64583</v>
      </c>
      <c r="B5" s="6">
        <f>IFERROR(__xludf.DUMMYFUNCTION("""COMPUTED_VALUE"""),2724.0)</f>
        <v>2724</v>
      </c>
      <c r="C5" s="6">
        <f>IFERROR(__xludf.DUMMYFUNCTION("""COMPUTED_VALUE"""),2737.0)</f>
        <v>2737</v>
      </c>
      <c r="D5" s="6">
        <f>IFERROR(__xludf.DUMMYFUNCTION("""COMPUTED_VALUE"""),2621.1)</f>
        <v>2621.1</v>
      </c>
      <c r="E5" s="6">
        <f>IFERROR(__xludf.DUMMYFUNCTION("""COMPUTED_VALUE"""),2656.9)</f>
        <v>2656.9</v>
      </c>
      <c r="F5" s="6">
        <f>IFERROR(__xludf.DUMMYFUNCTION("""COMPUTED_VALUE"""),2653553.0)</f>
        <v>2653553</v>
      </c>
    </row>
    <row r="6">
      <c r="A6" s="7">
        <f>IFERROR(__xludf.DUMMYFUNCTION("""COMPUTED_VALUE"""),45198.64583333333)</f>
        <v>45198.64583</v>
      </c>
      <c r="B6" s="6">
        <f>IFERROR(__xludf.DUMMYFUNCTION("""COMPUTED_VALUE"""),2656.9)</f>
        <v>2656.9</v>
      </c>
      <c r="C6" s="6">
        <f>IFERROR(__xludf.DUMMYFUNCTION("""COMPUTED_VALUE"""),2730.0)</f>
        <v>2730</v>
      </c>
      <c r="D6" s="6">
        <f>IFERROR(__xludf.DUMMYFUNCTION("""COMPUTED_VALUE"""),2562.65)</f>
        <v>2562.65</v>
      </c>
      <c r="E6" s="6">
        <f>IFERROR(__xludf.DUMMYFUNCTION("""COMPUTED_VALUE"""),2647.45)</f>
        <v>2647.45</v>
      </c>
      <c r="F6" s="6">
        <f>IFERROR(__xludf.DUMMYFUNCTION("""COMPUTED_VALUE"""),4375479.0)</f>
        <v>4375479</v>
      </c>
    </row>
    <row r="7">
      <c r="A7" s="7">
        <f>IFERROR(__xludf.DUMMYFUNCTION("""COMPUTED_VALUE"""),45205.64583333333)</f>
        <v>45205.64583</v>
      </c>
      <c r="B7" s="6">
        <f>IFERROR(__xludf.DUMMYFUNCTION("""COMPUTED_VALUE"""),2649.95)</f>
        <v>2649.95</v>
      </c>
      <c r="C7" s="6">
        <f>IFERROR(__xludf.DUMMYFUNCTION("""COMPUTED_VALUE"""),2737.0)</f>
        <v>2737</v>
      </c>
      <c r="D7" s="6">
        <f>IFERROR(__xludf.DUMMYFUNCTION("""COMPUTED_VALUE"""),2618.0)</f>
        <v>2618</v>
      </c>
      <c r="E7" s="6">
        <f>IFERROR(__xludf.DUMMYFUNCTION("""COMPUTED_VALUE"""),2726.15)</f>
        <v>2726.15</v>
      </c>
      <c r="F7" s="6">
        <f>IFERROR(__xludf.DUMMYFUNCTION("""COMPUTED_VALUE"""),1704006.0)</f>
        <v>1704006</v>
      </c>
    </row>
    <row r="8">
      <c r="A8" s="7">
        <f>IFERROR(__xludf.DUMMYFUNCTION("""COMPUTED_VALUE"""),45212.64583333333)</f>
        <v>45212.64583</v>
      </c>
      <c r="B8" s="6">
        <f>IFERROR(__xludf.DUMMYFUNCTION("""COMPUTED_VALUE"""),2714.9)</f>
        <v>2714.9</v>
      </c>
      <c r="C8" s="6">
        <f>IFERROR(__xludf.DUMMYFUNCTION("""COMPUTED_VALUE"""),2910.0)</f>
        <v>2910</v>
      </c>
      <c r="D8" s="6">
        <f>IFERROR(__xludf.DUMMYFUNCTION("""COMPUTED_VALUE"""),2673.4)</f>
        <v>2673.4</v>
      </c>
      <c r="E8" s="6">
        <f>IFERROR(__xludf.DUMMYFUNCTION("""COMPUTED_VALUE"""),2855.5)</f>
        <v>2855.5</v>
      </c>
      <c r="F8" s="6">
        <f>IFERROR(__xludf.DUMMYFUNCTION("""COMPUTED_VALUE"""),5833470.0)</f>
        <v>5833470</v>
      </c>
    </row>
    <row r="9">
      <c r="A9" s="7">
        <f>IFERROR(__xludf.DUMMYFUNCTION("""COMPUTED_VALUE"""),45219.64583333333)</f>
        <v>45219.64583</v>
      </c>
      <c r="B9" s="6">
        <f>IFERROR(__xludf.DUMMYFUNCTION("""COMPUTED_VALUE"""),2865.9)</f>
        <v>2865.9</v>
      </c>
      <c r="C9" s="6">
        <f>IFERROR(__xludf.DUMMYFUNCTION("""COMPUTED_VALUE"""),2930.0)</f>
        <v>2930</v>
      </c>
      <c r="D9" s="6">
        <f>IFERROR(__xludf.DUMMYFUNCTION("""COMPUTED_VALUE"""),2820.0)</f>
        <v>2820</v>
      </c>
      <c r="E9" s="6">
        <f>IFERROR(__xludf.DUMMYFUNCTION("""COMPUTED_VALUE"""),2879.0)</f>
        <v>2879</v>
      </c>
      <c r="F9" s="6">
        <f>IFERROR(__xludf.DUMMYFUNCTION("""COMPUTED_VALUE"""),2342249.0)</f>
        <v>2342249</v>
      </c>
    </row>
    <row r="10">
      <c r="A10" s="7">
        <f>IFERROR(__xludf.DUMMYFUNCTION("""COMPUTED_VALUE"""),45226.64583333333)</f>
        <v>45226.64583</v>
      </c>
      <c r="B10" s="6">
        <f>IFERROR(__xludf.DUMMYFUNCTION("""COMPUTED_VALUE"""),2858.0)</f>
        <v>2858</v>
      </c>
      <c r="C10" s="6">
        <f>IFERROR(__xludf.DUMMYFUNCTION("""COMPUTED_VALUE"""),2889.4)</f>
        <v>2889.4</v>
      </c>
      <c r="D10" s="6">
        <f>IFERROR(__xludf.DUMMYFUNCTION("""COMPUTED_VALUE"""),2694.65)</f>
        <v>2694.65</v>
      </c>
      <c r="E10" s="6">
        <f>IFERROR(__xludf.DUMMYFUNCTION("""COMPUTED_VALUE"""),2752.2)</f>
        <v>2752.2</v>
      </c>
      <c r="F10" s="6">
        <f>IFERROR(__xludf.DUMMYFUNCTION("""COMPUTED_VALUE"""),2146432.0)</f>
        <v>2146432</v>
      </c>
    </row>
    <row r="11">
      <c r="A11" s="7">
        <f>IFERROR(__xludf.DUMMYFUNCTION("""COMPUTED_VALUE"""),45233.64583333333)</f>
        <v>45233.64583</v>
      </c>
      <c r="B11" s="6">
        <f>IFERROR(__xludf.DUMMYFUNCTION("""COMPUTED_VALUE"""),2764.0)</f>
        <v>2764</v>
      </c>
      <c r="C11" s="6">
        <f>IFERROR(__xludf.DUMMYFUNCTION("""COMPUTED_VALUE"""),2779.5)</f>
        <v>2779.5</v>
      </c>
      <c r="D11" s="6">
        <f>IFERROR(__xludf.DUMMYFUNCTION("""COMPUTED_VALUE"""),2690.6)</f>
        <v>2690.6</v>
      </c>
      <c r="E11" s="6">
        <f>IFERROR(__xludf.DUMMYFUNCTION("""COMPUTED_VALUE"""),2755.35)</f>
        <v>2755.35</v>
      </c>
      <c r="F11" s="6">
        <f>IFERROR(__xludf.DUMMYFUNCTION("""COMPUTED_VALUE"""),2197890.0)</f>
        <v>2197890</v>
      </c>
    </row>
    <row r="12">
      <c r="A12" s="7">
        <f>IFERROR(__xludf.DUMMYFUNCTION("""COMPUTED_VALUE"""),45240.64583333333)</f>
        <v>45240.64583</v>
      </c>
      <c r="B12" s="6">
        <f>IFERROR(__xludf.DUMMYFUNCTION("""COMPUTED_VALUE"""),2770.0)</f>
        <v>2770</v>
      </c>
      <c r="C12" s="6">
        <f>IFERROR(__xludf.DUMMYFUNCTION("""COMPUTED_VALUE"""),2804.5)</f>
        <v>2804.5</v>
      </c>
      <c r="D12" s="6">
        <f>IFERROR(__xludf.DUMMYFUNCTION("""COMPUTED_VALUE"""),2724.75)</f>
        <v>2724.75</v>
      </c>
      <c r="E12" s="6">
        <f>IFERROR(__xludf.DUMMYFUNCTION("""COMPUTED_VALUE"""),2769.85)</f>
        <v>2769.85</v>
      </c>
      <c r="F12" s="6">
        <f>IFERROR(__xludf.DUMMYFUNCTION("""COMPUTED_VALUE"""),1776905.0)</f>
        <v>1776905</v>
      </c>
    </row>
    <row r="13">
      <c r="A13" s="7">
        <f>IFERROR(__xludf.DUMMYFUNCTION("""COMPUTED_VALUE"""),45247.64583333333)</f>
        <v>45247.64583</v>
      </c>
      <c r="B13" s="6">
        <f>IFERROR(__xludf.DUMMYFUNCTION("""COMPUTED_VALUE"""),2797.0)</f>
        <v>2797</v>
      </c>
      <c r="C13" s="6">
        <f>IFERROR(__xludf.DUMMYFUNCTION("""COMPUTED_VALUE"""),2969.9)</f>
        <v>2969.9</v>
      </c>
      <c r="D13" s="6">
        <f>IFERROR(__xludf.DUMMYFUNCTION("""COMPUTED_VALUE"""),2738.95)</f>
        <v>2738.95</v>
      </c>
      <c r="E13" s="6">
        <f>IFERROR(__xludf.DUMMYFUNCTION("""COMPUTED_VALUE"""),2906.7)</f>
        <v>2906.7</v>
      </c>
      <c r="F13" s="6">
        <f>IFERROR(__xludf.DUMMYFUNCTION("""COMPUTED_VALUE"""),2339451.0)</f>
        <v>2339451</v>
      </c>
    </row>
    <row r="14">
      <c r="A14" s="7">
        <f>IFERROR(__xludf.DUMMYFUNCTION("""COMPUTED_VALUE"""),45254.64583333333)</f>
        <v>45254.64583</v>
      </c>
      <c r="B14" s="6">
        <f>IFERROR(__xludf.DUMMYFUNCTION("""COMPUTED_VALUE"""),2903.95)</f>
        <v>2903.95</v>
      </c>
      <c r="C14" s="6">
        <f>IFERROR(__xludf.DUMMYFUNCTION("""COMPUTED_VALUE"""),2938.0)</f>
        <v>2938</v>
      </c>
      <c r="D14" s="6">
        <f>IFERROR(__xludf.DUMMYFUNCTION("""COMPUTED_VALUE"""),2832.7)</f>
        <v>2832.7</v>
      </c>
      <c r="E14" s="6">
        <f>IFERROR(__xludf.DUMMYFUNCTION("""COMPUTED_VALUE"""),2841.55)</f>
        <v>2841.55</v>
      </c>
      <c r="F14" s="6">
        <f>IFERROR(__xludf.DUMMYFUNCTION("""COMPUTED_VALUE"""),1535578.0)</f>
        <v>1535578</v>
      </c>
    </row>
    <row r="15">
      <c r="A15" s="7">
        <f>IFERROR(__xludf.DUMMYFUNCTION("""COMPUTED_VALUE"""),45261.64583333333)</f>
        <v>45261.64583</v>
      </c>
      <c r="B15" s="6">
        <f>IFERROR(__xludf.DUMMYFUNCTION("""COMPUTED_VALUE"""),2850.0)</f>
        <v>2850</v>
      </c>
      <c r="C15" s="6">
        <f>IFERROR(__xludf.DUMMYFUNCTION("""COMPUTED_VALUE"""),3000.2)</f>
        <v>3000.2</v>
      </c>
      <c r="D15" s="6">
        <f>IFERROR(__xludf.DUMMYFUNCTION("""COMPUTED_VALUE"""),2848.0)</f>
        <v>2848</v>
      </c>
      <c r="E15" s="6">
        <f>IFERROR(__xludf.DUMMYFUNCTION("""COMPUTED_VALUE"""),2928.05)</f>
        <v>2928.05</v>
      </c>
      <c r="F15" s="6">
        <f>IFERROR(__xludf.DUMMYFUNCTION("""COMPUTED_VALUE"""),2230291.0)</f>
        <v>2230291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IFERROR(__xludf.DUMMYFUNCTION("""COMPUTED_VALUE"""),2951.95)</f>
        <v>2951.95</v>
      </c>
      <c r="C16" s="6">
        <f>IFERROR(__xludf.DUMMYFUNCTION("""COMPUTED_VALUE"""),3048.95)</f>
        <v>3048.95</v>
      </c>
      <c r="D16" s="6">
        <f>IFERROR(__xludf.DUMMYFUNCTION("""COMPUTED_VALUE"""),2931.25)</f>
        <v>2931.25</v>
      </c>
      <c r="E16" s="6">
        <f>IFERROR(__xludf.DUMMYFUNCTION("""COMPUTED_VALUE"""),2987.05)</f>
        <v>2987.05</v>
      </c>
      <c r="F16" s="6">
        <f>IFERROR(__xludf.DUMMYFUNCTION("""COMPUTED_VALUE"""),2516441.0)</f>
        <v>2516441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IFERROR(__xludf.DUMMYFUNCTION("""COMPUTED_VALUE"""),2994.25)</f>
        <v>2994.25</v>
      </c>
      <c r="C17" s="6">
        <f>IFERROR(__xludf.DUMMYFUNCTION("""COMPUTED_VALUE"""),3070.95)</f>
        <v>3070.95</v>
      </c>
      <c r="D17" s="6">
        <f>IFERROR(__xludf.DUMMYFUNCTION("""COMPUTED_VALUE"""),2962.55)</f>
        <v>2962.55</v>
      </c>
      <c r="E17" s="6">
        <f>IFERROR(__xludf.DUMMYFUNCTION("""COMPUTED_VALUE"""),3024.7)</f>
        <v>3024.7</v>
      </c>
      <c r="F17" s="6">
        <f>IFERROR(__xludf.DUMMYFUNCTION("""COMPUTED_VALUE"""),1880945.0)</f>
        <v>1880945</v>
      </c>
    </row>
    <row r="18">
      <c r="A18" s="7">
        <f>IFERROR(__xludf.DUMMYFUNCTION("""COMPUTED_VALUE"""),45282.64583333333)</f>
        <v>45282.64583</v>
      </c>
      <c r="B18" s="6">
        <f>IFERROR(__xludf.DUMMYFUNCTION("""COMPUTED_VALUE"""),3025.0)</f>
        <v>3025</v>
      </c>
      <c r="C18" s="6">
        <f>IFERROR(__xludf.DUMMYFUNCTION("""COMPUTED_VALUE"""),3271.5)</f>
        <v>3271.5</v>
      </c>
      <c r="D18" s="6">
        <f>IFERROR(__xludf.DUMMYFUNCTION("""COMPUTED_VALUE"""),3012.1)</f>
        <v>3012.1</v>
      </c>
      <c r="E18" s="6">
        <f>IFERROR(__xludf.DUMMYFUNCTION("""COMPUTED_VALUE"""),3221.5)</f>
        <v>3221.5</v>
      </c>
      <c r="F18" s="6">
        <f>IFERROR(__xludf.DUMMYFUNCTION("""COMPUTED_VALUE"""),3305259.0)</f>
        <v>3305259</v>
      </c>
    </row>
    <row r="19">
      <c r="A19" s="7">
        <f>IFERROR(__xludf.DUMMYFUNCTION("""COMPUTED_VALUE"""),45289.64583333333)</f>
        <v>45289.64583</v>
      </c>
      <c r="B19" s="6">
        <f>IFERROR(__xludf.DUMMYFUNCTION("""COMPUTED_VALUE"""),3221.5)</f>
        <v>3221.5</v>
      </c>
      <c r="C19" s="6">
        <f>IFERROR(__xludf.DUMMYFUNCTION("""COMPUTED_VALUE"""),3290.45)</f>
        <v>3290.45</v>
      </c>
      <c r="D19" s="6">
        <f>IFERROR(__xludf.DUMMYFUNCTION("""COMPUTED_VALUE"""),3188.0)</f>
        <v>3188</v>
      </c>
      <c r="E19" s="6">
        <f>IFERROR(__xludf.DUMMYFUNCTION("""COMPUTED_VALUE"""),3205.0)</f>
        <v>3205</v>
      </c>
      <c r="F19" s="6">
        <f>IFERROR(__xludf.DUMMYFUNCTION("""COMPUTED_VALUE"""),1838615.0)</f>
        <v>1838615</v>
      </c>
    </row>
    <row r="20">
      <c r="A20" s="7">
        <f>IFERROR(__xludf.DUMMYFUNCTION("""COMPUTED_VALUE"""),45296.64583333333)</f>
        <v>45296.64583</v>
      </c>
      <c r="B20" s="6">
        <f>IFERROR(__xludf.DUMMYFUNCTION("""COMPUTED_VALUE"""),3205.0)</f>
        <v>3205</v>
      </c>
      <c r="C20" s="6">
        <f>IFERROR(__xludf.DUMMYFUNCTION("""COMPUTED_VALUE"""),3352.25)</f>
        <v>3352.25</v>
      </c>
      <c r="D20" s="6">
        <f>IFERROR(__xludf.DUMMYFUNCTION("""COMPUTED_VALUE"""),3181.5)</f>
        <v>3181.5</v>
      </c>
      <c r="E20" s="6">
        <f>IFERROR(__xludf.DUMMYFUNCTION("""COMPUTED_VALUE"""),3303.6)</f>
        <v>3303.6</v>
      </c>
      <c r="F20" s="6">
        <f>IFERROR(__xludf.DUMMYFUNCTION("""COMPUTED_VALUE"""),1619630.0)</f>
        <v>1619630</v>
      </c>
    </row>
    <row r="21">
      <c r="A21" s="7">
        <f>IFERROR(__xludf.DUMMYFUNCTION("""COMPUTED_VALUE"""),45303.64583333333)</f>
        <v>45303.64583</v>
      </c>
      <c r="B21" s="6">
        <f>IFERROR(__xludf.DUMMYFUNCTION("""COMPUTED_VALUE"""),3275.0)</f>
        <v>3275</v>
      </c>
      <c r="C21" s="6">
        <f>IFERROR(__xludf.DUMMYFUNCTION("""COMPUTED_VALUE"""),3560.0)</f>
        <v>3560</v>
      </c>
      <c r="D21" s="6">
        <f>IFERROR(__xludf.DUMMYFUNCTION("""COMPUTED_VALUE"""),3275.0)</f>
        <v>3275</v>
      </c>
      <c r="E21" s="6">
        <f>IFERROR(__xludf.DUMMYFUNCTION("""COMPUTED_VALUE"""),3454.75)</f>
        <v>3454.75</v>
      </c>
      <c r="F21" s="6">
        <f>IFERROR(__xludf.DUMMYFUNCTION("""COMPUTED_VALUE"""),3613069.0)</f>
        <v>3613069</v>
      </c>
    </row>
    <row r="22">
      <c r="A22" s="7">
        <f>IFERROR(__xludf.DUMMYFUNCTION("""COMPUTED_VALUE"""),45316.64583333333)</f>
        <v>45316.64583</v>
      </c>
      <c r="B22" s="6">
        <f>IFERROR(__xludf.DUMMYFUNCTION("""COMPUTED_VALUE"""),3397.05)</f>
        <v>3397.05</v>
      </c>
      <c r="C22" s="6">
        <f>IFERROR(__xludf.DUMMYFUNCTION("""COMPUTED_VALUE"""),3494.0)</f>
        <v>3494</v>
      </c>
      <c r="D22" s="6">
        <f>IFERROR(__xludf.DUMMYFUNCTION("""COMPUTED_VALUE"""),3328.4)</f>
        <v>3328.4</v>
      </c>
      <c r="E22" s="6">
        <f>IFERROR(__xludf.DUMMYFUNCTION("""COMPUTED_VALUE"""),3428.65)</f>
        <v>3428.65</v>
      </c>
      <c r="F22" s="6">
        <f>IFERROR(__xludf.DUMMYFUNCTION("""COMPUTED_VALUE"""),1643840.0)</f>
        <v>1643840</v>
      </c>
    </row>
    <row r="23">
      <c r="A23" s="7">
        <f>IFERROR(__xludf.DUMMYFUNCTION("""COMPUTED_VALUE"""),45324.64583333333)</f>
        <v>45324.64583</v>
      </c>
      <c r="B23" s="6">
        <f>IFERROR(__xludf.DUMMYFUNCTION("""COMPUTED_VALUE"""),3428.0)</f>
        <v>3428</v>
      </c>
      <c r="C23" s="6">
        <f>IFERROR(__xludf.DUMMYFUNCTION("""COMPUTED_VALUE"""),3616.6)</f>
        <v>3616.6</v>
      </c>
      <c r="D23" s="6">
        <f>IFERROR(__xludf.DUMMYFUNCTION("""COMPUTED_VALUE"""),3406.3)</f>
        <v>3406.3</v>
      </c>
      <c r="E23" s="6">
        <f>IFERROR(__xludf.DUMMYFUNCTION("""COMPUTED_VALUE"""),3566.85)</f>
        <v>3566.85</v>
      </c>
      <c r="F23" s="6">
        <f>IFERROR(__xludf.DUMMYFUNCTION("""COMPUTED_VALUE"""),2434809.0)</f>
        <v>2434809</v>
      </c>
    </row>
    <row r="24">
      <c r="A24" s="7">
        <f>IFERROR(__xludf.DUMMYFUNCTION("""COMPUTED_VALUE"""),45331.64583333333)</f>
        <v>45331.64583</v>
      </c>
      <c r="B24" s="6">
        <f>IFERROR(__xludf.DUMMYFUNCTION("""COMPUTED_VALUE"""),3574.0)</f>
        <v>3574</v>
      </c>
      <c r="C24" s="6">
        <f>IFERROR(__xludf.DUMMYFUNCTION("""COMPUTED_VALUE"""),3690.0)</f>
        <v>3690</v>
      </c>
      <c r="D24" s="6">
        <f>IFERROR(__xludf.DUMMYFUNCTION("""COMPUTED_VALUE"""),3513.15)</f>
        <v>3513.15</v>
      </c>
      <c r="E24" s="6">
        <f>IFERROR(__xludf.DUMMYFUNCTION("""COMPUTED_VALUE"""),3636.65)</f>
        <v>3636.65</v>
      </c>
      <c r="F24" s="6">
        <f>IFERROR(__xludf.DUMMYFUNCTION("""COMPUTED_VALUE"""),1604936.0)</f>
        <v>1604936</v>
      </c>
    </row>
    <row r="25">
      <c r="A25" s="7">
        <f>IFERROR(__xludf.DUMMYFUNCTION("""COMPUTED_VALUE"""),45338.64583333333)</f>
        <v>45338.64583</v>
      </c>
      <c r="B25" s="6">
        <f>IFERROR(__xludf.DUMMYFUNCTION("""COMPUTED_VALUE"""),3642.0)</f>
        <v>3642</v>
      </c>
      <c r="C25" s="6">
        <f>IFERROR(__xludf.DUMMYFUNCTION("""COMPUTED_VALUE"""),3879.95)</f>
        <v>3879.95</v>
      </c>
      <c r="D25" s="6">
        <f>IFERROR(__xludf.DUMMYFUNCTION("""COMPUTED_VALUE"""),3574.2)</f>
        <v>3574.2</v>
      </c>
      <c r="E25" s="6">
        <f>IFERROR(__xludf.DUMMYFUNCTION("""COMPUTED_VALUE"""),3875.4)</f>
        <v>3875.4</v>
      </c>
      <c r="F25" s="6">
        <f>IFERROR(__xludf.DUMMYFUNCTION("""COMPUTED_VALUE"""),2495299.0)</f>
        <v>2495299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IFERROR(__xludf.DUMMYFUNCTION("""COMPUTED_VALUE"""),3885.05)</f>
        <v>3885.05</v>
      </c>
      <c r="C26" s="6">
        <f>IFERROR(__xludf.DUMMYFUNCTION("""COMPUTED_VALUE"""),3889.75)</f>
        <v>3889.75</v>
      </c>
      <c r="D26" s="6">
        <f>IFERROR(__xludf.DUMMYFUNCTION("""COMPUTED_VALUE"""),3690.0)</f>
        <v>3690</v>
      </c>
      <c r="E26" s="6">
        <f>IFERROR(__xludf.DUMMYFUNCTION("""COMPUTED_VALUE"""),3817.85)</f>
        <v>3817.85</v>
      </c>
      <c r="F26" s="6">
        <f>IFERROR(__xludf.DUMMYFUNCTION("""COMPUTED_VALUE"""),2347823.0)</f>
        <v>2347823</v>
      </c>
    </row>
    <row r="27">
      <c r="A27" s="7">
        <f>IFERROR(__xludf.DUMMYFUNCTION("""COMPUTED_VALUE"""),45358.64583333333)</f>
        <v>45358.64583</v>
      </c>
      <c r="B27" s="6">
        <f>IFERROR(__xludf.DUMMYFUNCTION("""COMPUTED_VALUE"""),3770.0)</f>
        <v>3770</v>
      </c>
      <c r="C27" s="6">
        <f>IFERROR(__xludf.DUMMYFUNCTION("""COMPUTED_VALUE"""),3876.3)</f>
        <v>3876.3</v>
      </c>
      <c r="D27" s="6">
        <f>IFERROR(__xludf.DUMMYFUNCTION("""COMPUTED_VALUE"""),3730.0)</f>
        <v>3730</v>
      </c>
      <c r="E27" s="6">
        <f>IFERROR(__xludf.DUMMYFUNCTION("""COMPUTED_VALUE"""),3745.8)</f>
        <v>3745.8</v>
      </c>
      <c r="F27" s="6">
        <f>IFERROR(__xludf.DUMMYFUNCTION("""COMPUTED_VALUE"""),1087019.0)</f>
        <v>1087019</v>
      </c>
    </row>
    <row r="28">
      <c r="A28" s="7">
        <f>IFERROR(__xludf.DUMMYFUNCTION("""COMPUTED_VALUE"""),45366.64583333333)</f>
        <v>45366.64583</v>
      </c>
      <c r="B28" s="6">
        <f>IFERROR(__xludf.DUMMYFUNCTION("""COMPUTED_VALUE"""),3750.0)</f>
        <v>3750</v>
      </c>
      <c r="C28" s="6">
        <f>IFERROR(__xludf.DUMMYFUNCTION("""COMPUTED_VALUE"""),3834.65)</f>
        <v>3834.65</v>
      </c>
      <c r="D28" s="6">
        <f>IFERROR(__xludf.DUMMYFUNCTION("""COMPUTED_VALUE"""),3582.35)</f>
        <v>3582.35</v>
      </c>
      <c r="E28" s="6">
        <f>IFERROR(__xludf.DUMMYFUNCTION("""COMPUTED_VALUE"""),3818.65)</f>
        <v>3818.65</v>
      </c>
      <c r="F28" s="6">
        <f>IFERROR(__xludf.DUMMYFUNCTION("""COMPUTED_VALUE"""),2238236.0)</f>
        <v>2238236</v>
      </c>
    </row>
    <row r="29">
      <c r="A29" s="7">
        <f>IFERROR(__xludf.DUMMYFUNCTION("""COMPUTED_VALUE"""),45373.64583333333)</f>
        <v>45373.64583</v>
      </c>
      <c r="B29" s="6">
        <f>IFERROR(__xludf.DUMMYFUNCTION("""COMPUTED_VALUE"""),3819.95)</f>
        <v>3819.95</v>
      </c>
      <c r="C29" s="6">
        <f>IFERROR(__xludf.DUMMYFUNCTION("""COMPUTED_VALUE"""),3824.7)</f>
        <v>3824.7</v>
      </c>
      <c r="D29" s="6">
        <f>IFERROR(__xludf.DUMMYFUNCTION("""COMPUTED_VALUE"""),3586.4)</f>
        <v>3586.4</v>
      </c>
      <c r="E29" s="6">
        <f>IFERROR(__xludf.DUMMYFUNCTION("""COMPUTED_VALUE"""),3773.4)</f>
        <v>3773.4</v>
      </c>
      <c r="F29" s="6">
        <f>IFERROR(__xludf.DUMMYFUNCTION("""COMPUTED_VALUE"""),2194770.0)</f>
        <v>2194770</v>
      </c>
    </row>
    <row r="30">
      <c r="A30" s="7">
        <f>IFERROR(__xludf.DUMMYFUNCTION("""COMPUTED_VALUE"""),45379.64583333333)</f>
        <v>45379.64583</v>
      </c>
      <c r="B30" s="6">
        <f>IFERROR(__xludf.DUMMYFUNCTION("""COMPUTED_VALUE"""),3774.25)</f>
        <v>3774.25</v>
      </c>
      <c r="C30" s="6">
        <f>IFERROR(__xludf.DUMMYFUNCTION("""COMPUTED_VALUE"""),3858.0)</f>
        <v>3858</v>
      </c>
      <c r="D30" s="6">
        <f>IFERROR(__xludf.DUMMYFUNCTION("""COMPUTED_VALUE"""),3744.15)</f>
        <v>3744.15</v>
      </c>
      <c r="E30" s="6">
        <f>IFERROR(__xludf.DUMMYFUNCTION("""COMPUTED_VALUE"""),3754.1)</f>
        <v>3754.1</v>
      </c>
      <c r="F30" s="6">
        <f>IFERROR(__xludf.DUMMYFUNCTION("""COMPUTED_VALUE"""),978989.0)</f>
        <v>978989</v>
      </c>
    </row>
    <row r="31">
      <c r="A31" s="7">
        <f>IFERROR(__xludf.DUMMYFUNCTION("""COMPUTED_VALUE"""),45387.64583333333)</f>
        <v>45387.64583</v>
      </c>
      <c r="B31" s="6">
        <f>IFERROR(__xludf.DUMMYFUNCTION("""COMPUTED_VALUE"""),3799.0)</f>
        <v>3799</v>
      </c>
      <c r="C31" s="6">
        <f>IFERROR(__xludf.DUMMYFUNCTION("""COMPUTED_VALUE"""),3824.45)</f>
        <v>3824.45</v>
      </c>
      <c r="D31" s="6">
        <f>IFERROR(__xludf.DUMMYFUNCTION("""COMPUTED_VALUE"""),3656.9)</f>
        <v>3656.9</v>
      </c>
      <c r="E31" s="6">
        <f>IFERROR(__xludf.DUMMYFUNCTION("""COMPUTED_VALUE"""),3674.7)</f>
        <v>3674.7</v>
      </c>
      <c r="F31" s="6">
        <f>IFERROR(__xludf.DUMMYFUNCTION("""COMPUTED_VALUE"""),2120591.0)</f>
        <v>2120591</v>
      </c>
    </row>
    <row r="32">
      <c r="A32" s="7">
        <f>IFERROR(__xludf.DUMMYFUNCTION("""COMPUTED_VALUE"""),45394.64583333333)</f>
        <v>45394.64583</v>
      </c>
      <c r="B32" s="6">
        <f>IFERROR(__xludf.DUMMYFUNCTION("""COMPUTED_VALUE"""),3670.8)</f>
        <v>3670.8</v>
      </c>
      <c r="C32" s="6">
        <f>IFERROR(__xludf.DUMMYFUNCTION("""COMPUTED_VALUE"""),3755.45)</f>
        <v>3755.45</v>
      </c>
      <c r="D32" s="6">
        <f>IFERROR(__xludf.DUMMYFUNCTION("""COMPUTED_VALUE"""),3616.25)</f>
        <v>3616.25</v>
      </c>
      <c r="E32" s="6">
        <f>IFERROR(__xludf.DUMMYFUNCTION("""COMPUTED_VALUE"""),3680.2)</f>
        <v>3680.2</v>
      </c>
      <c r="F32" s="6">
        <f>IFERROR(__xludf.DUMMYFUNCTION("""COMPUTED_VALUE"""),2082533.0)</f>
        <v>2082533</v>
      </c>
    </row>
    <row r="33">
      <c r="A33" s="7">
        <f>IFERROR(__xludf.DUMMYFUNCTION("""COMPUTED_VALUE"""),45401.64583333333)</f>
        <v>45401.64583</v>
      </c>
      <c r="B33" s="6">
        <f>IFERROR(__xludf.DUMMYFUNCTION("""COMPUTED_VALUE"""),3630.0)</f>
        <v>3630</v>
      </c>
      <c r="C33" s="6">
        <f>IFERROR(__xludf.DUMMYFUNCTION("""COMPUTED_VALUE"""),3825.0)</f>
        <v>3825</v>
      </c>
      <c r="D33" s="6">
        <f>IFERROR(__xludf.DUMMYFUNCTION("""COMPUTED_VALUE"""),3597.6)</f>
        <v>3597.6</v>
      </c>
      <c r="E33" s="6">
        <f>IFERROR(__xludf.DUMMYFUNCTION("""COMPUTED_VALUE"""),3708.45)</f>
        <v>3708.45</v>
      </c>
      <c r="F33" s="6">
        <f>IFERROR(__xludf.DUMMYFUNCTION("""COMPUTED_VALUE"""),3157072.0)</f>
        <v>3157072</v>
      </c>
    </row>
    <row r="34">
      <c r="A34" s="7">
        <f>IFERROR(__xludf.DUMMYFUNCTION("""COMPUTED_VALUE"""),45408.64583333333)</f>
        <v>45408.64583</v>
      </c>
      <c r="B34" s="6">
        <f>IFERROR(__xludf.DUMMYFUNCTION("""COMPUTED_VALUE"""),3730.0)</f>
        <v>3730</v>
      </c>
      <c r="C34" s="6">
        <f>IFERROR(__xludf.DUMMYFUNCTION("""COMPUTED_VALUE"""),3786.2)</f>
        <v>3786.2</v>
      </c>
      <c r="D34" s="6">
        <f>IFERROR(__xludf.DUMMYFUNCTION("""COMPUTED_VALUE"""),3598.15)</f>
        <v>3598.15</v>
      </c>
      <c r="E34" s="6">
        <f>IFERROR(__xludf.DUMMYFUNCTION("""COMPUTED_VALUE"""),3717.7)</f>
        <v>3717.7</v>
      </c>
      <c r="F34" s="6">
        <f>IFERROR(__xludf.DUMMYFUNCTION("""COMPUTED_VALUE"""),2192307.0)</f>
        <v>2192307</v>
      </c>
    </row>
    <row r="35">
      <c r="A35" s="7">
        <f>IFERROR(__xludf.DUMMYFUNCTION("""COMPUTED_VALUE"""),45415.64583333333)</f>
        <v>45415.64583</v>
      </c>
      <c r="B35" s="6">
        <f>IFERROR(__xludf.DUMMYFUNCTION("""COMPUTED_VALUE"""),3732.0)</f>
        <v>3732</v>
      </c>
      <c r="C35" s="6">
        <f>IFERROR(__xludf.DUMMYFUNCTION("""COMPUTED_VALUE"""),3983.85)</f>
        <v>3983.85</v>
      </c>
      <c r="D35" s="6">
        <f>IFERROR(__xludf.DUMMYFUNCTION("""COMPUTED_VALUE"""),3708.1)</f>
        <v>3708.1</v>
      </c>
      <c r="E35" s="6">
        <f>IFERROR(__xludf.DUMMYFUNCTION("""COMPUTED_VALUE"""),3917.95)</f>
        <v>3917.95</v>
      </c>
      <c r="F35" s="6">
        <f>IFERROR(__xludf.DUMMYFUNCTION("""COMPUTED_VALUE"""),2535393.0)</f>
        <v>2535393</v>
      </c>
    </row>
    <row r="36">
      <c r="A36" s="7">
        <f>IFERROR(__xludf.DUMMYFUNCTION("""COMPUTED_VALUE"""),45422.64583333333)</f>
        <v>45422.64583</v>
      </c>
      <c r="B36" s="6">
        <f>IFERROR(__xludf.DUMMYFUNCTION("""COMPUTED_VALUE"""),3949.9)</f>
        <v>3949.9</v>
      </c>
      <c r="C36" s="6">
        <f>IFERROR(__xludf.DUMMYFUNCTION("""COMPUTED_VALUE"""),3949.9)</f>
        <v>3949.9</v>
      </c>
      <c r="D36" s="6">
        <f>IFERROR(__xludf.DUMMYFUNCTION("""COMPUTED_VALUE"""),3601.9)</f>
        <v>3601.9</v>
      </c>
      <c r="E36" s="6">
        <f>IFERROR(__xludf.DUMMYFUNCTION("""COMPUTED_VALUE"""),3639.6)</f>
        <v>3639.6</v>
      </c>
      <c r="F36" s="6">
        <f>IFERROR(__xludf.DUMMYFUNCTION("""COMPUTED_VALUE"""),1351351.0)</f>
        <v>1351351</v>
      </c>
    </row>
    <row r="37">
      <c r="A37" s="7">
        <f>IFERROR(__xludf.DUMMYFUNCTION("""COMPUTED_VALUE"""),45436.64583333333)</f>
        <v>45436.64583</v>
      </c>
      <c r="B37" s="6">
        <f>IFERROR(__xludf.DUMMYFUNCTION("""COMPUTED_VALUE"""),3786.6)</f>
        <v>3786.6</v>
      </c>
      <c r="C37" s="6">
        <f>IFERROR(__xludf.DUMMYFUNCTION("""COMPUTED_VALUE"""),3845.0)</f>
        <v>3845</v>
      </c>
      <c r="D37" s="6">
        <f>IFERROR(__xludf.DUMMYFUNCTION("""COMPUTED_VALUE"""),3760.0)</f>
        <v>3760</v>
      </c>
      <c r="E37" s="6">
        <f>IFERROR(__xludf.DUMMYFUNCTION("""COMPUTED_VALUE"""),3816.35)</f>
        <v>3816.35</v>
      </c>
      <c r="F37" s="6">
        <f>IFERROR(__xludf.DUMMYFUNCTION("""COMPUTED_VALUE"""),799420.0)</f>
        <v>799420</v>
      </c>
    </row>
    <row r="38">
      <c r="A38" s="7">
        <f>IFERROR(__xludf.DUMMYFUNCTION("""COMPUTED_VALUE"""),45443.64583333333)</f>
        <v>45443.64583</v>
      </c>
      <c r="B38" s="6">
        <f>IFERROR(__xludf.DUMMYFUNCTION("""COMPUTED_VALUE"""),3834.0)</f>
        <v>3834</v>
      </c>
      <c r="C38" s="6">
        <f>IFERROR(__xludf.DUMMYFUNCTION("""COMPUTED_VALUE"""),4041.0)</f>
        <v>4041</v>
      </c>
      <c r="D38" s="6">
        <f>IFERROR(__xludf.DUMMYFUNCTION("""COMPUTED_VALUE"""),3726.05)</f>
        <v>3726.05</v>
      </c>
      <c r="E38" s="6">
        <f>IFERROR(__xludf.DUMMYFUNCTION("""COMPUTED_VALUE"""),3884.3)</f>
        <v>3884.3</v>
      </c>
      <c r="F38" s="6">
        <f>IFERROR(__xludf.DUMMYFUNCTION("""COMPUTED_VALUE"""),3555537.0)</f>
        <v>3555537</v>
      </c>
    </row>
    <row r="39">
      <c r="A39" s="7">
        <f>IFERROR(__xludf.DUMMYFUNCTION("""COMPUTED_VALUE"""),45450.64583333333)</f>
        <v>45450.64583</v>
      </c>
      <c r="B39" s="6">
        <f>IFERROR(__xludf.DUMMYFUNCTION("""COMPUTED_VALUE"""),4000.0)</f>
        <v>4000</v>
      </c>
      <c r="C39" s="6">
        <f>IFERROR(__xludf.DUMMYFUNCTION("""COMPUTED_VALUE"""),4186.95)</f>
        <v>4186.95</v>
      </c>
      <c r="D39" s="6">
        <f>IFERROR(__xludf.DUMMYFUNCTION("""COMPUTED_VALUE"""),3415.55)</f>
        <v>3415.55</v>
      </c>
      <c r="E39" s="6">
        <f>IFERROR(__xludf.DUMMYFUNCTION("""COMPUTED_VALUE"""),3823.2)</f>
        <v>3823.2</v>
      </c>
      <c r="F39" s="6">
        <f>IFERROR(__xludf.DUMMYFUNCTION("""COMPUTED_VALUE"""),4782350.0)</f>
        <v>4782350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IFERROR(__xludf.DUMMYFUNCTION("""COMPUTED_VALUE"""),3864.0)</f>
        <v>3864</v>
      </c>
      <c r="C40" s="6">
        <f>IFERROR(__xludf.DUMMYFUNCTION("""COMPUTED_VALUE"""),4089.95)</f>
        <v>4089.95</v>
      </c>
      <c r="D40" s="6">
        <f>IFERROR(__xludf.DUMMYFUNCTION("""COMPUTED_VALUE"""),3735.0)</f>
        <v>3735</v>
      </c>
      <c r="E40" s="6">
        <f>IFERROR(__xludf.DUMMYFUNCTION("""COMPUTED_VALUE"""),4014.4)</f>
        <v>4014.4</v>
      </c>
      <c r="F40" s="6">
        <f>IFERROR(__xludf.DUMMYFUNCTION("""COMPUTED_VALUE"""),3022975.0)</f>
        <v>3022975</v>
      </c>
    </row>
    <row r="41">
      <c r="A41" s="7">
        <f>IFERROR(__xludf.DUMMYFUNCTION("""COMPUTED_VALUE"""),45464.64583333333)</f>
        <v>45464.64583</v>
      </c>
      <c r="B41" s="6">
        <f>IFERROR(__xludf.DUMMYFUNCTION("""COMPUTED_VALUE"""),3945.0)</f>
        <v>3945</v>
      </c>
      <c r="C41" s="6">
        <f>IFERROR(__xludf.DUMMYFUNCTION("""COMPUTED_VALUE"""),3990.45)</f>
        <v>3990.45</v>
      </c>
      <c r="D41" s="6">
        <f>IFERROR(__xludf.DUMMYFUNCTION("""COMPUTED_VALUE"""),3866.45)</f>
        <v>3866.45</v>
      </c>
      <c r="E41" s="6">
        <f>IFERROR(__xludf.DUMMYFUNCTION("""COMPUTED_VALUE"""),3912.8)</f>
        <v>3912.8</v>
      </c>
      <c r="F41" s="6">
        <f>IFERROR(__xludf.DUMMYFUNCTION("""COMPUTED_VALUE"""),942544.0)</f>
        <v>942544</v>
      </c>
    </row>
    <row r="42">
      <c r="A42" s="7">
        <f>IFERROR(__xludf.DUMMYFUNCTION("""COMPUTED_VALUE"""),45471.64583333333)</f>
        <v>45471.64583</v>
      </c>
      <c r="B42" s="6">
        <f>IFERROR(__xludf.DUMMYFUNCTION("""COMPUTED_VALUE"""),3865.0)</f>
        <v>3865</v>
      </c>
      <c r="C42" s="6">
        <f>IFERROR(__xludf.DUMMYFUNCTION("""COMPUTED_VALUE"""),4152.55)</f>
        <v>4152.55</v>
      </c>
      <c r="D42" s="6">
        <f>IFERROR(__xludf.DUMMYFUNCTION("""COMPUTED_VALUE"""),3806.05)</f>
        <v>3806.05</v>
      </c>
      <c r="E42" s="6">
        <f>IFERROR(__xludf.DUMMYFUNCTION("""COMPUTED_VALUE"""),3993.3)</f>
        <v>3993.3</v>
      </c>
      <c r="F42" s="6">
        <f>IFERROR(__xludf.DUMMYFUNCTION("""COMPUTED_VALUE"""),3125744.0)</f>
        <v>3125744</v>
      </c>
    </row>
    <row r="43">
      <c r="A43" s="7">
        <f>IFERROR(__xludf.DUMMYFUNCTION("""COMPUTED_VALUE"""),45478.64583333333)</f>
        <v>45478.64583</v>
      </c>
      <c r="B43" s="6">
        <f>IFERROR(__xludf.DUMMYFUNCTION("""COMPUTED_VALUE"""),3999.95)</f>
        <v>3999.95</v>
      </c>
      <c r="C43" s="6">
        <f>IFERROR(__xludf.DUMMYFUNCTION("""COMPUTED_VALUE"""),4264.95)</f>
        <v>4264.95</v>
      </c>
      <c r="D43" s="6">
        <f>IFERROR(__xludf.DUMMYFUNCTION("""COMPUTED_VALUE"""),3982.65)</f>
        <v>3982.65</v>
      </c>
      <c r="E43" s="6">
        <f>IFERROR(__xludf.DUMMYFUNCTION("""COMPUTED_VALUE"""),4234.7)</f>
        <v>4234.7</v>
      </c>
      <c r="F43" s="6">
        <f>IFERROR(__xludf.DUMMYFUNCTION("""COMPUTED_VALUE"""),2308506.0)</f>
        <v>2308506</v>
      </c>
    </row>
    <row r="44">
      <c r="A44" s="7">
        <f>IFERROR(__xludf.DUMMYFUNCTION("""COMPUTED_VALUE"""),45485.64583333333)</f>
        <v>45485.64583</v>
      </c>
      <c r="B44" s="6">
        <f>IFERROR(__xludf.DUMMYFUNCTION("""COMPUTED_VALUE"""),4231.0)</f>
        <v>4231</v>
      </c>
      <c r="C44" s="6">
        <f>IFERROR(__xludf.DUMMYFUNCTION("""COMPUTED_VALUE"""),4252.2)</f>
        <v>4252.2</v>
      </c>
      <c r="D44" s="6">
        <f>IFERROR(__xludf.DUMMYFUNCTION("""COMPUTED_VALUE"""),4050.0)</f>
        <v>4050</v>
      </c>
      <c r="E44" s="6">
        <f>IFERROR(__xludf.DUMMYFUNCTION("""COMPUTED_VALUE"""),4168.95)</f>
        <v>4168.95</v>
      </c>
      <c r="F44" s="6">
        <f>IFERROR(__xludf.DUMMYFUNCTION("""COMPUTED_VALUE"""),1866844.0)</f>
        <v>1866844</v>
      </c>
    </row>
    <row r="45">
      <c r="A45" s="7">
        <f>IFERROR(__xludf.DUMMYFUNCTION("""COMPUTED_VALUE"""),45492.64583333333)</f>
        <v>45492.64583</v>
      </c>
      <c r="B45" s="6">
        <f>IFERROR(__xludf.DUMMYFUNCTION("""COMPUTED_VALUE"""),4171.0)</f>
        <v>4171</v>
      </c>
      <c r="C45" s="6">
        <f>IFERROR(__xludf.DUMMYFUNCTION("""COMPUTED_VALUE"""),4296.4)</f>
        <v>4296.4</v>
      </c>
      <c r="D45" s="6">
        <f>IFERROR(__xludf.DUMMYFUNCTION("""COMPUTED_VALUE"""),4042.0)</f>
        <v>4042</v>
      </c>
      <c r="E45" s="6">
        <f>IFERROR(__xludf.DUMMYFUNCTION("""COMPUTED_VALUE"""),4066.15)</f>
        <v>4066.15</v>
      </c>
      <c r="F45" s="6">
        <f>IFERROR(__xludf.DUMMYFUNCTION("""COMPUTED_VALUE"""),3659512.0)</f>
        <v>3659512</v>
      </c>
    </row>
    <row r="46">
      <c r="A46" s="7">
        <f>IFERROR(__xludf.DUMMYFUNCTION("""COMPUTED_VALUE"""),45499.64583333333)</f>
        <v>45499.64583</v>
      </c>
      <c r="B46" s="6">
        <f>IFERROR(__xludf.DUMMYFUNCTION("""COMPUTED_VALUE"""),4040.0)</f>
        <v>4040</v>
      </c>
      <c r="C46" s="6">
        <f>IFERROR(__xludf.DUMMYFUNCTION("""COMPUTED_VALUE"""),4154.0)</f>
        <v>4154</v>
      </c>
      <c r="D46" s="6">
        <f>IFERROR(__xludf.DUMMYFUNCTION("""COMPUTED_VALUE"""),3703.55)</f>
        <v>3703.55</v>
      </c>
      <c r="E46" s="6">
        <f>IFERROR(__xludf.DUMMYFUNCTION("""COMPUTED_VALUE"""),4105.1)</f>
        <v>4105.1</v>
      </c>
      <c r="F46" s="6">
        <f>IFERROR(__xludf.DUMMYFUNCTION("""COMPUTED_VALUE"""),4045802.0)</f>
        <v>4045802</v>
      </c>
    </row>
    <row r="47">
      <c r="A47" s="7">
        <f>IFERROR(__xludf.DUMMYFUNCTION("""COMPUTED_VALUE"""),45506.64583333333)</f>
        <v>45506.64583</v>
      </c>
      <c r="B47" s="6">
        <f>IFERROR(__xludf.DUMMYFUNCTION("""COMPUTED_VALUE"""),4110.0)</f>
        <v>4110</v>
      </c>
      <c r="C47" s="6">
        <f>IFERROR(__xludf.DUMMYFUNCTION("""COMPUTED_VALUE"""),4216.95)</f>
        <v>4216.95</v>
      </c>
      <c r="D47" s="6">
        <f>IFERROR(__xludf.DUMMYFUNCTION("""COMPUTED_VALUE"""),4092.8)</f>
        <v>4092.8</v>
      </c>
      <c r="E47" s="6">
        <f>IFERROR(__xludf.DUMMYFUNCTION("""COMPUTED_VALUE"""),4123.8)</f>
        <v>4123.8</v>
      </c>
      <c r="F47" s="6">
        <f>IFERROR(__xludf.DUMMYFUNCTION("""COMPUTED_VALUE"""),3028897.0)</f>
        <v>3028897</v>
      </c>
    </row>
    <row r="48">
      <c r="A48" s="7">
        <f>IFERROR(__xludf.DUMMYFUNCTION("""COMPUTED_VALUE"""),45513.64583333333)</f>
        <v>45513.64583</v>
      </c>
      <c r="B48" s="6">
        <f>IFERROR(__xludf.DUMMYFUNCTION("""COMPUTED_VALUE"""),4049.95)</f>
        <v>4049.95</v>
      </c>
      <c r="C48" s="6">
        <f>IFERROR(__xludf.DUMMYFUNCTION("""COMPUTED_VALUE"""),4189.15)</f>
        <v>4189.15</v>
      </c>
      <c r="D48" s="6">
        <f>IFERROR(__xludf.DUMMYFUNCTION("""COMPUTED_VALUE"""),3955.55)</f>
        <v>3955.55</v>
      </c>
      <c r="E48" s="6">
        <f>IFERROR(__xludf.DUMMYFUNCTION("""COMPUTED_VALUE"""),4133.25)</f>
        <v>4133.25</v>
      </c>
      <c r="F48" s="6">
        <f>IFERROR(__xludf.DUMMYFUNCTION("""COMPUTED_VALUE"""),3108746.0)</f>
        <v>3108746</v>
      </c>
    </row>
    <row r="49">
      <c r="A49" s="7">
        <f>IFERROR(__xludf.DUMMYFUNCTION("""COMPUTED_VALUE"""),45520.64583333333)</f>
        <v>45520.64583</v>
      </c>
      <c r="B49" s="6">
        <f>IFERROR(__xludf.DUMMYFUNCTION("""COMPUTED_VALUE"""),4130.05)</f>
        <v>4130.05</v>
      </c>
      <c r="C49" s="6">
        <f>IFERROR(__xludf.DUMMYFUNCTION("""COMPUTED_VALUE"""),4255.2)</f>
        <v>4255.2</v>
      </c>
      <c r="D49" s="6">
        <f>IFERROR(__xludf.DUMMYFUNCTION("""COMPUTED_VALUE"""),4070.0)</f>
        <v>4070</v>
      </c>
      <c r="E49" s="6">
        <f>IFERROR(__xludf.DUMMYFUNCTION("""COMPUTED_VALUE"""),4216.3)</f>
        <v>4216.3</v>
      </c>
      <c r="F49" s="6">
        <f>IFERROR(__xludf.DUMMYFUNCTION("""COMPUTED_VALUE"""),1782335.0)</f>
        <v>1782335</v>
      </c>
    </row>
    <row r="50">
      <c r="A50" s="7">
        <f>IFERROR(__xludf.DUMMYFUNCTION("""COMPUTED_VALUE"""),45527.64583333333)</f>
        <v>45527.64583</v>
      </c>
      <c r="B50" s="6">
        <f>IFERROR(__xludf.DUMMYFUNCTION("""COMPUTED_VALUE"""),4238.7)</f>
        <v>4238.7</v>
      </c>
      <c r="C50" s="6">
        <f>IFERROR(__xludf.DUMMYFUNCTION("""COMPUTED_VALUE"""),4438.85)</f>
        <v>4438.85</v>
      </c>
      <c r="D50" s="6">
        <f>IFERROR(__xludf.DUMMYFUNCTION("""COMPUTED_VALUE"""),4162.05)</f>
        <v>4162.05</v>
      </c>
      <c r="E50" s="6">
        <f>IFERROR(__xludf.DUMMYFUNCTION("""COMPUTED_VALUE"""),4385.75)</f>
        <v>4385.75</v>
      </c>
      <c r="F50" s="6">
        <f>IFERROR(__xludf.DUMMYFUNCTION("""COMPUTED_VALUE"""),4004161.0)</f>
        <v>4004161</v>
      </c>
    </row>
    <row r="51">
      <c r="A51" s="7">
        <f>IFERROR(__xludf.DUMMYFUNCTION("""COMPUTED_VALUE"""),45534.64583333333)</f>
        <v>45534.64583</v>
      </c>
      <c r="B51" s="6">
        <f>IFERROR(__xludf.DUMMYFUNCTION("""COMPUTED_VALUE"""),4385.0)</f>
        <v>4385</v>
      </c>
      <c r="C51" s="6">
        <f>IFERROR(__xludf.DUMMYFUNCTION("""COMPUTED_VALUE"""),4527.95)</f>
        <v>4527.95</v>
      </c>
      <c r="D51" s="6">
        <f>IFERROR(__xludf.DUMMYFUNCTION("""COMPUTED_VALUE"""),4365.6)</f>
        <v>4365.6</v>
      </c>
      <c r="E51" s="6">
        <f>IFERROR(__xludf.DUMMYFUNCTION("""COMPUTED_VALUE"""),4420.5)</f>
        <v>4420.5</v>
      </c>
      <c r="F51" s="6">
        <f>IFERROR(__xludf.DUMMYFUNCTION("""COMPUTED_VALUE"""),2625814.0)</f>
        <v>2625814</v>
      </c>
    </row>
    <row r="52">
      <c r="A52" s="7">
        <f>IFERROR(__xludf.DUMMYFUNCTION("""COMPUTED_VALUE"""),45541.64583333333)</f>
        <v>45541.64583</v>
      </c>
      <c r="B52" s="6">
        <f>IFERROR(__xludf.DUMMYFUNCTION("""COMPUTED_VALUE"""),4431.95)</f>
        <v>4431.95</v>
      </c>
      <c r="C52" s="6">
        <f>IFERROR(__xludf.DUMMYFUNCTION("""COMPUTED_VALUE"""),4546.2)</f>
        <v>4546.2</v>
      </c>
      <c r="D52" s="6">
        <f>IFERROR(__xludf.DUMMYFUNCTION("""COMPUTED_VALUE"""),4360.0)</f>
        <v>4360</v>
      </c>
      <c r="E52" s="6">
        <f>IFERROR(__xludf.DUMMYFUNCTION("""COMPUTED_VALUE"""),4418.0)</f>
        <v>4418</v>
      </c>
      <c r="F52" s="6">
        <f>IFERROR(__xludf.DUMMYFUNCTION("""COMPUTED_VALUE"""),1788954.0)</f>
        <v>1788954</v>
      </c>
    </row>
    <row r="53">
      <c r="A53" s="7">
        <f>IFERROR(__xludf.DUMMYFUNCTION("""COMPUTED_VALUE"""),45548.64583333333)</f>
        <v>45548.64583</v>
      </c>
      <c r="B53" s="6">
        <f>IFERROR(__xludf.DUMMYFUNCTION("""COMPUTED_VALUE"""),4418.0)</f>
        <v>4418</v>
      </c>
      <c r="C53" s="6">
        <f>IFERROR(__xludf.DUMMYFUNCTION("""COMPUTED_VALUE"""),4458.95)</f>
        <v>4458.95</v>
      </c>
      <c r="D53" s="6">
        <f>IFERROR(__xludf.DUMMYFUNCTION("""COMPUTED_VALUE"""),4323.5)</f>
        <v>4323.5</v>
      </c>
      <c r="E53" s="6">
        <f>IFERROR(__xludf.DUMMYFUNCTION("""COMPUTED_VALUE"""),4422.4)</f>
        <v>4422.4</v>
      </c>
      <c r="F53" s="6">
        <f>IFERROR(__xludf.DUMMYFUNCTION("""COMPUTED_VALUE"""),1661301.0)</f>
        <v>1661301</v>
      </c>
    </row>
    <row r="54">
      <c r="A54" s="7">
        <f>IFERROR(__xludf.DUMMYFUNCTION("""COMPUTED_VALUE"""),45555.64583333333)</f>
        <v>45555.64583</v>
      </c>
      <c r="B54" s="6">
        <f>IFERROR(__xludf.DUMMYFUNCTION("""COMPUTED_VALUE"""),4438.0)</f>
        <v>4438</v>
      </c>
      <c r="C54" s="6">
        <f>IFERROR(__xludf.DUMMYFUNCTION("""COMPUTED_VALUE"""),4486.0)</f>
        <v>4486</v>
      </c>
      <c r="D54" s="6">
        <f>IFERROR(__xludf.DUMMYFUNCTION("""COMPUTED_VALUE"""),4299.9)</f>
        <v>4299.9</v>
      </c>
      <c r="E54" s="6">
        <f>IFERROR(__xludf.DUMMYFUNCTION("""COMPUTED_VALUE"""),4378.3)</f>
        <v>4378.3</v>
      </c>
      <c r="F54" s="6">
        <f>IFERROR(__xludf.DUMMYFUNCTION("""COMPUTED_VALUE"""),2037711.0)</f>
        <v>2037711</v>
      </c>
    </row>
    <row r="55">
      <c r="A55" s="7">
        <f>IFERROR(__xludf.DUMMYFUNCTION("""COMPUTED_VALUE"""),45562.64583333333)</f>
        <v>45562.64583</v>
      </c>
      <c r="B55" s="6">
        <f>IFERROR(__xludf.DUMMYFUNCTION("""COMPUTED_VALUE"""),4385.5)</f>
        <v>4385.5</v>
      </c>
      <c r="C55" s="6">
        <f>IFERROR(__xludf.DUMMYFUNCTION("""COMPUTED_VALUE"""),4541.0)</f>
        <v>4541</v>
      </c>
      <c r="D55" s="6">
        <f>IFERROR(__xludf.DUMMYFUNCTION("""COMPUTED_VALUE"""),4330.0)</f>
        <v>4330</v>
      </c>
      <c r="E55" s="6">
        <f>IFERROR(__xludf.DUMMYFUNCTION("""COMPUTED_VALUE"""),4420.55)</f>
        <v>4420.55</v>
      </c>
      <c r="F55" s="6">
        <f>IFERROR(__xludf.DUMMYFUNCTION("""COMPUTED_VALUE"""),1999667.0)</f>
        <v>1999667</v>
      </c>
    </row>
    <row r="56">
      <c r="A56" s="7">
        <f>IFERROR(__xludf.DUMMYFUNCTION("""COMPUTED_VALUE"""),45569.64583333333)</f>
        <v>45569.64583</v>
      </c>
      <c r="B56" s="6">
        <f>IFERROR(__xludf.DUMMYFUNCTION("""COMPUTED_VALUE"""),4420.0)</f>
        <v>4420</v>
      </c>
      <c r="C56" s="6">
        <f>IFERROR(__xludf.DUMMYFUNCTION("""COMPUTED_VALUE"""),4420.0)</f>
        <v>4420</v>
      </c>
      <c r="D56" s="6">
        <f>IFERROR(__xludf.DUMMYFUNCTION("""COMPUTED_VALUE"""),4184.65)</f>
        <v>4184.65</v>
      </c>
      <c r="E56" s="6">
        <f>IFERROR(__xludf.DUMMYFUNCTION("""COMPUTED_VALUE"""),4219.45)</f>
        <v>4219.45</v>
      </c>
      <c r="F56" s="6">
        <f>IFERROR(__xludf.DUMMYFUNCTION("""COMPUTED_VALUE"""),1251429.0)</f>
        <v>1251429</v>
      </c>
    </row>
    <row r="57">
      <c r="A57" s="7">
        <f>IFERROR(__xludf.DUMMYFUNCTION("""COMPUTED_VALUE"""),45576.64583333333)</f>
        <v>45576.64583</v>
      </c>
      <c r="B57" s="6">
        <f>IFERROR(__xludf.DUMMYFUNCTION("""COMPUTED_VALUE"""),4203.0)</f>
        <v>4203</v>
      </c>
      <c r="C57" s="6">
        <f>IFERROR(__xludf.DUMMYFUNCTION("""COMPUTED_VALUE"""),4455.0)</f>
        <v>4455</v>
      </c>
      <c r="D57" s="6">
        <f>IFERROR(__xludf.DUMMYFUNCTION("""COMPUTED_VALUE"""),4100.0)</f>
        <v>4100</v>
      </c>
      <c r="E57" s="6">
        <f>IFERROR(__xludf.DUMMYFUNCTION("""COMPUTED_VALUE"""),4449.4)</f>
        <v>4449.4</v>
      </c>
      <c r="F57" s="6">
        <f>IFERROR(__xludf.DUMMYFUNCTION("""COMPUTED_VALUE"""),2650684.0)</f>
        <v>2650684</v>
      </c>
    </row>
    <row r="58">
      <c r="A58" s="7">
        <f>IFERROR(__xludf.DUMMYFUNCTION("""COMPUTED_VALUE"""),45583.64583333333)</f>
        <v>45583.64583</v>
      </c>
      <c r="B58" s="6">
        <f>IFERROR(__xludf.DUMMYFUNCTION("""COMPUTED_VALUE"""),4476.95)</f>
        <v>4476.95</v>
      </c>
      <c r="C58" s="6">
        <f>IFERROR(__xludf.DUMMYFUNCTION("""COMPUTED_VALUE"""),4864.0)</f>
        <v>4864</v>
      </c>
      <c r="D58" s="6">
        <f>IFERROR(__xludf.DUMMYFUNCTION("""COMPUTED_VALUE"""),4414.0)</f>
        <v>4414</v>
      </c>
      <c r="E58" s="6">
        <f>IFERROR(__xludf.DUMMYFUNCTION("""COMPUTED_VALUE"""),4709.75)</f>
        <v>4709.75</v>
      </c>
      <c r="F58" s="6">
        <f>IFERROR(__xludf.DUMMYFUNCTION("""COMPUTED_VALUE"""),6442674.0)</f>
        <v>6442674</v>
      </c>
    </row>
    <row r="59">
      <c r="A59" s="7">
        <f>IFERROR(__xludf.DUMMYFUNCTION("""COMPUTED_VALUE"""),45590.64583333333)</f>
        <v>45590.64583</v>
      </c>
      <c r="B59" s="6">
        <f>IFERROR(__xludf.DUMMYFUNCTION("""COMPUTED_VALUE"""),4740.9)</f>
        <v>4740.9</v>
      </c>
      <c r="C59" s="6">
        <f>IFERROR(__xludf.DUMMYFUNCTION("""COMPUTED_VALUE"""),4800.0)</f>
        <v>4800</v>
      </c>
      <c r="D59" s="6">
        <f>IFERROR(__xludf.DUMMYFUNCTION("""COMPUTED_VALUE"""),4305.05)</f>
        <v>4305.05</v>
      </c>
      <c r="E59" s="6">
        <f>IFERROR(__xludf.DUMMYFUNCTION("""COMPUTED_VALUE"""),4342.25)</f>
        <v>4342.25</v>
      </c>
      <c r="F59" s="6">
        <f>IFERROR(__xludf.DUMMYFUNCTION("""COMPUTED_VALUE"""),2658827.0)</f>
        <v>2658827</v>
      </c>
    </row>
    <row r="60">
      <c r="A60" s="7">
        <f>IFERROR(__xludf.DUMMYFUNCTION("""COMPUTED_VALUE"""),45604.64583333333)</f>
        <v>45604.64583</v>
      </c>
      <c r="B60" s="6">
        <f>IFERROR(__xludf.DUMMYFUNCTION("""COMPUTED_VALUE"""),4342.05)</f>
        <v>4342.05</v>
      </c>
      <c r="C60" s="6">
        <f>IFERROR(__xludf.DUMMYFUNCTION("""COMPUTED_VALUE"""),4552.9)</f>
        <v>4552.9</v>
      </c>
      <c r="D60" s="6">
        <f>IFERROR(__xludf.DUMMYFUNCTION("""COMPUTED_VALUE"""),4182.5)</f>
        <v>4182.5</v>
      </c>
      <c r="E60" s="6">
        <f>IFERROR(__xludf.DUMMYFUNCTION("""COMPUTED_VALUE"""),4484.55)</f>
        <v>4484.55</v>
      </c>
      <c r="F60" s="6">
        <f>IFERROR(__xludf.DUMMYFUNCTION("""COMPUTED_VALUE"""),2581243.0)</f>
        <v>2581243</v>
      </c>
    </row>
    <row r="61">
      <c r="A61" s="7">
        <f>IFERROR(__xludf.DUMMYFUNCTION("""COMPUTED_VALUE"""),45610.64583333333)</f>
        <v>45610.64583</v>
      </c>
      <c r="B61" s="6">
        <f>IFERROR(__xludf.DUMMYFUNCTION("""COMPUTED_VALUE"""),4484.55)</f>
        <v>4484.55</v>
      </c>
      <c r="C61" s="6">
        <f>IFERROR(__xludf.DUMMYFUNCTION("""COMPUTED_VALUE"""),4540.0)</f>
        <v>4540</v>
      </c>
      <c r="D61" s="6">
        <f>IFERROR(__xludf.DUMMYFUNCTION("""COMPUTED_VALUE"""),4220.0)</f>
        <v>4220</v>
      </c>
      <c r="E61" s="6">
        <f>IFERROR(__xludf.DUMMYFUNCTION("""COMPUTED_VALUE"""),4278.75)</f>
        <v>4278.75</v>
      </c>
      <c r="F61" s="6">
        <f>IFERROR(__xludf.DUMMYFUNCTION("""COMPUTED_VALUE"""),1533381.0)</f>
        <v>1533381</v>
      </c>
    </row>
    <row r="62">
      <c r="A62" s="7">
        <f>IFERROR(__xludf.DUMMYFUNCTION("""COMPUTED_VALUE"""),45618.64583333333)</f>
        <v>45618.64583</v>
      </c>
      <c r="B62" s="6">
        <f>IFERROR(__xludf.DUMMYFUNCTION("""COMPUTED_VALUE"""),4276.0)</f>
        <v>4276</v>
      </c>
      <c r="C62" s="6">
        <f>IFERROR(__xludf.DUMMYFUNCTION("""COMPUTED_VALUE"""),4278.75)</f>
        <v>4278.75</v>
      </c>
      <c r="D62" s="6">
        <f>IFERROR(__xludf.DUMMYFUNCTION("""COMPUTED_VALUE"""),4126.6)</f>
        <v>4126.6</v>
      </c>
      <c r="E62" s="6">
        <f>IFERROR(__xludf.DUMMYFUNCTION("""COMPUTED_VALUE"""),4223.25)</f>
        <v>4223.25</v>
      </c>
      <c r="F62" s="6">
        <f>IFERROR(__xludf.DUMMYFUNCTION("""COMPUTED_VALUE"""),2486303.0)</f>
        <v>2486303</v>
      </c>
    </row>
    <row r="63">
      <c r="A63" s="7">
        <f>IFERROR(__xludf.DUMMYFUNCTION("""COMPUTED_VALUE"""),45625.64583333333)</f>
        <v>45625.64583</v>
      </c>
      <c r="B63" s="6">
        <f>IFERROR(__xludf.DUMMYFUNCTION("""COMPUTED_VALUE"""),4304.95)</f>
        <v>4304.95</v>
      </c>
      <c r="C63" s="6">
        <f>IFERROR(__xludf.DUMMYFUNCTION("""COMPUTED_VALUE"""),4375.5)</f>
        <v>4375.5</v>
      </c>
      <c r="D63" s="6">
        <f>IFERROR(__xludf.DUMMYFUNCTION("""COMPUTED_VALUE"""),4187.0)</f>
        <v>4187</v>
      </c>
      <c r="E63" s="6">
        <f>IFERROR(__xludf.DUMMYFUNCTION("""COMPUTED_VALUE"""),4204.25)</f>
        <v>4204.25</v>
      </c>
      <c r="F63" s="6">
        <f>IFERROR(__xludf.DUMMYFUNCTION("""COMPUTED_VALUE"""),1802558.0)</f>
        <v>1802558</v>
      </c>
    </row>
    <row r="64">
      <c r="A64" s="7">
        <f>IFERROR(__xludf.DUMMYFUNCTION("""COMPUTED_VALUE"""),45632.64583333333)</f>
        <v>45632.64583</v>
      </c>
      <c r="B64" s="6">
        <f>IFERROR(__xludf.DUMMYFUNCTION("""COMPUTED_VALUE"""),4194.0)</f>
        <v>4194</v>
      </c>
      <c r="C64" s="6">
        <f>IFERROR(__xludf.DUMMYFUNCTION("""COMPUTED_VALUE"""),4407.0)</f>
        <v>4407</v>
      </c>
      <c r="D64" s="6">
        <f>IFERROR(__xludf.DUMMYFUNCTION("""COMPUTED_VALUE"""),4179.65)</f>
        <v>4179.65</v>
      </c>
      <c r="E64" s="6">
        <f>IFERROR(__xludf.DUMMYFUNCTION("""COMPUTED_VALUE"""),4363.9)</f>
        <v>4363.9</v>
      </c>
      <c r="F64" s="6">
        <f>IFERROR(__xludf.DUMMYFUNCTION("""COMPUTED_VALUE"""),1805873.0)</f>
        <v>1805873</v>
      </c>
    </row>
    <row r="65">
      <c r="A65" s="7">
        <f>IFERROR(__xludf.DUMMYFUNCTION("""COMPUTED_VALUE"""),45639.64583333333)</f>
        <v>45639.64583</v>
      </c>
      <c r="B65" s="6">
        <f>IFERROR(__xludf.DUMMYFUNCTION("""COMPUTED_VALUE"""),4356.05)</f>
        <v>4356.05</v>
      </c>
      <c r="C65" s="6">
        <f>IFERROR(__xludf.DUMMYFUNCTION("""COMPUTED_VALUE"""),4579.95)</f>
        <v>4579.95</v>
      </c>
      <c r="D65" s="6">
        <f>IFERROR(__xludf.DUMMYFUNCTION("""COMPUTED_VALUE"""),4332.1)</f>
        <v>4332.1</v>
      </c>
      <c r="E65" s="6">
        <f>IFERROR(__xludf.DUMMYFUNCTION("""COMPUTED_VALUE"""),4538.85)</f>
        <v>4538.85</v>
      </c>
      <c r="F65" s="6">
        <f>IFERROR(__xludf.DUMMYFUNCTION("""COMPUTED_VALUE"""),1710919.0)</f>
        <v>1710919</v>
      </c>
    </row>
    <row r="66">
      <c r="A66" s="7">
        <f>IFERROR(__xludf.DUMMYFUNCTION("""COMPUTED_VALUE"""),45646.64583333333)</f>
        <v>45646.64583</v>
      </c>
      <c r="B66" s="6">
        <f>IFERROR(__xludf.DUMMYFUNCTION("""COMPUTED_VALUE"""),4550.0)</f>
        <v>4550</v>
      </c>
      <c r="C66" s="6">
        <f>IFERROR(__xludf.DUMMYFUNCTION("""COMPUTED_VALUE"""),4578.0)</f>
        <v>4578</v>
      </c>
      <c r="D66" s="6">
        <f>IFERROR(__xludf.DUMMYFUNCTION("""COMPUTED_VALUE"""),4214.3)</f>
        <v>4214.3</v>
      </c>
      <c r="E66" s="6">
        <f>IFERROR(__xludf.DUMMYFUNCTION("""COMPUTED_VALUE"""),4262.8)</f>
        <v>4262.8</v>
      </c>
      <c r="F66" s="6">
        <f>IFERROR(__xludf.DUMMYFUNCTION("""COMPUTED_VALUE"""),1488649.0)</f>
        <v>1488649</v>
      </c>
    </row>
    <row r="67">
      <c r="A67" s="7">
        <f>IFERROR(__xludf.DUMMYFUNCTION("""COMPUTED_VALUE"""),45653.64583333333)</f>
        <v>45653.64583</v>
      </c>
      <c r="B67" s="6">
        <f>IFERROR(__xludf.DUMMYFUNCTION("""COMPUTED_VALUE"""),4275.0)</f>
        <v>4275</v>
      </c>
      <c r="C67" s="6">
        <f>IFERROR(__xludf.DUMMYFUNCTION("""COMPUTED_VALUE"""),4329.2)</f>
        <v>4329.2</v>
      </c>
      <c r="D67" s="6">
        <f>IFERROR(__xludf.DUMMYFUNCTION("""COMPUTED_VALUE"""),4211.0)</f>
        <v>4211</v>
      </c>
      <c r="E67" s="6">
        <f>IFERROR(__xludf.DUMMYFUNCTION("""COMPUTED_VALUE"""),4263.1)</f>
        <v>4263.1</v>
      </c>
      <c r="F67" s="6">
        <f>IFERROR(__xludf.DUMMYFUNCTION("""COMPUTED_VALUE"""),874364.0)</f>
        <v>874364</v>
      </c>
    </row>
    <row r="68">
      <c r="A68" s="7">
        <f>IFERROR(__xludf.DUMMYFUNCTION("""COMPUTED_VALUE"""),45660.64583333333)</f>
        <v>45660.64583</v>
      </c>
      <c r="B68" s="6">
        <f>IFERROR(__xludf.DUMMYFUNCTION("""COMPUTED_VALUE"""),4249.0)</f>
        <v>4249</v>
      </c>
      <c r="C68" s="6">
        <f>IFERROR(__xludf.DUMMYFUNCTION("""COMPUTED_VALUE"""),4310.0)</f>
        <v>4310</v>
      </c>
      <c r="D68" s="6">
        <f>IFERROR(__xludf.DUMMYFUNCTION("""COMPUTED_VALUE"""),4145.1)</f>
        <v>4145.1</v>
      </c>
      <c r="E68" s="6">
        <f>IFERROR(__xludf.DUMMYFUNCTION("""COMPUTED_VALUE"""),4224.65)</f>
        <v>4224.65</v>
      </c>
      <c r="F68" s="6">
        <f>IFERROR(__xludf.DUMMYFUNCTION("""COMPUTED_VALUE"""),1988497.0)</f>
        <v>1988497</v>
      </c>
    </row>
    <row r="69">
      <c r="A69" s="7">
        <f>IFERROR(__xludf.DUMMYFUNCTION("""COMPUTED_VALUE"""),45667.64583333333)</f>
        <v>45667.64583</v>
      </c>
      <c r="B69" s="6">
        <f>IFERROR(__xludf.DUMMYFUNCTION("""COMPUTED_VALUE"""),4200.0)</f>
        <v>4200</v>
      </c>
      <c r="C69" s="6">
        <f>IFERROR(__xludf.DUMMYFUNCTION("""COMPUTED_VALUE"""),4238.45)</f>
        <v>4238.45</v>
      </c>
      <c r="D69" s="6">
        <f>IFERROR(__xludf.DUMMYFUNCTION("""COMPUTED_VALUE"""),3832.95)</f>
        <v>3832.95</v>
      </c>
      <c r="E69" s="6">
        <f>IFERROR(__xludf.DUMMYFUNCTION("""COMPUTED_VALUE"""),3844.8)</f>
        <v>3844.8</v>
      </c>
      <c r="F69" s="6">
        <f>IFERROR(__xludf.DUMMYFUNCTION("""COMPUTED_VALUE"""),2264885.0)</f>
        <v>2264885</v>
      </c>
    </row>
    <row r="70">
      <c r="A70" s="7">
        <f>IFERROR(__xludf.DUMMYFUNCTION("""COMPUTED_VALUE"""),45674.64583333333)</f>
        <v>45674.64583</v>
      </c>
      <c r="B70" s="6">
        <f>IFERROR(__xludf.DUMMYFUNCTION("""COMPUTED_VALUE"""),3800.0)</f>
        <v>3800</v>
      </c>
      <c r="C70" s="6">
        <f>IFERROR(__xludf.DUMMYFUNCTION("""COMPUTED_VALUE"""),4118.0)</f>
        <v>4118</v>
      </c>
      <c r="D70" s="6">
        <f>IFERROR(__xludf.DUMMYFUNCTION("""COMPUTED_VALUE"""),3792.2)</f>
        <v>3792.2</v>
      </c>
      <c r="E70" s="6">
        <f>IFERROR(__xludf.DUMMYFUNCTION("""COMPUTED_VALUE"""),4030.85)</f>
        <v>4030.85</v>
      </c>
      <c r="F70" s="6">
        <f>IFERROR(__xludf.DUMMYFUNCTION("""COMPUTED_VALUE"""),3581131.0)</f>
        <v>3581131</v>
      </c>
    </row>
    <row r="71">
      <c r="A71" s="7">
        <f>IFERROR(__xludf.DUMMYFUNCTION("""COMPUTED_VALUE"""),45681.64583333333)</f>
        <v>45681.64583</v>
      </c>
      <c r="B71" s="6">
        <f>IFERROR(__xludf.DUMMYFUNCTION("""COMPUTED_VALUE"""),4038.65)</f>
        <v>4038.65</v>
      </c>
      <c r="C71" s="6">
        <f>IFERROR(__xludf.DUMMYFUNCTION("""COMPUTED_VALUE"""),4089.95)</f>
        <v>4089.95</v>
      </c>
      <c r="D71" s="6">
        <f>IFERROR(__xludf.DUMMYFUNCTION("""COMPUTED_VALUE"""),3864.3)</f>
        <v>3864.3</v>
      </c>
      <c r="E71" s="6">
        <f>IFERROR(__xludf.DUMMYFUNCTION("""COMPUTED_VALUE"""),3877.8)</f>
        <v>3877.8</v>
      </c>
      <c r="F71" s="6">
        <f>IFERROR(__xludf.DUMMYFUNCTION("""COMPUTED_VALUE"""),1923775.0)</f>
        <v>1923775</v>
      </c>
    </row>
    <row r="72">
      <c r="A72" s="7">
        <f>IFERROR(__xludf.DUMMYFUNCTION("""COMPUTED_VALUE"""),45695.64583333333)</f>
        <v>45695.64583</v>
      </c>
      <c r="B72" s="6">
        <f>IFERROR(__xludf.DUMMYFUNCTION("""COMPUTED_VALUE"""),3900.0)</f>
        <v>3900</v>
      </c>
      <c r="C72" s="6">
        <f>IFERROR(__xludf.DUMMYFUNCTION("""COMPUTED_VALUE"""),4043.95)</f>
        <v>4043.95</v>
      </c>
      <c r="D72" s="6">
        <f>IFERROR(__xludf.DUMMYFUNCTION("""COMPUTED_VALUE"""),3786.0)</f>
        <v>3786</v>
      </c>
      <c r="E72" s="6">
        <f>IFERROR(__xludf.DUMMYFUNCTION("""COMPUTED_VALUE"""),3922.35)</f>
        <v>3922.35</v>
      </c>
      <c r="F72" s="6">
        <f>IFERROR(__xludf.DUMMYFUNCTION("""COMPUTED_VALUE"""),2253600.0)</f>
        <v>2253600</v>
      </c>
    </row>
    <row r="73">
      <c r="A73" s="7">
        <f>IFERROR(__xludf.DUMMYFUNCTION("""COMPUTED_VALUE"""),45702.64583333333)</f>
        <v>45702.64583</v>
      </c>
      <c r="B73" s="6">
        <f>IFERROR(__xludf.DUMMYFUNCTION("""COMPUTED_VALUE"""),3924.0)</f>
        <v>3924</v>
      </c>
      <c r="C73" s="6">
        <f>IFERROR(__xludf.DUMMYFUNCTION("""COMPUTED_VALUE"""),3955.35)</f>
        <v>3955.35</v>
      </c>
      <c r="D73" s="6">
        <f>IFERROR(__xludf.DUMMYFUNCTION("""COMPUTED_VALUE"""),3563.05)</f>
        <v>3563.05</v>
      </c>
      <c r="E73" s="6">
        <f>IFERROR(__xludf.DUMMYFUNCTION("""COMPUTED_VALUE"""),3752.45)</f>
        <v>3752.45</v>
      </c>
      <c r="F73" s="6">
        <f>IFERROR(__xludf.DUMMYFUNCTION("""COMPUTED_VALUE"""),2725451.0)</f>
        <v>2725451</v>
      </c>
    </row>
    <row r="74">
      <c r="A74" s="7">
        <f>IFERROR(__xludf.DUMMYFUNCTION("""COMPUTED_VALUE"""),45709.64583333333)</f>
        <v>45709.64583</v>
      </c>
      <c r="B74" s="6">
        <f>IFERROR(__xludf.DUMMYFUNCTION("""COMPUTED_VALUE"""),3745.0)</f>
        <v>3745</v>
      </c>
      <c r="C74" s="6">
        <f>IFERROR(__xludf.DUMMYFUNCTION("""COMPUTED_VALUE"""),3928.0)</f>
        <v>3928</v>
      </c>
      <c r="D74" s="6">
        <f>IFERROR(__xludf.DUMMYFUNCTION("""COMPUTED_VALUE"""),3652.8)</f>
        <v>3652.8</v>
      </c>
      <c r="E74" s="6">
        <f>IFERROR(__xludf.DUMMYFUNCTION("""COMPUTED_VALUE"""),3793.1)</f>
        <v>3793.1</v>
      </c>
      <c r="F74" s="6">
        <f>IFERROR(__xludf.DUMMYFUNCTION("""COMPUTED_VALUE"""),1822732.0)</f>
        <v>1822732</v>
      </c>
    </row>
    <row r="75">
      <c r="A75" s="7">
        <f>IFERROR(__xludf.DUMMYFUNCTION("""COMPUTED_VALUE"""),45716.64583333333)</f>
        <v>45716.64583</v>
      </c>
      <c r="B75" s="6">
        <f>IFERROR(__xludf.DUMMYFUNCTION("""COMPUTED_VALUE"""),3787.45)</f>
        <v>3787.45</v>
      </c>
      <c r="C75" s="6">
        <f>IFERROR(__xludf.DUMMYFUNCTION("""COMPUTED_VALUE"""),3837.95)</f>
        <v>3837.95</v>
      </c>
      <c r="D75" s="6">
        <f>IFERROR(__xludf.DUMMYFUNCTION("""COMPUTED_VALUE"""),3601.0)</f>
        <v>3601</v>
      </c>
      <c r="E75" s="6">
        <f>IFERROR(__xludf.DUMMYFUNCTION("""COMPUTED_VALUE"""),3628.3)</f>
        <v>3628.3</v>
      </c>
      <c r="F75" s="6">
        <f>IFERROR(__xludf.DUMMYFUNCTION("""COMPUTED_VALUE"""),1813358.0)</f>
        <v>1813358</v>
      </c>
    </row>
    <row r="76">
      <c r="A76" s="7">
        <f>IFERROR(__xludf.DUMMYFUNCTION("""COMPUTED_VALUE"""),45723.64583333333)</f>
        <v>45723.64583</v>
      </c>
      <c r="B76" s="6">
        <f>IFERROR(__xludf.DUMMYFUNCTION("""COMPUTED_VALUE"""),3635.45)</f>
        <v>3635.45</v>
      </c>
      <c r="C76" s="6">
        <f>IFERROR(__xludf.DUMMYFUNCTION("""COMPUTED_VALUE"""),3912.45)</f>
        <v>3912.45</v>
      </c>
      <c r="D76" s="6">
        <f>IFERROR(__xludf.DUMMYFUNCTION("""COMPUTED_VALUE"""),3622.8)</f>
        <v>3622.8</v>
      </c>
      <c r="E76" s="6">
        <f>IFERROR(__xludf.DUMMYFUNCTION("""COMPUTED_VALUE"""),3834.2)</f>
        <v>3834.2</v>
      </c>
      <c r="F76" s="6">
        <f>IFERROR(__xludf.DUMMYFUNCTION("""COMPUTED_VALUE"""),2025517.0)</f>
        <v>2025517</v>
      </c>
    </row>
    <row r="77">
      <c r="A77" s="7">
        <f>IFERROR(__xludf.DUMMYFUNCTION("""COMPUTED_VALUE"""),45729.64583333333)</f>
        <v>45729.64583</v>
      </c>
      <c r="B77" s="6">
        <f>IFERROR(__xludf.DUMMYFUNCTION("""COMPUTED_VALUE"""),3826.15)</f>
        <v>3826.15</v>
      </c>
      <c r="C77" s="6">
        <f>IFERROR(__xludf.DUMMYFUNCTION("""COMPUTED_VALUE"""),3857.2)</f>
        <v>3857.2</v>
      </c>
      <c r="D77" s="6">
        <f>IFERROR(__xludf.DUMMYFUNCTION("""COMPUTED_VALUE"""),3660.0)</f>
        <v>3660</v>
      </c>
      <c r="E77" s="6">
        <f>IFERROR(__xludf.DUMMYFUNCTION("""COMPUTED_VALUE"""),3725.1)</f>
        <v>3725.1</v>
      </c>
      <c r="F77" s="6">
        <f>IFERROR(__xludf.DUMMYFUNCTION("""COMPUTED_VALUE"""),1436949.0)</f>
        <v>1436949</v>
      </c>
    </row>
    <row r="78">
      <c r="A78" s="7">
        <f>IFERROR(__xludf.DUMMYFUNCTION("""COMPUTED_VALUE"""),45737.64583333333)</f>
        <v>45737.64583</v>
      </c>
      <c r="B78" s="6">
        <f>IFERROR(__xludf.DUMMYFUNCTION("""COMPUTED_VALUE"""),3726.1)</f>
        <v>3726.1</v>
      </c>
      <c r="C78" s="6">
        <f>IFERROR(__xludf.DUMMYFUNCTION("""COMPUTED_VALUE"""),4074.0)</f>
        <v>4074</v>
      </c>
      <c r="D78" s="6">
        <f>IFERROR(__xludf.DUMMYFUNCTION("""COMPUTED_VALUE"""),3718.4)</f>
        <v>3718.4</v>
      </c>
      <c r="E78" s="6">
        <f>IFERROR(__xludf.DUMMYFUNCTION("""COMPUTED_VALUE"""),3994.55)</f>
        <v>3994.55</v>
      </c>
      <c r="F78" s="6">
        <f>IFERROR(__xludf.DUMMYFUNCTION("""COMPUTED_VALUE"""),2338314.0)</f>
        <v>2338314</v>
      </c>
    </row>
    <row r="79">
      <c r="A79" s="7">
        <f>IFERROR(__xludf.DUMMYFUNCTION("""COMPUTED_VALUE"""),45744.64583333333)</f>
        <v>45744.64583</v>
      </c>
      <c r="B79" s="6">
        <f>IFERROR(__xludf.DUMMYFUNCTION("""COMPUTED_VALUE"""),4010.0)</f>
        <v>4010</v>
      </c>
      <c r="C79" s="6">
        <f>IFERROR(__xludf.DUMMYFUNCTION("""COMPUTED_VALUE"""),4188.4)</f>
        <v>4188.4</v>
      </c>
      <c r="D79" s="6">
        <f>IFERROR(__xludf.DUMMYFUNCTION("""COMPUTED_VALUE"""),3992.5)</f>
        <v>3992.5</v>
      </c>
      <c r="E79" s="6">
        <f>IFERROR(__xludf.DUMMYFUNCTION("""COMPUTED_VALUE"""),4013.9)</f>
        <v>4013.9</v>
      </c>
      <c r="F79" s="6">
        <f>IFERROR(__xludf.DUMMYFUNCTION("""COMPUTED_VALUE"""),2694937.0)</f>
        <v>2694937</v>
      </c>
    </row>
    <row r="80">
      <c r="A80" s="7">
        <f>IFERROR(__xludf.DUMMYFUNCTION("""COMPUTED_VALUE"""),45751.64583333333)</f>
        <v>45751.64583</v>
      </c>
      <c r="B80" s="6">
        <f>IFERROR(__xludf.DUMMYFUNCTION("""COMPUTED_VALUE"""),4013.9)</f>
        <v>4013.9</v>
      </c>
      <c r="C80" s="6">
        <f>IFERROR(__xludf.DUMMYFUNCTION("""COMPUTED_VALUE"""),4090.95)</f>
        <v>4090.95</v>
      </c>
      <c r="D80" s="6">
        <f>IFERROR(__xludf.DUMMYFUNCTION("""COMPUTED_VALUE"""),3880.0)</f>
        <v>3880</v>
      </c>
      <c r="E80" s="6">
        <f>IFERROR(__xludf.DUMMYFUNCTION("""COMPUTED_VALUE"""),3906.3)</f>
        <v>3906.3</v>
      </c>
      <c r="F80" s="6">
        <f>IFERROR(__xludf.DUMMYFUNCTION("""COMPUTED_VALUE"""),1470012.0)</f>
        <v>1470012</v>
      </c>
    </row>
    <row r="81">
      <c r="A81" s="7">
        <f>IFERROR(__xludf.DUMMYFUNCTION("""COMPUTED_VALUE"""),45758.64583333333)</f>
        <v>45758.64583</v>
      </c>
      <c r="B81" s="6">
        <f>IFERROR(__xludf.DUMMYFUNCTION("""COMPUTED_VALUE"""),3650.0)</f>
        <v>3650</v>
      </c>
      <c r="C81" s="6">
        <f>IFERROR(__xludf.DUMMYFUNCTION("""COMPUTED_VALUE"""),4031.0)</f>
        <v>4031</v>
      </c>
      <c r="D81" s="6">
        <f>IFERROR(__xludf.DUMMYFUNCTION("""COMPUTED_VALUE"""),3566.85)</f>
        <v>3566.85</v>
      </c>
      <c r="E81" s="6">
        <f>IFERROR(__xludf.DUMMYFUNCTION("""COMPUTED_VALUE"""),3987.25)</f>
        <v>3987.25</v>
      </c>
      <c r="F81" s="6">
        <f>IFERROR(__xludf.DUMMYFUNCTION("""COMPUTED_VALUE"""),2730224.0)</f>
        <v>2730224</v>
      </c>
    </row>
    <row r="82">
      <c r="A82" s="7">
        <f>IFERROR(__xludf.DUMMYFUNCTION("""COMPUTED_VALUE"""),45764.64583333333)</f>
        <v>45764.64583</v>
      </c>
      <c r="B82" s="6">
        <f>IFERROR(__xludf.DUMMYFUNCTION("""COMPUTED_VALUE"""),4029.0)</f>
        <v>4029</v>
      </c>
      <c r="C82" s="6">
        <f>IFERROR(__xludf.DUMMYFUNCTION("""COMPUTED_VALUE"""),4252.9)</f>
        <v>4252.9</v>
      </c>
      <c r="D82" s="6">
        <f>IFERROR(__xludf.DUMMYFUNCTION("""COMPUTED_VALUE"""),4006.0)</f>
        <v>4006</v>
      </c>
      <c r="E82" s="6">
        <f>IFERROR(__xludf.DUMMYFUNCTION("""COMPUTED_VALUE"""),4218.0)</f>
        <v>4218</v>
      </c>
      <c r="F82" s="6">
        <f>IFERROR(__xludf.DUMMYFUNCTION("""COMPUTED_VALUE"""),1698008.0)</f>
        <v>1698008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IFERROR(__xludf.DUMMYFUNCTION("""COMPUTED_VALUE"""),4235.0)</f>
        <v>4235</v>
      </c>
      <c r="C83" s="6">
        <f>IFERROR(__xludf.DUMMYFUNCTION("""COMPUTED_VALUE"""),4625.0)</f>
        <v>4625</v>
      </c>
      <c r="D83" s="6">
        <f>IFERROR(__xludf.DUMMYFUNCTION("""COMPUTED_VALUE"""),4205.0)</f>
        <v>4205</v>
      </c>
      <c r="E83" s="6">
        <f>IFERROR(__xludf.DUMMYFUNCTION("""COMPUTED_VALUE"""),4382.5)</f>
        <v>4382.5</v>
      </c>
      <c r="F83" s="6">
        <f>IFERROR(__xludf.DUMMYFUNCTION("""COMPUTED_VALUE"""),3752555.0)</f>
        <v>3752555</v>
      </c>
    </row>
    <row r="84">
      <c r="A84" s="7">
        <f>IFERROR(__xludf.DUMMYFUNCTION("""COMPUTED_VALUE"""),45779.64583333333)</f>
        <v>45779.64583</v>
      </c>
      <c r="B84" s="6">
        <f>IFERROR(__xludf.DUMMYFUNCTION("""COMPUTED_VALUE"""),4380.0)</f>
        <v>4380</v>
      </c>
      <c r="C84" s="6">
        <f>IFERROR(__xludf.DUMMYFUNCTION("""COMPUTED_VALUE"""),4495.0)</f>
        <v>4495</v>
      </c>
      <c r="D84" s="6">
        <f>IFERROR(__xludf.DUMMYFUNCTION("""COMPUTED_VALUE"""),4342.1)</f>
        <v>4342.1</v>
      </c>
      <c r="E84" s="6">
        <f>IFERROR(__xludf.DUMMYFUNCTION("""COMPUTED_VALUE"""),4382.9)</f>
        <v>4382.9</v>
      </c>
      <c r="F84" s="6">
        <f>IFERROR(__xludf.DUMMYFUNCTION("""COMPUTED_VALUE"""),1403330.0)</f>
        <v>1403330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IFERROR(__xludf.DUMMYFUNCTION("""COMPUTED_VALUE"""),4403.1)</f>
        <v>4403.1</v>
      </c>
      <c r="C85" s="6">
        <f>IFERROR(__xludf.DUMMYFUNCTION("""COMPUTED_VALUE"""),4478.9)</f>
        <v>4478.9</v>
      </c>
      <c r="D85" s="6">
        <f>IFERROR(__xludf.DUMMYFUNCTION("""COMPUTED_VALUE"""),4175.0)</f>
        <v>4175</v>
      </c>
      <c r="E85" s="6">
        <f>IFERROR(__xludf.DUMMYFUNCTION("""COMPUTED_VALUE"""),4271.6)</f>
        <v>4271.6</v>
      </c>
      <c r="F85" s="6">
        <f>IFERROR(__xludf.DUMMYFUNCTION("""COMPUTED_VALUE"""),1623009.0)</f>
        <v>1623009</v>
      </c>
    </row>
    <row r="86">
      <c r="A86" s="7">
        <f>IFERROR(__xludf.DUMMYFUNCTION("""COMPUTED_VALUE"""),45793.64583333333)</f>
        <v>45793.64583</v>
      </c>
      <c r="B86" s="6">
        <f>IFERROR(__xludf.DUMMYFUNCTION("""COMPUTED_VALUE"""),4391.8)</f>
        <v>4391.8</v>
      </c>
      <c r="C86" s="6">
        <f>IFERROR(__xludf.DUMMYFUNCTION("""COMPUTED_VALUE"""),4772.0)</f>
        <v>4772</v>
      </c>
      <c r="D86" s="6">
        <f>IFERROR(__xludf.DUMMYFUNCTION("""COMPUTED_VALUE"""),4350.1)</f>
        <v>4350.1</v>
      </c>
      <c r="E86" s="6">
        <f>IFERROR(__xludf.DUMMYFUNCTION("""COMPUTED_VALUE"""),4737.3)</f>
        <v>4737.3</v>
      </c>
      <c r="F86" s="6">
        <f>IFERROR(__xludf.DUMMYFUNCTION("""COMPUTED_VALUE"""),3703111.0)</f>
        <v>3703111</v>
      </c>
    </row>
    <row r="87">
      <c r="A87" s="7">
        <f>IFERROR(__xludf.DUMMYFUNCTION("""COMPUTED_VALUE"""),45800.64583333333)</f>
        <v>45800.64583</v>
      </c>
      <c r="B87" s="6">
        <f>IFERROR(__xludf.DUMMYFUNCTION("""COMPUTED_VALUE"""),4760.8)</f>
        <v>4760.8</v>
      </c>
      <c r="C87" s="6">
        <f>IFERROR(__xludf.DUMMYFUNCTION("""COMPUTED_VALUE"""),4869.9)</f>
        <v>4869.9</v>
      </c>
      <c r="D87" s="6">
        <f>IFERROR(__xludf.DUMMYFUNCTION("""COMPUTED_VALUE"""),4694.1)</f>
        <v>4694.1</v>
      </c>
      <c r="E87" s="6">
        <f>IFERROR(__xludf.DUMMYFUNCTION("""COMPUTED_VALUE"""),4814.1)</f>
        <v>4814.1</v>
      </c>
      <c r="F87" s="6">
        <f>IFERROR(__xludf.DUMMYFUNCTION("""COMPUTED_VALUE"""),3300221.0)</f>
        <v>3300221</v>
      </c>
    </row>
    <row r="88">
      <c r="A88" s="7">
        <f>IFERROR(__xludf.DUMMYFUNCTION("""COMPUTED_VALUE"""),45807.64583333333)</f>
        <v>45807.64583</v>
      </c>
      <c r="B88" s="6">
        <f>IFERROR(__xludf.DUMMYFUNCTION("""COMPUTED_VALUE"""),4810.0)</f>
        <v>4810</v>
      </c>
      <c r="C88" s="6">
        <f>IFERROR(__xludf.DUMMYFUNCTION("""COMPUTED_VALUE"""),4891.0)</f>
        <v>4891</v>
      </c>
      <c r="D88" s="6">
        <f>IFERROR(__xludf.DUMMYFUNCTION("""COMPUTED_VALUE"""),4772.1)</f>
        <v>4772.1</v>
      </c>
      <c r="E88" s="6">
        <f>IFERROR(__xludf.DUMMYFUNCTION("""COMPUTED_VALUE"""),4783.0)</f>
        <v>4783</v>
      </c>
      <c r="F88" s="6">
        <f>IFERROR(__xludf.DUMMYFUNCTION("""COMPUTED_VALUE"""),1543104.0)</f>
        <v>1543104</v>
      </c>
    </row>
    <row r="89">
      <c r="A89" s="7">
        <f>IFERROR(__xludf.DUMMYFUNCTION("""COMPUTED_VALUE"""),45814.64583333333)</f>
        <v>45814.64583</v>
      </c>
      <c r="B89" s="6">
        <f>IFERROR(__xludf.DUMMYFUNCTION("""COMPUTED_VALUE"""),4750.0)</f>
        <v>4750</v>
      </c>
      <c r="C89" s="6">
        <f>IFERROR(__xludf.DUMMYFUNCTION("""COMPUTED_VALUE"""),5157.8)</f>
        <v>5157.8</v>
      </c>
      <c r="D89" s="6">
        <f>IFERROR(__xludf.DUMMYFUNCTION("""COMPUTED_VALUE"""),4726.0)</f>
        <v>4726</v>
      </c>
      <c r="E89" s="6">
        <f>IFERROR(__xludf.DUMMYFUNCTION("""COMPUTED_VALUE"""),5087.5)</f>
        <v>5087.5</v>
      </c>
      <c r="F89" s="6">
        <f>IFERROR(__xludf.DUMMYFUNCTION("""COMPUTED_VALUE"""),4562790.0)</f>
        <v>4562790</v>
      </c>
    </row>
    <row r="90">
      <c r="A90" s="7">
        <f>IFERROR(__xludf.DUMMYFUNCTION("""COMPUTED_VALUE"""),45821.64583333333)</f>
        <v>45821.64583</v>
      </c>
      <c r="B90" s="6">
        <f>IFERROR(__xludf.DUMMYFUNCTION("""COMPUTED_VALUE"""),5103.0)</f>
        <v>5103</v>
      </c>
      <c r="C90" s="6">
        <f>IFERROR(__xludf.DUMMYFUNCTION("""COMPUTED_VALUE"""),5278.9)</f>
        <v>5278.9</v>
      </c>
      <c r="D90" s="6">
        <f>IFERROR(__xludf.DUMMYFUNCTION("""COMPUTED_VALUE"""),4928.1)</f>
        <v>4928.1</v>
      </c>
      <c r="E90" s="6">
        <f>IFERROR(__xludf.DUMMYFUNCTION("""COMPUTED_VALUE"""),4969.2)</f>
        <v>4969.2</v>
      </c>
      <c r="F90" s="6">
        <f>IFERROR(__xludf.DUMMYFUNCTION("""COMPUTED_VALUE"""),2603119.0)</f>
        <v>2603119</v>
      </c>
    </row>
    <row r="91">
      <c r="A91" s="7">
        <f>IFERROR(__xludf.DUMMYFUNCTION("""COMPUTED_VALUE"""),45828.64583333333)</f>
        <v>45828.64583</v>
      </c>
      <c r="B91" s="6">
        <f>IFERROR(__xludf.DUMMYFUNCTION("""COMPUTED_VALUE"""),4700.0)</f>
        <v>4700</v>
      </c>
      <c r="C91" s="6">
        <f>IFERROR(__xludf.DUMMYFUNCTION("""COMPUTED_VALUE"""),5022.8)</f>
        <v>5022.8</v>
      </c>
      <c r="D91" s="6">
        <f>IFERROR(__xludf.DUMMYFUNCTION("""COMPUTED_VALUE"""),4700.0)</f>
        <v>4700</v>
      </c>
      <c r="E91" s="6">
        <f>IFERROR(__xludf.DUMMYFUNCTION("""COMPUTED_VALUE"""),4958.6)</f>
        <v>4958.6</v>
      </c>
      <c r="F91" s="6">
        <f>IFERROR(__xludf.DUMMYFUNCTION("""COMPUTED_VALUE"""),1925752.0)</f>
        <v>1925752</v>
      </c>
    </row>
    <row r="92">
      <c r="A92" s="7">
        <f>IFERROR(__xludf.DUMMYFUNCTION("""COMPUTED_VALUE"""),45835.64583333333)</f>
        <v>45835.64583</v>
      </c>
      <c r="B92" s="6">
        <f>IFERROR(__xludf.DUMMYFUNCTION("""COMPUTED_VALUE"""),4921.0)</f>
        <v>4921</v>
      </c>
      <c r="C92" s="6">
        <f>IFERROR(__xludf.DUMMYFUNCTION("""COMPUTED_VALUE"""),5179.8)</f>
        <v>5179.8</v>
      </c>
      <c r="D92" s="6">
        <f>IFERROR(__xludf.DUMMYFUNCTION("""COMPUTED_VALUE"""),4910.0)</f>
        <v>4910</v>
      </c>
      <c r="E92" s="6">
        <f>IFERROR(__xludf.DUMMYFUNCTION("""COMPUTED_VALUE"""),5148.5)</f>
        <v>5148.5</v>
      </c>
      <c r="F92" s="6">
        <f>IFERROR(__xludf.DUMMYFUNCTION("""COMPUTED_VALUE"""),1565241.0)</f>
        <v>1565241</v>
      </c>
    </row>
    <row r="93">
      <c r="A93" s="7">
        <f>IFERROR(__xludf.DUMMYFUNCTION("""COMPUTED_VALUE"""),45842.64583333333)</f>
        <v>45842.64583</v>
      </c>
      <c r="B93" s="6">
        <f>IFERROR(__xludf.DUMMYFUNCTION("""COMPUTED_VALUE"""),5150.0)</f>
        <v>5150</v>
      </c>
      <c r="C93" s="6">
        <f>IFERROR(__xludf.DUMMYFUNCTION("""COMPUTED_VALUE"""),5220.0)</f>
        <v>5220</v>
      </c>
      <c r="D93" s="6">
        <f>IFERROR(__xludf.DUMMYFUNCTION("""COMPUTED_VALUE"""),4984.5)</f>
        <v>4984.5</v>
      </c>
      <c r="E93" s="6">
        <f>IFERROR(__xludf.DUMMYFUNCTION("""COMPUTED_VALUE"""),5033.5)</f>
        <v>5033.5</v>
      </c>
      <c r="F93" s="6">
        <f>IFERROR(__xludf.DUMMYFUNCTION("""COMPUTED_VALUE"""),1051614.0)</f>
        <v>1051614</v>
      </c>
    </row>
    <row r="94">
      <c r="A94" s="7">
        <f>IFERROR(__xludf.DUMMYFUNCTION("""COMPUTED_VALUE"""),45849.64583333333)</f>
        <v>45849.64583</v>
      </c>
      <c r="B94" s="6">
        <f>IFERROR(__xludf.DUMMYFUNCTION("""COMPUTED_VALUE"""),5033.0)</f>
        <v>5033</v>
      </c>
      <c r="C94" s="6">
        <f>IFERROR(__xludf.DUMMYFUNCTION("""COMPUTED_VALUE"""),5233.5)</f>
        <v>5233.5</v>
      </c>
      <c r="D94" s="6">
        <f>IFERROR(__xludf.DUMMYFUNCTION("""COMPUTED_VALUE"""),4984.0)</f>
        <v>4984</v>
      </c>
      <c r="E94" s="6">
        <f>IFERROR(__xludf.DUMMYFUNCTION("""COMPUTED_VALUE"""),5116.0)</f>
        <v>5116</v>
      </c>
      <c r="F94" s="6">
        <f>IFERROR(__xludf.DUMMYFUNCTION("""COMPUTED_VALUE"""),2532005.0)</f>
        <v>2532005</v>
      </c>
    </row>
    <row r="95">
      <c r="A95" s="7">
        <f>IFERROR(__xludf.DUMMYFUNCTION("""COMPUTED_VALUE"""),45856.64583333333)</f>
        <v>45856.64583</v>
      </c>
      <c r="B95" s="6">
        <f>IFERROR(__xludf.DUMMYFUNCTION("""COMPUTED_VALUE"""),5112.0)</f>
        <v>5112</v>
      </c>
      <c r="C95" s="6">
        <f>IFERROR(__xludf.DUMMYFUNCTION("""COMPUTED_VALUE"""),5626.0)</f>
        <v>5626</v>
      </c>
      <c r="D95" s="6">
        <f>IFERROR(__xludf.DUMMYFUNCTION("""COMPUTED_VALUE"""),5052.5)</f>
        <v>5052.5</v>
      </c>
      <c r="E95" s="6">
        <f>IFERROR(__xludf.DUMMYFUNCTION("""COMPUTED_VALUE"""),5590.0)</f>
        <v>5590</v>
      </c>
      <c r="F95" s="6">
        <f>IFERROR(__xludf.DUMMYFUNCTION("""COMPUTED_VALUE"""),5182367.0)</f>
        <v>5182367</v>
      </c>
    </row>
    <row r="96">
      <c r="A96" s="7">
        <f>IFERROR(__xludf.DUMMYFUNCTION("""COMPUTED_VALUE"""),45863.64583333333)</f>
        <v>45863.64583</v>
      </c>
      <c r="B96" s="6">
        <f>IFERROR(__xludf.DUMMYFUNCTION("""COMPUTED_VALUE"""),5590.0)</f>
        <v>5590</v>
      </c>
      <c r="C96" s="6">
        <f>IFERROR(__xludf.DUMMYFUNCTION("""COMPUTED_VALUE"""),5655.0)</f>
        <v>5655</v>
      </c>
      <c r="D96" s="6">
        <f>IFERROR(__xludf.DUMMYFUNCTION("""COMPUTED_VALUE"""),5504.0)</f>
        <v>5504</v>
      </c>
      <c r="E96" s="6">
        <f>IFERROR(__xludf.DUMMYFUNCTION("""COMPUTED_VALUE"""),5551.5)</f>
        <v>5551.5</v>
      </c>
      <c r="F96" s="6">
        <f>IFERROR(__xludf.DUMMYFUNCTION("""COMPUTED_VALUE"""),1747068.0)</f>
        <v>1747068</v>
      </c>
    </row>
    <row r="97">
      <c r="A97" s="7">
        <f>IFERROR(__xludf.DUMMYFUNCTION("""COMPUTED_VALUE"""),45870.64583333333)</f>
        <v>45870.64583</v>
      </c>
      <c r="B97" s="6">
        <f>IFERROR(__xludf.DUMMYFUNCTION("""COMPUTED_VALUE"""),5525.0)</f>
        <v>5525</v>
      </c>
      <c r="C97" s="6">
        <f>IFERROR(__xludf.DUMMYFUNCTION("""COMPUTED_VALUE"""),5695.0)</f>
        <v>5695</v>
      </c>
      <c r="D97" s="6">
        <f>IFERROR(__xludf.DUMMYFUNCTION("""COMPUTED_VALUE"""),5507.5)</f>
        <v>5507.5</v>
      </c>
      <c r="E97" s="6">
        <f>IFERROR(__xludf.DUMMYFUNCTION("""COMPUTED_VALUE"""),5615.0)</f>
        <v>5615</v>
      </c>
      <c r="F97" s="6">
        <f>IFERROR(__xludf.DUMMYFUNCTION("""COMPUTED_VALUE"""),2530528.0)</f>
        <v>2530528</v>
      </c>
    </row>
    <row r="98">
      <c r="A98" s="7">
        <f>IFERROR(__xludf.DUMMYFUNCTION("""COMPUTED_VALUE"""),45877.64583333333)</f>
        <v>45877.64583</v>
      </c>
      <c r="B98" s="6">
        <f>IFERROR(__xludf.DUMMYFUNCTION("""COMPUTED_VALUE"""),5614.5)</f>
        <v>5614.5</v>
      </c>
      <c r="C98" s="6">
        <f>IFERROR(__xludf.DUMMYFUNCTION("""COMPUTED_VALUE"""),5725.0)</f>
        <v>5725</v>
      </c>
      <c r="D98" s="6">
        <f>IFERROR(__xludf.DUMMYFUNCTION("""COMPUTED_VALUE"""),5530.5)</f>
        <v>5530.5</v>
      </c>
      <c r="E98" s="6">
        <f>IFERROR(__xludf.DUMMYFUNCTION("""COMPUTED_VALUE"""),5562.0)</f>
        <v>5562</v>
      </c>
      <c r="F98" s="6">
        <f>IFERROR(__xludf.DUMMYFUNCTION("""COMPUTED_VALUE"""),1892551.0)</f>
        <v>1892551</v>
      </c>
    </row>
    <row r="99">
      <c r="A99" s="7">
        <f>IFERROR(__xludf.DUMMYFUNCTION("""COMPUTED_VALUE"""),45883.64583333333)</f>
        <v>45883.64583</v>
      </c>
      <c r="B99" s="6">
        <f>IFERROR(__xludf.DUMMYFUNCTION("""COMPUTED_VALUE"""),5568.5)</f>
        <v>5568.5</v>
      </c>
      <c r="C99" s="6">
        <f>IFERROR(__xludf.DUMMYFUNCTION("""COMPUTED_VALUE"""),5614.5)</f>
        <v>5614.5</v>
      </c>
      <c r="D99" s="6">
        <f>IFERROR(__xludf.DUMMYFUNCTION("""COMPUTED_VALUE"""),5404.0)</f>
        <v>5404</v>
      </c>
      <c r="E99" s="6">
        <f>IFERROR(__xludf.DUMMYFUNCTION("""COMPUTED_VALUE"""),5491.0)</f>
        <v>5491</v>
      </c>
      <c r="F99" s="6">
        <f>IFERROR(__xludf.DUMMYFUNCTION("""COMPUTED_VALUE"""),2365496.0)</f>
        <v>2365496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IFERROR(__xludf.DUMMYFUNCTION("""COMPUTED_VALUE"""),5520.0)</f>
        <v>5520</v>
      </c>
      <c r="C100" s="6">
        <f>IFERROR(__xludf.DUMMYFUNCTION("""COMPUTED_VALUE"""),5869.5)</f>
        <v>5869.5</v>
      </c>
      <c r="D100" s="6">
        <f>IFERROR(__xludf.DUMMYFUNCTION("""COMPUTED_VALUE"""),5515.5)</f>
        <v>5515.5</v>
      </c>
      <c r="E100" s="6">
        <f>IFERROR(__xludf.DUMMYFUNCTION("""COMPUTED_VALUE"""),5828.0)</f>
        <v>5828</v>
      </c>
      <c r="F100" s="6">
        <f>IFERROR(__xludf.DUMMYFUNCTION("""COMPUTED_VALUE"""),2310098.0)</f>
        <v>2310098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IFERROR(__xludf.DUMMYFUNCTION("""COMPUTED_VALUE"""),5840.0)</f>
        <v>5840</v>
      </c>
      <c r="C101" s="6">
        <f>IFERROR(__xludf.DUMMYFUNCTION("""COMPUTED_VALUE"""),5927.5)</f>
        <v>5927.5</v>
      </c>
      <c r="D101" s="6">
        <f>IFERROR(__xludf.DUMMYFUNCTION("""COMPUTED_VALUE"""),5736.0)</f>
        <v>5736</v>
      </c>
      <c r="E101" s="6">
        <f>IFERROR(__xludf.DUMMYFUNCTION("""COMPUTED_VALUE"""),5759.5)</f>
        <v>5759.5</v>
      </c>
      <c r="F101" s="6">
        <f>IFERROR(__xludf.DUMMYFUNCTION("""COMPUTED_VALUE"""),7579310.0)</f>
        <v>7579310</v>
      </c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IFERROR(__xludf.DUMMYFUNCTION("GOOGLEFINANCE(""NSE:HDFCBANK"",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IFERROR(__xludf.DUMMYFUNCTION("""COMPUTED_VALUE"""),780.75)</f>
        <v>780.75</v>
      </c>
      <c r="C2" s="6">
        <f>IFERROR(__xludf.DUMMYFUNCTION("""COMPUTED_VALUE"""),801.98)</f>
        <v>801.98</v>
      </c>
      <c r="D2" s="6">
        <f>IFERROR(__xludf.DUMMYFUNCTION("""COMPUTED_VALUE"""),779.68)</f>
        <v>779.68</v>
      </c>
      <c r="E2" s="6">
        <f>IFERROR(__xludf.DUMMYFUNCTION("""COMPUTED_VALUE"""),787.35)</f>
        <v>787.35</v>
      </c>
      <c r="F2" s="6">
        <f>IFERROR(__xludf.DUMMYFUNCTION("""COMPUTED_VALUE"""),1.17896461E8)</f>
        <v>117896461</v>
      </c>
    </row>
    <row r="3">
      <c r="A3" s="7">
        <f>IFERROR(__xludf.DUMMYFUNCTION("""COMPUTED_VALUE"""),45177.64583333333)</f>
        <v>45177.64583</v>
      </c>
      <c r="B3" s="6">
        <f>IFERROR(__xludf.DUMMYFUNCTION("""COMPUTED_VALUE"""),795.0)</f>
        <v>795</v>
      </c>
      <c r="C3" s="6">
        <f>IFERROR(__xludf.DUMMYFUNCTION("""COMPUTED_VALUE"""),816.45)</f>
        <v>816.45</v>
      </c>
      <c r="D3" s="6">
        <f>IFERROR(__xludf.DUMMYFUNCTION("""COMPUTED_VALUE"""),785.3)</f>
        <v>785.3</v>
      </c>
      <c r="E3" s="6">
        <f>IFERROR(__xludf.DUMMYFUNCTION("""COMPUTED_VALUE"""),811.7)</f>
        <v>811.7</v>
      </c>
      <c r="F3" s="6">
        <f>IFERROR(__xludf.DUMMYFUNCTION("""COMPUTED_VALUE"""),9.4408591E7)</f>
        <v>94408591</v>
      </c>
    </row>
    <row r="4">
      <c r="A4" s="7">
        <f>IFERROR(__xludf.DUMMYFUNCTION("""COMPUTED_VALUE"""),45184.64583333333)</f>
        <v>45184.64583</v>
      </c>
      <c r="B4" s="6">
        <f>IFERROR(__xludf.DUMMYFUNCTION("""COMPUTED_VALUE"""),814.45)</f>
        <v>814.45</v>
      </c>
      <c r="C4" s="6">
        <f>IFERROR(__xludf.DUMMYFUNCTION("""COMPUTED_VALUE"""),835.0)</f>
        <v>835</v>
      </c>
      <c r="D4" s="6">
        <f>IFERROR(__xludf.DUMMYFUNCTION("""COMPUTED_VALUE"""),812.0)</f>
        <v>812</v>
      </c>
      <c r="E4" s="6">
        <f>IFERROR(__xludf.DUMMYFUNCTION("""COMPUTED_VALUE"""),830.88)</f>
        <v>830.88</v>
      </c>
      <c r="F4" s="6">
        <f>IFERROR(__xludf.DUMMYFUNCTION("""COMPUTED_VALUE"""),1.56988253E8)</f>
        <v>156988253</v>
      </c>
    </row>
    <row r="5">
      <c r="A5" s="7">
        <f>IFERROR(__xludf.DUMMYFUNCTION("""COMPUTED_VALUE"""),45191.64583333333)</f>
        <v>45191.64583</v>
      </c>
      <c r="B5" s="6">
        <f>IFERROR(__xludf.DUMMYFUNCTION("""COMPUTED_VALUE"""),826.88)</f>
        <v>826.88</v>
      </c>
      <c r="C5" s="6">
        <f>IFERROR(__xludf.DUMMYFUNCTION("""COMPUTED_VALUE"""),827.5)</f>
        <v>827.5</v>
      </c>
      <c r="D5" s="6">
        <f>IFERROR(__xludf.DUMMYFUNCTION("""COMPUTED_VALUE"""),761.88)</f>
        <v>761.88</v>
      </c>
      <c r="E5" s="6">
        <f>IFERROR(__xludf.DUMMYFUNCTION("""COMPUTED_VALUE"""),764.83)</f>
        <v>764.83</v>
      </c>
      <c r="F5" s="6">
        <f>IFERROR(__xludf.DUMMYFUNCTION("""COMPUTED_VALUE"""),1.43538314E8)</f>
        <v>143538314</v>
      </c>
    </row>
    <row r="6">
      <c r="A6" s="7">
        <f>IFERROR(__xludf.DUMMYFUNCTION("""COMPUTED_VALUE"""),45198.64583333333)</f>
        <v>45198.64583</v>
      </c>
      <c r="B6" s="6">
        <f>IFERROR(__xludf.DUMMYFUNCTION("""COMPUTED_VALUE"""),762.5)</f>
        <v>762.5</v>
      </c>
      <c r="C6" s="6">
        <f>IFERROR(__xludf.DUMMYFUNCTION("""COMPUTED_VALUE"""),770.35)</f>
        <v>770.35</v>
      </c>
      <c r="D6" s="6">
        <f>IFERROR(__xludf.DUMMYFUNCTION("""COMPUTED_VALUE"""),757.5)</f>
        <v>757.5</v>
      </c>
      <c r="E6" s="6">
        <f>IFERROR(__xludf.DUMMYFUNCTION("""COMPUTED_VALUE"""),763.15)</f>
        <v>763.15</v>
      </c>
      <c r="F6" s="6">
        <f>IFERROR(__xludf.DUMMYFUNCTION("""COMPUTED_VALUE"""),9.7265285E7)</f>
        <v>97265285</v>
      </c>
    </row>
    <row r="7">
      <c r="A7" s="7">
        <f>IFERROR(__xludf.DUMMYFUNCTION("""COMPUTED_VALUE"""),45205.64583333333)</f>
        <v>45205.64583</v>
      </c>
      <c r="B7" s="6">
        <f>IFERROR(__xludf.DUMMYFUNCTION("""COMPUTED_VALUE"""),763.5)</f>
        <v>763.5</v>
      </c>
      <c r="C7" s="6">
        <f>IFERROR(__xludf.DUMMYFUNCTION("""COMPUTED_VALUE"""),775.78)</f>
        <v>775.78</v>
      </c>
      <c r="D7" s="6">
        <f>IFERROR(__xludf.DUMMYFUNCTION("""COMPUTED_VALUE"""),744.63)</f>
        <v>744.63</v>
      </c>
      <c r="E7" s="6">
        <f>IFERROR(__xludf.DUMMYFUNCTION("""COMPUTED_VALUE"""),767.03)</f>
        <v>767.03</v>
      </c>
      <c r="F7" s="6">
        <f>IFERROR(__xludf.DUMMYFUNCTION("""COMPUTED_VALUE"""),7.9946577E7)</f>
        <v>79946577</v>
      </c>
    </row>
    <row r="8">
      <c r="A8" s="7">
        <f>IFERROR(__xludf.DUMMYFUNCTION("""COMPUTED_VALUE"""),45212.64583333333)</f>
        <v>45212.64583</v>
      </c>
      <c r="B8" s="6">
        <f>IFERROR(__xludf.DUMMYFUNCTION("""COMPUTED_VALUE"""),764.0)</f>
        <v>764</v>
      </c>
      <c r="C8" s="6">
        <f>IFERROR(__xludf.DUMMYFUNCTION("""COMPUTED_VALUE"""),776.0)</f>
        <v>776</v>
      </c>
      <c r="D8" s="6">
        <f>IFERROR(__xludf.DUMMYFUNCTION("""COMPUTED_VALUE"""),756.0)</f>
        <v>756</v>
      </c>
      <c r="E8" s="6">
        <f>IFERROR(__xludf.DUMMYFUNCTION("""COMPUTED_VALUE"""),767.88)</f>
        <v>767.88</v>
      </c>
      <c r="F8" s="6">
        <f>IFERROR(__xludf.DUMMYFUNCTION("""COMPUTED_VALUE"""),7.141263E7)</f>
        <v>71412630</v>
      </c>
    </row>
    <row r="9">
      <c r="A9" s="7">
        <f>IFERROR(__xludf.DUMMYFUNCTION("""COMPUTED_VALUE"""),45219.64583333333)</f>
        <v>45219.64583</v>
      </c>
      <c r="B9" s="6">
        <f>IFERROR(__xludf.DUMMYFUNCTION("""COMPUTED_VALUE"""),765.75)</f>
        <v>765.75</v>
      </c>
      <c r="C9" s="6">
        <f>IFERROR(__xludf.DUMMYFUNCTION("""COMPUTED_VALUE"""),777.88)</f>
        <v>777.88</v>
      </c>
      <c r="D9" s="6">
        <f>IFERROR(__xludf.DUMMYFUNCTION("""COMPUTED_VALUE"""),751.6)</f>
        <v>751.6</v>
      </c>
      <c r="E9" s="6">
        <f>IFERROR(__xludf.DUMMYFUNCTION("""COMPUTED_VALUE"""),761.4)</f>
        <v>761.4</v>
      </c>
      <c r="F9" s="6">
        <f>IFERROR(__xludf.DUMMYFUNCTION("""COMPUTED_VALUE"""),6.6660608E7)</f>
        <v>66660608</v>
      </c>
    </row>
    <row r="10">
      <c r="A10" s="7">
        <f>IFERROR(__xludf.DUMMYFUNCTION("""COMPUTED_VALUE"""),45226.64583333333)</f>
        <v>45226.64583</v>
      </c>
      <c r="B10" s="6">
        <f>IFERROR(__xludf.DUMMYFUNCTION("""COMPUTED_VALUE"""),761.75)</f>
        <v>761.75</v>
      </c>
      <c r="C10" s="6">
        <f>IFERROR(__xludf.DUMMYFUNCTION("""COMPUTED_VALUE"""),764.38)</f>
        <v>764.38</v>
      </c>
      <c r="D10" s="6">
        <f>IFERROR(__xludf.DUMMYFUNCTION("""COMPUTED_VALUE"""),730.13)</f>
        <v>730.13</v>
      </c>
      <c r="E10" s="6">
        <f>IFERROR(__xludf.DUMMYFUNCTION("""COMPUTED_VALUE"""),734.58)</f>
        <v>734.58</v>
      </c>
      <c r="F10" s="6">
        <f>IFERROR(__xludf.DUMMYFUNCTION("""COMPUTED_VALUE"""),6.9095231E7)</f>
        <v>69095231</v>
      </c>
    </row>
    <row r="11">
      <c r="A11" s="7">
        <f>IFERROR(__xludf.DUMMYFUNCTION("""COMPUTED_VALUE"""),45233.64583333333)</f>
        <v>45233.64583</v>
      </c>
      <c r="B11" s="6">
        <f>IFERROR(__xludf.DUMMYFUNCTION("""COMPUTED_VALUE"""),731.63)</f>
        <v>731.63</v>
      </c>
      <c r="C11" s="6">
        <f>IFERROR(__xludf.DUMMYFUNCTION("""COMPUTED_VALUE"""),752.0)</f>
        <v>752</v>
      </c>
      <c r="D11" s="6">
        <f>IFERROR(__xludf.DUMMYFUNCTION("""COMPUTED_VALUE"""),730.95)</f>
        <v>730.95</v>
      </c>
      <c r="E11" s="6">
        <f>IFERROR(__xludf.DUMMYFUNCTION("""COMPUTED_VALUE"""),741.88)</f>
        <v>741.88</v>
      </c>
      <c r="F11" s="6">
        <f>IFERROR(__xludf.DUMMYFUNCTION("""COMPUTED_VALUE"""),7.6571883E7)</f>
        <v>76571883</v>
      </c>
    </row>
    <row r="12">
      <c r="A12" s="7">
        <f>IFERROR(__xludf.DUMMYFUNCTION("""COMPUTED_VALUE"""),45240.64583333333)</f>
        <v>45240.64583</v>
      </c>
      <c r="B12" s="6">
        <f>IFERROR(__xludf.DUMMYFUNCTION("""COMPUTED_VALUE"""),749.0)</f>
        <v>749</v>
      </c>
      <c r="C12" s="6">
        <f>IFERROR(__xludf.DUMMYFUNCTION("""COMPUTED_VALUE"""),749.0)</f>
        <v>749</v>
      </c>
      <c r="D12" s="6">
        <f>IFERROR(__xludf.DUMMYFUNCTION("""COMPUTED_VALUE"""),738.6)</f>
        <v>738.6</v>
      </c>
      <c r="E12" s="6">
        <f>IFERROR(__xludf.DUMMYFUNCTION("""COMPUTED_VALUE"""),745.75)</f>
        <v>745.75</v>
      </c>
      <c r="F12" s="6">
        <f>IFERROR(__xludf.DUMMYFUNCTION("""COMPUTED_VALUE"""),6.7539025E7)</f>
        <v>67539025</v>
      </c>
    </row>
    <row r="13">
      <c r="A13" s="7">
        <f>IFERROR(__xludf.DUMMYFUNCTION("""COMPUTED_VALUE"""),45247.64583333333)</f>
        <v>45247.64583</v>
      </c>
      <c r="B13" s="6">
        <f>IFERROR(__xludf.DUMMYFUNCTION("""COMPUTED_VALUE"""),750.0)</f>
        <v>750</v>
      </c>
      <c r="C13" s="6">
        <f>IFERROR(__xludf.DUMMYFUNCTION("""COMPUTED_VALUE"""),759.5)</f>
        <v>759.5</v>
      </c>
      <c r="D13" s="6">
        <f>IFERROR(__xludf.DUMMYFUNCTION("""COMPUTED_VALUE"""),742.95)</f>
        <v>742.95</v>
      </c>
      <c r="E13" s="6">
        <f>IFERROR(__xludf.DUMMYFUNCTION("""COMPUTED_VALUE"""),752.55)</f>
        <v>752.55</v>
      </c>
      <c r="F13" s="6">
        <f>IFERROR(__xludf.DUMMYFUNCTION("""COMPUTED_VALUE"""),5.9609006E7)</f>
        <v>59609006</v>
      </c>
    </row>
    <row r="14">
      <c r="A14" s="7">
        <f>IFERROR(__xludf.DUMMYFUNCTION("""COMPUTED_VALUE"""),45254.64583333333)</f>
        <v>45254.64583</v>
      </c>
      <c r="B14" s="6">
        <f>IFERROR(__xludf.DUMMYFUNCTION("""COMPUTED_VALUE"""),756.5)</f>
        <v>756.5</v>
      </c>
      <c r="C14" s="6">
        <f>IFERROR(__xludf.DUMMYFUNCTION("""COMPUTED_VALUE"""),766.58)</f>
        <v>766.58</v>
      </c>
      <c r="D14" s="6">
        <f>IFERROR(__xludf.DUMMYFUNCTION("""COMPUTED_VALUE"""),750.78)</f>
        <v>750.78</v>
      </c>
      <c r="E14" s="6">
        <f>IFERROR(__xludf.DUMMYFUNCTION("""COMPUTED_VALUE"""),766.05)</f>
        <v>766.05</v>
      </c>
      <c r="F14" s="6">
        <f>IFERROR(__xludf.DUMMYFUNCTION("""COMPUTED_VALUE"""),5.1465243E7)</f>
        <v>51465243</v>
      </c>
    </row>
    <row r="15">
      <c r="A15" s="7">
        <f>IFERROR(__xludf.DUMMYFUNCTION("""COMPUTED_VALUE"""),45261.64583333333)</f>
        <v>45261.64583</v>
      </c>
      <c r="B15" s="6">
        <f>IFERROR(__xludf.DUMMYFUNCTION("""COMPUTED_VALUE"""),767.6)</f>
        <v>767.6</v>
      </c>
      <c r="C15" s="6">
        <f>IFERROR(__xludf.DUMMYFUNCTION("""COMPUTED_VALUE"""),786.23)</f>
        <v>786.23</v>
      </c>
      <c r="D15" s="6">
        <f>IFERROR(__xludf.DUMMYFUNCTION("""COMPUTED_VALUE"""),762.9)</f>
        <v>762.9</v>
      </c>
      <c r="E15" s="6">
        <f>IFERROR(__xludf.DUMMYFUNCTION("""COMPUTED_VALUE"""),777.7)</f>
        <v>777.7</v>
      </c>
      <c r="F15" s="6">
        <f>IFERROR(__xludf.DUMMYFUNCTION("""COMPUTED_VALUE"""),7.7088401E7)</f>
        <v>77088401</v>
      </c>
    </row>
    <row r="16">
      <c r="A16" s="7">
        <f>IFERROR(__xludf.DUMMYFUNCTION("""COMPUTED_VALUE"""),45268.64583333333)</f>
        <v>45268.64583</v>
      </c>
      <c r="B16" s="6">
        <f>IFERROR(__xludf.DUMMYFUNCTION("""COMPUTED_VALUE"""),794.0)</f>
        <v>794</v>
      </c>
      <c r="C16" s="6">
        <f>IFERROR(__xludf.DUMMYFUNCTION("""COMPUTED_VALUE"""),827.5)</f>
        <v>827.5</v>
      </c>
      <c r="D16" s="6">
        <f>IFERROR(__xludf.DUMMYFUNCTION("""COMPUTED_VALUE"""),786.83)</f>
        <v>786.83</v>
      </c>
      <c r="E16" s="6">
        <f>IFERROR(__xludf.DUMMYFUNCTION("""COMPUTED_VALUE"""),826.6)</f>
        <v>826.6</v>
      </c>
      <c r="F16" s="6">
        <f>IFERROR(__xludf.DUMMYFUNCTION("""COMPUTED_VALUE"""),9.784238E7)</f>
        <v>97842380</v>
      </c>
    </row>
    <row r="17">
      <c r="A17" s="7">
        <f>IFERROR(__xludf.DUMMYFUNCTION("""COMPUTED_VALUE"""),45275.64583333333)</f>
        <v>45275.64583</v>
      </c>
      <c r="B17" s="6">
        <f>IFERROR(__xludf.DUMMYFUNCTION("""COMPUTED_VALUE"""),825.03)</f>
        <v>825.03</v>
      </c>
      <c r="C17" s="6">
        <f>IFERROR(__xludf.DUMMYFUNCTION("""COMPUTED_VALUE"""),834.0)</f>
        <v>834</v>
      </c>
      <c r="D17" s="6">
        <f>IFERROR(__xludf.DUMMYFUNCTION("""COMPUTED_VALUE"""),807.55)</f>
        <v>807.55</v>
      </c>
      <c r="E17" s="6">
        <f>IFERROR(__xludf.DUMMYFUNCTION("""COMPUTED_VALUE"""),828.28)</f>
        <v>828.28</v>
      </c>
      <c r="F17" s="6">
        <f>IFERROR(__xludf.DUMMYFUNCTION("""COMPUTED_VALUE"""),1.31562753E8)</f>
        <v>131562753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IFERROR(__xludf.DUMMYFUNCTION("""COMPUTED_VALUE"""),830.35)</f>
        <v>830.35</v>
      </c>
      <c r="C18" s="6">
        <f>IFERROR(__xludf.DUMMYFUNCTION("""COMPUTED_VALUE"""),844.88)</f>
        <v>844.88</v>
      </c>
      <c r="D18" s="6">
        <f>IFERROR(__xludf.DUMMYFUNCTION("""COMPUTED_VALUE"""),822.03)</f>
        <v>822.03</v>
      </c>
      <c r="E18" s="6">
        <f>IFERROR(__xludf.DUMMYFUNCTION("""COMPUTED_VALUE"""),835.43)</f>
        <v>835.43</v>
      </c>
      <c r="F18" s="6">
        <f>IFERROR(__xludf.DUMMYFUNCTION("""COMPUTED_VALUE"""),8.0711905E7)</f>
        <v>80711905</v>
      </c>
    </row>
    <row r="19">
      <c r="A19" s="7">
        <f>IFERROR(__xludf.DUMMYFUNCTION("""COMPUTED_VALUE"""),45289.64583333333)</f>
        <v>45289.64583</v>
      </c>
      <c r="B19" s="6">
        <f>IFERROR(__xludf.DUMMYFUNCTION("""COMPUTED_VALUE"""),836.63)</f>
        <v>836.63</v>
      </c>
      <c r="C19" s="6">
        <f>IFERROR(__xludf.DUMMYFUNCTION("""COMPUTED_VALUE"""),860.7)</f>
        <v>860.7</v>
      </c>
      <c r="D19" s="6">
        <f>IFERROR(__xludf.DUMMYFUNCTION("""COMPUTED_VALUE"""),834.28)</f>
        <v>834.28</v>
      </c>
      <c r="E19" s="6">
        <f>IFERROR(__xludf.DUMMYFUNCTION("""COMPUTED_VALUE"""),854.63)</f>
        <v>854.63</v>
      </c>
      <c r="F19" s="6">
        <f>IFERROR(__xludf.DUMMYFUNCTION("""COMPUTED_VALUE"""),5.7071415E7)</f>
        <v>57071415</v>
      </c>
    </row>
    <row r="20">
      <c r="A20" s="7">
        <f>IFERROR(__xludf.DUMMYFUNCTION("""COMPUTED_VALUE"""),45296.64583333333)</f>
        <v>45296.64583</v>
      </c>
      <c r="B20" s="6">
        <f>IFERROR(__xludf.DUMMYFUNCTION("""COMPUTED_VALUE"""),853.0)</f>
        <v>853</v>
      </c>
      <c r="C20" s="6">
        <f>IFERROR(__xludf.DUMMYFUNCTION("""COMPUTED_VALUE"""),854.58)</f>
        <v>854.58</v>
      </c>
      <c r="D20" s="6">
        <f>IFERROR(__xludf.DUMMYFUNCTION("""COMPUTED_VALUE"""),834.05)</f>
        <v>834.05</v>
      </c>
      <c r="E20" s="6">
        <f>IFERROR(__xludf.DUMMYFUNCTION("""COMPUTED_VALUE"""),841.1)</f>
        <v>841.1</v>
      </c>
      <c r="F20" s="6">
        <f>IFERROR(__xludf.DUMMYFUNCTION("""COMPUTED_VALUE"""),6.5247533E7)</f>
        <v>65247533</v>
      </c>
    </row>
    <row r="21">
      <c r="A21" s="7">
        <f>IFERROR(__xludf.DUMMYFUNCTION("""COMPUTED_VALUE"""),45303.64583333333)</f>
        <v>45303.64583</v>
      </c>
      <c r="B21" s="6">
        <f>IFERROR(__xludf.DUMMYFUNCTION("""COMPUTED_VALUE"""),839.25)</f>
        <v>839.25</v>
      </c>
      <c r="C21" s="6">
        <f>IFERROR(__xludf.DUMMYFUNCTION("""COMPUTED_VALUE"""),841.18)</f>
        <v>841.18</v>
      </c>
      <c r="D21" s="6">
        <f>IFERROR(__xludf.DUMMYFUNCTION("""COMPUTED_VALUE"""),816.8)</f>
        <v>816.8</v>
      </c>
      <c r="E21" s="6">
        <f>IFERROR(__xludf.DUMMYFUNCTION("""COMPUTED_VALUE"""),820.6)</f>
        <v>820.6</v>
      </c>
      <c r="F21" s="6">
        <f>IFERROR(__xludf.DUMMYFUNCTION("""COMPUTED_VALUE"""),4.8764372E7)</f>
        <v>48764372</v>
      </c>
    </row>
    <row r="22">
      <c r="A22" s="7">
        <f>IFERROR(__xludf.DUMMYFUNCTION("""COMPUTED_VALUE"""),45316.64583333333)</f>
        <v>45316.64583</v>
      </c>
      <c r="B22" s="6">
        <f>IFERROR(__xludf.DUMMYFUNCTION("""COMPUTED_VALUE"""),732.5)</f>
        <v>732.5</v>
      </c>
      <c r="C22" s="6">
        <f>IFERROR(__xludf.DUMMYFUNCTION("""COMPUTED_VALUE"""),737.35)</f>
        <v>737.35</v>
      </c>
      <c r="D22" s="6">
        <f>IFERROR(__xludf.DUMMYFUNCTION("""COMPUTED_VALUE"""),690.13)</f>
        <v>690.13</v>
      </c>
      <c r="E22" s="6">
        <f>IFERROR(__xludf.DUMMYFUNCTION("""COMPUTED_VALUE"""),717.45)</f>
        <v>717.45</v>
      </c>
      <c r="F22" s="6">
        <f>IFERROR(__xludf.DUMMYFUNCTION("""COMPUTED_VALUE"""),1.50207829E8)</f>
        <v>150207829</v>
      </c>
    </row>
    <row r="23">
      <c r="A23" s="7">
        <f>IFERROR(__xludf.DUMMYFUNCTION("""COMPUTED_VALUE"""),45324.64583333333)</f>
        <v>45324.64583</v>
      </c>
      <c r="B23" s="6">
        <f>IFERROR(__xludf.DUMMYFUNCTION("""COMPUTED_VALUE"""),724.03)</f>
        <v>724.03</v>
      </c>
      <c r="C23" s="6">
        <f>IFERROR(__xludf.DUMMYFUNCTION("""COMPUTED_VALUE"""),740.43)</f>
        <v>740.43</v>
      </c>
      <c r="D23" s="6">
        <f>IFERROR(__xludf.DUMMYFUNCTION("""COMPUTED_VALUE"""),718.4)</f>
        <v>718.4</v>
      </c>
      <c r="E23" s="6">
        <f>IFERROR(__xludf.DUMMYFUNCTION("""COMPUTED_VALUE"""),723.08)</f>
        <v>723.08</v>
      </c>
      <c r="F23" s="6">
        <f>IFERROR(__xludf.DUMMYFUNCTION("""COMPUTED_VALUE"""),1.253469E8)</f>
        <v>125346900</v>
      </c>
    </row>
    <row r="24">
      <c r="A24" s="7">
        <f>IFERROR(__xludf.DUMMYFUNCTION("""COMPUTED_VALUE"""),45331.64583333333)</f>
        <v>45331.64583</v>
      </c>
      <c r="B24" s="6">
        <f>IFERROR(__xludf.DUMMYFUNCTION("""COMPUTED_VALUE"""),723.0)</f>
        <v>723</v>
      </c>
      <c r="C24" s="6">
        <f>IFERROR(__xludf.DUMMYFUNCTION("""COMPUTED_VALUE"""),726.9)</f>
        <v>726.9</v>
      </c>
      <c r="D24" s="6">
        <f>IFERROR(__xludf.DUMMYFUNCTION("""COMPUTED_VALUE"""),693.5)</f>
        <v>693.5</v>
      </c>
      <c r="E24" s="6">
        <f>IFERROR(__xludf.DUMMYFUNCTION("""COMPUTED_VALUE"""),701.8)</f>
        <v>701.8</v>
      </c>
      <c r="F24" s="6">
        <f>IFERROR(__xludf.DUMMYFUNCTION("""COMPUTED_VALUE"""),1.3013306E8)</f>
        <v>130133060</v>
      </c>
    </row>
    <row r="25">
      <c r="A25" s="7">
        <f>IFERROR(__xludf.DUMMYFUNCTION("""COMPUTED_VALUE"""),45338.64583333333)</f>
        <v>45338.64583</v>
      </c>
      <c r="B25" s="6">
        <f>IFERROR(__xludf.DUMMYFUNCTION("""COMPUTED_VALUE"""),699.83)</f>
        <v>699.83</v>
      </c>
      <c r="C25" s="6">
        <f>IFERROR(__xludf.DUMMYFUNCTION("""COMPUTED_VALUE"""),713.85)</f>
        <v>713.85</v>
      </c>
      <c r="D25" s="6">
        <f>IFERROR(__xludf.DUMMYFUNCTION("""COMPUTED_VALUE"""),681.78)</f>
        <v>681.78</v>
      </c>
      <c r="E25" s="6">
        <f>IFERROR(__xludf.DUMMYFUNCTION("""COMPUTED_VALUE"""),709.95)</f>
        <v>709.95</v>
      </c>
      <c r="F25" s="6">
        <f>IFERROR(__xludf.DUMMYFUNCTION("""COMPUTED_VALUE"""),1.28555151E8)</f>
        <v>128555151</v>
      </c>
    </row>
    <row r="26">
      <c r="A26" s="7">
        <f>IFERROR(__xludf.DUMMYFUNCTION("""COMPUTED_VALUE"""),45345.64583333333)</f>
        <v>45345.64583</v>
      </c>
      <c r="B26" s="6">
        <f>IFERROR(__xludf.DUMMYFUNCTION("""COMPUTED_VALUE"""),714.5)</f>
        <v>714.5</v>
      </c>
      <c r="C26" s="6">
        <f>IFERROR(__xludf.DUMMYFUNCTION("""COMPUTED_VALUE"""),732.0)</f>
        <v>732</v>
      </c>
      <c r="D26" s="6">
        <f>IFERROR(__xludf.DUMMYFUNCTION("""COMPUTED_VALUE"""),705.9)</f>
        <v>705.9</v>
      </c>
      <c r="E26" s="6">
        <f>IFERROR(__xludf.DUMMYFUNCTION("""COMPUTED_VALUE"""),710.3)</f>
        <v>710.3</v>
      </c>
      <c r="F26" s="6">
        <f>IFERROR(__xludf.DUMMYFUNCTION("""COMPUTED_VALUE"""),1.08436367E8)</f>
        <v>108436367</v>
      </c>
    </row>
    <row r="27">
      <c r="A27" s="7">
        <f>IFERROR(__xludf.DUMMYFUNCTION("""COMPUTED_VALUE"""),45358.64583333333)</f>
        <v>45358.64583</v>
      </c>
      <c r="B27" s="6">
        <f>IFERROR(__xludf.DUMMYFUNCTION("""COMPUTED_VALUE"""),715.48)</f>
        <v>715.48</v>
      </c>
      <c r="C27" s="6">
        <f>IFERROR(__xludf.DUMMYFUNCTION("""COMPUTED_VALUE"""),726.43)</f>
        <v>726.43</v>
      </c>
      <c r="D27" s="6">
        <f>IFERROR(__xludf.DUMMYFUNCTION("""COMPUTED_VALUE"""),710.83)</f>
        <v>710.83</v>
      </c>
      <c r="E27" s="6">
        <f>IFERROR(__xludf.DUMMYFUNCTION("""COMPUTED_VALUE"""),723.05)</f>
        <v>723.05</v>
      </c>
      <c r="F27" s="6">
        <f>IFERROR(__xludf.DUMMYFUNCTION("""COMPUTED_VALUE"""),8.2682861E7)</f>
        <v>82682861</v>
      </c>
    </row>
    <row r="28">
      <c r="A28" s="7">
        <f>IFERROR(__xludf.DUMMYFUNCTION("""COMPUTED_VALUE"""),45366.64583333333)</f>
        <v>45366.64583</v>
      </c>
      <c r="B28" s="6">
        <f>IFERROR(__xludf.DUMMYFUNCTION("""COMPUTED_VALUE"""),715.0)</f>
        <v>715</v>
      </c>
      <c r="C28" s="6">
        <f>IFERROR(__xludf.DUMMYFUNCTION("""COMPUTED_VALUE"""),735.8)</f>
        <v>735.8</v>
      </c>
      <c r="D28" s="6">
        <f>IFERROR(__xludf.DUMMYFUNCTION("""COMPUTED_VALUE"""),711.5)</f>
        <v>711.5</v>
      </c>
      <c r="E28" s="6">
        <f>IFERROR(__xludf.DUMMYFUNCTION("""COMPUTED_VALUE"""),726.33)</f>
        <v>726.33</v>
      </c>
      <c r="F28" s="6">
        <f>IFERROR(__xludf.DUMMYFUNCTION("""COMPUTED_VALUE"""),1.87531482E8)</f>
        <v>187531482</v>
      </c>
    </row>
    <row r="29">
      <c r="A29" s="7">
        <f>IFERROR(__xludf.DUMMYFUNCTION("""COMPUTED_VALUE"""),45373.64583333333)</f>
        <v>45373.64583</v>
      </c>
      <c r="B29" s="6">
        <f>IFERROR(__xludf.DUMMYFUNCTION("""COMPUTED_VALUE"""),723.5)</f>
        <v>723.5</v>
      </c>
      <c r="C29" s="6">
        <f>IFERROR(__xludf.DUMMYFUNCTION("""COMPUTED_VALUE"""),728.0)</f>
        <v>728</v>
      </c>
      <c r="D29" s="6">
        <f>IFERROR(__xludf.DUMMYFUNCTION("""COMPUTED_VALUE"""),712.33)</f>
        <v>712.33</v>
      </c>
      <c r="E29" s="6">
        <f>IFERROR(__xludf.DUMMYFUNCTION("""COMPUTED_VALUE"""),721.43)</f>
        <v>721.43</v>
      </c>
      <c r="F29" s="6">
        <f>IFERROR(__xludf.DUMMYFUNCTION("""COMPUTED_VALUE"""),8.8065365E7)</f>
        <v>88065365</v>
      </c>
    </row>
    <row r="30">
      <c r="A30" s="7">
        <f>IFERROR(__xludf.DUMMYFUNCTION("""COMPUTED_VALUE"""),45379.64583333333)</f>
        <v>45379.64583</v>
      </c>
      <c r="B30" s="6">
        <f>IFERROR(__xludf.DUMMYFUNCTION("""COMPUTED_VALUE"""),713.6)</f>
        <v>713.6</v>
      </c>
      <c r="C30" s="6">
        <f>IFERROR(__xludf.DUMMYFUNCTION("""COMPUTED_VALUE"""),730.25)</f>
        <v>730.25</v>
      </c>
      <c r="D30" s="6">
        <f>IFERROR(__xludf.DUMMYFUNCTION("""COMPUTED_VALUE"""),710.63)</f>
        <v>710.63</v>
      </c>
      <c r="E30" s="6">
        <f>IFERROR(__xludf.DUMMYFUNCTION("""COMPUTED_VALUE"""),723.95)</f>
        <v>723.95</v>
      </c>
      <c r="F30" s="6">
        <f>IFERROR(__xludf.DUMMYFUNCTION("""COMPUTED_VALUE"""),8.730255E7)</f>
        <v>87302550</v>
      </c>
    </row>
    <row r="31">
      <c r="A31" s="7">
        <f>IFERROR(__xludf.DUMMYFUNCTION("""COMPUTED_VALUE"""),45387.64583333333)</f>
        <v>45387.64583</v>
      </c>
      <c r="B31" s="6">
        <f>IFERROR(__xludf.DUMMYFUNCTION("""COMPUTED_VALUE"""),729.0)</f>
        <v>729</v>
      </c>
      <c r="C31" s="6">
        <f>IFERROR(__xludf.DUMMYFUNCTION("""COMPUTED_VALUE"""),777.25)</f>
        <v>777.25</v>
      </c>
      <c r="D31" s="6">
        <f>IFERROR(__xludf.DUMMYFUNCTION("""COMPUTED_VALUE"""),727.8)</f>
        <v>727.8</v>
      </c>
      <c r="E31" s="6">
        <f>IFERROR(__xludf.DUMMYFUNCTION("""COMPUTED_VALUE"""),774.78)</f>
        <v>774.78</v>
      </c>
      <c r="F31" s="6">
        <f>IFERROR(__xludf.DUMMYFUNCTION("""COMPUTED_VALUE"""),1.30000185E8)</f>
        <v>130000185</v>
      </c>
    </row>
    <row r="32">
      <c r="A32" s="7">
        <f>IFERROR(__xludf.DUMMYFUNCTION("""COMPUTED_VALUE"""),45394.64583333333)</f>
        <v>45394.64583</v>
      </c>
      <c r="B32" s="6">
        <f>IFERROR(__xludf.DUMMYFUNCTION("""COMPUTED_VALUE"""),777.48)</f>
        <v>777.48</v>
      </c>
      <c r="C32" s="6">
        <f>IFERROR(__xludf.DUMMYFUNCTION("""COMPUTED_VALUE"""),778.63)</f>
        <v>778.63</v>
      </c>
      <c r="D32" s="6">
        <f>IFERROR(__xludf.DUMMYFUNCTION("""COMPUTED_VALUE"""),756.73)</f>
        <v>756.73</v>
      </c>
      <c r="E32" s="6">
        <f>IFERROR(__xludf.DUMMYFUNCTION("""COMPUTED_VALUE"""),759.48)</f>
        <v>759.48</v>
      </c>
      <c r="F32" s="6">
        <f>IFERROR(__xludf.DUMMYFUNCTION("""COMPUTED_VALUE"""),5.5629521E7)</f>
        <v>55629521</v>
      </c>
    </row>
    <row r="33">
      <c r="A33" s="7">
        <f>IFERROR(__xludf.DUMMYFUNCTION("""COMPUTED_VALUE"""),45401.64583333333)</f>
        <v>45401.64583</v>
      </c>
      <c r="B33" s="6">
        <f>IFERROR(__xludf.DUMMYFUNCTION("""COMPUTED_VALUE"""),748.78)</f>
        <v>748.78</v>
      </c>
      <c r="C33" s="6">
        <f>IFERROR(__xludf.DUMMYFUNCTION("""COMPUTED_VALUE"""),767.48)</f>
        <v>767.48</v>
      </c>
      <c r="D33" s="6">
        <f>IFERROR(__xludf.DUMMYFUNCTION("""COMPUTED_VALUE"""),740.13)</f>
        <v>740.13</v>
      </c>
      <c r="E33" s="6">
        <f>IFERROR(__xludf.DUMMYFUNCTION("""COMPUTED_VALUE"""),765.65)</f>
        <v>765.65</v>
      </c>
      <c r="F33" s="6">
        <f>IFERROR(__xludf.DUMMYFUNCTION("""COMPUTED_VALUE"""),5.6485726E7)</f>
        <v>56485726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IFERROR(__xludf.DUMMYFUNCTION("""COMPUTED_VALUE"""),778.7)</f>
        <v>778.7</v>
      </c>
      <c r="C34" s="6">
        <f>IFERROR(__xludf.DUMMYFUNCTION("""COMPUTED_VALUE"""),778.7)</f>
        <v>778.7</v>
      </c>
      <c r="D34" s="6">
        <f>IFERROR(__xludf.DUMMYFUNCTION("""COMPUTED_VALUE"""),751.63)</f>
        <v>751.63</v>
      </c>
      <c r="E34" s="6">
        <f>IFERROR(__xludf.DUMMYFUNCTION("""COMPUTED_VALUE"""),754.9)</f>
        <v>754.9</v>
      </c>
      <c r="F34" s="6">
        <f>IFERROR(__xludf.DUMMYFUNCTION("""COMPUTED_VALUE"""),7.5933488E7)</f>
        <v>75933488</v>
      </c>
    </row>
    <row r="35">
      <c r="A35" s="7">
        <f>IFERROR(__xludf.DUMMYFUNCTION("""COMPUTED_VALUE"""),45415.64583333333)</f>
        <v>45415.64583</v>
      </c>
      <c r="B35" s="6">
        <f>IFERROR(__xludf.DUMMYFUNCTION("""COMPUTED_VALUE"""),757.5)</f>
        <v>757.5</v>
      </c>
      <c r="C35" s="6">
        <f>IFERROR(__xludf.DUMMYFUNCTION("""COMPUTED_VALUE"""),770.3)</f>
        <v>770.3</v>
      </c>
      <c r="D35" s="6">
        <f>IFERROR(__xludf.DUMMYFUNCTION("""COMPUTED_VALUE"""),753.28)</f>
        <v>753.28</v>
      </c>
      <c r="E35" s="6">
        <f>IFERROR(__xludf.DUMMYFUNCTION("""COMPUTED_VALUE"""),759.8)</f>
        <v>759.8</v>
      </c>
      <c r="F35" s="6">
        <f>IFERROR(__xludf.DUMMYFUNCTION("""COMPUTED_VALUE"""),7.687049E7)</f>
        <v>76870490</v>
      </c>
    </row>
    <row r="36">
      <c r="A36" s="7">
        <f>IFERROR(__xludf.DUMMYFUNCTION("""COMPUTED_VALUE"""),45422.64583333333)</f>
        <v>45422.64583</v>
      </c>
      <c r="B36" s="6">
        <f>IFERROR(__xludf.DUMMYFUNCTION("""COMPUTED_VALUE"""),761.0)</f>
        <v>761</v>
      </c>
      <c r="C36" s="6">
        <f>IFERROR(__xludf.DUMMYFUNCTION("""COMPUTED_VALUE"""),767.25)</f>
        <v>767.25</v>
      </c>
      <c r="D36" s="6">
        <f>IFERROR(__xludf.DUMMYFUNCTION("""COMPUTED_VALUE"""),713.4)</f>
        <v>713.4</v>
      </c>
      <c r="E36" s="6">
        <f>IFERROR(__xludf.DUMMYFUNCTION("""COMPUTED_VALUE"""),718.95)</f>
        <v>718.95</v>
      </c>
      <c r="F36" s="6">
        <f>IFERROR(__xludf.DUMMYFUNCTION("""COMPUTED_VALUE"""),8.6259873E7)</f>
        <v>86259873</v>
      </c>
    </row>
    <row r="37">
      <c r="A37" s="7">
        <f>IFERROR(__xludf.DUMMYFUNCTION("""COMPUTED_VALUE"""),45436.64583333333)</f>
        <v>45436.64583</v>
      </c>
      <c r="B37" s="6">
        <f>IFERROR(__xludf.DUMMYFUNCTION("""COMPUTED_VALUE"""),725.05)</f>
        <v>725.05</v>
      </c>
      <c r="C37" s="6">
        <f>IFERROR(__xludf.DUMMYFUNCTION("""COMPUTED_VALUE"""),759.95)</f>
        <v>759.95</v>
      </c>
      <c r="D37" s="6">
        <f>IFERROR(__xludf.DUMMYFUNCTION("""COMPUTED_VALUE"""),724.08)</f>
        <v>724.08</v>
      </c>
      <c r="E37" s="6">
        <f>IFERROR(__xludf.DUMMYFUNCTION("""COMPUTED_VALUE"""),758.6)</f>
        <v>758.6</v>
      </c>
      <c r="F37" s="6">
        <f>IFERROR(__xludf.DUMMYFUNCTION("""COMPUTED_VALUE"""),7.7844191E7)</f>
        <v>77844191</v>
      </c>
    </row>
    <row r="38">
      <c r="A38" s="7">
        <f>IFERROR(__xludf.DUMMYFUNCTION("""COMPUTED_VALUE"""),45443.64583333333)</f>
        <v>45443.64583</v>
      </c>
      <c r="B38" s="6">
        <f>IFERROR(__xludf.DUMMYFUNCTION("""COMPUTED_VALUE"""),761.68)</f>
        <v>761.68</v>
      </c>
      <c r="C38" s="6">
        <f>IFERROR(__xludf.DUMMYFUNCTION("""COMPUTED_VALUE"""),772.5)</f>
        <v>772.5</v>
      </c>
      <c r="D38" s="6">
        <f>IFERROR(__xludf.DUMMYFUNCTION("""COMPUTED_VALUE"""),748.83)</f>
        <v>748.83</v>
      </c>
      <c r="E38" s="6">
        <f>IFERROR(__xludf.DUMMYFUNCTION("""COMPUTED_VALUE"""),765.78)</f>
        <v>765.78</v>
      </c>
      <c r="F38" s="6">
        <f>IFERROR(__xludf.DUMMYFUNCTION("""COMPUTED_VALUE"""),1.00138494E8)</f>
        <v>100138494</v>
      </c>
    </row>
    <row r="39">
      <c r="A39" s="7">
        <f>IFERROR(__xludf.DUMMYFUNCTION("""COMPUTED_VALUE"""),45450.64583333333)</f>
        <v>45450.64583</v>
      </c>
      <c r="B39" s="6">
        <f>IFERROR(__xludf.DUMMYFUNCTION("""COMPUTED_VALUE"""),799.5)</f>
        <v>799.5</v>
      </c>
      <c r="C39" s="6">
        <f>IFERROR(__xludf.DUMMYFUNCTION("""COMPUTED_VALUE"""),799.5)</f>
        <v>799.5</v>
      </c>
      <c r="D39" s="6">
        <f>IFERROR(__xludf.DUMMYFUNCTION("""COMPUTED_VALUE"""),727.0)</f>
        <v>727</v>
      </c>
      <c r="E39" s="6">
        <f>IFERROR(__xludf.DUMMYFUNCTION("""COMPUTED_VALUE"""),786.68)</f>
        <v>786.68</v>
      </c>
      <c r="F39" s="6">
        <f>IFERROR(__xludf.DUMMYFUNCTION("""COMPUTED_VALUE"""),1.63467616E8)</f>
        <v>163467616</v>
      </c>
    </row>
    <row r="40">
      <c r="A40" s="7">
        <f>IFERROR(__xludf.DUMMYFUNCTION("""COMPUTED_VALUE"""),45457.64583333333)</f>
        <v>45457.64583</v>
      </c>
      <c r="B40" s="6">
        <f>IFERROR(__xludf.DUMMYFUNCTION("""COMPUTED_VALUE"""),787.0)</f>
        <v>787</v>
      </c>
      <c r="C40" s="6">
        <f>IFERROR(__xludf.DUMMYFUNCTION("""COMPUTED_VALUE"""),799.5)</f>
        <v>799.5</v>
      </c>
      <c r="D40" s="6">
        <f>IFERROR(__xludf.DUMMYFUNCTION("""COMPUTED_VALUE"""),776.1)</f>
        <v>776.1</v>
      </c>
      <c r="E40" s="6">
        <f>IFERROR(__xludf.DUMMYFUNCTION("""COMPUTED_VALUE"""),798.45)</f>
        <v>798.45</v>
      </c>
      <c r="F40" s="6">
        <f>IFERROR(__xludf.DUMMYFUNCTION("""COMPUTED_VALUE"""),7.0470283E7)</f>
        <v>70470283</v>
      </c>
    </row>
    <row r="41">
      <c r="A41" s="7">
        <f>IFERROR(__xludf.DUMMYFUNCTION("""COMPUTED_VALUE"""),45464.64583333333)</f>
        <v>45464.64583</v>
      </c>
      <c r="B41" s="6">
        <f>IFERROR(__xludf.DUMMYFUNCTION("""COMPUTED_VALUE"""),798.45)</f>
        <v>798.45</v>
      </c>
      <c r="C41" s="6">
        <f>IFERROR(__xludf.DUMMYFUNCTION("""COMPUTED_VALUE"""),840.73)</f>
        <v>840.73</v>
      </c>
      <c r="D41" s="6">
        <f>IFERROR(__xludf.DUMMYFUNCTION("""COMPUTED_VALUE"""),794.73)</f>
        <v>794.73</v>
      </c>
      <c r="E41" s="6">
        <f>IFERROR(__xludf.DUMMYFUNCTION("""COMPUTED_VALUE"""),832.88)</f>
        <v>832.88</v>
      </c>
      <c r="F41" s="6">
        <f>IFERROR(__xludf.DUMMYFUNCTION("""COMPUTED_VALUE"""),1.07793214E8)</f>
        <v>107793214</v>
      </c>
    </row>
    <row r="42">
      <c r="A42" s="7">
        <f>IFERROR(__xludf.DUMMYFUNCTION("""COMPUTED_VALUE"""),45471.64583333333)</f>
        <v>45471.64583</v>
      </c>
      <c r="B42" s="6">
        <f>IFERROR(__xludf.DUMMYFUNCTION("""COMPUTED_VALUE"""),823.5)</f>
        <v>823.5</v>
      </c>
      <c r="C42" s="6">
        <f>IFERROR(__xludf.DUMMYFUNCTION("""COMPUTED_VALUE"""),858.48)</f>
        <v>858.48</v>
      </c>
      <c r="D42" s="6">
        <f>IFERROR(__xludf.DUMMYFUNCTION("""COMPUTED_VALUE"""),822.88)</f>
        <v>822.88</v>
      </c>
      <c r="E42" s="6">
        <f>IFERROR(__xludf.DUMMYFUNCTION("""COMPUTED_VALUE"""),841.9)</f>
        <v>841.9</v>
      </c>
      <c r="F42" s="6">
        <f>IFERROR(__xludf.DUMMYFUNCTION("""COMPUTED_VALUE"""),1.16106952E8)</f>
        <v>116106952</v>
      </c>
    </row>
    <row r="43">
      <c r="A43" s="7">
        <f>IFERROR(__xludf.DUMMYFUNCTION("""COMPUTED_VALUE"""),45478.64583333333)</f>
        <v>45478.64583</v>
      </c>
      <c r="B43" s="6">
        <f>IFERROR(__xludf.DUMMYFUNCTION("""COMPUTED_VALUE"""),840.0)</f>
        <v>840</v>
      </c>
      <c r="C43" s="6">
        <f>IFERROR(__xludf.DUMMYFUNCTION("""COMPUTED_VALUE"""),897.0)</f>
        <v>897</v>
      </c>
      <c r="D43" s="6">
        <f>IFERROR(__xludf.DUMMYFUNCTION("""COMPUTED_VALUE"""),821.1)</f>
        <v>821.1</v>
      </c>
      <c r="E43" s="6">
        <f>IFERROR(__xludf.DUMMYFUNCTION("""COMPUTED_VALUE"""),824.05)</f>
        <v>824.05</v>
      </c>
      <c r="F43" s="6">
        <f>IFERROR(__xludf.DUMMYFUNCTION("""COMPUTED_VALUE"""),1.59208861E8)</f>
        <v>159208861</v>
      </c>
    </row>
    <row r="44">
      <c r="A44" s="7">
        <f>IFERROR(__xludf.DUMMYFUNCTION("""COMPUTED_VALUE"""),45485.64583333333)</f>
        <v>45485.64583</v>
      </c>
      <c r="B44" s="6">
        <f>IFERROR(__xludf.DUMMYFUNCTION("""COMPUTED_VALUE"""),822.65)</f>
        <v>822.65</v>
      </c>
      <c r="C44" s="6">
        <f>IFERROR(__xludf.DUMMYFUNCTION("""COMPUTED_VALUE"""),827.48)</f>
        <v>827.48</v>
      </c>
      <c r="D44" s="6">
        <f>IFERROR(__xludf.DUMMYFUNCTION("""COMPUTED_VALUE"""),800.5)</f>
        <v>800.5</v>
      </c>
      <c r="E44" s="6">
        <f>IFERROR(__xludf.DUMMYFUNCTION("""COMPUTED_VALUE"""),811.35)</f>
        <v>811.35</v>
      </c>
      <c r="F44" s="6">
        <f>IFERROR(__xludf.DUMMYFUNCTION("""COMPUTED_VALUE"""),1.16686447E8)</f>
        <v>116686447</v>
      </c>
    </row>
    <row r="45">
      <c r="A45" s="7">
        <f>IFERROR(__xludf.DUMMYFUNCTION("""COMPUTED_VALUE"""),45492.64583333333)</f>
        <v>45492.64583</v>
      </c>
      <c r="B45" s="6">
        <f>IFERROR(__xludf.DUMMYFUNCTION("""COMPUTED_VALUE"""),811.75)</f>
        <v>811.75</v>
      </c>
      <c r="C45" s="6">
        <f>IFERROR(__xludf.DUMMYFUNCTION("""COMPUTED_VALUE"""),814.9)</f>
        <v>814.9</v>
      </c>
      <c r="D45" s="6">
        <f>IFERROR(__xludf.DUMMYFUNCTION("""COMPUTED_VALUE"""),799.58)</f>
        <v>799.58</v>
      </c>
      <c r="E45" s="6">
        <f>IFERROR(__xludf.DUMMYFUNCTION("""COMPUTED_VALUE"""),803.65)</f>
        <v>803.65</v>
      </c>
      <c r="F45" s="6">
        <f>IFERROR(__xludf.DUMMYFUNCTION("""COMPUTED_VALUE"""),6.1022617E7)</f>
        <v>61022617</v>
      </c>
    </row>
    <row r="46">
      <c r="A46" s="7">
        <f>IFERROR(__xludf.DUMMYFUNCTION("""COMPUTED_VALUE"""),45499.64583333333)</f>
        <v>45499.64583</v>
      </c>
      <c r="B46" s="6">
        <f>IFERROR(__xludf.DUMMYFUNCTION("""COMPUTED_VALUE"""),808.5)</f>
        <v>808.5</v>
      </c>
      <c r="C46" s="6">
        <f>IFERROR(__xludf.DUMMYFUNCTION("""COMPUTED_VALUE"""),825.5)</f>
        <v>825.5</v>
      </c>
      <c r="D46" s="6">
        <f>IFERROR(__xludf.DUMMYFUNCTION("""COMPUTED_VALUE"""),794.03)</f>
        <v>794.03</v>
      </c>
      <c r="E46" s="6">
        <f>IFERROR(__xludf.DUMMYFUNCTION("""COMPUTED_VALUE"""),809.08)</f>
        <v>809.08</v>
      </c>
      <c r="F46" s="6">
        <f>IFERROR(__xludf.DUMMYFUNCTION("""COMPUTED_VALUE"""),1.18410726E8)</f>
        <v>118410726</v>
      </c>
    </row>
    <row r="47">
      <c r="A47" s="7">
        <f>IFERROR(__xludf.DUMMYFUNCTION("""COMPUTED_VALUE"""),45506.64583333333)</f>
        <v>45506.64583</v>
      </c>
      <c r="B47" s="6">
        <f>IFERROR(__xludf.DUMMYFUNCTION("""COMPUTED_VALUE"""),807.5)</f>
        <v>807.5</v>
      </c>
      <c r="C47" s="6">
        <f>IFERROR(__xludf.DUMMYFUNCTION("""COMPUTED_VALUE"""),835.25)</f>
        <v>835.25</v>
      </c>
      <c r="D47" s="6">
        <f>IFERROR(__xludf.DUMMYFUNCTION("""COMPUTED_VALUE"""),799.15)</f>
        <v>799.15</v>
      </c>
      <c r="E47" s="6">
        <f>IFERROR(__xludf.DUMMYFUNCTION("""COMPUTED_VALUE"""),829.58)</f>
        <v>829.58</v>
      </c>
      <c r="F47" s="6">
        <f>IFERROR(__xludf.DUMMYFUNCTION("""COMPUTED_VALUE"""),1.06875939E8)</f>
        <v>106875939</v>
      </c>
    </row>
    <row r="48">
      <c r="A48" s="7">
        <f>IFERROR(__xludf.DUMMYFUNCTION("""COMPUTED_VALUE"""),45513.64583333333)</f>
        <v>45513.64583</v>
      </c>
      <c r="B48" s="6">
        <f>IFERROR(__xludf.DUMMYFUNCTION("""COMPUTED_VALUE"""),820.05)</f>
        <v>820.05</v>
      </c>
      <c r="C48" s="6">
        <f>IFERROR(__xludf.DUMMYFUNCTION("""COMPUTED_VALUE"""),831.28)</f>
        <v>831.28</v>
      </c>
      <c r="D48" s="6">
        <f>IFERROR(__xludf.DUMMYFUNCTION("""COMPUTED_VALUE"""),796.65)</f>
        <v>796.65</v>
      </c>
      <c r="E48" s="6">
        <f>IFERROR(__xludf.DUMMYFUNCTION("""COMPUTED_VALUE"""),825.1)</f>
        <v>825.1</v>
      </c>
      <c r="F48" s="6">
        <f>IFERROR(__xludf.DUMMYFUNCTION("""COMPUTED_VALUE"""),9.4708758E7)</f>
        <v>94708758</v>
      </c>
    </row>
    <row r="49">
      <c r="A49" s="7">
        <f>IFERROR(__xludf.DUMMYFUNCTION("""COMPUTED_VALUE"""),45520.64583333333)</f>
        <v>45520.64583</v>
      </c>
      <c r="B49" s="6">
        <f>IFERROR(__xludf.DUMMYFUNCTION("""COMPUTED_VALUE"""),826.0)</f>
        <v>826</v>
      </c>
      <c r="C49" s="6">
        <f>IFERROR(__xludf.DUMMYFUNCTION("""COMPUTED_VALUE"""),837.98)</f>
        <v>837.98</v>
      </c>
      <c r="D49" s="6">
        <f>IFERROR(__xludf.DUMMYFUNCTION("""COMPUTED_VALUE"""),800.58)</f>
        <v>800.58</v>
      </c>
      <c r="E49" s="6">
        <f>IFERROR(__xludf.DUMMYFUNCTION("""COMPUTED_VALUE"""),816.05)</f>
        <v>816.05</v>
      </c>
      <c r="F49" s="6">
        <f>IFERROR(__xludf.DUMMYFUNCTION("""COMPUTED_VALUE"""),7.6777456E7)</f>
        <v>76777456</v>
      </c>
    </row>
    <row r="50">
      <c r="A50" s="7">
        <f>IFERROR(__xludf.DUMMYFUNCTION("""COMPUTED_VALUE"""),45527.64583333333)</f>
        <v>45527.64583</v>
      </c>
      <c r="B50" s="6">
        <f>IFERROR(__xludf.DUMMYFUNCTION("""COMPUTED_VALUE"""),818.83)</f>
        <v>818.83</v>
      </c>
      <c r="C50" s="6">
        <f>IFERROR(__xludf.DUMMYFUNCTION("""COMPUTED_VALUE"""),823.0)</f>
        <v>823</v>
      </c>
      <c r="D50" s="6">
        <f>IFERROR(__xludf.DUMMYFUNCTION("""COMPUTED_VALUE"""),808.9)</f>
        <v>808.9</v>
      </c>
      <c r="E50" s="6">
        <f>IFERROR(__xludf.DUMMYFUNCTION("""COMPUTED_VALUE"""),812.53)</f>
        <v>812.53</v>
      </c>
      <c r="F50" s="6">
        <f>IFERROR(__xludf.DUMMYFUNCTION("""COMPUTED_VALUE"""),6.9950811E7)</f>
        <v>69950811</v>
      </c>
    </row>
    <row r="51">
      <c r="A51" s="7">
        <f>IFERROR(__xludf.DUMMYFUNCTION("""COMPUTED_VALUE"""),45534.64583333333)</f>
        <v>45534.64583</v>
      </c>
      <c r="B51" s="6">
        <f>IFERROR(__xludf.DUMMYFUNCTION("""COMPUTED_VALUE"""),816.1)</f>
        <v>816.1</v>
      </c>
      <c r="C51" s="6">
        <f>IFERROR(__xludf.DUMMYFUNCTION("""COMPUTED_VALUE"""),831.0)</f>
        <v>831</v>
      </c>
      <c r="D51" s="6">
        <f>IFERROR(__xludf.DUMMYFUNCTION("""COMPUTED_VALUE"""),810.58)</f>
        <v>810.58</v>
      </c>
      <c r="E51" s="6">
        <f>IFERROR(__xludf.DUMMYFUNCTION("""COMPUTED_VALUE"""),818.45)</f>
        <v>818.45</v>
      </c>
      <c r="F51" s="6">
        <f>IFERROR(__xludf.DUMMYFUNCTION("""COMPUTED_VALUE"""),2.89726701E8)</f>
        <v>289726701</v>
      </c>
    </row>
    <row r="52">
      <c r="A52" s="7">
        <f>IFERROR(__xludf.DUMMYFUNCTION("""COMPUTED_VALUE"""),45541.64583333333)</f>
        <v>45541.64583</v>
      </c>
      <c r="B52" s="6">
        <f>IFERROR(__xludf.DUMMYFUNCTION("""COMPUTED_VALUE"""),823.4)</f>
        <v>823.4</v>
      </c>
      <c r="C52" s="6">
        <f>IFERROR(__xludf.DUMMYFUNCTION("""COMPUTED_VALUE"""),824.95)</f>
        <v>824.95</v>
      </c>
      <c r="D52" s="6">
        <f>IFERROR(__xludf.DUMMYFUNCTION("""COMPUTED_VALUE"""),811.6)</f>
        <v>811.6</v>
      </c>
      <c r="E52" s="6">
        <f>IFERROR(__xludf.DUMMYFUNCTION("""COMPUTED_VALUE"""),818.48)</f>
        <v>818.48</v>
      </c>
      <c r="F52" s="6">
        <f>IFERROR(__xludf.DUMMYFUNCTION("""COMPUTED_VALUE"""),7.2460602E7)</f>
        <v>72460602</v>
      </c>
    </row>
    <row r="53">
      <c r="A53" s="7">
        <f>IFERROR(__xludf.DUMMYFUNCTION("""COMPUTED_VALUE"""),45548.64583333333)</f>
        <v>45548.64583</v>
      </c>
      <c r="B53" s="6">
        <f>IFERROR(__xludf.DUMMYFUNCTION("""COMPUTED_VALUE"""),819.0)</f>
        <v>819</v>
      </c>
      <c r="C53" s="6">
        <f>IFERROR(__xludf.DUMMYFUNCTION("""COMPUTED_VALUE"""),837.0)</f>
        <v>837</v>
      </c>
      <c r="D53" s="6">
        <f>IFERROR(__xludf.DUMMYFUNCTION("""COMPUTED_VALUE"""),815.05)</f>
        <v>815.05</v>
      </c>
      <c r="E53" s="6">
        <f>IFERROR(__xludf.DUMMYFUNCTION("""COMPUTED_VALUE"""),832.98)</f>
        <v>832.98</v>
      </c>
      <c r="F53" s="6">
        <f>IFERROR(__xludf.DUMMYFUNCTION("""COMPUTED_VALUE"""),6.4455411E7)</f>
        <v>64455411</v>
      </c>
    </row>
    <row r="54">
      <c r="A54" s="7">
        <f>IFERROR(__xludf.DUMMYFUNCTION("""COMPUTED_VALUE"""),45555.64583333333)</f>
        <v>45555.64583</v>
      </c>
      <c r="B54" s="6">
        <f>IFERROR(__xludf.DUMMYFUNCTION("""COMPUTED_VALUE"""),833.5)</f>
        <v>833.5</v>
      </c>
      <c r="C54" s="6">
        <f>IFERROR(__xludf.DUMMYFUNCTION("""COMPUTED_VALUE"""),872.48)</f>
        <v>872.48</v>
      </c>
      <c r="D54" s="6">
        <f>IFERROR(__xludf.DUMMYFUNCTION("""COMPUTED_VALUE"""),832.03)</f>
        <v>832.03</v>
      </c>
      <c r="E54" s="6">
        <f>IFERROR(__xludf.DUMMYFUNCTION("""COMPUTED_VALUE"""),870.6)</f>
        <v>870.6</v>
      </c>
      <c r="F54" s="6">
        <f>IFERROR(__xludf.DUMMYFUNCTION("""COMPUTED_VALUE"""),8.3746223E7)</f>
        <v>83746223</v>
      </c>
    </row>
    <row r="55">
      <c r="A55" s="7">
        <f>IFERROR(__xludf.DUMMYFUNCTION("""COMPUTED_VALUE"""),45562.64583333333)</f>
        <v>45562.64583</v>
      </c>
      <c r="B55" s="6">
        <f>IFERROR(__xludf.DUMMYFUNCTION("""COMPUTED_VALUE"""),874.5)</f>
        <v>874.5</v>
      </c>
      <c r="C55" s="6">
        <f>IFERROR(__xludf.DUMMYFUNCTION("""COMPUTED_VALUE"""),894.0)</f>
        <v>894</v>
      </c>
      <c r="D55" s="6">
        <f>IFERROR(__xludf.DUMMYFUNCTION("""COMPUTED_VALUE"""),870.13)</f>
        <v>870.13</v>
      </c>
      <c r="E55" s="6">
        <f>IFERROR(__xludf.DUMMYFUNCTION("""COMPUTED_VALUE"""),876.33)</f>
        <v>876.33</v>
      </c>
      <c r="F55" s="6">
        <f>IFERROR(__xludf.DUMMYFUNCTION("""COMPUTED_VALUE"""),7.9741422E7)</f>
        <v>79741422</v>
      </c>
    </row>
    <row r="56">
      <c r="A56" s="7">
        <f>IFERROR(__xludf.DUMMYFUNCTION("""COMPUTED_VALUE"""),45569.64583333333)</f>
        <v>45569.64583</v>
      </c>
      <c r="B56" s="6">
        <f>IFERROR(__xludf.DUMMYFUNCTION("""COMPUTED_VALUE"""),874.4)</f>
        <v>874.4</v>
      </c>
      <c r="C56" s="6">
        <f>IFERROR(__xludf.DUMMYFUNCTION("""COMPUTED_VALUE"""),875.73)</f>
        <v>875.73</v>
      </c>
      <c r="D56" s="6">
        <f>IFERROR(__xludf.DUMMYFUNCTION("""COMPUTED_VALUE"""),826.5)</f>
        <v>826.5</v>
      </c>
      <c r="E56" s="6">
        <f>IFERROR(__xludf.DUMMYFUNCTION("""COMPUTED_VALUE"""),828.83)</f>
        <v>828.83</v>
      </c>
      <c r="F56" s="6">
        <f>IFERROR(__xludf.DUMMYFUNCTION("""COMPUTED_VALUE"""),7.4056224E7)</f>
        <v>74056224</v>
      </c>
    </row>
    <row r="57">
      <c r="A57" s="7">
        <f>IFERROR(__xludf.DUMMYFUNCTION("""COMPUTED_VALUE"""),45576.64583333333)</f>
        <v>45576.64583</v>
      </c>
      <c r="B57" s="6">
        <f>IFERROR(__xludf.DUMMYFUNCTION("""COMPUTED_VALUE"""),826.1)</f>
        <v>826.1</v>
      </c>
      <c r="C57" s="6">
        <f>IFERROR(__xludf.DUMMYFUNCTION("""COMPUTED_VALUE"""),832.73)</f>
        <v>832.73</v>
      </c>
      <c r="D57" s="6">
        <f>IFERROR(__xludf.DUMMYFUNCTION("""COMPUTED_VALUE"""),806.5)</f>
        <v>806.5</v>
      </c>
      <c r="E57" s="6">
        <f>IFERROR(__xludf.DUMMYFUNCTION("""COMPUTED_VALUE"""),825.5)</f>
        <v>825.5</v>
      </c>
      <c r="F57" s="6">
        <f>IFERROR(__xludf.DUMMYFUNCTION("""COMPUTED_VALUE"""),1.05372852E8)</f>
        <v>105372852</v>
      </c>
    </row>
    <row r="58">
      <c r="A58" s="7">
        <f>IFERROR(__xludf.DUMMYFUNCTION("""COMPUTED_VALUE"""),45583.64583333333)</f>
        <v>45583.64583</v>
      </c>
      <c r="B58" s="6">
        <f>IFERROR(__xludf.DUMMYFUNCTION("""COMPUTED_VALUE"""),828.03)</f>
        <v>828.03</v>
      </c>
      <c r="C58" s="6">
        <f>IFERROR(__xludf.DUMMYFUNCTION("""COMPUTED_VALUE"""),853.98)</f>
        <v>853.98</v>
      </c>
      <c r="D58" s="6">
        <f>IFERROR(__xludf.DUMMYFUNCTION("""COMPUTED_VALUE"""),827.0)</f>
        <v>827</v>
      </c>
      <c r="E58" s="6">
        <f>IFERROR(__xludf.DUMMYFUNCTION("""COMPUTED_VALUE"""),840.93)</f>
        <v>840.93</v>
      </c>
      <c r="F58" s="6">
        <f>IFERROR(__xludf.DUMMYFUNCTION("""COMPUTED_VALUE"""),4.9077388E7)</f>
        <v>49077388</v>
      </c>
    </row>
    <row r="59">
      <c r="A59" s="7">
        <f>IFERROR(__xludf.DUMMYFUNCTION("""COMPUTED_VALUE"""),45590.64583333333)</f>
        <v>45590.64583</v>
      </c>
      <c r="B59" s="6">
        <f>IFERROR(__xludf.DUMMYFUNCTION("""COMPUTED_VALUE"""),857.5)</f>
        <v>857.5</v>
      </c>
      <c r="C59" s="6">
        <f>IFERROR(__xludf.DUMMYFUNCTION("""COMPUTED_VALUE"""),884.33)</f>
        <v>884.33</v>
      </c>
      <c r="D59" s="6">
        <f>IFERROR(__xludf.DUMMYFUNCTION("""COMPUTED_VALUE"""),852.53)</f>
        <v>852.53</v>
      </c>
      <c r="E59" s="6">
        <f>IFERROR(__xludf.DUMMYFUNCTION("""COMPUTED_VALUE"""),871.7)</f>
        <v>871.7</v>
      </c>
      <c r="F59" s="6">
        <f>IFERROR(__xludf.DUMMYFUNCTION("""COMPUTED_VALUE"""),9.021123E7)</f>
        <v>90211230</v>
      </c>
    </row>
    <row r="60">
      <c r="A60" s="7">
        <f>IFERROR(__xludf.DUMMYFUNCTION("""COMPUTED_VALUE"""),45604.64583333333)</f>
        <v>45604.64583</v>
      </c>
      <c r="B60" s="6">
        <f>IFERROR(__xludf.DUMMYFUNCTION("""COMPUTED_VALUE"""),872.5)</f>
        <v>872.5</v>
      </c>
      <c r="C60" s="6">
        <f>IFERROR(__xludf.DUMMYFUNCTION("""COMPUTED_VALUE"""),885.75)</f>
        <v>885.75</v>
      </c>
      <c r="D60" s="6">
        <f>IFERROR(__xludf.DUMMYFUNCTION("""COMPUTED_VALUE"""),848.95)</f>
        <v>848.95</v>
      </c>
      <c r="E60" s="6">
        <f>IFERROR(__xludf.DUMMYFUNCTION("""COMPUTED_VALUE"""),877.23)</f>
        <v>877.23</v>
      </c>
      <c r="F60" s="6">
        <f>IFERROR(__xludf.DUMMYFUNCTION("""COMPUTED_VALUE"""),6.9454003E7)</f>
        <v>69454003</v>
      </c>
    </row>
    <row r="61">
      <c r="A61" s="7">
        <f>IFERROR(__xludf.DUMMYFUNCTION("""COMPUTED_VALUE"""),45610.64583333333)</f>
        <v>45610.64583</v>
      </c>
      <c r="B61" s="6">
        <f>IFERROR(__xludf.DUMMYFUNCTION("""COMPUTED_VALUE"""),877.28)</f>
        <v>877.28</v>
      </c>
      <c r="C61" s="6">
        <f>IFERROR(__xludf.DUMMYFUNCTION("""COMPUTED_VALUE"""),891.4)</f>
        <v>891.4</v>
      </c>
      <c r="D61" s="6">
        <f>IFERROR(__xludf.DUMMYFUNCTION("""COMPUTED_VALUE"""),836.05)</f>
        <v>836.05</v>
      </c>
      <c r="E61" s="6">
        <f>IFERROR(__xludf.DUMMYFUNCTION("""COMPUTED_VALUE"""),846.38)</f>
        <v>846.38</v>
      </c>
      <c r="F61" s="6">
        <f>IFERROR(__xludf.DUMMYFUNCTION("""COMPUTED_VALUE"""),5.9417869E7)</f>
        <v>59417869</v>
      </c>
    </row>
    <row r="62">
      <c r="A62" s="7">
        <f>IFERROR(__xludf.DUMMYFUNCTION("""COMPUTED_VALUE"""),45618.64583333333)</f>
        <v>45618.64583</v>
      </c>
      <c r="B62" s="6">
        <f>IFERROR(__xludf.DUMMYFUNCTION("""COMPUTED_VALUE"""),850.0)</f>
        <v>850</v>
      </c>
      <c r="C62" s="6">
        <f>IFERROR(__xludf.DUMMYFUNCTION("""COMPUTED_VALUE"""),879.5)</f>
        <v>879.5</v>
      </c>
      <c r="D62" s="6">
        <f>IFERROR(__xludf.DUMMYFUNCTION("""COMPUTED_VALUE"""),847.5)</f>
        <v>847.5</v>
      </c>
      <c r="E62" s="6">
        <f>IFERROR(__xludf.DUMMYFUNCTION("""COMPUTED_VALUE"""),872.8)</f>
        <v>872.8</v>
      </c>
      <c r="F62" s="6">
        <f>IFERROR(__xludf.DUMMYFUNCTION("""COMPUTED_VALUE"""),6.9276682E7)</f>
        <v>69276682</v>
      </c>
    </row>
    <row r="63">
      <c r="A63" s="7">
        <f>IFERROR(__xludf.DUMMYFUNCTION("""COMPUTED_VALUE"""),45625.64583333333)</f>
        <v>45625.64583</v>
      </c>
      <c r="B63" s="6">
        <f>IFERROR(__xludf.DUMMYFUNCTION("""COMPUTED_VALUE"""),892.53)</f>
        <v>892.53</v>
      </c>
      <c r="C63" s="6">
        <f>IFERROR(__xludf.DUMMYFUNCTION("""COMPUTED_VALUE"""),918.05)</f>
        <v>918.05</v>
      </c>
      <c r="D63" s="6">
        <f>IFERROR(__xludf.DUMMYFUNCTION("""COMPUTED_VALUE"""),882.45)</f>
        <v>882.45</v>
      </c>
      <c r="E63" s="6">
        <f>IFERROR(__xludf.DUMMYFUNCTION("""COMPUTED_VALUE"""),898.03)</f>
        <v>898.03</v>
      </c>
      <c r="F63" s="6">
        <f>IFERROR(__xludf.DUMMYFUNCTION("""COMPUTED_VALUE"""),2.77389872E8)</f>
        <v>277389872</v>
      </c>
    </row>
    <row r="64">
      <c r="A64" s="7">
        <f>IFERROR(__xludf.DUMMYFUNCTION("""COMPUTED_VALUE"""),45632.64583333333)</f>
        <v>45632.64583</v>
      </c>
      <c r="B64" s="6">
        <f>IFERROR(__xludf.DUMMYFUNCTION("""COMPUTED_VALUE"""),901.75)</f>
        <v>901.75</v>
      </c>
      <c r="C64" s="6">
        <f>IFERROR(__xludf.DUMMYFUNCTION("""COMPUTED_VALUE"""),939.98)</f>
        <v>939.98</v>
      </c>
      <c r="D64" s="6">
        <f>IFERROR(__xludf.DUMMYFUNCTION("""COMPUTED_VALUE"""),887.5)</f>
        <v>887.5</v>
      </c>
      <c r="E64" s="6">
        <f>IFERROR(__xludf.DUMMYFUNCTION("""COMPUTED_VALUE"""),927.93)</f>
        <v>927.93</v>
      </c>
      <c r="F64" s="6">
        <f>IFERROR(__xludf.DUMMYFUNCTION("""COMPUTED_VALUE"""),8.0328036E7)</f>
        <v>80328036</v>
      </c>
    </row>
    <row r="65">
      <c r="A65" s="7">
        <f>IFERROR(__xludf.DUMMYFUNCTION("""COMPUTED_VALUE"""),45639.64583333333)</f>
        <v>45639.64583</v>
      </c>
      <c r="B65" s="6">
        <f>IFERROR(__xludf.DUMMYFUNCTION("""COMPUTED_VALUE"""),926.83)</f>
        <v>926.83</v>
      </c>
      <c r="C65" s="6">
        <f>IFERROR(__xludf.DUMMYFUNCTION("""COMPUTED_VALUE"""),940.0)</f>
        <v>940</v>
      </c>
      <c r="D65" s="6">
        <f>IFERROR(__xludf.DUMMYFUNCTION("""COMPUTED_VALUE"""),914.63)</f>
        <v>914.63</v>
      </c>
      <c r="E65" s="6">
        <f>IFERROR(__xludf.DUMMYFUNCTION("""COMPUTED_VALUE"""),935.88)</f>
        <v>935.88</v>
      </c>
      <c r="F65" s="6">
        <f>IFERROR(__xludf.DUMMYFUNCTION("""COMPUTED_VALUE"""),4.5310805E7)</f>
        <v>45310805</v>
      </c>
    </row>
    <row r="66">
      <c r="A66" s="7">
        <f>IFERROR(__xludf.DUMMYFUNCTION("""COMPUTED_VALUE"""),45646.64583333333)</f>
        <v>45646.64583</v>
      </c>
      <c r="B66" s="6">
        <f>IFERROR(__xludf.DUMMYFUNCTION("""COMPUTED_VALUE"""),932.55)</f>
        <v>932.55</v>
      </c>
      <c r="C66" s="6">
        <f>IFERROR(__xludf.DUMMYFUNCTION("""COMPUTED_VALUE"""),934.98)</f>
        <v>934.98</v>
      </c>
      <c r="D66" s="6">
        <f>IFERROR(__xludf.DUMMYFUNCTION("""COMPUTED_VALUE"""),883.53)</f>
        <v>883.53</v>
      </c>
      <c r="E66" s="6">
        <f>IFERROR(__xludf.DUMMYFUNCTION("""COMPUTED_VALUE"""),885.75)</f>
        <v>885.75</v>
      </c>
      <c r="F66" s="6">
        <f>IFERROR(__xludf.DUMMYFUNCTION("""COMPUTED_VALUE"""),5.4341022E7)</f>
        <v>54341022</v>
      </c>
    </row>
    <row r="67">
      <c r="A67" s="7">
        <f>IFERROR(__xludf.DUMMYFUNCTION("""COMPUTED_VALUE"""),45653.64583333333)</f>
        <v>45653.64583</v>
      </c>
      <c r="B67" s="6">
        <f>IFERROR(__xludf.DUMMYFUNCTION("""COMPUTED_VALUE"""),891.0)</f>
        <v>891</v>
      </c>
      <c r="C67" s="6">
        <f>IFERROR(__xludf.DUMMYFUNCTION("""COMPUTED_VALUE"""),906.0)</f>
        <v>906</v>
      </c>
      <c r="D67" s="6">
        <f>IFERROR(__xludf.DUMMYFUNCTION("""COMPUTED_VALUE"""),890.38)</f>
        <v>890.38</v>
      </c>
      <c r="E67" s="6">
        <f>IFERROR(__xludf.DUMMYFUNCTION("""COMPUTED_VALUE"""),899.13)</f>
        <v>899.13</v>
      </c>
      <c r="F67" s="6">
        <f>IFERROR(__xludf.DUMMYFUNCTION("""COMPUTED_VALUE"""),2.1635717E7)</f>
        <v>21635717</v>
      </c>
    </row>
    <row r="68">
      <c r="A68" s="7">
        <f>IFERROR(__xludf.DUMMYFUNCTION("""COMPUTED_VALUE"""),45660.64583333333)</f>
        <v>45660.64583</v>
      </c>
      <c r="B68" s="6">
        <f>IFERROR(__xludf.DUMMYFUNCTION("""COMPUTED_VALUE"""),896.1)</f>
        <v>896.1</v>
      </c>
      <c r="C68" s="6">
        <f>IFERROR(__xludf.DUMMYFUNCTION("""COMPUTED_VALUE"""),907.5)</f>
        <v>907.5</v>
      </c>
      <c r="D68" s="6">
        <f>IFERROR(__xludf.DUMMYFUNCTION("""COMPUTED_VALUE"""),873.15)</f>
        <v>873.15</v>
      </c>
      <c r="E68" s="6">
        <f>IFERROR(__xludf.DUMMYFUNCTION("""COMPUTED_VALUE"""),874.6)</f>
        <v>874.6</v>
      </c>
      <c r="F68" s="6">
        <f>IFERROR(__xludf.DUMMYFUNCTION("""COMPUTED_VALUE"""),4.3319015E7)</f>
        <v>43319015</v>
      </c>
    </row>
    <row r="69">
      <c r="A69" s="7">
        <f>IFERROR(__xludf.DUMMYFUNCTION("""COMPUTED_VALUE"""),45667.64583333333)</f>
        <v>45667.64583</v>
      </c>
      <c r="B69" s="6">
        <f>IFERROR(__xludf.DUMMYFUNCTION("""COMPUTED_VALUE"""),870.05)</f>
        <v>870.05</v>
      </c>
      <c r="C69" s="6">
        <f>IFERROR(__xludf.DUMMYFUNCTION("""COMPUTED_VALUE"""),878.6)</f>
        <v>878.6</v>
      </c>
      <c r="D69" s="6">
        <f>IFERROR(__xludf.DUMMYFUNCTION("""COMPUTED_VALUE"""),827.0)</f>
        <v>827</v>
      </c>
      <c r="E69" s="6">
        <f>IFERROR(__xludf.DUMMYFUNCTION("""COMPUTED_VALUE"""),828.38)</f>
        <v>828.38</v>
      </c>
      <c r="F69" s="6">
        <f>IFERROR(__xludf.DUMMYFUNCTION("""COMPUTED_VALUE"""),5.4977973E7)</f>
        <v>54977973</v>
      </c>
    </row>
    <row r="70">
      <c r="A70" s="7">
        <f>IFERROR(__xludf.DUMMYFUNCTION("""COMPUTED_VALUE"""),45674.64583333333)</f>
        <v>45674.64583</v>
      </c>
      <c r="B70" s="6">
        <f>IFERROR(__xludf.DUMMYFUNCTION("""COMPUTED_VALUE"""),820.0)</f>
        <v>820</v>
      </c>
      <c r="C70" s="6">
        <f>IFERROR(__xludf.DUMMYFUNCTION("""COMPUTED_VALUE"""),831.35)</f>
        <v>831.35</v>
      </c>
      <c r="D70" s="6">
        <f>IFERROR(__xludf.DUMMYFUNCTION("""COMPUTED_VALUE"""),812.15)</f>
        <v>812.15</v>
      </c>
      <c r="E70" s="6">
        <f>IFERROR(__xludf.DUMMYFUNCTION("""COMPUTED_VALUE"""),818.38)</f>
        <v>818.38</v>
      </c>
      <c r="F70" s="6">
        <f>IFERROR(__xludf.DUMMYFUNCTION("""COMPUTED_VALUE"""),5.333896E7)</f>
        <v>53338960</v>
      </c>
    </row>
    <row r="71">
      <c r="A71" s="7">
        <f>IFERROR(__xludf.DUMMYFUNCTION("""COMPUTED_VALUE"""),45681.64583333333)</f>
        <v>45681.64583</v>
      </c>
      <c r="B71" s="6">
        <f>IFERROR(__xludf.DUMMYFUNCTION("""COMPUTED_VALUE"""),813.0)</f>
        <v>813</v>
      </c>
      <c r="C71" s="6">
        <f>IFERROR(__xludf.DUMMYFUNCTION("""COMPUTED_VALUE"""),843.5)</f>
        <v>843.5</v>
      </c>
      <c r="D71" s="6">
        <f>IFERROR(__xludf.DUMMYFUNCTION("""COMPUTED_VALUE"""),812.73)</f>
        <v>812.73</v>
      </c>
      <c r="E71" s="6">
        <f>IFERROR(__xludf.DUMMYFUNCTION("""COMPUTED_VALUE"""),824.9)</f>
        <v>824.9</v>
      </c>
      <c r="F71" s="6">
        <f>IFERROR(__xludf.DUMMYFUNCTION("""COMPUTED_VALUE"""),6.9240213E7)</f>
        <v>69240213</v>
      </c>
    </row>
    <row r="72">
      <c r="A72" s="7">
        <f>IFERROR(__xludf.DUMMYFUNCTION("""COMPUTED_VALUE"""),45695.64583333333)</f>
        <v>45695.64583</v>
      </c>
      <c r="B72" s="6">
        <f>IFERROR(__xludf.DUMMYFUNCTION("""COMPUTED_VALUE"""),835.0)</f>
        <v>835</v>
      </c>
      <c r="C72" s="6">
        <f>IFERROR(__xludf.DUMMYFUNCTION("""COMPUTED_VALUE"""),883.5)</f>
        <v>883.5</v>
      </c>
      <c r="D72" s="6">
        <f>IFERROR(__xludf.DUMMYFUNCTION("""COMPUTED_VALUE"""),831.73)</f>
        <v>831.73</v>
      </c>
      <c r="E72" s="6">
        <f>IFERROR(__xludf.DUMMYFUNCTION("""COMPUTED_VALUE"""),866.38)</f>
        <v>866.38</v>
      </c>
      <c r="F72" s="6">
        <f>IFERROR(__xludf.DUMMYFUNCTION("""COMPUTED_VALUE"""),6.1419432E7)</f>
        <v>61419432</v>
      </c>
    </row>
    <row r="73">
      <c r="A73" s="7">
        <f>IFERROR(__xludf.DUMMYFUNCTION("""COMPUTED_VALUE"""),45702.64583333333)</f>
        <v>45702.64583</v>
      </c>
      <c r="B73" s="6">
        <f>IFERROR(__xludf.DUMMYFUNCTION("""COMPUTED_VALUE"""),858.65)</f>
        <v>858.65</v>
      </c>
      <c r="C73" s="6">
        <f>IFERROR(__xludf.DUMMYFUNCTION("""COMPUTED_VALUE"""),861.73)</f>
        <v>861.73</v>
      </c>
      <c r="D73" s="6">
        <f>IFERROR(__xludf.DUMMYFUNCTION("""COMPUTED_VALUE"""),840.0)</f>
        <v>840</v>
      </c>
      <c r="E73" s="6">
        <f>IFERROR(__xludf.DUMMYFUNCTION("""COMPUTED_VALUE"""),847.43)</f>
        <v>847.43</v>
      </c>
      <c r="F73" s="6">
        <f>IFERROR(__xludf.DUMMYFUNCTION("""COMPUTED_VALUE"""),4.7646275E7)</f>
        <v>47646275</v>
      </c>
    </row>
    <row r="74">
      <c r="A74" s="7">
        <f>IFERROR(__xludf.DUMMYFUNCTION("""COMPUTED_VALUE"""),45709.64583333333)</f>
        <v>45709.64583</v>
      </c>
      <c r="B74" s="6">
        <f>IFERROR(__xludf.DUMMYFUNCTION("""COMPUTED_VALUE"""),842.6)</f>
        <v>842.6</v>
      </c>
      <c r="C74" s="6">
        <f>IFERROR(__xludf.DUMMYFUNCTION("""COMPUTED_VALUE"""),868.95)</f>
        <v>868.95</v>
      </c>
      <c r="D74" s="6">
        <f>IFERROR(__xludf.DUMMYFUNCTION("""COMPUTED_VALUE"""),838.63)</f>
        <v>838.63</v>
      </c>
      <c r="E74" s="6">
        <f>IFERROR(__xludf.DUMMYFUNCTION("""COMPUTED_VALUE"""),846.25)</f>
        <v>846.25</v>
      </c>
      <c r="F74" s="6">
        <f>IFERROR(__xludf.DUMMYFUNCTION("""COMPUTED_VALUE"""),4.1622709E7)</f>
        <v>41622709</v>
      </c>
    </row>
    <row r="75">
      <c r="A75" s="7">
        <f>IFERROR(__xludf.DUMMYFUNCTION("""COMPUTED_VALUE"""),45716.64583333333)</f>
        <v>45716.64583</v>
      </c>
      <c r="B75" s="6">
        <f>IFERROR(__xludf.DUMMYFUNCTION("""COMPUTED_VALUE"""),840.55)</f>
        <v>840.55</v>
      </c>
      <c r="C75" s="6">
        <f>IFERROR(__xludf.DUMMYFUNCTION("""COMPUTED_VALUE"""),868.63)</f>
        <v>868.63</v>
      </c>
      <c r="D75" s="6">
        <f>IFERROR(__xludf.DUMMYFUNCTION("""COMPUTED_VALUE"""),830.55)</f>
        <v>830.55</v>
      </c>
      <c r="E75" s="6">
        <f>IFERROR(__xludf.DUMMYFUNCTION("""COMPUTED_VALUE"""),866.2)</f>
        <v>866.2</v>
      </c>
      <c r="F75" s="6">
        <f>IFERROR(__xludf.DUMMYFUNCTION("""COMPUTED_VALUE"""),6.7567941E7)</f>
        <v>67567941</v>
      </c>
    </row>
    <row r="76">
      <c r="A76" s="7">
        <f>IFERROR(__xludf.DUMMYFUNCTION("""COMPUTED_VALUE"""),45723.64583333333)</f>
        <v>45723.64583</v>
      </c>
      <c r="B76" s="6">
        <f>IFERROR(__xludf.DUMMYFUNCTION("""COMPUTED_VALUE"""),869.9)</f>
        <v>869.9</v>
      </c>
      <c r="C76" s="6">
        <f>IFERROR(__xludf.DUMMYFUNCTION("""COMPUTED_VALUE"""),871.53)</f>
        <v>871.53</v>
      </c>
      <c r="D76" s="6">
        <f>IFERROR(__xludf.DUMMYFUNCTION("""COMPUTED_VALUE"""),836.13)</f>
        <v>836.13</v>
      </c>
      <c r="E76" s="6">
        <f>IFERROR(__xludf.DUMMYFUNCTION("""COMPUTED_VALUE"""),844.63)</f>
        <v>844.63</v>
      </c>
      <c r="F76" s="6">
        <f>IFERROR(__xludf.DUMMYFUNCTION("""COMPUTED_VALUE"""),5.4524598E7)</f>
        <v>54524598</v>
      </c>
    </row>
    <row r="77">
      <c r="A77" s="7">
        <f>IFERROR(__xludf.DUMMYFUNCTION("""COMPUTED_VALUE"""),45729.64583333333)</f>
        <v>45729.64583</v>
      </c>
      <c r="B77" s="6">
        <f>IFERROR(__xludf.DUMMYFUNCTION("""COMPUTED_VALUE"""),844.5)</f>
        <v>844.5</v>
      </c>
      <c r="C77" s="6">
        <f>IFERROR(__xludf.DUMMYFUNCTION("""COMPUTED_VALUE"""),860.4)</f>
        <v>860.4</v>
      </c>
      <c r="D77" s="6">
        <f>IFERROR(__xludf.DUMMYFUNCTION("""COMPUTED_VALUE"""),835.03)</f>
        <v>835.03</v>
      </c>
      <c r="E77" s="6">
        <f>IFERROR(__xludf.DUMMYFUNCTION("""COMPUTED_VALUE"""),853.3)</f>
        <v>853.3</v>
      </c>
      <c r="F77" s="6">
        <f>IFERROR(__xludf.DUMMYFUNCTION("""COMPUTED_VALUE"""),3.5011425E7)</f>
        <v>35011425</v>
      </c>
    </row>
    <row r="78">
      <c r="A78" s="7">
        <f>IFERROR(__xludf.DUMMYFUNCTION("""COMPUTED_VALUE"""),45737.64583333333)</f>
        <v>45737.64583</v>
      </c>
      <c r="B78" s="6">
        <f>IFERROR(__xludf.DUMMYFUNCTION("""COMPUTED_VALUE"""),852.5)</f>
        <v>852.5</v>
      </c>
      <c r="C78" s="6">
        <f>IFERROR(__xludf.DUMMYFUNCTION("""COMPUTED_VALUE"""),887.05)</f>
        <v>887.05</v>
      </c>
      <c r="D78" s="6">
        <f>IFERROR(__xludf.DUMMYFUNCTION("""COMPUTED_VALUE"""),852.5)</f>
        <v>852.5</v>
      </c>
      <c r="E78" s="6">
        <f>IFERROR(__xludf.DUMMYFUNCTION("""COMPUTED_VALUE"""),885.18)</f>
        <v>885.18</v>
      </c>
      <c r="F78" s="6">
        <f>IFERROR(__xludf.DUMMYFUNCTION("""COMPUTED_VALUE"""),5.371137E7)</f>
        <v>53711370</v>
      </c>
    </row>
    <row r="79">
      <c r="A79" s="7">
        <f>IFERROR(__xludf.DUMMYFUNCTION("""COMPUTED_VALUE"""),45744.64583333333)</f>
        <v>45744.64583</v>
      </c>
      <c r="B79" s="6">
        <f>IFERROR(__xludf.DUMMYFUNCTION("""COMPUTED_VALUE"""),889.5)</f>
        <v>889.5</v>
      </c>
      <c r="C79" s="6">
        <f>IFERROR(__xludf.DUMMYFUNCTION("""COMPUTED_VALUE"""),921.85)</f>
        <v>921.85</v>
      </c>
      <c r="D79" s="6">
        <f>IFERROR(__xludf.DUMMYFUNCTION("""COMPUTED_VALUE"""),886.83)</f>
        <v>886.83</v>
      </c>
      <c r="E79" s="6">
        <f>IFERROR(__xludf.DUMMYFUNCTION("""COMPUTED_VALUE"""),914.1)</f>
        <v>914.1</v>
      </c>
      <c r="F79" s="6">
        <f>IFERROR(__xludf.DUMMYFUNCTION("""COMPUTED_VALUE"""),7.5702671E7)</f>
        <v>75702671</v>
      </c>
    </row>
    <row r="80">
      <c r="A80" s="7">
        <f>IFERROR(__xludf.DUMMYFUNCTION("""COMPUTED_VALUE"""),45751.64583333333)</f>
        <v>45751.64583</v>
      </c>
      <c r="B80" s="6">
        <f>IFERROR(__xludf.DUMMYFUNCTION("""COMPUTED_VALUE"""),901.0)</f>
        <v>901</v>
      </c>
      <c r="C80" s="6">
        <f>IFERROR(__xludf.DUMMYFUNCTION("""COMPUTED_VALUE"""),920.98)</f>
        <v>920.98</v>
      </c>
      <c r="D80" s="6">
        <f>IFERROR(__xludf.DUMMYFUNCTION("""COMPUTED_VALUE"""),882.68)</f>
        <v>882.68</v>
      </c>
      <c r="E80" s="6">
        <f>IFERROR(__xludf.DUMMYFUNCTION("""COMPUTED_VALUE"""),908.65)</f>
        <v>908.65</v>
      </c>
      <c r="F80" s="6">
        <f>IFERROR(__xludf.DUMMYFUNCTION("""COMPUTED_VALUE"""),4.2437531E7)</f>
        <v>42437531</v>
      </c>
    </row>
    <row r="81">
      <c r="A81" s="7">
        <f>IFERROR(__xludf.DUMMYFUNCTION("""COMPUTED_VALUE"""),45758.64583333333)</f>
        <v>45758.64583</v>
      </c>
      <c r="B81" s="6">
        <f>IFERROR(__xludf.DUMMYFUNCTION("""COMPUTED_VALUE"""),881.4)</f>
        <v>881.4</v>
      </c>
      <c r="C81" s="6">
        <f>IFERROR(__xludf.DUMMYFUNCTION("""COMPUTED_VALUE"""),909.7)</f>
        <v>909.7</v>
      </c>
      <c r="D81" s="6">
        <f>IFERROR(__xludf.DUMMYFUNCTION("""COMPUTED_VALUE"""),869.1)</f>
        <v>869.1</v>
      </c>
      <c r="E81" s="6">
        <f>IFERROR(__xludf.DUMMYFUNCTION("""COMPUTED_VALUE"""),903.38)</f>
        <v>903.38</v>
      </c>
      <c r="F81" s="6">
        <f>IFERROR(__xludf.DUMMYFUNCTION("""COMPUTED_VALUE"""),6.4394848E7)</f>
        <v>64394848</v>
      </c>
    </row>
    <row r="82">
      <c r="A82" s="7">
        <f>IFERROR(__xludf.DUMMYFUNCTION("""COMPUTED_VALUE"""),45764.64583333333)</f>
        <v>45764.64583</v>
      </c>
      <c r="B82" s="6">
        <f>IFERROR(__xludf.DUMMYFUNCTION("""COMPUTED_VALUE"""),932.5)</f>
        <v>932.5</v>
      </c>
      <c r="C82" s="6">
        <f>IFERROR(__xludf.DUMMYFUNCTION("""COMPUTED_VALUE"""),959.85)</f>
        <v>959.85</v>
      </c>
      <c r="D82" s="6">
        <f>IFERROR(__xludf.DUMMYFUNCTION("""COMPUTED_VALUE"""),927.5)</f>
        <v>927.5</v>
      </c>
      <c r="E82" s="6">
        <f>IFERROR(__xludf.DUMMYFUNCTION("""COMPUTED_VALUE"""),953.35)</f>
        <v>953.35</v>
      </c>
      <c r="F82" s="6">
        <f>IFERROR(__xludf.DUMMYFUNCTION("""COMPUTED_VALUE"""),5.2069124E7)</f>
        <v>52069124</v>
      </c>
    </row>
    <row r="83">
      <c r="A83" s="7">
        <f>IFERROR(__xludf.DUMMYFUNCTION("""COMPUTED_VALUE"""),45772.64583333333)</f>
        <v>45772.64583</v>
      </c>
      <c r="B83" s="6">
        <f>IFERROR(__xludf.DUMMYFUNCTION("""COMPUTED_VALUE"""),962.0)</f>
        <v>962</v>
      </c>
      <c r="C83" s="6">
        <f>IFERROR(__xludf.DUMMYFUNCTION("""COMPUTED_VALUE"""),989.45)</f>
        <v>989.45</v>
      </c>
      <c r="D83" s="6">
        <f>IFERROR(__xludf.DUMMYFUNCTION("""COMPUTED_VALUE"""),945.9)</f>
        <v>945.9</v>
      </c>
      <c r="E83" s="6">
        <f>IFERROR(__xludf.DUMMYFUNCTION("""COMPUTED_VALUE"""),955.6)</f>
        <v>955.6</v>
      </c>
      <c r="F83" s="6">
        <f>IFERROR(__xludf.DUMMYFUNCTION("""COMPUTED_VALUE"""),7.7606161E7)</f>
        <v>77606161</v>
      </c>
    </row>
    <row r="84">
      <c r="A84" s="7">
        <f>IFERROR(__xludf.DUMMYFUNCTION("""COMPUTED_VALUE"""),45779.64583333333)</f>
        <v>45779.64583</v>
      </c>
      <c r="B84" s="6">
        <f>IFERROR(__xludf.DUMMYFUNCTION("""COMPUTED_VALUE"""),955.6)</f>
        <v>955.6</v>
      </c>
      <c r="C84" s="6">
        <f>IFERROR(__xludf.DUMMYFUNCTION("""COMPUTED_VALUE"""),970.95)</f>
        <v>970.95</v>
      </c>
      <c r="D84" s="6">
        <f>IFERROR(__xludf.DUMMYFUNCTION("""COMPUTED_VALUE"""),950.1)</f>
        <v>950.1</v>
      </c>
      <c r="E84" s="6">
        <f>IFERROR(__xludf.DUMMYFUNCTION("""COMPUTED_VALUE"""),962.5)</f>
        <v>962.5</v>
      </c>
      <c r="F84" s="6">
        <f>IFERROR(__xludf.DUMMYFUNCTION("""COMPUTED_VALUE"""),4.1308037E7)</f>
        <v>41308037</v>
      </c>
    </row>
    <row r="85">
      <c r="A85" s="7">
        <f>IFERROR(__xludf.DUMMYFUNCTION("""COMPUTED_VALUE"""),45786.64583333333)</f>
        <v>45786.64583</v>
      </c>
      <c r="B85" s="6">
        <f>IFERROR(__xludf.DUMMYFUNCTION("""COMPUTED_VALUE"""),969.5)</f>
        <v>969.5</v>
      </c>
      <c r="C85" s="6">
        <f>IFERROR(__xludf.DUMMYFUNCTION("""COMPUTED_VALUE"""),977.4)</f>
        <v>977.4</v>
      </c>
      <c r="D85" s="6">
        <f>IFERROR(__xludf.DUMMYFUNCTION("""COMPUTED_VALUE"""),943.4)</f>
        <v>943.4</v>
      </c>
      <c r="E85" s="6">
        <f>IFERROR(__xludf.DUMMYFUNCTION("""COMPUTED_VALUE"""),944.85)</f>
        <v>944.85</v>
      </c>
      <c r="F85" s="6">
        <f>IFERROR(__xludf.DUMMYFUNCTION("""COMPUTED_VALUE"""),5.2985592E7)</f>
        <v>52985592</v>
      </c>
    </row>
    <row r="86">
      <c r="A86" s="7">
        <f>IFERROR(__xludf.DUMMYFUNCTION("""COMPUTED_VALUE"""),45793.64583333333)</f>
        <v>45793.64583</v>
      </c>
      <c r="B86" s="6">
        <f>IFERROR(__xludf.DUMMYFUNCTION("""COMPUTED_VALUE"""),958.8)</f>
        <v>958.8</v>
      </c>
      <c r="C86" s="6">
        <f>IFERROR(__xludf.DUMMYFUNCTION("""COMPUTED_VALUE"""),980.85)</f>
        <v>980.85</v>
      </c>
      <c r="D86" s="6">
        <f>IFERROR(__xludf.DUMMYFUNCTION("""COMPUTED_VALUE"""),948.5)</f>
        <v>948.5</v>
      </c>
      <c r="E86" s="6">
        <f>IFERROR(__xludf.DUMMYFUNCTION("""COMPUTED_VALUE"""),967.35)</f>
        <v>967.35</v>
      </c>
      <c r="F86" s="6">
        <f>IFERROR(__xludf.DUMMYFUNCTION("""COMPUTED_VALUE"""),5.3207925E7)</f>
        <v>53207925</v>
      </c>
    </row>
    <row r="87">
      <c r="A87" s="7">
        <f>IFERROR(__xludf.DUMMYFUNCTION("""COMPUTED_VALUE"""),45800.64583333333)</f>
        <v>45800.64583</v>
      </c>
      <c r="B87" s="6">
        <f>IFERROR(__xludf.DUMMYFUNCTION("""COMPUTED_VALUE"""),968.5)</f>
        <v>968.5</v>
      </c>
      <c r="C87" s="6">
        <f>IFERROR(__xludf.DUMMYFUNCTION("""COMPUTED_VALUE"""),973.45)</f>
        <v>973.45</v>
      </c>
      <c r="D87" s="6">
        <f>IFERROR(__xludf.DUMMYFUNCTION("""COMPUTED_VALUE"""),952.6)</f>
        <v>952.6</v>
      </c>
      <c r="E87" s="6">
        <f>IFERROR(__xludf.DUMMYFUNCTION("""COMPUTED_VALUE"""),966.8)</f>
        <v>966.8</v>
      </c>
      <c r="F87" s="6">
        <f>IFERROR(__xludf.DUMMYFUNCTION("""COMPUTED_VALUE"""),4.0043418E7)</f>
        <v>40043418</v>
      </c>
    </row>
    <row r="88">
      <c r="A88" s="7">
        <f>IFERROR(__xludf.DUMMYFUNCTION("""COMPUTED_VALUE"""),45807.64583333333)</f>
        <v>45807.64583</v>
      </c>
      <c r="B88" s="6">
        <f>IFERROR(__xludf.DUMMYFUNCTION("""COMPUTED_VALUE"""),967.5)</f>
        <v>967.5</v>
      </c>
      <c r="C88" s="6">
        <f>IFERROR(__xludf.DUMMYFUNCTION("""COMPUTED_VALUE"""),974.95)</f>
        <v>974.95</v>
      </c>
      <c r="D88" s="6">
        <f>IFERROR(__xludf.DUMMYFUNCTION("""COMPUTED_VALUE"""),953.65)</f>
        <v>953.65</v>
      </c>
      <c r="E88" s="6">
        <f>IFERROR(__xludf.DUMMYFUNCTION("""COMPUTED_VALUE"""),972.45)</f>
        <v>972.45</v>
      </c>
      <c r="F88" s="6">
        <f>IFERROR(__xludf.DUMMYFUNCTION("""COMPUTED_VALUE"""),5.6394237E7)</f>
        <v>56394237</v>
      </c>
    </row>
    <row r="89">
      <c r="A89" s="7">
        <f>IFERROR(__xludf.DUMMYFUNCTION("""COMPUTED_VALUE"""),45814.64583333333)</f>
        <v>45814.64583</v>
      </c>
      <c r="B89" s="6">
        <f>IFERROR(__xludf.DUMMYFUNCTION("""COMPUTED_VALUE"""),965.05)</f>
        <v>965.05</v>
      </c>
      <c r="C89" s="6">
        <f>IFERROR(__xludf.DUMMYFUNCTION("""COMPUTED_VALUE"""),998.15)</f>
        <v>998.15</v>
      </c>
      <c r="D89" s="6">
        <f>IFERROR(__xludf.DUMMYFUNCTION("""COMPUTED_VALUE"""),954.0)</f>
        <v>954</v>
      </c>
      <c r="E89" s="6">
        <f>IFERROR(__xludf.DUMMYFUNCTION("""COMPUTED_VALUE"""),989.35)</f>
        <v>989.35</v>
      </c>
      <c r="F89" s="6">
        <f>IFERROR(__xludf.DUMMYFUNCTION("""COMPUTED_VALUE"""),5.2195187E7)</f>
        <v>52195187</v>
      </c>
    </row>
    <row r="90">
      <c r="A90" s="7">
        <f>IFERROR(__xludf.DUMMYFUNCTION("""COMPUTED_VALUE"""),45821.64583333333)</f>
        <v>45821.64583</v>
      </c>
      <c r="B90" s="6">
        <f>IFERROR(__xludf.DUMMYFUNCTION("""COMPUTED_VALUE"""),997.5)</f>
        <v>997.5</v>
      </c>
      <c r="C90" s="6">
        <f>IFERROR(__xludf.DUMMYFUNCTION("""COMPUTED_VALUE"""),997.5)</f>
        <v>997.5</v>
      </c>
      <c r="D90" s="6">
        <f>IFERROR(__xludf.DUMMYFUNCTION("""COMPUTED_VALUE"""),956.5)</f>
        <v>956.5</v>
      </c>
      <c r="E90" s="6">
        <f>IFERROR(__xludf.DUMMYFUNCTION("""COMPUTED_VALUE"""),958.8)</f>
        <v>958.8</v>
      </c>
      <c r="F90" s="6">
        <f>IFERROR(__xludf.DUMMYFUNCTION("""COMPUTED_VALUE"""),3.41495E7)</f>
        <v>34149500</v>
      </c>
    </row>
    <row r="91">
      <c r="A91" s="7">
        <f>IFERROR(__xludf.DUMMYFUNCTION("""COMPUTED_VALUE"""),45828.64583333333)</f>
        <v>45828.64583</v>
      </c>
      <c r="B91" s="6">
        <f>IFERROR(__xludf.DUMMYFUNCTION("""COMPUTED_VALUE"""),962.0)</f>
        <v>962</v>
      </c>
      <c r="C91" s="6">
        <f>IFERROR(__xludf.DUMMYFUNCTION("""COMPUTED_VALUE"""),984.95)</f>
        <v>984.95</v>
      </c>
      <c r="D91" s="6">
        <f>IFERROR(__xludf.DUMMYFUNCTION("""COMPUTED_VALUE"""),958.5)</f>
        <v>958.5</v>
      </c>
      <c r="E91" s="6">
        <f>IFERROR(__xludf.DUMMYFUNCTION("""COMPUTED_VALUE"""),982.35)</f>
        <v>982.35</v>
      </c>
      <c r="F91" s="6">
        <f>IFERROR(__xludf.DUMMYFUNCTION("""COMPUTED_VALUE"""),5.0851463E7)</f>
        <v>50851463</v>
      </c>
    </row>
    <row r="92">
      <c r="A92" s="7">
        <f>IFERROR(__xludf.DUMMYFUNCTION("""COMPUTED_VALUE"""),45835.64583333333)</f>
        <v>45835.64583</v>
      </c>
      <c r="B92" s="6">
        <f>IFERROR(__xludf.DUMMYFUNCTION("""COMPUTED_VALUE"""),974.2)</f>
        <v>974.2</v>
      </c>
      <c r="C92" s="6">
        <f>IFERROR(__xludf.DUMMYFUNCTION("""COMPUTED_VALUE"""),1013.55)</f>
        <v>1013.55</v>
      </c>
      <c r="D92" s="6">
        <f>IFERROR(__xludf.DUMMYFUNCTION("""COMPUTED_VALUE"""),970.9)</f>
        <v>970.9</v>
      </c>
      <c r="E92" s="6">
        <f>IFERROR(__xludf.DUMMYFUNCTION("""COMPUTED_VALUE"""),1007.45)</f>
        <v>1007.45</v>
      </c>
      <c r="F92" s="6">
        <f>IFERROR(__xludf.DUMMYFUNCTION("""COMPUTED_VALUE"""),6.5534493E7)</f>
        <v>65534493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IFERROR(__xludf.DUMMYFUNCTION("""COMPUTED_VALUE"""),1005.75)</f>
        <v>1005.75</v>
      </c>
      <c r="C93" s="6">
        <f>IFERROR(__xludf.DUMMYFUNCTION("""COMPUTED_VALUE"""),1009.95)</f>
        <v>1009.95</v>
      </c>
      <c r="D93" s="6">
        <f>IFERROR(__xludf.DUMMYFUNCTION("""COMPUTED_VALUE"""),988.95)</f>
        <v>988.95</v>
      </c>
      <c r="E93" s="6">
        <f>IFERROR(__xludf.DUMMYFUNCTION("""COMPUTED_VALUE"""),994.65)</f>
        <v>994.65</v>
      </c>
      <c r="F93" s="6">
        <f>IFERROR(__xludf.DUMMYFUNCTION("""COMPUTED_VALUE"""),3.5820553E7)</f>
        <v>35820553</v>
      </c>
    </row>
    <row r="94">
      <c r="A94" s="7">
        <f>IFERROR(__xludf.DUMMYFUNCTION("""COMPUTED_VALUE"""),45849.64583333333)</f>
        <v>45849.64583</v>
      </c>
      <c r="B94" s="6">
        <f>IFERROR(__xludf.DUMMYFUNCTION("""COMPUTED_VALUE"""),994.5)</f>
        <v>994.5</v>
      </c>
      <c r="C94" s="6">
        <f>IFERROR(__xludf.DUMMYFUNCTION("""COMPUTED_VALUE"""),1008.5)</f>
        <v>1008.5</v>
      </c>
      <c r="D94" s="6">
        <f>IFERROR(__xludf.DUMMYFUNCTION("""COMPUTED_VALUE"""),988.5)</f>
        <v>988.5</v>
      </c>
      <c r="E94" s="6">
        <f>IFERROR(__xludf.DUMMYFUNCTION("""COMPUTED_VALUE"""),991.85)</f>
        <v>991.85</v>
      </c>
      <c r="F94" s="6">
        <f>IFERROR(__xludf.DUMMYFUNCTION("""COMPUTED_VALUE"""),3.4991201E7)</f>
        <v>34991201</v>
      </c>
    </row>
    <row r="95">
      <c r="A95" s="7">
        <f>IFERROR(__xludf.DUMMYFUNCTION("""COMPUTED_VALUE"""),45856.64583333333)</f>
        <v>45856.64583</v>
      </c>
      <c r="B95" s="6">
        <f>IFERROR(__xludf.DUMMYFUNCTION("""COMPUTED_VALUE"""),991.5)</f>
        <v>991.5</v>
      </c>
      <c r="C95" s="6">
        <f>IFERROR(__xludf.DUMMYFUNCTION("""COMPUTED_VALUE"""),1011.35)</f>
        <v>1011.35</v>
      </c>
      <c r="D95" s="6">
        <f>IFERROR(__xludf.DUMMYFUNCTION("""COMPUTED_VALUE"""),976.5)</f>
        <v>976.5</v>
      </c>
      <c r="E95" s="6">
        <f>IFERROR(__xludf.DUMMYFUNCTION("""COMPUTED_VALUE"""),978.7)</f>
        <v>978.7</v>
      </c>
      <c r="F95" s="6">
        <f>IFERROR(__xludf.DUMMYFUNCTION("""COMPUTED_VALUE"""),4.2120117E7)</f>
        <v>42120117</v>
      </c>
    </row>
    <row r="96">
      <c r="A96" s="7">
        <f>IFERROR(__xludf.DUMMYFUNCTION("""COMPUTED_VALUE"""),45863.64583333333)</f>
        <v>45863.64583</v>
      </c>
      <c r="B96" s="6">
        <f>IFERROR(__xludf.DUMMYFUNCTION("""COMPUTED_VALUE"""),989.1)</f>
        <v>989.1</v>
      </c>
      <c r="C96" s="6">
        <f>IFERROR(__xludf.DUMMYFUNCTION("""COMPUTED_VALUE"""),1018.85)</f>
        <v>1018.85</v>
      </c>
      <c r="D96" s="6">
        <f>IFERROR(__xludf.DUMMYFUNCTION("""COMPUTED_VALUE"""),988.25)</f>
        <v>988.25</v>
      </c>
      <c r="E96" s="6">
        <f>IFERROR(__xludf.DUMMYFUNCTION("""COMPUTED_VALUE"""),1002.3)</f>
        <v>1002.3</v>
      </c>
      <c r="F96" s="6">
        <f>IFERROR(__xludf.DUMMYFUNCTION("""COMPUTED_VALUE"""),3.9597291E7)</f>
        <v>39597291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IFERROR(__xludf.DUMMYFUNCTION("""COMPUTED_VALUE"""),1001.5)</f>
        <v>1001.5</v>
      </c>
      <c r="C97" s="6">
        <f>IFERROR(__xludf.DUMMYFUNCTION("""COMPUTED_VALUE"""),1016.3)</f>
        <v>1016.3</v>
      </c>
      <c r="D97" s="6">
        <f>IFERROR(__xludf.DUMMYFUNCTION("""COMPUTED_VALUE"""),998.15)</f>
        <v>998.15</v>
      </c>
      <c r="E97" s="6">
        <f>IFERROR(__xludf.DUMMYFUNCTION("""COMPUTED_VALUE"""),1006.1)</f>
        <v>1006.1</v>
      </c>
      <c r="F97" s="6">
        <f>IFERROR(__xludf.DUMMYFUNCTION("""COMPUTED_VALUE"""),4.0304801E7)</f>
        <v>40304801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IFERROR(__xludf.DUMMYFUNCTION("""COMPUTED_VALUE"""),1005.05)</f>
        <v>1005.05</v>
      </c>
      <c r="C98" s="6">
        <f>IFERROR(__xludf.DUMMYFUNCTION("""COMPUTED_VALUE"""),1009.25)</f>
        <v>1009.25</v>
      </c>
      <c r="D98" s="6">
        <f>IFERROR(__xludf.DUMMYFUNCTION("""COMPUTED_VALUE"""),982.75)</f>
        <v>982.75</v>
      </c>
      <c r="E98" s="6">
        <f>IFERROR(__xludf.DUMMYFUNCTION("""COMPUTED_VALUE"""),986.95)</f>
        <v>986.95</v>
      </c>
      <c r="F98" s="6">
        <f>IFERROR(__xludf.DUMMYFUNCTION("""COMPUTED_VALUE"""),3.9484329E7)</f>
        <v>39484329</v>
      </c>
    </row>
    <row r="99">
      <c r="A99" s="7">
        <f>IFERROR(__xludf.DUMMYFUNCTION("""COMPUTED_VALUE"""),45883.64583333333)</f>
        <v>45883.64583</v>
      </c>
      <c r="B99" s="6">
        <f>IFERROR(__xludf.DUMMYFUNCTION("""COMPUTED_VALUE"""),987.95)</f>
        <v>987.95</v>
      </c>
      <c r="C99" s="6">
        <f>IFERROR(__xludf.DUMMYFUNCTION("""COMPUTED_VALUE"""),998.8)</f>
        <v>998.8</v>
      </c>
      <c r="D99" s="6">
        <f>IFERROR(__xludf.DUMMYFUNCTION("""COMPUTED_VALUE"""),983.75)</f>
        <v>983.75</v>
      </c>
      <c r="E99" s="6">
        <f>IFERROR(__xludf.DUMMYFUNCTION("""COMPUTED_VALUE"""),995.55)</f>
        <v>995.55</v>
      </c>
      <c r="F99" s="6">
        <f>IFERROR(__xludf.DUMMYFUNCTION("""COMPUTED_VALUE"""),2.6566384E7)</f>
        <v>26566384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IFERROR(__xludf.DUMMYFUNCTION("""COMPUTED_VALUE"""),1005.0)</f>
        <v>1005</v>
      </c>
      <c r="C100" s="6">
        <f>IFERROR(__xludf.DUMMYFUNCTION("""COMPUTED_VALUE"""),1013.3)</f>
        <v>1013.3</v>
      </c>
      <c r="D100" s="6">
        <f>IFERROR(__xludf.DUMMYFUNCTION("""COMPUTED_VALUE"""),978.55)</f>
        <v>978.55</v>
      </c>
      <c r="E100" s="6">
        <f>IFERROR(__xludf.DUMMYFUNCTION("""COMPUTED_VALUE"""),982.3)</f>
        <v>982.3</v>
      </c>
      <c r="F100" s="6">
        <f>IFERROR(__xludf.DUMMYFUNCTION("""COMPUTED_VALUE"""),3.6930407E7)</f>
        <v>36930407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IFERROR(__xludf.DUMMYFUNCTION("""COMPUTED_VALUE"""),1960.2)</f>
        <v>1960.2</v>
      </c>
      <c r="C101" s="6">
        <f>IFERROR(__xludf.DUMMYFUNCTION("""COMPUTED_VALUE"""),1977.4)</f>
        <v>1977.4</v>
      </c>
      <c r="D101" s="6">
        <f>IFERROR(__xludf.DUMMYFUNCTION("""COMPUTED_VALUE"""),968.0)</f>
        <v>968</v>
      </c>
      <c r="E101" s="6">
        <f>IFERROR(__xludf.DUMMYFUNCTION("""COMPUTED_VALUE"""),973.4)</f>
        <v>973.4</v>
      </c>
      <c r="F101" s="6">
        <f>IFERROR(__xludf.DUMMYFUNCTION("""COMPUTED_VALUE"""),1.7277911E8)</f>
        <v>172779110</v>
      </c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IFERROR(__xludf.DUMMYFUNCTION("GOOGLEFINANCE(""NSE:HDFCLIFE"",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IFERROR(__xludf.DUMMYFUNCTION("""COMPUTED_VALUE"""),629.0)</f>
        <v>629</v>
      </c>
      <c r="C2" s="6">
        <f>IFERROR(__xludf.DUMMYFUNCTION("""COMPUTED_VALUE"""),648.0)</f>
        <v>648</v>
      </c>
      <c r="D2" s="6">
        <f>IFERROR(__xludf.DUMMYFUNCTION("""COMPUTED_VALUE"""),624.65)</f>
        <v>624.65</v>
      </c>
      <c r="E2" s="6">
        <f>IFERROR(__xludf.DUMMYFUNCTION("""COMPUTED_VALUE"""),641.35)</f>
        <v>641.35</v>
      </c>
      <c r="F2" s="6">
        <f>IFERROR(__xludf.DUMMYFUNCTION("""COMPUTED_VALUE"""),1.379241E7)</f>
        <v>13792410</v>
      </c>
    </row>
    <row r="3">
      <c r="A3" s="7">
        <f>IFERROR(__xludf.DUMMYFUNCTION("""COMPUTED_VALUE"""),45177.64583333333)</f>
        <v>45177.64583</v>
      </c>
      <c r="B3" s="6">
        <f>IFERROR(__xludf.DUMMYFUNCTION("""COMPUTED_VALUE"""),645.0)</f>
        <v>645</v>
      </c>
      <c r="C3" s="6">
        <f>IFERROR(__xludf.DUMMYFUNCTION("""COMPUTED_VALUE"""),660.8)</f>
        <v>660.8</v>
      </c>
      <c r="D3" s="6">
        <f>IFERROR(__xludf.DUMMYFUNCTION("""COMPUTED_VALUE"""),634.0)</f>
        <v>634</v>
      </c>
      <c r="E3" s="6">
        <f>IFERROR(__xludf.DUMMYFUNCTION("""COMPUTED_VALUE"""),657.45)</f>
        <v>657.45</v>
      </c>
      <c r="F3" s="6">
        <f>IFERROR(__xludf.DUMMYFUNCTION("""COMPUTED_VALUE"""),1.2085552E7)</f>
        <v>12085552</v>
      </c>
    </row>
    <row r="4">
      <c r="A4" s="7">
        <f>IFERROR(__xludf.DUMMYFUNCTION("""COMPUTED_VALUE"""),45184.64583333333)</f>
        <v>45184.64583</v>
      </c>
      <c r="B4" s="6">
        <f>IFERROR(__xludf.DUMMYFUNCTION("""COMPUTED_VALUE"""),658.0)</f>
        <v>658</v>
      </c>
      <c r="C4" s="6">
        <f>IFERROR(__xludf.DUMMYFUNCTION("""COMPUTED_VALUE"""),677.55)</f>
        <v>677.55</v>
      </c>
      <c r="D4" s="6">
        <f>IFERROR(__xludf.DUMMYFUNCTION("""COMPUTED_VALUE"""),640.3)</f>
        <v>640.3</v>
      </c>
      <c r="E4" s="6">
        <f>IFERROR(__xludf.DUMMYFUNCTION("""COMPUTED_VALUE"""),644.9)</f>
        <v>644.9</v>
      </c>
      <c r="F4" s="6">
        <f>IFERROR(__xludf.DUMMYFUNCTION("""COMPUTED_VALUE"""),2.3132061E7)</f>
        <v>23132061</v>
      </c>
    </row>
    <row r="5">
      <c r="A5" s="7">
        <f>IFERROR(__xludf.DUMMYFUNCTION("""COMPUTED_VALUE"""),45191.64583333333)</f>
        <v>45191.64583</v>
      </c>
      <c r="B5" s="6">
        <f>IFERROR(__xludf.DUMMYFUNCTION("""COMPUTED_VALUE"""),644.7)</f>
        <v>644.7</v>
      </c>
      <c r="C5" s="6">
        <f>IFERROR(__xludf.DUMMYFUNCTION("""COMPUTED_VALUE"""),665.55)</f>
        <v>665.55</v>
      </c>
      <c r="D5" s="6">
        <f>IFERROR(__xludf.DUMMYFUNCTION("""COMPUTED_VALUE"""),641.4)</f>
        <v>641.4</v>
      </c>
      <c r="E5" s="6">
        <f>IFERROR(__xludf.DUMMYFUNCTION("""COMPUTED_VALUE"""),649.45)</f>
        <v>649.45</v>
      </c>
      <c r="F5" s="6">
        <f>IFERROR(__xludf.DUMMYFUNCTION("""COMPUTED_VALUE"""),9955396.0)</f>
        <v>9955396</v>
      </c>
    </row>
    <row r="6">
      <c r="A6" s="7">
        <f>IFERROR(__xludf.DUMMYFUNCTION("""COMPUTED_VALUE"""),45198.64583333333)</f>
        <v>45198.64583</v>
      </c>
      <c r="B6" s="6">
        <f>IFERROR(__xludf.DUMMYFUNCTION("""COMPUTED_VALUE"""),652.2)</f>
        <v>652.2</v>
      </c>
      <c r="C6" s="6">
        <f>IFERROR(__xludf.DUMMYFUNCTION("""COMPUTED_VALUE"""),653.0)</f>
        <v>653</v>
      </c>
      <c r="D6" s="6">
        <f>IFERROR(__xludf.DUMMYFUNCTION("""COMPUTED_VALUE"""),630.65)</f>
        <v>630.65</v>
      </c>
      <c r="E6" s="6">
        <f>IFERROR(__xludf.DUMMYFUNCTION("""COMPUTED_VALUE"""),637.4)</f>
        <v>637.4</v>
      </c>
      <c r="F6" s="6">
        <f>IFERROR(__xludf.DUMMYFUNCTION("""COMPUTED_VALUE"""),9749890.0)</f>
        <v>9749890</v>
      </c>
    </row>
    <row r="7">
      <c r="A7" s="7">
        <f>IFERROR(__xludf.DUMMYFUNCTION("""COMPUTED_VALUE"""),45205.64583333333)</f>
        <v>45205.64583</v>
      </c>
      <c r="B7" s="6">
        <f>IFERROR(__xludf.DUMMYFUNCTION("""COMPUTED_VALUE"""),634.45)</f>
        <v>634.45</v>
      </c>
      <c r="C7" s="6">
        <f>IFERROR(__xludf.DUMMYFUNCTION("""COMPUTED_VALUE"""),637.5)</f>
        <v>637.5</v>
      </c>
      <c r="D7" s="6">
        <f>IFERROR(__xludf.DUMMYFUNCTION("""COMPUTED_VALUE"""),619.9)</f>
        <v>619.9</v>
      </c>
      <c r="E7" s="6">
        <f>IFERROR(__xludf.DUMMYFUNCTION("""COMPUTED_VALUE"""),630.9)</f>
        <v>630.9</v>
      </c>
      <c r="F7" s="6">
        <f>IFERROR(__xludf.DUMMYFUNCTION("""COMPUTED_VALUE"""),1.357581E7)</f>
        <v>13575810</v>
      </c>
    </row>
    <row r="8">
      <c r="A8" s="7">
        <f>IFERROR(__xludf.DUMMYFUNCTION("""COMPUTED_VALUE"""),45212.64583333333)</f>
        <v>45212.64583</v>
      </c>
      <c r="B8" s="6">
        <f>IFERROR(__xludf.DUMMYFUNCTION("""COMPUTED_VALUE"""),625.0)</f>
        <v>625</v>
      </c>
      <c r="C8" s="6">
        <f>IFERROR(__xludf.DUMMYFUNCTION("""COMPUTED_VALUE"""),633.0)</f>
        <v>633</v>
      </c>
      <c r="D8" s="6">
        <f>IFERROR(__xludf.DUMMYFUNCTION("""COMPUTED_VALUE"""),613.35)</f>
        <v>613.35</v>
      </c>
      <c r="E8" s="6">
        <f>IFERROR(__xludf.DUMMYFUNCTION("""COMPUTED_VALUE"""),625.25)</f>
        <v>625.25</v>
      </c>
      <c r="F8" s="6">
        <f>IFERROR(__xludf.DUMMYFUNCTION("""COMPUTED_VALUE"""),1.8737701E7)</f>
        <v>18737701</v>
      </c>
    </row>
    <row r="9">
      <c r="A9" s="7">
        <f>IFERROR(__xludf.DUMMYFUNCTION("""COMPUTED_VALUE"""),45219.64583333333)</f>
        <v>45219.64583</v>
      </c>
      <c r="B9" s="6">
        <f>IFERROR(__xludf.DUMMYFUNCTION("""COMPUTED_VALUE"""),633.0)</f>
        <v>633</v>
      </c>
      <c r="C9" s="6">
        <f>IFERROR(__xludf.DUMMYFUNCTION("""COMPUTED_VALUE"""),648.45)</f>
        <v>648.45</v>
      </c>
      <c r="D9" s="6">
        <f>IFERROR(__xludf.DUMMYFUNCTION("""COMPUTED_VALUE"""),619.65)</f>
        <v>619.65</v>
      </c>
      <c r="E9" s="6">
        <f>IFERROR(__xludf.DUMMYFUNCTION("""COMPUTED_VALUE"""),639.95)</f>
        <v>639.95</v>
      </c>
      <c r="F9" s="6">
        <f>IFERROR(__xludf.DUMMYFUNCTION("""COMPUTED_VALUE"""),1.5255311E7)</f>
        <v>15255311</v>
      </c>
    </row>
    <row r="10">
      <c r="A10" s="7">
        <f>IFERROR(__xludf.DUMMYFUNCTION("""COMPUTED_VALUE"""),45226.64583333333)</f>
        <v>45226.64583</v>
      </c>
      <c r="B10" s="6">
        <f>IFERROR(__xludf.DUMMYFUNCTION("""COMPUTED_VALUE"""),638.0)</f>
        <v>638</v>
      </c>
      <c r="C10" s="6">
        <f>IFERROR(__xludf.DUMMYFUNCTION("""COMPUTED_VALUE"""),644.7)</f>
        <v>644.7</v>
      </c>
      <c r="D10" s="6">
        <f>IFERROR(__xludf.DUMMYFUNCTION("""COMPUTED_VALUE"""),602.7)</f>
        <v>602.7</v>
      </c>
      <c r="E10" s="6">
        <f>IFERROR(__xludf.DUMMYFUNCTION("""COMPUTED_VALUE"""),608.65)</f>
        <v>608.65</v>
      </c>
      <c r="F10" s="6">
        <f>IFERROR(__xludf.DUMMYFUNCTION("""COMPUTED_VALUE"""),8683638.0)</f>
        <v>8683638</v>
      </c>
    </row>
    <row r="11">
      <c r="A11" s="7">
        <f>IFERROR(__xludf.DUMMYFUNCTION("""COMPUTED_VALUE"""),45233.64583333333)</f>
        <v>45233.64583</v>
      </c>
      <c r="B11" s="6">
        <f>IFERROR(__xludf.DUMMYFUNCTION("""COMPUTED_VALUE"""),609.8)</f>
        <v>609.8</v>
      </c>
      <c r="C11" s="6">
        <f>IFERROR(__xludf.DUMMYFUNCTION("""COMPUTED_VALUE"""),626.8)</f>
        <v>626.8</v>
      </c>
      <c r="D11" s="6">
        <f>IFERROR(__xludf.DUMMYFUNCTION("""COMPUTED_VALUE"""),600.75)</f>
        <v>600.75</v>
      </c>
      <c r="E11" s="6">
        <f>IFERROR(__xludf.DUMMYFUNCTION("""COMPUTED_VALUE"""),622.1)</f>
        <v>622.1</v>
      </c>
      <c r="F11" s="6">
        <f>IFERROR(__xludf.DUMMYFUNCTION("""COMPUTED_VALUE"""),9593085.0)</f>
        <v>9593085</v>
      </c>
    </row>
    <row r="12">
      <c r="A12" s="7">
        <f>IFERROR(__xludf.DUMMYFUNCTION("""COMPUTED_VALUE"""),45240.64583333333)</f>
        <v>45240.64583</v>
      </c>
      <c r="B12" s="6">
        <f>IFERROR(__xludf.DUMMYFUNCTION("""COMPUTED_VALUE"""),622.1)</f>
        <v>622.1</v>
      </c>
      <c r="C12" s="6">
        <f>IFERROR(__xludf.DUMMYFUNCTION("""COMPUTED_VALUE"""),631.5)</f>
        <v>631.5</v>
      </c>
      <c r="D12" s="6">
        <f>IFERROR(__xludf.DUMMYFUNCTION("""COMPUTED_VALUE"""),613.2)</f>
        <v>613.2</v>
      </c>
      <c r="E12" s="6">
        <f>IFERROR(__xludf.DUMMYFUNCTION("""COMPUTED_VALUE"""),626.75)</f>
        <v>626.75</v>
      </c>
      <c r="F12" s="6">
        <f>IFERROR(__xludf.DUMMYFUNCTION("""COMPUTED_VALUE"""),1.05552E7)</f>
        <v>10555200</v>
      </c>
    </row>
    <row r="13">
      <c r="A13" s="7">
        <f>IFERROR(__xludf.DUMMYFUNCTION("""COMPUTED_VALUE"""),45247.64583333333)</f>
        <v>45247.64583</v>
      </c>
      <c r="B13" s="6">
        <f>IFERROR(__xludf.DUMMYFUNCTION("""COMPUTED_VALUE"""),629.0)</f>
        <v>629</v>
      </c>
      <c r="C13" s="6">
        <f>IFERROR(__xludf.DUMMYFUNCTION("""COMPUTED_VALUE"""),660.0)</f>
        <v>660</v>
      </c>
      <c r="D13" s="6">
        <f>IFERROR(__xludf.DUMMYFUNCTION("""COMPUTED_VALUE"""),617.0)</f>
        <v>617</v>
      </c>
      <c r="E13" s="6">
        <f>IFERROR(__xludf.DUMMYFUNCTION("""COMPUTED_VALUE"""),651.8)</f>
        <v>651.8</v>
      </c>
      <c r="F13" s="6">
        <f>IFERROR(__xludf.DUMMYFUNCTION("""COMPUTED_VALUE"""),1.0331769E7)</f>
        <v>10331769</v>
      </c>
    </row>
    <row r="14">
      <c r="A14" s="7">
        <f>IFERROR(__xludf.DUMMYFUNCTION("""COMPUTED_VALUE"""),45254.64583333333)</f>
        <v>45254.64583</v>
      </c>
      <c r="B14" s="6">
        <f>IFERROR(__xludf.DUMMYFUNCTION("""COMPUTED_VALUE"""),654.95)</f>
        <v>654.95</v>
      </c>
      <c r="C14" s="6">
        <f>IFERROR(__xludf.DUMMYFUNCTION("""COMPUTED_VALUE"""),677.0)</f>
        <v>677</v>
      </c>
      <c r="D14" s="6">
        <f>IFERROR(__xludf.DUMMYFUNCTION("""COMPUTED_VALUE"""),647.5)</f>
        <v>647.5</v>
      </c>
      <c r="E14" s="6">
        <f>IFERROR(__xludf.DUMMYFUNCTION("""COMPUTED_VALUE"""),668.0)</f>
        <v>668</v>
      </c>
      <c r="F14" s="6">
        <f>IFERROR(__xludf.DUMMYFUNCTION("""COMPUTED_VALUE"""),1.3615407E7)</f>
        <v>13615407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IFERROR(__xludf.DUMMYFUNCTION("""COMPUTED_VALUE"""),668.05)</f>
        <v>668.05</v>
      </c>
      <c r="C15" s="6">
        <f>IFERROR(__xludf.DUMMYFUNCTION("""COMPUTED_VALUE"""),695.0)</f>
        <v>695</v>
      </c>
      <c r="D15" s="6">
        <f>IFERROR(__xludf.DUMMYFUNCTION("""COMPUTED_VALUE"""),668.05)</f>
        <v>668.05</v>
      </c>
      <c r="E15" s="6">
        <f>IFERROR(__xludf.DUMMYFUNCTION("""COMPUTED_VALUE"""),682.15)</f>
        <v>682.15</v>
      </c>
      <c r="F15" s="6">
        <f>IFERROR(__xludf.DUMMYFUNCTION("""COMPUTED_VALUE"""),1.0474204E7)</f>
        <v>10474204</v>
      </c>
    </row>
    <row r="16">
      <c r="A16" s="7">
        <f>IFERROR(__xludf.DUMMYFUNCTION("""COMPUTED_VALUE"""),45268.64583333333)</f>
        <v>45268.64583</v>
      </c>
      <c r="B16" s="6">
        <f>IFERROR(__xludf.DUMMYFUNCTION("""COMPUTED_VALUE"""),689.8)</f>
        <v>689.8</v>
      </c>
      <c r="C16" s="6">
        <f>IFERROR(__xludf.DUMMYFUNCTION("""COMPUTED_VALUE"""),689.8)</f>
        <v>689.8</v>
      </c>
      <c r="D16" s="6">
        <f>IFERROR(__xludf.DUMMYFUNCTION("""COMPUTED_VALUE"""),667.0)</f>
        <v>667</v>
      </c>
      <c r="E16" s="6">
        <f>IFERROR(__xludf.DUMMYFUNCTION("""COMPUTED_VALUE"""),671.25)</f>
        <v>671.25</v>
      </c>
      <c r="F16" s="6">
        <f>IFERROR(__xludf.DUMMYFUNCTION("""COMPUTED_VALUE"""),1.7040142E7)</f>
        <v>17040142</v>
      </c>
    </row>
    <row r="17">
      <c r="A17" s="7">
        <f>IFERROR(__xludf.DUMMYFUNCTION("""COMPUTED_VALUE"""),45275.64583333333)</f>
        <v>45275.64583</v>
      </c>
      <c r="B17" s="6">
        <f>IFERROR(__xludf.DUMMYFUNCTION("""COMPUTED_VALUE"""),671.05)</f>
        <v>671.05</v>
      </c>
      <c r="C17" s="6">
        <f>IFERROR(__xludf.DUMMYFUNCTION("""COMPUTED_VALUE"""),710.6)</f>
        <v>710.6</v>
      </c>
      <c r="D17" s="6">
        <f>IFERROR(__xludf.DUMMYFUNCTION("""COMPUTED_VALUE"""),663.25)</f>
        <v>663.25</v>
      </c>
      <c r="E17" s="6">
        <f>IFERROR(__xludf.DUMMYFUNCTION("""COMPUTED_VALUE"""),673.1)</f>
        <v>673.1</v>
      </c>
      <c r="F17" s="6">
        <f>IFERROR(__xludf.DUMMYFUNCTION("""COMPUTED_VALUE"""),3.2376973E7)</f>
        <v>32376973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IFERROR(__xludf.DUMMYFUNCTION("""COMPUTED_VALUE"""),673.8)</f>
        <v>673.8</v>
      </c>
      <c r="C18" s="6">
        <f>IFERROR(__xludf.DUMMYFUNCTION("""COMPUTED_VALUE"""),674.8)</f>
        <v>674.8</v>
      </c>
      <c r="D18" s="6">
        <f>IFERROR(__xludf.DUMMYFUNCTION("""COMPUTED_VALUE"""),637.1)</f>
        <v>637.1</v>
      </c>
      <c r="E18" s="6">
        <f>IFERROR(__xludf.DUMMYFUNCTION("""COMPUTED_VALUE"""),639.85)</f>
        <v>639.85</v>
      </c>
      <c r="F18" s="6">
        <f>IFERROR(__xludf.DUMMYFUNCTION("""COMPUTED_VALUE"""),1.5226919E7)</f>
        <v>15226919</v>
      </c>
    </row>
    <row r="19">
      <c r="A19" s="7">
        <f>IFERROR(__xludf.DUMMYFUNCTION("""COMPUTED_VALUE"""),45289.64583333333)</f>
        <v>45289.64583</v>
      </c>
      <c r="B19" s="6">
        <f>IFERROR(__xludf.DUMMYFUNCTION("""COMPUTED_VALUE"""),641.0)</f>
        <v>641</v>
      </c>
      <c r="C19" s="6">
        <f>IFERROR(__xludf.DUMMYFUNCTION("""COMPUTED_VALUE"""),650.95)</f>
        <v>650.95</v>
      </c>
      <c r="D19" s="6">
        <f>IFERROR(__xludf.DUMMYFUNCTION("""COMPUTED_VALUE"""),634.0)</f>
        <v>634</v>
      </c>
      <c r="E19" s="6">
        <f>IFERROR(__xludf.DUMMYFUNCTION("""COMPUTED_VALUE"""),646.7)</f>
        <v>646.7</v>
      </c>
      <c r="F19" s="6">
        <f>IFERROR(__xludf.DUMMYFUNCTION("""COMPUTED_VALUE"""),9776136.0)</f>
        <v>9776136</v>
      </c>
    </row>
    <row r="20">
      <c r="A20" s="7">
        <f>IFERROR(__xludf.DUMMYFUNCTION("""COMPUTED_VALUE"""),45296.64583333333)</f>
        <v>45296.64583</v>
      </c>
      <c r="B20" s="6">
        <f>IFERROR(__xludf.DUMMYFUNCTION("""COMPUTED_VALUE"""),647.0)</f>
        <v>647</v>
      </c>
      <c r="C20" s="6">
        <f>IFERROR(__xludf.DUMMYFUNCTION("""COMPUTED_VALUE"""),654.55)</f>
        <v>654.55</v>
      </c>
      <c r="D20" s="6">
        <f>IFERROR(__xludf.DUMMYFUNCTION("""COMPUTED_VALUE"""),636.1)</f>
        <v>636.1</v>
      </c>
      <c r="E20" s="6">
        <f>IFERROR(__xludf.DUMMYFUNCTION("""COMPUTED_VALUE"""),646.75)</f>
        <v>646.75</v>
      </c>
      <c r="F20" s="6">
        <f>IFERROR(__xludf.DUMMYFUNCTION("""COMPUTED_VALUE"""),1.2050795E7)</f>
        <v>12050795</v>
      </c>
    </row>
    <row r="21">
      <c r="A21" s="7">
        <f>IFERROR(__xludf.DUMMYFUNCTION("""COMPUTED_VALUE"""),45303.64583333333)</f>
        <v>45303.64583</v>
      </c>
      <c r="B21" s="6">
        <f>IFERROR(__xludf.DUMMYFUNCTION("""COMPUTED_VALUE"""),647.0)</f>
        <v>647</v>
      </c>
      <c r="C21" s="6">
        <f>IFERROR(__xludf.DUMMYFUNCTION("""COMPUTED_VALUE"""),654.15)</f>
        <v>654.15</v>
      </c>
      <c r="D21" s="6">
        <f>IFERROR(__xludf.DUMMYFUNCTION("""COMPUTED_VALUE"""),621.3)</f>
        <v>621.3</v>
      </c>
      <c r="E21" s="6">
        <f>IFERROR(__xludf.DUMMYFUNCTION("""COMPUTED_VALUE"""),637.6)</f>
        <v>637.6</v>
      </c>
      <c r="F21" s="6">
        <f>IFERROR(__xludf.DUMMYFUNCTION("""COMPUTED_VALUE"""),1.8879259E7)</f>
        <v>18879259</v>
      </c>
    </row>
    <row r="22">
      <c r="A22" s="7">
        <f>IFERROR(__xludf.DUMMYFUNCTION("""COMPUTED_VALUE"""),45316.64583333333)</f>
        <v>45316.64583</v>
      </c>
      <c r="B22" s="6">
        <f>IFERROR(__xludf.DUMMYFUNCTION("""COMPUTED_VALUE"""),600.25)</f>
        <v>600.25</v>
      </c>
      <c r="C22" s="6">
        <f>IFERROR(__xludf.DUMMYFUNCTION("""COMPUTED_VALUE"""),613.75)</f>
        <v>613.75</v>
      </c>
      <c r="D22" s="6">
        <f>IFERROR(__xludf.DUMMYFUNCTION("""COMPUTED_VALUE"""),576.7)</f>
        <v>576.7</v>
      </c>
      <c r="E22" s="6">
        <f>IFERROR(__xludf.DUMMYFUNCTION("""COMPUTED_VALUE"""),579.0)</f>
        <v>579</v>
      </c>
      <c r="F22" s="6">
        <f>IFERROR(__xludf.DUMMYFUNCTION("""COMPUTED_VALUE"""),1.5864247E7)</f>
        <v>15864247</v>
      </c>
    </row>
    <row r="23">
      <c r="A23" s="7">
        <f>IFERROR(__xludf.DUMMYFUNCTION("""COMPUTED_VALUE"""),45324.64583333333)</f>
        <v>45324.64583</v>
      </c>
      <c r="B23" s="6">
        <f>IFERROR(__xludf.DUMMYFUNCTION("""COMPUTED_VALUE"""),575.05)</f>
        <v>575.05</v>
      </c>
      <c r="C23" s="6">
        <f>IFERROR(__xludf.DUMMYFUNCTION("""COMPUTED_VALUE"""),591.4)</f>
        <v>591.4</v>
      </c>
      <c r="D23" s="6">
        <f>IFERROR(__xludf.DUMMYFUNCTION("""COMPUTED_VALUE"""),567.2)</f>
        <v>567.2</v>
      </c>
      <c r="E23" s="6">
        <f>IFERROR(__xludf.DUMMYFUNCTION("""COMPUTED_VALUE"""),578.8)</f>
        <v>578.8</v>
      </c>
      <c r="F23" s="6">
        <f>IFERROR(__xludf.DUMMYFUNCTION("""COMPUTED_VALUE"""),2.6281766E7)</f>
        <v>26281766</v>
      </c>
    </row>
    <row r="24">
      <c r="A24" s="7">
        <f>IFERROR(__xludf.DUMMYFUNCTION("""COMPUTED_VALUE"""),45331.64583333333)</f>
        <v>45331.64583</v>
      </c>
      <c r="B24" s="6">
        <f>IFERROR(__xludf.DUMMYFUNCTION("""COMPUTED_VALUE"""),578.8)</f>
        <v>578.8</v>
      </c>
      <c r="C24" s="6">
        <f>IFERROR(__xludf.DUMMYFUNCTION("""COMPUTED_VALUE"""),616.05)</f>
        <v>616.05</v>
      </c>
      <c r="D24" s="6">
        <f>IFERROR(__xludf.DUMMYFUNCTION("""COMPUTED_VALUE"""),561.55)</f>
        <v>561.55</v>
      </c>
      <c r="E24" s="6">
        <f>IFERROR(__xludf.DUMMYFUNCTION("""COMPUTED_VALUE"""),584.0)</f>
        <v>584</v>
      </c>
      <c r="F24" s="6">
        <f>IFERROR(__xludf.DUMMYFUNCTION("""COMPUTED_VALUE"""),3.7462052E7)</f>
        <v>37462052</v>
      </c>
    </row>
    <row r="25">
      <c r="A25" s="7">
        <f>IFERROR(__xludf.DUMMYFUNCTION("""COMPUTED_VALUE"""),45338.64583333333)</f>
        <v>45338.64583</v>
      </c>
      <c r="B25" s="6">
        <f>IFERROR(__xludf.DUMMYFUNCTION("""COMPUTED_VALUE"""),584.0)</f>
        <v>584</v>
      </c>
      <c r="C25" s="6">
        <f>IFERROR(__xludf.DUMMYFUNCTION("""COMPUTED_VALUE"""),594.0)</f>
        <v>594</v>
      </c>
      <c r="D25" s="6">
        <f>IFERROR(__xludf.DUMMYFUNCTION("""COMPUTED_VALUE"""),572.4)</f>
        <v>572.4</v>
      </c>
      <c r="E25" s="6">
        <f>IFERROR(__xludf.DUMMYFUNCTION("""COMPUTED_VALUE"""),592.45)</f>
        <v>592.45</v>
      </c>
      <c r="F25" s="6">
        <f>IFERROR(__xludf.DUMMYFUNCTION("""COMPUTED_VALUE"""),1.4093543E7)</f>
        <v>14093543</v>
      </c>
    </row>
    <row r="26">
      <c r="A26" s="7">
        <f>IFERROR(__xludf.DUMMYFUNCTION("""COMPUTED_VALUE"""),45345.64583333333)</f>
        <v>45345.64583</v>
      </c>
      <c r="B26" s="6">
        <f>IFERROR(__xludf.DUMMYFUNCTION("""COMPUTED_VALUE"""),594.3)</f>
        <v>594.3</v>
      </c>
      <c r="C26" s="6">
        <f>IFERROR(__xludf.DUMMYFUNCTION("""COMPUTED_VALUE"""),594.3)</f>
        <v>594.3</v>
      </c>
      <c r="D26" s="6">
        <f>IFERROR(__xludf.DUMMYFUNCTION("""COMPUTED_VALUE"""),567.05)</f>
        <v>567.05</v>
      </c>
      <c r="E26" s="6">
        <f>IFERROR(__xludf.DUMMYFUNCTION("""COMPUTED_VALUE"""),580.7)</f>
        <v>580.7</v>
      </c>
      <c r="F26" s="6">
        <f>IFERROR(__xludf.DUMMYFUNCTION("""COMPUTED_VALUE"""),1.6387258E7)</f>
        <v>16387258</v>
      </c>
    </row>
    <row r="27">
      <c r="A27" s="7">
        <f>IFERROR(__xludf.DUMMYFUNCTION("""COMPUTED_VALUE"""),45358.64583333333)</f>
        <v>45358.64583</v>
      </c>
      <c r="B27" s="6">
        <f>IFERROR(__xludf.DUMMYFUNCTION("""COMPUTED_VALUE"""),595.0)</f>
        <v>595</v>
      </c>
      <c r="C27" s="6">
        <f>IFERROR(__xludf.DUMMYFUNCTION("""COMPUTED_VALUE"""),624.15)</f>
        <v>624.15</v>
      </c>
      <c r="D27" s="6">
        <f>IFERROR(__xludf.DUMMYFUNCTION("""COMPUTED_VALUE"""),587.6)</f>
        <v>587.6</v>
      </c>
      <c r="E27" s="6">
        <f>IFERROR(__xludf.DUMMYFUNCTION("""COMPUTED_VALUE"""),621.95)</f>
        <v>621.95</v>
      </c>
      <c r="F27" s="6">
        <f>IFERROR(__xludf.DUMMYFUNCTION("""COMPUTED_VALUE"""),2.0193958E7)</f>
        <v>20193958</v>
      </c>
    </row>
    <row r="28">
      <c r="A28" s="7">
        <f>IFERROR(__xludf.DUMMYFUNCTION("""COMPUTED_VALUE"""),45366.64583333333)</f>
        <v>45366.64583</v>
      </c>
      <c r="B28" s="6">
        <f>IFERROR(__xludf.DUMMYFUNCTION("""COMPUTED_VALUE"""),625.0)</f>
        <v>625</v>
      </c>
      <c r="C28" s="6">
        <f>IFERROR(__xludf.DUMMYFUNCTION("""COMPUTED_VALUE"""),634.8)</f>
        <v>634.8</v>
      </c>
      <c r="D28" s="6">
        <f>IFERROR(__xludf.DUMMYFUNCTION("""COMPUTED_VALUE"""),598.2)</f>
        <v>598.2</v>
      </c>
      <c r="E28" s="6">
        <f>IFERROR(__xludf.DUMMYFUNCTION("""COMPUTED_VALUE"""),632.35)</f>
        <v>632.35</v>
      </c>
      <c r="F28" s="6">
        <f>IFERROR(__xludf.DUMMYFUNCTION("""COMPUTED_VALUE"""),2.0239804E7)</f>
        <v>20239804</v>
      </c>
    </row>
    <row r="29">
      <c r="A29" s="7">
        <f>IFERROR(__xludf.DUMMYFUNCTION("""COMPUTED_VALUE"""),45373.64583333333)</f>
        <v>45373.64583</v>
      </c>
      <c r="B29" s="6">
        <f>IFERROR(__xludf.DUMMYFUNCTION("""COMPUTED_VALUE"""),634.95)</f>
        <v>634.95</v>
      </c>
      <c r="C29" s="6">
        <f>IFERROR(__xludf.DUMMYFUNCTION("""COMPUTED_VALUE"""),639.0)</f>
        <v>639</v>
      </c>
      <c r="D29" s="6">
        <f>IFERROR(__xludf.DUMMYFUNCTION("""COMPUTED_VALUE"""),616.0)</f>
        <v>616</v>
      </c>
      <c r="E29" s="6">
        <f>IFERROR(__xludf.DUMMYFUNCTION("""COMPUTED_VALUE"""),623.85)</f>
        <v>623.85</v>
      </c>
      <c r="F29" s="6">
        <f>IFERROR(__xludf.DUMMYFUNCTION("""COMPUTED_VALUE"""),1.9319169E7)</f>
        <v>19319169</v>
      </c>
    </row>
    <row r="30">
      <c r="A30" s="7">
        <f>IFERROR(__xludf.DUMMYFUNCTION("""COMPUTED_VALUE"""),45379.64583333333)</f>
        <v>45379.64583</v>
      </c>
      <c r="B30" s="6">
        <f>IFERROR(__xludf.DUMMYFUNCTION("""COMPUTED_VALUE"""),638.85)</f>
        <v>638.85</v>
      </c>
      <c r="C30" s="6">
        <f>IFERROR(__xludf.DUMMYFUNCTION("""COMPUTED_VALUE"""),642.8)</f>
        <v>642.8</v>
      </c>
      <c r="D30" s="6">
        <f>IFERROR(__xludf.DUMMYFUNCTION("""COMPUTED_VALUE"""),624.05)</f>
        <v>624.05</v>
      </c>
      <c r="E30" s="6">
        <f>IFERROR(__xludf.DUMMYFUNCTION("""COMPUTED_VALUE"""),633.35)</f>
        <v>633.35</v>
      </c>
      <c r="F30" s="6">
        <f>IFERROR(__xludf.DUMMYFUNCTION("""COMPUTED_VALUE"""),3.4550515E7)</f>
        <v>34550515</v>
      </c>
    </row>
    <row r="31">
      <c r="A31" s="7">
        <f>IFERROR(__xludf.DUMMYFUNCTION("""COMPUTED_VALUE"""),45387.64583333333)</f>
        <v>45387.64583</v>
      </c>
      <c r="B31" s="6">
        <f>IFERROR(__xludf.DUMMYFUNCTION("""COMPUTED_VALUE"""),638.0)</f>
        <v>638</v>
      </c>
      <c r="C31" s="6">
        <f>IFERROR(__xludf.DUMMYFUNCTION("""COMPUTED_VALUE"""),641.65)</f>
        <v>641.65</v>
      </c>
      <c r="D31" s="6">
        <f>IFERROR(__xludf.DUMMYFUNCTION("""COMPUTED_VALUE"""),616.3)</f>
        <v>616.3</v>
      </c>
      <c r="E31" s="6">
        <f>IFERROR(__xludf.DUMMYFUNCTION("""COMPUTED_VALUE"""),629.4)</f>
        <v>629.4</v>
      </c>
      <c r="F31" s="6">
        <f>IFERROR(__xludf.DUMMYFUNCTION("""COMPUTED_VALUE"""),2.0596351E7)</f>
        <v>20596351</v>
      </c>
    </row>
    <row r="32">
      <c r="A32" s="7">
        <f>IFERROR(__xludf.DUMMYFUNCTION("""COMPUTED_VALUE"""),45394.64583333333)</f>
        <v>45394.64583</v>
      </c>
      <c r="B32" s="6">
        <f>IFERROR(__xludf.DUMMYFUNCTION("""COMPUTED_VALUE"""),630.0)</f>
        <v>630</v>
      </c>
      <c r="C32" s="6">
        <f>IFERROR(__xludf.DUMMYFUNCTION("""COMPUTED_VALUE"""),639.15)</f>
        <v>639.15</v>
      </c>
      <c r="D32" s="6">
        <f>IFERROR(__xludf.DUMMYFUNCTION("""COMPUTED_VALUE"""),616.25)</f>
        <v>616.25</v>
      </c>
      <c r="E32" s="6">
        <f>IFERROR(__xludf.DUMMYFUNCTION("""COMPUTED_VALUE"""),618.5)</f>
        <v>618.5</v>
      </c>
      <c r="F32" s="6">
        <f>IFERROR(__xludf.DUMMYFUNCTION("""COMPUTED_VALUE"""),1.8112504E7)</f>
        <v>18112504</v>
      </c>
    </row>
    <row r="33">
      <c r="A33" s="7">
        <f>IFERROR(__xludf.DUMMYFUNCTION("""COMPUTED_VALUE"""),45401.64583333333)</f>
        <v>45401.64583</v>
      </c>
      <c r="B33" s="6">
        <f>IFERROR(__xludf.DUMMYFUNCTION("""COMPUTED_VALUE"""),610.05)</f>
        <v>610.05</v>
      </c>
      <c r="C33" s="6">
        <f>IFERROR(__xludf.DUMMYFUNCTION("""COMPUTED_VALUE"""),624.0)</f>
        <v>624</v>
      </c>
      <c r="D33" s="6">
        <f>IFERROR(__xludf.DUMMYFUNCTION("""COMPUTED_VALUE"""),581.1)</f>
        <v>581.1</v>
      </c>
      <c r="E33" s="6">
        <f>IFERROR(__xludf.DUMMYFUNCTION("""COMPUTED_VALUE"""),601.55)</f>
        <v>601.55</v>
      </c>
      <c r="F33" s="6">
        <f>IFERROR(__xludf.DUMMYFUNCTION("""COMPUTED_VALUE"""),2.9792935E7)</f>
        <v>29792935</v>
      </c>
    </row>
    <row r="34">
      <c r="A34" s="7">
        <f>IFERROR(__xludf.DUMMYFUNCTION("""COMPUTED_VALUE"""),45408.64583333333)</f>
        <v>45408.64583</v>
      </c>
      <c r="B34" s="6">
        <f>IFERROR(__xludf.DUMMYFUNCTION("""COMPUTED_VALUE"""),601.85)</f>
        <v>601.85</v>
      </c>
      <c r="C34" s="6">
        <f>IFERROR(__xludf.DUMMYFUNCTION("""COMPUTED_VALUE"""),609.15)</f>
        <v>609.15</v>
      </c>
      <c r="D34" s="6">
        <f>IFERROR(__xludf.DUMMYFUNCTION("""COMPUTED_VALUE"""),585.6)</f>
        <v>585.6</v>
      </c>
      <c r="E34" s="6">
        <f>IFERROR(__xludf.DUMMYFUNCTION("""COMPUTED_VALUE"""),587.85)</f>
        <v>587.85</v>
      </c>
      <c r="F34" s="6">
        <f>IFERROR(__xludf.DUMMYFUNCTION("""COMPUTED_VALUE"""),2.0944486E7)</f>
        <v>20944486</v>
      </c>
    </row>
    <row r="35">
      <c r="A35" s="7">
        <f>IFERROR(__xludf.DUMMYFUNCTION("""COMPUTED_VALUE"""),45415.64583333333)</f>
        <v>45415.64583</v>
      </c>
      <c r="B35" s="6">
        <f>IFERROR(__xludf.DUMMYFUNCTION("""COMPUTED_VALUE"""),590.0)</f>
        <v>590</v>
      </c>
      <c r="C35" s="6">
        <f>IFERROR(__xludf.DUMMYFUNCTION("""COMPUTED_VALUE"""),591.95)</f>
        <v>591.95</v>
      </c>
      <c r="D35" s="6">
        <f>IFERROR(__xludf.DUMMYFUNCTION("""COMPUTED_VALUE"""),565.25)</f>
        <v>565.25</v>
      </c>
      <c r="E35" s="6">
        <f>IFERROR(__xludf.DUMMYFUNCTION("""COMPUTED_VALUE"""),565.9)</f>
        <v>565.9</v>
      </c>
      <c r="F35" s="6">
        <f>IFERROR(__xludf.DUMMYFUNCTION("""COMPUTED_VALUE"""),3.5672249E7)</f>
        <v>35672249</v>
      </c>
    </row>
    <row r="36">
      <c r="A36" s="7">
        <f>IFERROR(__xludf.DUMMYFUNCTION("""COMPUTED_VALUE"""),45422.64583333333)</f>
        <v>45422.64583</v>
      </c>
      <c r="B36" s="6">
        <f>IFERROR(__xludf.DUMMYFUNCTION("""COMPUTED_VALUE"""),569.9)</f>
        <v>569.9</v>
      </c>
      <c r="C36" s="6">
        <f>IFERROR(__xludf.DUMMYFUNCTION("""COMPUTED_VALUE"""),569.9)</f>
        <v>569.9</v>
      </c>
      <c r="D36" s="6">
        <f>IFERROR(__xludf.DUMMYFUNCTION("""COMPUTED_VALUE"""),538.0)</f>
        <v>538</v>
      </c>
      <c r="E36" s="6">
        <f>IFERROR(__xludf.DUMMYFUNCTION("""COMPUTED_VALUE"""),548.55)</f>
        <v>548.55</v>
      </c>
      <c r="F36" s="6">
        <f>IFERROR(__xludf.DUMMYFUNCTION("""COMPUTED_VALUE"""),4.4352594E7)</f>
        <v>44352594</v>
      </c>
    </row>
    <row r="37">
      <c r="A37" s="7">
        <f>IFERROR(__xludf.DUMMYFUNCTION("""COMPUTED_VALUE"""),45436.64583333333)</f>
        <v>45436.64583</v>
      </c>
      <c r="B37" s="6">
        <f>IFERROR(__xludf.DUMMYFUNCTION("""COMPUTED_VALUE"""),569.4)</f>
        <v>569.4</v>
      </c>
      <c r="C37" s="6">
        <f>IFERROR(__xludf.DUMMYFUNCTION("""COMPUTED_VALUE"""),571.8)</f>
        <v>571.8</v>
      </c>
      <c r="D37" s="6">
        <f>IFERROR(__xludf.DUMMYFUNCTION("""COMPUTED_VALUE"""),558.05)</f>
        <v>558.05</v>
      </c>
      <c r="E37" s="6">
        <f>IFERROR(__xludf.DUMMYFUNCTION("""COMPUTED_VALUE"""),565.1)</f>
        <v>565.1</v>
      </c>
      <c r="F37" s="6">
        <f>IFERROR(__xludf.DUMMYFUNCTION("""COMPUTED_VALUE"""),1.994401E7)</f>
        <v>19944010</v>
      </c>
    </row>
    <row r="38">
      <c r="A38" s="7">
        <f>IFERROR(__xludf.DUMMYFUNCTION("""COMPUTED_VALUE"""),45443.64583333333)</f>
        <v>45443.64583</v>
      </c>
      <c r="B38" s="6">
        <f>IFERROR(__xludf.DUMMYFUNCTION("""COMPUTED_VALUE"""),565.2)</f>
        <v>565.2</v>
      </c>
      <c r="C38" s="6">
        <f>IFERROR(__xludf.DUMMYFUNCTION("""COMPUTED_VALUE"""),579.95)</f>
        <v>579.95</v>
      </c>
      <c r="D38" s="6">
        <f>IFERROR(__xludf.DUMMYFUNCTION("""COMPUTED_VALUE"""),546.55)</f>
        <v>546.55</v>
      </c>
      <c r="E38" s="6">
        <f>IFERROR(__xludf.DUMMYFUNCTION("""COMPUTED_VALUE"""),549.85)</f>
        <v>549.85</v>
      </c>
      <c r="F38" s="6">
        <f>IFERROR(__xludf.DUMMYFUNCTION("""COMPUTED_VALUE"""),3.0703439E7)</f>
        <v>30703439</v>
      </c>
    </row>
    <row r="39">
      <c r="A39" s="7">
        <f>IFERROR(__xludf.DUMMYFUNCTION("""COMPUTED_VALUE"""),45450.64583333333)</f>
        <v>45450.64583</v>
      </c>
      <c r="B39" s="6">
        <f>IFERROR(__xludf.DUMMYFUNCTION("""COMPUTED_VALUE"""),568.95)</f>
        <v>568.95</v>
      </c>
      <c r="C39" s="6">
        <f>IFERROR(__xludf.DUMMYFUNCTION("""COMPUTED_VALUE"""),569.25)</f>
        <v>569.25</v>
      </c>
      <c r="D39" s="6">
        <f>IFERROR(__xludf.DUMMYFUNCTION("""COMPUTED_VALUE"""),511.4)</f>
        <v>511.4</v>
      </c>
      <c r="E39" s="6">
        <f>IFERROR(__xludf.DUMMYFUNCTION("""COMPUTED_VALUE"""),562.95)</f>
        <v>562.95</v>
      </c>
      <c r="F39" s="6">
        <f>IFERROR(__xludf.DUMMYFUNCTION("""COMPUTED_VALUE"""),2.9635525E7)</f>
        <v>29635525</v>
      </c>
    </row>
    <row r="40">
      <c r="A40" s="7">
        <f>IFERROR(__xludf.DUMMYFUNCTION("""COMPUTED_VALUE"""),45457.64583333333)</f>
        <v>45457.64583</v>
      </c>
      <c r="B40" s="6">
        <f>IFERROR(__xludf.DUMMYFUNCTION("""COMPUTED_VALUE"""),563.25)</f>
        <v>563.25</v>
      </c>
      <c r="C40" s="6">
        <f>IFERROR(__xludf.DUMMYFUNCTION("""COMPUTED_VALUE"""),601.8)</f>
        <v>601.8</v>
      </c>
      <c r="D40" s="6">
        <f>IFERROR(__xludf.DUMMYFUNCTION("""COMPUTED_VALUE"""),561.3)</f>
        <v>561.3</v>
      </c>
      <c r="E40" s="6">
        <f>IFERROR(__xludf.DUMMYFUNCTION("""COMPUTED_VALUE"""),598.35)</f>
        <v>598.35</v>
      </c>
      <c r="F40" s="6">
        <f>IFERROR(__xludf.DUMMYFUNCTION("""COMPUTED_VALUE"""),4.6246611E7)</f>
        <v>46246611</v>
      </c>
    </row>
    <row r="41">
      <c r="A41" s="7">
        <f>IFERROR(__xludf.DUMMYFUNCTION("""COMPUTED_VALUE"""),45464.64583333333)</f>
        <v>45464.64583</v>
      </c>
      <c r="B41" s="6">
        <f>IFERROR(__xludf.DUMMYFUNCTION("""COMPUTED_VALUE"""),596.85)</f>
        <v>596.85</v>
      </c>
      <c r="C41" s="6">
        <f>IFERROR(__xludf.DUMMYFUNCTION("""COMPUTED_VALUE"""),605.15)</f>
        <v>605.15</v>
      </c>
      <c r="D41" s="6">
        <f>IFERROR(__xludf.DUMMYFUNCTION("""COMPUTED_VALUE"""),580.0)</f>
        <v>580</v>
      </c>
      <c r="E41" s="6">
        <f>IFERROR(__xludf.DUMMYFUNCTION("""COMPUTED_VALUE"""),580.95)</f>
        <v>580.95</v>
      </c>
      <c r="F41" s="6">
        <f>IFERROR(__xludf.DUMMYFUNCTION("""COMPUTED_VALUE"""),2.2970472E7)</f>
        <v>22970472</v>
      </c>
    </row>
    <row r="42">
      <c r="A42" s="7">
        <f>IFERROR(__xludf.DUMMYFUNCTION("""COMPUTED_VALUE"""),45471.64583333333)</f>
        <v>45471.64583</v>
      </c>
      <c r="B42" s="6">
        <f>IFERROR(__xludf.DUMMYFUNCTION("""COMPUTED_VALUE"""),580.0)</f>
        <v>580</v>
      </c>
      <c r="C42" s="6">
        <f>IFERROR(__xludf.DUMMYFUNCTION("""COMPUTED_VALUE"""),599.8)</f>
        <v>599.8</v>
      </c>
      <c r="D42" s="6">
        <f>IFERROR(__xludf.DUMMYFUNCTION("""COMPUTED_VALUE"""),575.65)</f>
        <v>575.65</v>
      </c>
      <c r="E42" s="6">
        <f>IFERROR(__xludf.DUMMYFUNCTION("""COMPUTED_VALUE"""),595.05)</f>
        <v>595.05</v>
      </c>
      <c r="F42" s="6">
        <f>IFERROR(__xludf.DUMMYFUNCTION("""COMPUTED_VALUE"""),2.1911046E7)</f>
        <v>21911046</v>
      </c>
    </row>
    <row r="43">
      <c r="A43" s="7">
        <f>IFERROR(__xludf.DUMMYFUNCTION("""COMPUTED_VALUE"""),45478.64583333333)</f>
        <v>45478.64583</v>
      </c>
      <c r="B43" s="6">
        <f>IFERROR(__xludf.DUMMYFUNCTION("""COMPUTED_VALUE"""),590.15)</f>
        <v>590.15</v>
      </c>
      <c r="C43" s="6">
        <f>IFERROR(__xludf.DUMMYFUNCTION("""COMPUTED_VALUE"""),608.8)</f>
        <v>608.8</v>
      </c>
      <c r="D43" s="6">
        <f>IFERROR(__xludf.DUMMYFUNCTION("""COMPUTED_VALUE"""),586.5)</f>
        <v>586.5</v>
      </c>
      <c r="E43" s="6">
        <f>IFERROR(__xludf.DUMMYFUNCTION("""COMPUTED_VALUE"""),607.35)</f>
        <v>607.35</v>
      </c>
      <c r="F43" s="6">
        <f>IFERROR(__xludf.DUMMYFUNCTION("""COMPUTED_VALUE"""),2.047625E7)</f>
        <v>20476250</v>
      </c>
    </row>
    <row r="44">
      <c r="A44" s="7">
        <f>IFERROR(__xludf.DUMMYFUNCTION("""COMPUTED_VALUE"""),45485.64583333333)</f>
        <v>45485.64583</v>
      </c>
      <c r="B44" s="6">
        <f>IFERROR(__xludf.DUMMYFUNCTION("""COMPUTED_VALUE"""),609.0)</f>
        <v>609</v>
      </c>
      <c r="C44" s="6">
        <f>IFERROR(__xludf.DUMMYFUNCTION("""COMPUTED_VALUE"""),640.75)</f>
        <v>640.75</v>
      </c>
      <c r="D44" s="6">
        <f>IFERROR(__xludf.DUMMYFUNCTION("""COMPUTED_VALUE"""),608.6)</f>
        <v>608.6</v>
      </c>
      <c r="E44" s="6">
        <f>IFERROR(__xludf.DUMMYFUNCTION("""COMPUTED_VALUE"""),635.55)</f>
        <v>635.55</v>
      </c>
      <c r="F44" s="6">
        <f>IFERROR(__xludf.DUMMYFUNCTION("""COMPUTED_VALUE"""),2.4205618E7)</f>
        <v>24205618</v>
      </c>
    </row>
    <row r="45">
      <c r="A45" s="7">
        <f>IFERROR(__xludf.DUMMYFUNCTION("""COMPUTED_VALUE"""),45492.64583333333)</f>
        <v>45492.64583</v>
      </c>
      <c r="B45" s="6">
        <f>IFERROR(__xludf.DUMMYFUNCTION("""COMPUTED_VALUE"""),635.55)</f>
        <v>635.55</v>
      </c>
      <c r="C45" s="6">
        <f>IFERROR(__xludf.DUMMYFUNCTION("""COMPUTED_VALUE"""),655.0)</f>
        <v>655</v>
      </c>
      <c r="D45" s="6">
        <f>IFERROR(__xludf.DUMMYFUNCTION("""COMPUTED_VALUE"""),630.5)</f>
        <v>630.5</v>
      </c>
      <c r="E45" s="6">
        <f>IFERROR(__xludf.DUMMYFUNCTION("""COMPUTED_VALUE"""),635.9)</f>
        <v>635.9</v>
      </c>
      <c r="F45" s="6">
        <f>IFERROR(__xludf.DUMMYFUNCTION("""COMPUTED_VALUE"""),2.259078E7)</f>
        <v>22590780</v>
      </c>
    </row>
    <row r="46">
      <c r="A46" s="7">
        <f>IFERROR(__xludf.DUMMYFUNCTION("""COMPUTED_VALUE"""),45499.64583333333)</f>
        <v>45499.64583</v>
      </c>
      <c r="B46" s="6">
        <f>IFERROR(__xludf.DUMMYFUNCTION("""COMPUTED_VALUE"""),631.9)</f>
        <v>631.9</v>
      </c>
      <c r="C46" s="6">
        <f>IFERROR(__xludf.DUMMYFUNCTION("""COMPUTED_VALUE"""),709.8)</f>
        <v>709.8</v>
      </c>
      <c r="D46" s="6">
        <f>IFERROR(__xludf.DUMMYFUNCTION("""COMPUTED_VALUE"""),623.25)</f>
        <v>623.25</v>
      </c>
      <c r="E46" s="6">
        <f>IFERROR(__xludf.DUMMYFUNCTION("""COMPUTED_VALUE"""),703.35)</f>
        <v>703.35</v>
      </c>
      <c r="F46" s="6">
        <f>IFERROR(__xludf.DUMMYFUNCTION("""COMPUTED_VALUE"""),4.3634651E7)</f>
        <v>43634651</v>
      </c>
    </row>
    <row r="47">
      <c r="A47" s="7">
        <f>IFERROR(__xludf.DUMMYFUNCTION("""COMPUTED_VALUE"""),45506.64583333333)</f>
        <v>45506.64583</v>
      </c>
      <c r="B47" s="6">
        <f>IFERROR(__xludf.DUMMYFUNCTION("""COMPUTED_VALUE"""),703.55)</f>
        <v>703.55</v>
      </c>
      <c r="C47" s="6">
        <f>IFERROR(__xludf.DUMMYFUNCTION("""COMPUTED_VALUE"""),722.5)</f>
        <v>722.5</v>
      </c>
      <c r="D47" s="6">
        <f>IFERROR(__xludf.DUMMYFUNCTION("""COMPUTED_VALUE"""),683.9)</f>
        <v>683.9</v>
      </c>
      <c r="E47" s="6">
        <f>IFERROR(__xludf.DUMMYFUNCTION("""COMPUTED_VALUE"""),707.4)</f>
        <v>707.4</v>
      </c>
      <c r="F47" s="6">
        <f>IFERROR(__xludf.DUMMYFUNCTION("""COMPUTED_VALUE"""),2.4279985E7)</f>
        <v>24279985</v>
      </c>
    </row>
    <row r="48">
      <c r="A48" s="7">
        <f>IFERROR(__xludf.DUMMYFUNCTION("""COMPUTED_VALUE"""),45513.64583333333)</f>
        <v>45513.64583</v>
      </c>
      <c r="B48" s="6">
        <f>IFERROR(__xludf.DUMMYFUNCTION("""COMPUTED_VALUE"""),693.0)</f>
        <v>693</v>
      </c>
      <c r="C48" s="6">
        <f>IFERROR(__xludf.DUMMYFUNCTION("""COMPUTED_VALUE"""),719.0)</f>
        <v>719</v>
      </c>
      <c r="D48" s="6">
        <f>IFERROR(__xludf.DUMMYFUNCTION("""COMPUTED_VALUE"""),677.3)</f>
        <v>677.3</v>
      </c>
      <c r="E48" s="6">
        <f>IFERROR(__xludf.DUMMYFUNCTION("""COMPUTED_VALUE"""),702.4)</f>
        <v>702.4</v>
      </c>
      <c r="F48" s="6">
        <f>IFERROR(__xludf.DUMMYFUNCTION("""COMPUTED_VALUE"""),2.9389482E7)</f>
        <v>29389482</v>
      </c>
    </row>
    <row r="49">
      <c r="A49" s="7">
        <f>IFERROR(__xludf.DUMMYFUNCTION("""COMPUTED_VALUE"""),45520.64583333333)</f>
        <v>45520.64583</v>
      </c>
      <c r="B49" s="6">
        <f>IFERROR(__xludf.DUMMYFUNCTION("""COMPUTED_VALUE"""),698.6)</f>
        <v>698.6</v>
      </c>
      <c r="C49" s="6">
        <f>IFERROR(__xludf.DUMMYFUNCTION("""COMPUTED_VALUE"""),713.65)</f>
        <v>713.65</v>
      </c>
      <c r="D49" s="6">
        <f>IFERROR(__xludf.DUMMYFUNCTION("""COMPUTED_VALUE"""),664.65)</f>
        <v>664.65</v>
      </c>
      <c r="E49" s="6">
        <f>IFERROR(__xludf.DUMMYFUNCTION("""COMPUTED_VALUE"""),689.4)</f>
        <v>689.4</v>
      </c>
      <c r="F49" s="6">
        <f>IFERROR(__xludf.DUMMYFUNCTION("""COMPUTED_VALUE"""),1.7011347E7)</f>
        <v>17011347</v>
      </c>
    </row>
    <row r="50">
      <c r="A50" s="7">
        <f>IFERROR(__xludf.DUMMYFUNCTION("""COMPUTED_VALUE"""),45527.64583333333)</f>
        <v>45527.64583</v>
      </c>
      <c r="B50" s="6">
        <f>IFERROR(__xludf.DUMMYFUNCTION("""COMPUTED_VALUE"""),689.4)</f>
        <v>689.4</v>
      </c>
      <c r="C50" s="6">
        <f>IFERROR(__xludf.DUMMYFUNCTION("""COMPUTED_VALUE"""),730.5)</f>
        <v>730.5</v>
      </c>
      <c r="D50" s="6">
        <f>IFERROR(__xludf.DUMMYFUNCTION("""COMPUTED_VALUE"""),678.5)</f>
        <v>678.5</v>
      </c>
      <c r="E50" s="6">
        <f>IFERROR(__xludf.DUMMYFUNCTION("""COMPUTED_VALUE"""),729.0)</f>
        <v>729</v>
      </c>
      <c r="F50" s="6">
        <f>IFERROR(__xludf.DUMMYFUNCTION("""COMPUTED_VALUE"""),2.315654E7)</f>
        <v>23156540</v>
      </c>
    </row>
    <row r="51">
      <c r="A51" s="7">
        <f>IFERROR(__xludf.DUMMYFUNCTION("""COMPUTED_VALUE"""),45534.64583333333)</f>
        <v>45534.64583</v>
      </c>
      <c r="B51" s="6">
        <f>IFERROR(__xludf.DUMMYFUNCTION("""COMPUTED_VALUE"""),734.0)</f>
        <v>734</v>
      </c>
      <c r="C51" s="6">
        <f>IFERROR(__xludf.DUMMYFUNCTION("""COMPUTED_VALUE"""),748.5)</f>
        <v>748.5</v>
      </c>
      <c r="D51" s="6">
        <f>IFERROR(__xludf.DUMMYFUNCTION("""COMPUTED_VALUE"""),719.25)</f>
        <v>719.25</v>
      </c>
      <c r="E51" s="6">
        <f>IFERROR(__xludf.DUMMYFUNCTION("""COMPUTED_VALUE"""),738.7)</f>
        <v>738.7</v>
      </c>
      <c r="F51" s="6">
        <f>IFERROR(__xludf.DUMMYFUNCTION("""COMPUTED_VALUE"""),2.0945594E7)</f>
        <v>20945594</v>
      </c>
    </row>
    <row r="52">
      <c r="A52" s="7">
        <f>IFERROR(__xludf.DUMMYFUNCTION("""COMPUTED_VALUE"""),45541.64583333333)</f>
        <v>45541.64583</v>
      </c>
      <c r="B52" s="6">
        <f>IFERROR(__xludf.DUMMYFUNCTION("""COMPUTED_VALUE"""),743.15)</f>
        <v>743.15</v>
      </c>
      <c r="C52" s="6">
        <f>IFERROR(__xludf.DUMMYFUNCTION("""COMPUTED_VALUE"""),761.2)</f>
        <v>761.2</v>
      </c>
      <c r="D52" s="6">
        <f>IFERROR(__xludf.DUMMYFUNCTION("""COMPUTED_VALUE"""),736.05)</f>
        <v>736.05</v>
      </c>
      <c r="E52" s="6">
        <f>IFERROR(__xludf.DUMMYFUNCTION("""COMPUTED_VALUE"""),738.4)</f>
        <v>738.4</v>
      </c>
      <c r="F52" s="6">
        <f>IFERROR(__xludf.DUMMYFUNCTION("""COMPUTED_VALUE"""),1.6898676E7)</f>
        <v>16898676</v>
      </c>
    </row>
    <row r="53">
      <c r="A53" s="7">
        <f>IFERROR(__xludf.DUMMYFUNCTION("""COMPUTED_VALUE"""),45548.64583333333)</f>
        <v>45548.64583</v>
      </c>
      <c r="B53" s="6">
        <f>IFERROR(__xludf.DUMMYFUNCTION("""COMPUTED_VALUE"""),735.1)</f>
        <v>735.1</v>
      </c>
      <c r="C53" s="6">
        <f>IFERROR(__xludf.DUMMYFUNCTION("""COMPUTED_VALUE"""),749.0)</f>
        <v>749</v>
      </c>
      <c r="D53" s="6">
        <f>IFERROR(__xludf.DUMMYFUNCTION("""COMPUTED_VALUE"""),696.0)</f>
        <v>696</v>
      </c>
      <c r="E53" s="6">
        <f>IFERROR(__xludf.DUMMYFUNCTION("""COMPUTED_VALUE"""),705.4)</f>
        <v>705.4</v>
      </c>
      <c r="F53" s="6">
        <f>IFERROR(__xludf.DUMMYFUNCTION("""COMPUTED_VALUE"""),1.9980366E7)</f>
        <v>19980366</v>
      </c>
    </row>
    <row r="54">
      <c r="A54" s="7">
        <f>IFERROR(__xludf.DUMMYFUNCTION("""COMPUTED_VALUE"""),45555.64583333333)</f>
        <v>45555.64583</v>
      </c>
      <c r="B54" s="6">
        <f>IFERROR(__xludf.DUMMYFUNCTION("""COMPUTED_VALUE"""),708.85)</f>
        <v>708.85</v>
      </c>
      <c r="C54" s="6">
        <f>IFERROR(__xludf.DUMMYFUNCTION("""COMPUTED_VALUE"""),721.0)</f>
        <v>721</v>
      </c>
      <c r="D54" s="6">
        <f>IFERROR(__xludf.DUMMYFUNCTION("""COMPUTED_VALUE"""),691.55)</f>
        <v>691.55</v>
      </c>
      <c r="E54" s="6">
        <f>IFERROR(__xludf.DUMMYFUNCTION("""COMPUTED_VALUE"""),711.1)</f>
        <v>711.1</v>
      </c>
      <c r="F54" s="6">
        <f>IFERROR(__xludf.DUMMYFUNCTION("""COMPUTED_VALUE"""),1.7361938E7)</f>
        <v>17361938</v>
      </c>
    </row>
    <row r="55">
      <c r="A55" s="7">
        <f>IFERROR(__xludf.DUMMYFUNCTION("""COMPUTED_VALUE"""),45562.64583333333)</f>
        <v>45562.64583</v>
      </c>
      <c r="B55" s="6">
        <f>IFERROR(__xludf.DUMMYFUNCTION("""COMPUTED_VALUE"""),718.85)</f>
        <v>718.85</v>
      </c>
      <c r="C55" s="6">
        <f>IFERROR(__xludf.DUMMYFUNCTION("""COMPUTED_VALUE"""),740.65)</f>
        <v>740.65</v>
      </c>
      <c r="D55" s="6">
        <f>IFERROR(__xludf.DUMMYFUNCTION("""COMPUTED_VALUE"""),710.1)</f>
        <v>710.1</v>
      </c>
      <c r="E55" s="6">
        <f>IFERROR(__xludf.DUMMYFUNCTION("""COMPUTED_VALUE"""),730.2)</f>
        <v>730.2</v>
      </c>
      <c r="F55" s="6">
        <f>IFERROR(__xludf.DUMMYFUNCTION("""COMPUTED_VALUE"""),1.4617652E7)</f>
        <v>14617652</v>
      </c>
    </row>
    <row r="56">
      <c r="A56" s="7">
        <f>IFERROR(__xludf.DUMMYFUNCTION("""COMPUTED_VALUE"""),45569.64583333333)</f>
        <v>45569.64583</v>
      </c>
      <c r="B56" s="6">
        <f>IFERROR(__xludf.DUMMYFUNCTION("""COMPUTED_VALUE"""),735.0)</f>
        <v>735</v>
      </c>
      <c r="C56" s="6">
        <f>IFERROR(__xludf.DUMMYFUNCTION("""COMPUTED_VALUE"""),736.35)</f>
        <v>736.35</v>
      </c>
      <c r="D56" s="6">
        <f>IFERROR(__xludf.DUMMYFUNCTION("""COMPUTED_VALUE"""),696.5)</f>
        <v>696.5</v>
      </c>
      <c r="E56" s="6">
        <f>IFERROR(__xludf.DUMMYFUNCTION("""COMPUTED_VALUE"""),708.8)</f>
        <v>708.8</v>
      </c>
      <c r="F56" s="6">
        <f>IFERROR(__xludf.DUMMYFUNCTION("""COMPUTED_VALUE"""),9635468.0)</f>
        <v>9635468</v>
      </c>
    </row>
    <row r="57">
      <c r="A57" s="7">
        <f>IFERROR(__xludf.DUMMYFUNCTION("""COMPUTED_VALUE"""),45576.64583333333)</f>
        <v>45576.64583</v>
      </c>
      <c r="B57" s="6">
        <f>IFERROR(__xludf.DUMMYFUNCTION("""COMPUTED_VALUE"""),711.65)</f>
        <v>711.65</v>
      </c>
      <c r="C57" s="6">
        <f>IFERROR(__xludf.DUMMYFUNCTION("""COMPUTED_VALUE"""),726.2)</f>
        <v>726.2</v>
      </c>
      <c r="D57" s="6">
        <f>IFERROR(__xludf.DUMMYFUNCTION("""COMPUTED_VALUE"""),699.8)</f>
        <v>699.8</v>
      </c>
      <c r="E57" s="6">
        <f>IFERROR(__xludf.DUMMYFUNCTION("""COMPUTED_VALUE"""),723.85)</f>
        <v>723.85</v>
      </c>
      <c r="F57" s="6">
        <f>IFERROR(__xludf.DUMMYFUNCTION("""COMPUTED_VALUE"""),1.3219038E7)</f>
        <v>13219038</v>
      </c>
    </row>
    <row r="58">
      <c r="A58" s="7">
        <f>IFERROR(__xludf.DUMMYFUNCTION("""COMPUTED_VALUE"""),45583.64583333333)</f>
        <v>45583.64583</v>
      </c>
      <c r="B58" s="6">
        <f>IFERROR(__xludf.DUMMYFUNCTION("""COMPUTED_VALUE"""),728.0)</f>
        <v>728</v>
      </c>
      <c r="C58" s="6">
        <f>IFERROR(__xludf.DUMMYFUNCTION("""COMPUTED_VALUE"""),746.45)</f>
        <v>746.45</v>
      </c>
      <c r="D58" s="6">
        <f>IFERROR(__xludf.DUMMYFUNCTION("""COMPUTED_VALUE"""),711.3)</f>
        <v>711.3</v>
      </c>
      <c r="E58" s="6">
        <f>IFERROR(__xludf.DUMMYFUNCTION("""COMPUTED_VALUE"""),742.45)</f>
        <v>742.45</v>
      </c>
      <c r="F58" s="6">
        <f>IFERROR(__xludf.DUMMYFUNCTION("""COMPUTED_VALUE"""),2.4041196E7)</f>
        <v>24041196</v>
      </c>
    </row>
    <row r="59">
      <c r="A59" s="7">
        <f>IFERROR(__xludf.DUMMYFUNCTION("""COMPUTED_VALUE"""),45590.64583333333)</f>
        <v>45590.64583</v>
      </c>
      <c r="B59" s="6">
        <f>IFERROR(__xludf.DUMMYFUNCTION("""COMPUTED_VALUE"""),748.85)</f>
        <v>748.85</v>
      </c>
      <c r="C59" s="6">
        <f>IFERROR(__xludf.DUMMYFUNCTION("""COMPUTED_VALUE"""),755.45)</f>
        <v>755.45</v>
      </c>
      <c r="D59" s="6">
        <f>IFERROR(__xludf.DUMMYFUNCTION("""COMPUTED_VALUE"""),700.0)</f>
        <v>700</v>
      </c>
      <c r="E59" s="6">
        <f>IFERROR(__xludf.DUMMYFUNCTION("""COMPUTED_VALUE"""),709.45)</f>
        <v>709.45</v>
      </c>
      <c r="F59" s="6">
        <f>IFERROR(__xludf.DUMMYFUNCTION("""COMPUTED_VALUE"""),1.418329E7)</f>
        <v>14183290</v>
      </c>
    </row>
    <row r="60">
      <c r="A60" s="7">
        <f>IFERROR(__xludf.DUMMYFUNCTION("""COMPUTED_VALUE"""),45604.64583333333)</f>
        <v>45604.64583</v>
      </c>
      <c r="B60" s="6">
        <f>IFERROR(__xludf.DUMMYFUNCTION("""COMPUTED_VALUE"""),720.2)</f>
        <v>720.2</v>
      </c>
      <c r="C60" s="6">
        <f>IFERROR(__xludf.DUMMYFUNCTION("""COMPUTED_VALUE"""),727.6)</f>
        <v>727.6</v>
      </c>
      <c r="D60" s="6">
        <f>IFERROR(__xludf.DUMMYFUNCTION("""COMPUTED_VALUE"""),685.4)</f>
        <v>685.4</v>
      </c>
      <c r="E60" s="6">
        <f>IFERROR(__xludf.DUMMYFUNCTION("""COMPUTED_VALUE"""),708.5)</f>
        <v>708.5</v>
      </c>
      <c r="F60" s="6">
        <f>IFERROR(__xludf.DUMMYFUNCTION("""COMPUTED_VALUE"""),1.3169868E7)</f>
        <v>13169868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IFERROR(__xludf.DUMMYFUNCTION("""COMPUTED_VALUE"""),704.1)</f>
        <v>704.1</v>
      </c>
      <c r="C61" s="6">
        <f>IFERROR(__xludf.DUMMYFUNCTION("""COMPUTED_VALUE"""),719.85)</f>
        <v>719.85</v>
      </c>
      <c r="D61" s="6">
        <f>IFERROR(__xludf.DUMMYFUNCTION("""COMPUTED_VALUE"""),681.5)</f>
        <v>681.5</v>
      </c>
      <c r="E61" s="6">
        <f>IFERROR(__xludf.DUMMYFUNCTION("""COMPUTED_VALUE"""),694.0)</f>
        <v>694</v>
      </c>
      <c r="F61" s="6">
        <f>IFERROR(__xludf.DUMMYFUNCTION("""COMPUTED_VALUE"""),8186838.0)</f>
        <v>8186838</v>
      </c>
    </row>
    <row r="62">
      <c r="A62" s="7">
        <f>IFERROR(__xludf.DUMMYFUNCTION("""COMPUTED_VALUE"""),45618.64583333333)</f>
        <v>45618.64583</v>
      </c>
      <c r="B62" s="6">
        <f>IFERROR(__xludf.DUMMYFUNCTION("""COMPUTED_VALUE"""),687.0)</f>
        <v>687</v>
      </c>
      <c r="C62" s="6">
        <f>IFERROR(__xludf.DUMMYFUNCTION("""COMPUTED_VALUE"""),693.95)</f>
        <v>693.95</v>
      </c>
      <c r="D62" s="6">
        <f>IFERROR(__xludf.DUMMYFUNCTION("""COMPUTED_VALUE"""),668.3)</f>
        <v>668.3</v>
      </c>
      <c r="E62" s="6">
        <f>IFERROR(__xludf.DUMMYFUNCTION("""COMPUTED_VALUE"""),688.2)</f>
        <v>688.2</v>
      </c>
      <c r="F62" s="6">
        <f>IFERROR(__xludf.DUMMYFUNCTION("""COMPUTED_VALUE"""),1.2087291E7)</f>
        <v>12087291</v>
      </c>
    </row>
    <row r="63">
      <c r="A63" s="7">
        <f>IFERROR(__xludf.DUMMYFUNCTION("""COMPUTED_VALUE"""),45625.64583333333)</f>
        <v>45625.64583</v>
      </c>
      <c r="B63" s="6">
        <f>IFERROR(__xludf.DUMMYFUNCTION("""COMPUTED_VALUE"""),690.0)</f>
        <v>690</v>
      </c>
      <c r="C63" s="6">
        <f>IFERROR(__xludf.DUMMYFUNCTION("""COMPUTED_VALUE"""),695.8)</f>
        <v>695.8</v>
      </c>
      <c r="D63" s="6">
        <f>IFERROR(__xludf.DUMMYFUNCTION("""COMPUTED_VALUE"""),638.65)</f>
        <v>638.65</v>
      </c>
      <c r="E63" s="6">
        <f>IFERROR(__xludf.DUMMYFUNCTION("""COMPUTED_VALUE"""),657.75)</f>
        <v>657.75</v>
      </c>
      <c r="F63" s="6">
        <f>IFERROR(__xludf.DUMMYFUNCTION("""COMPUTED_VALUE"""),2.8372769E7)</f>
        <v>28372769</v>
      </c>
    </row>
    <row r="64">
      <c r="A64" s="7">
        <f>IFERROR(__xludf.DUMMYFUNCTION("""COMPUTED_VALUE"""),45632.64583333333)</f>
        <v>45632.64583</v>
      </c>
      <c r="B64" s="6">
        <f>IFERROR(__xludf.DUMMYFUNCTION("""COMPUTED_VALUE"""),650.0)</f>
        <v>650</v>
      </c>
      <c r="C64" s="6">
        <f>IFERROR(__xludf.DUMMYFUNCTION("""COMPUTED_VALUE"""),664.0)</f>
        <v>664</v>
      </c>
      <c r="D64" s="6">
        <f>IFERROR(__xludf.DUMMYFUNCTION("""COMPUTED_VALUE"""),632.3)</f>
        <v>632.3</v>
      </c>
      <c r="E64" s="6">
        <f>IFERROR(__xludf.DUMMYFUNCTION("""COMPUTED_VALUE"""),636.5)</f>
        <v>636.5</v>
      </c>
      <c r="F64" s="6">
        <f>IFERROR(__xludf.DUMMYFUNCTION("""COMPUTED_VALUE"""),3.324571E7)</f>
        <v>33245710</v>
      </c>
    </row>
    <row r="65">
      <c r="A65" s="7">
        <f>IFERROR(__xludf.DUMMYFUNCTION("""COMPUTED_VALUE"""),45639.64583333333)</f>
        <v>45639.64583</v>
      </c>
      <c r="B65" s="6">
        <f>IFERROR(__xludf.DUMMYFUNCTION("""COMPUTED_VALUE"""),637.9)</f>
        <v>637.9</v>
      </c>
      <c r="C65" s="6">
        <f>IFERROR(__xludf.DUMMYFUNCTION("""COMPUTED_VALUE"""),646.35)</f>
        <v>646.35</v>
      </c>
      <c r="D65" s="6">
        <f>IFERROR(__xludf.DUMMYFUNCTION("""COMPUTED_VALUE"""),619.9)</f>
        <v>619.9</v>
      </c>
      <c r="E65" s="6">
        <f>IFERROR(__xludf.DUMMYFUNCTION("""COMPUTED_VALUE"""),632.55)</f>
        <v>632.55</v>
      </c>
      <c r="F65" s="6">
        <f>IFERROR(__xludf.DUMMYFUNCTION("""COMPUTED_VALUE"""),1.8962833E7)</f>
        <v>18962833</v>
      </c>
    </row>
    <row r="66">
      <c r="A66" s="7">
        <f>IFERROR(__xludf.DUMMYFUNCTION("""COMPUTED_VALUE"""),45646.64583333333)</f>
        <v>45646.64583</v>
      </c>
      <c r="B66" s="6">
        <f>IFERROR(__xludf.DUMMYFUNCTION("""COMPUTED_VALUE"""),632.55)</f>
        <v>632.55</v>
      </c>
      <c r="C66" s="6">
        <f>IFERROR(__xludf.DUMMYFUNCTION("""COMPUTED_VALUE"""),636.4)</f>
        <v>636.4</v>
      </c>
      <c r="D66" s="6">
        <f>IFERROR(__xludf.DUMMYFUNCTION("""COMPUTED_VALUE"""),615.3)</f>
        <v>615.3</v>
      </c>
      <c r="E66" s="6">
        <f>IFERROR(__xludf.DUMMYFUNCTION("""COMPUTED_VALUE"""),623.8)</f>
        <v>623.8</v>
      </c>
      <c r="F66" s="6">
        <f>IFERROR(__xludf.DUMMYFUNCTION("""COMPUTED_VALUE"""),1.7461716E7)</f>
        <v>17461716</v>
      </c>
    </row>
    <row r="67">
      <c r="A67" s="7">
        <f>IFERROR(__xludf.DUMMYFUNCTION("""COMPUTED_VALUE"""),45653.64583333333)</f>
        <v>45653.64583</v>
      </c>
      <c r="B67" s="6">
        <f>IFERROR(__xludf.DUMMYFUNCTION("""COMPUTED_VALUE"""),625.05)</f>
        <v>625.05</v>
      </c>
      <c r="C67" s="6">
        <f>IFERROR(__xludf.DUMMYFUNCTION("""COMPUTED_VALUE"""),629.45)</f>
        <v>629.45</v>
      </c>
      <c r="D67" s="6">
        <f>IFERROR(__xludf.DUMMYFUNCTION("""COMPUTED_VALUE"""),613.6)</f>
        <v>613.6</v>
      </c>
      <c r="E67" s="6">
        <f>IFERROR(__xludf.DUMMYFUNCTION("""COMPUTED_VALUE"""),621.9)</f>
        <v>621.9</v>
      </c>
      <c r="F67" s="6">
        <f>IFERROR(__xludf.DUMMYFUNCTION("""COMPUTED_VALUE"""),8619860.0)</f>
        <v>8619860</v>
      </c>
    </row>
    <row r="68">
      <c r="A68" s="7">
        <f>IFERROR(__xludf.DUMMYFUNCTION("""COMPUTED_VALUE"""),45660.64583333333)</f>
        <v>45660.64583</v>
      </c>
      <c r="B68" s="6">
        <f>IFERROR(__xludf.DUMMYFUNCTION("""COMPUTED_VALUE"""),620.35)</f>
        <v>620.35</v>
      </c>
      <c r="C68" s="6">
        <f>IFERROR(__xludf.DUMMYFUNCTION("""COMPUTED_VALUE"""),624.05)</f>
        <v>624.05</v>
      </c>
      <c r="D68" s="6">
        <f>IFERROR(__xludf.DUMMYFUNCTION("""COMPUTED_VALUE"""),611.05)</f>
        <v>611.05</v>
      </c>
      <c r="E68" s="6">
        <f>IFERROR(__xludf.DUMMYFUNCTION("""COMPUTED_VALUE"""),623.0)</f>
        <v>623</v>
      </c>
      <c r="F68" s="6">
        <f>IFERROR(__xludf.DUMMYFUNCTION("""COMPUTED_VALUE"""),1.1003134E7)</f>
        <v>11003134</v>
      </c>
    </row>
    <row r="69">
      <c r="A69" s="7">
        <f>IFERROR(__xludf.DUMMYFUNCTION("""COMPUTED_VALUE"""),45667.64583333333)</f>
        <v>45667.64583</v>
      </c>
      <c r="B69" s="6">
        <f>IFERROR(__xludf.DUMMYFUNCTION("""COMPUTED_VALUE"""),627.0)</f>
        <v>627</v>
      </c>
      <c r="C69" s="6">
        <f>IFERROR(__xludf.DUMMYFUNCTION("""COMPUTED_VALUE"""),627.0)</f>
        <v>627</v>
      </c>
      <c r="D69" s="6">
        <f>IFERROR(__xludf.DUMMYFUNCTION("""COMPUTED_VALUE"""),603.0)</f>
        <v>603</v>
      </c>
      <c r="E69" s="6">
        <f>IFERROR(__xludf.DUMMYFUNCTION("""COMPUTED_VALUE"""),608.65)</f>
        <v>608.65</v>
      </c>
      <c r="F69" s="6">
        <f>IFERROR(__xludf.DUMMYFUNCTION("""COMPUTED_VALUE"""),1.4527372E7)</f>
        <v>14527372</v>
      </c>
    </row>
    <row r="70">
      <c r="A70" s="7">
        <f>IFERROR(__xludf.DUMMYFUNCTION("""COMPUTED_VALUE"""),45674.64583333333)</f>
        <v>45674.64583</v>
      </c>
      <c r="B70" s="6">
        <f>IFERROR(__xludf.DUMMYFUNCTION("""COMPUTED_VALUE"""),607.0)</f>
        <v>607</v>
      </c>
      <c r="C70" s="6">
        <f>IFERROR(__xludf.DUMMYFUNCTION("""COMPUTED_VALUE"""),663.6)</f>
        <v>663.6</v>
      </c>
      <c r="D70" s="6">
        <f>IFERROR(__xludf.DUMMYFUNCTION("""COMPUTED_VALUE"""),584.3)</f>
        <v>584.3</v>
      </c>
      <c r="E70" s="6">
        <f>IFERROR(__xludf.DUMMYFUNCTION("""COMPUTED_VALUE"""),642.2)</f>
        <v>642.2</v>
      </c>
      <c r="F70" s="6">
        <f>IFERROR(__xludf.DUMMYFUNCTION("""COMPUTED_VALUE"""),3.8731941E7)</f>
        <v>38731941</v>
      </c>
    </row>
    <row r="71">
      <c r="A71" s="7">
        <f>IFERROR(__xludf.DUMMYFUNCTION("""COMPUTED_VALUE"""),45681.64583333333)</f>
        <v>45681.64583</v>
      </c>
      <c r="B71" s="6">
        <f>IFERROR(__xludf.DUMMYFUNCTION("""COMPUTED_VALUE"""),642.0)</f>
        <v>642</v>
      </c>
      <c r="C71" s="6">
        <f>IFERROR(__xludf.DUMMYFUNCTION("""COMPUTED_VALUE"""),644.05)</f>
        <v>644.05</v>
      </c>
      <c r="D71" s="6">
        <f>IFERROR(__xludf.DUMMYFUNCTION("""COMPUTED_VALUE"""),612.6)</f>
        <v>612.6</v>
      </c>
      <c r="E71" s="6">
        <f>IFERROR(__xludf.DUMMYFUNCTION("""COMPUTED_VALUE"""),621.1)</f>
        <v>621.1</v>
      </c>
      <c r="F71" s="6">
        <f>IFERROR(__xludf.DUMMYFUNCTION("""COMPUTED_VALUE"""),9538896.0)</f>
        <v>9538896</v>
      </c>
    </row>
    <row r="72">
      <c r="A72" s="7">
        <f>IFERROR(__xludf.DUMMYFUNCTION("""COMPUTED_VALUE"""),45695.64583333333)</f>
        <v>45695.64583</v>
      </c>
      <c r="B72" s="6">
        <f>IFERROR(__xludf.DUMMYFUNCTION("""COMPUTED_VALUE"""),615.5)</f>
        <v>615.5</v>
      </c>
      <c r="C72" s="6">
        <f>IFERROR(__xludf.DUMMYFUNCTION("""COMPUTED_VALUE"""),639.0)</f>
        <v>639</v>
      </c>
      <c r="D72" s="6">
        <f>IFERROR(__xludf.DUMMYFUNCTION("""COMPUTED_VALUE"""),610.0)</f>
        <v>610</v>
      </c>
      <c r="E72" s="6">
        <f>IFERROR(__xludf.DUMMYFUNCTION("""COMPUTED_VALUE"""),635.7)</f>
        <v>635.7</v>
      </c>
      <c r="F72" s="6">
        <f>IFERROR(__xludf.DUMMYFUNCTION("""COMPUTED_VALUE"""),1.8381188E7)</f>
        <v>18381188</v>
      </c>
    </row>
    <row r="73">
      <c r="A73" s="7">
        <f>IFERROR(__xludf.DUMMYFUNCTION("""COMPUTED_VALUE"""),45702.64583333333)</f>
        <v>45702.64583</v>
      </c>
      <c r="B73" s="6">
        <f>IFERROR(__xludf.DUMMYFUNCTION("""COMPUTED_VALUE"""),636.0)</f>
        <v>636</v>
      </c>
      <c r="C73" s="6">
        <f>IFERROR(__xludf.DUMMYFUNCTION("""COMPUTED_VALUE"""),640.8)</f>
        <v>640.8</v>
      </c>
      <c r="D73" s="6">
        <f>IFERROR(__xludf.DUMMYFUNCTION("""COMPUTED_VALUE"""),608.15)</f>
        <v>608.15</v>
      </c>
      <c r="E73" s="6">
        <f>IFERROR(__xludf.DUMMYFUNCTION("""COMPUTED_VALUE"""),626.2)</f>
        <v>626.2</v>
      </c>
      <c r="F73" s="6">
        <f>IFERROR(__xludf.DUMMYFUNCTION("""COMPUTED_VALUE"""),1.3601944E7)</f>
        <v>13601944</v>
      </c>
    </row>
    <row r="74">
      <c r="A74" s="7">
        <f>IFERROR(__xludf.DUMMYFUNCTION("""COMPUTED_VALUE"""),45709.64583333333)</f>
        <v>45709.64583</v>
      </c>
      <c r="B74" s="6">
        <f>IFERROR(__xludf.DUMMYFUNCTION("""COMPUTED_VALUE"""),626.2)</f>
        <v>626.2</v>
      </c>
      <c r="C74" s="6">
        <f>IFERROR(__xludf.DUMMYFUNCTION("""COMPUTED_VALUE"""),630.0)</f>
        <v>630</v>
      </c>
      <c r="D74" s="6">
        <f>IFERROR(__xludf.DUMMYFUNCTION("""COMPUTED_VALUE"""),611.35)</f>
        <v>611.35</v>
      </c>
      <c r="E74" s="6">
        <f>IFERROR(__xludf.DUMMYFUNCTION("""COMPUTED_VALUE"""),622.85)</f>
        <v>622.85</v>
      </c>
      <c r="F74" s="6">
        <f>IFERROR(__xludf.DUMMYFUNCTION("""COMPUTED_VALUE"""),1.0265195E7)</f>
        <v>10265195</v>
      </c>
    </row>
    <row r="75">
      <c r="A75" s="7">
        <f>IFERROR(__xludf.DUMMYFUNCTION("""COMPUTED_VALUE"""),45716.64583333333)</f>
        <v>45716.64583</v>
      </c>
      <c r="B75" s="6">
        <f>IFERROR(__xludf.DUMMYFUNCTION("""COMPUTED_VALUE"""),616.0)</f>
        <v>616</v>
      </c>
      <c r="C75" s="6">
        <f>IFERROR(__xludf.DUMMYFUNCTION("""COMPUTED_VALUE"""),627.85)</f>
        <v>627.85</v>
      </c>
      <c r="D75" s="6">
        <f>IFERROR(__xludf.DUMMYFUNCTION("""COMPUTED_VALUE"""),600.35)</f>
        <v>600.35</v>
      </c>
      <c r="E75" s="6">
        <f>IFERROR(__xludf.DUMMYFUNCTION("""COMPUTED_VALUE"""),608.5)</f>
        <v>608.5</v>
      </c>
      <c r="F75" s="6">
        <f>IFERROR(__xludf.DUMMYFUNCTION("""COMPUTED_VALUE"""),9434793.0)</f>
        <v>9434793</v>
      </c>
    </row>
    <row r="76">
      <c r="A76" s="7">
        <f>IFERROR(__xludf.DUMMYFUNCTION("""COMPUTED_VALUE"""),45723.64583333333)</f>
        <v>45723.64583</v>
      </c>
      <c r="B76" s="6">
        <f>IFERROR(__xludf.DUMMYFUNCTION("""COMPUTED_VALUE"""),608.5)</f>
        <v>608.5</v>
      </c>
      <c r="C76" s="6">
        <f>IFERROR(__xludf.DUMMYFUNCTION("""COMPUTED_VALUE"""),633.0)</f>
        <v>633</v>
      </c>
      <c r="D76" s="6">
        <f>IFERROR(__xludf.DUMMYFUNCTION("""COMPUTED_VALUE"""),607.0)</f>
        <v>607</v>
      </c>
      <c r="E76" s="6">
        <f>IFERROR(__xludf.DUMMYFUNCTION("""COMPUTED_VALUE"""),625.2)</f>
        <v>625.2</v>
      </c>
      <c r="F76" s="6">
        <f>IFERROR(__xludf.DUMMYFUNCTION("""COMPUTED_VALUE"""),1.5209178E7)</f>
        <v>15209178</v>
      </c>
    </row>
    <row r="77">
      <c r="A77" s="7">
        <f>IFERROR(__xludf.DUMMYFUNCTION("""COMPUTED_VALUE"""),45729.64583333333)</f>
        <v>45729.64583</v>
      </c>
      <c r="B77" s="6">
        <f>IFERROR(__xludf.DUMMYFUNCTION("""COMPUTED_VALUE"""),625.05)</f>
        <v>625.05</v>
      </c>
      <c r="C77" s="6">
        <f>IFERROR(__xludf.DUMMYFUNCTION("""COMPUTED_VALUE"""),639.75)</f>
        <v>639.75</v>
      </c>
      <c r="D77" s="6">
        <f>IFERROR(__xludf.DUMMYFUNCTION("""COMPUTED_VALUE"""),614.65)</f>
        <v>614.65</v>
      </c>
      <c r="E77" s="6">
        <f>IFERROR(__xludf.DUMMYFUNCTION("""COMPUTED_VALUE"""),622.4)</f>
        <v>622.4</v>
      </c>
      <c r="F77" s="6">
        <f>IFERROR(__xludf.DUMMYFUNCTION("""COMPUTED_VALUE"""),9909010.0)</f>
        <v>9909010</v>
      </c>
    </row>
    <row r="78">
      <c r="A78" s="7">
        <f>IFERROR(__xludf.DUMMYFUNCTION("""COMPUTED_VALUE"""),45737.64583333333)</f>
        <v>45737.64583</v>
      </c>
      <c r="B78" s="6">
        <f>IFERROR(__xludf.DUMMYFUNCTION("""COMPUTED_VALUE"""),631.15)</f>
        <v>631.15</v>
      </c>
      <c r="C78" s="6">
        <f>IFERROR(__xludf.DUMMYFUNCTION("""COMPUTED_VALUE"""),681.1)</f>
        <v>681.1</v>
      </c>
      <c r="D78" s="6">
        <f>IFERROR(__xludf.DUMMYFUNCTION("""COMPUTED_VALUE"""),629.15)</f>
        <v>629.15</v>
      </c>
      <c r="E78" s="6">
        <f>IFERROR(__xludf.DUMMYFUNCTION("""COMPUTED_VALUE"""),679.6)</f>
        <v>679.6</v>
      </c>
      <c r="F78" s="6">
        <f>IFERROR(__xludf.DUMMYFUNCTION("""COMPUTED_VALUE"""),1.2716336E7)</f>
        <v>12716336</v>
      </c>
    </row>
    <row r="79">
      <c r="A79" s="7">
        <f>IFERROR(__xludf.DUMMYFUNCTION("""COMPUTED_VALUE"""),45744.64583333333)</f>
        <v>45744.64583</v>
      </c>
      <c r="B79" s="6">
        <f>IFERROR(__xludf.DUMMYFUNCTION("""COMPUTED_VALUE"""),679.6)</f>
        <v>679.6</v>
      </c>
      <c r="C79" s="6">
        <f>IFERROR(__xludf.DUMMYFUNCTION("""COMPUTED_VALUE"""),688.25)</f>
        <v>688.25</v>
      </c>
      <c r="D79" s="6">
        <f>IFERROR(__xludf.DUMMYFUNCTION("""COMPUTED_VALUE"""),664.85)</f>
        <v>664.85</v>
      </c>
      <c r="E79" s="6">
        <f>IFERROR(__xludf.DUMMYFUNCTION("""COMPUTED_VALUE"""),685.7)</f>
        <v>685.7</v>
      </c>
      <c r="F79" s="6">
        <f>IFERROR(__xludf.DUMMYFUNCTION("""COMPUTED_VALUE"""),1.4719522E7)</f>
        <v>14719522</v>
      </c>
    </row>
    <row r="80">
      <c r="A80" s="7">
        <f>IFERROR(__xludf.DUMMYFUNCTION("""COMPUTED_VALUE"""),45751.64583333333)</f>
        <v>45751.64583</v>
      </c>
      <c r="B80" s="6">
        <f>IFERROR(__xludf.DUMMYFUNCTION("""COMPUTED_VALUE"""),683.0)</f>
        <v>683</v>
      </c>
      <c r="C80" s="6">
        <f>IFERROR(__xludf.DUMMYFUNCTION("""COMPUTED_VALUE"""),701.75)</f>
        <v>701.75</v>
      </c>
      <c r="D80" s="6">
        <f>IFERROR(__xludf.DUMMYFUNCTION("""COMPUTED_VALUE"""),675.0)</f>
        <v>675</v>
      </c>
      <c r="E80" s="6">
        <f>IFERROR(__xludf.DUMMYFUNCTION("""COMPUTED_VALUE"""),689.05)</f>
        <v>689.05</v>
      </c>
      <c r="F80" s="6">
        <f>IFERROR(__xludf.DUMMYFUNCTION("""COMPUTED_VALUE"""),1.288882E7)</f>
        <v>12888820</v>
      </c>
    </row>
    <row r="81">
      <c r="A81" s="7">
        <f>IFERROR(__xludf.DUMMYFUNCTION("""COMPUTED_VALUE"""),45758.64583333333)</f>
        <v>45758.64583</v>
      </c>
      <c r="B81" s="6">
        <f>IFERROR(__xludf.DUMMYFUNCTION("""COMPUTED_VALUE"""),663.75)</f>
        <v>663.75</v>
      </c>
      <c r="C81" s="6">
        <f>IFERROR(__xludf.DUMMYFUNCTION("""COMPUTED_VALUE"""),691.6)</f>
        <v>691.6</v>
      </c>
      <c r="D81" s="6">
        <f>IFERROR(__xludf.DUMMYFUNCTION("""COMPUTED_VALUE"""),651.7)</f>
        <v>651.7</v>
      </c>
      <c r="E81" s="6">
        <f>IFERROR(__xludf.DUMMYFUNCTION("""COMPUTED_VALUE"""),685.55)</f>
        <v>685.55</v>
      </c>
      <c r="F81" s="6">
        <f>IFERROR(__xludf.DUMMYFUNCTION("""COMPUTED_VALUE"""),1.3460729E7)</f>
        <v>13460729</v>
      </c>
    </row>
    <row r="82">
      <c r="A82" s="7">
        <f>IFERROR(__xludf.DUMMYFUNCTION("""COMPUTED_VALUE"""),45764.64583333333)</f>
        <v>45764.64583</v>
      </c>
      <c r="B82" s="6">
        <f>IFERROR(__xludf.DUMMYFUNCTION("""COMPUTED_VALUE"""),691.15)</f>
        <v>691.15</v>
      </c>
      <c r="C82" s="6">
        <f>IFERROR(__xludf.DUMMYFUNCTION("""COMPUTED_VALUE"""),723.75)</f>
        <v>723.75</v>
      </c>
      <c r="D82" s="6">
        <f>IFERROR(__xludf.DUMMYFUNCTION("""COMPUTED_VALUE"""),690.3)</f>
        <v>690.3</v>
      </c>
      <c r="E82" s="6">
        <f>IFERROR(__xludf.DUMMYFUNCTION("""COMPUTED_VALUE"""),720.05)</f>
        <v>720.05</v>
      </c>
      <c r="F82" s="6">
        <f>IFERROR(__xludf.DUMMYFUNCTION("""COMPUTED_VALUE"""),8864711.0)</f>
        <v>8864711</v>
      </c>
    </row>
    <row r="83">
      <c r="A83" s="7">
        <f>IFERROR(__xludf.DUMMYFUNCTION("""COMPUTED_VALUE"""),45772.64583333333)</f>
        <v>45772.64583</v>
      </c>
      <c r="B83" s="6">
        <f>IFERROR(__xludf.DUMMYFUNCTION("""COMPUTED_VALUE"""),725.0)</f>
        <v>725</v>
      </c>
      <c r="C83" s="6">
        <f>IFERROR(__xludf.DUMMYFUNCTION("""COMPUTED_VALUE"""),733.5)</f>
        <v>733.5</v>
      </c>
      <c r="D83" s="6">
        <f>IFERROR(__xludf.DUMMYFUNCTION("""COMPUTED_VALUE"""),692.65)</f>
        <v>692.65</v>
      </c>
      <c r="E83" s="6">
        <f>IFERROR(__xludf.DUMMYFUNCTION("""COMPUTED_VALUE"""),704.55)</f>
        <v>704.55</v>
      </c>
      <c r="F83" s="6">
        <f>IFERROR(__xludf.DUMMYFUNCTION("""COMPUTED_VALUE"""),1.8458204E7)</f>
        <v>18458204</v>
      </c>
    </row>
    <row r="84">
      <c r="A84" s="7">
        <f>IFERROR(__xludf.DUMMYFUNCTION("""COMPUTED_VALUE"""),45779.64583333333)</f>
        <v>45779.64583</v>
      </c>
      <c r="B84" s="6">
        <f>IFERROR(__xludf.DUMMYFUNCTION("""COMPUTED_VALUE"""),702.7)</f>
        <v>702.7</v>
      </c>
      <c r="C84" s="6">
        <f>IFERROR(__xludf.DUMMYFUNCTION("""COMPUTED_VALUE"""),749.8)</f>
        <v>749.8</v>
      </c>
      <c r="D84" s="6">
        <f>IFERROR(__xludf.DUMMYFUNCTION("""COMPUTED_VALUE"""),698.1)</f>
        <v>698.1</v>
      </c>
      <c r="E84" s="6">
        <f>IFERROR(__xludf.DUMMYFUNCTION("""COMPUTED_VALUE"""),727.75)</f>
        <v>727.75</v>
      </c>
      <c r="F84" s="6">
        <f>IFERROR(__xludf.DUMMYFUNCTION("""COMPUTED_VALUE"""),1.5735016E7)</f>
        <v>15735016</v>
      </c>
    </row>
    <row r="85">
      <c r="A85" s="7">
        <f>IFERROR(__xludf.DUMMYFUNCTION("""COMPUTED_VALUE"""),45786.64583333333)</f>
        <v>45786.64583</v>
      </c>
      <c r="B85" s="6">
        <f>IFERROR(__xludf.DUMMYFUNCTION("""COMPUTED_VALUE"""),730.1)</f>
        <v>730.1</v>
      </c>
      <c r="C85" s="6">
        <f>IFERROR(__xludf.DUMMYFUNCTION("""COMPUTED_VALUE"""),742.65)</f>
        <v>742.65</v>
      </c>
      <c r="D85" s="6">
        <f>IFERROR(__xludf.DUMMYFUNCTION("""COMPUTED_VALUE"""),708.4)</f>
        <v>708.4</v>
      </c>
      <c r="E85" s="6">
        <f>IFERROR(__xludf.DUMMYFUNCTION("""COMPUTED_VALUE"""),713.6)</f>
        <v>713.6</v>
      </c>
      <c r="F85" s="6">
        <f>IFERROR(__xludf.DUMMYFUNCTION("""COMPUTED_VALUE"""),1.2185967E7)</f>
        <v>12185967</v>
      </c>
    </row>
    <row r="86">
      <c r="A86" s="7">
        <f>IFERROR(__xludf.DUMMYFUNCTION("""COMPUTED_VALUE"""),45793.64583333333)</f>
        <v>45793.64583</v>
      </c>
      <c r="B86" s="6">
        <f>IFERROR(__xludf.DUMMYFUNCTION("""COMPUTED_VALUE"""),720.0)</f>
        <v>720</v>
      </c>
      <c r="C86" s="6">
        <f>IFERROR(__xludf.DUMMYFUNCTION("""COMPUTED_VALUE"""),754.0)</f>
        <v>754</v>
      </c>
      <c r="D86" s="6">
        <f>IFERROR(__xludf.DUMMYFUNCTION("""COMPUTED_VALUE"""),720.0)</f>
        <v>720</v>
      </c>
      <c r="E86" s="6">
        <f>IFERROR(__xludf.DUMMYFUNCTION("""COMPUTED_VALUE"""),750.55)</f>
        <v>750.55</v>
      </c>
      <c r="F86" s="6">
        <f>IFERROR(__xludf.DUMMYFUNCTION("""COMPUTED_VALUE"""),9757209.0)</f>
        <v>9757209</v>
      </c>
    </row>
    <row r="87">
      <c r="A87" s="7">
        <f>IFERROR(__xludf.DUMMYFUNCTION("""COMPUTED_VALUE"""),45800.64583333333)</f>
        <v>45800.64583</v>
      </c>
      <c r="B87" s="6">
        <f>IFERROR(__xludf.DUMMYFUNCTION("""COMPUTED_VALUE"""),747.0)</f>
        <v>747</v>
      </c>
      <c r="C87" s="6">
        <f>IFERROR(__xludf.DUMMYFUNCTION("""COMPUTED_VALUE"""),781.35)</f>
        <v>781.35</v>
      </c>
      <c r="D87" s="6">
        <f>IFERROR(__xludf.DUMMYFUNCTION("""COMPUTED_VALUE"""),745.75)</f>
        <v>745.75</v>
      </c>
      <c r="E87" s="6">
        <f>IFERROR(__xludf.DUMMYFUNCTION("""COMPUTED_VALUE"""),780.4)</f>
        <v>780.4</v>
      </c>
      <c r="F87" s="6">
        <f>IFERROR(__xludf.DUMMYFUNCTION("""COMPUTED_VALUE"""),1.2211287E7)</f>
        <v>12211287</v>
      </c>
    </row>
    <row r="88">
      <c r="A88" s="7">
        <f>IFERROR(__xludf.DUMMYFUNCTION("""COMPUTED_VALUE"""),45807.64583333333)</f>
        <v>45807.64583</v>
      </c>
      <c r="B88" s="6">
        <f>IFERROR(__xludf.DUMMYFUNCTION("""COMPUTED_VALUE"""),784.3)</f>
        <v>784.3</v>
      </c>
      <c r="C88" s="6">
        <f>IFERROR(__xludf.DUMMYFUNCTION("""COMPUTED_VALUE"""),791.1)</f>
        <v>791.1</v>
      </c>
      <c r="D88" s="6">
        <f>IFERROR(__xludf.DUMMYFUNCTION("""COMPUTED_VALUE"""),769.7)</f>
        <v>769.7</v>
      </c>
      <c r="E88" s="6">
        <f>IFERROR(__xludf.DUMMYFUNCTION("""COMPUTED_VALUE"""),776.85)</f>
        <v>776.85</v>
      </c>
      <c r="F88" s="6">
        <f>IFERROR(__xludf.DUMMYFUNCTION("""COMPUTED_VALUE"""),1.6079311E7)</f>
        <v>16079311</v>
      </c>
    </row>
    <row r="89">
      <c r="A89" s="7">
        <f>IFERROR(__xludf.DUMMYFUNCTION("""COMPUTED_VALUE"""),45814.64583333333)</f>
        <v>45814.64583</v>
      </c>
      <c r="B89" s="6">
        <f>IFERROR(__xludf.DUMMYFUNCTION("""COMPUTED_VALUE"""),771.75)</f>
        <v>771.75</v>
      </c>
      <c r="C89" s="6">
        <f>IFERROR(__xludf.DUMMYFUNCTION("""COMPUTED_VALUE"""),782.5)</f>
        <v>782.5</v>
      </c>
      <c r="D89" s="6">
        <f>IFERROR(__xludf.DUMMYFUNCTION("""COMPUTED_VALUE"""),747.0)</f>
        <v>747</v>
      </c>
      <c r="E89" s="6">
        <f>IFERROR(__xludf.DUMMYFUNCTION("""COMPUTED_VALUE"""),755.1)</f>
        <v>755.1</v>
      </c>
      <c r="F89" s="6">
        <f>IFERROR(__xludf.DUMMYFUNCTION("""COMPUTED_VALUE"""),1.1990355E7)</f>
        <v>11990355</v>
      </c>
    </row>
    <row r="90">
      <c r="A90" s="7">
        <f>IFERROR(__xludf.DUMMYFUNCTION("""COMPUTED_VALUE"""),45821.64583333333)</f>
        <v>45821.64583</v>
      </c>
      <c r="B90" s="6">
        <f>IFERROR(__xludf.DUMMYFUNCTION("""COMPUTED_VALUE"""),755.1)</f>
        <v>755.1</v>
      </c>
      <c r="C90" s="6">
        <f>IFERROR(__xludf.DUMMYFUNCTION("""COMPUTED_VALUE"""),772.25)</f>
        <v>772.25</v>
      </c>
      <c r="D90" s="6">
        <f>IFERROR(__xludf.DUMMYFUNCTION("""COMPUTED_VALUE"""),740.25)</f>
        <v>740.25</v>
      </c>
      <c r="E90" s="6">
        <f>IFERROR(__xludf.DUMMYFUNCTION("""COMPUTED_VALUE"""),752.85)</f>
        <v>752.85</v>
      </c>
      <c r="F90" s="6">
        <f>IFERROR(__xludf.DUMMYFUNCTION("""COMPUTED_VALUE"""),9940936.0)</f>
        <v>9940936</v>
      </c>
    </row>
    <row r="91">
      <c r="A91" s="7">
        <f>IFERROR(__xludf.DUMMYFUNCTION("""COMPUTED_VALUE"""),45828.64583333333)</f>
        <v>45828.64583</v>
      </c>
      <c r="B91" s="6">
        <f>IFERROR(__xludf.DUMMYFUNCTION("""COMPUTED_VALUE"""),750.85)</f>
        <v>750.85</v>
      </c>
      <c r="C91" s="6">
        <f>IFERROR(__xludf.DUMMYFUNCTION("""COMPUTED_VALUE"""),781.2)</f>
        <v>781.2</v>
      </c>
      <c r="D91" s="6">
        <f>IFERROR(__xludf.DUMMYFUNCTION("""COMPUTED_VALUE"""),750.1)</f>
        <v>750.1</v>
      </c>
      <c r="E91" s="6">
        <f>IFERROR(__xludf.DUMMYFUNCTION("""COMPUTED_VALUE"""),778.95)</f>
        <v>778.95</v>
      </c>
      <c r="F91" s="6">
        <f>IFERROR(__xludf.DUMMYFUNCTION("""COMPUTED_VALUE"""),1.3579211E7)</f>
        <v>13579211</v>
      </c>
    </row>
    <row r="92">
      <c r="A92" s="7">
        <f>IFERROR(__xludf.DUMMYFUNCTION("""COMPUTED_VALUE"""),45835.64583333333)</f>
        <v>45835.64583</v>
      </c>
      <c r="B92" s="6">
        <f>IFERROR(__xludf.DUMMYFUNCTION("""COMPUTED_VALUE"""),769.95)</f>
        <v>769.95</v>
      </c>
      <c r="C92" s="6">
        <f>IFERROR(__xludf.DUMMYFUNCTION("""COMPUTED_VALUE"""),811.2)</f>
        <v>811.2</v>
      </c>
      <c r="D92" s="6">
        <f>IFERROR(__xludf.DUMMYFUNCTION("""COMPUTED_VALUE"""),769.0)</f>
        <v>769</v>
      </c>
      <c r="E92" s="6">
        <f>IFERROR(__xludf.DUMMYFUNCTION("""COMPUTED_VALUE"""),806.95)</f>
        <v>806.95</v>
      </c>
      <c r="F92" s="6">
        <f>IFERROR(__xludf.DUMMYFUNCTION("""COMPUTED_VALUE"""),2.8073417E7)</f>
        <v>28073417</v>
      </c>
    </row>
    <row r="93">
      <c r="A93" s="7">
        <f>IFERROR(__xludf.DUMMYFUNCTION("""COMPUTED_VALUE"""),45842.64583333333)</f>
        <v>45842.64583</v>
      </c>
      <c r="B93" s="6">
        <f>IFERROR(__xludf.DUMMYFUNCTION("""COMPUTED_VALUE"""),809.0)</f>
        <v>809</v>
      </c>
      <c r="C93" s="6">
        <f>IFERROR(__xludf.DUMMYFUNCTION("""COMPUTED_VALUE"""),820.75)</f>
        <v>820.75</v>
      </c>
      <c r="D93" s="6">
        <f>IFERROR(__xludf.DUMMYFUNCTION("""COMPUTED_VALUE"""),777.2)</f>
        <v>777.2</v>
      </c>
      <c r="E93" s="6">
        <f>IFERROR(__xludf.DUMMYFUNCTION("""COMPUTED_VALUE"""),785.1)</f>
        <v>785.1</v>
      </c>
      <c r="F93" s="6">
        <f>IFERROR(__xludf.DUMMYFUNCTION("""COMPUTED_VALUE"""),1.379687E7)</f>
        <v>13796870</v>
      </c>
    </row>
    <row r="94">
      <c r="A94" s="7">
        <f>IFERROR(__xludf.DUMMYFUNCTION("""COMPUTED_VALUE"""),45849.64583333333)</f>
        <v>45849.64583</v>
      </c>
      <c r="B94" s="6">
        <f>IFERROR(__xludf.DUMMYFUNCTION("""COMPUTED_VALUE"""),781.05)</f>
        <v>781.05</v>
      </c>
      <c r="C94" s="6">
        <f>IFERROR(__xludf.DUMMYFUNCTION("""COMPUTED_VALUE"""),797.95)</f>
        <v>797.95</v>
      </c>
      <c r="D94" s="6">
        <f>IFERROR(__xludf.DUMMYFUNCTION("""COMPUTED_VALUE"""),756.85)</f>
        <v>756.85</v>
      </c>
      <c r="E94" s="6">
        <f>IFERROR(__xludf.DUMMYFUNCTION("""COMPUTED_VALUE"""),759.0)</f>
        <v>759</v>
      </c>
      <c r="F94" s="6">
        <f>IFERROR(__xludf.DUMMYFUNCTION("""COMPUTED_VALUE"""),1.5480637E7)</f>
        <v>15480637</v>
      </c>
    </row>
    <row r="95">
      <c r="A95" s="7">
        <f>IFERROR(__xludf.DUMMYFUNCTION("""COMPUTED_VALUE"""),45856.64583333333)</f>
        <v>45856.64583</v>
      </c>
      <c r="B95" s="6">
        <f>IFERROR(__xludf.DUMMYFUNCTION("""COMPUTED_VALUE"""),755.2)</f>
        <v>755.2</v>
      </c>
      <c r="C95" s="6">
        <f>IFERROR(__xludf.DUMMYFUNCTION("""COMPUTED_VALUE"""),776.9)</f>
        <v>776.9</v>
      </c>
      <c r="D95" s="6">
        <f>IFERROR(__xludf.DUMMYFUNCTION("""COMPUTED_VALUE"""),736.4)</f>
        <v>736.4</v>
      </c>
      <c r="E95" s="6">
        <f>IFERROR(__xludf.DUMMYFUNCTION("""COMPUTED_VALUE"""),739.5)</f>
        <v>739.5</v>
      </c>
      <c r="F95" s="6">
        <f>IFERROR(__xludf.DUMMYFUNCTION("""COMPUTED_VALUE"""),1.8738446E7)</f>
        <v>18738446</v>
      </c>
    </row>
    <row r="96">
      <c r="A96" s="7">
        <f>IFERROR(__xludf.DUMMYFUNCTION("""COMPUTED_VALUE"""),45863.64583333333)</f>
        <v>45863.64583</v>
      </c>
      <c r="B96" s="6">
        <f>IFERROR(__xludf.DUMMYFUNCTION("""COMPUTED_VALUE"""),738.0)</f>
        <v>738</v>
      </c>
      <c r="C96" s="6">
        <f>IFERROR(__xludf.DUMMYFUNCTION("""COMPUTED_VALUE"""),768.55)</f>
        <v>768.55</v>
      </c>
      <c r="D96" s="6">
        <f>IFERROR(__xludf.DUMMYFUNCTION("""COMPUTED_VALUE"""),732.85)</f>
        <v>732.85</v>
      </c>
      <c r="E96" s="6">
        <f>IFERROR(__xludf.DUMMYFUNCTION("""COMPUTED_VALUE"""),762.35)</f>
        <v>762.35</v>
      </c>
      <c r="F96" s="6">
        <f>IFERROR(__xludf.DUMMYFUNCTION("""COMPUTED_VALUE"""),1.0687907E7)</f>
        <v>10687907</v>
      </c>
    </row>
    <row r="97">
      <c r="A97" s="7">
        <f>IFERROR(__xludf.DUMMYFUNCTION("""COMPUTED_VALUE"""),45870.64583333333)</f>
        <v>45870.64583</v>
      </c>
      <c r="B97" s="6">
        <f>IFERROR(__xludf.DUMMYFUNCTION("""COMPUTED_VALUE"""),762.0)</f>
        <v>762</v>
      </c>
      <c r="C97" s="6">
        <f>IFERROR(__xludf.DUMMYFUNCTION("""COMPUTED_VALUE"""),769.8)</f>
        <v>769.8</v>
      </c>
      <c r="D97" s="6">
        <f>IFERROR(__xludf.DUMMYFUNCTION("""COMPUTED_VALUE"""),740.1)</f>
        <v>740.1</v>
      </c>
      <c r="E97" s="6">
        <f>IFERROR(__xludf.DUMMYFUNCTION("""COMPUTED_VALUE"""),741.7)</f>
        <v>741.7</v>
      </c>
      <c r="F97" s="6">
        <f>IFERROR(__xludf.DUMMYFUNCTION("""COMPUTED_VALUE"""),8131457.0)</f>
        <v>8131457</v>
      </c>
    </row>
    <row r="98">
      <c r="A98" s="7">
        <f>IFERROR(__xludf.DUMMYFUNCTION("""COMPUTED_VALUE"""),45877.64583333333)</f>
        <v>45877.64583</v>
      </c>
      <c r="B98" s="6">
        <f>IFERROR(__xludf.DUMMYFUNCTION("""COMPUTED_VALUE"""),741.5)</f>
        <v>741.5</v>
      </c>
      <c r="C98" s="6">
        <f>IFERROR(__xludf.DUMMYFUNCTION("""COMPUTED_VALUE"""),764.5)</f>
        <v>764.5</v>
      </c>
      <c r="D98" s="6">
        <f>IFERROR(__xludf.DUMMYFUNCTION("""COMPUTED_VALUE"""),731.65)</f>
        <v>731.65</v>
      </c>
      <c r="E98" s="6">
        <f>IFERROR(__xludf.DUMMYFUNCTION("""COMPUTED_VALUE"""),761.55)</f>
        <v>761.55</v>
      </c>
      <c r="F98" s="6">
        <f>IFERROR(__xludf.DUMMYFUNCTION("""COMPUTED_VALUE"""),9975342.0)</f>
        <v>9975342</v>
      </c>
    </row>
    <row r="99">
      <c r="A99" s="7">
        <f>IFERROR(__xludf.DUMMYFUNCTION("""COMPUTED_VALUE"""),45883.64583333333)</f>
        <v>45883.64583</v>
      </c>
      <c r="B99" s="6">
        <f>IFERROR(__xludf.DUMMYFUNCTION("""COMPUTED_VALUE"""),763.5)</f>
        <v>763.5</v>
      </c>
      <c r="C99" s="6">
        <f>IFERROR(__xludf.DUMMYFUNCTION("""COMPUTED_VALUE"""),790.75)</f>
        <v>790.75</v>
      </c>
      <c r="D99" s="6">
        <f>IFERROR(__xludf.DUMMYFUNCTION("""COMPUTED_VALUE"""),753.7)</f>
        <v>753.7</v>
      </c>
      <c r="E99" s="6">
        <f>IFERROR(__xludf.DUMMYFUNCTION("""COMPUTED_VALUE"""),788.75)</f>
        <v>788.75</v>
      </c>
      <c r="F99" s="6">
        <f>IFERROR(__xludf.DUMMYFUNCTION("""COMPUTED_VALUE"""),8297677.0)</f>
        <v>8297677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IFERROR(__xludf.DUMMYFUNCTION("""COMPUTED_VALUE"""),809.0)</f>
        <v>809</v>
      </c>
      <c r="C100" s="6">
        <f>IFERROR(__xludf.DUMMYFUNCTION("""COMPUTED_VALUE"""),815.0)</f>
        <v>815</v>
      </c>
      <c r="D100" s="6">
        <f>IFERROR(__xludf.DUMMYFUNCTION("""COMPUTED_VALUE"""),785.2)</f>
        <v>785.2</v>
      </c>
      <c r="E100" s="6">
        <f>IFERROR(__xludf.DUMMYFUNCTION("""COMPUTED_VALUE"""),788.75)</f>
        <v>788.75</v>
      </c>
      <c r="F100" s="6">
        <f>IFERROR(__xludf.DUMMYFUNCTION("""COMPUTED_VALUE"""),1.0057754E7)</f>
        <v>10057754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IFERROR(__xludf.DUMMYFUNCTION("""COMPUTED_VALUE"""),788.75)</f>
        <v>788.75</v>
      </c>
      <c r="C101" s="6">
        <f>IFERROR(__xludf.DUMMYFUNCTION("""COMPUTED_VALUE"""),792.0)</f>
        <v>792</v>
      </c>
      <c r="D101" s="6">
        <f>IFERROR(__xludf.DUMMYFUNCTION("""COMPUTED_VALUE"""),770.5)</f>
        <v>770.5</v>
      </c>
      <c r="E101" s="6">
        <f>IFERROR(__xludf.DUMMYFUNCTION("""COMPUTED_VALUE"""),776.6)</f>
        <v>776.6</v>
      </c>
      <c r="F101" s="6">
        <f>IFERROR(__xludf.DUMMYFUNCTION("""COMPUTED_VALUE"""),4.8132916E7)</f>
        <v>48132916</v>
      </c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IFERROR(__xludf.DUMMYFUNCTION("GOOGLEFINANCE(""NSE:HEROMOTOCO"",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IFERROR(__xludf.DUMMYFUNCTION("""COMPUTED_VALUE"""),2925.0)</f>
        <v>2925</v>
      </c>
      <c r="C2" s="6">
        <f>IFERROR(__xludf.DUMMYFUNCTION("""COMPUTED_VALUE"""),3008.0)</f>
        <v>3008</v>
      </c>
      <c r="D2" s="6">
        <f>IFERROR(__xludf.DUMMYFUNCTION("""COMPUTED_VALUE"""),2890.05)</f>
        <v>2890.05</v>
      </c>
      <c r="E2" s="6">
        <f>IFERROR(__xludf.DUMMYFUNCTION("""COMPUTED_VALUE"""),2927.4)</f>
        <v>2927.4</v>
      </c>
      <c r="F2" s="6">
        <f>IFERROR(__xludf.DUMMYFUNCTION("""COMPUTED_VALUE"""),2561512.0)</f>
        <v>2561512</v>
      </c>
    </row>
    <row r="3">
      <c r="A3" s="7">
        <f>IFERROR(__xludf.DUMMYFUNCTION("""COMPUTED_VALUE"""),45177.64583333333)</f>
        <v>45177.64583</v>
      </c>
      <c r="B3" s="6">
        <f>IFERROR(__xludf.DUMMYFUNCTION("""COMPUTED_VALUE"""),2950.0)</f>
        <v>2950</v>
      </c>
      <c r="C3" s="6">
        <f>IFERROR(__xludf.DUMMYFUNCTION("""COMPUTED_VALUE"""),3027.0)</f>
        <v>3027</v>
      </c>
      <c r="D3" s="6">
        <f>IFERROR(__xludf.DUMMYFUNCTION("""COMPUTED_VALUE"""),2916.85)</f>
        <v>2916.85</v>
      </c>
      <c r="E3" s="6">
        <f>IFERROR(__xludf.DUMMYFUNCTION("""COMPUTED_VALUE"""),3008.75)</f>
        <v>3008.75</v>
      </c>
      <c r="F3" s="6">
        <f>IFERROR(__xludf.DUMMYFUNCTION("""COMPUTED_VALUE"""),2037291.0)</f>
        <v>2037291</v>
      </c>
    </row>
    <row r="4">
      <c r="A4" s="7">
        <f>IFERROR(__xludf.DUMMYFUNCTION("""COMPUTED_VALUE"""),45184.64583333333)</f>
        <v>45184.64583</v>
      </c>
      <c r="B4" s="6">
        <f>IFERROR(__xludf.DUMMYFUNCTION("""COMPUTED_VALUE"""),3028.9)</f>
        <v>3028.9</v>
      </c>
      <c r="C4" s="6">
        <f>IFERROR(__xludf.DUMMYFUNCTION("""COMPUTED_VALUE"""),3103.0)</f>
        <v>3103</v>
      </c>
      <c r="D4" s="6">
        <f>IFERROR(__xludf.DUMMYFUNCTION("""COMPUTED_VALUE"""),2976.0)</f>
        <v>2976</v>
      </c>
      <c r="E4" s="6">
        <f>IFERROR(__xludf.DUMMYFUNCTION("""COMPUTED_VALUE"""),3064.85)</f>
        <v>3064.85</v>
      </c>
      <c r="F4" s="6">
        <f>IFERROR(__xludf.DUMMYFUNCTION("""COMPUTED_VALUE"""),2467856.0)</f>
        <v>2467856</v>
      </c>
    </row>
    <row r="5">
      <c r="A5" s="7">
        <f>IFERROR(__xludf.DUMMYFUNCTION("""COMPUTED_VALUE"""),45191.64583333333)</f>
        <v>45191.64583</v>
      </c>
      <c r="B5" s="6">
        <f>IFERROR(__xludf.DUMMYFUNCTION("""COMPUTED_VALUE"""),3066.75)</f>
        <v>3066.75</v>
      </c>
      <c r="C5" s="6">
        <f>IFERROR(__xludf.DUMMYFUNCTION("""COMPUTED_VALUE"""),3132.85)</f>
        <v>3132.85</v>
      </c>
      <c r="D5" s="6">
        <f>IFERROR(__xludf.DUMMYFUNCTION("""COMPUTED_VALUE"""),2990.0)</f>
        <v>2990</v>
      </c>
      <c r="E5" s="6">
        <f>IFERROR(__xludf.DUMMYFUNCTION("""COMPUTED_VALUE"""),3022.7)</f>
        <v>3022.7</v>
      </c>
      <c r="F5" s="6">
        <f>IFERROR(__xludf.DUMMYFUNCTION("""COMPUTED_VALUE"""),2382334.0)</f>
        <v>2382334</v>
      </c>
    </row>
    <row r="6">
      <c r="A6" s="7">
        <f>IFERROR(__xludf.DUMMYFUNCTION("""COMPUTED_VALUE"""),45198.64583333333)</f>
        <v>45198.64583</v>
      </c>
      <c r="B6" s="6">
        <f>IFERROR(__xludf.DUMMYFUNCTION("""COMPUTED_VALUE"""),3015.2)</f>
        <v>3015.2</v>
      </c>
      <c r="C6" s="6">
        <f>IFERROR(__xludf.DUMMYFUNCTION("""COMPUTED_VALUE"""),3070.0)</f>
        <v>3070</v>
      </c>
      <c r="D6" s="6">
        <f>IFERROR(__xludf.DUMMYFUNCTION("""COMPUTED_VALUE"""),2960.05)</f>
        <v>2960.05</v>
      </c>
      <c r="E6" s="6">
        <f>IFERROR(__xludf.DUMMYFUNCTION("""COMPUTED_VALUE"""),3057.25)</f>
        <v>3057.25</v>
      </c>
      <c r="F6" s="6">
        <f>IFERROR(__xludf.DUMMYFUNCTION("""COMPUTED_VALUE"""),1711659.0)</f>
        <v>1711659</v>
      </c>
    </row>
    <row r="7">
      <c r="A7" s="7">
        <f>IFERROR(__xludf.DUMMYFUNCTION("""COMPUTED_VALUE"""),45205.64583333333)</f>
        <v>45205.64583</v>
      </c>
      <c r="B7" s="6">
        <f>IFERROR(__xludf.DUMMYFUNCTION("""COMPUTED_VALUE"""),3058.0)</f>
        <v>3058</v>
      </c>
      <c r="C7" s="6">
        <f>IFERROR(__xludf.DUMMYFUNCTION("""COMPUTED_VALUE"""),3064.9)</f>
        <v>3064.9</v>
      </c>
      <c r="D7" s="6">
        <f>IFERROR(__xludf.DUMMYFUNCTION("""COMPUTED_VALUE"""),2976.05)</f>
        <v>2976.05</v>
      </c>
      <c r="E7" s="6">
        <f>IFERROR(__xludf.DUMMYFUNCTION("""COMPUTED_VALUE"""),3038.0)</f>
        <v>3038</v>
      </c>
      <c r="F7" s="6">
        <f>IFERROR(__xludf.DUMMYFUNCTION("""COMPUTED_VALUE"""),1413038.0)</f>
        <v>1413038</v>
      </c>
    </row>
    <row r="8">
      <c r="A8" s="7">
        <f>IFERROR(__xludf.DUMMYFUNCTION("""COMPUTED_VALUE"""),45212.64583333333)</f>
        <v>45212.64583</v>
      </c>
      <c r="B8" s="6">
        <f>IFERROR(__xludf.DUMMYFUNCTION("""COMPUTED_VALUE"""),3021.1)</f>
        <v>3021.1</v>
      </c>
      <c r="C8" s="6">
        <f>IFERROR(__xludf.DUMMYFUNCTION("""COMPUTED_VALUE"""),3132.1)</f>
        <v>3132.1</v>
      </c>
      <c r="D8" s="6">
        <f>IFERROR(__xludf.DUMMYFUNCTION("""COMPUTED_VALUE"""),2923.95)</f>
        <v>2923.95</v>
      </c>
      <c r="E8" s="6">
        <f>IFERROR(__xludf.DUMMYFUNCTION("""COMPUTED_VALUE"""),3098.45)</f>
        <v>3098.45</v>
      </c>
      <c r="F8" s="6">
        <f>IFERROR(__xludf.DUMMYFUNCTION("""COMPUTED_VALUE"""),3795128.0)</f>
        <v>3795128</v>
      </c>
    </row>
    <row r="9">
      <c r="A9" s="7">
        <f>IFERROR(__xludf.DUMMYFUNCTION("""COMPUTED_VALUE"""),45219.64583333333)</f>
        <v>45219.64583</v>
      </c>
      <c r="B9" s="6">
        <f>IFERROR(__xludf.DUMMYFUNCTION("""COMPUTED_VALUE"""),3104.0)</f>
        <v>3104</v>
      </c>
      <c r="C9" s="6">
        <f>IFERROR(__xludf.DUMMYFUNCTION("""COMPUTED_VALUE"""),3275.0)</f>
        <v>3275</v>
      </c>
      <c r="D9" s="6">
        <f>IFERROR(__xludf.DUMMYFUNCTION("""COMPUTED_VALUE"""),3099.85)</f>
        <v>3099.85</v>
      </c>
      <c r="E9" s="6">
        <f>IFERROR(__xludf.DUMMYFUNCTION("""COMPUTED_VALUE"""),3211.25)</f>
        <v>3211.25</v>
      </c>
      <c r="F9" s="6">
        <f>IFERROR(__xludf.DUMMYFUNCTION("""COMPUTED_VALUE"""),3315385.0)</f>
        <v>3315385</v>
      </c>
    </row>
    <row r="10">
      <c r="A10" s="7">
        <f>IFERROR(__xludf.DUMMYFUNCTION("""COMPUTED_VALUE"""),45226.64583333333)</f>
        <v>45226.64583</v>
      </c>
      <c r="B10" s="6">
        <f>IFERROR(__xludf.DUMMYFUNCTION("""COMPUTED_VALUE"""),3205.55)</f>
        <v>3205.55</v>
      </c>
      <c r="C10" s="6">
        <f>IFERROR(__xludf.DUMMYFUNCTION("""COMPUTED_VALUE"""),3232.75)</f>
        <v>3232.75</v>
      </c>
      <c r="D10" s="6">
        <f>IFERROR(__xludf.DUMMYFUNCTION("""COMPUTED_VALUE"""),3085.0)</f>
        <v>3085</v>
      </c>
      <c r="E10" s="6">
        <f>IFERROR(__xludf.DUMMYFUNCTION("""COMPUTED_VALUE"""),3112.2)</f>
        <v>3112.2</v>
      </c>
      <c r="F10" s="6">
        <f>IFERROR(__xludf.DUMMYFUNCTION("""COMPUTED_VALUE"""),1480573.0)</f>
        <v>1480573</v>
      </c>
    </row>
    <row r="11">
      <c r="A11" s="7">
        <f>IFERROR(__xludf.DUMMYFUNCTION("""COMPUTED_VALUE"""),45233.64583333333)</f>
        <v>45233.64583</v>
      </c>
      <c r="B11" s="6">
        <f>IFERROR(__xludf.DUMMYFUNCTION("""COMPUTED_VALUE"""),3112.25)</f>
        <v>3112.25</v>
      </c>
      <c r="C11" s="6">
        <f>IFERROR(__xludf.DUMMYFUNCTION("""COMPUTED_VALUE"""),3149.95)</f>
        <v>3149.95</v>
      </c>
      <c r="D11" s="6">
        <f>IFERROR(__xludf.DUMMYFUNCTION("""COMPUTED_VALUE"""),3041.5)</f>
        <v>3041.5</v>
      </c>
      <c r="E11" s="6">
        <f>IFERROR(__xludf.DUMMYFUNCTION("""COMPUTED_VALUE"""),3089.4)</f>
        <v>3089.4</v>
      </c>
      <c r="F11" s="6">
        <f>IFERROR(__xludf.DUMMYFUNCTION("""COMPUTED_VALUE"""),2625521.0)</f>
        <v>2625521</v>
      </c>
    </row>
    <row r="12">
      <c r="A12" s="7">
        <f>IFERROR(__xludf.DUMMYFUNCTION("""COMPUTED_VALUE"""),45240.64583333333)</f>
        <v>45240.64583</v>
      </c>
      <c r="B12" s="6">
        <f>IFERROR(__xludf.DUMMYFUNCTION("""COMPUTED_VALUE"""),3110.0)</f>
        <v>3110</v>
      </c>
      <c r="C12" s="6">
        <f>IFERROR(__xludf.DUMMYFUNCTION("""COMPUTED_VALUE"""),3196.0)</f>
        <v>3196</v>
      </c>
      <c r="D12" s="6">
        <f>IFERROR(__xludf.DUMMYFUNCTION("""COMPUTED_VALUE"""),3095.15)</f>
        <v>3095.15</v>
      </c>
      <c r="E12" s="6">
        <f>IFERROR(__xludf.DUMMYFUNCTION("""COMPUTED_VALUE"""),3105.2)</f>
        <v>3105.2</v>
      </c>
      <c r="F12" s="6">
        <f>IFERROR(__xludf.DUMMYFUNCTION("""COMPUTED_VALUE"""),3090562.0)</f>
        <v>3090562</v>
      </c>
    </row>
    <row r="13">
      <c r="A13" s="7">
        <f>IFERROR(__xludf.DUMMYFUNCTION("""COMPUTED_VALUE"""),45247.64583333333)</f>
        <v>45247.64583</v>
      </c>
      <c r="B13" s="6">
        <f>IFERROR(__xludf.DUMMYFUNCTION("""COMPUTED_VALUE"""),3140.0)</f>
        <v>3140</v>
      </c>
      <c r="C13" s="6">
        <f>IFERROR(__xludf.DUMMYFUNCTION("""COMPUTED_VALUE"""),3368.8)</f>
        <v>3368.8</v>
      </c>
      <c r="D13" s="6">
        <f>IFERROR(__xludf.DUMMYFUNCTION("""COMPUTED_VALUE"""),3102.1)</f>
        <v>3102.1</v>
      </c>
      <c r="E13" s="6">
        <f>IFERROR(__xludf.DUMMYFUNCTION("""COMPUTED_VALUE"""),3334.75)</f>
        <v>3334.75</v>
      </c>
      <c r="F13" s="6">
        <f>IFERROR(__xludf.DUMMYFUNCTION("""COMPUTED_VALUE"""),2908780.0)</f>
        <v>2908780</v>
      </c>
    </row>
    <row r="14">
      <c r="A14" s="7">
        <f>IFERROR(__xludf.DUMMYFUNCTION("""COMPUTED_VALUE"""),45254.64583333333)</f>
        <v>45254.64583</v>
      </c>
      <c r="B14" s="6">
        <f>IFERROR(__xludf.DUMMYFUNCTION("""COMPUTED_VALUE"""),3357.0)</f>
        <v>3357</v>
      </c>
      <c r="C14" s="6">
        <f>IFERROR(__xludf.DUMMYFUNCTION("""COMPUTED_VALUE"""),3579.8)</f>
        <v>3579.8</v>
      </c>
      <c r="D14" s="6">
        <f>IFERROR(__xludf.DUMMYFUNCTION("""COMPUTED_VALUE"""),3315.6)</f>
        <v>3315.6</v>
      </c>
      <c r="E14" s="6">
        <f>IFERROR(__xludf.DUMMYFUNCTION("""COMPUTED_VALUE"""),3548.6)</f>
        <v>3548.6</v>
      </c>
      <c r="F14" s="6">
        <f>IFERROR(__xludf.DUMMYFUNCTION("""COMPUTED_VALUE"""),4435972.0)</f>
        <v>4435972</v>
      </c>
    </row>
    <row r="15">
      <c r="A15" s="7">
        <f>IFERROR(__xludf.DUMMYFUNCTION("""COMPUTED_VALUE"""),45261.64583333333)</f>
        <v>45261.64583</v>
      </c>
      <c r="B15" s="6">
        <f>IFERROR(__xludf.DUMMYFUNCTION("""COMPUTED_VALUE"""),3560.0)</f>
        <v>3560</v>
      </c>
      <c r="C15" s="6">
        <f>IFERROR(__xludf.DUMMYFUNCTION("""COMPUTED_VALUE"""),3884.5)</f>
        <v>3884.5</v>
      </c>
      <c r="D15" s="6">
        <f>IFERROR(__xludf.DUMMYFUNCTION("""COMPUTED_VALUE"""),3555.05)</f>
        <v>3555.05</v>
      </c>
      <c r="E15" s="6">
        <f>IFERROR(__xludf.DUMMYFUNCTION("""COMPUTED_VALUE"""),3760.0)</f>
        <v>3760</v>
      </c>
      <c r="F15" s="6">
        <f>IFERROR(__xludf.DUMMYFUNCTION("""COMPUTED_VALUE"""),6190629.0)</f>
        <v>6190629</v>
      </c>
    </row>
    <row r="16">
      <c r="A16" s="7">
        <f>IFERROR(__xludf.DUMMYFUNCTION("""COMPUTED_VALUE"""),45268.64583333333)</f>
        <v>45268.64583</v>
      </c>
      <c r="B16" s="6">
        <f>IFERROR(__xludf.DUMMYFUNCTION("""COMPUTED_VALUE"""),3880.0)</f>
        <v>3880</v>
      </c>
      <c r="C16" s="6">
        <f>IFERROR(__xludf.DUMMYFUNCTION("""COMPUTED_VALUE"""),3880.0)</f>
        <v>3880</v>
      </c>
      <c r="D16" s="6">
        <f>IFERROR(__xludf.DUMMYFUNCTION("""COMPUTED_VALUE"""),3692.4)</f>
        <v>3692.4</v>
      </c>
      <c r="E16" s="6">
        <f>IFERROR(__xludf.DUMMYFUNCTION("""COMPUTED_VALUE"""),3715.75)</f>
        <v>3715.75</v>
      </c>
      <c r="F16" s="6">
        <f>IFERROR(__xludf.DUMMYFUNCTION("""COMPUTED_VALUE"""),3684526.0)</f>
        <v>3684526</v>
      </c>
    </row>
    <row r="17">
      <c r="A17" s="7">
        <f>IFERROR(__xludf.DUMMYFUNCTION("""COMPUTED_VALUE"""),45275.64583333333)</f>
        <v>45275.64583</v>
      </c>
      <c r="B17" s="6">
        <f>IFERROR(__xludf.DUMMYFUNCTION("""COMPUTED_VALUE"""),3715.75)</f>
        <v>3715.75</v>
      </c>
      <c r="C17" s="6">
        <f>IFERROR(__xludf.DUMMYFUNCTION("""COMPUTED_VALUE"""),3940.0)</f>
        <v>3940</v>
      </c>
      <c r="D17" s="6">
        <f>IFERROR(__xludf.DUMMYFUNCTION("""COMPUTED_VALUE"""),3683.0)</f>
        <v>3683</v>
      </c>
      <c r="E17" s="6">
        <f>IFERROR(__xludf.DUMMYFUNCTION("""COMPUTED_VALUE"""),3896.55)</f>
        <v>3896.55</v>
      </c>
      <c r="F17" s="6">
        <f>IFERROR(__xludf.DUMMYFUNCTION("""COMPUTED_VALUE"""),4397493.0)</f>
        <v>4397493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IFERROR(__xludf.DUMMYFUNCTION("""COMPUTED_VALUE"""),3900.0)</f>
        <v>3900</v>
      </c>
      <c r="C18" s="6">
        <f>IFERROR(__xludf.DUMMYFUNCTION("""COMPUTED_VALUE"""),3948.6)</f>
        <v>3948.6</v>
      </c>
      <c r="D18" s="6">
        <f>IFERROR(__xludf.DUMMYFUNCTION("""COMPUTED_VALUE"""),3752.05)</f>
        <v>3752.05</v>
      </c>
      <c r="E18" s="6">
        <f>IFERROR(__xludf.DUMMYFUNCTION("""COMPUTED_VALUE"""),3935.7)</f>
        <v>3935.7</v>
      </c>
      <c r="F18" s="6">
        <f>IFERROR(__xludf.DUMMYFUNCTION("""COMPUTED_VALUE"""),2865801.0)</f>
        <v>2865801</v>
      </c>
    </row>
    <row r="19">
      <c r="A19" s="7">
        <f>IFERROR(__xludf.DUMMYFUNCTION("""COMPUTED_VALUE"""),45289.64583333333)</f>
        <v>45289.64583</v>
      </c>
      <c r="B19" s="6">
        <f>IFERROR(__xludf.DUMMYFUNCTION("""COMPUTED_VALUE"""),3949.95)</f>
        <v>3949.95</v>
      </c>
      <c r="C19" s="6">
        <f>IFERROR(__xludf.DUMMYFUNCTION("""COMPUTED_VALUE"""),4193.4)</f>
        <v>4193.4</v>
      </c>
      <c r="D19" s="6">
        <f>IFERROR(__xludf.DUMMYFUNCTION("""COMPUTED_VALUE"""),3935.1)</f>
        <v>3935.1</v>
      </c>
      <c r="E19" s="6">
        <f>IFERROR(__xludf.DUMMYFUNCTION("""COMPUTED_VALUE"""),4139.55)</f>
        <v>4139.55</v>
      </c>
      <c r="F19" s="6">
        <f>IFERROR(__xludf.DUMMYFUNCTION("""COMPUTED_VALUE"""),3931394.0)</f>
        <v>3931394</v>
      </c>
    </row>
    <row r="20">
      <c r="A20" s="7">
        <f>IFERROR(__xludf.DUMMYFUNCTION("""COMPUTED_VALUE"""),45296.64583333333)</f>
        <v>45296.64583</v>
      </c>
      <c r="B20" s="6">
        <f>IFERROR(__xludf.DUMMYFUNCTION("""COMPUTED_VALUE"""),4139.55)</f>
        <v>4139.55</v>
      </c>
      <c r="C20" s="6">
        <f>IFERROR(__xludf.DUMMYFUNCTION("""COMPUTED_VALUE"""),4181.4)</f>
        <v>4181.4</v>
      </c>
      <c r="D20" s="6">
        <f>IFERROR(__xludf.DUMMYFUNCTION("""COMPUTED_VALUE"""),3929.85)</f>
        <v>3929.85</v>
      </c>
      <c r="E20" s="6">
        <f>IFERROR(__xludf.DUMMYFUNCTION("""COMPUTED_VALUE"""),3990.3)</f>
        <v>3990.3</v>
      </c>
      <c r="F20" s="6">
        <f>IFERROR(__xludf.DUMMYFUNCTION("""COMPUTED_VALUE"""),3020628.0)</f>
        <v>3020628</v>
      </c>
    </row>
    <row r="21">
      <c r="A21" s="7">
        <f>IFERROR(__xludf.DUMMYFUNCTION("""COMPUTED_VALUE"""),45303.64583333333)</f>
        <v>45303.64583</v>
      </c>
      <c r="B21" s="6">
        <f>IFERROR(__xludf.DUMMYFUNCTION("""COMPUTED_VALUE"""),4014.9)</f>
        <v>4014.9</v>
      </c>
      <c r="C21" s="6">
        <f>IFERROR(__xludf.DUMMYFUNCTION("""COMPUTED_VALUE"""),4395.0)</f>
        <v>4395</v>
      </c>
      <c r="D21" s="6">
        <f>IFERROR(__xludf.DUMMYFUNCTION("""COMPUTED_VALUE"""),3993.55)</f>
        <v>3993.55</v>
      </c>
      <c r="E21" s="6">
        <f>IFERROR(__xludf.DUMMYFUNCTION("""COMPUTED_VALUE"""),4383.15)</f>
        <v>4383.15</v>
      </c>
      <c r="F21" s="6">
        <f>IFERROR(__xludf.DUMMYFUNCTION("""COMPUTED_VALUE"""),5102782.0)</f>
        <v>5102782</v>
      </c>
    </row>
    <row r="22">
      <c r="A22" s="7">
        <f>IFERROR(__xludf.DUMMYFUNCTION("""COMPUTED_VALUE"""),45316.64583333333)</f>
        <v>45316.64583</v>
      </c>
      <c r="B22" s="6">
        <f>IFERROR(__xludf.DUMMYFUNCTION("""COMPUTED_VALUE"""),4401.65)</f>
        <v>4401.65</v>
      </c>
      <c r="C22" s="6">
        <f>IFERROR(__xludf.DUMMYFUNCTION("""COMPUTED_VALUE"""),4560.0)</f>
        <v>4560</v>
      </c>
      <c r="D22" s="6">
        <f>IFERROR(__xludf.DUMMYFUNCTION("""COMPUTED_VALUE"""),4310.9)</f>
        <v>4310.9</v>
      </c>
      <c r="E22" s="6">
        <f>IFERROR(__xludf.DUMMYFUNCTION("""COMPUTED_VALUE"""),4442.15)</f>
        <v>4442.15</v>
      </c>
      <c r="F22" s="6">
        <f>IFERROR(__xludf.DUMMYFUNCTION("""COMPUTED_VALUE"""),2660135.0)</f>
        <v>2660135</v>
      </c>
    </row>
    <row r="23">
      <c r="A23" s="7">
        <f>IFERROR(__xludf.DUMMYFUNCTION("""COMPUTED_VALUE"""),45324.64583333333)</f>
        <v>45324.64583</v>
      </c>
      <c r="B23" s="6">
        <f>IFERROR(__xludf.DUMMYFUNCTION("""COMPUTED_VALUE"""),4448.0)</f>
        <v>4448</v>
      </c>
      <c r="C23" s="6">
        <f>IFERROR(__xludf.DUMMYFUNCTION("""COMPUTED_VALUE"""),4769.3)</f>
        <v>4769.3</v>
      </c>
      <c r="D23" s="6">
        <f>IFERROR(__xludf.DUMMYFUNCTION("""COMPUTED_VALUE"""),4426.35)</f>
        <v>4426.35</v>
      </c>
      <c r="E23" s="6">
        <f>IFERROR(__xludf.DUMMYFUNCTION("""COMPUTED_VALUE"""),4717.3)</f>
        <v>4717.3</v>
      </c>
      <c r="F23" s="6">
        <f>IFERROR(__xludf.DUMMYFUNCTION("""COMPUTED_VALUE"""),3428242.0)</f>
        <v>3428242</v>
      </c>
    </row>
    <row r="24">
      <c r="A24" s="7">
        <f>IFERROR(__xludf.DUMMYFUNCTION("""COMPUTED_VALUE"""),45331.64583333333)</f>
        <v>45331.64583</v>
      </c>
      <c r="B24" s="6">
        <f>IFERROR(__xludf.DUMMYFUNCTION("""COMPUTED_VALUE"""),4720.0)</f>
        <v>4720</v>
      </c>
      <c r="C24" s="6">
        <f>IFERROR(__xludf.DUMMYFUNCTION("""COMPUTED_VALUE"""),4924.0)</f>
        <v>4924</v>
      </c>
      <c r="D24" s="6">
        <f>IFERROR(__xludf.DUMMYFUNCTION("""COMPUTED_VALUE"""),4700.0)</f>
        <v>4700</v>
      </c>
      <c r="E24" s="6">
        <f>IFERROR(__xludf.DUMMYFUNCTION("""COMPUTED_VALUE"""),4908.85)</f>
        <v>4908.85</v>
      </c>
      <c r="F24" s="6">
        <f>IFERROR(__xludf.DUMMYFUNCTION("""COMPUTED_VALUE"""),2114942.0)</f>
        <v>2114942</v>
      </c>
    </row>
    <row r="25">
      <c r="A25" s="7">
        <f>IFERROR(__xludf.DUMMYFUNCTION("""COMPUTED_VALUE"""),45338.64583333333)</f>
        <v>45338.64583</v>
      </c>
      <c r="B25" s="6">
        <f>IFERROR(__xludf.DUMMYFUNCTION("""COMPUTED_VALUE"""),4949.05)</f>
        <v>4949.05</v>
      </c>
      <c r="C25" s="6">
        <f>IFERROR(__xludf.DUMMYFUNCTION("""COMPUTED_VALUE"""),4949.05)</f>
        <v>4949.05</v>
      </c>
      <c r="D25" s="6">
        <f>IFERROR(__xludf.DUMMYFUNCTION("""COMPUTED_VALUE"""),4627.55)</f>
        <v>4627.55</v>
      </c>
      <c r="E25" s="6">
        <f>IFERROR(__xludf.DUMMYFUNCTION("""COMPUTED_VALUE"""),4894.3)</f>
        <v>4894.3</v>
      </c>
      <c r="F25" s="6">
        <f>IFERROR(__xludf.DUMMYFUNCTION("""COMPUTED_VALUE"""),4374562.0)</f>
        <v>4374562</v>
      </c>
    </row>
    <row r="26">
      <c r="A26" s="7">
        <f>IFERROR(__xludf.DUMMYFUNCTION("""COMPUTED_VALUE"""),45345.64583333333)</f>
        <v>45345.64583</v>
      </c>
      <c r="B26" s="6">
        <f>IFERROR(__xludf.DUMMYFUNCTION("""COMPUTED_VALUE"""),4928.95)</f>
        <v>4928.95</v>
      </c>
      <c r="C26" s="6">
        <f>IFERROR(__xludf.DUMMYFUNCTION("""COMPUTED_VALUE"""),4944.0)</f>
        <v>4944</v>
      </c>
      <c r="D26" s="6">
        <f>IFERROR(__xludf.DUMMYFUNCTION("""COMPUTED_VALUE"""),4440.65)</f>
        <v>4440.65</v>
      </c>
      <c r="E26" s="6">
        <f>IFERROR(__xludf.DUMMYFUNCTION("""COMPUTED_VALUE"""),4519.25)</f>
        <v>4519.25</v>
      </c>
      <c r="F26" s="6">
        <f>IFERROR(__xludf.DUMMYFUNCTION("""COMPUTED_VALUE"""),5051006.0)</f>
        <v>5051006</v>
      </c>
    </row>
    <row r="27">
      <c r="A27" s="7">
        <f>IFERROR(__xludf.DUMMYFUNCTION("""COMPUTED_VALUE"""),45358.64583333333)</f>
        <v>45358.64583</v>
      </c>
      <c r="B27" s="6">
        <f>IFERROR(__xludf.DUMMYFUNCTION("""COMPUTED_VALUE"""),4589.95)</f>
        <v>4589.95</v>
      </c>
      <c r="C27" s="6">
        <f>IFERROR(__xludf.DUMMYFUNCTION("""COMPUTED_VALUE"""),4704.0)</f>
        <v>4704</v>
      </c>
      <c r="D27" s="6">
        <f>IFERROR(__xludf.DUMMYFUNCTION("""COMPUTED_VALUE"""),4536.1)</f>
        <v>4536.1</v>
      </c>
      <c r="E27" s="6">
        <f>IFERROR(__xludf.DUMMYFUNCTION("""COMPUTED_VALUE"""),4652.9)</f>
        <v>4652.9</v>
      </c>
      <c r="F27" s="6">
        <f>IFERROR(__xludf.DUMMYFUNCTION("""COMPUTED_VALUE"""),2051093.0)</f>
        <v>2051093</v>
      </c>
    </row>
    <row r="28">
      <c r="A28" s="7">
        <f>IFERROR(__xludf.DUMMYFUNCTION("""COMPUTED_VALUE"""),45366.64583333333)</f>
        <v>45366.64583</v>
      </c>
      <c r="B28" s="6">
        <f>IFERROR(__xludf.DUMMYFUNCTION("""COMPUTED_VALUE"""),4700.0)</f>
        <v>4700</v>
      </c>
      <c r="C28" s="6">
        <f>IFERROR(__xludf.DUMMYFUNCTION("""COMPUTED_VALUE"""),4725.0)</f>
        <v>4725</v>
      </c>
      <c r="D28" s="6">
        <f>IFERROR(__xludf.DUMMYFUNCTION("""COMPUTED_VALUE"""),4455.0)</f>
        <v>4455</v>
      </c>
      <c r="E28" s="6">
        <f>IFERROR(__xludf.DUMMYFUNCTION("""COMPUTED_VALUE"""),4585.3)</f>
        <v>4585.3</v>
      </c>
      <c r="F28" s="6">
        <f>IFERROR(__xludf.DUMMYFUNCTION("""COMPUTED_VALUE"""),3644355.0)</f>
        <v>3644355</v>
      </c>
    </row>
    <row r="29">
      <c r="A29" s="7">
        <f>IFERROR(__xludf.DUMMYFUNCTION("""COMPUTED_VALUE"""),45373.64583333333)</f>
        <v>45373.64583</v>
      </c>
      <c r="B29" s="6">
        <f>IFERROR(__xludf.DUMMYFUNCTION("""COMPUTED_VALUE"""),4560.5)</f>
        <v>4560.5</v>
      </c>
      <c r="C29" s="6">
        <f>IFERROR(__xludf.DUMMYFUNCTION("""COMPUTED_VALUE"""),4736.35)</f>
        <v>4736.35</v>
      </c>
      <c r="D29" s="6">
        <f>IFERROR(__xludf.DUMMYFUNCTION("""COMPUTED_VALUE"""),4445.2)</f>
        <v>4445.2</v>
      </c>
      <c r="E29" s="6">
        <f>IFERROR(__xludf.DUMMYFUNCTION("""COMPUTED_VALUE"""),4684.0)</f>
        <v>4684</v>
      </c>
      <c r="F29" s="6">
        <f>IFERROR(__xludf.DUMMYFUNCTION("""COMPUTED_VALUE"""),2575331.0)</f>
        <v>2575331</v>
      </c>
    </row>
    <row r="30">
      <c r="A30" s="7">
        <f>IFERROR(__xludf.DUMMYFUNCTION("""COMPUTED_VALUE"""),45379.64583333333)</f>
        <v>45379.64583</v>
      </c>
      <c r="B30" s="6">
        <f>IFERROR(__xludf.DUMMYFUNCTION("""COMPUTED_VALUE"""),4684.0)</f>
        <v>4684</v>
      </c>
      <c r="C30" s="6">
        <f>IFERROR(__xludf.DUMMYFUNCTION("""COMPUTED_VALUE"""),4750.0)</f>
        <v>4750</v>
      </c>
      <c r="D30" s="6">
        <f>IFERROR(__xludf.DUMMYFUNCTION("""COMPUTED_VALUE"""),4560.0)</f>
        <v>4560</v>
      </c>
      <c r="E30" s="6">
        <f>IFERROR(__xludf.DUMMYFUNCTION("""COMPUTED_VALUE"""),4722.3)</f>
        <v>4722.3</v>
      </c>
      <c r="F30" s="6">
        <f>IFERROR(__xludf.DUMMYFUNCTION("""COMPUTED_VALUE"""),2331258.0)</f>
        <v>2331258</v>
      </c>
    </row>
    <row r="31">
      <c r="A31" s="7">
        <f>IFERROR(__xludf.DUMMYFUNCTION("""COMPUTED_VALUE"""),45387.64583333333)</f>
        <v>45387.64583</v>
      </c>
      <c r="B31" s="6">
        <f>IFERROR(__xludf.DUMMYFUNCTION("""COMPUTED_VALUE"""),4740.0)</f>
        <v>4740</v>
      </c>
      <c r="C31" s="6">
        <f>IFERROR(__xludf.DUMMYFUNCTION("""COMPUTED_VALUE"""),4779.75)</f>
        <v>4779.75</v>
      </c>
      <c r="D31" s="6">
        <f>IFERROR(__xludf.DUMMYFUNCTION("""COMPUTED_VALUE"""),4462.75)</f>
        <v>4462.75</v>
      </c>
      <c r="E31" s="6">
        <f>IFERROR(__xludf.DUMMYFUNCTION("""COMPUTED_VALUE"""),4524.9)</f>
        <v>4524.9</v>
      </c>
      <c r="F31" s="6">
        <f>IFERROR(__xludf.DUMMYFUNCTION("""COMPUTED_VALUE"""),4672121.0)</f>
        <v>4672121</v>
      </c>
    </row>
    <row r="32">
      <c r="A32" s="7">
        <f>IFERROR(__xludf.DUMMYFUNCTION("""COMPUTED_VALUE"""),45394.64583333333)</f>
        <v>45394.64583</v>
      </c>
      <c r="B32" s="6">
        <f>IFERROR(__xludf.DUMMYFUNCTION("""COMPUTED_VALUE"""),4540.0)</f>
        <v>4540</v>
      </c>
      <c r="C32" s="6">
        <f>IFERROR(__xludf.DUMMYFUNCTION("""COMPUTED_VALUE"""),4673.25)</f>
        <v>4673.25</v>
      </c>
      <c r="D32" s="6">
        <f>IFERROR(__xludf.DUMMYFUNCTION("""COMPUTED_VALUE"""),4431.0)</f>
        <v>4431</v>
      </c>
      <c r="E32" s="6">
        <f>IFERROR(__xludf.DUMMYFUNCTION("""COMPUTED_VALUE"""),4440.8)</f>
        <v>4440.8</v>
      </c>
      <c r="F32" s="6">
        <f>IFERROR(__xludf.DUMMYFUNCTION("""COMPUTED_VALUE"""),2610894.0)</f>
        <v>2610894</v>
      </c>
    </row>
    <row r="33">
      <c r="A33" s="7">
        <f>IFERROR(__xludf.DUMMYFUNCTION("""COMPUTED_VALUE"""),45401.64583333333)</f>
        <v>45401.64583</v>
      </c>
      <c r="B33" s="6">
        <f>IFERROR(__xludf.DUMMYFUNCTION("""COMPUTED_VALUE"""),4430.0)</f>
        <v>4430</v>
      </c>
      <c r="C33" s="6">
        <f>IFERROR(__xludf.DUMMYFUNCTION("""COMPUTED_VALUE"""),4446.45)</f>
        <v>4446.45</v>
      </c>
      <c r="D33" s="6">
        <f>IFERROR(__xludf.DUMMYFUNCTION("""COMPUTED_VALUE"""),4168.15)</f>
        <v>4168.15</v>
      </c>
      <c r="E33" s="6">
        <f>IFERROR(__xludf.DUMMYFUNCTION("""COMPUTED_VALUE"""),4213.7)</f>
        <v>4213.7</v>
      </c>
      <c r="F33" s="6">
        <f>IFERROR(__xludf.DUMMYFUNCTION("""COMPUTED_VALUE"""),3142417.0)</f>
        <v>3142417</v>
      </c>
    </row>
    <row r="34">
      <c r="A34" s="7">
        <f>IFERROR(__xludf.DUMMYFUNCTION("""COMPUTED_VALUE"""),45408.64583333333)</f>
        <v>45408.64583</v>
      </c>
      <c r="B34" s="6">
        <f>IFERROR(__xludf.DUMMYFUNCTION("""COMPUTED_VALUE"""),4239.85)</f>
        <v>4239.85</v>
      </c>
      <c r="C34" s="6">
        <f>IFERROR(__xludf.DUMMYFUNCTION("""COMPUTED_VALUE"""),4540.8)</f>
        <v>4540.8</v>
      </c>
      <c r="D34" s="6">
        <f>IFERROR(__xludf.DUMMYFUNCTION("""COMPUTED_VALUE"""),4206.9)</f>
        <v>4206.9</v>
      </c>
      <c r="E34" s="6">
        <f>IFERROR(__xludf.DUMMYFUNCTION("""COMPUTED_VALUE"""),4491.6)</f>
        <v>4491.6</v>
      </c>
      <c r="F34" s="6">
        <f>IFERROR(__xludf.DUMMYFUNCTION("""COMPUTED_VALUE"""),3426703.0)</f>
        <v>3426703</v>
      </c>
    </row>
    <row r="35">
      <c r="A35" s="7">
        <f>IFERROR(__xludf.DUMMYFUNCTION("""COMPUTED_VALUE"""),45415.64583333333)</f>
        <v>45415.64583</v>
      </c>
      <c r="B35" s="6">
        <f>IFERROR(__xludf.DUMMYFUNCTION("""COMPUTED_VALUE"""),4530.0)</f>
        <v>4530</v>
      </c>
      <c r="C35" s="6">
        <f>IFERROR(__xludf.DUMMYFUNCTION("""COMPUTED_VALUE"""),4625.0)</f>
        <v>4625</v>
      </c>
      <c r="D35" s="6">
        <f>IFERROR(__xludf.DUMMYFUNCTION("""COMPUTED_VALUE"""),4445.6)</f>
        <v>4445.6</v>
      </c>
      <c r="E35" s="6">
        <f>IFERROR(__xludf.DUMMYFUNCTION("""COMPUTED_VALUE"""),4552.75)</f>
        <v>4552.75</v>
      </c>
      <c r="F35" s="6">
        <f>IFERROR(__xludf.DUMMYFUNCTION("""COMPUTED_VALUE"""),2574260.0)</f>
        <v>2574260</v>
      </c>
    </row>
    <row r="36">
      <c r="A36" s="7">
        <f>IFERROR(__xludf.DUMMYFUNCTION("""COMPUTED_VALUE"""),45422.64583333333)</f>
        <v>45422.64583</v>
      </c>
      <c r="B36" s="6">
        <f>IFERROR(__xludf.DUMMYFUNCTION("""COMPUTED_VALUE"""),4571.95)</f>
        <v>4571.95</v>
      </c>
      <c r="C36" s="6">
        <f>IFERROR(__xludf.DUMMYFUNCTION("""COMPUTED_VALUE"""),4954.35)</f>
        <v>4954.35</v>
      </c>
      <c r="D36" s="6">
        <f>IFERROR(__xludf.DUMMYFUNCTION("""COMPUTED_VALUE"""),4414.65)</f>
        <v>4414.65</v>
      </c>
      <c r="E36" s="6">
        <f>IFERROR(__xludf.DUMMYFUNCTION("""COMPUTED_VALUE"""),4877.4)</f>
        <v>4877.4</v>
      </c>
      <c r="F36" s="6">
        <f>IFERROR(__xludf.DUMMYFUNCTION("""COMPUTED_VALUE"""),7121346.0)</f>
        <v>7121346</v>
      </c>
    </row>
    <row r="37">
      <c r="A37" s="7">
        <f>IFERROR(__xludf.DUMMYFUNCTION("""COMPUTED_VALUE"""),45436.64583333333)</f>
        <v>45436.64583</v>
      </c>
      <c r="B37" s="6">
        <f>IFERROR(__xludf.DUMMYFUNCTION("""COMPUTED_VALUE"""),5075.0)</f>
        <v>5075</v>
      </c>
      <c r="C37" s="6">
        <f>IFERROR(__xludf.DUMMYFUNCTION("""COMPUTED_VALUE"""),5198.15)</f>
        <v>5198.15</v>
      </c>
      <c r="D37" s="6">
        <f>IFERROR(__xludf.DUMMYFUNCTION("""COMPUTED_VALUE"""),4963.05)</f>
        <v>4963.05</v>
      </c>
      <c r="E37" s="6">
        <f>IFERROR(__xludf.DUMMYFUNCTION("""COMPUTED_VALUE"""),5118.3)</f>
        <v>5118.3</v>
      </c>
      <c r="F37" s="6">
        <f>IFERROR(__xludf.DUMMYFUNCTION("""COMPUTED_VALUE"""),2006027.0)</f>
        <v>2006027</v>
      </c>
    </row>
    <row r="38">
      <c r="A38" s="7">
        <f>IFERROR(__xludf.DUMMYFUNCTION("""COMPUTED_VALUE"""),45443.64583333333)</f>
        <v>45443.64583</v>
      </c>
      <c r="B38" s="6">
        <f>IFERROR(__xludf.DUMMYFUNCTION("""COMPUTED_VALUE"""),5126.0)</f>
        <v>5126</v>
      </c>
      <c r="C38" s="6">
        <f>IFERROR(__xludf.DUMMYFUNCTION("""COMPUTED_VALUE"""),5225.0)</f>
        <v>5225</v>
      </c>
      <c r="D38" s="6">
        <f>IFERROR(__xludf.DUMMYFUNCTION("""COMPUTED_VALUE"""),5003.5)</f>
        <v>5003.5</v>
      </c>
      <c r="E38" s="6">
        <f>IFERROR(__xludf.DUMMYFUNCTION("""COMPUTED_VALUE"""),5119.6)</f>
        <v>5119.6</v>
      </c>
      <c r="F38" s="6">
        <f>IFERROR(__xludf.DUMMYFUNCTION("""COMPUTED_VALUE"""),3879967.0)</f>
        <v>3879967</v>
      </c>
    </row>
    <row r="39">
      <c r="A39" s="7">
        <f>IFERROR(__xludf.DUMMYFUNCTION("""COMPUTED_VALUE"""),45450.64583333333)</f>
        <v>45450.64583</v>
      </c>
      <c r="B39" s="6">
        <f>IFERROR(__xludf.DUMMYFUNCTION("""COMPUTED_VALUE"""),5280.0)</f>
        <v>5280</v>
      </c>
      <c r="C39" s="6">
        <f>IFERROR(__xludf.DUMMYFUNCTION("""COMPUTED_VALUE"""),5775.2)</f>
        <v>5775.2</v>
      </c>
      <c r="D39" s="6">
        <f>IFERROR(__xludf.DUMMYFUNCTION("""COMPUTED_VALUE"""),4920.25)</f>
        <v>4920.25</v>
      </c>
      <c r="E39" s="6">
        <f>IFERROR(__xludf.DUMMYFUNCTION("""COMPUTED_VALUE"""),5581.85)</f>
        <v>5581.85</v>
      </c>
      <c r="F39" s="6">
        <f>IFERROR(__xludf.DUMMYFUNCTION("""COMPUTED_VALUE"""),7101486.0)</f>
        <v>7101486</v>
      </c>
    </row>
    <row r="40">
      <c r="A40" s="7">
        <f>IFERROR(__xludf.DUMMYFUNCTION("""COMPUTED_VALUE"""),45457.64583333333)</f>
        <v>45457.64583</v>
      </c>
      <c r="B40" s="6">
        <f>IFERROR(__xludf.DUMMYFUNCTION("""COMPUTED_VALUE"""),5585.0)</f>
        <v>5585</v>
      </c>
      <c r="C40" s="6">
        <f>IFERROR(__xludf.DUMMYFUNCTION("""COMPUTED_VALUE"""),5864.75)</f>
        <v>5864.75</v>
      </c>
      <c r="D40" s="6">
        <f>IFERROR(__xludf.DUMMYFUNCTION("""COMPUTED_VALUE"""),5581.05)</f>
        <v>5581.05</v>
      </c>
      <c r="E40" s="6">
        <f>IFERROR(__xludf.DUMMYFUNCTION("""COMPUTED_VALUE"""),5804.2)</f>
        <v>5804.2</v>
      </c>
      <c r="F40" s="6">
        <f>IFERROR(__xludf.DUMMYFUNCTION("""COMPUTED_VALUE"""),3822687.0)</f>
        <v>3822687</v>
      </c>
    </row>
    <row r="41">
      <c r="A41" s="7">
        <f>IFERROR(__xludf.DUMMYFUNCTION("""COMPUTED_VALUE"""),45464.64583333333)</f>
        <v>45464.64583</v>
      </c>
      <c r="B41" s="6">
        <f>IFERROR(__xludf.DUMMYFUNCTION("""COMPUTED_VALUE"""),5824.0)</f>
        <v>5824</v>
      </c>
      <c r="C41" s="6">
        <f>IFERROR(__xludf.DUMMYFUNCTION("""COMPUTED_VALUE"""),5894.55)</f>
        <v>5894.55</v>
      </c>
      <c r="D41" s="6">
        <f>IFERROR(__xludf.DUMMYFUNCTION("""COMPUTED_VALUE"""),5432.0)</f>
        <v>5432</v>
      </c>
      <c r="E41" s="6">
        <f>IFERROR(__xludf.DUMMYFUNCTION("""COMPUTED_VALUE"""),5452.0)</f>
        <v>5452</v>
      </c>
      <c r="F41" s="6">
        <f>IFERROR(__xludf.DUMMYFUNCTION("""COMPUTED_VALUE"""),2484163.0)</f>
        <v>2484163</v>
      </c>
    </row>
    <row r="42">
      <c r="A42" s="7">
        <f>IFERROR(__xludf.DUMMYFUNCTION("""COMPUTED_VALUE"""),45471.64583333333)</f>
        <v>45471.64583</v>
      </c>
      <c r="B42" s="6">
        <f>IFERROR(__xludf.DUMMYFUNCTION("""COMPUTED_VALUE"""),5390.0)</f>
        <v>5390</v>
      </c>
      <c r="C42" s="6">
        <f>IFERROR(__xludf.DUMMYFUNCTION("""COMPUTED_VALUE"""),5605.25)</f>
        <v>5605.25</v>
      </c>
      <c r="D42" s="6">
        <f>IFERROR(__xludf.DUMMYFUNCTION("""COMPUTED_VALUE"""),5390.0)</f>
        <v>5390</v>
      </c>
      <c r="E42" s="6">
        <f>IFERROR(__xludf.DUMMYFUNCTION("""COMPUTED_VALUE"""),5579.6)</f>
        <v>5579.6</v>
      </c>
      <c r="F42" s="6">
        <f>IFERROR(__xludf.DUMMYFUNCTION("""COMPUTED_VALUE"""),3381936.0)</f>
        <v>3381936</v>
      </c>
    </row>
    <row r="43">
      <c r="A43" s="7">
        <f>IFERROR(__xludf.DUMMYFUNCTION("""COMPUTED_VALUE"""),45478.64583333333)</f>
        <v>45478.64583</v>
      </c>
      <c r="B43" s="6">
        <f>IFERROR(__xludf.DUMMYFUNCTION("""COMPUTED_VALUE"""),5595.0)</f>
        <v>5595</v>
      </c>
      <c r="C43" s="6">
        <f>IFERROR(__xludf.DUMMYFUNCTION("""COMPUTED_VALUE"""),5728.3)</f>
        <v>5728.3</v>
      </c>
      <c r="D43" s="6">
        <f>IFERROR(__xludf.DUMMYFUNCTION("""COMPUTED_VALUE"""),5382.6)</f>
        <v>5382.6</v>
      </c>
      <c r="E43" s="6">
        <f>IFERROR(__xludf.DUMMYFUNCTION("""COMPUTED_VALUE"""),5558.05)</f>
        <v>5558.05</v>
      </c>
      <c r="F43" s="6">
        <f>IFERROR(__xludf.DUMMYFUNCTION("""COMPUTED_VALUE"""),3326912.0)</f>
        <v>3326912</v>
      </c>
    </row>
    <row r="44">
      <c r="A44" s="7">
        <f>IFERROR(__xludf.DUMMYFUNCTION("""COMPUTED_VALUE"""),45485.64583333333)</f>
        <v>45485.64583</v>
      </c>
      <c r="B44" s="6">
        <f>IFERROR(__xludf.DUMMYFUNCTION("""COMPUTED_VALUE"""),5565.65)</f>
        <v>5565.65</v>
      </c>
      <c r="C44" s="6">
        <f>IFERROR(__xludf.DUMMYFUNCTION("""COMPUTED_VALUE"""),5650.0)</f>
        <v>5650</v>
      </c>
      <c r="D44" s="6">
        <f>IFERROR(__xludf.DUMMYFUNCTION("""COMPUTED_VALUE"""),5470.6)</f>
        <v>5470.6</v>
      </c>
      <c r="E44" s="6">
        <f>IFERROR(__xludf.DUMMYFUNCTION("""COMPUTED_VALUE"""),5546.9)</f>
        <v>5546.9</v>
      </c>
      <c r="F44" s="6">
        <f>IFERROR(__xludf.DUMMYFUNCTION("""COMPUTED_VALUE"""),2159919.0)</f>
        <v>2159919</v>
      </c>
    </row>
    <row r="45">
      <c r="A45" s="7">
        <f>IFERROR(__xludf.DUMMYFUNCTION("""COMPUTED_VALUE"""),45492.64583333333)</f>
        <v>45492.64583</v>
      </c>
      <c r="B45" s="6">
        <f>IFERROR(__xludf.DUMMYFUNCTION("""COMPUTED_VALUE"""),5547.0)</f>
        <v>5547</v>
      </c>
      <c r="C45" s="6">
        <f>IFERROR(__xludf.DUMMYFUNCTION("""COMPUTED_VALUE"""),5659.0)</f>
        <v>5659</v>
      </c>
      <c r="D45" s="6">
        <f>IFERROR(__xludf.DUMMYFUNCTION("""COMPUTED_VALUE"""),5371.0)</f>
        <v>5371</v>
      </c>
      <c r="E45" s="6">
        <f>IFERROR(__xludf.DUMMYFUNCTION("""COMPUTED_VALUE"""),5427.7)</f>
        <v>5427.7</v>
      </c>
      <c r="F45" s="6">
        <f>IFERROR(__xludf.DUMMYFUNCTION("""COMPUTED_VALUE"""),1797795.0)</f>
        <v>1797795</v>
      </c>
    </row>
    <row r="46">
      <c r="A46" s="7">
        <f>IFERROR(__xludf.DUMMYFUNCTION("""COMPUTED_VALUE"""),45499.64583333333)</f>
        <v>45499.64583</v>
      </c>
      <c r="B46" s="6">
        <f>IFERROR(__xludf.DUMMYFUNCTION("""COMPUTED_VALUE"""),5422.0)</f>
        <v>5422</v>
      </c>
      <c r="C46" s="6">
        <f>IFERROR(__xludf.DUMMYFUNCTION("""COMPUTED_VALUE"""),5659.85)</f>
        <v>5659.85</v>
      </c>
      <c r="D46" s="6">
        <f>IFERROR(__xludf.DUMMYFUNCTION("""COMPUTED_VALUE"""),5329.7)</f>
        <v>5329.7</v>
      </c>
      <c r="E46" s="6">
        <f>IFERROR(__xludf.DUMMYFUNCTION("""COMPUTED_VALUE"""),5478.9)</f>
        <v>5478.9</v>
      </c>
      <c r="F46" s="6">
        <f>IFERROR(__xludf.DUMMYFUNCTION("""COMPUTED_VALUE"""),3003785.0)</f>
        <v>3003785</v>
      </c>
    </row>
    <row r="47">
      <c r="A47" s="7">
        <f>IFERROR(__xludf.DUMMYFUNCTION("""COMPUTED_VALUE"""),45506.64583333333)</f>
        <v>45506.64583</v>
      </c>
      <c r="B47" s="6">
        <f>IFERROR(__xludf.DUMMYFUNCTION("""COMPUTED_VALUE"""),5505.25)</f>
        <v>5505.25</v>
      </c>
      <c r="C47" s="6">
        <f>IFERROR(__xludf.DUMMYFUNCTION("""COMPUTED_VALUE"""),5548.0)</f>
        <v>5548</v>
      </c>
      <c r="D47" s="6">
        <f>IFERROR(__xludf.DUMMYFUNCTION("""COMPUTED_VALUE"""),5236.45)</f>
        <v>5236.45</v>
      </c>
      <c r="E47" s="6">
        <f>IFERROR(__xludf.DUMMYFUNCTION("""COMPUTED_VALUE"""),5274.2)</f>
        <v>5274.2</v>
      </c>
      <c r="F47" s="6">
        <f>IFERROR(__xludf.DUMMYFUNCTION("""COMPUTED_VALUE"""),2971958.0)</f>
        <v>2971958</v>
      </c>
    </row>
    <row r="48">
      <c r="A48" s="7">
        <f>IFERROR(__xludf.DUMMYFUNCTION("""COMPUTED_VALUE"""),45513.64583333333)</f>
        <v>45513.64583</v>
      </c>
      <c r="B48" s="6">
        <f>IFERROR(__xludf.DUMMYFUNCTION("""COMPUTED_VALUE"""),5180.05)</f>
        <v>5180.05</v>
      </c>
      <c r="C48" s="6">
        <f>IFERROR(__xludf.DUMMYFUNCTION("""COMPUTED_VALUE"""),5314.75)</f>
        <v>5314.75</v>
      </c>
      <c r="D48" s="6">
        <f>IFERROR(__xludf.DUMMYFUNCTION("""COMPUTED_VALUE"""),5123.0)</f>
        <v>5123</v>
      </c>
      <c r="E48" s="6">
        <f>IFERROR(__xludf.DUMMYFUNCTION("""COMPUTED_VALUE"""),5207.2)</f>
        <v>5207.2</v>
      </c>
      <c r="F48" s="6">
        <f>IFERROR(__xludf.DUMMYFUNCTION("""COMPUTED_VALUE"""),2084901.0)</f>
        <v>2084901</v>
      </c>
    </row>
    <row r="49">
      <c r="A49" s="7">
        <f>IFERROR(__xludf.DUMMYFUNCTION("""COMPUTED_VALUE"""),45520.64583333333)</f>
        <v>45520.64583</v>
      </c>
      <c r="B49" s="6">
        <f>IFERROR(__xludf.DUMMYFUNCTION("""COMPUTED_VALUE"""),5214.8)</f>
        <v>5214.8</v>
      </c>
      <c r="C49" s="6">
        <f>IFERROR(__xludf.DUMMYFUNCTION("""COMPUTED_VALUE"""),5407.3)</f>
        <v>5407.3</v>
      </c>
      <c r="D49" s="6">
        <f>IFERROR(__xludf.DUMMYFUNCTION("""COMPUTED_VALUE"""),4991.0)</f>
        <v>4991</v>
      </c>
      <c r="E49" s="6">
        <f>IFERROR(__xludf.DUMMYFUNCTION("""COMPUTED_VALUE"""),5128.1)</f>
        <v>5128.1</v>
      </c>
      <c r="F49" s="6">
        <f>IFERROR(__xludf.DUMMYFUNCTION("""COMPUTED_VALUE"""),4477198.0)</f>
        <v>4477198</v>
      </c>
    </row>
    <row r="50">
      <c r="A50" s="7">
        <f>IFERROR(__xludf.DUMMYFUNCTION("""COMPUTED_VALUE"""),45527.64583333333)</f>
        <v>45527.64583</v>
      </c>
      <c r="B50" s="6">
        <f>IFERROR(__xludf.DUMMYFUNCTION("""COMPUTED_VALUE"""),5149.0)</f>
        <v>5149</v>
      </c>
      <c r="C50" s="6">
        <f>IFERROR(__xludf.DUMMYFUNCTION("""COMPUTED_VALUE"""),5443.8)</f>
        <v>5443.8</v>
      </c>
      <c r="D50" s="6">
        <f>IFERROR(__xludf.DUMMYFUNCTION("""COMPUTED_VALUE"""),5107.55)</f>
        <v>5107.55</v>
      </c>
      <c r="E50" s="6">
        <f>IFERROR(__xludf.DUMMYFUNCTION("""COMPUTED_VALUE"""),5384.9)</f>
        <v>5384.9</v>
      </c>
      <c r="F50" s="6">
        <f>IFERROR(__xludf.DUMMYFUNCTION("""COMPUTED_VALUE"""),3810183.0)</f>
        <v>3810183</v>
      </c>
    </row>
    <row r="51">
      <c r="A51" s="7">
        <f>IFERROR(__xludf.DUMMYFUNCTION("""COMPUTED_VALUE"""),45534.64583333333)</f>
        <v>45534.64583</v>
      </c>
      <c r="B51" s="6">
        <f>IFERROR(__xludf.DUMMYFUNCTION("""COMPUTED_VALUE"""),5410.0)</f>
        <v>5410</v>
      </c>
      <c r="C51" s="6">
        <f>IFERROR(__xludf.DUMMYFUNCTION("""COMPUTED_VALUE"""),5518.0)</f>
        <v>5518</v>
      </c>
      <c r="D51" s="6">
        <f>IFERROR(__xludf.DUMMYFUNCTION("""COMPUTED_VALUE"""),5266.0)</f>
        <v>5266</v>
      </c>
      <c r="E51" s="6">
        <f>IFERROR(__xludf.DUMMYFUNCTION("""COMPUTED_VALUE"""),5455.4)</f>
        <v>5455.4</v>
      </c>
      <c r="F51" s="6">
        <f>IFERROR(__xludf.DUMMYFUNCTION("""COMPUTED_VALUE"""),4000591.0)</f>
        <v>4000591</v>
      </c>
    </row>
    <row r="52">
      <c r="A52" s="7">
        <f>IFERROR(__xludf.DUMMYFUNCTION("""COMPUTED_VALUE"""),45541.64583333333)</f>
        <v>45541.64583</v>
      </c>
      <c r="B52" s="6">
        <f>IFERROR(__xludf.DUMMYFUNCTION("""COMPUTED_VALUE"""),5535.0)</f>
        <v>5535</v>
      </c>
      <c r="C52" s="6">
        <f>IFERROR(__xludf.DUMMYFUNCTION("""COMPUTED_VALUE"""),5799.0)</f>
        <v>5799</v>
      </c>
      <c r="D52" s="6">
        <f>IFERROR(__xludf.DUMMYFUNCTION("""COMPUTED_VALUE"""),5517.0)</f>
        <v>5517</v>
      </c>
      <c r="E52" s="6">
        <f>IFERROR(__xludf.DUMMYFUNCTION("""COMPUTED_VALUE"""),5743.75)</f>
        <v>5743.75</v>
      </c>
      <c r="F52" s="6">
        <f>IFERROR(__xludf.DUMMYFUNCTION("""COMPUTED_VALUE"""),3894859.0)</f>
        <v>3894859</v>
      </c>
    </row>
    <row r="53">
      <c r="A53" s="7">
        <f>IFERROR(__xludf.DUMMYFUNCTION("""COMPUTED_VALUE"""),45548.64583333333)</f>
        <v>45548.64583</v>
      </c>
      <c r="B53" s="6">
        <f>IFERROR(__xludf.DUMMYFUNCTION("""COMPUTED_VALUE"""),5743.8)</f>
        <v>5743.8</v>
      </c>
      <c r="C53" s="6">
        <f>IFERROR(__xludf.DUMMYFUNCTION("""COMPUTED_VALUE"""),5864.15)</f>
        <v>5864.15</v>
      </c>
      <c r="D53" s="6">
        <f>IFERROR(__xludf.DUMMYFUNCTION("""COMPUTED_VALUE"""),5602.35)</f>
        <v>5602.35</v>
      </c>
      <c r="E53" s="6">
        <f>IFERROR(__xludf.DUMMYFUNCTION("""COMPUTED_VALUE"""),5795.8)</f>
        <v>5795.8</v>
      </c>
      <c r="F53" s="6">
        <f>IFERROR(__xludf.DUMMYFUNCTION("""COMPUTED_VALUE"""),3026503.0)</f>
        <v>3026503</v>
      </c>
    </row>
    <row r="54">
      <c r="A54" s="7">
        <f>IFERROR(__xludf.DUMMYFUNCTION("""COMPUTED_VALUE"""),45555.64583333333)</f>
        <v>45555.64583</v>
      </c>
      <c r="B54" s="6">
        <f>IFERROR(__xludf.DUMMYFUNCTION("""COMPUTED_VALUE"""),5780.0)</f>
        <v>5780</v>
      </c>
      <c r="C54" s="6">
        <f>IFERROR(__xludf.DUMMYFUNCTION("""COMPUTED_VALUE"""),6145.95)</f>
        <v>6145.95</v>
      </c>
      <c r="D54" s="6">
        <f>IFERROR(__xludf.DUMMYFUNCTION("""COMPUTED_VALUE"""),5727.0)</f>
        <v>5727</v>
      </c>
      <c r="E54" s="6">
        <f>IFERROR(__xludf.DUMMYFUNCTION("""COMPUTED_VALUE"""),6013.25)</f>
        <v>6013.25</v>
      </c>
      <c r="F54" s="6">
        <f>IFERROR(__xludf.DUMMYFUNCTION("""COMPUTED_VALUE"""),4557052.0)</f>
        <v>4557052</v>
      </c>
    </row>
    <row r="55">
      <c r="A55" s="7">
        <f>IFERROR(__xludf.DUMMYFUNCTION("""COMPUTED_VALUE"""),45562.64583333333)</f>
        <v>45562.64583</v>
      </c>
      <c r="B55" s="6">
        <f>IFERROR(__xludf.DUMMYFUNCTION("""COMPUTED_VALUE"""),6050.0)</f>
        <v>6050</v>
      </c>
      <c r="C55" s="6">
        <f>IFERROR(__xludf.DUMMYFUNCTION("""COMPUTED_VALUE"""),6246.25)</f>
        <v>6246.25</v>
      </c>
      <c r="D55" s="6">
        <f>IFERROR(__xludf.DUMMYFUNCTION("""COMPUTED_VALUE"""),5904.1)</f>
        <v>5904.1</v>
      </c>
      <c r="E55" s="6">
        <f>IFERROR(__xludf.DUMMYFUNCTION("""COMPUTED_VALUE"""),5957.35)</f>
        <v>5957.35</v>
      </c>
      <c r="F55" s="6">
        <f>IFERROR(__xludf.DUMMYFUNCTION("""COMPUTED_VALUE"""),3834295.0)</f>
        <v>3834295</v>
      </c>
    </row>
    <row r="56">
      <c r="A56" s="7">
        <f>IFERROR(__xludf.DUMMYFUNCTION("""COMPUTED_VALUE"""),45569.64583333333)</f>
        <v>45569.64583</v>
      </c>
      <c r="B56" s="6">
        <f>IFERROR(__xludf.DUMMYFUNCTION("""COMPUTED_VALUE"""),5890.0)</f>
        <v>5890</v>
      </c>
      <c r="C56" s="6">
        <f>IFERROR(__xludf.DUMMYFUNCTION("""COMPUTED_VALUE"""),5890.0)</f>
        <v>5890</v>
      </c>
      <c r="D56" s="6">
        <f>IFERROR(__xludf.DUMMYFUNCTION("""COMPUTED_VALUE"""),5484.0)</f>
        <v>5484</v>
      </c>
      <c r="E56" s="6">
        <f>IFERROR(__xludf.DUMMYFUNCTION("""COMPUTED_VALUE"""),5520.85)</f>
        <v>5520.85</v>
      </c>
      <c r="F56" s="6">
        <f>IFERROR(__xludf.DUMMYFUNCTION("""COMPUTED_VALUE"""),4253376.0)</f>
        <v>4253376</v>
      </c>
    </row>
    <row r="57">
      <c r="A57" s="7">
        <f>IFERROR(__xludf.DUMMYFUNCTION("""COMPUTED_VALUE"""),45576.64583333333)</f>
        <v>45576.64583</v>
      </c>
      <c r="B57" s="6">
        <f>IFERROR(__xludf.DUMMYFUNCTION("""COMPUTED_VALUE"""),5569.95)</f>
        <v>5569.95</v>
      </c>
      <c r="C57" s="6">
        <f>IFERROR(__xludf.DUMMYFUNCTION("""COMPUTED_VALUE"""),5608.45)</f>
        <v>5608.45</v>
      </c>
      <c r="D57" s="6">
        <f>IFERROR(__xludf.DUMMYFUNCTION("""COMPUTED_VALUE"""),5411.0)</f>
        <v>5411</v>
      </c>
      <c r="E57" s="6">
        <f>IFERROR(__xludf.DUMMYFUNCTION("""COMPUTED_VALUE"""),5476.3)</f>
        <v>5476.3</v>
      </c>
      <c r="F57" s="6">
        <f>IFERROR(__xludf.DUMMYFUNCTION("""COMPUTED_VALUE"""),2478248.0)</f>
        <v>2478248</v>
      </c>
    </row>
    <row r="58">
      <c r="A58" s="7">
        <f>IFERROR(__xludf.DUMMYFUNCTION("""COMPUTED_VALUE"""),45583.64583333333)</f>
        <v>45583.64583</v>
      </c>
      <c r="B58" s="6">
        <f>IFERROR(__xludf.DUMMYFUNCTION("""COMPUTED_VALUE"""),5504.0)</f>
        <v>5504</v>
      </c>
      <c r="C58" s="6">
        <f>IFERROR(__xludf.DUMMYFUNCTION("""COMPUTED_VALUE"""),5587.65)</f>
        <v>5587.65</v>
      </c>
      <c r="D58" s="6">
        <f>IFERROR(__xludf.DUMMYFUNCTION("""COMPUTED_VALUE"""),5100.0)</f>
        <v>5100</v>
      </c>
      <c r="E58" s="6">
        <f>IFERROR(__xludf.DUMMYFUNCTION("""COMPUTED_VALUE"""),5216.2)</f>
        <v>5216.2</v>
      </c>
      <c r="F58" s="6">
        <f>IFERROR(__xludf.DUMMYFUNCTION("""COMPUTED_VALUE"""),3589451.0)</f>
        <v>3589451</v>
      </c>
    </row>
    <row r="59">
      <c r="A59" s="7">
        <f>IFERROR(__xludf.DUMMYFUNCTION("""COMPUTED_VALUE"""),45590.64583333333)</f>
        <v>45590.64583</v>
      </c>
      <c r="B59" s="6">
        <f>IFERROR(__xludf.DUMMYFUNCTION("""COMPUTED_VALUE"""),5216.2)</f>
        <v>5216.2</v>
      </c>
      <c r="C59" s="6">
        <f>IFERROR(__xludf.DUMMYFUNCTION("""COMPUTED_VALUE"""),5280.0)</f>
        <v>5280</v>
      </c>
      <c r="D59" s="6">
        <f>IFERROR(__xludf.DUMMYFUNCTION("""COMPUTED_VALUE"""),4875.0)</f>
        <v>4875</v>
      </c>
      <c r="E59" s="6">
        <f>IFERROR(__xludf.DUMMYFUNCTION("""COMPUTED_VALUE"""),4973.3)</f>
        <v>4973.3</v>
      </c>
      <c r="F59" s="6">
        <f>IFERROR(__xludf.DUMMYFUNCTION("""COMPUTED_VALUE"""),2743327.0)</f>
        <v>2743327</v>
      </c>
    </row>
    <row r="60">
      <c r="A60" s="7">
        <f>IFERROR(__xludf.DUMMYFUNCTION("""COMPUTED_VALUE"""),45604.64583333333)</f>
        <v>45604.64583</v>
      </c>
      <c r="B60" s="6">
        <f>IFERROR(__xludf.DUMMYFUNCTION("""COMPUTED_VALUE"""),5127.5)</f>
        <v>5127.5</v>
      </c>
      <c r="C60" s="6">
        <f>IFERROR(__xludf.DUMMYFUNCTION("""COMPUTED_VALUE"""),5127.5)</f>
        <v>5127.5</v>
      </c>
      <c r="D60" s="6">
        <f>IFERROR(__xludf.DUMMYFUNCTION("""COMPUTED_VALUE"""),4726.5)</f>
        <v>4726.5</v>
      </c>
      <c r="E60" s="6">
        <f>IFERROR(__xludf.DUMMYFUNCTION("""COMPUTED_VALUE"""),4768.9)</f>
        <v>4768.9</v>
      </c>
      <c r="F60" s="6">
        <f>IFERROR(__xludf.DUMMYFUNCTION("""COMPUTED_VALUE"""),3659826.0)</f>
        <v>3659826</v>
      </c>
    </row>
    <row r="61">
      <c r="A61" s="7">
        <f>IFERROR(__xludf.DUMMYFUNCTION("""COMPUTED_VALUE"""),45610.64583333333)</f>
        <v>45610.64583</v>
      </c>
      <c r="B61" s="6">
        <f>IFERROR(__xludf.DUMMYFUNCTION("""COMPUTED_VALUE"""),4763.0)</f>
        <v>4763</v>
      </c>
      <c r="C61" s="6">
        <f>IFERROR(__xludf.DUMMYFUNCTION("""COMPUTED_VALUE"""),4796.2)</f>
        <v>4796.2</v>
      </c>
      <c r="D61" s="6">
        <f>IFERROR(__xludf.DUMMYFUNCTION("""COMPUTED_VALUE"""),4467.0)</f>
        <v>4467</v>
      </c>
      <c r="E61" s="6">
        <f>IFERROR(__xludf.DUMMYFUNCTION("""COMPUTED_VALUE"""),4604.0)</f>
        <v>4604</v>
      </c>
      <c r="F61" s="6">
        <f>IFERROR(__xludf.DUMMYFUNCTION("""COMPUTED_VALUE"""),2929904.0)</f>
        <v>2929904</v>
      </c>
    </row>
    <row r="62">
      <c r="A62" s="7">
        <f>IFERROR(__xludf.DUMMYFUNCTION("""COMPUTED_VALUE"""),45618.64583333333)</f>
        <v>45618.64583</v>
      </c>
      <c r="B62" s="6">
        <f>IFERROR(__xludf.DUMMYFUNCTION("""COMPUTED_VALUE"""),4834.15)</f>
        <v>4834.15</v>
      </c>
      <c r="C62" s="6">
        <f>IFERROR(__xludf.DUMMYFUNCTION("""COMPUTED_VALUE"""),4853.95)</f>
        <v>4853.95</v>
      </c>
      <c r="D62" s="6">
        <f>IFERROR(__xludf.DUMMYFUNCTION("""COMPUTED_VALUE"""),4714.1)</f>
        <v>4714.1</v>
      </c>
      <c r="E62" s="6">
        <f>IFERROR(__xludf.DUMMYFUNCTION("""COMPUTED_VALUE"""),4794.1)</f>
        <v>4794.1</v>
      </c>
      <c r="F62" s="6">
        <f>IFERROR(__xludf.DUMMYFUNCTION("""COMPUTED_VALUE"""),3454721.0)</f>
        <v>3454721</v>
      </c>
    </row>
    <row r="63">
      <c r="A63" s="7">
        <f>IFERROR(__xludf.DUMMYFUNCTION("""COMPUTED_VALUE"""),45625.64583333333)</f>
        <v>45625.64583</v>
      </c>
      <c r="B63" s="6">
        <f>IFERROR(__xludf.DUMMYFUNCTION("""COMPUTED_VALUE"""),4850.0)</f>
        <v>4850</v>
      </c>
      <c r="C63" s="6">
        <f>IFERROR(__xludf.DUMMYFUNCTION("""COMPUTED_VALUE"""),4909.95)</f>
        <v>4909.95</v>
      </c>
      <c r="D63" s="6">
        <f>IFERROR(__xludf.DUMMYFUNCTION("""COMPUTED_VALUE"""),4732.1)</f>
        <v>4732.1</v>
      </c>
      <c r="E63" s="6">
        <f>IFERROR(__xludf.DUMMYFUNCTION("""COMPUTED_VALUE"""),4761.7)</f>
        <v>4761.7</v>
      </c>
      <c r="F63" s="6">
        <f>IFERROR(__xludf.DUMMYFUNCTION("""COMPUTED_VALUE"""),3097355.0)</f>
        <v>3097355</v>
      </c>
    </row>
    <row r="64">
      <c r="A64" s="7">
        <f>IFERROR(__xludf.DUMMYFUNCTION("""COMPUTED_VALUE"""),45632.64583333333)</f>
        <v>45632.64583</v>
      </c>
      <c r="B64" s="6">
        <f>IFERROR(__xludf.DUMMYFUNCTION("""COMPUTED_VALUE"""),4733.5)</f>
        <v>4733.5</v>
      </c>
      <c r="C64" s="6">
        <f>IFERROR(__xludf.DUMMYFUNCTION("""COMPUTED_VALUE"""),4784.0)</f>
        <v>4784</v>
      </c>
      <c r="D64" s="6">
        <f>IFERROR(__xludf.DUMMYFUNCTION("""COMPUTED_VALUE"""),4588.4)</f>
        <v>4588.4</v>
      </c>
      <c r="E64" s="6">
        <f>IFERROR(__xludf.DUMMYFUNCTION("""COMPUTED_VALUE"""),4629.6)</f>
        <v>4629.6</v>
      </c>
      <c r="F64" s="6">
        <f>IFERROR(__xludf.DUMMYFUNCTION("""COMPUTED_VALUE"""),3292710.0)</f>
        <v>3292710</v>
      </c>
    </row>
    <row r="65">
      <c r="A65" s="7">
        <f>IFERROR(__xludf.DUMMYFUNCTION("""COMPUTED_VALUE"""),45639.64583333333)</f>
        <v>45639.64583</v>
      </c>
      <c r="B65" s="6">
        <f>IFERROR(__xludf.DUMMYFUNCTION("""COMPUTED_VALUE"""),4638.95)</f>
        <v>4638.95</v>
      </c>
      <c r="C65" s="6">
        <f>IFERROR(__xludf.DUMMYFUNCTION("""COMPUTED_VALUE"""),4660.15)</f>
        <v>4660.15</v>
      </c>
      <c r="D65" s="6">
        <f>IFERROR(__xludf.DUMMYFUNCTION("""COMPUTED_VALUE"""),4500.0)</f>
        <v>4500</v>
      </c>
      <c r="E65" s="6">
        <f>IFERROR(__xludf.DUMMYFUNCTION("""COMPUTED_VALUE"""),4575.45)</f>
        <v>4575.45</v>
      </c>
      <c r="F65" s="6">
        <f>IFERROR(__xludf.DUMMYFUNCTION("""COMPUTED_VALUE"""),2659029.0)</f>
        <v>2659029</v>
      </c>
    </row>
    <row r="66">
      <c r="A66" s="7">
        <f>IFERROR(__xludf.DUMMYFUNCTION("""COMPUTED_VALUE"""),45646.64583333333)</f>
        <v>45646.64583</v>
      </c>
      <c r="B66" s="6">
        <f>IFERROR(__xludf.DUMMYFUNCTION("""COMPUTED_VALUE"""),4590.0)</f>
        <v>4590</v>
      </c>
      <c r="C66" s="6">
        <f>IFERROR(__xludf.DUMMYFUNCTION("""COMPUTED_VALUE"""),4590.0)</f>
        <v>4590</v>
      </c>
      <c r="D66" s="6">
        <f>IFERROR(__xludf.DUMMYFUNCTION("""COMPUTED_VALUE"""),4325.0)</f>
        <v>4325</v>
      </c>
      <c r="E66" s="6">
        <f>IFERROR(__xludf.DUMMYFUNCTION("""COMPUTED_VALUE"""),4339.95)</f>
        <v>4339.95</v>
      </c>
      <c r="F66" s="6">
        <f>IFERROR(__xludf.DUMMYFUNCTION("""COMPUTED_VALUE"""),3844844.0)</f>
        <v>3844844</v>
      </c>
    </row>
    <row r="67">
      <c r="A67" s="7">
        <f>IFERROR(__xludf.DUMMYFUNCTION("""COMPUTED_VALUE"""),45653.64583333333)</f>
        <v>45653.64583</v>
      </c>
      <c r="B67" s="6">
        <f>IFERROR(__xludf.DUMMYFUNCTION("""COMPUTED_VALUE"""),4365.0)</f>
        <v>4365</v>
      </c>
      <c r="C67" s="6">
        <f>IFERROR(__xludf.DUMMYFUNCTION("""COMPUTED_VALUE"""),4375.5)</f>
        <v>4375.5</v>
      </c>
      <c r="D67" s="6">
        <f>IFERROR(__xludf.DUMMYFUNCTION("""COMPUTED_VALUE"""),4228.55)</f>
        <v>4228.55</v>
      </c>
      <c r="E67" s="6">
        <f>IFERROR(__xludf.DUMMYFUNCTION("""COMPUTED_VALUE"""),4237.95)</f>
        <v>4237.95</v>
      </c>
      <c r="F67" s="6">
        <f>IFERROR(__xludf.DUMMYFUNCTION("""COMPUTED_VALUE"""),2613187.0)</f>
        <v>2613187</v>
      </c>
    </row>
    <row r="68">
      <c r="A68" s="7">
        <f>IFERROR(__xludf.DUMMYFUNCTION("""COMPUTED_VALUE"""),45660.64583333333)</f>
        <v>45660.64583</v>
      </c>
      <c r="B68" s="6">
        <f>IFERROR(__xludf.DUMMYFUNCTION("""COMPUTED_VALUE"""),4252.75)</f>
        <v>4252.75</v>
      </c>
      <c r="C68" s="6">
        <f>IFERROR(__xludf.DUMMYFUNCTION("""COMPUTED_VALUE"""),4322.15)</f>
        <v>4322.15</v>
      </c>
      <c r="D68" s="6">
        <f>IFERROR(__xludf.DUMMYFUNCTION("""COMPUTED_VALUE"""),4130.0)</f>
        <v>4130</v>
      </c>
      <c r="E68" s="6">
        <f>IFERROR(__xludf.DUMMYFUNCTION("""COMPUTED_VALUE"""),4243.1)</f>
        <v>4243.1</v>
      </c>
      <c r="F68" s="6">
        <f>IFERROR(__xludf.DUMMYFUNCTION("""COMPUTED_VALUE"""),4973364.0)</f>
        <v>4973364</v>
      </c>
    </row>
    <row r="69">
      <c r="A69" s="7">
        <f>IFERROR(__xludf.DUMMYFUNCTION("""COMPUTED_VALUE"""),45667.64583333333)</f>
        <v>45667.64583</v>
      </c>
      <c r="B69" s="6">
        <f>IFERROR(__xludf.DUMMYFUNCTION("""COMPUTED_VALUE"""),4259.0)</f>
        <v>4259</v>
      </c>
      <c r="C69" s="6">
        <f>IFERROR(__xludf.DUMMYFUNCTION("""COMPUTED_VALUE"""),4300.0)</f>
        <v>4300</v>
      </c>
      <c r="D69" s="6">
        <f>IFERROR(__xludf.DUMMYFUNCTION("""COMPUTED_VALUE"""),4086.4)</f>
        <v>4086.4</v>
      </c>
      <c r="E69" s="6">
        <f>IFERROR(__xludf.DUMMYFUNCTION("""COMPUTED_VALUE"""),4122.2)</f>
        <v>4122.2</v>
      </c>
      <c r="F69" s="6">
        <f>IFERROR(__xludf.DUMMYFUNCTION("""COMPUTED_VALUE"""),2344187.0)</f>
        <v>2344187</v>
      </c>
    </row>
    <row r="70">
      <c r="A70" s="7">
        <f>IFERROR(__xludf.DUMMYFUNCTION("""COMPUTED_VALUE"""),45674.64583333333)</f>
        <v>45674.64583</v>
      </c>
      <c r="B70" s="6">
        <f>IFERROR(__xludf.DUMMYFUNCTION("""COMPUTED_VALUE"""),4100.0)</f>
        <v>4100</v>
      </c>
      <c r="C70" s="6">
        <f>IFERROR(__xludf.DUMMYFUNCTION("""COMPUTED_VALUE"""),4175.0)</f>
        <v>4175</v>
      </c>
      <c r="D70" s="6">
        <f>IFERROR(__xludf.DUMMYFUNCTION("""COMPUTED_VALUE"""),3997.5)</f>
        <v>3997.5</v>
      </c>
      <c r="E70" s="6">
        <f>IFERROR(__xludf.DUMMYFUNCTION("""COMPUTED_VALUE"""),4098.0)</f>
        <v>4098</v>
      </c>
      <c r="F70" s="6">
        <f>IFERROR(__xludf.DUMMYFUNCTION("""COMPUTED_VALUE"""),1886538.0)</f>
        <v>1886538</v>
      </c>
    </row>
    <row r="71">
      <c r="A71" s="7">
        <f>IFERROR(__xludf.DUMMYFUNCTION("""COMPUTED_VALUE"""),45681.64583333333)</f>
        <v>45681.64583</v>
      </c>
      <c r="B71" s="6">
        <f>IFERROR(__xludf.DUMMYFUNCTION("""COMPUTED_VALUE"""),4117.5)</f>
        <v>4117.5</v>
      </c>
      <c r="C71" s="6">
        <f>IFERROR(__xludf.DUMMYFUNCTION("""COMPUTED_VALUE"""),4125.0)</f>
        <v>4125</v>
      </c>
      <c r="D71" s="6">
        <f>IFERROR(__xludf.DUMMYFUNCTION("""COMPUTED_VALUE"""),4010.0)</f>
        <v>4010</v>
      </c>
      <c r="E71" s="6">
        <f>IFERROR(__xludf.DUMMYFUNCTION("""COMPUTED_VALUE"""),4051.9)</f>
        <v>4051.9</v>
      </c>
      <c r="F71" s="6">
        <f>IFERROR(__xludf.DUMMYFUNCTION("""COMPUTED_VALUE"""),1313925.0)</f>
        <v>1313925</v>
      </c>
    </row>
    <row r="72">
      <c r="A72" s="7">
        <f>IFERROR(__xludf.DUMMYFUNCTION("""COMPUTED_VALUE"""),45695.64583333333)</f>
        <v>45695.64583</v>
      </c>
      <c r="B72" s="6">
        <f>IFERROR(__xludf.DUMMYFUNCTION("""COMPUTED_VALUE"""),4420.0)</f>
        <v>4420</v>
      </c>
      <c r="C72" s="6">
        <f>IFERROR(__xludf.DUMMYFUNCTION("""COMPUTED_VALUE"""),4430.0)</f>
        <v>4430</v>
      </c>
      <c r="D72" s="6">
        <f>IFERROR(__xludf.DUMMYFUNCTION("""COMPUTED_VALUE"""),4212.6)</f>
        <v>4212.6</v>
      </c>
      <c r="E72" s="6">
        <f>IFERROR(__xludf.DUMMYFUNCTION("""COMPUTED_VALUE"""),4274.65)</f>
        <v>4274.65</v>
      </c>
      <c r="F72" s="6">
        <f>IFERROR(__xludf.DUMMYFUNCTION("""COMPUTED_VALUE"""),3730054.0)</f>
        <v>3730054</v>
      </c>
    </row>
    <row r="73">
      <c r="A73" s="7">
        <f>IFERROR(__xludf.DUMMYFUNCTION("""COMPUTED_VALUE"""),45702.64583333333)</f>
        <v>45702.64583</v>
      </c>
      <c r="B73" s="6">
        <f>IFERROR(__xludf.DUMMYFUNCTION("""COMPUTED_VALUE"""),4306.3)</f>
        <v>4306.3</v>
      </c>
      <c r="C73" s="6">
        <f>IFERROR(__xludf.DUMMYFUNCTION("""COMPUTED_VALUE"""),4320.95)</f>
        <v>4320.95</v>
      </c>
      <c r="D73" s="6">
        <f>IFERROR(__xludf.DUMMYFUNCTION("""COMPUTED_VALUE"""),3850.0)</f>
        <v>3850</v>
      </c>
      <c r="E73" s="6">
        <f>IFERROR(__xludf.DUMMYFUNCTION("""COMPUTED_VALUE"""),3862.4)</f>
        <v>3862.4</v>
      </c>
      <c r="F73" s="6">
        <f>IFERROR(__xludf.DUMMYFUNCTION("""COMPUTED_VALUE"""),3025032.0)</f>
        <v>3025032</v>
      </c>
    </row>
    <row r="74">
      <c r="A74" s="7">
        <f>IFERROR(__xludf.DUMMYFUNCTION("""COMPUTED_VALUE"""),45709.64583333333)</f>
        <v>45709.64583</v>
      </c>
      <c r="B74" s="6">
        <f>IFERROR(__xludf.DUMMYFUNCTION("""COMPUTED_VALUE"""),3845.05)</f>
        <v>3845.05</v>
      </c>
      <c r="C74" s="6">
        <f>IFERROR(__xludf.DUMMYFUNCTION("""COMPUTED_VALUE"""),3938.0)</f>
        <v>3938</v>
      </c>
      <c r="D74" s="6">
        <f>IFERROR(__xludf.DUMMYFUNCTION("""COMPUTED_VALUE"""),3757.65)</f>
        <v>3757.65</v>
      </c>
      <c r="E74" s="6">
        <f>IFERROR(__xludf.DUMMYFUNCTION("""COMPUTED_VALUE"""),3852.6)</f>
        <v>3852.6</v>
      </c>
      <c r="F74" s="6">
        <f>IFERROR(__xludf.DUMMYFUNCTION("""COMPUTED_VALUE"""),2714149.0)</f>
        <v>2714149</v>
      </c>
    </row>
    <row r="75">
      <c r="A75" s="7">
        <f>IFERROR(__xludf.DUMMYFUNCTION("""COMPUTED_VALUE"""),45716.64583333333)</f>
        <v>45716.64583</v>
      </c>
      <c r="B75" s="6">
        <f>IFERROR(__xludf.DUMMYFUNCTION("""COMPUTED_VALUE"""),3839.85)</f>
        <v>3839.85</v>
      </c>
      <c r="C75" s="6">
        <f>IFERROR(__xludf.DUMMYFUNCTION("""COMPUTED_VALUE"""),3891.1)</f>
        <v>3891.1</v>
      </c>
      <c r="D75" s="6">
        <f>IFERROR(__xludf.DUMMYFUNCTION("""COMPUTED_VALUE"""),3662.15)</f>
        <v>3662.15</v>
      </c>
      <c r="E75" s="6">
        <f>IFERROR(__xludf.DUMMYFUNCTION("""COMPUTED_VALUE"""),3681.1)</f>
        <v>3681.1</v>
      </c>
      <c r="F75" s="6">
        <f>IFERROR(__xludf.DUMMYFUNCTION("""COMPUTED_VALUE"""),2806602.0)</f>
        <v>2806602</v>
      </c>
    </row>
    <row r="76">
      <c r="A76" s="7">
        <f>IFERROR(__xludf.DUMMYFUNCTION("""COMPUTED_VALUE"""),45723.64583333333)</f>
        <v>45723.64583</v>
      </c>
      <c r="B76" s="6">
        <f>IFERROR(__xludf.DUMMYFUNCTION("""COMPUTED_VALUE"""),3644.05)</f>
        <v>3644.05</v>
      </c>
      <c r="C76" s="6">
        <f>IFERROR(__xludf.DUMMYFUNCTION("""COMPUTED_VALUE"""),3733.7)</f>
        <v>3733.7</v>
      </c>
      <c r="D76" s="6">
        <f>IFERROR(__xludf.DUMMYFUNCTION("""COMPUTED_VALUE"""),3495.0)</f>
        <v>3495</v>
      </c>
      <c r="E76" s="6">
        <f>IFERROR(__xludf.DUMMYFUNCTION("""COMPUTED_VALUE"""),3652.5)</f>
        <v>3652.5</v>
      </c>
      <c r="F76" s="6">
        <f>IFERROR(__xludf.DUMMYFUNCTION("""COMPUTED_VALUE"""),3527095.0)</f>
        <v>3527095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IFERROR(__xludf.DUMMYFUNCTION("""COMPUTED_VALUE"""),3653.0)</f>
        <v>3653</v>
      </c>
      <c r="C77" s="6">
        <f>IFERROR(__xludf.DUMMYFUNCTION("""COMPUTED_VALUE"""),3669.45)</f>
        <v>3669.45</v>
      </c>
      <c r="D77" s="6">
        <f>IFERROR(__xludf.DUMMYFUNCTION("""COMPUTED_VALUE"""),3524.35)</f>
        <v>3524.35</v>
      </c>
      <c r="E77" s="6">
        <f>IFERROR(__xludf.DUMMYFUNCTION("""COMPUTED_VALUE"""),3529.15)</f>
        <v>3529.15</v>
      </c>
      <c r="F77" s="6">
        <f>IFERROR(__xludf.DUMMYFUNCTION("""COMPUTED_VALUE"""),2040387.0)</f>
        <v>2040387</v>
      </c>
    </row>
    <row r="78">
      <c r="A78" s="7">
        <f>IFERROR(__xludf.DUMMYFUNCTION("""COMPUTED_VALUE"""),45737.64583333333)</f>
        <v>45737.64583</v>
      </c>
      <c r="B78" s="6">
        <f>IFERROR(__xludf.DUMMYFUNCTION("""COMPUTED_VALUE"""),3486.0)</f>
        <v>3486</v>
      </c>
      <c r="C78" s="6">
        <f>IFERROR(__xludf.DUMMYFUNCTION("""COMPUTED_VALUE"""),3711.9)</f>
        <v>3711.9</v>
      </c>
      <c r="D78" s="6">
        <f>IFERROR(__xludf.DUMMYFUNCTION("""COMPUTED_VALUE"""),3461.6)</f>
        <v>3461.6</v>
      </c>
      <c r="E78" s="6">
        <f>IFERROR(__xludf.DUMMYFUNCTION("""COMPUTED_VALUE"""),3629.0)</f>
        <v>3629</v>
      </c>
      <c r="F78" s="6">
        <f>IFERROR(__xludf.DUMMYFUNCTION("""COMPUTED_VALUE"""),3848883.0)</f>
        <v>3848883</v>
      </c>
    </row>
    <row r="79">
      <c r="A79" s="7">
        <f>IFERROR(__xludf.DUMMYFUNCTION("""COMPUTED_VALUE"""),45744.64583333333)</f>
        <v>45744.64583</v>
      </c>
      <c r="B79" s="6">
        <f>IFERROR(__xludf.DUMMYFUNCTION("""COMPUTED_VALUE"""),3658.0)</f>
        <v>3658</v>
      </c>
      <c r="C79" s="6">
        <f>IFERROR(__xludf.DUMMYFUNCTION("""COMPUTED_VALUE"""),3808.75)</f>
        <v>3808.75</v>
      </c>
      <c r="D79" s="6">
        <f>IFERROR(__xludf.DUMMYFUNCTION("""COMPUTED_VALUE"""),3582.85)</f>
        <v>3582.85</v>
      </c>
      <c r="E79" s="6">
        <f>IFERROR(__xludf.DUMMYFUNCTION("""COMPUTED_VALUE"""),3722.95)</f>
        <v>3722.95</v>
      </c>
      <c r="F79" s="6">
        <f>IFERROR(__xludf.DUMMYFUNCTION("""COMPUTED_VALUE"""),3998067.0)</f>
        <v>3998067</v>
      </c>
    </row>
    <row r="80">
      <c r="A80" s="7">
        <f>IFERROR(__xludf.DUMMYFUNCTION("""COMPUTED_VALUE"""),45751.64583333333)</f>
        <v>45751.64583</v>
      </c>
      <c r="B80" s="6">
        <f>IFERROR(__xludf.DUMMYFUNCTION("""COMPUTED_VALUE"""),3707.35)</f>
        <v>3707.35</v>
      </c>
      <c r="C80" s="6">
        <f>IFERROR(__xludf.DUMMYFUNCTION("""COMPUTED_VALUE"""),3816.6)</f>
        <v>3816.6</v>
      </c>
      <c r="D80" s="6">
        <f>IFERROR(__xludf.DUMMYFUNCTION("""COMPUTED_VALUE"""),3632.55)</f>
        <v>3632.55</v>
      </c>
      <c r="E80" s="6">
        <f>IFERROR(__xludf.DUMMYFUNCTION("""COMPUTED_VALUE"""),3659.2)</f>
        <v>3659.2</v>
      </c>
      <c r="F80" s="6">
        <f>IFERROR(__xludf.DUMMYFUNCTION("""COMPUTED_VALUE"""),1498001.0)</f>
        <v>1498001</v>
      </c>
    </row>
    <row r="81">
      <c r="A81" s="7">
        <f>IFERROR(__xludf.DUMMYFUNCTION("""COMPUTED_VALUE"""),45758.64583333333)</f>
        <v>45758.64583</v>
      </c>
      <c r="B81" s="6">
        <f>IFERROR(__xludf.DUMMYFUNCTION("""COMPUTED_VALUE"""),3478.95)</f>
        <v>3478.95</v>
      </c>
      <c r="C81" s="6">
        <f>IFERROR(__xludf.DUMMYFUNCTION("""COMPUTED_VALUE"""),3704.1)</f>
        <v>3704.1</v>
      </c>
      <c r="D81" s="6">
        <f>IFERROR(__xludf.DUMMYFUNCTION("""COMPUTED_VALUE"""),3344.0)</f>
        <v>3344</v>
      </c>
      <c r="E81" s="6">
        <f>IFERROR(__xludf.DUMMYFUNCTION("""COMPUTED_VALUE"""),3666.0)</f>
        <v>3666</v>
      </c>
      <c r="F81" s="6">
        <f>IFERROR(__xludf.DUMMYFUNCTION("""COMPUTED_VALUE"""),2078000.0)</f>
        <v>2078000</v>
      </c>
    </row>
    <row r="82">
      <c r="A82" s="7">
        <f>IFERROR(__xludf.DUMMYFUNCTION("""COMPUTED_VALUE"""),45764.64583333333)</f>
        <v>45764.64583</v>
      </c>
      <c r="B82" s="6">
        <f>IFERROR(__xludf.DUMMYFUNCTION("""COMPUTED_VALUE"""),3749.0)</f>
        <v>3749</v>
      </c>
      <c r="C82" s="6">
        <f>IFERROR(__xludf.DUMMYFUNCTION("""COMPUTED_VALUE"""),3816.6)</f>
        <v>3816.6</v>
      </c>
      <c r="D82" s="6">
        <f>IFERROR(__xludf.DUMMYFUNCTION("""COMPUTED_VALUE"""),3664.3)</f>
        <v>3664.3</v>
      </c>
      <c r="E82" s="6">
        <f>IFERROR(__xludf.DUMMYFUNCTION("""COMPUTED_VALUE"""),3771.8)</f>
        <v>3771.8</v>
      </c>
      <c r="F82" s="6">
        <f>IFERROR(__xludf.DUMMYFUNCTION("""COMPUTED_VALUE"""),2066253.0)</f>
        <v>2066253</v>
      </c>
    </row>
    <row r="83">
      <c r="A83" s="7">
        <f>IFERROR(__xludf.DUMMYFUNCTION("""COMPUTED_VALUE"""),45772.64583333333)</f>
        <v>45772.64583</v>
      </c>
      <c r="B83" s="6">
        <f>IFERROR(__xludf.DUMMYFUNCTION("""COMPUTED_VALUE"""),3794.0)</f>
        <v>3794</v>
      </c>
      <c r="C83" s="6">
        <f>IFERROR(__xludf.DUMMYFUNCTION("""COMPUTED_VALUE"""),3994.1)</f>
        <v>3994.1</v>
      </c>
      <c r="D83" s="6">
        <f>IFERROR(__xludf.DUMMYFUNCTION("""COMPUTED_VALUE"""),3756.0)</f>
        <v>3756</v>
      </c>
      <c r="E83" s="6">
        <f>IFERROR(__xludf.DUMMYFUNCTION("""COMPUTED_VALUE"""),3895.5)</f>
        <v>3895.5</v>
      </c>
      <c r="F83" s="6">
        <f>IFERROR(__xludf.DUMMYFUNCTION("""COMPUTED_VALUE"""),4640021.0)</f>
        <v>4640021</v>
      </c>
    </row>
    <row r="84">
      <c r="A84" s="7">
        <f>IFERROR(__xludf.DUMMYFUNCTION("""COMPUTED_VALUE"""),45779.64583333333)</f>
        <v>45779.64583</v>
      </c>
      <c r="B84" s="6">
        <f>IFERROR(__xludf.DUMMYFUNCTION("""COMPUTED_VALUE"""),3895.0)</f>
        <v>3895</v>
      </c>
      <c r="C84" s="6">
        <f>IFERROR(__xludf.DUMMYFUNCTION("""COMPUTED_VALUE"""),3953.9)</f>
        <v>3953.9</v>
      </c>
      <c r="D84" s="6">
        <f>IFERROR(__xludf.DUMMYFUNCTION("""COMPUTED_VALUE"""),3725.0)</f>
        <v>3725</v>
      </c>
      <c r="E84" s="6">
        <f>IFERROR(__xludf.DUMMYFUNCTION("""COMPUTED_VALUE"""),3740.5)</f>
        <v>3740.5</v>
      </c>
      <c r="F84" s="6">
        <f>IFERROR(__xludf.DUMMYFUNCTION("""COMPUTED_VALUE"""),2723568.0)</f>
        <v>2723568</v>
      </c>
    </row>
    <row r="85">
      <c r="A85" s="7">
        <f>IFERROR(__xludf.DUMMYFUNCTION("""COMPUTED_VALUE"""),45786.64583333333)</f>
        <v>45786.64583</v>
      </c>
      <c r="B85" s="6">
        <f>IFERROR(__xludf.DUMMYFUNCTION("""COMPUTED_VALUE"""),3769.0)</f>
        <v>3769</v>
      </c>
      <c r="C85" s="6">
        <f>IFERROR(__xludf.DUMMYFUNCTION("""COMPUTED_VALUE"""),3908.0)</f>
        <v>3908</v>
      </c>
      <c r="D85" s="6">
        <f>IFERROR(__xludf.DUMMYFUNCTION("""COMPUTED_VALUE"""),3735.0)</f>
        <v>3735</v>
      </c>
      <c r="E85" s="6">
        <f>IFERROR(__xludf.DUMMYFUNCTION("""COMPUTED_VALUE"""),3853.9)</f>
        <v>3853.9</v>
      </c>
      <c r="F85" s="6">
        <f>IFERROR(__xludf.DUMMYFUNCTION("""COMPUTED_VALUE"""),3897779.0)</f>
        <v>3897779</v>
      </c>
    </row>
    <row r="86">
      <c r="A86" s="7">
        <f>IFERROR(__xludf.DUMMYFUNCTION("""COMPUTED_VALUE"""),45793.64583333333)</f>
        <v>45793.64583</v>
      </c>
      <c r="B86" s="6">
        <f>IFERROR(__xludf.DUMMYFUNCTION("""COMPUTED_VALUE"""),3929.9)</f>
        <v>3929.9</v>
      </c>
      <c r="C86" s="6">
        <f>IFERROR(__xludf.DUMMYFUNCTION("""COMPUTED_VALUE"""),4363.0)</f>
        <v>4363</v>
      </c>
      <c r="D86" s="6">
        <f>IFERROR(__xludf.DUMMYFUNCTION("""COMPUTED_VALUE"""),3910.0)</f>
        <v>3910</v>
      </c>
      <c r="E86" s="6">
        <f>IFERROR(__xludf.DUMMYFUNCTION("""COMPUTED_VALUE"""),4345.3)</f>
        <v>4345.3</v>
      </c>
      <c r="F86" s="6">
        <f>IFERROR(__xludf.DUMMYFUNCTION("""COMPUTED_VALUE"""),6339148.0)</f>
        <v>6339148</v>
      </c>
    </row>
    <row r="87">
      <c r="A87" s="7">
        <f>IFERROR(__xludf.DUMMYFUNCTION("""COMPUTED_VALUE"""),45800.64583333333)</f>
        <v>45800.64583</v>
      </c>
      <c r="B87" s="6">
        <f>IFERROR(__xludf.DUMMYFUNCTION("""COMPUTED_VALUE"""),4323.1)</f>
        <v>4323.1</v>
      </c>
      <c r="C87" s="6">
        <f>IFERROR(__xludf.DUMMYFUNCTION("""COMPUTED_VALUE"""),4454.6)</f>
        <v>4454.6</v>
      </c>
      <c r="D87" s="6">
        <f>IFERROR(__xludf.DUMMYFUNCTION("""COMPUTED_VALUE"""),4202.9)</f>
        <v>4202.9</v>
      </c>
      <c r="E87" s="6">
        <f>IFERROR(__xludf.DUMMYFUNCTION("""COMPUTED_VALUE"""),4308.8)</f>
        <v>4308.8</v>
      </c>
      <c r="F87" s="6">
        <f>IFERROR(__xludf.DUMMYFUNCTION("""COMPUTED_VALUE"""),2849373.0)</f>
        <v>2849373</v>
      </c>
    </row>
    <row r="88">
      <c r="A88" s="7">
        <f>IFERROR(__xludf.DUMMYFUNCTION("""COMPUTED_VALUE"""),45807.64583333333)</f>
        <v>45807.64583</v>
      </c>
      <c r="B88" s="6">
        <f>IFERROR(__xludf.DUMMYFUNCTION("""COMPUTED_VALUE"""),4309.9)</f>
        <v>4309.9</v>
      </c>
      <c r="C88" s="6">
        <f>IFERROR(__xludf.DUMMYFUNCTION("""COMPUTED_VALUE"""),4418.3)</f>
        <v>4418.3</v>
      </c>
      <c r="D88" s="6">
        <f>IFERROR(__xludf.DUMMYFUNCTION("""COMPUTED_VALUE"""),4289.3)</f>
        <v>4289.3</v>
      </c>
      <c r="E88" s="6">
        <f>IFERROR(__xludf.DUMMYFUNCTION("""COMPUTED_VALUE"""),4309.3)</f>
        <v>4309.3</v>
      </c>
      <c r="F88" s="6">
        <f>IFERROR(__xludf.DUMMYFUNCTION("""COMPUTED_VALUE"""),2884590.0)</f>
        <v>2884590</v>
      </c>
    </row>
    <row r="89">
      <c r="A89" s="7">
        <f>IFERROR(__xludf.DUMMYFUNCTION("""COMPUTED_VALUE"""),45814.64583333333)</f>
        <v>45814.64583</v>
      </c>
      <c r="B89" s="6">
        <f>IFERROR(__xludf.DUMMYFUNCTION("""COMPUTED_VALUE"""),4310.1)</f>
        <v>4310.1</v>
      </c>
      <c r="C89" s="6">
        <f>IFERROR(__xludf.DUMMYFUNCTION("""COMPUTED_VALUE"""),4318.7)</f>
        <v>4318.7</v>
      </c>
      <c r="D89" s="6">
        <f>IFERROR(__xludf.DUMMYFUNCTION("""COMPUTED_VALUE"""),4158.1)</f>
        <v>4158.1</v>
      </c>
      <c r="E89" s="6">
        <f>IFERROR(__xludf.DUMMYFUNCTION("""COMPUTED_VALUE"""),4268.0)</f>
        <v>4268</v>
      </c>
      <c r="F89" s="6">
        <f>IFERROR(__xludf.DUMMYFUNCTION("""COMPUTED_VALUE"""),2488465.0)</f>
        <v>2488465</v>
      </c>
    </row>
    <row r="90">
      <c r="A90" s="7">
        <f>IFERROR(__xludf.DUMMYFUNCTION("""COMPUTED_VALUE"""),45821.64583333333)</f>
        <v>45821.64583</v>
      </c>
      <c r="B90" s="6">
        <f>IFERROR(__xludf.DUMMYFUNCTION("""COMPUTED_VALUE"""),4304.9)</f>
        <v>4304.9</v>
      </c>
      <c r="C90" s="6">
        <f>IFERROR(__xludf.DUMMYFUNCTION("""COMPUTED_VALUE"""),4486.7)</f>
        <v>4486.7</v>
      </c>
      <c r="D90" s="6">
        <f>IFERROR(__xludf.DUMMYFUNCTION("""COMPUTED_VALUE"""),4251.4)</f>
        <v>4251.4</v>
      </c>
      <c r="E90" s="6">
        <f>IFERROR(__xludf.DUMMYFUNCTION("""COMPUTED_VALUE"""),4333.8)</f>
        <v>4333.8</v>
      </c>
      <c r="F90" s="6">
        <f>IFERROR(__xludf.DUMMYFUNCTION("""COMPUTED_VALUE"""),3540697.0)</f>
        <v>3540697</v>
      </c>
    </row>
    <row r="91">
      <c r="A91" s="7">
        <f>IFERROR(__xludf.DUMMYFUNCTION("""COMPUTED_VALUE"""),45828.64583333333)</f>
        <v>45828.64583</v>
      </c>
      <c r="B91" s="6">
        <f>IFERROR(__xludf.DUMMYFUNCTION("""COMPUTED_VALUE"""),4316.0)</f>
        <v>4316</v>
      </c>
      <c r="C91" s="6">
        <f>IFERROR(__xludf.DUMMYFUNCTION("""COMPUTED_VALUE"""),4432.0)</f>
        <v>4432</v>
      </c>
      <c r="D91" s="6">
        <f>IFERROR(__xludf.DUMMYFUNCTION("""COMPUTED_VALUE"""),4204.9)</f>
        <v>4204.9</v>
      </c>
      <c r="E91" s="6">
        <f>IFERROR(__xludf.DUMMYFUNCTION("""COMPUTED_VALUE"""),4338.5)</f>
        <v>4338.5</v>
      </c>
      <c r="F91" s="6">
        <f>IFERROR(__xludf.DUMMYFUNCTION("""COMPUTED_VALUE"""),2647040.0)</f>
        <v>2647040</v>
      </c>
    </row>
    <row r="92">
      <c r="A92" s="7">
        <f>IFERROR(__xludf.DUMMYFUNCTION("""COMPUTED_VALUE"""),45835.64583333333)</f>
        <v>45835.64583</v>
      </c>
      <c r="B92" s="6">
        <f>IFERROR(__xludf.DUMMYFUNCTION("""COMPUTED_VALUE"""),4320.0)</f>
        <v>4320</v>
      </c>
      <c r="C92" s="6">
        <f>IFERROR(__xludf.DUMMYFUNCTION("""COMPUTED_VALUE"""),4357.9)</f>
        <v>4357.9</v>
      </c>
      <c r="D92" s="6">
        <f>IFERROR(__xludf.DUMMYFUNCTION("""COMPUTED_VALUE"""),4245.0)</f>
        <v>4245</v>
      </c>
      <c r="E92" s="6">
        <f>IFERROR(__xludf.DUMMYFUNCTION("""COMPUTED_VALUE"""),4320.3)</f>
        <v>4320.3</v>
      </c>
      <c r="F92" s="6">
        <f>IFERROR(__xludf.DUMMYFUNCTION("""COMPUTED_VALUE"""),2801362.0)</f>
        <v>2801362</v>
      </c>
    </row>
    <row r="93">
      <c r="A93" s="7">
        <f>IFERROR(__xludf.DUMMYFUNCTION("""COMPUTED_VALUE"""),45842.64583333333)</f>
        <v>45842.64583</v>
      </c>
      <c r="B93" s="6">
        <f>IFERROR(__xludf.DUMMYFUNCTION("""COMPUTED_VALUE"""),4344.0)</f>
        <v>4344</v>
      </c>
      <c r="C93" s="6">
        <f>IFERROR(__xludf.DUMMYFUNCTION("""COMPUTED_VALUE"""),4374.7)</f>
        <v>4374.7</v>
      </c>
      <c r="D93" s="6">
        <f>IFERROR(__xludf.DUMMYFUNCTION("""COMPUTED_VALUE"""),4190.1)</f>
        <v>4190.1</v>
      </c>
      <c r="E93" s="6">
        <f>IFERROR(__xludf.DUMMYFUNCTION("""COMPUTED_VALUE"""),4345.0)</f>
        <v>4345</v>
      </c>
      <c r="F93" s="6">
        <f>IFERROR(__xludf.DUMMYFUNCTION("""COMPUTED_VALUE"""),3247526.0)</f>
        <v>3247526</v>
      </c>
    </row>
    <row r="94">
      <c r="A94" s="7">
        <f>IFERROR(__xludf.DUMMYFUNCTION("""COMPUTED_VALUE"""),45849.64583333333)</f>
        <v>45849.64583</v>
      </c>
      <c r="B94" s="6">
        <f>IFERROR(__xludf.DUMMYFUNCTION("""COMPUTED_VALUE"""),4340.0)</f>
        <v>4340</v>
      </c>
      <c r="C94" s="6">
        <f>IFERROR(__xludf.DUMMYFUNCTION("""COMPUTED_VALUE"""),4359.6)</f>
        <v>4359.6</v>
      </c>
      <c r="D94" s="6">
        <f>IFERROR(__xludf.DUMMYFUNCTION("""COMPUTED_VALUE"""),4190.0)</f>
        <v>4190</v>
      </c>
      <c r="E94" s="6">
        <f>IFERROR(__xludf.DUMMYFUNCTION("""COMPUTED_VALUE"""),4218.7)</f>
        <v>4218.7</v>
      </c>
      <c r="F94" s="6">
        <f>IFERROR(__xludf.DUMMYFUNCTION("""COMPUTED_VALUE"""),2023219.0)</f>
        <v>2023219</v>
      </c>
    </row>
    <row r="95">
      <c r="A95" s="7">
        <f>IFERROR(__xludf.DUMMYFUNCTION("""COMPUTED_VALUE"""),45856.64583333333)</f>
        <v>45856.64583</v>
      </c>
      <c r="B95" s="6">
        <f>IFERROR(__xludf.DUMMYFUNCTION("""COMPUTED_VALUE"""),4219.0)</f>
        <v>4219</v>
      </c>
      <c r="C95" s="6">
        <f>IFERROR(__xludf.DUMMYFUNCTION("""COMPUTED_VALUE"""),4484.0)</f>
        <v>4484</v>
      </c>
      <c r="D95" s="6">
        <f>IFERROR(__xludf.DUMMYFUNCTION("""COMPUTED_VALUE"""),4197.2)</f>
        <v>4197.2</v>
      </c>
      <c r="E95" s="6">
        <f>IFERROR(__xludf.DUMMYFUNCTION("""COMPUTED_VALUE"""),4396.7)</f>
        <v>4396.7</v>
      </c>
      <c r="F95" s="6">
        <f>IFERROR(__xludf.DUMMYFUNCTION("""COMPUTED_VALUE"""),3627366.0)</f>
        <v>3627366</v>
      </c>
    </row>
    <row r="96">
      <c r="A96" s="7">
        <f>IFERROR(__xludf.DUMMYFUNCTION("""COMPUTED_VALUE"""),45863.64583333333)</f>
        <v>45863.64583</v>
      </c>
      <c r="B96" s="6">
        <f>IFERROR(__xludf.DUMMYFUNCTION("""COMPUTED_VALUE"""),4410.0)</f>
        <v>4410</v>
      </c>
      <c r="C96" s="6">
        <f>IFERROR(__xludf.DUMMYFUNCTION("""COMPUTED_VALUE"""),4431.7)</f>
        <v>4431.7</v>
      </c>
      <c r="D96" s="6">
        <f>IFERROR(__xludf.DUMMYFUNCTION("""COMPUTED_VALUE"""),4195.0)</f>
        <v>4195</v>
      </c>
      <c r="E96" s="6">
        <f>IFERROR(__xludf.DUMMYFUNCTION("""COMPUTED_VALUE"""),4230.7)</f>
        <v>4230.7</v>
      </c>
      <c r="F96" s="6">
        <f>IFERROR(__xludf.DUMMYFUNCTION("""COMPUTED_VALUE"""),2325436.0)</f>
        <v>2325436</v>
      </c>
    </row>
    <row r="97">
      <c r="A97" s="7">
        <f>IFERROR(__xludf.DUMMYFUNCTION("""COMPUTED_VALUE"""),45870.64583333333)</f>
        <v>45870.64583</v>
      </c>
      <c r="B97" s="6">
        <f>IFERROR(__xludf.DUMMYFUNCTION("""COMPUTED_VALUE"""),4215.5)</f>
        <v>4215.5</v>
      </c>
      <c r="C97" s="6">
        <f>IFERROR(__xludf.DUMMYFUNCTION("""COMPUTED_VALUE"""),4334.4)</f>
        <v>4334.4</v>
      </c>
      <c r="D97" s="6">
        <f>IFERROR(__xludf.DUMMYFUNCTION("""COMPUTED_VALUE"""),4201.0)</f>
        <v>4201</v>
      </c>
      <c r="E97" s="6">
        <f>IFERROR(__xludf.DUMMYFUNCTION("""COMPUTED_VALUE"""),4311.6)</f>
        <v>4311.6</v>
      </c>
      <c r="F97" s="6">
        <f>IFERROR(__xludf.DUMMYFUNCTION("""COMPUTED_VALUE"""),2352961.0)</f>
        <v>2352961</v>
      </c>
    </row>
    <row r="98">
      <c r="A98" s="7">
        <f>IFERROR(__xludf.DUMMYFUNCTION("""COMPUTED_VALUE"""),45877.64583333333)</f>
        <v>45877.64583</v>
      </c>
      <c r="B98" s="6">
        <f>IFERROR(__xludf.DUMMYFUNCTION("""COMPUTED_VALUE"""),4315.9)</f>
        <v>4315.9</v>
      </c>
      <c r="C98" s="6">
        <f>IFERROR(__xludf.DUMMYFUNCTION("""COMPUTED_VALUE"""),4712.0)</f>
        <v>4712</v>
      </c>
      <c r="D98" s="6">
        <f>IFERROR(__xludf.DUMMYFUNCTION("""COMPUTED_VALUE"""),4310.1)</f>
        <v>4310.1</v>
      </c>
      <c r="E98" s="6">
        <f>IFERROR(__xludf.DUMMYFUNCTION("""COMPUTED_VALUE"""),4599.8)</f>
        <v>4599.8</v>
      </c>
      <c r="F98" s="6">
        <f>IFERROR(__xludf.DUMMYFUNCTION("""COMPUTED_VALUE"""),5926371.0)</f>
        <v>5926371</v>
      </c>
    </row>
    <row r="99">
      <c r="A99" s="7">
        <f>IFERROR(__xludf.DUMMYFUNCTION("""COMPUTED_VALUE"""),45883.64583333333)</f>
        <v>45883.64583</v>
      </c>
      <c r="B99" s="6">
        <f>IFERROR(__xludf.DUMMYFUNCTION("""COMPUTED_VALUE"""),4603.0)</f>
        <v>4603</v>
      </c>
      <c r="C99" s="6">
        <f>IFERROR(__xludf.DUMMYFUNCTION("""COMPUTED_VALUE"""),4793.5)</f>
        <v>4793.5</v>
      </c>
      <c r="D99" s="6">
        <f>IFERROR(__xludf.DUMMYFUNCTION("""COMPUTED_VALUE"""),4539.0)</f>
        <v>4539</v>
      </c>
      <c r="E99" s="6">
        <f>IFERROR(__xludf.DUMMYFUNCTION("""COMPUTED_VALUE"""),4708.1)</f>
        <v>4708.1</v>
      </c>
      <c r="F99" s="6">
        <f>IFERROR(__xludf.DUMMYFUNCTION("""COMPUTED_VALUE"""),2895981.0)</f>
        <v>2895981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IFERROR(__xludf.DUMMYFUNCTION("""COMPUTED_VALUE"""),4900.0)</f>
        <v>4900</v>
      </c>
      <c r="C100" s="6">
        <f>IFERROR(__xludf.DUMMYFUNCTION("""COMPUTED_VALUE"""),5165.0)</f>
        <v>5165</v>
      </c>
      <c r="D100" s="6">
        <f>IFERROR(__xludf.DUMMYFUNCTION("""COMPUTED_VALUE"""),4900.0)</f>
        <v>4900</v>
      </c>
      <c r="E100" s="6">
        <f>IFERROR(__xludf.DUMMYFUNCTION("""COMPUTED_VALUE"""),4997.9)</f>
        <v>4997.9</v>
      </c>
      <c r="F100" s="6">
        <f>IFERROR(__xludf.DUMMYFUNCTION("""COMPUTED_VALUE"""),8301115.0)</f>
        <v>8301115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IFERROR(__xludf.DUMMYFUNCTION("""COMPUTED_VALUE"""),5010.0)</f>
        <v>5010</v>
      </c>
      <c r="C101" s="6">
        <f>IFERROR(__xludf.DUMMYFUNCTION("""COMPUTED_VALUE"""),5143.0)</f>
        <v>5143</v>
      </c>
      <c r="D101" s="6">
        <f>IFERROR(__xludf.DUMMYFUNCTION("""COMPUTED_VALUE"""),4976.0)</f>
        <v>4976</v>
      </c>
      <c r="E101" s="6">
        <f>IFERROR(__xludf.DUMMYFUNCTION("""COMPUTED_VALUE"""),5073.4)</f>
        <v>5073.4</v>
      </c>
      <c r="F101" s="6">
        <f>IFERROR(__xludf.DUMMYFUNCTION("""COMPUTED_VALUE"""),1.4966546E7)</f>
        <v>14966546</v>
      </c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IFERROR(__xludf.DUMMYFUNCTION("GOOGLEFINANCE(""NSE:HINDALCO"",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IFERROR(__xludf.DUMMYFUNCTION("""COMPUTED_VALUE"""),450.55)</f>
        <v>450.55</v>
      </c>
      <c r="C2" s="6">
        <f>IFERROR(__xludf.DUMMYFUNCTION("""COMPUTED_VALUE"""),478.5)</f>
        <v>478.5</v>
      </c>
      <c r="D2" s="6">
        <f>IFERROR(__xludf.DUMMYFUNCTION("""COMPUTED_VALUE"""),445.5)</f>
        <v>445.5</v>
      </c>
      <c r="E2" s="6">
        <f>IFERROR(__xludf.DUMMYFUNCTION("""COMPUTED_VALUE"""),473.25)</f>
        <v>473.25</v>
      </c>
      <c r="F2" s="6">
        <f>IFERROR(__xludf.DUMMYFUNCTION("""COMPUTED_VALUE"""),3.6278791E7)</f>
        <v>36278791</v>
      </c>
    </row>
    <row r="3">
      <c r="A3" s="7">
        <f>IFERROR(__xludf.DUMMYFUNCTION("""COMPUTED_VALUE"""),45177.64583333333)</f>
        <v>45177.64583</v>
      </c>
      <c r="B3" s="6">
        <f>IFERROR(__xludf.DUMMYFUNCTION("""COMPUTED_VALUE"""),477.6)</f>
        <v>477.6</v>
      </c>
      <c r="C3" s="6">
        <f>IFERROR(__xludf.DUMMYFUNCTION("""COMPUTED_VALUE"""),492.3)</f>
        <v>492.3</v>
      </c>
      <c r="D3" s="6">
        <f>IFERROR(__xludf.DUMMYFUNCTION("""COMPUTED_VALUE"""),467.7)</f>
        <v>467.7</v>
      </c>
      <c r="E3" s="6">
        <f>IFERROR(__xludf.DUMMYFUNCTION("""COMPUTED_VALUE"""),476.15)</f>
        <v>476.15</v>
      </c>
      <c r="F3" s="6">
        <f>IFERROR(__xludf.DUMMYFUNCTION("""COMPUTED_VALUE"""),3.0133034E7)</f>
        <v>30133034</v>
      </c>
    </row>
    <row r="4">
      <c r="A4" s="7">
        <f>IFERROR(__xludf.DUMMYFUNCTION("""COMPUTED_VALUE"""),45184.64583333333)</f>
        <v>45184.64583</v>
      </c>
      <c r="B4" s="6">
        <f>IFERROR(__xludf.DUMMYFUNCTION("""COMPUTED_VALUE"""),478.0)</f>
        <v>478</v>
      </c>
      <c r="C4" s="6">
        <f>IFERROR(__xludf.DUMMYFUNCTION("""COMPUTED_VALUE"""),508.9)</f>
        <v>508.9</v>
      </c>
      <c r="D4" s="6">
        <f>IFERROR(__xludf.DUMMYFUNCTION("""COMPUTED_VALUE"""),473.85)</f>
        <v>473.85</v>
      </c>
      <c r="E4" s="6">
        <f>IFERROR(__xludf.DUMMYFUNCTION("""COMPUTED_VALUE"""),496.55)</f>
        <v>496.55</v>
      </c>
      <c r="F4" s="6">
        <f>IFERROR(__xludf.DUMMYFUNCTION("""COMPUTED_VALUE"""),4.1564219E7)</f>
        <v>41564219</v>
      </c>
    </row>
    <row r="5">
      <c r="A5" s="7">
        <f>IFERROR(__xludf.DUMMYFUNCTION("""COMPUTED_VALUE"""),45191.64583333333)</f>
        <v>45191.64583</v>
      </c>
      <c r="B5" s="6">
        <f>IFERROR(__xludf.DUMMYFUNCTION("""COMPUTED_VALUE"""),494.0)</f>
        <v>494</v>
      </c>
      <c r="C5" s="6">
        <f>IFERROR(__xludf.DUMMYFUNCTION("""COMPUTED_VALUE"""),494.0)</f>
        <v>494</v>
      </c>
      <c r="D5" s="6">
        <f>IFERROR(__xludf.DUMMYFUNCTION("""COMPUTED_VALUE"""),471.5)</f>
        <v>471.5</v>
      </c>
      <c r="E5" s="6">
        <f>IFERROR(__xludf.DUMMYFUNCTION("""COMPUTED_VALUE"""),478.85)</f>
        <v>478.85</v>
      </c>
      <c r="F5" s="6">
        <f>IFERROR(__xludf.DUMMYFUNCTION("""COMPUTED_VALUE"""),2.0931682E7)</f>
        <v>20931682</v>
      </c>
    </row>
    <row r="6">
      <c r="A6" s="7">
        <f>IFERROR(__xludf.DUMMYFUNCTION("""COMPUTED_VALUE"""),45198.64583333333)</f>
        <v>45198.64583</v>
      </c>
      <c r="B6" s="6">
        <f>IFERROR(__xludf.DUMMYFUNCTION("""COMPUTED_VALUE"""),478.8)</f>
        <v>478.8</v>
      </c>
      <c r="C6" s="6">
        <f>IFERROR(__xludf.DUMMYFUNCTION("""COMPUTED_VALUE"""),494.5)</f>
        <v>494.5</v>
      </c>
      <c r="D6" s="6">
        <f>IFERROR(__xludf.DUMMYFUNCTION("""COMPUTED_VALUE"""),464.45)</f>
        <v>464.45</v>
      </c>
      <c r="E6" s="6">
        <f>IFERROR(__xludf.DUMMYFUNCTION("""COMPUTED_VALUE"""),492.65)</f>
        <v>492.65</v>
      </c>
      <c r="F6" s="6">
        <f>IFERROR(__xludf.DUMMYFUNCTION("""COMPUTED_VALUE"""),3.3566135E7)</f>
        <v>33566135</v>
      </c>
    </row>
    <row r="7">
      <c r="A7" s="7">
        <f>IFERROR(__xludf.DUMMYFUNCTION("""COMPUTED_VALUE"""),45205.64583333333)</f>
        <v>45205.64583</v>
      </c>
      <c r="B7" s="6">
        <f>IFERROR(__xludf.DUMMYFUNCTION("""COMPUTED_VALUE"""),483.1)</f>
        <v>483.1</v>
      </c>
      <c r="C7" s="6">
        <f>IFERROR(__xludf.DUMMYFUNCTION("""COMPUTED_VALUE"""),484.55)</f>
        <v>484.55</v>
      </c>
      <c r="D7" s="6">
        <f>IFERROR(__xludf.DUMMYFUNCTION("""COMPUTED_VALUE"""),468.35)</f>
        <v>468.35</v>
      </c>
      <c r="E7" s="6">
        <f>IFERROR(__xludf.DUMMYFUNCTION("""COMPUTED_VALUE"""),472.6)</f>
        <v>472.6</v>
      </c>
      <c r="F7" s="6">
        <f>IFERROR(__xludf.DUMMYFUNCTION("""COMPUTED_VALUE"""),1.589517E7)</f>
        <v>15895170</v>
      </c>
    </row>
    <row r="8">
      <c r="A8" s="7">
        <f>IFERROR(__xludf.DUMMYFUNCTION("""COMPUTED_VALUE"""),45212.64583333333)</f>
        <v>45212.64583</v>
      </c>
      <c r="B8" s="6">
        <f>IFERROR(__xludf.DUMMYFUNCTION("""COMPUTED_VALUE"""),472.45)</f>
        <v>472.45</v>
      </c>
      <c r="C8" s="6">
        <f>IFERROR(__xludf.DUMMYFUNCTION("""COMPUTED_VALUE"""),494.0)</f>
        <v>494</v>
      </c>
      <c r="D8" s="6">
        <f>IFERROR(__xludf.DUMMYFUNCTION("""COMPUTED_VALUE"""),464.6)</f>
        <v>464.6</v>
      </c>
      <c r="E8" s="6">
        <f>IFERROR(__xludf.DUMMYFUNCTION("""COMPUTED_VALUE"""),480.6)</f>
        <v>480.6</v>
      </c>
      <c r="F8" s="6">
        <f>IFERROR(__xludf.DUMMYFUNCTION("""COMPUTED_VALUE"""),2.909936E7)</f>
        <v>29099360</v>
      </c>
    </row>
    <row r="9">
      <c r="A9" s="7">
        <f>IFERROR(__xludf.DUMMYFUNCTION("""COMPUTED_VALUE"""),45219.64583333333)</f>
        <v>45219.64583</v>
      </c>
      <c r="B9" s="6">
        <f>IFERROR(__xludf.DUMMYFUNCTION("""COMPUTED_VALUE"""),479.75)</f>
        <v>479.75</v>
      </c>
      <c r="C9" s="6">
        <f>IFERROR(__xludf.DUMMYFUNCTION("""COMPUTED_VALUE"""),494.8)</f>
        <v>494.8</v>
      </c>
      <c r="D9" s="6">
        <f>IFERROR(__xludf.DUMMYFUNCTION("""COMPUTED_VALUE"""),470.0)</f>
        <v>470</v>
      </c>
      <c r="E9" s="6">
        <f>IFERROR(__xludf.DUMMYFUNCTION("""COMPUTED_VALUE"""),471.75)</f>
        <v>471.75</v>
      </c>
      <c r="F9" s="6">
        <f>IFERROR(__xludf.DUMMYFUNCTION("""COMPUTED_VALUE"""),2.5789714E7)</f>
        <v>25789714</v>
      </c>
    </row>
    <row r="10">
      <c r="A10" s="7">
        <f>IFERROR(__xludf.DUMMYFUNCTION("""COMPUTED_VALUE"""),45226.64583333333)</f>
        <v>45226.64583</v>
      </c>
      <c r="B10" s="6">
        <f>IFERROR(__xludf.DUMMYFUNCTION("""COMPUTED_VALUE"""),470.8)</f>
        <v>470.8</v>
      </c>
      <c r="C10" s="6">
        <f>IFERROR(__xludf.DUMMYFUNCTION("""COMPUTED_VALUE"""),473.95)</f>
        <v>473.95</v>
      </c>
      <c r="D10" s="6">
        <f>IFERROR(__xludf.DUMMYFUNCTION("""COMPUTED_VALUE"""),448.75)</f>
        <v>448.75</v>
      </c>
      <c r="E10" s="6">
        <f>IFERROR(__xludf.DUMMYFUNCTION("""COMPUTED_VALUE"""),456.15)</f>
        <v>456.15</v>
      </c>
      <c r="F10" s="6">
        <f>IFERROR(__xludf.DUMMYFUNCTION("""COMPUTED_VALUE"""),2.3668031E7)</f>
        <v>23668031</v>
      </c>
    </row>
    <row r="11">
      <c r="A11" s="7">
        <f>IFERROR(__xludf.DUMMYFUNCTION("""COMPUTED_VALUE"""),45233.64583333333)</f>
        <v>45233.64583</v>
      </c>
      <c r="B11" s="6">
        <f>IFERROR(__xludf.DUMMYFUNCTION("""COMPUTED_VALUE"""),458.75)</f>
        <v>458.75</v>
      </c>
      <c r="C11" s="6">
        <f>IFERROR(__xludf.DUMMYFUNCTION("""COMPUTED_VALUE"""),481.45)</f>
        <v>481.45</v>
      </c>
      <c r="D11" s="6">
        <f>IFERROR(__xludf.DUMMYFUNCTION("""COMPUTED_VALUE"""),453.25)</f>
        <v>453.25</v>
      </c>
      <c r="E11" s="6">
        <f>IFERROR(__xludf.DUMMYFUNCTION("""COMPUTED_VALUE"""),475.2)</f>
        <v>475.2</v>
      </c>
      <c r="F11" s="6">
        <f>IFERROR(__xludf.DUMMYFUNCTION("""COMPUTED_VALUE"""),2.4899673E7)</f>
        <v>24899673</v>
      </c>
    </row>
    <row r="12">
      <c r="A12" s="7">
        <f>IFERROR(__xludf.DUMMYFUNCTION("""COMPUTED_VALUE"""),45240.64583333333)</f>
        <v>45240.64583</v>
      </c>
      <c r="B12" s="6">
        <f>IFERROR(__xludf.DUMMYFUNCTION("""COMPUTED_VALUE"""),480.0)</f>
        <v>480</v>
      </c>
      <c r="C12" s="6">
        <f>IFERROR(__xludf.DUMMYFUNCTION("""COMPUTED_VALUE"""),491.5)</f>
        <v>491.5</v>
      </c>
      <c r="D12" s="6">
        <f>IFERROR(__xludf.DUMMYFUNCTION("""COMPUTED_VALUE"""),478.15)</f>
        <v>478.15</v>
      </c>
      <c r="E12" s="6">
        <f>IFERROR(__xludf.DUMMYFUNCTION("""COMPUTED_VALUE"""),481.3)</f>
        <v>481.3</v>
      </c>
      <c r="F12" s="6">
        <f>IFERROR(__xludf.DUMMYFUNCTION("""COMPUTED_VALUE"""),2.4710523E7)</f>
        <v>24710523</v>
      </c>
    </row>
    <row r="13">
      <c r="A13" s="7">
        <f>IFERROR(__xludf.DUMMYFUNCTION("""COMPUTED_VALUE"""),45247.64583333333)</f>
        <v>45247.64583</v>
      </c>
      <c r="B13" s="6">
        <f>IFERROR(__xludf.DUMMYFUNCTION("""COMPUTED_VALUE"""),485.0)</f>
        <v>485</v>
      </c>
      <c r="C13" s="6">
        <f>IFERROR(__xludf.DUMMYFUNCTION("""COMPUTED_VALUE"""),513.5)</f>
        <v>513.5</v>
      </c>
      <c r="D13" s="6">
        <f>IFERROR(__xludf.DUMMYFUNCTION("""COMPUTED_VALUE"""),480.65)</f>
        <v>480.65</v>
      </c>
      <c r="E13" s="6">
        <f>IFERROR(__xludf.DUMMYFUNCTION("""COMPUTED_VALUE"""),497.75)</f>
        <v>497.75</v>
      </c>
      <c r="F13" s="6">
        <f>IFERROR(__xludf.DUMMYFUNCTION("""COMPUTED_VALUE"""),2.4662176E7)</f>
        <v>24662176</v>
      </c>
    </row>
    <row r="14">
      <c r="A14" s="7">
        <f>IFERROR(__xludf.DUMMYFUNCTION("""COMPUTED_VALUE"""),45254.64583333333)</f>
        <v>45254.64583</v>
      </c>
      <c r="B14" s="6">
        <f>IFERROR(__xludf.DUMMYFUNCTION("""COMPUTED_VALUE"""),500.15)</f>
        <v>500.15</v>
      </c>
      <c r="C14" s="6">
        <f>IFERROR(__xludf.DUMMYFUNCTION("""COMPUTED_VALUE"""),512.75)</f>
        <v>512.75</v>
      </c>
      <c r="D14" s="6">
        <f>IFERROR(__xludf.DUMMYFUNCTION("""COMPUTED_VALUE"""),491.65)</f>
        <v>491.65</v>
      </c>
      <c r="E14" s="6">
        <f>IFERROR(__xludf.DUMMYFUNCTION("""COMPUTED_VALUE"""),507.8)</f>
        <v>507.8</v>
      </c>
      <c r="F14" s="6">
        <f>IFERROR(__xludf.DUMMYFUNCTION("""COMPUTED_VALUE"""),2.8399401E7)</f>
        <v>28399401</v>
      </c>
    </row>
    <row r="15">
      <c r="A15" s="7">
        <f>IFERROR(__xludf.DUMMYFUNCTION("""COMPUTED_VALUE"""),45261.64583333333)</f>
        <v>45261.64583</v>
      </c>
      <c r="B15" s="6">
        <f>IFERROR(__xludf.DUMMYFUNCTION("""COMPUTED_VALUE"""),511.75)</f>
        <v>511.75</v>
      </c>
      <c r="C15" s="6">
        <f>IFERROR(__xludf.DUMMYFUNCTION("""COMPUTED_VALUE"""),524.8)</f>
        <v>524.8</v>
      </c>
      <c r="D15" s="6">
        <f>IFERROR(__xludf.DUMMYFUNCTION("""COMPUTED_VALUE"""),509.8)</f>
        <v>509.8</v>
      </c>
      <c r="E15" s="6">
        <f>IFERROR(__xludf.DUMMYFUNCTION("""COMPUTED_VALUE"""),517.2)</f>
        <v>517.2</v>
      </c>
      <c r="F15" s="6">
        <f>IFERROR(__xludf.DUMMYFUNCTION("""COMPUTED_VALUE"""),2.6613793E7)</f>
        <v>26613793</v>
      </c>
    </row>
    <row r="16">
      <c r="A16" s="7">
        <f>IFERROR(__xludf.DUMMYFUNCTION("""COMPUTED_VALUE"""),45268.64583333333)</f>
        <v>45268.64583</v>
      </c>
      <c r="B16" s="6">
        <f>IFERROR(__xludf.DUMMYFUNCTION("""COMPUTED_VALUE"""),524.05)</f>
        <v>524.05</v>
      </c>
      <c r="C16" s="6">
        <f>IFERROR(__xludf.DUMMYFUNCTION("""COMPUTED_VALUE"""),528.8)</f>
        <v>528.8</v>
      </c>
      <c r="D16" s="6">
        <f>IFERROR(__xludf.DUMMYFUNCTION("""COMPUTED_VALUE"""),514.0)</f>
        <v>514</v>
      </c>
      <c r="E16" s="6">
        <f>IFERROR(__xludf.DUMMYFUNCTION("""COMPUTED_VALUE"""),520.35)</f>
        <v>520.35</v>
      </c>
      <c r="F16" s="6">
        <f>IFERROR(__xludf.DUMMYFUNCTION("""COMPUTED_VALUE"""),2.5579349E7)</f>
        <v>25579349</v>
      </c>
    </row>
    <row r="17">
      <c r="A17" s="7">
        <f>IFERROR(__xludf.DUMMYFUNCTION("""COMPUTED_VALUE"""),45275.64583333333)</f>
        <v>45275.64583</v>
      </c>
      <c r="B17" s="6">
        <f>IFERROR(__xludf.DUMMYFUNCTION("""COMPUTED_VALUE"""),520.3)</f>
        <v>520.3</v>
      </c>
      <c r="C17" s="6">
        <f>IFERROR(__xludf.DUMMYFUNCTION("""COMPUTED_VALUE"""),559.05)</f>
        <v>559.05</v>
      </c>
      <c r="D17" s="6">
        <f>IFERROR(__xludf.DUMMYFUNCTION("""COMPUTED_VALUE"""),517.1)</f>
        <v>517.1</v>
      </c>
      <c r="E17" s="6">
        <f>IFERROR(__xludf.DUMMYFUNCTION("""COMPUTED_VALUE"""),557.25)</f>
        <v>557.25</v>
      </c>
      <c r="F17" s="6">
        <f>IFERROR(__xludf.DUMMYFUNCTION("""COMPUTED_VALUE"""),3.1477054E7)</f>
        <v>31477054</v>
      </c>
    </row>
    <row r="18">
      <c r="A18" s="7">
        <f>IFERROR(__xludf.DUMMYFUNCTION("""COMPUTED_VALUE"""),45282.64583333333)</f>
        <v>45282.64583</v>
      </c>
      <c r="B18" s="6">
        <f>IFERROR(__xludf.DUMMYFUNCTION("""COMPUTED_VALUE"""),557.0)</f>
        <v>557</v>
      </c>
      <c r="C18" s="6">
        <f>IFERROR(__xludf.DUMMYFUNCTION("""COMPUTED_VALUE"""),572.0)</f>
        <v>572</v>
      </c>
      <c r="D18" s="6">
        <f>IFERROR(__xludf.DUMMYFUNCTION("""COMPUTED_VALUE"""),541.65)</f>
        <v>541.65</v>
      </c>
      <c r="E18" s="6">
        <f>IFERROR(__xludf.DUMMYFUNCTION("""COMPUTED_VALUE"""),570.45)</f>
        <v>570.45</v>
      </c>
      <c r="F18" s="6">
        <f>IFERROR(__xludf.DUMMYFUNCTION("""COMPUTED_VALUE"""),2.8977288E7)</f>
        <v>28977288</v>
      </c>
    </row>
    <row r="19">
      <c r="A19" s="7">
        <f>IFERROR(__xludf.DUMMYFUNCTION("""COMPUTED_VALUE"""),45289.64583333333)</f>
        <v>45289.64583</v>
      </c>
      <c r="B19" s="6">
        <f>IFERROR(__xludf.DUMMYFUNCTION("""COMPUTED_VALUE"""),574.95)</f>
        <v>574.95</v>
      </c>
      <c r="C19" s="6">
        <f>IFERROR(__xludf.DUMMYFUNCTION("""COMPUTED_VALUE"""),618.0)</f>
        <v>618</v>
      </c>
      <c r="D19" s="6">
        <f>IFERROR(__xludf.DUMMYFUNCTION("""COMPUTED_VALUE"""),570.5)</f>
        <v>570.5</v>
      </c>
      <c r="E19" s="6">
        <f>IFERROR(__xludf.DUMMYFUNCTION("""COMPUTED_VALUE"""),614.85)</f>
        <v>614.85</v>
      </c>
      <c r="F19" s="6">
        <f>IFERROR(__xludf.DUMMYFUNCTION("""COMPUTED_VALUE"""),2.8216122E7)</f>
        <v>28216122</v>
      </c>
    </row>
    <row r="20">
      <c r="A20" s="7">
        <f>IFERROR(__xludf.DUMMYFUNCTION("""COMPUTED_VALUE"""),45296.64583333333)</f>
        <v>45296.64583</v>
      </c>
      <c r="B20" s="6">
        <f>IFERROR(__xludf.DUMMYFUNCTION("""COMPUTED_VALUE"""),614.5)</f>
        <v>614.5</v>
      </c>
      <c r="C20" s="6">
        <f>IFERROR(__xludf.DUMMYFUNCTION("""COMPUTED_VALUE"""),620.5)</f>
        <v>620.5</v>
      </c>
      <c r="D20" s="6">
        <f>IFERROR(__xludf.DUMMYFUNCTION("""COMPUTED_VALUE"""),581.55)</f>
        <v>581.55</v>
      </c>
      <c r="E20" s="6">
        <f>IFERROR(__xludf.DUMMYFUNCTION("""COMPUTED_VALUE"""),587.0)</f>
        <v>587</v>
      </c>
      <c r="F20" s="6">
        <f>IFERROR(__xludf.DUMMYFUNCTION("""COMPUTED_VALUE"""),2.474588E7)</f>
        <v>24745880</v>
      </c>
    </row>
    <row r="21">
      <c r="A21" s="7">
        <f>IFERROR(__xludf.DUMMYFUNCTION("""COMPUTED_VALUE"""),45303.64583333333)</f>
        <v>45303.64583</v>
      </c>
      <c r="B21" s="6">
        <f>IFERROR(__xludf.DUMMYFUNCTION("""COMPUTED_VALUE"""),587.0)</f>
        <v>587</v>
      </c>
      <c r="C21" s="6">
        <f>IFERROR(__xludf.DUMMYFUNCTION("""COMPUTED_VALUE"""),592.5)</f>
        <v>592.5</v>
      </c>
      <c r="D21" s="6">
        <f>IFERROR(__xludf.DUMMYFUNCTION("""COMPUTED_VALUE"""),570.65)</f>
        <v>570.65</v>
      </c>
      <c r="E21" s="6">
        <f>IFERROR(__xludf.DUMMYFUNCTION("""COMPUTED_VALUE"""),582.05)</f>
        <v>582.05</v>
      </c>
      <c r="F21" s="6">
        <f>IFERROR(__xludf.DUMMYFUNCTION("""COMPUTED_VALUE"""),1.8488834E7)</f>
        <v>18488834</v>
      </c>
    </row>
    <row r="22">
      <c r="A22" s="7">
        <f>IFERROR(__xludf.DUMMYFUNCTION("""COMPUTED_VALUE"""),45316.64583333333)</f>
        <v>45316.64583</v>
      </c>
      <c r="B22" s="6">
        <f>IFERROR(__xludf.DUMMYFUNCTION("""COMPUTED_VALUE"""),558.0)</f>
        <v>558</v>
      </c>
      <c r="C22" s="6">
        <f>IFERROR(__xludf.DUMMYFUNCTION("""COMPUTED_VALUE"""),570.0)</f>
        <v>570</v>
      </c>
      <c r="D22" s="6">
        <f>IFERROR(__xludf.DUMMYFUNCTION("""COMPUTED_VALUE"""),537.6)</f>
        <v>537.6</v>
      </c>
      <c r="E22" s="6">
        <f>IFERROR(__xludf.DUMMYFUNCTION("""COMPUTED_VALUE"""),567.2)</f>
        <v>567.2</v>
      </c>
      <c r="F22" s="6">
        <f>IFERROR(__xludf.DUMMYFUNCTION("""COMPUTED_VALUE"""),2.1854391E7)</f>
        <v>21854391</v>
      </c>
    </row>
    <row r="23">
      <c r="A23" s="7">
        <f>IFERROR(__xludf.DUMMYFUNCTION("""COMPUTED_VALUE"""),45324.64583333333)</f>
        <v>45324.64583</v>
      </c>
      <c r="B23" s="6">
        <f>IFERROR(__xludf.DUMMYFUNCTION("""COMPUTED_VALUE"""),568.0)</f>
        <v>568</v>
      </c>
      <c r="C23" s="6">
        <f>IFERROR(__xludf.DUMMYFUNCTION("""COMPUTED_VALUE"""),589.0)</f>
        <v>589</v>
      </c>
      <c r="D23" s="6">
        <f>IFERROR(__xludf.DUMMYFUNCTION("""COMPUTED_VALUE"""),562.0)</f>
        <v>562</v>
      </c>
      <c r="E23" s="6">
        <f>IFERROR(__xludf.DUMMYFUNCTION("""COMPUTED_VALUE"""),583.5)</f>
        <v>583.5</v>
      </c>
      <c r="F23" s="6">
        <f>IFERROR(__xludf.DUMMYFUNCTION("""COMPUTED_VALUE"""),2.9395233E7)</f>
        <v>29395233</v>
      </c>
    </row>
    <row r="24">
      <c r="A24" s="7">
        <f>IFERROR(__xludf.DUMMYFUNCTION("""COMPUTED_VALUE"""),45331.64583333333)</f>
        <v>45331.64583</v>
      </c>
      <c r="B24" s="6">
        <f>IFERROR(__xludf.DUMMYFUNCTION("""COMPUTED_VALUE"""),583.5)</f>
        <v>583.5</v>
      </c>
      <c r="C24" s="6">
        <f>IFERROR(__xludf.DUMMYFUNCTION("""COMPUTED_VALUE"""),608.95)</f>
        <v>608.95</v>
      </c>
      <c r="D24" s="6">
        <f>IFERROR(__xludf.DUMMYFUNCTION("""COMPUTED_VALUE"""),569.25)</f>
        <v>569.25</v>
      </c>
      <c r="E24" s="6">
        <f>IFERROR(__xludf.DUMMYFUNCTION("""COMPUTED_VALUE"""),591.3)</f>
        <v>591.3</v>
      </c>
      <c r="F24" s="6">
        <f>IFERROR(__xludf.DUMMYFUNCTION("""COMPUTED_VALUE"""),3.5265943E7)</f>
        <v>35265943</v>
      </c>
    </row>
    <row r="25">
      <c r="A25" s="7">
        <f>IFERROR(__xludf.DUMMYFUNCTION("""COMPUTED_VALUE"""),45338.64583333333)</f>
        <v>45338.64583</v>
      </c>
      <c r="B25" s="6">
        <f>IFERROR(__xludf.DUMMYFUNCTION("""COMPUTED_VALUE"""),591.9)</f>
        <v>591.9</v>
      </c>
      <c r="C25" s="6">
        <f>IFERROR(__xludf.DUMMYFUNCTION("""COMPUTED_VALUE"""),601.8)</f>
        <v>601.8</v>
      </c>
      <c r="D25" s="6">
        <f>IFERROR(__xludf.DUMMYFUNCTION("""COMPUTED_VALUE"""),496.35)</f>
        <v>496.35</v>
      </c>
      <c r="E25" s="6">
        <f>IFERROR(__xludf.DUMMYFUNCTION("""COMPUTED_VALUE"""),515.7)</f>
        <v>515.7</v>
      </c>
      <c r="F25" s="6">
        <f>IFERROR(__xludf.DUMMYFUNCTION("""COMPUTED_VALUE"""),9.2700287E7)</f>
        <v>92700287</v>
      </c>
    </row>
    <row r="26">
      <c r="A26" s="7">
        <f>IFERROR(__xludf.DUMMYFUNCTION("""COMPUTED_VALUE"""),45345.64583333333)</f>
        <v>45345.64583</v>
      </c>
      <c r="B26" s="6">
        <f>IFERROR(__xludf.DUMMYFUNCTION("""COMPUTED_VALUE"""),518.75)</f>
        <v>518.75</v>
      </c>
      <c r="C26" s="6">
        <f>IFERROR(__xludf.DUMMYFUNCTION("""COMPUTED_VALUE"""),538.0)</f>
        <v>538</v>
      </c>
      <c r="D26" s="6">
        <f>IFERROR(__xludf.DUMMYFUNCTION("""COMPUTED_VALUE"""),507.15)</f>
        <v>507.15</v>
      </c>
      <c r="E26" s="6">
        <f>IFERROR(__xludf.DUMMYFUNCTION("""COMPUTED_VALUE"""),518.35)</f>
        <v>518.35</v>
      </c>
      <c r="F26" s="6">
        <f>IFERROR(__xludf.DUMMYFUNCTION("""COMPUTED_VALUE"""),4.4047969E7)</f>
        <v>44047969</v>
      </c>
    </row>
    <row r="27">
      <c r="A27" s="7">
        <f>IFERROR(__xludf.DUMMYFUNCTION("""COMPUTED_VALUE"""),45358.64583333333)</f>
        <v>45358.64583</v>
      </c>
      <c r="B27" s="6">
        <f>IFERROR(__xludf.DUMMYFUNCTION("""COMPUTED_VALUE"""),524.0)</f>
        <v>524</v>
      </c>
      <c r="C27" s="6">
        <f>IFERROR(__xludf.DUMMYFUNCTION("""COMPUTED_VALUE"""),540.85)</f>
        <v>540.85</v>
      </c>
      <c r="D27" s="6">
        <f>IFERROR(__xludf.DUMMYFUNCTION("""COMPUTED_VALUE"""),513.95)</f>
        <v>513.95</v>
      </c>
      <c r="E27" s="6">
        <f>IFERROR(__xludf.DUMMYFUNCTION("""COMPUTED_VALUE"""),536.7)</f>
        <v>536.7</v>
      </c>
      <c r="F27" s="6">
        <f>IFERROR(__xludf.DUMMYFUNCTION("""COMPUTED_VALUE"""),2.4266692E7)</f>
        <v>24266692</v>
      </c>
    </row>
    <row r="28">
      <c r="A28" s="7">
        <f>IFERROR(__xludf.DUMMYFUNCTION("""COMPUTED_VALUE"""),45366.64583333333)</f>
        <v>45366.64583</v>
      </c>
      <c r="B28" s="6">
        <f>IFERROR(__xludf.DUMMYFUNCTION("""COMPUTED_VALUE"""),540.0)</f>
        <v>540</v>
      </c>
      <c r="C28" s="6">
        <f>IFERROR(__xludf.DUMMYFUNCTION("""COMPUTED_VALUE"""),543.25)</f>
        <v>543.25</v>
      </c>
      <c r="D28" s="6">
        <f>IFERROR(__xludf.DUMMYFUNCTION("""COMPUTED_VALUE"""),501.2)</f>
        <v>501.2</v>
      </c>
      <c r="E28" s="6">
        <f>IFERROR(__xludf.DUMMYFUNCTION("""COMPUTED_VALUE"""),532.55)</f>
        <v>532.55</v>
      </c>
      <c r="F28" s="6">
        <f>IFERROR(__xludf.DUMMYFUNCTION("""COMPUTED_VALUE"""),3.3761011E7)</f>
        <v>33761011</v>
      </c>
    </row>
    <row r="29">
      <c r="A29" s="7">
        <f>IFERROR(__xludf.DUMMYFUNCTION("""COMPUTED_VALUE"""),45373.64583333333)</f>
        <v>45373.64583</v>
      </c>
      <c r="B29" s="6">
        <f>IFERROR(__xludf.DUMMYFUNCTION("""COMPUTED_VALUE"""),532.0)</f>
        <v>532</v>
      </c>
      <c r="C29" s="6">
        <f>IFERROR(__xludf.DUMMYFUNCTION("""COMPUTED_VALUE"""),550.65)</f>
        <v>550.65</v>
      </c>
      <c r="D29" s="6">
        <f>IFERROR(__xludf.DUMMYFUNCTION("""COMPUTED_VALUE"""),516.35)</f>
        <v>516.35</v>
      </c>
      <c r="E29" s="6">
        <f>IFERROR(__xludf.DUMMYFUNCTION("""COMPUTED_VALUE"""),547.75)</f>
        <v>547.75</v>
      </c>
      <c r="F29" s="6">
        <f>IFERROR(__xludf.DUMMYFUNCTION("""COMPUTED_VALUE"""),3.0720742E7)</f>
        <v>30720742</v>
      </c>
    </row>
    <row r="30">
      <c r="A30" s="7">
        <f>IFERROR(__xludf.DUMMYFUNCTION("""COMPUTED_VALUE"""),45379.64583333333)</f>
        <v>45379.64583</v>
      </c>
      <c r="B30" s="6">
        <f>IFERROR(__xludf.DUMMYFUNCTION("""COMPUTED_VALUE"""),545.65)</f>
        <v>545.65</v>
      </c>
      <c r="C30" s="6">
        <f>IFERROR(__xludf.DUMMYFUNCTION("""COMPUTED_VALUE"""),566.65)</f>
        <v>566.65</v>
      </c>
      <c r="D30" s="6">
        <f>IFERROR(__xludf.DUMMYFUNCTION("""COMPUTED_VALUE"""),545.0)</f>
        <v>545</v>
      </c>
      <c r="E30" s="6">
        <f>IFERROR(__xludf.DUMMYFUNCTION("""COMPUTED_VALUE"""),560.25)</f>
        <v>560.25</v>
      </c>
      <c r="F30" s="6">
        <f>IFERROR(__xludf.DUMMYFUNCTION("""COMPUTED_VALUE"""),2.0845518E7)</f>
        <v>20845518</v>
      </c>
    </row>
    <row r="31">
      <c r="A31" s="7">
        <f>IFERROR(__xludf.DUMMYFUNCTION("""COMPUTED_VALUE"""),45387.64583333333)</f>
        <v>45387.64583</v>
      </c>
      <c r="B31" s="6">
        <f>IFERROR(__xludf.DUMMYFUNCTION("""COMPUTED_VALUE"""),570.0)</f>
        <v>570</v>
      </c>
      <c r="C31" s="6">
        <f>IFERROR(__xludf.DUMMYFUNCTION("""COMPUTED_VALUE"""),590.0)</f>
        <v>590</v>
      </c>
      <c r="D31" s="6">
        <f>IFERROR(__xludf.DUMMYFUNCTION("""COMPUTED_VALUE"""),561.55)</f>
        <v>561.55</v>
      </c>
      <c r="E31" s="6">
        <f>IFERROR(__xludf.DUMMYFUNCTION("""COMPUTED_VALUE"""),570.05)</f>
        <v>570.05</v>
      </c>
      <c r="F31" s="6">
        <f>IFERROR(__xludf.DUMMYFUNCTION("""COMPUTED_VALUE"""),3.0464834E7)</f>
        <v>30464834</v>
      </c>
    </row>
    <row r="32">
      <c r="A32" s="7">
        <f>IFERROR(__xludf.DUMMYFUNCTION("""COMPUTED_VALUE"""),45394.64583333333)</f>
        <v>45394.64583</v>
      </c>
      <c r="B32" s="6">
        <f>IFERROR(__xludf.DUMMYFUNCTION("""COMPUTED_VALUE"""),572.0)</f>
        <v>572</v>
      </c>
      <c r="C32" s="6">
        <f>IFERROR(__xludf.DUMMYFUNCTION("""COMPUTED_VALUE"""),609.05)</f>
        <v>609.05</v>
      </c>
      <c r="D32" s="6">
        <f>IFERROR(__xludf.DUMMYFUNCTION("""COMPUTED_VALUE"""),570.5)</f>
        <v>570.5</v>
      </c>
      <c r="E32" s="6">
        <f>IFERROR(__xludf.DUMMYFUNCTION("""COMPUTED_VALUE"""),598.65)</f>
        <v>598.65</v>
      </c>
      <c r="F32" s="6">
        <f>IFERROR(__xludf.DUMMYFUNCTION("""COMPUTED_VALUE"""),3.884848E7)</f>
        <v>38848480</v>
      </c>
    </row>
    <row r="33">
      <c r="A33" s="7">
        <f>IFERROR(__xludf.DUMMYFUNCTION("""COMPUTED_VALUE"""),45401.64583333333)</f>
        <v>45401.64583</v>
      </c>
      <c r="B33" s="6">
        <f>IFERROR(__xludf.DUMMYFUNCTION("""COMPUTED_VALUE"""),615.0)</f>
        <v>615</v>
      </c>
      <c r="C33" s="6">
        <f>IFERROR(__xludf.DUMMYFUNCTION("""COMPUTED_VALUE"""),625.4)</f>
        <v>625.4</v>
      </c>
      <c r="D33" s="6">
        <f>IFERROR(__xludf.DUMMYFUNCTION("""COMPUTED_VALUE"""),600.7)</f>
        <v>600.7</v>
      </c>
      <c r="E33" s="6">
        <f>IFERROR(__xludf.DUMMYFUNCTION("""COMPUTED_VALUE"""),614.75)</f>
        <v>614.75</v>
      </c>
      <c r="F33" s="6">
        <f>IFERROR(__xludf.DUMMYFUNCTION("""COMPUTED_VALUE"""),5.4187376E7)</f>
        <v>54187376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IFERROR(__xludf.DUMMYFUNCTION("""COMPUTED_VALUE"""),620.65)</f>
        <v>620.65</v>
      </c>
      <c r="C34" s="6">
        <f>IFERROR(__xludf.DUMMYFUNCTION("""COMPUTED_VALUE"""),661.6)</f>
        <v>661.6</v>
      </c>
      <c r="D34" s="6">
        <f>IFERROR(__xludf.DUMMYFUNCTION("""COMPUTED_VALUE"""),608.7)</f>
        <v>608.7</v>
      </c>
      <c r="E34" s="6">
        <f>IFERROR(__xludf.DUMMYFUNCTION("""COMPUTED_VALUE"""),649.3)</f>
        <v>649.3</v>
      </c>
      <c r="F34" s="6">
        <f>IFERROR(__xludf.DUMMYFUNCTION("""COMPUTED_VALUE"""),4.3876544E7)</f>
        <v>43876544</v>
      </c>
    </row>
    <row r="35">
      <c r="A35" s="7">
        <f>IFERROR(__xludf.DUMMYFUNCTION("""COMPUTED_VALUE"""),45415.64583333333)</f>
        <v>45415.64583</v>
      </c>
      <c r="B35" s="6">
        <f>IFERROR(__xludf.DUMMYFUNCTION("""COMPUTED_VALUE"""),654.95)</f>
        <v>654.95</v>
      </c>
      <c r="C35" s="6">
        <f>IFERROR(__xludf.DUMMYFUNCTION("""COMPUTED_VALUE"""),655.4)</f>
        <v>655.4</v>
      </c>
      <c r="D35" s="6">
        <f>IFERROR(__xludf.DUMMYFUNCTION("""COMPUTED_VALUE"""),628.65)</f>
        <v>628.65</v>
      </c>
      <c r="E35" s="6">
        <f>IFERROR(__xludf.DUMMYFUNCTION("""COMPUTED_VALUE"""),647.1)</f>
        <v>647.1</v>
      </c>
      <c r="F35" s="6">
        <f>IFERROR(__xludf.DUMMYFUNCTION("""COMPUTED_VALUE"""),3.7492981E7)</f>
        <v>37492981</v>
      </c>
    </row>
    <row r="36">
      <c r="A36" s="7">
        <f>IFERROR(__xludf.DUMMYFUNCTION("""COMPUTED_VALUE"""),45422.64583333333)</f>
        <v>45422.64583</v>
      </c>
      <c r="B36" s="6">
        <f>IFERROR(__xludf.DUMMYFUNCTION("""COMPUTED_VALUE"""),650.0)</f>
        <v>650</v>
      </c>
      <c r="C36" s="6">
        <f>IFERROR(__xludf.DUMMYFUNCTION("""COMPUTED_VALUE"""),655.0)</f>
        <v>655</v>
      </c>
      <c r="D36" s="6">
        <f>IFERROR(__xludf.DUMMYFUNCTION("""COMPUTED_VALUE"""),611.75)</f>
        <v>611.75</v>
      </c>
      <c r="E36" s="6">
        <f>IFERROR(__xludf.DUMMYFUNCTION("""COMPUTED_VALUE"""),625.6)</f>
        <v>625.6</v>
      </c>
      <c r="F36" s="6">
        <f>IFERROR(__xludf.DUMMYFUNCTION("""COMPUTED_VALUE"""),3.9517875E7)</f>
        <v>39517875</v>
      </c>
    </row>
    <row r="37">
      <c r="A37" s="7">
        <f>IFERROR(__xludf.DUMMYFUNCTION("""COMPUTED_VALUE"""),45436.64583333333)</f>
        <v>45436.64583</v>
      </c>
      <c r="B37" s="6">
        <f>IFERROR(__xludf.DUMMYFUNCTION("""COMPUTED_VALUE"""),666.3)</f>
        <v>666.3</v>
      </c>
      <c r="C37" s="6">
        <f>IFERROR(__xludf.DUMMYFUNCTION("""COMPUTED_VALUE"""),698.7)</f>
        <v>698.7</v>
      </c>
      <c r="D37" s="6">
        <f>IFERROR(__xludf.DUMMYFUNCTION("""COMPUTED_VALUE"""),663.2)</f>
        <v>663.2</v>
      </c>
      <c r="E37" s="6">
        <f>IFERROR(__xludf.DUMMYFUNCTION("""COMPUTED_VALUE"""),673.25)</f>
        <v>673.25</v>
      </c>
      <c r="F37" s="6">
        <f>IFERROR(__xludf.DUMMYFUNCTION("""COMPUTED_VALUE"""),4.9660259E7)</f>
        <v>49660259</v>
      </c>
    </row>
    <row r="38">
      <c r="A38" s="7">
        <f>IFERROR(__xludf.DUMMYFUNCTION("""COMPUTED_VALUE"""),45443.64583333333)</f>
        <v>45443.64583</v>
      </c>
      <c r="B38" s="6">
        <f>IFERROR(__xludf.DUMMYFUNCTION("""COMPUTED_VALUE"""),685.05)</f>
        <v>685.05</v>
      </c>
      <c r="C38" s="6">
        <f>IFERROR(__xludf.DUMMYFUNCTION("""COMPUTED_VALUE"""),713.5)</f>
        <v>713.5</v>
      </c>
      <c r="D38" s="6">
        <f>IFERROR(__xludf.DUMMYFUNCTION("""COMPUTED_VALUE"""),675.5)</f>
        <v>675.5</v>
      </c>
      <c r="E38" s="6">
        <f>IFERROR(__xludf.DUMMYFUNCTION("""COMPUTED_VALUE"""),689.35)</f>
        <v>689.35</v>
      </c>
      <c r="F38" s="6">
        <f>IFERROR(__xludf.DUMMYFUNCTION("""COMPUTED_VALUE"""),7.006782E7)</f>
        <v>70067820</v>
      </c>
    </row>
    <row r="39">
      <c r="A39" s="7">
        <f>IFERROR(__xludf.DUMMYFUNCTION("""COMPUTED_VALUE"""),45450.64583333333)</f>
        <v>45450.64583</v>
      </c>
      <c r="B39" s="6">
        <f>IFERROR(__xludf.DUMMYFUNCTION("""COMPUTED_VALUE"""),715.0)</f>
        <v>715</v>
      </c>
      <c r="C39" s="6">
        <f>IFERROR(__xludf.DUMMYFUNCTION("""COMPUTED_VALUE"""),715.25)</f>
        <v>715.25</v>
      </c>
      <c r="D39" s="6">
        <f>IFERROR(__xludf.DUMMYFUNCTION("""COMPUTED_VALUE"""),594.25)</f>
        <v>594.25</v>
      </c>
      <c r="E39" s="6">
        <f>IFERROR(__xludf.DUMMYFUNCTION("""COMPUTED_VALUE"""),680.35)</f>
        <v>680.35</v>
      </c>
      <c r="F39" s="6">
        <f>IFERROR(__xludf.DUMMYFUNCTION("""COMPUTED_VALUE"""),7.4761728E7)</f>
        <v>74761728</v>
      </c>
    </row>
    <row r="40">
      <c r="A40" s="7">
        <f>IFERROR(__xludf.DUMMYFUNCTION("""COMPUTED_VALUE"""),45457.64583333333)</f>
        <v>45457.64583</v>
      </c>
      <c r="B40" s="6">
        <f>IFERROR(__xludf.DUMMYFUNCTION("""COMPUTED_VALUE"""),677.05)</f>
        <v>677.05</v>
      </c>
      <c r="C40" s="6">
        <f>IFERROR(__xludf.DUMMYFUNCTION("""COMPUTED_VALUE"""),690.0)</f>
        <v>690</v>
      </c>
      <c r="D40" s="6">
        <f>IFERROR(__xludf.DUMMYFUNCTION("""COMPUTED_VALUE"""),671.85)</f>
        <v>671.85</v>
      </c>
      <c r="E40" s="6">
        <f>IFERROR(__xludf.DUMMYFUNCTION("""COMPUTED_VALUE"""),683.6)</f>
        <v>683.6</v>
      </c>
      <c r="F40" s="6">
        <f>IFERROR(__xludf.DUMMYFUNCTION("""COMPUTED_VALUE"""),3.7879311E7)</f>
        <v>37879311</v>
      </c>
    </row>
    <row r="41">
      <c r="A41" s="7">
        <f>IFERROR(__xludf.DUMMYFUNCTION("""COMPUTED_VALUE"""),45464.64583333333)</f>
        <v>45464.64583</v>
      </c>
      <c r="B41" s="6">
        <f>IFERROR(__xludf.DUMMYFUNCTION("""COMPUTED_VALUE"""),683.6)</f>
        <v>683.6</v>
      </c>
      <c r="C41" s="6">
        <f>IFERROR(__xludf.DUMMYFUNCTION("""COMPUTED_VALUE"""),691.2)</f>
        <v>691.2</v>
      </c>
      <c r="D41" s="6">
        <f>IFERROR(__xludf.DUMMYFUNCTION("""COMPUTED_VALUE"""),660.4)</f>
        <v>660.4</v>
      </c>
      <c r="E41" s="6">
        <f>IFERROR(__xludf.DUMMYFUNCTION("""COMPUTED_VALUE"""),684.5)</f>
        <v>684.5</v>
      </c>
      <c r="F41" s="6">
        <f>IFERROR(__xludf.DUMMYFUNCTION("""COMPUTED_VALUE"""),2.7404964E7)</f>
        <v>27404964</v>
      </c>
    </row>
    <row r="42">
      <c r="A42" s="7">
        <f>IFERROR(__xludf.DUMMYFUNCTION("""COMPUTED_VALUE"""),45471.64583333333)</f>
        <v>45471.64583</v>
      </c>
      <c r="B42" s="6">
        <f>IFERROR(__xludf.DUMMYFUNCTION("""COMPUTED_VALUE"""),679.6)</f>
        <v>679.6</v>
      </c>
      <c r="C42" s="6">
        <f>IFERROR(__xludf.DUMMYFUNCTION("""COMPUTED_VALUE"""),697.5)</f>
        <v>697.5</v>
      </c>
      <c r="D42" s="6">
        <f>IFERROR(__xludf.DUMMYFUNCTION("""COMPUTED_VALUE"""),671.35)</f>
        <v>671.35</v>
      </c>
      <c r="E42" s="6">
        <f>IFERROR(__xludf.DUMMYFUNCTION("""COMPUTED_VALUE"""),693.55)</f>
        <v>693.55</v>
      </c>
      <c r="F42" s="6">
        <f>IFERROR(__xludf.DUMMYFUNCTION("""COMPUTED_VALUE"""),3.3099236E7)</f>
        <v>33099236</v>
      </c>
    </row>
    <row r="43">
      <c r="A43" s="7">
        <f>IFERROR(__xludf.DUMMYFUNCTION("""COMPUTED_VALUE"""),45478.64583333333)</f>
        <v>45478.64583</v>
      </c>
      <c r="B43" s="6">
        <f>IFERROR(__xludf.DUMMYFUNCTION("""COMPUTED_VALUE"""),699.0)</f>
        <v>699</v>
      </c>
      <c r="C43" s="6">
        <f>IFERROR(__xludf.DUMMYFUNCTION("""COMPUTED_VALUE"""),705.75)</f>
        <v>705.75</v>
      </c>
      <c r="D43" s="6">
        <f>IFERROR(__xludf.DUMMYFUNCTION("""COMPUTED_VALUE"""),683.4)</f>
        <v>683.4</v>
      </c>
      <c r="E43" s="6">
        <f>IFERROR(__xludf.DUMMYFUNCTION("""COMPUTED_VALUE"""),699.15)</f>
        <v>699.15</v>
      </c>
      <c r="F43" s="6">
        <f>IFERROR(__xludf.DUMMYFUNCTION("""COMPUTED_VALUE"""),2.7327302E7)</f>
        <v>27327302</v>
      </c>
    </row>
    <row r="44">
      <c r="A44" s="7">
        <f>IFERROR(__xludf.DUMMYFUNCTION("""COMPUTED_VALUE"""),45485.64583333333)</f>
        <v>45485.64583</v>
      </c>
      <c r="B44" s="6">
        <f>IFERROR(__xludf.DUMMYFUNCTION("""COMPUTED_VALUE"""),703.65)</f>
        <v>703.65</v>
      </c>
      <c r="C44" s="6">
        <f>IFERROR(__xludf.DUMMYFUNCTION("""COMPUTED_VALUE"""),712.1)</f>
        <v>712.1</v>
      </c>
      <c r="D44" s="6">
        <f>IFERROR(__xludf.DUMMYFUNCTION("""COMPUTED_VALUE"""),685.3)</f>
        <v>685.3</v>
      </c>
      <c r="E44" s="6">
        <f>IFERROR(__xludf.DUMMYFUNCTION("""COMPUTED_VALUE"""),692.05)</f>
        <v>692.05</v>
      </c>
      <c r="F44" s="6">
        <f>IFERROR(__xludf.DUMMYFUNCTION("""COMPUTED_VALUE"""),2.4167004E7)</f>
        <v>24167004</v>
      </c>
    </row>
    <row r="45">
      <c r="A45" s="7">
        <f>IFERROR(__xludf.DUMMYFUNCTION("""COMPUTED_VALUE"""),45492.64583333333)</f>
        <v>45492.64583</v>
      </c>
      <c r="B45" s="6">
        <f>IFERROR(__xludf.DUMMYFUNCTION("""COMPUTED_VALUE"""),692.05)</f>
        <v>692.05</v>
      </c>
      <c r="C45" s="6">
        <f>IFERROR(__xludf.DUMMYFUNCTION("""COMPUTED_VALUE"""),703.15)</f>
        <v>703.15</v>
      </c>
      <c r="D45" s="6">
        <f>IFERROR(__xludf.DUMMYFUNCTION("""COMPUTED_VALUE"""),658.65)</f>
        <v>658.65</v>
      </c>
      <c r="E45" s="6">
        <f>IFERROR(__xludf.DUMMYFUNCTION("""COMPUTED_VALUE"""),663.0)</f>
        <v>663</v>
      </c>
      <c r="F45" s="6">
        <f>IFERROR(__xludf.DUMMYFUNCTION("""COMPUTED_VALUE"""),2.1467327E7)</f>
        <v>21467327</v>
      </c>
    </row>
    <row r="46">
      <c r="A46" s="7">
        <f>IFERROR(__xludf.DUMMYFUNCTION("""COMPUTED_VALUE"""),45499.64583333333)</f>
        <v>45499.64583</v>
      </c>
      <c r="B46" s="6">
        <f>IFERROR(__xludf.DUMMYFUNCTION("""COMPUTED_VALUE"""),655.0)</f>
        <v>655</v>
      </c>
      <c r="C46" s="6">
        <f>IFERROR(__xludf.DUMMYFUNCTION("""COMPUTED_VALUE"""),675.0)</f>
        <v>675</v>
      </c>
      <c r="D46" s="6">
        <f>IFERROR(__xludf.DUMMYFUNCTION("""COMPUTED_VALUE"""),633.3)</f>
        <v>633.3</v>
      </c>
      <c r="E46" s="6">
        <f>IFERROR(__xludf.DUMMYFUNCTION("""COMPUTED_VALUE"""),667.6)</f>
        <v>667.6</v>
      </c>
      <c r="F46" s="6">
        <f>IFERROR(__xludf.DUMMYFUNCTION("""COMPUTED_VALUE"""),2.6406929E7)</f>
        <v>26406929</v>
      </c>
    </row>
    <row r="47">
      <c r="A47" s="7">
        <f>IFERROR(__xludf.DUMMYFUNCTION("""COMPUTED_VALUE"""),45506.64583333333)</f>
        <v>45506.64583</v>
      </c>
      <c r="B47" s="6">
        <f>IFERROR(__xludf.DUMMYFUNCTION("""COMPUTED_VALUE"""),676.75)</f>
        <v>676.75</v>
      </c>
      <c r="C47" s="6">
        <f>IFERROR(__xludf.DUMMYFUNCTION("""COMPUTED_VALUE"""),690.9)</f>
        <v>690.9</v>
      </c>
      <c r="D47" s="6">
        <f>IFERROR(__xludf.DUMMYFUNCTION("""COMPUTED_VALUE"""),646.55)</f>
        <v>646.55</v>
      </c>
      <c r="E47" s="6">
        <f>IFERROR(__xludf.DUMMYFUNCTION("""COMPUTED_VALUE"""),648.05)</f>
        <v>648.05</v>
      </c>
      <c r="F47" s="6">
        <f>IFERROR(__xludf.DUMMYFUNCTION("""COMPUTED_VALUE"""),3.6847249E7)</f>
        <v>36847249</v>
      </c>
    </row>
    <row r="48">
      <c r="A48" s="7">
        <f>IFERROR(__xludf.DUMMYFUNCTION("""COMPUTED_VALUE"""),45513.64583333333)</f>
        <v>45513.64583</v>
      </c>
      <c r="B48" s="6">
        <f>IFERROR(__xludf.DUMMYFUNCTION("""COMPUTED_VALUE"""),628.05)</f>
        <v>628.05</v>
      </c>
      <c r="C48" s="6">
        <f>IFERROR(__xludf.DUMMYFUNCTION("""COMPUTED_VALUE"""),633.85)</f>
        <v>633.85</v>
      </c>
      <c r="D48" s="6">
        <f>IFERROR(__xludf.DUMMYFUNCTION("""COMPUTED_VALUE"""),608.0)</f>
        <v>608</v>
      </c>
      <c r="E48" s="6">
        <f>IFERROR(__xludf.DUMMYFUNCTION("""COMPUTED_VALUE"""),622.9)</f>
        <v>622.9</v>
      </c>
      <c r="F48" s="6">
        <f>IFERROR(__xludf.DUMMYFUNCTION("""COMPUTED_VALUE"""),3.4380122E7)</f>
        <v>34380122</v>
      </c>
    </row>
    <row r="49">
      <c r="A49" s="7">
        <f>IFERROR(__xludf.DUMMYFUNCTION("""COMPUTED_VALUE"""),45520.64583333333)</f>
        <v>45520.64583</v>
      </c>
      <c r="B49" s="6">
        <f>IFERROR(__xludf.DUMMYFUNCTION("""COMPUTED_VALUE"""),619.0)</f>
        <v>619</v>
      </c>
      <c r="C49" s="6">
        <f>IFERROR(__xludf.DUMMYFUNCTION("""COMPUTED_VALUE"""),642.0)</f>
        <v>642</v>
      </c>
      <c r="D49" s="6">
        <f>IFERROR(__xludf.DUMMYFUNCTION("""COMPUTED_VALUE"""),611.6)</f>
        <v>611.6</v>
      </c>
      <c r="E49" s="6">
        <f>IFERROR(__xludf.DUMMYFUNCTION("""COMPUTED_VALUE"""),634.15)</f>
        <v>634.15</v>
      </c>
      <c r="F49" s="6">
        <f>IFERROR(__xludf.DUMMYFUNCTION("""COMPUTED_VALUE"""),2.5592841E7)</f>
        <v>25592841</v>
      </c>
    </row>
    <row r="50">
      <c r="A50" s="7">
        <f>IFERROR(__xludf.DUMMYFUNCTION("""COMPUTED_VALUE"""),45527.64583333333)</f>
        <v>45527.64583</v>
      </c>
      <c r="B50" s="6">
        <f>IFERROR(__xludf.DUMMYFUNCTION("""COMPUTED_VALUE"""),636.5)</f>
        <v>636.5</v>
      </c>
      <c r="C50" s="6">
        <f>IFERROR(__xludf.DUMMYFUNCTION("""COMPUTED_VALUE"""),696.6)</f>
        <v>696.6</v>
      </c>
      <c r="D50" s="6">
        <f>IFERROR(__xludf.DUMMYFUNCTION("""COMPUTED_VALUE"""),636.5)</f>
        <v>636.5</v>
      </c>
      <c r="E50" s="6">
        <f>IFERROR(__xludf.DUMMYFUNCTION("""COMPUTED_VALUE"""),685.1)</f>
        <v>685.1</v>
      </c>
      <c r="F50" s="6">
        <f>IFERROR(__xludf.DUMMYFUNCTION("""COMPUTED_VALUE"""),4.1584996E7)</f>
        <v>41584996</v>
      </c>
    </row>
    <row r="51">
      <c r="A51" s="7">
        <f>IFERROR(__xludf.DUMMYFUNCTION("""COMPUTED_VALUE"""),45534.64583333333)</f>
        <v>45534.64583</v>
      </c>
      <c r="B51" s="6">
        <f>IFERROR(__xludf.DUMMYFUNCTION("""COMPUTED_VALUE"""),694.4)</f>
        <v>694.4</v>
      </c>
      <c r="C51" s="6">
        <f>IFERROR(__xludf.DUMMYFUNCTION("""COMPUTED_VALUE"""),712.95)</f>
        <v>712.95</v>
      </c>
      <c r="D51" s="6">
        <f>IFERROR(__xludf.DUMMYFUNCTION("""COMPUTED_VALUE"""),689.5)</f>
        <v>689.5</v>
      </c>
      <c r="E51" s="6">
        <f>IFERROR(__xludf.DUMMYFUNCTION("""COMPUTED_VALUE"""),701.35)</f>
        <v>701.35</v>
      </c>
      <c r="F51" s="6">
        <f>IFERROR(__xludf.DUMMYFUNCTION("""COMPUTED_VALUE"""),3.4715868E7)</f>
        <v>34715868</v>
      </c>
    </row>
    <row r="52">
      <c r="A52" s="7">
        <f>IFERROR(__xludf.DUMMYFUNCTION("""COMPUTED_VALUE"""),45541.64583333333)</f>
        <v>45541.64583</v>
      </c>
      <c r="B52" s="6">
        <f>IFERROR(__xludf.DUMMYFUNCTION("""COMPUTED_VALUE"""),706.7)</f>
        <v>706.7</v>
      </c>
      <c r="C52" s="6">
        <f>IFERROR(__xludf.DUMMYFUNCTION("""COMPUTED_VALUE"""),706.7)</f>
        <v>706.7</v>
      </c>
      <c r="D52" s="6">
        <f>IFERROR(__xludf.DUMMYFUNCTION("""COMPUTED_VALUE"""),661.25)</f>
        <v>661.25</v>
      </c>
      <c r="E52" s="6">
        <f>IFERROR(__xludf.DUMMYFUNCTION("""COMPUTED_VALUE"""),667.1)</f>
        <v>667.1</v>
      </c>
      <c r="F52" s="6">
        <f>IFERROR(__xludf.DUMMYFUNCTION("""COMPUTED_VALUE"""),2.6521523E7)</f>
        <v>26521523</v>
      </c>
    </row>
    <row r="53">
      <c r="A53" s="7">
        <f>IFERROR(__xludf.DUMMYFUNCTION("""COMPUTED_VALUE"""),45548.64583333333)</f>
        <v>45548.64583</v>
      </c>
      <c r="B53" s="6">
        <f>IFERROR(__xludf.DUMMYFUNCTION("""COMPUTED_VALUE"""),664.0)</f>
        <v>664</v>
      </c>
      <c r="C53" s="6">
        <f>IFERROR(__xludf.DUMMYFUNCTION("""COMPUTED_VALUE"""),686.4)</f>
        <v>686.4</v>
      </c>
      <c r="D53" s="6">
        <f>IFERROR(__xludf.DUMMYFUNCTION("""COMPUTED_VALUE"""),645.4)</f>
        <v>645.4</v>
      </c>
      <c r="E53" s="6">
        <f>IFERROR(__xludf.DUMMYFUNCTION("""COMPUTED_VALUE"""),673.25)</f>
        <v>673.25</v>
      </c>
      <c r="F53" s="6">
        <f>IFERROR(__xludf.DUMMYFUNCTION("""COMPUTED_VALUE"""),2.6847677E7)</f>
        <v>26847677</v>
      </c>
    </row>
    <row r="54">
      <c r="A54" s="7">
        <f>IFERROR(__xludf.DUMMYFUNCTION("""COMPUTED_VALUE"""),45555.64583333333)</f>
        <v>45555.64583</v>
      </c>
      <c r="B54" s="6">
        <f>IFERROR(__xludf.DUMMYFUNCTION("""COMPUTED_VALUE"""),680.1)</f>
        <v>680.1</v>
      </c>
      <c r="C54" s="6">
        <f>IFERROR(__xludf.DUMMYFUNCTION("""COMPUTED_VALUE"""),698.8)</f>
        <v>698.8</v>
      </c>
      <c r="D54" s="6">
        <f>IFERROR(__xludf.DUMMYFUNCTION("""COMPUTED_VALUE"""),668.2)</f>
        <v>668.2</v>
      </c>
      <c r="E54" s="6">
        <f>IFERROR(__xludf.DUMMYFUNCTION("""COMPUTED_VALUE"""),694.4)</f>
        <v>694.4</v>
      </c>
      <c r="F54" s="6">
        <f>IFERROR(__xludf.DUMMYFUNCTION("""COMPUTED_VALUE"""),2.5947512E7)</f>
        <v>25947512</v>
      </c>
    </row>
    <row r="55">
      <c r="A55" s="7">
        <f>IFERROR(__xludf.DUMMYFUNCTION("""COMPUTED_VALUE"""),45562.64583333333)</f>
        <v>45562.64583</v>
      </c>
      <c r="B55" s="6">
        <f>IFERROR(__xludf.DUMMYFUNCTION("""COMPUTED_VALUE"""),695.5)</f>
        <v>695.5</v>
      </c>
      <c r="C55" s="6">
        <f>IFERROR(__xludf.DUMMYFUNCTION("""COMPUTED_VALUE"""),757.7)</f>
        <v>757.7</v>
      </c>
      <c r="D55" s="6">
        <f>IFERROR(__xludf.DUMMYFUNCTION("""COMPUTED_VALUE"""),687.95)</f>
        <v>687.95</v>
      </c>
      <c r="E55" s="6">
        <f>IFERROR(__xludf.DUMMYFUNCTION("""COMPUTED_VALUE"""),747.15)</f>
        <v>747.15</v>
      </c>
      <c r="F55" s="6">
        <f>IFERROR(__xludf.DUMMYFUNCTION("""COMPUTED_VALUE"""),5.1045532E7)</f>
        <v>51045532</v>
      </c>
    </row>
    <row r="56">
      <c r="A56" s="7">
        <f>IFERROR(__xludf.DUMMYFUNCTION("""COMPUTED_VALUE"""),45569.64583333333)</f>
        <v>45569.64583</v>
      </c>
      <c r="B56" s="6">
        <f>IFERROR(__xludf.DUMMYFUNCTION("""COMPUTED_VALUE"""),750.0)</f>
        <v>750</v>
      </c>
      <c r="C56" s="6">
        <f>IFERROR(__xludf.DUMMYFUNCTION("""COMPUTED_VALUE"""),772.65)</f>
        <v>772.65</v>
      </c>
      <c r="D56" s="6">
        <f>IFERROR(__xludf.DUMMYFUNCTION("""COMPUTED_VALUE"""),740.05)</f>
        <v>740.05</v>
      </c>
      <c r="E56" s="6">
        <f>IFERROR(__xludf.DUMMYFUNCTION("""COMPUTED_VALUE"""),747.9)</f>
        <v>747.9</v>
      </c>
      <c r="F56" s="6">
        <f>IFERROR(__xludf.DUMMYFUNCTION("""COMPUTED_VALUE"""),2.3242389E7)</f>
        <v>23242389</v>
      </c>
    </row>
    <row r="57">
      <c r="A57" s="7">
        <f>IFERROR(__xludf.DUMMYFUNCTION("""COMPUTED_VALUE"""),45576.64583333333)</f>
        <v>45576.64583</v>
      </c>
      <c r="B57" s="6">
        <f>IFERROR(__xludf.DUMMYFUNCTION("""COMPUTED_VALUE"""),753.0)</f>
        <v>753</v>
      </c>
      <c r="C57" s="6">
        <f>IFERROR(__xludf.DUMMYFUNCTION("""COMPUTED_VALUE"""),753.0)</f>
        <v>753</v>
      </c>
      <c r="D57" s="6">
        <f>IFERROR(__xludf.DUMMYFUNCTION("""COMPUTED_VALUE"""),708.0)</f>
        <v>708</v>
      </c>
      <c r="E57" s="6">
        <f>IFERROR(__xludf.DUMMYFUNCTION("""COMPUTED_VALUE"""),747.35)</f>
        <v>747.35</v>
      </c>
      <c r="F57" s="6">
        <f>IFERROR(__xludf.DUMMYFUNCTION("""COMPUTED_VALUE"""),2.412857E7)</f>
        <v>24128570</v>
      </c>
    </row>
    <row r="58">
      <c r="A58" s="7">
        <f>IFERROR(__xludf.DUMMYFUNCTION("""COMPUTED_VALUE"""),45583.64583333333)</f>
        <v>45583.64583</v>
      </c>
      <c r="B58" s="6">
        <f>IFERROR(__xludf.DUMMYFUNCTION("""COMPUTED_VALUE"""),746.0)</f>
        <v>746</v>
      </c>
      <c r="C58" s="6">
        <f>IFERROR(__xludf.DUMMYFUNCTION("""COMPUTED_VALUE"""),756.45)</f>
        <v>756.45</v>
      </c>
      <c r="D58" s="6">
        <f>IFERROR(__xludf.DUMMYFUNCTION("""COMPUTED_VALUE"""),720.65)</f>
        <v>720.65</v>
      </c>
      <c r="E58" s="6">
        <f>IFERROR(__xludf.DUMMYFUNCTION("""COMPUTED_VALUE"""),753.5)</f>
        <v>753.5</v>
      </c>
      <c r="F58" s="6">
        <f>IFERROR(__xludf.DUMMYFUNCTION("""COMPUTED_VALUE"""),2.0493431E7)</f>
        <v>20493431</v>
      </c>
    </row>
    <row r="59">
      <c r="A59" s="7">
        <f>IFERROR(__xludf.DUMMYFUNCTION("""COMPUTED_VALUE"""),45590.64583333333)</f>
        <v>45590.64583</v>
      </c>
      <c r="B59" s="6">
        <f>IFERROR(__xludf.DUMMYFUNCTION("""COMPUTED_VALUE"""),760.0)</f>
        <v>760</v>
      </c>
      <c r="C59" s="6">
        <f>IFERROR(__xludf.DUMMYFUNCTION("""COMPUTED_VALUE"""),765.45)</f>
        <v>765.45</v>
      </c>
      <c r="D59" s="6">
        <f>IFERROR(__xludf.DUMMYFUNCTION("""COMPUTED_VALUE"""),666.75)</f>
        <v>666.75</v>
      </c>
      <c r="E59" s="6">
        <f>IFERROR(__xludf.DUMMYFUNCTION("""COMPUTED_VALUE"""),678.75)</f>
        <v>678.75</v>
      </c>
      <c r="F59" s="6">
        <f>IFERROR(__xludf.DUMMYFUNCTION("""COMPUTED_VALUE"""),3.4178265E7)</f>
        <v>34178265</v>
      </c>
    </row>
    <row r="60">
      <c r="A60" s="7">
        <f>IFERROR(__xludf.DUMMYFUNCTION("""COMPUTED_VALUE"""),45604.64583333333)</f>
        <v>45604.64583</v>
      </c>
      <c r="B60" s="6">
        <f>IFERROR(__xludf.DUMMYFUNCTION("""COMPUTED_VALUE"""),689.0)</f>
        <v>689</v>
      </c>
      <c r="C60" s="6">
        <f>IFERROR(__xludf.DUMMYFUNCTION("""COMPUTED_VALUE"""),714.25)</f>
        <v>714.25</v>
      </c>
      <c r="D60" s="6">
        <f>IFERROR(__xludf.DUMMYFUNCTION("""COMPUTED_VALUE"""),646.3)</f>
        <v>646.3</v>
      </c>
      <c r="E60" s="6">
        <f>IFERROR(__xludf.DUMMYFUNCTION("""COMPUTED_VALUE"""),650.45)</f>
        <v>650.45</v>
      </c>
      <c r="F60" s="6">
        <f>IFERROR(__xludf.DUMMYFUNCTION("""COMPUTED_VALUE"""),5.0235371E7)</f>
        <v>50235371</v>
      </c>
    </row>
    <row r="61">
      <c r="A61" s="7">
        <f>IFERROR(__xludf.DUMMYFUNCTION("""COMPUTED_VALUE"""),45610.64583333333)</f>
        <v>45610.64583</v>
      </c>
      <c r="B61" s="6">
        <f>IFERROR(__xludf.DUMMYFUNCTION("""COMPUTED_VALUE"""),647.45)</f>
        <v>647.45</v>
      </c>
      <c r="C61" s="6">
        <f>IFERROR(__xludf.DUMMYFUNCTION("""COMPUTED_VALUE"""),673.5)</f>
        <v>673.5</v>
      </c>
      <c r="D61" s="6">
        <f>IFERROR(__xludf.DUMMYFUNCTION("""COMPUTED_VALUE"""),622.55)</f>
        <v>622.55</v>
      </c>
      <c r="E61" s="6">
        <f>IFERROR(__xludf.DUMMYFUNCTION("""COMPUTED_VALUE"""),627.35)</f>
        <v>627.35</v>
      </c>
      <c r="F61" s="6">
        <f>IFERROR(__xludf.DUMMYFUNCTION("""COMPUTED_VALUE"""),3.1747857E7)</f>
        <v>31747857</v>
      </c>
    </row>
    <row r="62">
      <c r="A62" s="7">
        <f>IFERROR(__xludf.DUMMYFUNCTION("""COMPUTED_VALUE"""),45618.64583333333)</f>
        <v>45618.64583</v>
      </c>
      <c r="B62" s="6">
        <f>IFERROR(__xludf.DUMMYFUNCTION("""COMPUTED_VALUE"""),641.9)</f>
        <v>641.9</v>
      </c>
      <c r="C62" s="6">
        <f>IFERROR(__xludf.DUMMYFUNCTION("""COMPUTED_VALUE"""),663.1)</f>
        <v>663.1</v>
      </c>
      <c r="D62" s="6">
        <f>IFERROR(__xludf.DUMMYFUNCTION("""COMPUTED_VALUE"""),634.3)</f>
        <v>634.3</v>
      </c>
      <c r="E62" s="6">
        <f>IFERROR(__xludf.DUMMYFUNCTION("""COMPUTED_VALUE"""),652.1)</f>
        <v>652.1</v>
      </c>
      <c r="F62" s="6">
        <f>IFERROR(__xludf.DUMMYFUNCTION("""COMPUTED_VALUE"""),3.0131569E7)</f>
        <v>30131569</v>
      </c>
    </row>
    <row r="63">
      <c r="A63" s="7">
        <f>IFERROR(__xludf.DUMMYFUNCTION("""COMPUTED_VALUE"""),45625.64583333333)</f>
        <v>45625.64583</v>
      </c>
      <c r="B63" s="6">
        <f>IFERROR(__xludf.DUMMYFUNCTION("""COMPUTED_VALUE"""),660.1)</f>
        <v>660.1</v>
      </c>
      <c r="C63" s="6">
        <f>IFERROR(__xludf.DUMMYFUNCTION("""COMPUTED_VALUE"""),670.25)</f>
        <v>670.25</v>
      </c>
      <c r="D63" s="6">
        <f>IFERROR(__xludf.DUMMYFUNCTION("""COMPUTED_VALUE"""),647.6)</f>
        <v>647.6</v>
      </c>
      <c r="E63" s="6">
        <f>IFERROR(__xludf.DUMMYFUNCTION("""COMPUTED_VALUE"""),656.2)</f>
        <v>656.2</v>
      </c>
      <c r="F63" s="6">
        <f>IFERROR(__xludf.DUMMYFUNCTION("""COMPUTED_VALUE"""),2.0374307E7)</f>
        <v>20374307</v>
      </c>
    </row>
    <row r="64">
      <c r="A64" s="7">
        <f>IFERROR(__xludf.DUMMYFUNCTION("""COMPUTED_VALUE"""),45632.64583333333)</f>
        <v>45632.64583</v>
      </c>
      <c r="B64" s="6">
        <f>IFERROR(__xludf.DUMMYFUNCTION("""COMPUTED_VALUE"""),656.2)</f>
        <v>656.2</v>
      </c>
      <c r="C64" s="6">
        <f>IFERROR(__xludf.DUMMYFUNCTION("""COMPUTED_VALUE"""),676.5)</f>
        <v>676.5</v>
      </c>
      <c r="D64" s="6">
        <f>IFERROR(__xludf.DUMMYFUNCTION("""COMPUTED_VALUE"""),653.05)</f>
        <v>653.05</v>
      </c>
      <c r="E64" s="6">
        <f>IFERROR(__xludf.DUMMYFUNCTION("""COMPUTED_VALUE"""),670.15)</f>
        <v>670.15</v>
      </c>
      <c r="F64" s="6">
        <f>IFERROR(__xludf.DUMMYFUNCTION("""COMPUTED_VALUE"""),1.6145839E7)</f>
        <v>16145839</v>
      </c>
    </row>
    <row r="65">
      <c r="A65" s="7">
        <f>IFERROR(__xludf.DUMMYFUNCTION("""COMPUTED_VALUE"""),45639.64583333333)</f>
        <v>45639.64583</v>
      </c>
      <c r="B65" s="6">
        <f>IFERROR(__xludf.DUMMYFUNCTION("""COMPUTED_VALUE"""),666.95)</f>
        <v>666.95</v>
      </c>
      <c r="C65" s="6">
        <f>IFERROR(__xludf.DUMMYFUNCTION("""COMPUTED_VALUE"""),679.8)</f>
        <v>679.8</v>
      </c>
      <c r="D65" s="6">
        <f>IFERROR(__xludf.DUMMYFUNCTION("""COMPUTED_VALUE"""),648.0)</f>
        <v>648</v>
      </c>
      <c r="E65" s="6">
        <f>IFERROR(__xludf.DUMMYFUNCTION("""COMPUTED_VALUE"""),662.1)</f>
        <v>662.1</v>
      </c>
      <c r="F65" s="6">
        <f>IFERROR(__xludf.DUMMYFUNCTION("""COMPUTED_VALUE"""),2.3233166E7)</f>
        <v>23233166</v>
      </c>
    </row>
    <row r="66">
      <c r="A66" s="7">
        <f>IFERROR(__xludf.DUMMYFUNCTION("""COMPUTED_VALUE"""),45646.64583333333)</f>
        <v>45646.64583</v>
      </c>
      <c r="B66" s="6">
        <f>IFERROR(__xludf.DUMMYFUNCTION("""COMPUTED_VALUE"""),661.3)</f>
        <v>661.3</v>
      </c>
      <c r="C66" s="6">
        <f>IFERROR(__xludf.DUMMYFUNCTION("""COMPUTED_VALUE"""),666.6)</f>
        <v>666.6</v>
      </c>
      <c r="D66" s="6">
        <f>IFERROR(__xludf.DUMMYFUNCTION("""COMPUTED_VALUE"""),614.1)</f>
        <v>614.1</v>
      </c>
      <c r="E66" s="6">
        <f>IFERROR(__xludf.DUMMYFUNCTION("""COMPUTED_VALUE"""),622.65)</f>
        <v>622.65</v>
      </c>
      <c r="F66" s="6">
        <f>IFERROR(__xludf.DUMMYFUNCTION("""COMPUTED_VALUE"""),2.2335954E7)</f>
        <v>22335954</v>
      </c>
    </row>
    <row r="67">
      <c r="A67" s="7">
        <f>IFERROR(__xludf.DUMMYFUNCTION("""COMPUTED_VALUE"""),45653.64583333333)</f>
        <v>45653.64583</v>
      </c>
      <c r="B67" s="6">
        <f>IFERROR(__xludf.DUMMYFUNCTION("""COMPUTED_VALUE"""),625.55)</f>
        <v>625.55</v>
      </c>
      <c r="C67" s="6">
        <f>IFERROR(__xludf.DUMMYFUNCTION("""COMPUTED_VALUE"""),638.1)</f>
        <v>638.1</v>
      </c>
      <c r="D67" s="6">
        <f>IFERROR(__xludf.DUMMYFUNCTION("""COMPUTED_VALUE"""),615.7)</f>
        <v>615.7</v>
      </c>
      <c r="E67" s="6">
        <f>IFERROR(__xludf.DUMMYFUNCTION("""COMPUTED_VALUE"""),617.4)</f>
        <v>617.4</v>
      </c>
      <c r="F67" s="6">
        <f>IFERROR(__xludf.DUMMYFUNCTION("""COMPUTED_VALUE"""),1.5619504E7)</f>
        <v>15619504</v>
      </c>
    </row>
    <row r="68">
      <c r="A68" s="7">
        <f>IFERROR(__xludf.DUMMYFUNCTION("""COMPUTED_VALUE"""),45660.64583333333)</f>
        <v>45660.64583</v>
      </c>
      <c r="B68" s="6">
        <f>IFERROR(__xludf.DUMMYFUNCTION("""COMPUTED_VALUE"""),615.4)</f>
        <v>615.4</v>
      </c>
      <c r="C68" s="6">
        <f>IFERROR(__xludf.DUMMYFUNCTION("""COMPUTED_VALUE"""),620.3)</f>
        <v>620.3</v>
      </c>
      <c r="D68" s="6">
        <f>IFERROR(__xludf.DUMMYFUNCTION("""COMPUTED_VALUE"""),587.5)</f>
        <v>587.5</v>
      </c>
      <c r="E68" s="6">
        <f>IFERROR(__xludf.DUMMYFUNCTION("""COMPUTED_VALUE"""),591.15)</f>
        <v>591.15</v>
      </c>
      <c r="F68" s="6">
        <f>IFERROR(__xludf.DUMMYFUNCTION("""COMPUTED_VALUE"""),3.5864496E7)</f>
        <v>35864496</v>
      </c>
    </row>
    <row r="69">
      <c r="A69" s="7">
        <f>IFERROR(__xludf.DUMMYFUNCTION("""COMPUTED_VALUE"""),45667.64583333333)</f>
        <v>45667.64583</v>
      </c>
      <c r="B69" s="6">
        <f>IFERROR(__xludf.DUMMYFUNCTION("""COMPUTED_VALUE"""),592.6)</f>
        <v>592.6</v>
      </c>
      <c r="C69" s="6">
        <f>IFERROR(__xludf.DUMMYFUNCTION("""COMPUTED_VALUE"""),596.85)</f>
        <v>596.85</v>
      </c>
      <c r="D69" s="6">
        <f>IFERROR(__xludf.DUMMYFUNCTION("""COMPUTED_VALUE"""),571.6)</f>
        <v>571.6</v>
      </c>
      <c r="E69" s="6">
        <f>IFERROR(__xludf.DUMMYFUNCTION("""COMPUTED_VALUE"""),574.45)</f>
        <v>574.45</v>
      </c>
      <c r="F69" s="6">
        <f>IFERROR(__xludf.DUMMYFUNCTION("""COMPUTED_VALUE"""),3.8868258E7)</f>
        <v>38868258</v>
      </c>
    </row>
    <row r="70">
      <c r="A70" s="7">
        <f>IFERROR(__xludf.DUMMYFUNCTION("""COMPUTED_VALUE"""),45674.64583333333)</f>
        <v>45674.64583</v>
      </c>
      <c r="B70" s="6">
        <f>IFERROR(__xludf.DUMMYFUNCTION("""COMPUTED_VALUE"""),571.6)</f>
        <v>571.6</v>
      </c>
      <c r="C70" s="6">
        <f>IFERROR(__xludf.DUMMYFUNCTION("""COMPUTED_VALUE"""),619.0)</f>
        <v>619</v>
      </c>
      <c r="D70" s="6">
        <f>IFERROR(__xludf.DUMMYFUNCTION("""COMPUTED_VALUE"""),562.0)</f>
        <v>562</v>
      </c>
      <c r="E70" s="6">
        <f>IFERROR(__xludf.DUMMYFUNCTION("""COMPUTED_VALUE"""),617.0)</f>
        <v>617</v>
      </c>
      <c r="F70" s="6">
        <f>IFERROR(__xludf.DUMMYFUNCTION("""COMPUTED_VALUE"""),3.195965E7)</f>
        <v>31959650</v>
      </c>
    </row>
    <row r="71">
      <c r="A71" s="7">
        <f>IFERROR(__xludf.DUMMYFUNCTION("""COMPUTED_VALUE"""),45681.64583333333)</f>
        <v>45681.64583</v>
      </c>
      <c r="B71" s="6">
        <f>IFERROR(__xludf.DUMMYFUNCTION("""COMPUTED_VALUE"""),617.05)</f>
        <v>617.05</v>
      </c>
      <c r="C71" s="6">
        <f>IFERROR(__xludf.DUMMYFUNCTION("""COMPUTED_VALUE"""),628.35)</f>
        <v>628.35</v>
      </c>
      <c r="D71" s="6">
        <f>IFERROR(__xludf.DUMMYFUNCTION("""COMPUTED_VALUE"""),599.9)</f>
        <v>599.9</v>
      </c>
      <c r="E71" s="6">
        <f>IFERROR(__xludf.DUMMYFUNCTION("""COMPUTED_VALUE"""),606.9)</f>
        <v>606.9</v>
      </c>
      <c r="F71" s="6">
        <f>IFERROR(__xludf.DUMMYFUNCTION("""COMPUTED_VALUE"""),2.238635E7)</f>
        <v>22386350</v>
      </c>
    </row>
    <row r="72">
      <c r="A72" s="7">
        <f>IFERROR(__xludf.DUMMYFUNCTION("""COMPUTED_VALUE"""),45695.64583333333)</f>
        <v>45695.64583</v>
      </c>
      <c r="B72" s="6">
        <f>IFERROR(__xludf.DUMMYFUNCTION("""COMPUTED_VALUE"""),575.0)</f>
        <v>575</v>
      </c>
      <c r="C72" s="6">
        <f>IFERROR(__xludf.DUMMYFUNCTION("""COMPUTED_VALUE"""),610.6)</f>
        <v>610.6</v>
      </c>
      <c r="D72" s="6">
        <f>IFERROR(__xludf.DUMMYFUNCTION("""COMPUTED_VALUE"""),557.6)</f>
        <v>557.6</v>
      </c>
      <c r="E72" s="6">
        <f>IFERROR(__xludf.DUMMYFUNCTION("""COMPUTED_VALUE"""),607.4)</f>
        <v>607.4</v>
      </c>
      <c r="F72" s="6">
        <f>IFERROR(__xludf.DUMMYFUNCTION("""COMPUTED_VALUE"""),2.5721788E7)</f>
        <v>25721788</v>
      </c>
    </row>
    <row r="73">
      <c r="A73" s="7">
        <f>IFERROR(__xludf.DUMMYFUNCTION("""COMPUTED_VALUE"""),45702.64583333333)</f>
        <v>45702.64583</v>
      </c>
      <c r="B73" s="6">
        <f>IFERROR(__xludf.DUMMYFUNCTION("""COMPUTED_VALUE"""),605.0)</f>
        <v>605</v>
      </c>
      <c r="C73" s="6">
        <f>IFERROR(__xludf.DUMMYFUNCTION("""COMPUTED_VALUE"""),616.0)</f>
        <v>616</v>
      </c>
      <c r="D73" s="6">
        <f>IFERROR(__xludf.DUMMYFUNCTION("""COMPUTED_VALUE"""),586.35)</f>
        <v>586.35</v>
      </c>
      <c r="E73" s="6">
        <f>IFERROR(__xludf.DUMMYFUNCTION("""COMPUTED_VALUE"""),606.2)</f>
        <v>606.2</v>
      </c>
      <c r="F73" s="6">
        <f>IFERROR(__xludf.DUMMYFUNCTION("""COMPUTED_VALUE"""),2.8392503E7)</f>
        <v>28392503</v>
      </c>
    </row>
    <row r="74">
      <c r="A74" s="7">
        <f>IFERROR(__xludf.DUMMYFUNCTION("""COMPUTED_VALUE"""),45709.64583333333)</f>
        <v>45709.64583</v>
      </c>
      <c r="B74" s="6">
        <f>IFERROR(__xludf.DUMMYFUNCTION("""COMPUTED_VALUE"""),606.2)</f>
        <v>606.2</v>
      </c>
      <c r="C74" s="6">
        <f>IFERROR(__xludf.DUMMYFUNCTION("""COMPUTED_VALUE"""),656.2)</f>
        <v>656.2</v>
      </c>
      <c r="D74" s="6">
        <f>IFERROR(__xludf.DUMMYFUNCTION("""COMPUTED_VALUE"""),589.65)</f>
        <v>589.65</v>
      </c>
      <c r="E74" s="6">
        <f>IFERROR(__xludf.DUMMYFUNCTION("""COMPUTED_VALUE"""),653.55)</f>
        <v>653.55</v>
      </c>
      <c r="F74" s="6">
        <f>IFERROR(__xludf.DUMMYFUNCTION("""COMPUTED_VALUE"""),2.7924051E7)</f>
        <v>27924051</v>
      </c>
    </row>
    <row r="75">
      <c r="A75" s="7">
        <f>IFERROR(__xludf.DUMMYFUNCTION("""COMPUTED_VALUE"""),45716.64583333333)</f>
        <v>45716.64583</v>
      </c>
      <c r="B75" s="6">
        <f>IFERROR(__xludf.DUMMYFUNCTION("""COMPUTED_VALUE"""),642.0)</f>
        <v>642</v>
      </c>
      <c r="C75" s="6">
        <f>IFERROR(__xludf.DUMMYFUNCTION("""COMPUTED_VALUE"""),647.9)</f>
        <v>647.9</v>
      </c>
      <c r="D75" s="6">
        <f>IFERROR(__xludf.DUMMYFUNCTION("""COMPUTED_VALUE"""),617.1)</f>
        <v>617.1</v>
      </c>
      <c r="E75" s="6">
        <f>IFERROR(__xludf.DUMMYFUNCTION("""COMPUTED_VALUE"""),634.35)</f>
        <v>634.35</v>
      </c>
      <c r="F75" s="6">
        <f>IFERROR(__xludf.DUMMYFUNCTION("""COMPUTED_VALUE"""),3.6485596E7)</f>
        <v>36485596</v>
      </c>
    </row>
    <row r="76">
      <c r="A76" s="7">
        <f>IFERROR(__xludf.DUMMYFUNCTION("""COMPUTED_VALUE"""),45723.64583333333)</f>
        <v>45723.64583</v>
      </c>
      <c r="B76" s="6">
        <f>IFERROR(__xludf.DUMMYFUNCTION("""COMPUTED_VALUE"""),634.45)</f>
        <v>634.45</v>
      </c>
      <c r="C76" s="6">
        <f>IFERROR(__xludf.DUMMYFUNCTION("""COMPUTED_VALUE"""),694.6)</f>
        <v>694.6</v>
      </c>
      <c r="D76" s="6">
        <f>IFERROR(__xludf.DUMMYFUNCTION("""COMPUTED_VALUE"""),620.7)</f>
        <v>620.7</v>
      </c>
      <c r="E76" s="6">
        <f>IFERROR(__xludf.DUMMYFUNCTION("""COMPUTED_VALUE"""),691.35)</f>
        <v>691.35</v>
      </c>
      <c r="F76" s="6">
        <f>IFERROR(__xludf.DUMMYFUNCTION("""COMPUTED_VALUE"""),3.6812147E7)</f>
        <v>36812147</v>
      </c>
    </row>
    <row r="77">
      <c r="A77" s="7">
        <f>IFERROR(__xludf.DUMMYFUNCTION("""COMPUTED_VALUE"""),45729.64583333333)</f>
        <v>45729.64583</v>
      </c>
      <c r="B77" s="6">
        <f>IFERROR(__xludf.DUMMYFUNCTION("""COMPUTED_VALUE"""),689.8)</f>
        <v>689.8</v>
      </c>
      <c r="C77" s="6">
        <f>IFERROR(__xludf.DUMMYFUNCTION("""COMPUTED_VALUE"""),709.3)</f>
        <v>709.3</v>
      </c>
      <c r="D77" s="6">
        <f>IFERROR(__xludf.DUMMYFUNCTION("""COMPUTED_VALUE"""),673.25)</f>
        <v>673.25</v>
      </c>
      <c r="E77" s="6">
        <f>IFERROR(__xludf.DUMMYFUNCTION("""COMPUTED_VALUE"""),677.35)</f>
        <v>677.35</v>
      </c>
      <c r="F77" s="6">
        <f>IFERROR(__xludf.DUMMYFUNCTION("""COMPUTED_VALUE"""),2.6066926E7)</f>
        <v>26066926</v>
      </c>
    </row>
    <row r="78">
      <c r="A78" s="7">
        <f>IFERROR(__xludf.DUMMYFUNCTION("""COMPUTED_VALUE"""),45737.64583333333)</f>
        <v>45737.64583</v>
      </c>
      <c r="B78" s="6">
        <f>IFERROR(__xludf.DUMMYFUNCTION("""COMPUTED_VALUE"""),689.25)</f>
        <v>689.25</v>
      </c>
      <c r="C78" s="6">
        <f>IFERROR(__xludf.DUMMYFUNCTION("""COMPUTED_VALUE"""),715.0)</f>
        <v>715</v>
      </c>
      <c r="D78" s="6">
        <f>IFERROR(__xludf.DUMMYFUNCTION("""COMPUTED_VALUE"""),685.95)</f>
        <v>685.95</v>
      </c>
      <c r="E78" s="6">
        <f>IFERROR(__xludf.DUMMYFUNCTION("""COMPUTED_VALUE"""),695.35)</f>
        <v>695.35</v>
      </c>
      <c r="F78" s="6">
        <f>IFERROR(__xludf.DUMMYFUNCTION("""COMPUTED_VALUE"""),2.3682874E7)</f>
        <v>23682874</v>
      </c>
    </row>
    <row r="79">
      <c r="A79" s="7">
        <f>IFERROR(__xludf.DUMMYFUNCTION("""COMPUTED_VALUE"""),45744.64583333333)</f>
        <v>45744.64583</v>
      </c>
      <c r="B79" s="6">
        <f>IFERROR(__xludf.DUMMYFUNCTION("""COMPUTED_VALUE"""),704.85)</f>
        <v>704.85</v>
      </c>
      <c r="C79" s="6">
        <f>IFERROR(__xludf.DUMMYFUNCTION("""COMPUTED_VALUE"""),705.75)</f>
        <v>705.75</v>
      </c>
      <c r="D79" s="6">
        <f>IFERROR(__xludf.DUMMYFUNCTION("""COMPUTED_VALUE"""),679.3)</f>
        <v>679.3</v>
      </c>
      <c r="E79" s="6">
        <f>IFERROR(__xludf.DUMMYFUNCTION("""COMPUTED_VALUE"""),682.45)</f>
        <v>682.45</v>
      </c>
      <c r="F79" s="6">
        <f>IFERROR(__xludf.DUMMYFUNCTION("""COMPUTED_VALUE"""),2.185981E7)</f>
        <v>21859810</v>
      </c>
    </row>
    <row r="80">
      <c r="A80" s="7">
        <f>IFERROR(__xludf.DUMMYFUNCTION("""COMPUTED_VALUE"""),45751.64583333333)</f>
        <v>45751.64583</v>
      </c>
      <c r="B80" s="6">
        <f>IFERROR(__xludf.DUMMYFUNCTION("""COMPUTED_VALUE"""),672.0)</f>
        <v>672</v>
      </c>
      <c r="C80" s="6">
        <f>IFERROR(__xludf.DUMMYFUNCTION("""COMPUTED_VALUE"""),683.1)</f>
        <v>683.1</v>
      </c>
      <c r="D80" s="6">
        <f>IFERROR(__xludf.DUMMYFUNCTION("""COMPUTED_VALUE"""),596.55)</f>
        <v>596.55</v>
      </c>
      <c r="E80" s="6">
        <f>IFERROR(__xludf.DUMMYFUNCTION("""COMPUTED_VALUE"""),599.95)</f>
        <v>599.95</v>
      </c>
      <c r="F80" s="6">
        <f>IFERROR(__xludf.DUMMYFUNCTION("""COMPUTED_VALUE"""),2.8529629E7)</f>
        <v>28529629</v>
      </c>
    </row>
    <row r="81">
      <c r="A81" s="7">
        <f>IFERROR(__xludf.DUMMYFUNCTION("""COMPUTED_VALUE"""),45758.64583333333)</f>
        <v>45758.64583</v>
      </c>
      <c r="B81" s="6">
        <f>IFERROR(__xludf.DUMMYFUNCTION("""COMPUTED_VALUE"""),559.0)</f>
        <v>559</v>
      </c>
      <c r="C81" s="6">
        <f>IFERROR(__xludf.DUMMYFUNCTION("""COMPUTED_VALUE"""),607.95)</f>
        <v>607.95</v>
      </c>
      <c r="D81" s="6">
        <f>IFERROR(__xludf.DUMMYFUNCTION("""COMPUTED_VALUE"""),546.45)</f>
        <v>546.45</v>
      </c>
      <c r="E81" s="6">
        <f>IFERROR(__xludf.DUMMYFUNCTION("""COMPUTED_VALUE"""),600.3)</f>
        <v>600.3</v>
      </c>
      <c r="F81" s="6">
        <f>IFERROR(__xludf.DUMMYFUNCTION("""COMPUTED_VALUE"""),4.1521921E7)</f>
        <v>41521921</v>
      </c>
    </row>
    <row r="82">
      <c r="A82" s="7">
        <f>IFERROR(__xludf.DUMMYFUNCTION("""COMPUTED_VALUE"""),45764.64583333333)</f>
        <v>45764.64583</v>
      </c>
      <c r="B82" s="6">
        <f>IFERROR(__xludf.DUMMYFUNCTION("""COMPUTED_VALUE"""),613.0)</f>
        <v>613</v>
      </c>
      <c r="C82" s="6">
        <f>IFERROR(__xludf.DUMMYFUNCTION("""COMPUTED_VALUE"""),619.35)</f>
        <v>619.35</v>
      </c>
      <c r="D82" s="6">
        <f>IFERROR(__xludf.DUMMYFUNCTION("""COMPUTED_VALUE"""),602.0)</f>
        <v>602</v>
      </c>
      <c r="E82" s="6">
        <f>IFERROR(__xludf.DUMMYFUNCTION("""COMPUTED_VALUE"""),609.5)</f>
        <v>609.5</v>
      </c>
      <c r="F82" s="6">
        <f>IFERROR(__xludf.DUMMYFUNCTION("""COMPUTED_VALUE"""),1.3837907E7)</f>
        <v>13837907</v>
      </c>
    </row>
    <row r="83">
      <c r="A83" s="7">
        <f>IFERROR(__xludf.DUMMYFUNCTION("""COMPUTED_VALUE"""),45772.64583333333)</f>
        <v>45772.64583</v>
      </c>
      <c r="B83" s="6">
        <f>IFERROR(__xludf.DUMMYFUNCTION("""COMPUTED_VALUE"""),611.5)</f>
        <v>611.5</v>
      </c>
      <c r="C83" s="6">
        <f>IFERROR(__xludf.DUMMYFUNCTION("""COMPUTED_VALUE"""),634.3)</f>
        <v>634.3</v>
      </c>
      <c r="D83" s="6">
        <f>IFERROR(__xludf.DUMMYFUNCTION("""COMPUTED_VALUE"""),607.05)</f>
        <v>607.05</v>
      </c>
      <c r="E83" s="6">
        <f>IFERROR(__xludf.DUMMYFUNCTION("""COMPUTED_VALUE"""),622.1)</f>
        <v>622.1</v>
      </c>
      <c r="F83" s="6">
        <f>IFERROR(__xludf.DUMMYFUNCTION("""COMPUTED_VALUE"""),1.9595145E7)</f>
        <v>19595145</v>
      </c>
    </row>
    <row r="84">
      <c r="A84" s="7">
        <f>IFERROR(__xludf.DUMMYFUNCTION("""COMPUTED_VALUE"""),45779.64583333333)</f>
        <v>45779.64583</v>
      </c>
      <c r="B84" s="6">
        <f>IFERROR(__xludf.DUMMYFUNCTION("""COMPUTED_VALUE"""),622.45)</f>
        <v>622.45</v>
      </c>
      <c r="C84" s="6">
        <f>IFERROR(__xludf.DUMMYFUNCTION("""COMPUTED_VALUE"""),650.1)</f>
        <v>650.1</v>
      </c>
      <c r="D84" s="6">
        <f>IFERROR(__xludf.DUMMYFUNCTION("""COMPUTED_VALUE"""),615.0)</f>
        <v>615</v>
      </c>
      <c r="E84" s="6">
        <f>IFERROR(__xludf.DUMMYFUNCTION("""COMPUTED_VALUE"""),632.1)</f>
        <v>632.1</v>
      </c>
      <c r="F84" s="6">
        <f>IFERROR(__xludf.DUMMYFUNCTION("""COMPUTED_VALUE"""),1.9894232E7)</f>
        <v>19894232</v>
      </c>
    </row>
    <row r="85">
      <c r="A85" s="7">
        <f>IFERROR(__xludf.DUMMYFUNCTION("""COMPUTED_VALUE"""),45786.64583333333)</f>
        <v>45786.64583</v>
      </c>
      <c r="B85" s="6">
        <f>IFERROR(__xludf.DUMMYFUNCTION("""COMPUTED_VALUE"""),635.25)</f>
        <v>635.25</v>
      </c>
      <c r="C85" s="6">
        <f>IFERROR(__xludf.DUMMYFUNCTION("""COMPUTED_VALUE"""),642.7)</f>
        <v>642.7</v>
      </c>
      <c r="D85" s="6">
        <f>IFERROR(__xludf.DUMMYFUNCTION("""COMPUTED_VALUE"""),603.75)</f>
        <v>603.75</v>
      </c>
      <c r="E85" s="6">
        <f>IFERROR(__xludf.DUMMYFUNCTION("""COMPUTED_VALUE"""),627.15)</f>
        <v>627.15</v>
      </c>
      <c r="F85" s="6">
        <f>IFERROR(__xludf.DUMMYFUNCTION("""COMPUTED_VALUE"""),1.8580283E7)</f>
        <v>18580283</v>
      </c>
    </row>
    <row r="86">
      <c r="A86" s="7">
        <f>IFERROR(__xludf.DUMMYFUNCTION("""COMPUTED_VALUE"""),45793.64583333333)</f>
        <v>45793.64583</v>
      </c>
      <c r="B86" s="6">
        <f>IFERROR(__xludf.DUMMYFUNCTION("""COMPUTED_VALUE"""),640.15)</f>
        <v>640.15</v>
      </c>
      <c r="C86" s="6">
        <f>IFERROR(__xludf.DUMMYFUNCTION("""COMPUTED_VALUE"""),663.65)</f>
        <v>663.65</v>
      </c>
      <c r="D86" s="6">
        <f>IFERROR(__xludf.DUMMYFUNCTION("""COMPUTED_VALUE"""),632.0)</f>
        <v>632</v>
      </c>
      <c r="E86" s="6">
        <f>IFERROR(__xludf.DUMMYFUNCTION("""COMPUTED_VALUE"""),657.55)</f>
        <v>657.55</v>
      </c>
      <c r="F86" s="6">
        <f>IFERROR(__xludf.DUMMYFUNCTION("""COMPUTED_VALUE"""),2.6154256E7)</f>
        <v>26154256</v>
      </c>
    </row>
    <row r="87">
      <c r="A87" s="7">
        <f>IFERROR(__xludf.DUMMYFUNCTION("""COMPUTED_VALUE"""),45800.64583333333)</f>
        <v>45800.64583</v>
      </c>
      <c r="B87" s="6">
        <f>IFERROR(__xludf.DUMMYFUNCTION("""COMPUTED_VALUE"""),655.0)</f>
        <v>655</v>
      </c>
      <c r="C87" s="6">
        <f>IFERROR(__xludf.DUMMYFUNCTION("""COMPUTED_VALUE"""),671.0)</f>
        <v>671</v>
      </c>
      <c r="D87" s="6">
        <f>IFERROR(__xludf.DUMMYFUNCTION("""COMPUTED_VALUE"""),642.5)</f>
        <v>642.5</v>
      </c>
      <c r="E87" s="6">
        <f>IFERROR(__xludf.DUMMYFUNCTION("""COMPUTED_VALUE"""),650.1)</f>
        <v>650.1</v>
      </c>
      <c r="F87" s="6">
        <f>IFERROR(__xludf.DUMMYFUNCTION("""COMPUTED_VALUE"""),3.0128932E7)</f>
        <v>30128932</v>
      </c>
    </row>
    <row r="88">
      <c r="A88" s="7">
        <f>IFERROR(__xludf.DUMMYFUNCTION("""COMPUTED_VALUE"""),45807.64583333333)</f>
        <v>45807.64583</v>
      </c>
      <c r="B88" s="6">
        <f>IFERROR(__xludf.DUMMYFUNCTION("""COMPUTED_VALUE"""),655.0)</f>
        <v>655</v>
      </c>
      <c r="C88" s="6">
        <f>IFERROR(__xludf.DUMMYFUNCTION("""COMPUTED_VALUE"""),669.7)</f>
        <v>669.7</v>
      </c>
      <c r="D88" s="6">
        <f>IFERROR(__xludf.DUMMYFUNCTION("""COMPUTED_VALUE"""),632.15)</f>
        <v>632.15</v>
      </c>
      <c r="E88" s="6">
        <f>IFERROR(__xludf.DUMMYFUNCTION("""COMPUTED_VALUE"""),633.5)</f>
        <v>633.5</v>
      </c>
      <c r="F88" s="6">
        <f>IFERROR(__xludf.DUMMYFUNCTION("""COMPUTED_VALUE"""),2.8195551E7)</f>
        <v>28195551</v>
      </c>
    </row>
    <row r="89">
      <c r="A89" s="7">
        <f>IFERROR(__xludf.DUMMYFUNCTION("""COMPUTED_VALUE"""),45814.64583333333)</f>
        <v>45814.64583</v>
      </c>
      <c r="B89" s="6">
        <f>IFERROR(__xludf.DUMMYFUNCTION("""COMPUTED_VALUE"""),628.95)</f>
        <v>628.95</v>
      </c>
      <c r="C89" s="6">
        <f>IFERROR(__xludf.DUMMYFUNCTION("""COMPUTED_VALUE"""),651.25)</f>
        <v>651.25</v>
      </c>
      <c r="D89" s="6">
        <f>IFERROR(__xludf.DUMMYFUNCTION("""COMPUTED_VALUE"""),618.0)</f>
        <v>618</v>
      </c>
      <c r="E89" s="6">
        <f>IFERROR(__xludf.DUMMYFUNCTION("""COMPUTED_VALUE"""),650.15)</f>
        <v>650.15</v>
      </c>
      <c r="F89" s="6">
        <f>IFERROR(__xludf.DUMMYFUNCTION("""COMPUTED_VALUE"""),2.4305182E7)</f>
        <v>24305182</v>
      </c>
    </row>
    <row r="90">
      <c r="A90" s="7">
        <f>IFERROR(__xludf.DUMMYFUNCTION("""COMPUTED_VALUE"""),45821.64583333333)</f>
        <v>45821.64583</v>
      </c>
      <c r="B90" s="6">
        <f>IFERROR(__xludf.DUMMYFUNCTION("""COMPUTED_VALUE"""),653.4)</f>
        <v>653.4</v>
      </c>
      <c r="C90" s="6">
        <f>IFERROR(__xludf.DUMMYFUNCTION("""COMPUTED_VALUE"""),663.5)</f>
        <v>663.5</v>
      </c>
      <c r="D90" s="6">
        <f>IFERROR(__xludf.DUMMYFUNCTION("""COMPUTED_VALUE"""),635.0)</f>
        <v>635</v>
      </c>
      <c r="E90" s="6">
        <f>IFERROR(__xludf.DUMMYFUNCTION("""COMPUTED_VALUE"""),641.8)</f>
        <v>641.8</v>
      </c>
      <c r="F90" s="6">
        <f>IFERROR(__xludf.DUMMYFUNCTION("""COMPUTED_VALUE"""),2.3527628E7)</f>
        <v>23527628</v>
      </c>
    </row>
    <row r="91">
      <c r="A91" s="7">
        <f>IFERROR(__xludf.DUMMYFUNCTION("""COMPUTED_VALUE"""),45828.64583333333)</f>
        <v>45828.64583</v>
      </c>
      <c r="B91" s="6">
        <f>IFERROR(__xludf.DUMMYFUNCTION("""COMPUTED_VALUE"""),641.8)</f>
        <v>641.8</v>
      </c>
      <c r="C91" s="6">
        <f>IFERROR(__xludf.DUMMYFUNCTION("""COMPUTED_VALUE"""),654.5)</f>
        <v>654.5</v>
      </c>
      <c r="D91" s="6">
        <f>IFERROR(__xludf.DUMMYFUNCTION("""COMPUTED_VALUE"""),635.05)</f>
        <v>635.05</v>
      </c>
      <c r="E91" s="6">
        <f>IFERROR(__xludf.DUMMYFUNCTION("""COMPUTED_VALUE"""),649.15)</f>
        <v>649.15</v>
      </c>
      <c r="F91" s="6">
        <f>IFERROR(__xludf.DUMMYFUNCTION("""COMPUTED_VALUE"""),2.2594166E7)</f>
        <v>22594166</v>
      </c>
    </row>
    <row r="92">
      <c r="A92" s="7">
        <f>IFERROR(__xludf.DUMMYFUNCTION("""COMPUTED_VALUE"""),45835.64583333333)</f>
        <v>45835.64583</v>
      </c>
      <c r="B92" s="6">
        <f>IFERROR(__xludf.DUMMYFUNCTION("""COMPUTED_VALUE"""),644.0)</f>
        <v>644</v>
      </c>
      <c r="C92" s="6">
        <f>IFERROR(__xludf.DUMMYFUNCTION("""COMPUTED_VALUE"""),700.05)</f>
        <v>700.05</v>
      </c>
      <c r="D92" s="6">
        <f>IFERROR(__xludf.DUMMYFUNCTION("""COMPUTED_VALUE"""),640.15)</f>
        <v>640.15</v>
      </c>
      <c r="E92" s="6">
        <f>IFERROR(__xludf.DUMMYFUNCTION("""COMPUTED_VALUE"""),697.35)</f>
        <v>697.35</v>
      </c>
      <c r="F92" s="6">
        <f>IFERROR(__xludf.DUMMYFUNCTION("""COMPUTED_VALUE"""),3.0987225E7)</f>
        <v>30987225</v>
      </c>
    </row>
    <row r="93">
      <c r="A93" s="7">
        <f>IFERROR(__xludf.DUMMYFUNCTION("""COMPUTED_VALUE"""),45842.64583333333)</f>
        <v>45842.64583</v>
      </c>
      <c r="B93" s="6">
        <f>IFERROR(__xludf.DUMMYFUNCTION("""COMPUTED_VALUE"""),700.0)</f>
        <v>700</v>
      </c>
      <c r="C93" s="6">
        <f>IFERROR(__xludf.DUMMYFUNCTION("""COMPUTED_VALUE"""),708.1)</f>
        <v>708.1</v>
      </c>
      <c r="D93" s="6">
        <f>IFERROR(__xludf.DUMMYFUNCTION("""COMPUTED_VALUE"""),684.35)</f>
        <v>684.35</v>
      </c>
      <c r="E93" s="6">
        <f>IFERROR(__xludf.DUMMYFUNCTION("""COMPUTED_VALUE"""),699.45)</f>
        <v>699.45</v>
      </c>
      <c r="F93" s="6">
        <f>IFERROR(__xludf.DUMMYFUNCTION("""COMPUTED_VALUE"""),2.1851809E7)</f>
        <v>21851809</v>
      </c>
    </row>
    <row r="94">
      <c r="A94" s="7">
        <f>IFERROR(__xludf.DUMMYFUNCTION("""COMPUTED_VALUE"""),45849.64583333333)</f>
        <v>45849.64583</v>
      </c>
      <c r="B94" s="6">
        <f>IFERROR(__xludf.DUMMYFUNCTION("""COMPUTED_VALUE"""),699.45)</f>
        <v>699.45</v>
      </c>
      <c r="C94" s="6">
        <f>IFERROR(__xludf.DUMMYFUNCTION("""COMPUTED_VALUE"""),699.45)</f>
        <v>699.45</v>
      </c>
      <c r="D94" s="6">
        <f>IFERROR(__xludf.DUMMYFUNCTION("""COMPUTED_VALUE"""),661.55)</f>
        <v>661.55</v>
      </c>
      <c r="E94" s="6">
        <f>IFERROR(__xludf.DUMMYFUNCTION("""COMPUTED_VALUE"""),670.95)</f>
        <v>670.95</v>
      </c>
      <c r="F94" s="6">
        <f>IFERROR(__xludf.DUMMYFUNCTION("""COMPUTED_VALUE"""),2.1200318E7)</f>
        <v>21200318</v>
      </c>
    </row>
    <row r="95">
      <c r="A95" s="7">
        <f>IFERROR(__xludf.DUMMYFUNCTION("""COMPUTED_VALUE"""),45856.64583333333)</f>
        <v>45856.64583</v>
      </c>
      <c r="B95" s="6">
        <f>IFERROR(__xludf.DUMMYFUNCTION("""COMPUTED_VALUE"""),671.0)</f>
        <v>671</v>
      </c>
      <c r="C95" s="6">
        <f>IFERROR(__xludf.DUMMYFUNCTION("""COMPUTED_VALUE"""),680.55)</f>
        <v>680.55</v>
      </c>
      <c r="D95" s="6">
        <f>IFERROR(__xludf.DUMMYFUNCTION("""COMPUTED_VALUE"""),662.9)</f>
        <v>662.9</v>
      </c>
      <c r="E95" s="6">
        <f>IFERROR(__xludf.DUMMYFUNCTION("""COMPUTED_VALUE"""),675.9)</f>
        <v>675.9</v>
      </c>
      <c r="F95" s="6">
        <f>IFERROR(__xludf.DUMMYFUNCTION("""COMPUTED_VALUE"""),2.1073701E7)</f>
        <v>21073701</v>
      </c>
    </row>
    <row r="96">
      <c r="A96" s="7">
        <f>IFERROR(__xludf.DUMMYFUNCTION("""COMPUTED_VALUE"""),45863.64583333333)</f>
        <v>45863.64583</v>
      </c>
      <c r="B96" s="6">
        <f>IFERROR(__xludf.DUMMYFUNCTION("""COMPUTED_VALUE"""),679.0)</f>
        <v>679</v>
      </c>
      <c r="C96" s="6">
        <f>IFERROR(__xludf.DUMMYFUNCTION("""COMPUTED_VALUE"""),704.4)</f>
        <v>704.4</v>
      </c>
      <c r="D96" s="6">
        <f>IFERROR(__xludf.DUMMYFUNCTION("""COMPUTED_VALUE"""),679.0)</f>
        <v>679</v>
      </c>
      <c r="E96" s="6">
        <f>IFERROR(__xludf.DUMMYFUNCTION("""COMPUTED_VALUE"""),693.45)</f>
        <v>693.45</v>
      </c>
      <c r="F96" s="6">
        <f>IFERROR(__xludf.DUMMYFUNCTION("""COMPUTED_VALUE"""),2.2169799E7)</f>
        <v>22169799</v>
      </c>
    </row>
    <row r="97">
      <c r="A97" s="7">
        <f>IFERROR(__xludf.DUMMYFUNCTION("""COMPUTED_VALUE"""),45870.64583333333)</f>
        <v>45870.64583</v>
      </c>
      <c r="B97" s="6">
        <f>IFERROR(__xludf.DUMMYFUNCTION("""COMPUTED_VALUE"""),693.45)</f>
        <v>693.45</v>
      </c>
      <c r="C97" s="6">
        <f>IFERROR(__xludf.DUMMYFUNCTION("""COMPUTED_VALUE"""),697.55)</f>
        <v>697.55</v>
      </c>
      <c r="D97" s="6">
        <f>IFERROR(__xludf.DUMMYFUNCTION("""COMPUTED_VALUE"""),670.85)</f>
        <v>670.85</v>
      </c>
      <c r="E97" s="6">
        <f>IFERROR(__xludf.DUMMYFUNCTION("""COMPUTED_VALUE"""),672.45)</f>
        <v>672.45</v>
      </c>
      <c r="F97" s="6">
        <f>IFERROR(__xludf.DUMMYFUNCTION("""COMPUTED_VALUE"""),2.0459172E7)</f>
        <v>20459172</v>
      </c>
    </row>
    <row r="98">
      <c r="A98" s="7">
        <f>IFERROR(__xludf.DUMMYFUNCTION("""COMPUTED_VALUE"""),45877.64583333333)</f>
        <v>45877.64583</v>
      </c>
      <c r="B98" s="6">
        <f>IFERROR(__xludf.DUMMYFUNCTION("""COMPUTED_VALUE"""),676.0)</f>
        <v>676</v>
      </c>
      <c r="C98" s="6">
        <f>IFERROR(__xludf.DUMMYFUNCTION("""COMPUTED_VALUE"""),692.0)</f>
        <v>692</v>
      </c>
      <c r="D98" s="6">
        <f>IFERROR(__xludf.DUMMYFUNCTION("""COMPUTED_VALUE"""),669.05)</f>
        <v>669.05</v>
      </c>
      <c r="E98" s="6">
        <f>IFERROR(__xludf.DUMMYFUNCTION("""COMPUTED_VALUE"""),672.75)</f>
        <v>672.75</v>
      </c>
      <c r="F98" s="6">
        <f>IFERROR(__xludf.DUMMYFUNCTION("""COMPUTED_VALUE"""),1.4976707E7)</f>
        <v>14976707</v>
      </c>
    </row>
    <row r="99">
      <c r="A99" s="7">
        <f>IFERROR(__xludf.DUMMYFUNCTION("""COMPUTED_VALUE"""),45883.64583333333)</f>
        <v>45883.64583</v>
      </c>
      <c r="B99" s="6">
        <f>IFERROR(__xludf.DUMMYFUNCTION("""COMPUTED_VALUE"""),673.75)</f>
        <v>673.75</v>
      </c>
      <c r="C99" s="6">
        <f>IFERROR(__xludf.DUMMYFUNCTION("""COMPUTED_VALUE"""),704.95)</f>
        <v>704.95</v>
      </c>
      <c r="D99" s="6">
        <f>IFERROR(__xludf.DUMMYFUNCTION("""COMPUTED_VALUE"""),657.5)</f>
        <v>657.5</v>
      </c>
      <c r="E99" s="6">
        <f>IFERROR(__xludf.DUMMYFUNCTION("""COMPUTED_VALUE"""),695.25)</f>
        <v>695.25</v>
      </c>
      <c r="F99" s="6">
        <f>IFERROR(__xludf.DUMMYFUNCTION("""COMPUTED_VALUE"""),3.2804575E7)</f>
        <v>32804575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IFERROR(__xludf.DUMMYFUNCTION("""COMPUTED_VALUE"""),700.0)</f>
        <v>700</v>
      </c>
      <c r="C100" s="6">
        <f>IFERROR(__xludf.DUMMYFUNCTION("""COMPUTED_VALUE"""),719.0)</f>
        <v>719</v>
      </c>
      <c r="D100" s="6">
        <f>IFERROR(__xludf.DUMMYFUNCTION("""COMPUTED_VALUE"""),697.1)</f>
        <v>697.1</v>
      </c>
      <c r="E100" s="6">
        <f>IFERROR(__xludf.DUMMYFUNCTION("""COMPUTED_VALUE"""),704.2)</f>
        <v>704.2</v>
      </c>
      <c r="F100" s="6">
        <f>IFERROR(__xludf.DUMMYFUNCTION("""COMPUTED_VALUE"""),2.7064791E7)</f>
        <v>27064791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IFERROR(__xludf.DUMMYFUNCTION("""COMPUTED_VALUE"""),708.0)</f>
        <v>708</v>
      </c>
      <c r="C101" s="6">
        <f>IFERROR(__xludf.DUMMYFUNCTION("""COMPUTED_VALUE"""),720.9)</f>
        <v>720.9</v>
      </c>
      <c r="D101" s="6">
        <f>IFERROR(__xludf.DUMMYFUNCTION("""COMPUTED_VALUE"""),701.25)</f>
        <v>701.25</v>
      </c>
      <c r="E101" s="6">
        <f>IFERROR(__xludf.DUMMYFUNCTION("""COMPUTED_VALUE"""),705.7)</f>
        <v>705.7</v>
      </c>
      <c r="F101" s="6">
        <f>IFERROR(__xludf.DUMMYFUNCTION("""COMPUTED_VALUE"""),7.5389028E7)</f>
        <v>75389028</v>
      </c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IFERROR(__xludf.DUMMYFUNCTION("GOOGLEFINANCE(""NSE:HINDPETRO"",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IFERROR(__xludf.DUMMYFUNCTION("""COMPUTED_VALUE"""),174.67)</f>
        <v>174.67</v>
      </c>
      <c r="C2" s="6">
        <f>IFERROR(__xludf.DUMMYFUNCTION("""COMPUTED_VALUE"""),177.8)</f>
        <v>177.8</v>
      </c>
      <c r="D2" s="6">
        <f>IFERROR(__xludf.DUMMYFUNCTION("""COMPUTED_VALUE"""),164.13)</f>
        <v>164.13</v>
      </c>
      <c r="E2" s="6">
        <f>IFERROR(__xludf.DUMMYFUNCTION("""COMPUTED_VALUE"""),166.83)</f>
        <v>166.83</v>
      </c>
      <c r="F2" s="6">
        <f>IFERROR(__xludf.DUMMYFUNCTION("""COMPUTED_VALUE"""),3.0118607E7)</f>
        <v>30118607</v>
      </c>
    </row>
    <row r="3">
      <c r="A3" s="7">
        <f>IFERROR(__xludf.DUMMYFUNCTION("""COMPUTED_VALUE"""),45177.64583333333)</f>
        <v>45177.64583</v>
      </c>
      <c r="B3" s="6">
        <f>IFERROR(__xludf.DUMMYFUNCTION("""COMPUTED_VALUE"""),167.67)</f>
        <v>167.67</v>
      </c>
      <c r="C3" s="6">
        <f>IFERROR(__xludf.DUMMYFUNCTION("""COMPUTED_VALUE"""),175.53)</f>
        <v>175.53</v>
      </c>
      <c r="D3" s="6">
        <f>IFERROR(__xludf.DUMMYFUNCTION("""COMPUTED_VALUE"""),165.67)</f>
        <v>165.67</v>
      </c>
      <c r="E3" s="6">
        <f>IFERROR(__xludf.DUMMYFUNCTION("""COMPUTED_VALUE"""),173.6)</f>
        <v>173.6</v>
      </c>
      <c r="F3" s="6">
        <f>IFERROR(__xludf.DUMMYFUNCTION("""COMPUTED_VALUE"""),2.071632E7)</f>
        <v>20716320</v>
      </c>
    </row>
    <row r="4">
      <c r="A4" s="7">
        <f>IFERROR(__xludf.DUMMYFUNCTION("""COMPUTED_VALUE"""),45184.64583333333)</f>
        <v>45184.64583</v>
      </c>
      <c r="B4" s="6">
        <f>IFERROR(__xludf.DUMMYFUNCTION("""COMPUTED_VALUE"""),175.0)</f>
        <v>175</v>
      </c>
      <c r="C4" s="6">
        <f>IFERROR(__xludf.DUMMYFUNCTION("""COMPUTED_VALUE"""),179.27)</f>
        <v>179.27</v>
      </c>
      <c r="D4" s="6">
        <f>IFERROR(__xludf.DUMMYFUNCTION("""COMPUTED_VALUE"""),166.37)</f>
        <v>166.37</v>
      </c>
      <c r="E4" s="6">
        <f>IFERROR(__xludf.DUMMYFUNCTION("""COMPUTED_VALUE"""),168.17)</f>
        <v>168.17</v>
      </c>
      <c r="F4" s="6">
        <f>IFERROR(__xludf.DUMMYFUNCTION("""COMPUTED_VALUE"""),3.1331328E7)</f>
        <v>31331328</v>
      </c>
    </row>
    <row r="5">
      <c r="A5" s="7">
        <f>IFERROR(__xludf.DUMMYFUNCTION("""COMPUTED_VALUE"""),45191.64583333333)</f>
        <v>45191.64583</v>
      </c>
      <c r="B5" s="6">
        <f>IFERROR(__xludf.DUMMYFUNCTION("""COMPUTED_VALUE"""),167.7)</f>
        <v>167.7</v>
      </c>
      <c r="C5" s="6">
        <f>IFERROR(__xludf.DUMMYFUNCTION("""COMPUTED_VALUE"""),177.5)</f>
        <v>177.5</v>
      </c>
      <c r="D5" s="6">
        <f>IFERROR(__xludf.DUMMYFUNCTION("""COMPUTED_VALUE"""),167.47)</f>
        <v>167.47</v>
      </c>
      <c r="E5" s="6">
        <f>IFERROR(__xludf.DUMMYFUNCTION("""COMPUTED_VALUE"""),173.97)</f>
        <v>173.97</v>
      </c>
      <c r="F5" s="6">
        <f>IFERROR(__xludf.DUMMYFUNCTION("""COMPUTED_VALUE"""),2.2777894E7)</f>
        <v>22777894</v>
      </c>
    </row>
    <row r="6">
      <c r="A6" s="7">
        <f>IFERROR(__xludf.DUMMYFUNCTION("""COMPUTED_VALUE"""),45198.64583333333)</f>
        <v>45198.64583</v>
      </c>
      <c r="B6" s="6">
        <f>IFERROR(__xludf.DUMMYFUNCTION("""COMPUTED_VALUE"""),173.37)</f>
        <v>173.37</v>
      </c>
      <c r="C6" s="6">
        <f>IFERROR(__xludf.DUMMYFUNCTION("""COMPUTED_VALUE"""),175.83)</f>
        <v>175.83</v>
      </c>
      <c r="D6" s="6">
        <f>IFERROR(__xludf.DUMMYFUNCTION("""COMPUTED_VALUE"""),166.07)</f>
        <v>166.07</v>
      </c>
      <c r="E6" s="6">
        <f>IFERROR(__xludf.DUMMYFUNCTION("""COMPUTED_VALUE"""),169.97)</f>
        <v>169.97</v>
      </c>
      <c r="F6" s="6">
        <f>IFERROR(__xludf.DUMMYFUNCTION("""COMPUTED_VALUE"""),1.7196678E7)</f>
        <v>17196678</v>
      </c>
    </row>
    <row r="7">
      <c r="A7" s="7">
        <f>IFERROR(__xludf.DUMMYFUNCTION("""COMPUTED_VALUE"""),45205.64583333333)</f>
        <v>45205.64583</v>
      </c>
      <c r="B7" s="6">
        <f>IFERROR(__xludf.DUMMYFUNCTION("""COMPUTED_VALUE"""),171.0)</f>
        <v>171</v>
      </c>
      <c r="C7" s="6">
        <f>IFERROR(__xludf.DUMMYFUNCTION("""COMPUTED_VALUE"""),174.47)</f>
        <v>174.47</v>
      </c>
      <c r="D7" s="6">
        <f>IFERROR(__xludf.DUMMYFUNCTION("""COMPUTED_VALUE"""),164.7)</f>
        <v>164.7</v>
      </c>
      <c r="E7" s="6">
        <f>IFERROR(__xludf.DUMMYFUNCTION("""COMPUTED_VALUE"""),171.83)</f>
        <v>171.83</v>
      </c>
      <c r="F7" s="6">
        <f>IFERROR(__xludf.DUMMYFUNCTION("""COMPUTED_VALUE"""),1.8659086E7)</f>
        <v>18659086</v>
      </c>
    </row>
    <row r="8">
      <c r="A8" s="7">
        <f>IFERROR(__xludf.DUMMYFUNCTION("""COMPUTED_VALUE"""),45212.64583333333)</f>
        <v>45212.64583</v>
      </c>
      <c r="B8" s="6">
        <f>IFERROR(__xludf.DUMMYFUNCTION("""COMPUTED_VALUE"""),168.07)</f>
        <v>168.07</v>
      </c>
      <c r="C8" s="6">
        <f>IFERROR(__xludf.DUMMYFUNCTION("""COMPUTED_VALUE"""),174.53)</f>
        <v>174.53</v>
      </c>
      <c r="D8" s="6">
        <f>IFERROR(__xludf.DUMMYFUNCTION("""COMPUTED_VALUE"""),166.0)</f>
        <v>166</v>
      </c>
      <c r="E8" s="6">
        <f>IFERROR(__xludf.DUMMYFUNCTION("""COMPUTED_VALUE"""),170.97)</f>
        <v>170.97</v>
      </c>
      <c r="F8" s="6">
        <f>IFERROR(__xludf.DUMMYFUNCTION("""COMPUTED_VALUE"""),1.3387677E7)</f>
        <v>13387677</v>
      </c>
    </row>
    <row r="9">
      <c r="A9" s="7">
        <f>IFERROR(__xludf.DUMMYFUNCTION("""COMPUTED_VALUE"""),45219.64583333333)</f>
        <v>45219.64583</v>
      </c>
      <c r="B9" s="6">
        <f>IFERROR(__xludf.DUMMYFUNCTION("""COMPUTED_VALUE"""),169.33)</f>
        <v>169.33</v>
      </c>
      <c r="C9" s="6">
        <f>IFERROR(__xludf.DUMMYFUNCTION("""COMPUTED_VALUE"""),177.67)</f>
        <v>177.67</v>
      </c>
      <c r="D9" s="6">
        <f>IFERROR(__xludf.DUMMYFUNCTION("""COMPUTED_VALUE"""),167.17)</f>
        <v>167.17</v>
      </c>
      <c r="E9" s="6">
        <f>IFERROR(__xludf.DUMMYFUNCTION("""COMPUTED_VALUE"""),168.47)</f>
        <v>168.47</v>
      </c>
      <c r="F9" s="6">
        <f>IFERROR(__xludf.DUMMYFUNCTION("""COMPUTED_VALUE"""),1.8183087E7)</f>
        <v>18183087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IFERROR(__xludf.DUMMYFUNCTION("""COMPUTED_VALUE"""),169.0)</f>
        <v>169</v>
      </c>
      <c r="C10" s="6">
        <f>IFERROR(__xludf.DUMMYFUNCTION("""COMPUTED_VALUE"""),169.87)</f>
        <v>169.87</v>
      </c>
      <c r="D10" s="6">
        <f>IFERROR(__xludf.DUMMYFUNCTION("""COMPUTED_VALUE"""),159.47)</f>
        <v>159.47</v>
      </c>
      <c r="E10" s="6">
        <f>IFERROR(__xludf.DUMMYFUNCTION("""COMPUTED_VALUE"""),162.37)</f>
        <v>162.37</v>
      </c>
      <c r="F10" s="6">
        <f>IFERROR(__xludf.DUMMYFUNCTION("""COMPUTED_VALUE"""),1.3223566E7)</f>
        <v>13223566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IFERROR(__xludf.DUMMYFUNCTION("""COMPUTED_VALUE"""),163.33)</f>
        <v>163.33</v>
      </c>
      <c r="C11" s="6">
        <f>IFERROR(__xludf.DUMMYFUNCTION("""COMPUTED_VALUE"""),173.27)</f>
        <v>173.27</v>
      </c>
      <c r="D11" s="6">
        <f>IFERROR(__xludf.DUMMYFUNCTION("""COMPUTED_VALUE"""),161.07)</f>
        <v>161.07</v>
      </c>
      <c r="E11" s="6">
        <f>IFERROR(__xludf.DUMMYFUNCTION("""COMPUTED_VALUE"""),171.7)</f>
        <v>171.7</v>
      </c>
      <c r="F11" s="6">
        <f>IFERROR(__xludf.DUMMYFUNCTION("""COMPUTED_VALUE"""),1.4068396E7)</f>
        <v>14068396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IFERROR(__xludf.DUMMYFUNCTION("""COMPUTED_VALUE"""),173.2)</f>
        <v>173.2</v>
      </c>
      <c r="C12" s="6">
        <f>IFERROR(__xludf.DUMMYFUNCTION("""COMPUTED_VALUE"""),203.2)</f>
        <v>203.2</v>
      </c>
      <c r="D12" s="6">
        <f>IFERROR(__xludf.DUMMYFUNCTION("""COMPUTED_VALUE"""),172.3)</f>
        <v>172.3</v>
      </c>
      <c r="E12" s="6">
        <f>IFERROR(__xludf.DUMMYFUNCTION("""COMPUTED_VALUE"""),199.7)</f>
        <v>199.7</v>
      </c>
      <c r="F12" s="6">
        <f>IFERROR(__xludf.DUMMYFUNCTION("""COMPUTED_VALUE"""),5.9804137E7)</f>
        <v>59804137</v>
      </c>
    </row>
    <row r="13">
      <c r="A13" s="7">
        <f>IFERROR(__xludf.DUMMYFUNCTION("""COMPUTED_VALUE"""),45247.64583333333)</f>
        <v>45247.64583</v>
      </c>
      <c r="B13" s="6">
        <f>IFERROR(__xludf.DUMMYFUNCTION("""COMPUTED_VALUE"""),202.0)</f>
        <v>202</v>
      </c>
      <c r="C13" s="6">
        <f>IFERROR(__xludf.DUMMYFUNCTION("""COMPUTED_VALUE"""),223.13)</f>
        <v>223.13</v>
      </c>
      <c r="D13" s="6">
        <f>IFERROR(__xludf.DUMMYFUNCTION("""COMPUTED_VALUE"""),196.83)</f>
        <v>196.83</v>
      </c>
      <c r="E13" s="6">
        <f>IFERROR(__xludf.DUMMYFUNCTION("""COMPUTED_VALUE"""),206.67)</f>
        <v>206.67</v>
      </c>
      <c r="F13" s="6">
        <f>IFERROR(__xludf.DUMMYFUNCTION("""COMPUTED_VALUE"""),4.2170906E7)</f>
        <v>42170906</v>
      </c>
    </row>
    <row r="14">
      <c r="A14" s="7">
        <f>IFERROR(__xludf.DUMMYFUNCTION("""COMPUTED_VALUE"""),45254.64583333333)</f>
        <v>45254.64583</v>
      </c>
      <c r="B14" s="6">
        <f>IFERROR(__xludf.DUMMYFUNCTION("""COMPUTED_VALUE"""),207.7)</f>
        <v>207.7</v>
      </c>
      <c r="C14" s="6">
        <f>IFERROR(__xludf.DUMMYFUNCTION("""COMPUTED_VALUE"""),219.83)</f>
        <v>219.83</v>
      </c>
      <c r="D14" s="6">
        <f>IFERROR(__xludf.DUMMYFUNCTION("""COMPUTED_VALUE"""),200.2)</f>
        <v>200.2</v>
      </c>
      <c r="E14" s="6">
        <f>IFERROR(__xludf.DUMMYFUNCTION("""COMPUTED_VALUE"""),213.47)</f>
        <v>213.47</v>
      </c>
      <c r="F14" s="6">
        <f>IFERROR(__xludf.DUMMYFUNCTION("""COMPUTED_VALUE"""),4.6797675E7)</f>
        <v>46797675</v>
      </c>
    </row>
    <row r="15">
      <c r="A15" s="7">
        <f>IFERROR(__xludf.DUMMYFUNCTION("""COMPUTED_VALUE"""),45261.64583333333)</f>
        <v>45261.64583</v>
      </c>
      <c r="B15" s="6">
        <f>IFERROR(__xludf.DUMMYFUNCTION("""COMPUTED_VALUE"""),219.37)</f>
        <v>219.37</v>
      </c>
      <c r="C15" s="6">
        <f>IFERROR(__xludf.DUMMYFUNCTION("""COMPUTED_VALUE"""),237.57)</f>
        <v>237.57</v>
      </c>
      <c r="D15" s="6">
        <f>IFERROR(__xludf.DUMMYFUNCTION("""COMPUTED_VALUE"""),216.73)</f>
        <v>216.73</v>
      </c>
      <c r="E15" s="6">
        <f>IFERROR(__xludf.DUMMYFUNCTION("""COMPUTED_VALUE"""),230.37)</f>
        <v>230.37</v>
      </c>
      <c r="F15" s="6">
        <f>IFERROR(__xludf.DUMMYFUNCTION("""COMPUTED_VALUE"""),6.1801865E7)</f>
        <v>61801865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IFERROR(__xludf.DUMMYFUNCTION("""COMPUTED_VALUE"""),236.67)</f>
        <v>236.67</v>
      </c>
      <c r="C16" s="6">
        <f>IFERROR(__xludf.DUMMYFUNCTION("""COMPUTED_VALUE"""),264.0)</f>
        <v>264</v>
      </c>
      <c r="D16" s="6">
        <f>IFERROR(__xludf.DUMMYFUNCTION("""COMPUTED_VALUE"""),236.67)</f>
        <v>236.67</v>
      </c>
      <c r="E16" s="6">
        <f>IFERROR(__xludf.DUMMYFUNCTION("""COMPUTED_VALUE"""),251.67)</f>
        <v>251.67</v>
      </c>
      <c r="F16" s="6">
        <f>IFERROR(__xludf.DUMMYFUNCTION("""COMPUTED_VALUE"""),7.5652053E7)</f>
        <v>75652053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IFERROR(__xludf.DUMMYFUNCTION("""COMPUTED_VALUE"""),253.33)</f>
        <v>253.33</v>
      </c>
      <c r="C17" s="6">
        <f>IFERROR(__xludf.DUMMYFUNCTION("""COMPUTED_VALUE"""),261.83)</f>
        <v>261.83</v>
      </c>
      <c r="D17" s="6">
        <f>IFERROR(__xludf.DUMMYFUNCTION("""COMPUTED_VALUE"""),237.33)</f>
        <v>237.33</v>
      </c>
      <c r="E17" s="6">
        <f>IFERROR(__xludf.DUMMYFUNCTION("""COMPUTED_VALUE"""),255.93)</f>
        <v>255.93</v>
      </c>
      <c r="F17" s="6">
        <f>IFERROR(__xludf.DUMMYFUNCTION("""COMPUTED_VALUE"""),5.7715805E7)</f>
        <v>57715805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IFERROR(__xludf.DUMMYFUNCTION("""COMPUTED_VALUE"""),257.33)</f>
        <v>257.33</v>
      </c>
      <c r="C18" s="6">
        <f>IFERROR(__xludf.DUMMYFUNCTION("""COMPUTED_VALUE"""),257.83)</f>
        <v>257.83</v>
      </c>
      <c r="D18" s="6">
        <f>IFERROR(__xludf.DUMMYFUNCTION("""COMPUTED_VALUE"""),239.13)</f>
        <v>239.13</v>
      </c>
      <c r="E18" s="6">
        <f>IFERROR(__xludf.DUMMYFUNCTION("""COMPUTED_VALUE"""),246.2)</f>
        <v>246.2</v>
      </c>
      <c r="F18" s="6">
        <f>IFERROR(__xludf.DUMMYFUNCTION("""COMPUTED_VALUE"""),3.0502672E7)</f>
        <v>30502672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IFERROR(__xludf.DUMMYFUNCTION("""COMPUTED_VALUE"""),247.27)</f>
        <v>247.27</v>
      </c>
      <c r="C19" s="6">
        <f>IFERROR(__xludf.DUMMYFUNCTION("""COMPUTED_VALUE"""),290.93)</f>
        <v>290.93</v>
      </c>
      <c r="D19" s="6">
        <f>IFERROR(__xludf.DUMMYFUNCTION("""COMPUTED_VALUE"""),244.53)</f>
        <v>244.53</v>
      </c>
      <c r="E19" s="6">
        <f>IFERROR(__xludf.DUMMYFUNCTION("""COMPUTED_VALUE"""),265.93)</f>
        <v>265.93</v>
      </c>
      <c r="F19" s="6">
        <f>IFERROR(__xludf.DUMMYFUNCTION("""COMPUTED_VALUE"""),8.5360888E7)</f>
        <v>85360888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IFERROR(__xludf.DUMMYFUNCTION("""COMPUTED_VALUE"""),270.67)</f>
        <v>270.67</v>
      </c>
      <c r="C20" s="6">
        <f>IFERROR(__xludf.DUMMYFUNCTION("""COMPUTED_VALUE"""),284.67)</f>
        <v>284.67</v>
      </c>
      <c r="D20" s="6">
        <f>IFERROR(__xludf.DUMMYFUNCTION("""COMPUTED_VALUE"""),262.07)</f>
        <v>262.07</v>
      </c>
      <c r="E20" s="6">
        <f>IFERROR(__xludf.DUMMYFUNCTION("""COMPUTED_VALUE"""),280.0)</f>
        <v>280</v>
      </c>
      <c r="F20" s="6">
        <f>IFERROR(__xludf.DUMMYFUNCTION("""COMPUTED_VALUE"""),4.4694325E7)</f>
        <v>44694325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IFERROR(__xludf.DUMMYFUNCTION("""COMPUTED_VALUE"""),282.67)</f>
        <v>282.67</v>
      </c>
      <c r="C21" s="6">
        <f>IFERROR(__xludf.DUMMYFUNCTION("""COMPUTED_VALUE"""),302.13)</f>
        <v>302.13</v>
      </c>
      <c r="D21" s="6">
        <f>IFERROR(__xludf.DUMMYFUNCTION("""COMPUTED_VALUE"""),281.47)</f>
        <v>281.47</v>
      </c>
      <c r="E21" s="6">
        <f>IFERROR(__xludf.DUMMYFUNCTION("""COMPUTED_VALUE"""),300.53)</f>
        <v>300.53</v>
      </c>
      <c r="F21" s="6">
        <f>IFERROR(__xludf.DUMMYFUNCTION("""COMPUTED_VALUE"""),4.471643E7)</f>
        <v>44716430</v>
      </c>
    </row>
    <row r="22">
      <c r="A22" s="7">
        <f>IFERROR(__xludf.DUMMYFUNCTION("""COMPUTED_VALUE"""),45316.64583333333)</f>
        <v>45316.64583</v>
      </c>
      <c r="B22" s="6">
        <f>IFERROR(__xludf.DUMMYFUNCTION("""COMPUTED_VALUE"""),317.87)</f>
        <v>317.87</v>
      </c>
      <c r="C22" s="6">
        <f>IFERROR(__xludf.DUMMYFUNCTION("""COMPUTED_VALUE"""),318.0)</f>
        <v>318</v>
      </c>
      <c r="D22" s="6">
        <f>IFERROR(__xludf.DUMMYFUNCTION("""COMPUTED_VALUE"""),277.67)</f>
        <v>277.67</v>
      </c>
      <c r="E22" s="6">
        <f>IFERROR(__xludf.DUMMYFUNCTION("""COMPUTED_VALUE"""),287.07)</f>
        <v>287.07</v>
      </c>
      <c r="F22" s="6">
        <f>IFERROR(__xludf.DUMMYFUNCTION("""COMPUTED_VALUE"""),3.2424914E7)</f>
        <v>32424914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IFERROR(__xludf.DUMMYFUNCTION("""COMPUTED_VALUE"""),288.67)</f>
        <v>288.67</v>
      </c>
      <c r="C23" s="6">
        <f>IFERROR(__xludf.DUMMYFUNCTION("""COMPUTED_VALUE"""),333.87)</f>
        <v>333.87</v>
      </c>
      <c r="D23" s="6">
        <f>IFERROR(__xludf.DUMMYFUNCTION("""COMPUTED_VALUE"""),286.77)</f>
        <v>286.77</v>
      </c>
      <c r="E23" s="6">
        <f>IFERROR(__xludf.DUMMYFUNCTION("""COMPUTED_VALUE"""),325.9)</f>
        <v>325.9</v>
      </c>
      <c r="F23" s="6">
        <f>IFERROR(__xludf.DUMMYFUNCTION("""COMPUTED_VALUE"""),6.1396481E7)</f>
        <v>61396481</v>
      </c>
    </row>
    <row r="24">
      <c r="A24" s="7">
        <f>IFERROR(__xludf.DUMMYFUNCTION("""COMPUTED_VALUE"""),45331.64583333333)</f>
        <v>45331.64583</v>
      </c>
      <c r="B24" s="6">
        <f>IFERROR(__xludf.DUMMYFUNCTION("""COMPUTED_VALUE"""),331.33)</f>
        <v>331.33</v>
      </c>
      <c r="C24" s="6">
        <f>IFERROR(__xludf.DUMMYFUNCTION("""COMPUTED_VALUE"""),360.67)</f>
        <v>360.67</v>
      </c>
      <c r="D24" s="6">
        <f>IFERROR(__xludf.DUMMYFUNCTION("""COMPUTED_VALUE"""),326.2)</f>
        <v>326.2</v>
      </c>
      <c r="E24" s="6">
        <f>IFERROR(__xludf.DUMMYFUNCTION("""COMPUTED_VALUE"""),340.13)</f>
        <v>340.13</v>
      </c>
      <c r="F24" s="6">
        <f>IFERROR(__xludf.DUMMYFUNCTION("""COMPUTED_VALUE"""),7.1736281E7)</f>
        <v>71736281</v>
      </c>
    </row>
    <row r="25">
      <c r="A25" s="7">
        <f>IFERROR(__xludf.DUMMYFUNCTION("""COMPUTED_VALUE"""),45338.64583333333)</f>
        <v>45338.64583</v>
      </c>
      <c r="B25" s="6">
        <f>IFERROR(__xludf.DUMMYFUNCTION("""COMPUTED_VALUE"""),338.07)</f>
        <v>338.07</v>
      </c>
      <c r="C25" s="6">
        <f>IFERROR(__xludf.DUMMYFUNCTION("""COMPUTED_VALUE"""),396.53)</f>
        <v>396.53</v>
      </c>
      <c r="D25" s="6">
        <f>IFERROR(__xludf.DUMMYFUNCTION("""COMPUTED_VALUE"""),324.6)</f>
        <v>324.6</v>
      </c>
      <c r="E25" s="6">
        <f>IFERROR(__xludf.DUMMYFUNCTION("""COMPUTED_VALUE"""),377.13)</f>
        <v>377.13</v>
      </c>
      <c r="F25" s="6">
        <f>IFERROR(__xludf.DUMMYFUNCTION("""COMPUTED_VALUE"""),6.1266894E7)</f>
        <v>61266894</v>
      </c>
    </row>
    <row r="26">
      <c r="A26" s="7">
        <f>IFERROR(__xludf.DUMMYFUNCTION("""COMPUTED_VALUE"""),45345.64583333333)</f>
        <v>45345.64583</v>
      </c>
      <c r="B26" s="6">
        <f>IFERROR(__xludf.DUMMYFUNCTION("""COMPUTED_VALUE"""),378.0)</f>
        <v>378</v>
      </c>
      <c r="C26" s="6">
        <f>IFERROR(__xludf.DUMMYFUNCTION("""COMPUTED_VALUE"""),379.73)</f>
        <v>379.73</v>
      </c>
      <c r="D26" s="6">
        <f>IFERROR(__xludf.DUMMYFUNCTION("""COMPUTED_VALUE"""),348.07)</f>
        <v>348.07</v>
      </c>
      <c r="E26" s="6">
        <f>IFERROR(__xludf.DUMMYFUNCTION("""COMPUTED_VALUE"""),351.73)</f>
        <v>351.73</v>
      </c>
      <c r="F26" s="6">
        <f>IFERROR(__xludf.DUMMYFUNCTION("""COMPUTED_VALUE"""),3.7774635E7)</f>
        <v>37774635</v>
      </c>
    </row>
    <row r="27">
      <c r="A27" s="7">
        <f>IFERROR(__xludf.DUMMYFUNCTION("""COMPUTED_VALUE"""),45358.64583333333)</f>
        <v>45358.64583</v>
      </c>
      <c r="B27" s="6">
        <f>IFERROR(__xludf.DUMMYFUNCTION("""COMPUTED_VALUE"""),344.67)</f>
        <v>344.67</v>
      </c>
      <c r="C27" s="6">
        <f>IFERROR(__xludf.DUMMYFUNCTION("""COMPUTED_VALUE"""),354.3)</f>
        <v>354.3</v>
      </c>
      <c r="D27" s="6">
        <f>IFERROR(__xludf.DUMMYFUNCTION("""COMPUTED_VALUE"""),335.6)</f>
        <v>335.6</v>
      </c>
      <c r="E27" s="6">
        <f>IFERROR(__xludf.DUMMYFUNCTION("""COMPUTED_VALUE"""),339.0)</f>
        <v>339</v>
      </c>
      <c r="F27" s="6">
        <f>IFERROR(__xludf.DUMMYFUNCTION("""COMPUTED_VALUE"""),2.4734531E7)</f>
        <v>24734531</v>
      </c>
    </row>
    <row r="28">
      <c r="A28" s="7">
        <f>IFERROR(__xludf.DUMMYFUNCTION("""COMPUTED_VALUE"""),45366.64583333333)</f>
        <v>45366.64583</v>
      </c>
      <c r="B28" s="6">
        <f>IFERROR(__xludf.DUMMYFUNCTION("""COMPUTED_VALUE"""),337.33)</f>
        <v>337.33</v>
      </c>
      <c r="C28" s="6">
        <f>IFERROR(__xludf.DUMMYFUNCTION("""COMPUTED_VALUE"""),348.0)</f>
        <v>348</v>
      </c>
      <c r="D28" s="6">
        <f>IFERROR(__xludf.DUMMYFUNCTION("""COMPUTED_VALUE"""),300.77)</f>
        <v>300.77</v>
      </c>
      <c r="E28" s="6">
        <f>IFERROR(__xludf.DUMMYFUNCTION("""COMPUTED_VALUE"""),312.57)</f>
        <v>312.57</v>
      </c>
      <c r="F28" s="6">
        <f>IFERROR(__xludf.DUMMYFUNCTION("""COMPUTED_VALUE"""),6.1923618E7)</f>
        <v>61923618</v>
      </c>
    </row>
    <row r="29">
      <c r="A29" s="7">
        <f>IFERROR(__xludf.DUMMYFUNCTION("""COMPUTED_VALUE"""),45373.64583333333)</f>
        <v>45373.64583</v>
      </c>
      <c r="B29" s="6">
        <f>IFERROR(__xludf.DUMMYFUNCTION("""COMPUTED_VALUE"""),312.6)</f>
        <v>312.6</v>
      </c>
      <c r="C29" s="6">
        <f>IFERROR(__xludf.DUMMYFUNCTION("""COMPUTED_VALUE"""),322.43)</f>
        <v>322.43</v>
      </c>
      <c r="D29" s="6">
        <f>IFERROR(__xludf.DUMMYFUNCTION("""COMPUTED_VALUE"""),295.37)</f>
        <v>295.37</v>
      </c>
      <c r="E29" s="6">
        <f>IFERROR(__xludf.DUMMYFUNCTION("""COMPUTED_VALUE"""),315.63)</f>
        <v>315.63</v>
      </c>
      <c r="F29" s="6">
        <f>IFERROR(__xludf.DUMMYFUNCTION("""COMPUTED_VALUE"""),3.1993556E7)</f>
        <v>31993556</v>
      </c>
    </row>
    <row r="30">
      <c r="A30" s="7">
        <f>IFERROR(__xludf.DUMMYFUNCTION("""COMPUTED_VALUE"""),45379.64583333333)</f>
        <v>45379.64583</v>
      </c>
      <c r="B30" s="6">
        <f>IFERROR(__xludf.DUMMYFUNCTION("""COMPUTED_VALUE"""),312.6)</f>
        <v>312.6</v>
      </c>
      <c r="C30" s="6">
        <f>IFERROR(__xludf.DUMMYFUNCTION("""COMPUTED_VALUE"""),322.8)</f>
        <v>322.8</v>
      </c>
      <c r="D30" s="6">
        <f>IFERROR(__xludf.DUMMYFUNCTION("""COMPUTED_VALUE"""),309.0)</f>
        <v>309</v>
      </c>
      <c r="E30" s="6">
        <f>IFERROR(__xludf.DUMMYFUNCTION("""COMPUTED_VALUE"""),317.1)</f>
        <v>317.1</v>
      </c>
      <c r="F30" s="6">
        <f>IFERROR(__xludf.DUMMYFUNCTION("""COMPUTED_VALUE"""),1.5688172E7)</f>
        <v>15688172</v>
      </c>
    </row>
    <row r="31">
      <c r="A31" s="7">
        <f>IFERROR(__xludf.DUMMYFUNCTION("""COMPUTED_VALUE"""),45387.64583333333)</f>
        <v>45387.64583</v>
      </c>
      <c r="B31" s="6">
        <f>IFERROR(__xludf.DUMMYFUNCTION("""COMPUTED_VALUE"""),317.37)</f>
        <v>317.37</v>
      </c>
      <c r="C31" s="6">
        <f>IFERROR(__xludf.DUMMYFUNCTION("""COMPUTED_VALUE"""),323.13)</f>
        <v>323.13</v>
      </c>
      <c r="D31" s="6">
        <f>IFERROR(__xludf.DUMMYFUNCTION("""COMPUTED_VALUE"""),299.5)</f>
        <v>299.5</v>
      </c>
      <c r="E31" s="6">
        <f>IFERROR(__xludf.DUMMYFUNCTION("""COMPUTED_VALUE"""),307.47)</f>
        <v>307.47</v>
      </c>
      <c r="F31" s="6">
        <f>IFERROR(__xludf.DUMMYFUNCTION("""COMPUTED_VALUE"""),3.0249692E7)</f>
        <v>30249692</v>
      </c>
    </row>
    <row r="32">
      <c r="A32" s="7">
        <f>IFERROR(__xludf.DUMMYFUNCTION("""COMPUTED_VALUE"""),45394.64583333333)</f>
        <v>45394.64583</v>
      </c>
      <c r="B32" s="6">
        <f>IFERROR(__xludf.DUMMYFUNCTION("""COMPUTED_VALUE"""),310.0)</f>
        <v>310</v>
      </c>
      <c r="C32" s="6">
        <f>IFERROR(__xludf.DUMMYFUNCTION("""COMPUTED_VALUE"""),326.0)</f>
        <v>326</v>
      </c>
      <c r="D32" s="6">
        <f>IFERROR(__xludf.DUMMYFUNCTION("""COMPUTED_VALUE"""),303.73)</f>
        <v>303.73</v>
      </c>
      <c r="E32" s="6">
        <f>IFERROR(__xludf.DUMMYFUNCTION("""COMPUTED_VALUE"""),318.83)</f>
        <v>318.83</v>
      </c>
      <c r="F32" s="6">
        <f>IFERROR(__xludf.DUMMYFUNCTION("""COMPUTED_VALUE"""),3.1075355E7)</f>
        <v>31075355</v>
      </c>
    </row>
    <row r="33">
      <c r="A33" s="7">
        <f>IFERROR(__xludf.DUMMYFUNCTION("""COMPUTED_VALUE"""),45401.64583333333)</f>
        <v>45401.64583</v>
      </c>
      <c r="B33" s="6">
        <f>IFERROR(__xludf.DUMMYFUNCTION("""COMPUTED_VALUE"""),314.67)</f>
        <v>314.67</v>
      </c>
      <c r="C33" s="6">
        <f>IFERROR(__xludf.DUMMYFUNCTION("""COMPUTED_VALUE"""),329.33)</f>
        <v>329.33</v>
      </c>
      <c r="D33" s="6">
        <f>IFERROR(__xludf.DUMMYFUNCTION("""COMPUTED_VALUE"""),305.17)</f>
        <v>305.17</v>
      </c>
      <c r="E33" s="6">
        <f>IFERROR(__xludf.DUMMYFUNCTION("""COMPUTED_VALUE"""),318.93)</f>
        <v>318.93</v>
      </c>
      <c r="F33" s="6">
        <f>IFERROR(__xludf.DUMMYFUNCTION("""COMPUTED_VALUE"""),4.0905053E7)</f>
        <v>40905053</v>
      </c>
    </row>
    <row r="34">
      <c r="A34" s="7">
        <f>IFERROR(__xludf.DUMMYFUNCTION("""COMPUTED_VALUE"""),45408.64583333333)</f>
        <v>45408.64583</v>
      </c>
      <c r="B34" s="6">
        <f>IFERROR(__xludf.DUMMYFUNCTION("""COMPUTED_VALUE"""),324.67)</f>
        <v>324.67</v>
      </c>
      <c r="C34" s="6">
        <f>IFERROR(__xludf.DUMMYFUNCTION("""COMPUTED_VALUE"""),334.0)</f>
        <v>334</v>
      </c>
      <c r="D34" s="6">
        <f>IFERROR(__xludf.DUMMYFUNCTION("""COMPUTED_VALUE"""),319.5)</f>
        <v>319.5</v>
      </c>
      <c r="E34" s="6">
        <f>IFERROR(__xludf.DUMMYFUNCTION("""COMPUTED_VALUE"""),327.4)</f>
        <v>327.4</v>
      </c>
      <c r="F34" s="6">
        <f>IFERROR(__xludf.DUMMYFUNCTION("""COMPUTED_VALUE"""),2.7221321E7)</f>
        <v>27221321</v>
      </c>
    </row>
    <row r="35">
      <c r="A35" s="7">
        <f>IFERROR(__xludf.DUMMYFUNCTION("""COMPUTED_VALUE"""),45415.64583333333)</f>
        <v>45415.64583</v>
      </c>
      <c r="B35" s="6">
        <f>IFERROR(__xludf.DUMMYFUNCTION("""COMPUTED_VALUE"""),329.6)</f>
        <v>329.6</v>
      </c>
      <c r="C35" s="6">
        <f>IFERROR(__xludf.DUMMYFUNCTION("""COMPUTED_VALUE"""),360.6)</f>
        <v>360.6</v>
      </c>
      <c r="D35" s="6">
        <f>IFERROR(__xludf.DUMMYFUNCTION("""COMPUTED_VALUE"""),327.17)</f>
        <v>327.17</v>
      </c>
      <c r="E35" s="6">
        <f>IFERROR(__xludf.DUMMYFUNCTION("""COMPUTED_VALUE"""),356.07)</f>
        <v>356.07</v>
      </c>
      <c r="F35" s="6">
        <f>IFERROR(__xludf.DUMMYFUNCTION("""COMPUTED_VALUE"""),4.2649147E7)</f>
        <v>42649147</v>
      </c>
    </row>
    <row r="36">
      <c r="A36" s="7">
        <f>IFERROR(__xludf.DUMMYFUNCTION("""COMPUTED_VALUE"""),45422.64583333333)</f>
        <v>45422.64583</v>
      </c>
      <c r="B36" s="6">
        <f>IFERROR(__xludf.DUMMYFUNCTION("""COMPUTED_VALUE"""),358.73)</f>
        <v>358.73</v>
      </c>
      <c r="C36" s="6">
        <f>IFERROR(__xludf.DUMMYFUNCTION("""COMPUTED_VALUE"""),358.73)</f>
        <v>358.73</v>
      </c>
      <c r="D36" s="6">
        <f>IFERROR(__xludf.DUMMYFUNCTION("""COMPUTED_VALUE"""),326.73)</f>
        <v>326.73</v>
      </c>
      <c r="E36" s="6">
        <f>IFERROR(__xludf.DUMMYFUNCTION("""COMPUTED_VALUE"""),334.37)</f>
        <v>334.37</v>
      </c>
      <c r="F36" s="6">
        <f>IFERROR(__xludf.DUMMYFUNCTION("""COMPUTED_VALUE"""),4.2584431E7)</f>
        <v>42584431</v>
      </c>
    </row>
    <row r="37">
      <c r="A37" s="7">
        <f>IFERROR(__xludf.DUMMYFUNCTION("""COMPUTED_VALUE"""),45436.64583333333)</f>
        <v>45436.64583</v>
      </c>
      <c r="B37" s="6">
        <f>IFERROR(__xludf.DUMMYFUNCTION("""COMPUTED_VALUE"""),339.47)</f>
        <v>339.47</v>
      </c>
      <c r="C37" s="6">
        <f>IFERROR(__xludf.DUMMYFUNCTION("""COMPUTED_VALUE"""),366.9)</f>
        <v>366.9</v>
      </c>
      <c r="D37" s="6">
        <f>IFERROR(__xludf.DUMMYFUNCTION("""COMPUTED_VALUE"""),334.47)</f>
        <v>334.47</v>
      </c>
      <c r="E37" s="6">
        <f>IFERROR(__xludf.DUMMYFUNCTION("""COMPUTED_VALUE"""),362.3)</f>
        <v>362.3</v>
      </c>
      <c r="F37" s="6">
        <f>IFERROR(__xludf.DUMMYFUNCTION("""COMPUTED_VALUE"""),3.0606073E7)</f>
        <v>30606073</v>
      </c>
    </row>
    <row r="38">
      <c r="A38" s="7">
        <f>IFERROR(__xludf.DUMMYFUNCTION("""COMPUTED_VALUE"""),45443.64583333333)</f>
        <v>45443.64583</v>
      </c>
      <c r="B38" s="6">
        <f>IFERROR(__xludf.DUMMYFUNCTION("""COMPUTED_VALUE"""),362.17)</f>
        <v>362.17</v>
      </c>
      <c r="C38" s="6">
        <f>IFERROR(__xludf.DUMMYFUNCTION("""COMPUTED_VALUE"""),376.0)</f>
        <v>376</v>
      </c>
      <c r="D38" s="6">
        <f>IFERROR(__xludf.DUMMYFUNCTION("""COMPUTED_VALUE"""),353.6)</f>
        <v>353.6</v>
      </c>
      <c r="E38" s="6">
        <f>IFERROR(__xludf.DUMMYFUNCTION("""COMPUTED_VALUE"""),358.23)</f>
        <v>358.23</v>
      </c>
      <c r="F38" s="6">
        <f>IFERROR(__xludf.DUMMYFUNCTION("""COMPUTED_VALUE"""),3.285512E7)</f>
        <v>32855120</v>
      </c>
    </row>
    <row r="39">
      <c r="A39" s="7">
        <f>IFERROR(__xludf.DUMMYFUNCTION("""COMPUTED_VALUE"""),45450.64583333333)</f>
        <v>45450.64583</v>
      </c>
      <c r="B39" s="6">
        <f>IFERROR(__xludf.DUMMYFUNCTION("""COMPUTED_VALUE"""),383.33)</f>
        <v>383.33</v>
      </c>
      <c r="C39" s="6">
        <f>IFERROR(__xludf.DUMMYFUNCTION("""COMPUTED_VALUE"""),396.53)</f>
        <v>396.53</v>
      </c>
      <c r="D39" s="6">
        <f>IFERROR(__xludf.DUMMYFUNCTION("""COMPUTED_VALUE"""),308.0)</f>
        <v>308</v>
      </c>
      <c r="E39" s="6">
        <f>IFERROR(__xludf.DUMMYFUNCTION("""COMPUTED_VALUE"""),349.23)</f>
        <v>349.23</v>
      </c>
      <c r="F39" s="6">
        <f>IFERROR(__xludf.DUMMYFUNCTION("""COMPUTED_VALUE"""),6.4243567E7)</f>
        <v>64243567</v>
      </c>
    </row>
    <row r="40">
      <c r="A40" s="7">
        <f>IFERROR(__xludf.DUMMYFUNCTION("""COMPUTED_VALUE"""),45457.64583333333)</f>
        <v>45457.64583</v>
      </c>
      <c r="B40" s="6">
        <f>IFERROR(__xludf.DUMMYFUNCTION("""COMPUTED_VALUE"""),353.33)</f>
        <v>353.33</v>
      </c>
      <c r="C40" s="6">
        <f>IFERROR(__xludf.DUMMYFUNCTION("""COMPUTED_VALUE"""),362.5)</f>
        <v>362.5</v>
      </c>
      <c r="D40" s="6">
        <f>IFERROR(__xludf.DUMMYFUNCTION("""COMPUTED_VALUE"""),344.17)</f>
        <v>344.17</v>
      </c>
      <c r="E40" s="6">
        <f>IFERROR(__xludf.DUMMYFUNCTION("""COMPUTED_VALUE"""),357.53)</f>
        <v>357.53</v>
      </c>
      <c r="F40" s="6">
        <f>IFERROR(__xludf.DUMMYFUNCTION("""COMPUTED_VALUE"""),3.2908273E7)</f>
        <v>32908273</v>
      </c>
    </row>
    <row r="41">
      <c r="A41" s="7">
        <f>IFERROR(__xludf.DUMMYFUNCTION("""COMPUTED_VALUE"""),45464.64583333333)</f>
        <v>45464.64583</v>
      </c>
      <c r="B41" s="6">
        <f>IFERROR(__xludf.DUMMYFUNCTION("""COMPUTED_VALUE"""),361.27)</f>
        <v>361.27</v>
      </c>
      <c r="C41" s="6">
        <f>IFERROR(__xludf.DUMMYFUNCTION("""COMPUTED_VALUE"""),361.47)</f>
        <v>361.47</v>
      </c>
      <c r="D41" s="6">
        <f>IFERROR(__xludf.DUMMYFUNCTION("""COMPUTED_VALUE"""),336.0)</f>
        <v>336</v>
      </c>
      <c r="E41" s="6">
        <f>IFERROR(__xludf.DUMMYFUNCTION("""COMPUTED_VALUE"""),340.85)</f>
        <v>340.85</v>
      </c>
      <c r="F41" s="6">
        <f>IFERROR(__xludf.DUMMYFUNCTION("""COMPUTED_VALUE"""),3.1070924E7)</f>
        <v>31070924</v>
      </c>
    </row>
    <row r="42">
      <c r="A42" s="7">
        <f>IFERROR(__xludf.DUMMYFUNCTION("""COMPUTED_VALUE"""),45471.64583333333)</f>
        <v>45471.64583</v>
      </c>
      <c r="B42" s="6">
        <f>IFERROR(__xludf.DUMMYFUNCTION("""COMPUTED_VALUE"""),341.3)</f>
        <v>341.3</v>
      </c>
      <c r="C42" s="6">
        <f>IFERROR(__xludf.DUMMYFUNCTION("""COMPUTED_VALUE"""),344.85)</f>
        <v>344.85</v>
      </c>
      <c r="D42" s="6">
        <f>IFERROR(__xludf.DUMMYFUNCTION("""COMPUTED_VALUE"""),327.0)</f>
        <v>327</v>
      </c>
      <c r="E42" s="6">
        <f>IFERROR(__xludf.DUMMYFUNCTION("""COMPUTED_VALUE"""),332.1)</f>
        <v>332.1</v>
      </c>
      <c r="F42" s="6">
        <f>IFERROR(__xludf.DUMMYFUNCTION("""COMPUTED_VALUE"""),2.6768319E7)</f>
        <v>26768319</v>
      </c>
    </row>
    <row r="43">
      <c r="A43" s="7">
        <f>IFERROR(__xludf.DUMMYFUNCTION("""COMPUTED_VALUE"""),45478.64583333333)</f>
        <v>45478.64583</v>
      </c>
      <c r="B43" s="6">
        <f>IFERROR(__xludf.DUMMYFUNCTION("""COMPUTED_VALUE"""),331.3)</f>
        <v>331.3</v>
      </c>
      <c r="C43" s="6">
        <f>IFERROR(__xludf.DUMMYFUNCTION("""COMPUTED_VALUE"""),334.55)</f>
        <v>334.55</v>
      </c>
      <c r="D43" s="6">
        <f>IFERROR(__xludf.DUMMYFUNCTION("""COMPUTED_VALUE"""),324.25)</f>
        <v>324.25</v>
      </c>
      <c r="E43" s="6">
        <f>IFERROR(__xludf.DUMMYFUNCTION("""COMPUTED_VALUE"""),332.45)</f>
        <v>332.45</v>
      </c>
      <c r="F43" s="6">
        <f>IFERROR(__xludf.DUMMYFUNCTION("""COMPUTED_VALUE"""),2.494313E7)</f>
        <v>24943130</v>
      </c>
    </row>
    <row r="44">
      <c r="A44" s="7">
        <f>IFERROR(__xludf.DUMMYFUNCTION("""COMPUTED_VALUE"""),45485.64583333333)</f>
        <v>45485.64583</v>
      </c>
      <c r="B44" s="6">
        <f>IFERROR(__xludf.DUMMYFUNCTION("""COMPUTED_VALUE"""),332.55)</f>
        <v>332.55</v>
      </c>
      <c r="C44" s="6">
        <f>IFERROR(__xludf.DUMMYFUNCTION("""COMPUTED_VALUE"""),353.9)</f>
        <v>353.9</v>
      </c>
      <c r="D44" s="6">
        <f>IFERROR(__xludf.DUMMYFUNCTION("""COMPUTED_VALUE"""),323.0)</f>
        <v>323</v>
      </c>
      <c r="E44" s="6">
        <f>IFERROR(__xludf.DUMMYFUNCTION("""COMPUTED_VALUE"""),342.15)</f>
        <v>342.15</v>
      </c>
      <c r="F44" s="6">
        <f>IFERROR(__xludf.DUMMYFUNCTION("""COMPUTED_VALUE"""),4.6893117E7)</f>
        <v>46893117</v>
      </c>
    </row>
    <row r="45">
      <c r="A45" s="7">
        <f>IFERROR(__xludf.DUMMYFUNCTION("""COMPUTED_VALUE"""),45492.64583333333)</f>
        <v>45492.64583</v>
      </c>
      <c r="B45" s="6">
        <f>IFERROR(__xludf.DUMMYFUNCTION("""COMPUTED_VALUE"""),344.75)</f>
        <v>344.75</v>
      </c>
      <c r="C45" s="6">
        <f>IFERROR(__xludf.DUMMYFUNCTION("""COMPUTED_VALUE"""),365.0)</f>
        <v>365</v>
      </c>
      <c r="D45" s="6">
        <f>IFERROR(__xludf.DUMMYFUNCTION("""COMPUTED_VALUE"""),340.6)</f>
        <v>340.6</v>
      </c>
      <c r="E45" s="6">
        <f>IFERROR(__xludf.DUMMYFUNCTION("""COMPUTED_VALUE"""),341.65)</f>
        <v>341.65</v>
      </c>
      <c r="F45" s="6">
        <f>IFERROR(__xludf.DUMMYFUNCTION("""COMPUTED_VALUE"""),4.2500669E7)</f>
        <v>42500669</v>
      </c>
    </row>
    <row r="46">
      <c r="A46" s="7">
        <f>IFERROR(__xludf.DUMMYFUNCTION("""COMPUTED_VALUE"""),45499.64583333333)</f>
        <v>45499.64583</v>
      </c>
      <c r="B46" s="6">
        <f>IFERROR(__xludf.DUMMYFUNCTION("""COMPUTED_VALUE"""),341.85)</f>
        <v>341.85</v>
      </c>
      <c r="C46" s="6">
        <f>IFERROR(__xludf.DUMMYFUNCTION("""COMPUTED_VALUE"""),379.5)</f>
        <v>379.5</v>
      </c>
      <c r="D46" s="6">
        <f>IFERROR(__xludf.DUMMYFUNCTION("""COMPUTED_VALUE"""),329.5)</f>
        <v>329.5</v>
      </c>
      <c r="E46" s="6">
        <f>IFERROR(__xludf.DUMMYFUNCTION("""COMPUTED_VALUE"""),376.55)</f>
        <v>376.55</v>
      </c>
      <c r="F46" s="6">
        <f>IFERROR(__xludf.DUMMYFUNCTION("""COMPUTED_VALUE"""),6.1017432E7)</f>
        <v>61017432</v>
      </c>
    </row>
    <row r="47">
      <c r="A47" s="7">
        <f>IFERROR(__xludf.DUMMYFUNCTION("""COMPUTED_VALUE"""),45506.64583333333)</f>
        <v>45506.64583</v>
      </c>
      <c r="B47" s="6">
        <f>IFERROR(__xludf.DUMMYFUNCTION("""COMPUTED_VALUE"""),386.0)</f>
        <v>386</v>
      </c>
      <c r="C47" s="6">
        <f>IFERROR(__xludf.DUMMYFUNCTION("""COMPUTED_VALUE"""),406.6)</f>
        <v>406.6</v>
      </c>
      <c r="D47" s="6">
        <f>IFERROR(__xludf.DUMMYFUNCTION("""COMPUTED_VALUE"""),370.1)</f>
        <v>370.1</v>
      </c>
      <c r="E47" s="6">
        <f>IFERROR(__xludf.DUMMYFUNCTION("""COMPUTED_VALUE"""),389.25)</f>
        <v>389.25</v>
      </c>
      <c r="F47" s="6">
        <f>IFERROR(__xludf.DUMMYFUNCTION("""COMPUTED_VALUE"""),8.8288118E7)</f>
        <v>88288118</v>
      </c>
    </row>
    <row r="48">
      <c r="A48" s="7">
        <f>IFERROR(__xludf.DUMMYFUNCTION("""COMPUTED_VALUE"""),45513.64583333333)</f>
        <v>45513.64583</v>
      </c>
      <c r="B48" s="6">
        <f>IFERROR(__xludf.DUMMYFUNCTION("""COMPUTED_VALUE"""),387.0)</f>
        <v>387</v>
      </c>
      <c r="C48" s="6">
        <f>IFERROR(__xludf.DUMMYFUNCTION("""COMPUTED_VALUE"""),403.5)</f>
        <v>403.5</v>
      </c>
      <c r="D48" s="6">
        <f>IFERROR(__xludf.DUMMYFUNCTION("""COMPUTED_VALUE"""),374.05)</f>
        <v>374.05</v>
      </c>
      <c r="E48" s="6">
        <f>IFERROR(__xludf.DUMMYFUNCTION("""COMPUTED_VALUE"""),376.65)</f>
        <v>376.65</v>
      </c>
      <c r="F48" s="6">
        <f>IFERROR(__xludf.DUMMYFUNCTION("""COMPUTED_VALUE"""),6.5978353E7)</f>
        <v>65978353</v>
      </c>
    </row>
    <row r="49">
      <c r="A49" s="7">
        <f>IFERROR(__xludf.DUMMYFUNCTION("""COMPUTED_VALUE"""),45520.64583333333)</f>
        <v>45520.64583</v>
      </c>
      <c r="B49" s="6">
        <f>IFERROR(__xludf.DUMMYFUNCTION("""COMPUTED_VALUE"""),375.0)</f>
        <v>375</v>
      </c>
      <c r="C49" s="6">
        <f>IFERROR(__xludf.DUMMYFUNCTION("""COMPUTED_VALUE"""),383.5)</f>
        <v>383.5</v>
      </c>
      <c r="D49" s="6">
        <f>IFERROR(__xludf.DUMMYFUNCTION("""COMPUTED_VALUE"""),363.95)</f>
        <v>363.95</v>
      </c>
      <c r="E49" s="6">
        <f>IFERROR(__xludf.DUMMYFUNCTION("""COMPUTED_VALUE"""),379.85)</f>
        <v>379.85</v>
      </c>
      <c r="F49" s="6">
        <f>IFERROR(__xludf.DUMMYFUNCTION("""COMPUTED_VALUE"""),3.7849831E7)</f>
        <v>37849831</v>
      </c>
    </row>
    <row r="50">
      <c r="A50" s="7">
        <f>IFERROR(__xludf.DUMMYFUNCTION("""COMPUTED_VALUE"""),45527.64583333333)</f>
        <v>45527.64583</v>
      </c>
      <c r="B50" s="6">
        <f>IFERROR(__xludf.DUMMYFUNCTION("""COMPUTED_VALUE"""),385.0)</f>
        <v>385</v>
      </c>
      <c r="C50" s="6">
        <f>IFERROR(__xludf.DUMMYFUNCTION("""COMPUTED_VALUE"""),414.65)</f>
        <v>414.65</v>
      </c>
      <c r="D50" s="6">
        <f>IFERROR(__xludf.DUMMYFUNCTION("""COMPUTED_VALUE"""),383.55)</f>
        <v>383.55</v>
      </c>
      <c r="E50" s="6">
        <f>IFERROR(__xludf.DUMMYFUNCTION("""COMPUTED_VALUE"""),405.5)</f>
        <v>405.5</v>
      </c>
      <c r="F50" s="6">
        <f>IFERROR(__xludf.DUMMYFUNCTION("""COMPUTED_VALUE"""),6.1290971E7)</f>
        <v>61290971</v>
      </c>
    </row>
    <row r="51">
      <c r="A51" s="7">
        <f>IFERROR(__xludf.DUMMYFUNCTION("""COMPUTED_VALUE"""),45534.64583333333)</f>
        <v>45534.64583</v>
      </c>
      <c r="B51" s="6">
        <f>IFERROR(__xludf.DUMMYFUNCTION("""COMPUTED_VALUE"""),408.1)</f>
        <v>408.1</v>
      </c>
      <c r="C51" s="6">
        <f>IFERROR(__xludf.DUMMYFUNCTION("""COMPUTED_VALUE"""),425.25)</f>
        <v>425.25</v>
      </c>
      <c r="D51" s="6">
        <f>IFERROR(__xludf.DUMMYFUNCTION("""COMPUTED_VALUE"""),397.3)</f>
        <v>397.3</v>
      </c>
      <c r="E51" s="6">
        <f>IFERROR(__xludf.DUMMYFUNCTION("""COMPUTED_VALUE"""),419.05)</f>
        <v>419.05</v>
      </c>
      <c r="F51" s="6">
        <f>IFERROR(__xludf.DUMMYFUNCTION("""COMPUTED_VALUE"""),4.6437716E7)</f>
        <v>46437716</v>
      </c>
    </row>
    <row r="52">
      <c r="A52" s="7">
        <f>IFERROR(__xludf.DUMMYFUNCTION("""COMPUTED_VALUE"""),45541.64583333333)</f>
        <v>45541.64583</v>
      </c>
      <c r="B52" s="6">
        <f>IFERROR(__xludf.DUMMYFUNCTION("""COMPUTED_VALUE"""),425.0)</f>
        <v>425</v>
      </c>
      <c r="C52" s="6">
        <f>IFERROR(__xludf.DUMMYFUNCTION("""COMPUTED_VALUE"""),457.15)</f>
        <v>457.15</v>
      </c>
      <c r="D52" s="6">
        <f>IFERROR(__xludf.DUMMYFUNCTION("""COMPUTED_VALUE"""),421.1)</f>
        <v>421.1</v>
      </c>
      <c r="E52" s="6">
        <f>IFERROR(__xludf.DUMMYFUNCTION("""COMPUTED_VALUE"""),434.4)</f>
        <v>434.4</v>
      </c>
      <c r="F52" s="6">
        <f>IFERROR(__xludf.DUMMYFUNCTION("""COMPUTED_VALUE"""),7.1241671E7)</f>
        <v>71241671</v>
      </c>
    </row>
    <row r="53">
      <c r="A53" s="7">
        <f>IFERROR(__xludf.DUMMYFUNCTION("""COMPUTED_VALUE"""),45548.64583333333)</f>
        <v>45548.64583</v>
      </c>
      <c r="B53" s="6">
        <f>IFERROR(__xludf.DUMMYFUNCTION("""COMPUTED_VALUE"""),434.4)</f>
        <v>434.4</v>
      </c>
      <c r="C53" s="6">
        <f>IFERROR(__xludf.DUMMYFUNCTION("""COMPUTED_VALUE"""),435.95)</f>
        <v>435.95</v>
      </c>
      <c r="D53" s="6">
        <f>IFERROR(__xludf.DUMMYFUNCTION("""COMPUTED_VALUE"""),406.7)</f>
        <v>406.7</v>
      </c>
      <c r="E53" s="6">
        <f>IFERROR(__xludf.DUMMYFUNCTION("""COMPUTED_VALUE"""),410.9)</f>
        <v>410.9</v>
      </c>
      <c r="F53" s="6">
        <f>IFERROR(__xludf.DUMMYFUNCTION("""COMPUTED_VALUE"""),4.4647688E7)</f>
        <v>44647688</v>
      </c>
    </row>
    <row r="54">
      <c r="A54" s="7">
        <f>IFERROR(__xludf.DUMMYFUNCTION("""COMPUTED_VALUE"""),45555.64583333333)</f>
        <v>45555.64583</v>
      </c>
      <c r="B54" s="6">
        <f>IFERROR(__xludf.DUMMYFUNCTION("""COMPUTED_VALUE"""),411.0)</f>
        <v>411</v>
      </c>
      <c r="C54" s="6">
        <f>IFERROR(__xludf.DUMMYFUNCTION("""COMPUTED_VALUE"""),413.8)</f>
        <v>413.8</v>
      </c>
      <c r="D54" s="6">
        <f>IFERROR(__xludf.DUMMYFUNCTION("""COMPUTED_VALUE"""),392.0)</f>
        <v>392</v>
      </c>
      <c r="E54" s="6">
        <f>IFERROR(__xludf.DUMMYFUNCTION("""COMPUTED_VALUE"""),398.75)</f>
        <v>398.75</v>
      </c>
      <c r="F54" s="6">
        <f>IFERROR(__xludf.DUMMYFUNCTION("""COMPUTED_VALUE"""),2.3668918E7)</f>
        <v>23668918</v>
      </c>
    </row>
    <row r="55">
      <c r="A55" s="7">
        <f>IFERROR(__xludf.DUMMYFUNCTION("""COMPUTED_VALUE"""),45562.64583333333)</f>
        <v>45562.64583</v>
      </c>
      <c r="B55" s="6">
        <f>IFERROR(__xludf.DUMMYFUNCTION("""COMPUTED_VALUE"""),399.5)</f>
        <v>399.5</v>
      </c>
      <c r="C55" s="6">
        <f>IFERROR(__xludf.DUMMYFUNCTION("""COMPUTED_VALUE"""),439.8)</f>
        <v>439.8</v>
      </c>
      <c r="D55" s="6">
        <f>IFERROR(__xludf.DUMMYFUNCTION("""COMPUTED_VALUE"""),396.65)</f>
        <v>396.65</v>
      </c>
      <c r="E55" s="6">
        <f>IFERROR(__xludf.DUMMYFUNCTION("""COMPUTED_VALUE"""),437.95)</f>
        <v>437.95</v>
      </c>
      <c r="F55" s="6">
        <f>IFERROR(__xludf.DUMMYFUNCTION("""COMPUTED_VALUE"""),3.7301822E7)</f>
        <v>37301822</v>
      </c>
    </row>
    <row r="56">
      <c r="A56" s="7">
        <f>IFERROR(__xludf.DUMMYFUNCTION("""COMPUTED_VALUE"""),45569.64583333333)</f>
        <v>45569.64583</v>
      </c>
      <c r="B56" s="6">
        <f>IFERROR(__xludf.DUMMYFUNCTION("""COMPUTED_VALUE"""),436.0)</f>
        <v>436</v>
      </c>
      <c r="C56" s="6">
        <f>IFERROR(__xludf.DUMMYFUNCTION("""COMPUTED_VALUE"""),446.95)</f>
        <v>446.95</v>
      </c>
      <c r="D56" s="6">
        <f>IFERROR(__xludf.DUMMYFUNCTION("""COMPUTED_VALUE"""),395.1)</f>
        <v>395.1</v>
      </c>
      <c r="E56" s="6">
        <f>IFERROR(__xludf.DUMMYFUNCTION("""COMPUTED_VALUE"""),406.9)</f>
        <v>406.9</v>
      </c>
      <c r="F56" s="6">
        <f>IFERROR(__xludf.DUMMYFUNCTION("""COMPUTED_VALUE"""),3.9998796E7)</f>
        <v>39998796</v>
      </c>
    </row>
    <row r="57">
      <c r="A57" s="7">
        <f>IFERROR(__xludf.DUMMYFUNCTION("""COMPUTED_VALUE"""),45576.64583333333)</f>
        <v>45576.64583</v>
      </c>
      <c r="B57" s="6">
        <f>IFERROR(__xludf.DUMMYFUNCTION("""COMPUTED_VALUE"""),407.2)</f>
        <v>407.2</v>
      </c>
      <c r="C57" s="6">
        <f>IFERROR(__xludf.DUMMYFUNCTION("""COMPUTED_VALUE"""),413.0)</f>
        <v>413</v>
      </c>
      <c r="D57" s="6">
        <f>IFERROR(__xludf.DUMMYFUNCTION("""COMPUTED_VALUE"""),381.5)</f>
        <v>381.5</v>
      </c>
      <c r="E57" s="6">
        <f>IFERROR(__xludf.DUMMYFUNCTION("""COMPUTED_VALUE"""),395.5)</f>
        <v>395.5</v>
      </c>
      <c r="F57" s="6">
        <f>IFERROR(__xludf.DUMMYFUNCTION("""COMPUTED_VALUE"""),3.6739901E7)</f>
        <v>36739901</v>
      </c>
    </row>
    <row r="58">
      <c r="A58" s="7">
        <f>IFERROR(__xludf.DUMMYFUNCTION("""COMPUTED_VALUE"""),45583.64583333333)</f>
        <v>45583.64583</v>
      </c>
      <c r="B58" s="6">
        <f>IFERROR(__xludf.DUMMYFUNCTION("""COMPUTED_VALUE"""),397.5)</f>
        <v>397.5</v>
      </c>
      <c r="C58" s="6">
        <f>IFERROR(__xludf.DUMMYFUNCTION("""COMPUTED_VALUE"""),439.0)</f>
        <v>439</v>
      </c>
      <c r="D58" s="6">
        <f>IFERROR(__xludf.DUMMYFUNCTION("""COMPUTED_VALUE"""),396.05)</f>
        <v>396.05</v>
      </c>
      <c r="E58" s="6">
        <f>IFERROR(__xludf.DUMMYFUNCTION("""COMPUTED_VALUE"""),431.6)</f>
        <v>431.6</v>
      </c>
      <c r="F58" s="6">
        <f>IFERROR(__xludf.DUMMYFUNCTION("""COMPUTED_VALUE"""),5.6067487E7)</f>
        <v>56067487</v>
      </c>
    </row>
    <row r="59">
      <c r="A59" s="7">
        <f>IFERROR(__xludf.DUMMYFUNCTION("""COMPUTED_VALUE"""),45590.64583333333)</f>
        <v>45590.64583</v>
      </c>
      <c r="B59" s="6">
        <f>IFERROR(__xludf.DUMMYFUNCTION("""COMPUTED_VALUE"""),433.0)</f>
        <v>433</v>
      </c>
      <c r="C59" s="6">
        <f>IFERROR(__xludf.DUMMYFUNCTION("""COMPUTED_VALUE"""),436.3)</f>
        <v>436.3</v>
      </c>
      <c r="D59" s="6">
        <f>IFERROR(__xludf.DUMMYFUNCTION("""COMPUTED_VALUE"""),370.65)</f>
        <v>370.65</v>
      </c>
      <c r="E59" s="6">
        <f>IFERROR(__xludf.DUMMYFUNCTION("""COMPUTED_VALUE"""),372.4)</f>
        <v>372.4</v>
      </c>
      <c r="F59" s="6">
        <f>IFERROR(__xludf.DUMMYFUNCTION("""COMPUTED_VALUE"""),3.5220841E7)</f>
        <v>35220841</v>
      </c>
    </row>
    <row r="60">
      <c r="A60" s="7">
        <f>IFERROR(__xludf.DUMMYFUNCTION("""COMPUTED_VALUE"""),45604.64583333333)</f>
        <v>45604.64583</v>
      </c>
      <c r="B60" s="6">
        <f>IFERROR(__xludf.DUMMYFUNCTION("""COMPUTED_VALUE"""),382.0)</f>
        <v>382</v>
      </c>
      <c r="C60" s="6">
        <f>IFERROR(__xludf.DUMMYFUNCTION("""COMPUTED_VALUE"""),400.0)</f>
        <v>400</v>
      </c>
      <c r="D60" s="6">
        <f>IFERROR(__xludf.DUMMYFUNCTION("""COMPUTED_VALUE"""),362.25)</f>
        <v>362.25</v>
      </c>
      <c r="E60" s="6">
        <f>IFERROR(__xludf.DUMMYFUNCTION("""COMPUTED_VALUE"""),383.05)</f>
        <v>383.05</v>
      </c>
      <c r="F60" s="6">
        <f>IFERROR(__xludf.DUMMYFUNCTION("""COMPUTED_VALUE"""),3.6213783E7)</f>
        <v>36213783</v>
      </c>
    </row>
    <row r="61">
      <c r="A61" s="7">
        <f>IFERROR(__xludf.DUMMYFUNCTION("""COMPUTED_VALUE"""),45610.64583333333)</f>
        <v>45610.64583</v>
      </c>
      <c r="B61" s="6">
        <f>IFERROR(__xludf.DUMMYFUNCTION("""COMPUTED_VALUE"""),383.0)</f>
        <v>383</v>
      </c>
      <c r="C61" s="6">
        <f>IFERROR(__xludf.DUMMYFUNCTION("""COMPUTED_VALUE"""),390.0)</f>
        <v>390</v>
      </c>
      <c r="D61" s="6">
        <f>IFERROR(__xludf.DUMMYFUNCTION("""COMPUTED_VALUE"""),365.45)</f>
        <v>365.45</v>
      </c>
      <c r="E61" s="6">
        <f>IFERROR(__xludf.DUMMYFUNCTION("""COMPUTED_VALUE"""),372.4)</f>
        <v>372.4</v>
      </c>
      <c r="F61" s="6">
        <f>IFERROR(__xludf.DUMMYFUNCTION("""COMPUTED_VALUE"""),2.2869779E7)</f>
        <v>22869779</v>
      </c>
    </row>
    <row r="62">
      <c r="A62" s="7">
        <f>IFERROR(__xludf.DUMMYFUNCTION("""COMPUTED_VALUE"""),45618.64583333333)</f>
        <v>45618.64583</v>
      </c>
      <c r="B62" s="6">
        <f>IFERROR(__xludf.DUMMYFUNCTION("""COMPUTED_VALUE"""),372.4)</f>
        <v>372.4</v>
      </c>
      <c r="C62" s="6">
        <f>IFERROR(__xludf.DUMMYFUNCTION("""COMPUTED_VALUE"""),375.75)</f>
        <v>375.75</v>
      </c>
      <c r="D62" s="6">
        <f>IFERROR(__xludf.DUMMYFUNCTION("""COMPUTED_VALUE"""),354.9)</f>
        <v>354.9</v>
      </c>
      <c r="E62" s="6">
        <f>IFERROR(__xludf.DUMMYFUNCTION("""COMPUTED_VALUE"""),360.7)</f>
        <v>360.7</v>
      </c>
      <c r="F62" s="6">
        <f>IFERROR(__xludf.DUMMYFUNCTION("""COMPUTED_VALUE"""),1.491974E7)</f>
        <v>14919740</v>
      </c>
    </row>
    <row r="63">
      <c r="A63" s="7">
        <f>IFERROR(__xludf.DUMMYFUNCTION("""COMPUTED_VALUE"""),45625.64583333333)</f>
        <v>45625.64583</v>
      </c>
      <c r="B63" s="6">
        <f>IFERROR(__xludf.DUMMYFUNCTION("""COMPUTED_VALUE"""),368.95)</f>
        <v>368.95</v>
      </c>
      <c r="C63" s="6">
        <f>IFERROR(__xludf.DUMMYFUNCTION("""COMPUTED_VALUE"""),389.7)</f>
        <v>389.7</v>
      </c>
      <c r="D63" s="6">
        <f>IFERROR(__xludf.DUMMYFUNCTION("""COMPUTED_VALUE"""),367.95)</f>
        <v>367.95</v>
      </c>
      <c r="E63" s="6">
        <f>IFERROR(__xludf.DUMMYFUNCTION("""COMPUTED_VALUE"""),383.1)</f>
        <v>383.1</v>
      </c>
      <c r="F63" s="6">
        <f>IFERROR(__xludf.DUMMYFUNCTION("""COMPUTED_VALUE"""),2.9115886E7)</f>
        <v>29115886</v>
      </c>
    </row>
    <row r="64">
      <c r="A64" s="7">
        <f>IFERROR(__xludf.DUMMYFUNCTION("""COMPUTED_VALUE"""),45632.64583333333)</f>
        <v>45632.64583</v>
      </c>
      <c r="B64" s="6">
        <f>IFERROR(__xludf.DUMMYFUNCTION("""COMPUTED_VALUE"""),383.1)</f>
        <v>383.1</v>
      </c>
      <c r="C64" s="6">
        <f>IFERROR(__xludf.DUMMYFUNCTION("""COMPUTED_VALUE"""),402.25)</f>
        <v>402.25</v>
      </c>
      <c r="D64" s="6">
        <f>IFERROR(__xludf.DUMMYFUNCTION("""COMPUTED_VALUE"""),379.2)</f>
        <v>379.2</v>
      </c>
      <c r="E64" s="6">
        <f>IFERROR(__xludf.DUMMYFUNCTION("""COMPUTED_VALUE"""),399.2)</f>
        <v>399.2</v>
      </c>
      <c r="F64" s="6">
        <f>IFERROR(__xludf.DUMMYFUNCTION("""COMPUTED_VALUE"""),2.2841057E7)</f>
        <v>22841057</v>
      </c>
    </row>
    <row r="65">
      <c r="A65" s="7">
        <f>IFERROR(__xludf.DUMMYFUNCTION("""COMPUTED_VALUE"""),45639.64583333333)</f>
        <v>45639.64583</v>
      </c>
      <c r="B65" s="6">
        <f>IFERROR(__xludf.DUMMYFUNCTION("""COMPUTED_VALUE"""),399.05)</f>
        <v>399.05</v>
      </c>
      <c r="C65" s="6">
        <f>IFERROR(__xludf.DUMMYFUNCTION("""COMPUTED_VALUE"""),418.05)</f>
        <v>418.05</v>
      </c>
      <c r="D65" s="6">
        <f>IFERROR(__xludf.DUMMYFUNCTION("""COMPUTED_VALUE"""),397.25)</f>
        <v>397.25</v>
      </c>
      <c r="E65" s="6">
        <f>IFERROR(__xludf.DUMMYFUNCTION("""COMPUTED_VALUE"""),415.05)</f>
        <v>415.05</v>
      </c>
      <c r="F65" s="6">
        <f>IFERROR(__xludf.DUMMYFUNCTION("""COMPUTED_VALUE"""),3.2148438E7)</f>
        <v>32148438</v>
      </c>
    </row>
    <row r="66">
      <c r="A66" s="7">
        <f>IFERROR(__xludf.DUMMYFUNCTION("""COMPUTED_VALUE"""),45646.64583333333)</f>
        <v>45646.64583</v>
      </c>
      <c r="B66" s="6">
        <f>IFERROR(__xludf.DUMMYFUNCTION("""COMPUTED_VALUE"""),414.9)</f>
        <v>414.9</v>
      </c>
      <c r="C66" s="6">
        <f>IFERROR(__xludf.DUMMYFUNCTION("""COMPUTED_VALUE"""),419.0)</f>
        <v>419</v>
      </c>
      <c r="D66" s="6">
        <f>IFERROR(__xludf.DUMMYFUNCTION("""COMPUTED_VALUE"""),388.85)</f>
        <v>388.85</v>
      </c>
      <c r="E66" s="6">
        <f>IFERROR(__xludf.DUMMYFUNCTION("""COMPUTED_VALUE"""),399.5)</f>
        <v>399.5</v>
      </c>
      <c r="F66" s="6">
        <f>IFERROR(__xludf.DUMMYFUNCTION("""COMPUTED_VALUE"""),3.0645121E7)</f>
        <v>30645121</v>
      </c>
    </row>
    <row r="67">
      <c r="A67" s="7">
        <f>IFERROR(__xludf.DUMMYFUNCTION("""COMPUTED_VALUE"""),45653.64583333333)</f>
        <v>45653.64583</v>
      </c>
      <c r="B67" s="6">
        <f>IFERROR(__xludf.DUMMYFUNCTION("""COMPUTED_VALUE"""),400.05)</f>
        <v>400.05</v>
      </c>
      <c r="C67" s="6">
        <f>IFERROR(__xludf.DUMMYFUNCTION("""COMPUTED_VALUE"""),421.5)</f>
        <v>421.5</v>
      </c>
      <c r="D67" s="6">
        <f>IFERROR(__xludf.DUMMYFUNCTION("""COMPUTED_VALUE"""),399.3)</f>
        <v>399.3</v>
      </c>
      <c r="E67" s="6">
        <f>IFERROR(__xludf.DUMMYFUNCTION("""COMPUTED_VALUE"""),410.7)</f>
        <v>410.7</v>
      </c>
      <c r="F67" s="6">
        <f>IFERROR(__xludf.DUMMYFUNCTION("""COMPUTED_VALUE"""),1.992816E7)</f>
        <v>19928160</v>
      </c>
    </row>
    <row r="68">
      <c r="A68" s="7">
        <f>IFERROR(__xludf.DUMMYFUNCTION("""COMPUTED_VALUE"""),45660.64583333333)</f>
        <v>45660.64583</v>
      </c>
      <c r="B68" s="6">
        <f>IFERROR(__xludf.DUMMYFUNCTION("""COMPUTED_VALUE"""),409.0)</f>
        <v>409</v>
      </c>
      <c r="C68" s="6">
        <f>IFERROR(__xludf.DUMMYFUNCTION("""COMPUTED_VALUE"""),417.1)</f>
        <v>417.1</v>
      </c>
      <c r="D68" s="6">
        <f>IFERROR(__xludf.DUMMYFUNCTION("""COMPUTED_VALUE"""),400.9)</f>
        <v>400.9</v>
      </c>
      <c r="E68" s="6">
        <f>IFERROR(__xludf.DUMMYFUNCTION("""COMPUTED_VALUE"""),413.05)</f>
        <v>413.05</v>
      </c>
      <c r="F68" s="6">
        <f>IFERROR(__xludf.DUMMYFUNCTION("""COMPUTED_VALUE"""),1.8576427E7)</f>
        <v>18576427</v>
      </c>
    </row>
    <row r="69">
      <c r="A69" s="7">
        <f>IFERROR(__xludf.DUMMYFUNCTION("""COMPUTED_VALUE"""),45667.64583333333)</f>
        <v>45667.64583</v>
      </c>
      <c r="B69" s="6">
        <f>IFERROR(__xludf.DUMMYFUNCTION("""COMPUTED_VALUE"""),413.05)</f>
        <v>413.05</v>
      </c>
      <c r="C69" s="6">
        <f>IFERROR(__xludf.DUMMYFUNCTION("""COMPUTED_VALUE"""),414.0)</f>
        <v>414</v>
      </c>
      <c r="D69" s="6">
        <f>IFERROR(__xludf.DUMMYFUNCTION("""COMPUTED_VALUE"""),379.55)</f>
        <v>379.55</v>
      </c>
      <c r="E69" s="6">
        <f>IFERROR(__xludf.DUMMYFUNCTION("""COMPUTED_VALUE"""),388.45)</f>
        <v>388.45</v>
      </c>
      <c r="F69" s="6">
        <f>IFERROR(__xludf.DUMMYFUNCTION("""COMPUTED_VALUE"""),1.787297E7)</f>
        <v>17872970</v>
      </c>
    </row>
    <row r="70">
      <c r="A70" s="7">
        <f>IFERROR(__xludf.DUMMYFUNCTION("""COMPUTED_VALUE"""),45674.64583333333)</f>
        <v>45674.64583</v>
      </c>
      <c r="B70" s="6">
        <f>IFERROR(__xludf.DUMMYFUNCTION("""COMPUTED_VALUE"""),376.55)</f>
        <v>376.55</v>
      </c>
      <c r="C70" s="6">
        <f>IFERROR(__xludf.DUMMYFUNCTION("""COMPUTED_VALUE"""),379.45)</f>
        <v>379.45</v>
      </c>
      <c r="D70" s="6">
        <f>IFERROR(__xludf.DUMMYFUNCTION("""COMPUTED_VALUE"""),355.2)</f>
        <v>355.2</v>
      </c>
      <c r="E70" s="6">
        <f>IFERROR(__xludf.DUMMYFUNCTION("""COMPUTED_VALUE"""),358.9)</f>
        <v>358.9</v>
      </c>
      <c r="F70" s="6">
        <f>IFERROR(__xludf.DUMMYFUNCTION("""COMPUTED_VALUE"""),2.9190126E7)</f>
        <v>29190126</v>
      </c>
    </row>
    <row r="71">
      <c r="A71" s="7">
        <f>IFERROR(__xludf.DUMMYFUNCTION("""COMPUTED_VALUE"""),45681.64583333333)</f>
        <v>45681.64583</v>
      </c>
      <c r="B71" s="6">
        <f>IFERROR(__xludf.DUMMYFUNCTION("""COMPUTED_VALUE"""),360.0)</f>
        <v>360</v>
      </c>
      <c r="C71" s="6">
        <f>IFERROR(__xludf.DUMMYFUNCTION("""COMPUTED_VALUE"""),379.95)</f>
        <v>379.95</v>
      </c>
      <c r="D71" s="6">
        <f>IFERROR(__xludf.DUMMYFUNCTION("""COMPUTED_VALUE"""),351.25)</f>
        <v>351.25</v>
      </c>
      <c r="E71" s="6">
        <f>IFERROR(__xludf.DUMMYFUNCTION("""COMPUTED_VALUE"""),352.85)</f>
        <v>352.85</v>
      </c>
      <c r="F71" s="6">
        <f>IFERROR(__xludf.DUMMYFUNCTION("""COMPUTED_VALUE"""),4.9216668E7)</f>
        <v>49216668</v>
      </c>
    </row>
    <row r="72">
      <c r="A72" s="7">
        <f>IFERROR(__xludf.DUMMYFUNCTION("""COMPUTED_VALUE"""),45695.64583333333)</f>
        <v>45695.64583</v>
      </c>
      <c r="B72" s="6">
        <f>IFERROR(__xludf.DUMMYFUNCTION("""COMPUTED_VALUE"""),330.0)</f>
        <v>330</v>
      </c>
      <c r="C72" s="6">
        <f>IFERROR(__xludf.DUMMYFUNCTION("""COMPUTED_VALUE"""),349.65)</f>
        <v>349.65</v>
      </c>
      <c r="D72" s="6">
        <f>IFERROR(__xludf.DUMMYFUNCTION("""COMPUTED_VALUE"""),318.7)</f>
        <v>318.7</v>
      </c>
      <c r="E72" s="6">
        <f>IFERROR(__xludf.DUMMYFUNCTION("""COMPUTED_VALUE"""),342.5)</f>
        <v>342.5</v>
      </c>
      <c r="F72" s="6">
        <f>IFERROR(__xludf.DUMMYFUNCTION("""COMPUTED_VALUE"""),4.5610434E7)</f>
        <v>45610434</v>
      </c>
    </row>
    <row r="73">
      <c r="A73" s="7">
        <f>IFERROR(__xludf.DUMMYFUNCTION("""COMPUTED_VALUE"""),45702.64583333333)</f>
        <v>45702.64583</v>
      </c>
      <c r="B73" s="6">
        <f>IFERROR(__xludf.DUMMYFUNCTION("""COMPUTED_VALUE"""),343.0)</f>
        <v>343</v>
      </c>
      <c r="C73" s="6">
        <f>IFERROR(__xludf.DUMMYFUNCTION("""COMPUTED_VALUE"""),344.0)</f>
        <v>344</v>
      </c>
      <c r="D73" s="6">
        <f>IFERROR(__xludf.DUMMYFUNCTION("""COMPUTED_VALUE"""),304.4)</f>
        <v>304.4</v>
      </c>
      <c r="E73" s="6">
        <f>IFERROR(__xludf.DUMMYFUNCTION("""COMPUTED_VALUE"""),312.35)</f>
        <v>312.35</v>
      </c>
      <c r="F73" s="6">
        <f>IFERROR(__xludf.DUMMYFUNCTION("""COMPUTED_VALUE"""),2.5995853E7)</f>
        <v>25995853</v>
      </c>
    </row>
    <row r="74">
      <c r="A74" s="7">
        <f>IFERROR(__xludf.DUMMYFUNCTION("""COMPUTED_VALUE"""),45709.64583333333)</f>
        <v>45709.64583</v>
      </c>
      <c r="B74" s="6">
        <f>IFERROR(__xludf.DUMMYFUNCTION("""COMPUTED_VALUE"""),312.65)</f>
        <v>312.65</v>
      </c>
      <c r="C74" s="6">
        <f>IFERROR(__xludf.DUMMYFUNCTION("""COMPUTED_VALUE"""),332.2)</f>
        <v>332.2</v>
      </c>
      <c r="D74" s="6">
        <f>IFERROR(__xludf.DUMMYFUNCTION("""COMPUTED_VALUE"""),303.25)</f>
        <v>303.25</v>
      </c>
      <c r="E74" s="6">
        <f>IFERROR(__xludf.DUMMYFUNCTION("""COMPUTED_VALUE"""),323.0)</f>
        <v>323</v>
      </c>
      <c r="F74" s="6">
        <f>IFERROR(__xludf.DUMMYFUNCTION("""COMPUTED_VALUE"""),1.2555088E7)</f>
        <v>12555088</v>
      </c>
    </row>
    <row r="75">
      <c r="A75" s="7">
        <f>IFERROR(__xludf.DUMMYFUNCTION("""COMPUTED_VALUE"""),45716.64583333333)</f>
        <v>45716.64583</v>
      </c>
      <c r="B75" s="6">
        <f>IFERROR(__xludf.DUMMYFUNCTION("""COMPUTED_VALUE"""),320.9)</f>
        <v>320.9</v>
      </c>
      <c r="C75" s="6">
        <f>IFERROR(__xludf.DUMMYFUNCTION("""COMPUTED_VALUE"""),325.5)</f>
        <v>325.5</v>
      </c>
      <c r="D75" s="6">
        <f>IFERROR(__xludf.DUMMYFUNCTION("""COMPUTED_VALUE"""),292.45)</f>
        <v>292.45</v>
      </c>
      <c r="E75" s="6">
        <f>IFERROR(__xludf.DUMMYFUNCTION("""COMPUTED_VALUE"""),293.75)</f>
        <v>293.75</v>
      </c>
      <c r="F75" s="6">
        <f>IFERROR(__xludf.DUMMYFUNCTION("""COMPUTED_VALUE"""),1.9046919E7)</f>
        <v>19046919</v>
      </c>
    </row>
    <row r="76">
      <c r="A76" s="7">
        <f>IFERROR(__xludf.DUMMYFUNCTION("""COMPUTED_VALUE"""),45723.64583333333)</f>
        <v>45723.64583</v>
      </c>
      <c r="B76" s="6">
        <f>IFERROR(__xludf.DUMMYFUNCTION("""COMPUTED_VALUE"""),295.0)</f>
        <v>295</v>
      </c>
      <c r="C76" s="6">
        <f>IFERROR(__xludf.DUMMYFUNCTION("""COMPUTED_VALUE"""),342.4)</f>
        <v>342.4</v>
      </c>
      <c r="D76" s="6">
        <f>IFERROR(__xludf.DUMMYFUNCTION("""COMPUTED_VALUE"""),287.55)</f>
        <v>287.55</v>
      </c>
      <c r="E76" s="6">
        <f>IFERROR(__xludf.DUMMYFUNCTION("""COMPUTED_VALUE"""),332.45)</f>
        <v>332.45</v>
      </c>
      <c r="F76" s="6">
        <f>IFERROR(__xludf.DUMMYFUNCTION("""COMPUTED_VALUE"""),4.0091673E7)</f>
        <v>40091673</v>
      </c>
    </row>
    <row r="77">
      <c r="A77" s="7">
        <f>IFERROR(__xludf.DUMMYFUNCTION("""COMPUTED_VALUE"""),45729.64583333333)</f>
        <v>45729.64583</v>
      </c>
      <c r="B77" s="6">
        <f>IFERROR(__xludf.DUMMYFUNCTION("""COMPUTED_VALUE"""),336.5)</f>
        <v>336.5</v>
      </c>
      <c r="C77" s="6">
        <f>IFERROR(__xludf.DUMMYFUNCTION("""COMPUTED_VALUE"""),344.0)</f>
        <v>344</v>
      </c>
      <c r="D77" s="6">
        <f>IFERROR(__xludf.DUMMYFUNCTION("""COMPUTED_VALUE"""),320.5)</f>
        <v>320.5</v>
      </c>
      <c r="E77" s="6">
        <f>IFERROR(__xludf.DUMMYFUNCTION("""COMPUTED_VALUE"""),323.7)</f>
        <v>323.7</v>
      </c>
      <c r="F77" s="6">
        <f>IFERROR(__xludf.DUMMYFUNCTION("""COMPUTED_VALUE"""),2.6620422E7)</f>
        <v>26620422</v>
      </c>
    </row>
    <row r="78">
      <c r="A78" s="7">
        <f>IFERROR(__xludf.DUMMYFUNCTION("""COMPUTED_VALUE"""),45737.64583333333)</f>
        <v>45737.64583</v>
      </c>
      <c r="B78" s="6">
        <f>IFERROR(__xludf.DUMMYFUNCTION("""COMPUTED_VALUE"""),325.85)</f>
        <v>325.85</v>
      </c>
      <c r="C78" s="6">
        <f>IFERROR(__xludf.DUMMYFUNCTION("""COMPUTED_VALUE"""),360.2)</f>
        <v>360.2</v>
      </c>
      <c r="D78" s="6">
        <f>IFERROR(__xludf.DUMMYFUNCTION("""COMPUTED_VALUE"""),319.5)</f>
        <v>319.5</v>
      </c>
      <c r="E78" s="6">
        <f>IFERROR(__xludf.DUMMYFUNCTION("""COMPUTED_VALUE"""),356.95)</f>
        <v>356.95</v>
      </c>
      <c r="F78" s="6">
        <f>IFERROR(__xludf.DUMMYFUNCTION("""COMPUTED_VALUE"""),3.7130106E7)</f>
        <v>37130106</v>
      </c>
    </row>
    <row r="79">
      <c r="A79" s="7">
        <f>IFERROR(__xludf.DUMMYFUNCTION("""COMPUTED_VALUE"""),45744.64583333333)</f>
        <v>45744.64583</v>
      </c>
      <c r="B79" s="6">
        <f>IFERROR(__xludf.DUMMYFUNCTION("""COMPUTED_VALUE"""),371.0)</f>
        <v>371</v>
      </c>
      <c r="C79" s="6">
        <f>IFERROR(__xludf.DUMMYFUNCTION("""COMPUTED_VALUE"""),372.0)</f>
        <v>372</v>
      </c>
      <c r="D79" s="6">
        <f>IFERROR(__xludf.DUMMYFUNCTION("""COMPUTED_VALUE"""),349.15)</f>
        <v>349.15</v>
      </c>
      <c r="E79" s="6">
        <f>IFERROR(__xludf.DUMMYFUNCTION("""COMPUTED_VALUE"""),360.35)</f>
        <v>360.35</v>
      </c>
      <c r="F79" s="6">
        <f>IFERROR(__xludf.DUMMYFUNCTION("""COMPUTED_VALUE"""),3.0112378E7)</f>
        <v>30112378</v>
      </c>
    </row>
    <row r="80">
      <c r="A80" s="7">
        <f>IFERROR(__xludf.DUMMYFUNCTION("""COMPUTED_VALUE"""),45751.64583333333)</f>
        <v>45751.64583</v>
      </c>
      <c r="B80" s="6">
        <f>IFERROR(__xludf.DUMMYFUNCTION("""COMPUTED_VALUE"""),354.8)</f>
        <v>354.8</v>
      </c>
      <c r="C80" s="6">
        <f>IFERROR(__xludf.DUMMYFUNCTION("""COMPUTED_VALUE"""),377.85)</f>
        <v>377.85</v>
      </c>
      <c r="D80" s="6">
        <f>IFERROR(__xludf.DUMMYFUNCTION("""COMPUTED_VALUE"""),349.6)</f>
        <v>349.6</v>
      </c>
      <c r="E80" s="6">
        <f>IFERROR(__xludf.DUMMYFUNCTION("""COMPUTED_VALUE"""),358.35)</f>
        <v>358.35</v>
      </c>
      <c r="F80" s="6">
        <f>IFERROR(__xludf.DUMMYFUNCTION("""COMPUTED_VALUE"""),2.6088694E7)</f>
        <v>26088694</v>
      </c>
    </row>
    <row r="81">
      <c r="A81" s="7">
        <f>IFERROR(__xludf.DUMMYFUNCTION("""COMPUTED_VALUE"""),45758.64583333333)</f>
        <v>45758.64583</v>
      </c>
      <c r="B81" s="6">
        <f>IFERROR(__xludf.DUMMYFUNCTION("""COMPUTED_VALUE"""),350.0)</f>
        <v>350</v>
      </c>
      <c r="C81" s="6">
        <f>IFERROR(__xludf.DUMMYFUNCTION("""COMPUTED_VALUE"""),386.75)</f>
        <v>386.75</v>
      </c>
      <c r="D81" s="6">
        <f>IFERROR(__xludf.DUMMYFUNCTION("""COMPUTED_VALUE"""),341.5)</f>
        <v>341.5</v>
      </c>
      <c r="E81" s="6">
        <f>IFERROR(__xludf.DUMMYFUNCTION("""COMPUTED_VALUE"""),382.2)</f>
        <v>382.2</v>
      </c>
      <c r="F81" s="6">
        <f>IFERROR(__xludf.DUMMYFUNCTION("""COMPUTED_VALUE"""),4.4464597E7)</f>
        <v>44464597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IFERROR(__xludf.DUMMYFUNCTION("""COMPUTED_VALUE"""),386.55)</f>
        <v>386.55</v>
      </c>
      <c r="C82" s="6">
        <f>IFERROR(__xludf.DUMMYFUNCTION("""COMPUTED_VALUE"""),391.3)</f>
        <v>391.3</v>
      </c>
      <c r="D82" s="6">
        <f>IFERROR(__xludf.DUMMYFUNCTION("""COMPUTED_VALUE"""),376.1)</f>
        <v>376.1</v>
      </c>
      <c r="E82" s="6">
        <f>IFERROR(__xludf.DUMMYFUNCTION("""COMPUTED_VALUE"""),387.7)</f>
        <v>387.7</v>
      </c>
      <c r="F82" s="6">
        <f>IFERROR(__xludf.DUMMYFUNCTION("""COMPUTED_VALUE"""),1.0661928E7)</f>
        <v>10661928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IFERROR(__xludf.DUMMYFUNCTION("""COMPUTED_VALUE"""),387.7)</f>
        <v>387.7</v>
      </c>
      <c r="C83" s="6">
        <f>IFERROR(__xludf.DUMMYFUNCTION("""COMPUTED_VALUE"""),402.25)</f>
        <v>402.25</v>
      </c>
      <c r="D83" s="6">
        <f>IFERROR(__xludf.DUMMYFUNCTION("""COMPUTED_VALUE"""),378.25)</f>
        <v>378.25</v>
      </c>
      <c r="E83" s="6">
        <f>IFERROR(__xludf.DUMMYFUNCTION("""COMPUTED_VALUE"""),380.7)</f>
        <v>380.7</v>
      </c>
      <c r="F83" s="6">
        <f>IFERROR(__xludf.DUMMYFUNCTION("""COMPUTED_VALUE"""),2.0148368E7)</f>
        <v>20148368</v>
      </c>
    </row>
    <row r="84">
      <c r="A84" s="7">
        <f>IFERROR(__xludf.DUMMYFUNCTION("""COMPUTED_VALUE"""),45779.64583333333)</f>
        <v>45779.64583</v>
      </c>
      <c r="B84" s="6">
        <f>IFERROR(__xludf.DUMMYFUNCTION("""COMPUTED_VALUE"""),377.0)</f>
        <v>377</v>
      </c>
      <c r="C84" s="6">
        <f>IFERROR(__xludf.DUMMYFUNCTION("""COMPUTED_VALUE"""),402.75)</f>
        <v>402.75</v>
      </c>
      <c r="D84" s="6">
        <f>IFERROR(__xludf.DUMMYFUNCTION("""COMPUTED_VALUE"""),374.5)</f>
        <v>374.5</v>
      </c>
      <c r="E84" s="6">
        <f>IFERROR(__xludf.DUMMYFUNCTION("""COMPUTED_VALUE"""),385.05)</f>
        <v>385.05</v>
      </c>
      <c r="F84" s="6">
        <f>IFERROR(__xludf.DUMMYFUNCTION("""COMPUTED_VALUE"""),2.3178848E7)</f>
        <v>23178848</v>
      </c>
    </row>
    <row r="85">
      <c r="A85" s="7">
        <f>IFERROR(__xludf.DUMMYFUNCTION("""COMPUTED_VALUE"""),45786.64583333333)</f>
        <v>45786.64583</v>
      </c>
      <c r="B85" s="6">
        <f>IFERROR(__xludf.DUMMYFUNCTION("""COMPUTED_VALUE"""),392.0)</f>
        <v>392</v>
      </c>
      <c r="C85" s="6">
        <f>IFERROR(__xludf.DUMMYFUNCTION("""COMPUTED_VALUE"""),414.0)</f>
        <v>414</v>
      </c>
      <c r="D85" s="6">
        <f>IFERROR(__xludf.DUMMYFUNCTION("""COMPUTED_VALUE"""),380.0)</f>
        <v>380</v>
      </c>
      <c r="E85" s="6">
        <f>IFERROR(__xludf.DUMMYFUNCTION("""COMPUTED_VALUE"""),386.25)</f>
        <v>386.25</v>
      </c>
      <c r="F85" s="6">
        <f>IFERROR(__xludf.DUMMYFUNCTION("""COMPUTED_VALUE"""),5.1489567E7)</f>
        <v>51489567</v>
      </c>
    </row>
    <row r="86">
      <c r="A86" s="7">
        <f>IFERROR(__xludf.DUMMYFUNCTION("""COMPUTED_VALUE"""),45793.64583333333)</f>
        <v>45793.64583</v>
      </c>
      <c r="B86" s="6">
        <f>IFERROR(__xludf.DUMMYFUNCTION("""COMPUTED_VALUE"""),395.0)</f>
        <v>395</v>
      </c>
      <c r="C86" s="6">
        <f>IFERROR(__xludf.DUMMYFUNCTION("""COMPUTED_VALUE"""),411.2)</f>
        <v>411.2</v>
      </c>
      <c r="D86" s="6">
        <f>IFERROR(__xludf.DUMMYFUNCTION("""COMPUTED_VALUE"""),386.0)</f>
        <v>386</v>
      </c>
      <c r="E86" s="6">
        <f>IFERROR(__xludf.DUMMYFUNCTION("""COMPUTED_VALUE"""),410.05)</f>
        <v>410.05</v>
      </c>
      <c r="F86" s="6">
        <f>IFERROR(__xludf.DUMMYFUNCTION("""COMPUTED_VALUE"""),2.4174508E7)</f>
        <v>24174508</v>
      </c>
    </row>
    <row r="87">
      <c r="A87" s="7">
        <f>IFERROR(__xludf.DUMMYFUNCTION("""COMPUTED_VALUE"""),45800.64583333333)</f>
        <v>45800.64583</v>
      </c>
      <c r="B87" s="6">
        <f>IFERROR(__xludf.DUMMYFUNCTION("""COMPUTED_VALUE"""),410.1)</f>
        <v>410.1</v>
      </c>
      <c r="C87" s="6">
        <f>IFERROR(__xludf.DUMMYFUNCTION("""COMPUTED_VALUE"""),411.75)</f>
        <v>411.75</v>
      </c>
      <c r="D87" s="6">
        <f>IFERROR(__xludf.DUMMYFUNCTION("""COMPUTED_VALUE"""),390.55)</f>
        <v>390.55</v>
      </c>
      <c r="E87" s="6">
        <f>IFERROR(__xludf.DUMMYFUNCTION("""COMPUTED_VALUE"""),408.1)</f>
        <v>408.1</v>
      </c>
      <c r="F87" s="6">
        <f>IFERROR(__xludf.DUMMYFUNCTION("""COMPUTED_VALUE"""),1.6955731E7)</f>
        <v>16955731</v>
      </c>
    </row>
    <row r="88">
      <c r="A88" s="7">
        <f>IFERROR(__xludf.DUMMYFUNCTION("""COMPUTED_VALUE"""),45807.64583333333)</f>
        <v>45807.64583</v>
      </c>
      <c r="B88" s="6">
        <f>IFERROR(__xludf.DUMMYFUNCTION("""COMPUTED_VALUE"""),408.8)</f>
        <v>408.8</v>
      </c>
      <c r="C88" s="6">
        <f>IFERROR(__xludf.DUMMYFUNCTION("""COMPUTED_VALUE"""),420.5)</f>
        <v>420.5</v>
      </c>
      <c r="D88" s="6">
        <f>IFERROR(__xludf.DUMMYFUNCTION("""COMPUTED_VALUE"""),406.3)</f>
        <v>406.3</v>
      </c>
      <c r="E88" s="6">
        <f>IFERROR(__xludf.DUMMYFUNCTION("""COMPUTED_VALUE"""),411.05)</f>
        <v>411.05</v>
      </c>
      <c r="F88" s="6">
        <f>IFERROR(__xludf.DUMMYFUNCTION("""COMPUTED_VALUE"""),2.2730344E7)</f>
        <v>22730344</v>
      </c>
    </row>
    <row r="89">
      <c r="A89" s="7">
        <f>IFERROR(__xludf.DUMMYFUNCTION("""COMPUTED_VALUE"""),45814.64583333333)</f>
        <v>45814.64583</v>
      </c>
      <c r="B89" s="6">
        <f>IFERROR(__xludf.DUMMYFUNCTION("""COMPUTED_VALUE"""),409.6)</f>
        <v>409.6</v>
      </c>
      <c r="C89" s="6">
        <f>IFERROR(__xludf.DUMMYFUNCTION("""COMPUTED_VALUE"""),412.7)</f>
        <v>412.7</v>
      </c>
      <c r="D89" s="6">
        <f>IFERROR(__xludf.DUMMYFUNCTION("""COMPUTED_VALUE"""),399.9)</f>
        <v>399.9</v>
      </c>
      <c r="E89" s="6">
        <f>IFERROR(__xludf.DUMMYFUNCTION("""COMPUTED_VALUE"""),407.05)</f>
        <v>407.05</v>
      </c>
      <c r="F89" s="6">
        <f>IFERROR(__xludf.DUMMYFUNCTION("""COMPUTED_VALUE"""),1.1218407E7)</f>
        <v>11218407</v>
      </c>
    </row>
    <row r="90">
      <c r="A90" s="7">
        <f>IFERROR(__xludf.DUMMYFUNCTION("""COMPUTED_VALUE"""),45821.64583333333)</f>
        <v>45821.64583</v>
      </c>
      <c r="B90" s="6">
        <f>IFERROR(__xludf.DUMMYFUNCTION("""COMPUTED_VALUE"""),407.05)</f>
        <v>407.05</v>
      </c>
      <c r="C90" s="6">
        <f>IFERROR(__xludf.DUMMYFUNCTION("""COMPUTED_VALUE"""),423.0)</f>
        <v>423</v>
      </c>
      <c r="D90" s="6">
        <f>IFERROR(__xludf.DUMMYFUNCTION("""COMPUTED_VALUE"""),370.15)</f>
        <v>370.15</v>
      </c>
      <c r="E90" s="6">
        <f>IFERROR(__xludf.DUMMYFUNCTION("""COMPUTED_VALUE"""),386.25)</f>
        <v>386.25</v>
      </c>
      <c r="F90" s="6">
        <f>IFERROR(__xludf.DUMMYFUNCTION("""COMPUTED_VALUE"""),4.2351417E7)</f>
        <v>42351417</v>
      </c>
    </row>
    <row r="91">
      <c r="A91" s="7">
        <f>IFERROR(__xludf.DUMMYFUNCTION("""COMPUTED_VALUE"""),45828.64583333333)</f>
        <v>45828.64583</v>
      </c>
      <c r="B91" s="6">
        <f>IFERROR(__xludf.DUMMYFUNCTION("""COMPUTED_VALUE"""),384.1)</f>
        <v>384.1</v>
      </c>
      <c r="C91" s="6">
        <f>IFERROR(__xludf.DUMMYFUNCTION("""COMPUTED_VALUE"""),401.0)</f>
        <v>401</v>
      </c>
      <c r="D91" s="6">
        <f>IFERROR(__xludf.DUMMYFUNCTION("""COMPUTED_VALUE"""),383.05)</f>
        <v>383.05</v>
      </c>
      <c r="E91" s="6">
        <f>IFERROR(__xludf.DUMMYFUNCTION("""COMPUTED_VALUE"""),392.25)</f>
        <v>392.25</v>
      </c>
      <c r="F91" s="6">
        <f>IFERROR(__xludf.DUMMYFUNCTION("""COMPUTED_VALUE"""),2.2683536E7)</f>
        <v>22683536</v>
      </c>
    </row>
    <row r="92">
      <c r="A92" s="7">
        <f>IFERROR(__xludf.DUMMYFUNCTION("""COMPUTED_VALUE"""),45835.64583333333)</f>
        <v>45835.64583</v>
      </c>
      <c r="B92" s="6">
        <f>IFERROR(__xludf.DUMMYFUNCTION("""COMPUTED_VALUE"""),390.35)</f>
        <v>390.35</v>
      </c>
      <c r="C92" s="6">
        <f>IFERROR(__xludf.DUMMYFUNCTION("""COMPUTED_VALUE"""),440.3)</f>
        <v>440.3</v>
      </c>
      <c r="D92" s="6">
        <f>IFERROR(__xludf.DUMMYFUNCTION("""COMPUTED_VALUE"""),383.55)</f>
        <v>383.55</v>
      </c>
      <c r="E92" s="6">
        <f>IFERROR(__xludf.DUMMYFUNCTION("""COMPUTED_VALUE"""),439.0)</f>
        <v>439</v>
      </c>
      <c r="F92" s="6">
        <f>IFERROR(__xludf.DUMMYFUNCTION("""COMPUTED_VALUE"""),5.0628559E7)</f>
        <v>50628559</v>
      </c>
    </row>
    <row r="93">
      <c r="A93" s="7">
        <f>IFERROR(__xludf.DUMMYFUNCTION("""COMPUTED_VALUE"""),45842.64583333333)</f>
        <v>45842.64583</v>
      </c>
      <c r="B93" s="6">
        <f>IFERROR(__xludf.DUMMYFUNCTION("""COMPUTED_VALUE"""),440.0)</f>
        <v>440</v>
      </c>
      <c r="C93" s="6">
        <f>IFERROR(__xludf.DUMMYFUNCTION("""COMPUTED_VALUE"""),446.85)</f>
        <v>446.85</v>
      </c>
      <c r="D93" s="6">
        <f>IFERROR(__xludf.DUMMYFUNCTION("""COMPUTED_VALUE"""),433.3)</f>
        <v>433.3</v>
      </c>
      <c r="E93" s="6">
        <f>IFERROR(__xludf.DUMMYFUNCTION("""COMPUTED_VALUE"""),444.6)</f>
        <v>444.6</v>
      </c>
      <c r="F93" s="6">
        <f>IFERROR(__xludf.DUMMYFUNCTION("""COMPUTED_VALUE"""),1.803828E7)</f>
        <v>18038280</v>
      </c>
    </row>
    <row r="94">
      <c r="A94" s="7">
        <f>IFERROR(__xludf.DUMMYFUNCTION("""COMPUTED_VALUE"""),45849.64583333333)</f>
        <v>45849.64583</v>
      </c>
      <c r="B94" s="6">
        <f>IFERROR(__xludf.DUMMYFUNCTION("""COMPUTED_VALUE"""),448.0)</f>
        <v>448</v>
      </c>
      <c r="C94" s="6">
        <f>IFERROR(__xludf.DUMMYFUNCTION("""COMPUTED_VALUE"""),455.2)</f>
        <v>455.2</v>
      </c>
      <c r="D94" s="6">
        <f>IFERROR(__xludf.DUMMYFUNCTION("""COMPUTED_VALUE"""),433.05)</f>
        <v>433.05</v>
      </c>
      <c r="E94" s="6">
        <f>IFERROR(__xludf.DUMMYFUNCTION("""COMPUTED_VALUE"""),435.9)</f>
        <v>435.9</v>
      </c>
      <c r="F94" s="6">
        <f>IFERROR(__xludf.DUMMYFUNCTION("""COMPUTED_VALUE"""),2.4682295E7)</f>
        <v>24682295</v>
      </c>
    </row>
    <row r="95">
      <c r="A95" s="7">
        <f>IFERROR(__xludf.DUMMYFUNCTION("""COMPUTED_VALUE"""),45856.64583333333)</f>
        <v>45856.64583</v>
      </c>
      <c r="B95" s="6">
        <f>IFERROR(__xludf.DUMMYFUNCTION("""COMPUTED_VALUE"""),435.9)</f>
        <v>435.9</v>
      </c>
      <c r="C95" s="6">
        <f>IFERROR(__xludf.DUMMYFUNCTION("""COMPUTED_VALUE"""),448.55)</f>
        <v>448.55</v>
      </c>
      <c r="D95" s="6">
        <f>IFERROR(__xludf.DUMMYFUNCTION("""COMPUTED_VALUE"""),428.0)</f>
        <v>428</v>
      </c>
      <c r="E95" s="6">
        <f>IFERROR(__xludf.DUMMYFUNCTION("""COMPUTED_VALUE"""),430.6)</f>
        <v>430.6</v>
      </c>
      <c r="F95" s="6">
        <f>IFERROR(__xludf.DUMMYFUNCTION("""COMPUTED_VALUE"""),2.4133454E7)</f>
        <v>24133454</v>
      </c>
    </row>
    <row r="96">
      <c r="A96" s="7">
        <f>IFERROR(__xludf.DUMMYFUNCTION("""COMPUTED_VALUE"""),45863.64583333333)</f>
        <v>45863.64583</v>
      </c>
      <c r="B96" s="6">
        <f>IFERROR(__xludf.DUMMYFUNCTION("""COMPUTED_VALUE"""),433.0)</f>
        <v>433</v>
      </c>
      <c r="C96" s="6">
        <f>IFERROR(__xludf.DUMMYFUNCTION("""COMPUTED_VALUE"""),437.6)</f>
        <v>437.6</v>
      </c>
      <c r="D96" s="6">
        <f>IFERROR(__xludf.DUMMYFUNCTION("""COMPUTED_VALUE"""),420.2)</f>
        <v>420.2</v>
      </c>
      <c r="E96" s="6">
        <f>IFERROR(__xludf.DUMMYFUNCTION("""COMPUTED_VALUE"""),421.8)</f>
        <v>421.8</v>
      </c>
      <c r="F96" s="6">
        <f>IFERROR(__xludf.DUMMYFUNCTION("""COMPUTED_VALUE"""),1.6439973E7)</f>
        <v>16439973</v>
      </c>
    </row>
    <row r="97">
      <c r="A97" s="7">
        <f>IFERROR(__xludf.DUMMYFUNCTION("""COMPUTED_VALUE"""),45870.64583333333)</f>
        <v>45870.64583</v>
      </c>
      <c r="B97" s="6">
        <f>IFERROR(__xludf.DUMMYFUNCTION("""COMPUTED_VALUE"""),422.5)</f>
        <v>422.5</v>
      </c>
      <c r="C97" s="6">
        <f>IFERROR(__xludf.DUMMYFUNCTION("""COMPUTED_VALUE"""),435.9)</f>
        <v>435.9</v>
      </c>
      <c r="D97" s="6">
        <f>IFERROR(__xludf.DUMMYFUNCTION("""COMPUTED_VALUE"""),402.1)</f>
        <v>402.1</v>
      </c>
      <c r="E97" s="6">
        <f>IFERROR(__xludf.DUMMYFUNCTION("""COMPUTED_VALUE"""),403.8)</f>
        <v>403.8</v>
      </c>
      <c r="F97" s="6">
        <f>IFERROR(__xludf.DUMMYFUNCTION("""COMPUTED_VALUE"""),2.7799442E7)</f>
        <v>27799442</v>
      </c>
    </row>
    <row r="98">
      <c r="A98" s="7">
        <f>IFERROR(__xludf.DUMMYFUNCTION("""COMPUTED_VALUE"""),45877.64583333333)</f>
        <v>45877.64583</v>
      </c>
      <c r="B98" s="6">
        <f>IFERROR(__xludf.DUMMYFUNCTION("""COMPUTED_VALUE"""),409.0)</f>
        <v>409</v>
      </c>
      <c r="C98" s="6">
        <f>IFERROR(__xludf.DUMMYFUNCTION("""COMPUTED_VALUE"""),415.35)</f>
        <v>415.35</v>
      </c>
      <c r="D98" s="6">
        <f>IFERROR(__xludf.DUMMYFUNCTION("""COMPUTED_VALUE"""),392.15)</f>
        <v>392.15</v>
      </c>
      <c r="E98" s="6">
        <f>IFERROR(__xludf.DUMMYFUNCTION("""COMPUTED_VALUE"""),409.5)</f>
        <v>409.5</v>
      </c>
      <c r="F98" s="6">
        <f>IFERROR(__xludf.DUMMYFUNCTION("""COMPUTED_VALUE"""),3.2007745E7)</f>
        <v>32007745</v>
      </c>
    </row>
    <row r="99">
      <c r="A99" s="7">
        <f>IFERROR(__xludf.DUMMYFUNCTION("""COMPUTED_VALUE"""),45883.64583333333)</f>
        <v>45883.64583</v>
      </c>
      <c r="B99" s="6">
        <f>IFERROR(__xludf.DUMMYFUNCTION("""COMPUTED_VALUE"""),414.05)</f>
        <v>414.05</v>
      </c>
      <c r="C99" s="6">
        <f>IFERROR(__xludf.DUMMYFUNCTION("""COMPUTED_VALUE"""),418.0)</f>
        <v>418</v>
      </c>
      <c r="D99" s="6">
        <f>IFERROR(__xludf.DUMMYFUNCTION("""COMPUTED_VALUE"""),393.8)</f>
        <v>393.8</v>
      </c>
      <c r="E99" s="6">
        <f>IFERROR(__xludf.DUMMYFUNCTION("""COMPUTED_VALUE"""),394.35)</f>
        <v>394.35</v>
      </c>
      <c r="F99" s="6">
        <f>IFERROR(__xludf.DUMMYFUNCTION("""COMPUTED_VALUE"""),2.3320348E7)</f>
        <v>23320348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IFERROR(__xludf.DUMMYFUNCTION("""COMPUTED_VALUE"""),397.05)</f>
        <v>397.05</v>
      </c>
      <c r="C100" s="6">
        <f>IFERROR(__xludf.DUMMYFUNCTION("""COMPUTED_VALUE"""),397.85)</f>
        <v>397.85</v>
      </c>
      <c r="D100" s="6">
        <f>IFERROR(__xludf.DUMMYFUNCTION("""COMPUTED_VALUE"""),383.4)</f>
        <v>383.4</v>
      </c>
      <c r="E100" s="6">
        <f>IFERROR(__xludf.DUMMYFUNCTION("""COMPUTED_VALUE"""),390.75)</f>
        <v>390.75</v>
      </c>
      <c r="F100" s="6">
        <f>IFERROR(__xludf.DUMMYFUNCTION("""COMPUTED_VALUE"""),2.1028681E7)</f>
        <v>21028681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IFERROR(__xludf.DUMMYFUNCTION("""COMPUTED_VALUE"""),390.5)</f>
        <v>390.5</v>
      </c>
      <c r="C101" s="6">
        <f>IFERROR(__xludf.DUMMYFUNCTION("""COMPUTED_VALUE"""),391.5)</f>
        <v>391.5</v>
      </c>
      <c r="D101" s="6">
        <f>IFERROR(__xludf.DUMMYFUNCTION("""COMPUTED_VALUE"""),381.95)</f>
        <v>381.95</v>
      </c>
      <c r="E101" s="6">
        <f>IFERROR(__xludf.DUMMYFUNCTION("""COMPUTED_VALUE"""),382.95)</f>
        <v>382.95</v>
      </c>
      <c r="F101" s="6">
        <f>IFERROR(__xludf.DUMMYFUNCTION("""COMPUTED_VALUE"""),3.4121742E7)</f>
        <v>34121742</v>
      </c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IFERROR(__xludf.DUMMYFUNCTION("GOOGLEFINANCE(""NSE:HINDUNILVR"",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IFERROR(__xludf.DUMMYFUNCTION("""COMPUTED_VALUE"""),2565.0)</f>
        <v>2565</v>
      </c>
      <c r="C2" s="6">
        <f>IFERROR(__xludf.DUMMYFUNCTION("""COMPUTED_VALUE"""),2568.0)</f>
        <v>2568</v>
      </c>
      <c r="D2" s="6">
        <f>IFERROR(__xludf.DUMMYFUNCTION("""COMPUTED_VALUE"""),2491.1)</f>
        <v>2491.1</v>
      </c>
      <c r="E2" s="6">
        <f>IFERROR(__xludf.DUMMYFUNCTION("""COMPUTED_VALUE"""),2504.8)</f>
        <v>2504.8</v>
      </c>
      <c r="F2" s="6">
        <f>IFERROR(__xludf.DUMMYFUNCTION("""COMPUTED_VALUE"""),6854609.0)</f>
        <v>6854609</v>
      </c>
    </row>
    <row r="3">
      <c r="A3" s="7">
        <f>IFERROR(__xludf.DUMMYFUNCTION("""COMPUTED_VALUE"""),45177.64583333333)</f>
        <v>45177.64583</v>
      </c>
      <c r="B3" s="6">
        <f>IFERROR(__xludf.DUMMYFUNCTION("""COMPUTED_VALUE"""),2514.0)</f>
        <v>2514</v>
      </c>
      <c r="C3" s="6">
        <f>IFERROR(__xludf.DUMMYFUNCTION("""COMPUTED_VALUE"""),2526.1)</f>
        <v>2526.1</v>
      </c>
      <c r="D3" s="6">
        <f>IFERROR(__xludf.DUMMYFUNCTION("""COMPUTED_VALUE"""),2492.0)</f>
        <v>2492</v>
      </c>
      <c r="E3" s="6">
        <f>IFERROR(__xludf.DUMMYFUNCTION("""COMPUTED_VALUE"""),2513.8)</f>
        <v>2513.8</v>
      </c>
      <c r="F3" s="6">
        <f>IFERROR(__xludf.DUMMYFUNCTION("""COMPUTED_VALUE"""),5994567.0)</f>
        <v>5994567</v>
      </c>
    </row>
    <row r="4">
      <c r="A4" s="7">
        <f>IFERROR(__xludf.DUMMYFUNCTION("""COMPUTED_VALUE"""),45184.64583333333)</f>
        <v>45184.64583</v>
      </c>
      <c r="B4" s="6">
        <f>IFERROR(__xludf.DUMMYFUNCTION("""COMPUTED_VALUE"""),2513.8)</f>
        <v>2513.8</v>
      </c>
      <c r="C4" s="6">
        <f>IFERROR(__xludf.DUMMYFUNCTION("""COMPUTED_VALUE"""),2549.0)</f>
        <v>2549</v>
      </c>
      <c r="D4" s="6">
        <f>IFERROR(__xludf.DUMMYFUNCTION("""COMPUTED_VALUE"""),2466.0)</f>
        <v>2466</v>
      </c>
      <c r="E4" s="6">
        <f>IFERROR(__xludf.DUMMYFUNCTION("""COMPUTED_VALUE"""),2469.7)</f>
        <v>2469.7</v>
      </c>
      <c r="F4" s="6">
        <f>IFERROR(__xludf.DUMMYFUNCTION("""COMPUTED_VALUE"""),1.2130996E7)</f>
        <v>12130996</v>
      </c>
    </row>
    <row r="5">
      <c r="A5" s="7">
        <f>IFERROR(__xludf.DUMMYFUNCTION("""COMPUTED_VALUE"""),45191.64583333333)</f>
        <v>45191.64583</v>
      </c>
      <c r="B5" s="6">
        <f>IFERROR(__xludf.DUMMYFUNCTION("""COMPUTED_VALUE"""),2471.35)</f>
        <v>2471.35</v>
      </c>
      <c r="C5" s="6">
        <f>IFERROR(__xludf.DUMMYFUNCTION("""COMPUTED_VALUE"""),2492.95)</f>
        <v>2492.95</v>
      </c>
      <c r="D5" s="6">
        <f>IFERROR(__xludf.DUMMYFUNCTION("""COMPUTED_VALUE"""),2442.9)</f>
        <v>2442.9</v>
      </c>
      <c r="E5" s="6">
        <f>IFERROR(__xludf.DUMMYFUNCTION("""COMPUTED_VALUE"""),2482.45)</f>
        <v>2482.45</v>
      </c>
      <c r="F5" s="6">
        <f>IFERROR(__xludf.DUMMYFUNCTION("""COMPUTED_VALUE"""),6695261.0)</f>
        <v>6695261</v>
      </c>
    </row>
    <row r="6">
      <c r="A6" s="7">
        <f>IFERROR(__xludf.DUMMYFUNCTION("""COMPUTED_VALUE"""),45198.64583333333)</f>
        <v>45198.64583</v>
      </c>
      <c r="B6" s="6">
        <f>IFERROR(__xludf.DUMMYFUNCTION("""COMPUTED_VALUE"""),2482.45)</f>
        <v>2482.45</v>
      </c>
      <c r="C6" s="6">
        <f>IFERROR(__xludf.DUMMYFUNCTION("""COMPUTED_VALUE"""),2504.8)</f>
        <v>2504.8</v>
      </c>
      <c r="D6" s="6">
        <f>IFERROR(__xludf.DUMMYFUNCTION("""COMPUTED_VALUE"""),2450.5)</f>
        <v>2450.5</v>
      </c>
      <c r="E6" s="6">
        <f>IFERROR(__xludf.DUMMYFUNCTION("""COMPUTED_VALUE"""),2465.6)</f>
        <v>2465.6</v>
      </c>
      <c r="F6" s="6">
        <f>IFERROR(__xludf.DUMMYFUNCTION("""COMPUTED_VALUE"""),6335030.0)</f>
        <v>6335030</v>
      </c>
    </row>
    <row r="7">
      <c r="A7" s="7">
        <f>IFERROR(__xludf.DUMMYFUNCTION("""COMPUTED_VALUE"""),45205.64583333333)</f>
        <v>45205.64583</v>
      </c>
      <c r="B7" s="6">
        <f>IFERROR(__xludf.DUMMYFUNCTION("""COMPUTED_VALUE"""),2490.0)</f>
        <v>2490</v>
      </c>
      <c r="C7" s="6">
        <f>IFERROR(__xludf.DUMMYFUNCTION("""COMPUTED_VALUE"""),2524.8)</f>
        <v>2524.8</v>
      </c>
      <c r="D7" s="6">
        <f>IFERROR(__xludf.DUMMYFUNCTION("""COMPUTED_VALUE"""),2461.8)</f>
        <v>2461.8</v>
      </c>
      <c r="E7" s="6">
        <f>IFERROR(__xludf.DUMMYFUNCTION("""COMPUTED_VALUE"""),2499.4)</f>
        <v>2499.4</v>
      </c>
      <c r="F7" s="6">
        <f>IFERROR(__xludf.DUMMYFUNCTION("""COMPUTED_VALUE"""),6166231.0)</f>
        <v>6166231</v>
      </c>
    </row>
    <row r="8">
      <c r="A8" s="7">
        <f>IFERROR(__xludf.DUMMYFUNCTION("""COMPUTED_VALUE"""),45212.64583333333)</f>
        <v>45212.64583</v>
      </c>
      <c r="B8" s="6">
        <f>IFERROR(__xludf.DUMMYFUNCTION("""COMPUTED_VALUE"""),2485.0)</f>
        <v>2485</v>
      </c>
      <c r="C8" s="6">
        <f>IFERROR(__xludf.DUMMYFUNCTION("""COMPUTED_VALUE"""),2576.7)</f>
        <v>2576.7</v>
      </c>
      <c r="D8" s="6">
        <f>IFERROR(__xludf.DUMMYFUNCTION("""COMPUTED_VALUE"""),2481.0)</f>
        <v>2481</v>
      </c>
      <c r="E8" s="6">
        <f>IFERROR(__xludf.DUMMYFUNCTION("""COMPUTED_VALUE"""),2569.45)</f>
        <v>2569.45</v>
      </c>
      <c r="F8" s="6">
        <f>IFERROR(__xludf.DUMMYFUNCTION("""COMPUTED_VALUE"""),7415529.0)</f>
        <v>7415529</v>
      </c>
    </row>
    <row r="9">
      <c r="A9" s="7">
        <f>IFERROR(__xludf.DUMMYFUNCTION("""COMPUTED_VALUE"""),45219.64583333333)</f>
        <v>45219.64583</v>
      </c>
      <c r="B9" s="6">
        <f>IFERROR(__xludf.DUMMYFUNCTION("""COMPUTED_VALUE"""),2560.0)</f>
        <v>2560</v>
      </c>
      <c r="C9" s="6">
        <f>IFERROR(__xludf.DUMMYFUNCTION("""COMPUTED_VALUE"""),2582.0)</f>
        <v>2582</v>
      </c>
      <c r="D9" s="6">
        <f>IFERROR(__xludf.DUMMYFUNCTION("""COMPUTED_VALUE"""),2485.05)</f>
        <v>2485.05</v>
      </c>
      <c r="E9" s="6">
        <f>IFERROR(__xludf.DUMMYFUNCTION("""COMPUTED_VALUE"""),2495.15)</f>
        <v>2495.15</v>
      </c>
      <c r="F9" s="6">
        <f>IFERROR(__xludf.DUMMYFUNCTION("""COMPUTED_VALUE"""),8173629.0)</f>
        <v>8173629</v>
      </c>
    </row>
    <row r="10">
      <c r="A10" s="7">
        <f>IFERROR(__xludf.DUMMYFUNCTION("""COMPUTED_VALUE"""),45226.64583333333)</f>
        <v>45226.64583</v>
      </c>
      <c r="B10" s="6">
        <f>IFERROR(__xludf.DUMMYFUNCTION("""COMPUTED_VALUE"""),2494.0)</f>
        <v>2494</v>
      </c>
      <c r="C10" s="6">
        <f>IFERROR(__xludf.DUMMYFUNCTION("""COMPUTED_VALUE"""),2509.95)</f>
        <v>2509.95</v>
      </c>
      <c r="D10" s="6">
        <f>IFERROR(__xludf.DUMMYFUNCTION("""COMPUTED_VALUE"""),2455.65)</f>
        <v>2455.65</v>
      </c>
      <c r="E10" s="6">
        <f>IFERROR(__xludf.DUMMYFUNCTION("""COMPUTED_VALUE"""),2482.05)</f>
        <v>2482.05</v>
      </c>
      <c r="F10" s="6">
        <f>IFERROR(__xludf.DUMMYFUNCTION("""COMPUTED_VALUE"""),6793915.0)</f>
        <v>6793915</v>
      </c>
    </row>
    <row r="11">
      <c r="A11" s="7">
        <f>IFERROR(__xludf.DUMMYFUNCTION("""COMPUTED_VALUE"""),45233.64583333333)</f>
        <v>45233.64583</v>
      </c>
      <c r="B11" s="6">
        <f>IFERROR(__xludf.DUMMYFUNCTION("""COMPUTED_VALUE"""),2471.0)</f>
        <v>2471</v>
      </c>
      <c r="C11" s="6">
        <f>IFERROR(__xludf.DUMMYFUNCTION("""COMPUTED_VALUE"""),2512.5)</f>
        <v>2512.5</v>
      </c>
      <c r="D11" s="6">
        <f>IFERROR(__xludf.DUMMYFUNCTION("""COMPUTED_VALUE"""),2462.4)</f>
        <v>2462.4</v>
      </c>
      <c r="E11" s="6">
        <f>IFERROR(__xludf.DUMMYFUNCTION("""COMPUTED_VALUE"""),2509.25)</f>
        <v>2509.25</v>
      </c>
      <c r="F11" s="6">
        <f>IFERROR(__xludf.DUMMYFUNCTION("""COMPUTED_VALUE"""),5783386.0)</f>
        <v>5783386</v>
      </c>
    </row>
    <row r="12">
      <c r="A12" s="7">
        <f>IFERROR(__xludf.DUMMYFUNCTION("""COMPUTED_VALUE"""),45240.64583333333)</f>
        <v>45240.64583</v>
      </c>
      <c r="B12" s="6">
        <f>IFERROR(__xludf.DUMMYFUNCTION("""COMPUTED_VALUE"""),2515.0)</f>
        <v>2515</v>
      </c>
      <c r="C12" s="6">
        <f>IFERROR(__xludf.DUMMYFUNCTION("""COMPUTED_VALUE"""),2525.0)</f>
        <v>2525</v>
      </c>
      <c r="D12" s="6">
        <f>IFERROR(__xludf.DUMMYFUNCTION("""COMPUTED_VALUE"""),2465.35)</f>
        <v>2465.35</v>
      </c>
      <c r="E12" s="6">
        <f>IFERROR(__xludf.DUMMYFUNCTION("""COMPUTED_VALUE"""),2486.55)</f>
        <v>2486.55</v>
      </c>
      <c r="F12" s="6">
        <f>IFERROR(__xludf.DUMMYFUNCTION("""COMPUTED_VALUE"""),6151266.0)</f>
        <v>6151266</v>
      </c>
    </row>
    <row r="13">
      <c r="A13" s="7">
        <f>IFERROR(__xludf.DUMMYFUNCTION("""COMPUTED_VALUE"""),45247.64583333333)</f>
        <v>45247.64583</v>
      </c>
      <c r="B13" s="6">
        <f>IFERROR(__xludf.DUMMYFUNCTION("""COMPUTED_VALUE"""),2494.05)</f>
        <v>2494.05</v>
      </c>
      <c r="C13" s="6">
        <f>IFERROR(__xludf.DUMMYFUNCTION("""COMPUTED_VALUE"""),2533.5)</f>
        <v>2533.5</v>
      </c>
      <c r="D13" s="6">
        <f>IFERROR(__xludf.DUMMYFUNCTION("""COMPUTED_VALUE"""),2465.0)</f>
        <v>2465</v>
      </c>
      <c r="E13" s="6">
        <f>IFERROR(__xludf.DUMMYFUNCTION("""COMPUTED_VALUE"""),2528.8)</f>
        <v>2528.8</v>
      </c>
      <c r="F13" s="6">
        <f>IFERROR(__xludf.DUMMYFUNCTION("""COMPUTED_VALUE"""),5476959.0)</f>
        <v>5476959</v>
      </c>
    </row>
    <row r="14">
      <c r="A14" s="7">
        <f>IFERROR(__xludf.DUMMYFUNCTION("""COMPUTED_VALUE"""),45254.64583333333)</f>
        <v>45254.64583</v>
      </c>
      <c r="B14" s="6">
        <f>IFERROR(__xludf.DUMMYFUNCTION("""COMPUTED_VALUE"""),2534.45)</f>
        <v>2534.45</v>
      </c>
      <c r="C14" s="6">
        <f>IFERROR(__xludf.DUMMYFUNCTION("""COMPUTED_VALUE"""),2534.5)</f>
        <v>2534.5</v>
      </c>
      <c r="D14" s="6">
        <f>IFERROR(__xludf.DUMMYFUNCTION("""COMPUTED_VALUE"""),2498.0)</f>
        <v>2498</v>
      </c>
      <c r="E14" s="6">
        <f>IFERROR(__xludf.DUMMYFUNCTION("""COMPUTED_VALUE"""),2515.2)</f>
        <v>2515.2</v>
      </c>
      <c r="F14" s="6">
        <f>IFERROR(__xludf.DUMMYFUNCTION("""COMPUTED_VALUE"""),4608454.0)</f>
        <v>4608454</v>
      </c>
    </row>
    <row r="15">
      <c r="A15" s="7">
        <f>IFERROR(__xludf.DUMMYFUNCTION("""COMPUTED_VALUE"""),45261.64583333333)</f>
        <v>45261.64583</v>
      </c>
      <c r="B15" s="6">
        <f>IFERROR(__xludf.DUMMYFUNCTION("""COMPUTED_VALUE"""),2531.75)</f>
        <v>2531.75</v>
      </c>
      <c r="C15" s="6">
        <f>IFERROR(__xludf.DUMMYFUNCTION("""COMPUTED_VALUE"""),2581.95)</f>
        <v>2581.95</v>
      </c>
      <c r="D15" s="6">
        <f>IFERROR(__xludf.DUMMYFUNCTION("""COMPUTED_VALUE"""),2500.0)</f>
        <v>2500</v>
      </c>
      <c r="E15" s="6">
        <f>IFERROR(__xludf.DUMMYFUNCTION("""COMPUTED_VALUE"""),2563.65)</f>
        <v>2563.65</v>
      </c>
      <c r="F15" s="6">
        <f>IFERROR(__xludf.DUMMYFUNCTION("""COMPUTED_VALUE"""),7587138.0)</f>
        <v>7587138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IFERROR(__xludf.DUMMYFUNCTION("""COMPUTED_VALUE"""),2577.0)</f>
        <v>2577</v>
      </c>
      <c r="C16" s="6">
        <f>IFERROR(__xludf.DUMMYFUNCTION("""COMPUTED_VALUE"""),2637.0)</f>
        <v>2637</v>
      </c>
      <c r="D16" s="6">
        <f>IFERROR(__xludf.DUMMYFUNCTION("""COMPUTED_VALUE"""),2498.6)</f>
        <v>2498.6</v>
      </c>
      <c r="E16" s="6">
        <f>IFERROR(__xludf.DUMMYFUNCTION("""COMPUTED_VALUE"""),2522.3)</f>
        <v>2522.3</v>
      </c>
      <c r="F16" s="6">
        <f>IFERROR(__xludf.DUMMYFUNCTION("""COMPUTED_VALUE"""),1.2402282E7)</f>
        <v>12402282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IFERROR(__xludf.DUMMYFUNCTION("""COMPUTED_VALUE"""),2522.3)</f>
        <v>2522.3</v>
      </c>
      <c r="C17" s="6">
        <f>IFERROR(__xludf.DUMMYFUNCTION("""COMPUTED_VALUE"""),2532.0)</f>
        <v>2532</v>
      </c>
      <c r="D17" s="6">
        <f>IFERROR(__xludf.DUMMYFUNCTION("""COMPUTED_VALUE"""),2497.0)</f>
        <v>2497</v>
      </c>
      <c r="E17" s="6">
        <f>IFERROR(__xludf.DUMMYFUNCTION("""COMPUTED_VALUE"""),2522.9)</f>
        <v>2522.9</v>
      </c>
      <c r="F17" s="6">
        <f>IFERROR(__xludf.DUMMYFUNCTION("""COMPUTED_VALUE"""),9913283.0)</f>
        <v>9913283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IFERROR(__xludf.DUMMYFUNCTION("""COMPUTED_VALUE"""),2520.15)</f>
        <v>2520.15</v>
      </c>
      <c r="C18" s="6">
        <f>IFERROR(__xludf.DUMMYFUNCTION("""COMPUTED_VALUE"""),2580.0)</f>
        <v>2580</v>
      </c>
      <c r="D18" s="6">
        <f>IFERROR(__xludf.DUMMYFUNCTION("""COMPUTED_VALUE"""),2515.0)</f>
        <v>2515</v>
      </c>
      <c r="E18" s="6">
        <f>IFERROR(__xludf.DUMMYFUNCTION("""COMPUTED_VALUE"""),2575.6)</f>
        <v>2575.6</v>
      </c>
      <c r="F18" s="6">
        <f>IFERROR(__xludf.DUMMYFUNCTION("""COMPUTED_VALUE"""),8214577.0)</f>
        <v>8214577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IFERROR(__xludf.DUMMYFUNCTION("""COMPUTED_VALUE"""),2575.6)</f>
        <v>2575.6</v>
      </c>
      <c r="C19" s="6">
        <f>IFERROR(__xludf.DUMMYFUNCTION("""COMPUTED_VALUE"""),2667.1)</f>
        <v>2667.1</v>
      </c>
      <c r="D19" s="6">
        <f>IFERROR(__xludf.DUMMYFUNCTION("""COMPUTED_VALUE"""),2567.05)</f>
        <v>2567.05</v>
      </c>
      <c r="E19" s="6">
        <f>IFERROR(__xludf.DUMMYFUNCTION("""COMPUTED_VALUE"""),2663.95)</f>
        <v>2663.95</v>
      </c>
      <c r="F19" s="6">
        <f>IFERROR(__xludf.DUMMYFUNCTION("""COMPUTED_VALUE"""),4907951.0)</f>
        <v>4907951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IFERROR(__xludf.DUMMYFUNCTION("""COMPUTED_VALUE"""),2663.85)</f>
        <v>2663.85</v>
      </c>
      <c r="C20" s="6">
        <f>IFERROR(__xludf.DUMMYFUNCTION("""COMPUTED_VALUE"""),2669.4)</f>
        <v>2669.4</v>
      </c>
      <c r="D20" s="6">
        <f>IFERROR(__xludf.DUMMYFUNCTION("""COMPUTED_VALUE"""),2588.05)</f>
        <v>2588.05</v>
      </c>
      <c r="E20" s="6">
        <f>IFERROR(__xludf.DUMMYFUNCTION("""COMPUTED_VALUE"""),2620.05)</f>
        <v>2620.05</v>
      </c>
      <c r="F20" s="6">
        <f>IFERROR(__xludf.DUMMYFUNCTION("""COMPUTED_VALUE"""),5372834.0)</f>
        <v>5372834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IFERROR(__xludf.DUMMYFUNCTION("""COMPUTED_VALUE"""),2624.95)</f>
        <v>2624.95</v>
      </c>
      <c r="C21" s="6">
        <f>IFERROR(__xludf.DUMMYFUNCTION("""COMPUTED_VALUE"""),2626.0)</f>
        <v>2626</v>
      </c>
      <c r="D21" s="6">
        <f>IFERROR(__xludf.DUMMYFUNCTION("""COMPUTED_VALUE"""),2511.85)</f>
        <v>2511.85</v>
      </c>
      <c r="E21" s="6">
        <f>IFERROR(__xludf.DUMMYFUNCTION("""COMPUTED_VALUE"""),2544.0)</f>
        <v>2544</v>
      </c>
      <c r="F21" s="6">
        <f>IFERROR(__xludf.DUMMYFUNCTION("""COMPUTED_VALUE"""),8467752.0)</f>
        <v>8467752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IFERROR(__xludf.DUMMYFUNCTION("""COMPUTED_VALUE"""),2451.0)</f>
        <v>2451</v>
      </c>
      <c r="C22" s="6">
        <f>IFERROR(__xludf.DUMMYFUNCTION("""COMPUTED_VALUE"""),2480.5)</f>
        <v>2480.5</v>
      </c>
      <c r="D22" s="6">
        <f>IFERROR(__xludf.DUMMYFUNCTION("""COMPUTED_VALUE"""),2365.45)</f>
        <v>2365.45</v>
      </c>
      <c r="E22" s="6">
        <f>IFERROR(__xludf.DUMMYFUNCTION("""COMPUTED_VALUE"""),2428.3)</f>
        <v>2428.3</v>
      </c>
      <c r="F22" s="6">
        <f>IFERROR(__xludf.DUMMYFUNCTION("""COMPUTED_VALUE"""),8285566.0)</f>
        <v>8285566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IFERROR(__xludf.DUMMYFUNCTION("""COMPUTED_VALUE"""),2410.0)</f>
        <v>2410</v>
      </c>
      <c r="C23" s="6">
        <f>IFERROR(__xludf.DUMMYFUNCTION("""COMPUTED_VALUE"""),2511.55)</f>
        <v>2511.55</v>
      </c>
      <c r="D23" s="6">
        <f>IFERROR(__xludf.DUMMYFUNCTION("""COMPUTED_VALUE"""),2410.0)</f>
        <v>2410</v>
      </c>
      <c r="E23" s="6">
        <f>IFERROR(__xludf.DUMMYFUNCTION("""COMPUTED_VALUE"""),2452.6)</f>
        <v>2452.6</v>
      </c>
      <c r="F23" s="6">
        <f>IFERROR(__xludf.DUMMYFUNCTION("""COMPUTED_VALUE"""),8509455.0)</f>
        <v>8509455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IFERROR(__xludf.DUMMYFUNCTION("""COMPUTED_VALUE"""),2464.0)</f>
        <v>2464</v>
      </c>
      <c r="C24" s="6">
        <f>IFERROR(__xludf.DUMMYFUNCTION("""COMPUTED_VALUE"""),2464.75)</f>
        <v>2464.75</v>
      </c>
      <c r="D24" s="6">
        <f>IFERROR(__xludf.DUMMYFUNCTION("""COMPUTED_VALUE"""),2399.0)</f>
        <v>2399</v>
      </c>
      <c r="E24" s="6">
        <f>IFERROR(__xludf.DUMMYFUNCTION("""COMPUTED_VALUE"""),2424.15)</f>
        <v>2424.15</v>
      </c>
      <c r="F24" s="6">
        <f>IFERROR(__xludf.DUMMYFUNCTION("""COMPUTED_VALUE"""),6667167.0)</f>
        <v>6667167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IFERROR(__xludf.DUMMYFUNCTION("""COMPUTED_VALUE"""),2424.1)</f>
        <v>2424.1</v>
      </c>
      <c r="C25" s="6">
        <f>IFERROR(__xludf.DUMMYFUNCTION("""COMPUTED_VALUE"""),2429.85)</f>
        <v>2429.85</v>
      </c>
      <c r="D25" s="6">
        <f>IFERROR(__xludf.DUMMYFUNCTION("""COMPUTED_VALUE"""),2346.75)</f>
        <v>2346.75</v>
      </c>
      <c r="E25" s="6">
        <f>IFERROR(__xludf.DUMMYFUNCTION("""COMPUTED_VALUE"""),2375.25)</f>
        <v>2375.25</v>
      </c>
      <c r="F25" s="6">
        <f>IFERROR(__xludf.DUMMYFUNCTION("""COMPUTED_VALUE"""),8565297.0)</f>
        <v>8565297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IFERROR(__xludf.DUMMYFUNCTION("""COMPUTED_VALUE"""),2389.5)</f>
        <v>2389.5</v>
      </c>
      <c r="C26" s="6">
        <f>IFERROR(__xludf.DUMMYFUNCTION("""COMPUTED_VALUE"""),2422.8)</f>
        <v>2422.8</v>
      </c>
      <c r="D26" s="6">
        <f>IFERROR(__xludf.DUMMYFUNCTION("""COMPUTED_VALUE"""),2365.75)</f>
        <v>2365.75</v>
      </c>
      <c r="E26" s="6">
        <f>IFERROR(__xludf.DUMMYFUNCTION("""COMPUTED_VALUE"""),2394.1)</f>
        <v>2394.1</v>
      </c>
      <c r="F26" s="6">
        <f>IFERROR(__xludf.DUMMYFUNCTION("""COMPUTED_VALUE"""),6206747.0)</f>
        <v>6206747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IFERROR(__xludf.DUMMYFUNCTION("""COMPUTED_VALUE"""),2416.2)</f>
        <v>2416.2</v>
      </c>
      <c r="C27" s="6">
        <f>IFERROR(__xludf.DUMMYFUNCTION("""COMPUTED_VALUE"""),2427.9)</f>
        <v>2427.9</v>
      </c>
      <c r="D27" s="6">
        <f>IFERROR(__xludf.DUMMYFUNCTION("""COMPUTED_VALUE"""),2375.3)</f>
        <v>2375.3</v>
      </c>
      <c r="E27" s="6">
        <f>IFERROR(__xludf.DUMMYFUNCTION("""COMPUTED_VALUE"""),2419.55)</f>
        <v>2419.55</v>
      </c>
      <c r="F27" s="6">
        <f>IFERROR(__xludf.DUMMYFUNCTION("""COMPUTED_VALUE"""),6263275.0)</f>
        <v>6263275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IFERROR(__xludf.DUMMYFUNCTION("""COMPUTED_VALUE"""),2409.0)</f>
        <v>2409</v>
      </c>
      <c r="C28" s="6">
        <f>IFERROR(__xludf.DUMMYFUNCTION("""COMPUTED_VALUE"""),2413.0)</f>
        <v>2413</v>
      </c>
      <c r="D28" s="6">
        <f>IFERROR(__xludf.DUMMYFUNCTION("""COMPUTED_VALUE"""),2301.85)</f>
        <v>2301.85</v>
      </c>
      <c r="E28" s="6">
        <f>IFERROR(__xludf.DUMMYFUNCTION("""COMPUTED_VALUE"""),2327.7)</f>
        <v>2327.7</v>
      </c>
      <c r="F28" s="6">
        <f>IFERROR(__xludf.DUMMYFUNCTION("""COMPUTED_VALUE"""),1.0419505E7)</f>
        <v>10419505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IFERROR(__xludf.DUMMYFUNCTION("""COMPUTED_VALUE"""),2320.8)</f>
        <v>2320.8</v>
      </c>
      <c r="C29" s="6">
        <f>IFERROR(__xludf.DUMMYFUNCTION("""COMPUTED_VALUE"""),2325.0)</f>
        <v>2325</v>
      </c>
      <c r="D29" s="6">
        <f>IFERROR(__xludf.DUMMYFUNCTION("""COMPUTED_VALUE"""),2232.05)</f>
        <v>2232.05</v>
      </c>
      <c r="E29" s="6">
        <f>IFERROR(__xludf.DUMMYFUNCTION("""COMPUTED_VALUE"""),2256.55)</f>
        <v>2256.55</v>
      </c>
      <c r="F29" s="6">
        <f>IFERROR(__xludf.DUMMYFUNCTION("""COMPUTED_VALUE"""),1.6715348E7)</f>
        <v>16715348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IFERROR(__xludf.DUMMYFUNCTION("""COMPUTED_VALUE"""),2232.1)</f>
        <v>2232.1</v>
      </c>
      <c r="C30" s="6">
        <f>IFERROR(__xludf.DUMMYFUNCTION("""COMPUTED_VALUE"""),2287.9)</f>
        <v>2287.9</v>
      </c>
      <c r="D30" s="6">
        <f>IFERROR(__xludf.DUMMYFUNCTION("""COMPUTED_VALUE"""),2232.0)</f>
        <v>2232</v>
      </c>
      <c r="E30" s="6">
        <f>IFERROR(__xludf.DUMMYFUNCTION("""COMPUTED_VALUE"""),2264.35)</f>
        <v>2264.35</v>
      </c>
      <c r="F30" s="6">
        <f>IFERROR(__xludf.DUMMYFUNCTION("""COMPUTED_VALUE"""),8382248.0)</f>
        <v>8382248</v>
      </c>
    </row>
    <row r="31">
      <c r="A31" s="7">
        <f>IFERROR(__xludf.DUMMYFUNCTION("""COMPUTED_VALUE"""),45387.64583333333)</f>
        <v>45387.64583</v>
      </c>
      <c r="B31" s="6">
        <f>IFERROR(__xludf.DUMMYFUNCTION("""COMPUTED_VALUE"""),2270.0)</f>
        <v>2270</v>
      </c>
      <c r="C31" s="6">
        <f>IFERROR(__xludf.DUMMYFUNCTION("""COMPUTED_VALUE"""),2298.0)</f>
        <v>2298</v>
      </c>
      <c r="D31" s="6">
        <f>IFERROR(__xludf.DUMMYFUNCTION("""COMPUTED_VALUE"""),2249.25)</f>
        <v>2249.25</v>
      </c>
      <c r="E31" s="6">
        <f>IFERROR(__xludf.DUMMYFUNCTION("""COMPUTED_VALUE"""),2266.95)</f>
        <v>2266.95</v>
      </c>
      <c r="F31" s="6">
        <f>IFERROR(__xludf.DUMMYFUNCTION("""COMPUTED_VALUE"""),6868381.0)</f>
        <v>6868381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IFERROR(__xludf.DUMMYFUNCTION("""COMPUTED_VALUE"""),2277.0)</f>
        <v>2277</v>
      </c>
      <c r="C32" s="6">
        <f>IFERROR(__xludf.DUMMYFUNCTION("""COMPUTED_VALUE"""),2288.95)</f>
        <v>2288.95</v>
      </c>
      <c r="D32" s="6">
        <f>IFERROR(__xludf.DUMMYFUNCTION("""COMPUTED_VALUE"""),2228.6)</f>
        <v>2228.6</v>
      </c>
      <c r="E32" s="6">
        <f>IFERROR(__xludf.DUMMYFUNCTION("""COMPUTED_VALUE"""),2232.3)</f>
        <v>2232.3</v>
      </c>
      <c r="F32" s="6">
        <f>IFERROR(__xludf.DUMMYFUNCTION("""COMPUTED_VALUE"""),8014181.0)</f>
        <v>8014181</v>
      </c>
    </row>
    <row r="33">
      <c r="A33" s="7">
        <f>IFERROR(__xludf.DUMMYFUNCTION("""COMPUTED_VALUE"""),45401.64583333333)</f>
        <v>45401.64583</v>
      </c>
      <c r="B33" s="6">
        <f>IFERROR(__xludf.DUMMYFUNCTION("""COMPUTED_VALUE"""),2227.7)</f>
        <v>2227.7</v>
      </c>
      <c r="C33" s="6">
        <f>IFERROR(__xludf.DUMMYFUNCTION("""COMPUTED_VALUE"""),2243.75)</f>
        <v>2243.75</v>
      </c>
      <c r="D33" s="6">
        <f>IFERROR(__xludf.DUMMYFUNCTION("""COMPUTED_VALUE"""),2172.05)</f>
        <v>2172.05</v>
      </c>
      <c r="E33" s="6">
        <f>IFERROR(__xludf.DUMMYFUNCTION("""COMPUTED_VALUE"""),2231.6)</f>
        <v>2231.6</v>
      </c>
      <c r="F33" s="6">
        <f>IFERROR(__xludf.DUMMYFUNCTION("""COMPUTED_VALUE"""),1.3460558E7)</f>
        <v>13460558</v>
      </c>
    </row>
    <row r="34">
      <c r="A34" s="7">
        <f>IFERROR(__xludf.DUMMYFUNCTION("""COMPUTED_VALUE"""),45408.64583333333)</f>
        <v>45408.64583</v>
      </c>
      <c r="B34" s="6">
        <f>IFERROR(__xludf.DUMMYFUNCTION("""COMPUTED_VALUE"""),2250.0)</f>
        <v>2250</v>
      </c>
      <c r="C34" s="6">
        <f>IFERROR(__xludf.DUMMYFUNCTION("""COMPUTED_VALUE"""),2273.5)</f>
        <v>2273.5</v>
      </c>
      <c r="D34" s="6">
        <f>IFERROR(__xludf.DUMMYFUNCTION("""COMPUTED_VALUE"""),2215.1)</f>
        <v>2215.1</v>
      </c>
      <c r="E34" s="6">
        <f>IFERROR(__xludf.DUMMYFUNCTION("""COMPUTED_VALUE"""),2222.65)</f>
        <v>2222.65</v>
      </c>
      <c r="F34" s="6">
        <f>IFERROR(__xludf.DUMMYFUNCTION("""COMPUTED_VALUE"""),1.2459662E7)</f>
        <v>12459662</v>
      </c>
    </row>
    <row r="35">
      <c r="A35" s="7">
        <f>IFERROR(__xludf.DUMMYFUNCTION("""COMPUTED_VALUE"""),45415.64583333333)</f>
        <v>45415.64583</v>
      </c>
      <c r="B35" s="6">
        <f>IFERROR(__xludf.DUMMYFUNCTION("""COMPUTED_VALUE"""),2234.0)</f>
        <v>2234</v>
      </c>
      <c r="C35" s="6">
        <f>IFERROR(__xludf.DUMMYFUNCTION("""COMPUTED_VALUE"""),2243.2)</f>
        <v>2243.2</v>
      </c>
      <c r="D35" s="6">
        <f>IFERROR(__xludf.DUMMYFUNCTION("""COMPUTED_VALUE"""),2204.0)</f>
        <v>2204</v>
      </c>
      <c r="E35" s="6">
        <f>IFERROR(__xludf.DUMMYFUNCTION("""COMPUTED_VALUE"""),2217.05)</f>
        <v>2217.05</v>
      </c>
      <c r="F35" s="6">
        <f>IFERROR(__xludf.DUMMYFUNCTION("""COMPUTED_VALUE"""),8250084.0)</f>
        <v>8250084</v>
      </c>
    </row>
    <row r="36">
      <c r="A36" s="7">
        <f>IFERROR(__xludf.DUMMYFUNCTION("""COMPUTED_VALUE"""),45422.64583333333)</f>
        <v>45422.64583</v>
      </c>
      <c r="B36" s="6">
        <f>IFERROR(__xludf.DUMMYFUNCTION("""COMPUTED_VALUE"""),2225.0)</f>
        <v>2225</v>
      </c>
      <c r="C36" s="6">
        <f>IFERROR(__xludf.DUMMYFUNCTION("""COMPUTED_VALUE"""),2389.6)</f>
        <v>2389.6</v>
      </c>
      <c r="D36" s="6">
        <f>IFERROR(__xludf.DUMMYFUNCTION("""COMPUTED_VALUE"""),2212.0)</f>
        <v>2212</v>
      </c>
      <c r="E36" s="6">
        <f>IFERROR(__xludf.DUMMYFUNCTION("""COMPUTED_VALUE"""),2362.55)</f>
        <v>2362.55</v>
      </c>
      <c r="F36" s="6">
        <f>IFERROR(__xludf.DUMMYFUNCTION("""COMPUTED_VALUE"""),1.5879758E7)</f>
        <v>15879758</v>
      </c>
    </row>
    <row r="37">
      <c r="A37" s="7">
        <f>IFERROR(__xludf.DUMMYFUNCTION("""COMPUTED_VALUE"""),45436.64583333333)</f>
        <v>45436.64583</v>
      </c>
      <c r="B37" s="6">
        <f>IFERROR(__xludf.DUMMYFUNCTION("""COMPUTED_VALUE"""),2307.0)</f>
        <v>2307</v>
      </c>
      <c r="C37" s="6">
        <f>IFERROR(__xludf.DUMMYFUNCTION("""COMPUTED_VALUE"""),2386.8)</f>
        <v>2386.8</v>
      </c>
      <c r="D37" s="6">
        <f>IFERROR(__xludf.DUMMYFUNCTION("""COMPUTED_VALUE"""),2301.75)</f>
        <v>2301.75</v>
      </c>
      <c r="E37" s="6">
        <f>IFERROR(__xludf.DUMMYFUNCTION("""COMPUTED_VALUE"""),2369.05)</f>
        <v>2369.05</v>
      </c>
      <c r="F37" s="6">
        <f>IFERROR(__xludf.DUMMYFUNCTION("""COMPUTED_VALUE"""),6167628.0)</f>
        <v>6167628</v>
      </c>
    </row>
    <row r="38">
      <c r="A38" s="7">
        <f>IFERROR(__xludf.DUMMYFUNCTION("""COMPUTED_VALUE"""),45443.64583333333)</f>
        <v>45443.64583</v>
      </c>
      <c r="B38" s="6">
        <f>IFERROR(__xludf.DUMMYFUNCTION("""COMPUTED_VALUE"""),2369.05)</f>
        <v>2369.05</v>
      </c>
      <c r="C38" s="6">
        <f>IFERROR(__xludf.DUMMYFUNCTION("""COMPUTED_VALUE"""),2409.0)</f>
        <v>2409</v>
      </c>
      <c r="D38" s="6">
        <f>IFERROR(__xludf.DUMMYFUNCTION("""COMPUTED_VALUE"""),2317.6)</f>
        <v>2317.6</v>
      </c>
      <c r="E38" s="6">
        <f>IFERROR(__xludf.DUMMYFUNCTION("""COMPUTED_VALUE"""),2329.05)</f>
        <v>2329.05</v>
      </c>
      <c r="F38" s="6">
        <f>IFERROR(__xludf.DUMMYFUNCTION("""COMPUTED_VALUE"""),1.1707742E7)</f>
        <v>11707742</v>
      </c>
    </row>
    <row r="39">
      <c r="A39" s="7">
        <f>IFERROR(__xludf.DUMMYFUNCTION("""COMPUTED_VALUE"""),45450.64583333333)</f>
        <v>45450.64583</v>
      </c>
      <c r="B39" s="6">
        <f>IFERROR(__xludf.DUMMYFUNCTION("""COMPUTED_VALUE"""),2381.0)</f>
        <v>2381</v>
      </c>
      <c r="C39" s="6">
        <f>IFERROR(__xludf.DUMMYFUNCTION("""COMPUTED_VALUE"""),2723.95)</f>
        <v>2723.95</v>
      </c>
      <c r="D39" s="6">
        <f>IFERROR(__xludf.DUMMYFUNCTION("""COMPUTED_VALUE"""),2342.1)</f>
        <v>2342.1</v>
      </c>
      <c r="E39" s="6">
        <f>IFERROR(__xludf.DUMMYFUNCTION("""COMPUTED_VALUE"""),2577.8)</f>
        <v>2577.8</v>
      </c>
      <c r="F39" s="6">
        <f>IFERROR(__xludf.DUMMYFUNCTION("""COMPUTED_VALUE"""),2.8171369E7)</f>
        <v>28171369</v>
      </c>
    </row>
    <row r="40">
      <c r="A40" s="7">
        <f>IFERROR(__xludf.DUMMYFUNCTION("""COMPUTED_VALUE"""),45457.64583333333)</f>
        <v>45457.64583</v>
      </c>
      <c r="B40" s="6">
        <f>IFERROR(__xludf.DUMMYFUNCTION("""COMPUTED_VALUE"""),2579.0)</f>
        <v>2579</v>
      </c>
      <c r="C40" s="6">
        <f>IFERROR(__xludf.DUMMYFUNCTION("""COMPUTED_VALUE"""),2593.65)</f>
        <v>2593.65</v>
      </c>
      <c r="D40" s="6">
        <f>IFERROR(__xludf.DUMMYFUNCTION("""COMPUTED_VALUE"""),2446.45)</f>
        <v>2446.45</v>
      </c>
      <c r="E40" s="6">
        <f>IFERROR(__xludf.DUMMYFUNCTION("""COMPUTED_VALUE"""),2479.75)</f>
        <v>2479.75</v>
      </c>
      <c r="F40" s="6">
        <f>IFERROR(__xludf.DUMMYFUNCTION("""COMPUTED_VALUE"""),9458872.0)</f>
        <v>9458872</v>
      </c>
    </row>
    <row r="41">
      <c r="A41" s="7">
        <f>IFERROR(__xludf.DUMMYFUNCTION("""COMPUTED_VALUE"""),45464.64583333333)</f>
        <v>45464.64583</v>
      </c>
      <c r="B41" s="6">
        <f>IFERROR(__xludf.DUMMYFUNCTION("""COMPUTED_VALUE"""),2479.9)</f>
        <v>2479.9</v>
      </c>
      <c r="C41" s="6">
        <f>IFERROR(__xludf.DUMMYFUNCTION("""COMPUTED_VALUE"""),2498.0)</f>
        <v>2498</v>
      </c>
      <c r="D41" s="6">
        <f>IFERROR(__xludf.DUMMYFUNCTION("""COMPUTED_VALUE"""),2426.55)</f>
        <v>2426.55</v>
      </c>
      <c r="E41" s="6">
        <f>IFERROR(__xludf.DUMMYFUNCTION("""COMPUTED_VALUE"""),2441.3)</f>
        <v>2441.3</v>
      </c>
      <c r="F41" s="6">
        <f>IFERROR(__xludf.DUMMYFUNCTION("""COMPUTED_VALUE"""),8617434.0)</f>
        <v>8617434</v>
      </c>
    </row>
    <row r="42">
      <c r="A42" s="7">
        <f>IFERROR(__xludf.DUMMYFUNCTION("""COMPUTED_VALUE"""),45471.64583333333)</f>
        <v>45471.64583</v>
      </c>
      <c r="B42" s="6">
        <f>IFERROR(__xludf.DUMMYFUNCTION("""COMPUTED_VALUE"""),2435.0)</f>
        <v>2435</v>
      </c>
      <c r="C42" s="6">
        <f>IFERROR(__xludf.DUMMYFUNCTION("""COMPUTED_VALUE"""),2490.5)</f>
        <v>2490.5</v>
      </c>
      <c r="D42" s="6">
        <f>IFERROR(__xludf.DUMMYFUNCTION("""COMPUTED_VALUE"""),2427.05)</f>
        <v>2427.05</v>
      </c>
      <c r="E42" s="6">
        <f>IFERROR(__xludf.DUMMYFUNCTION("""COMPUTED_VALUE"""),2473.05)</f>
        <v>2473.05</v>
      </c>
      <c r="F42" s="6">
        <f>IFERROR(__xludf.DUMMYFUNCTION("""COMPUTED_VALUE"""),1.0050481E7)</f>
        <v>10050481</v>
      </c>
    </row>
    <row r="43">
      <c r="A43" s="7">
        <f>IFERROR(__xludf.DUMMYFUNCTION("""COMPUTED_VALUE"""),45478.64583333333)</f>
        <v>45478.64583</v>
      </c>
      <c r="B43" s="6">
        <f>IFERROR(__xludf.DUMMYFUNCTION("""COMPUTED_VALUE"""),2461.05)</f>
        <v>2461.05</v>
      </c>
      <c r="C43" s="6">
        <f>IFERROR(__xludf.DUMMYFUNCTION("""COMPUTED_VALUE"""),2554.0)</f>
        <v>2554</v>
      </c>
      <c r="D43" s="6">
        <f>IFERROR(__xludf.DUMMYFUNCTION("""COMPUTED_VALUE"""),2450.1)</f>
        <v>2450.1</v>
      </c>
      <c r="E43" s="6">
        <f>IFERROR(__xludf.DUMMYFUNCTION("""COMPUTED_VALUE"""),2547.0)</f>
        <v>2547</v>
      </c>
      <c r="F43" s="6">
        <f>IFERROR(__xludf.DUMMYFUNCTION("""COMPUTED_VALUE"""),9755776.0)</f>
        <v>9755776</v>
      </c>
    </row>
    <row r="44">
      <c r="A44" s="7">
        <f>IFERROR(__xludf.DUMMYFUNCTION("""COMPUTED_VALUE"""),45485.64583333333)</f>
        <v>45485.64583</v>
      </c>
      <c r="B44" s="6">
        <f>IFERROR(__xludf.DUMMYFUNCTION("""COMPUTED_VALUE"""),2560.0)</f>
        <v>2560</v>
      </c>
      <c r="C44" s="6">
        <f>IFERROR(__xludf.DUMMYFUNCTION("""COMPUTED_VALUE"""),2639.5)</f>
        <v>2639.5</v>
      </c>
      <c r="D44" s="6">
        <f>IFERROR(__xludf.DUMMYFUNCTION("""COMPUTED_VALUE"""),2536.25)</f>
        <v>2536.25</v>
      </c>
      <c r="E44" s="6">
        <f>IFERROR(__xludf.DUMMYFUNCTION("""COMPUTED_VALUE"""),2622.25)</f>
        <v>2622.25</v>
      </c>
      <c r="F44" s="6">
        <f>IFERROR(__xludf.DUMMYFUNCTION("""COMPUTED_VALUE"""),9407687.0)</f>
        <v>9407687</v>
      </c>
    </row>
    <row r="45">
      <c r="A45" s="7">
        <f>IFERROR(__xludf.DUMMYFUNCTION("""COMPUTED_VALUE"""),45492.64583333333)</f>
        <v>45492.64583</v>
      </c>
      <c r="B45" s="6">
        <f>IFERROR(__xludf.DUMMYFUNCTION("""COMPUTED_VALUE"""),2628.0)</f>
        <v>2628</v>
      </c>
      <c r="C45" s="6">
        <f>IFERROR(__xludf.DUMMYFUNCTION("""COMPUTED_VALUE"""),2751.2)</f>
        <v>2751.2</v>
      </c>
      <c r="D45" s="6">
        <f>IFERROR(__xludf.DUMMYFUNCTION("""COMPUTED_VALUE"""),2613.65)</f>
        <v>2613.65</v>
      </c>
      <c r="E45" s="6">
        <f>IFERROR(__xludf.DUMMYFUNCTION("""COMPUTED_VALUE"""),2727.0)</f>
        <v>2727</v>
      </c>
      <c r="F45" s="6">
        <f>IFERROR(__xludf.DUMMYFUNCTION("""COMPUTED_VALUE"""),1.1456728E7)</f>
        <v>11456728</v>
      </c>
    </row>
    <row r="46">
      <c r="A46" s="7">
        <f>IFERROR(__xludf.DUMMYFUNCTION("""COMPUTED_VALUE"""),45499.64583333333)</f>
        <v>45499.64583</v>
      </c>
      <c r="B46" s="6">
        <f>IFERROR(__xludf.DUMMYFUNCTION("""COMPUTED_VALUE"""),2705.7)</f>
        <v>2705.7</v>
      </c>
      <c r="C46" s="6">
        <f>IFERROR(__xludf.DUMMYFUNCTION("""COMPUTED_VALUE"""),2811.3)</f>
        <v>2811.3</v>
      </c>
      <c r="D46" s="6">
        <f>IFERROR(__xludf.DUMMYFUNCTION("""COMPUTED_VALUE"""),2670.0)</f>
        <v>2670</v>
      </c>
      <c r="E46" s="6">
        <f>IFERROR(__xludf.DUMMYFUNCTION("""COMPUTED_VALUE"""),2711.05)</f>
        <v>2711.05</v>
      </c>
      <c r="F46" s="6">
        <f>IFERROR(__xludf.DUMMYFUNCTION("""COMPUTED_VALUE"""),1.3731794E7)</f>
        <v>13731794</v>
      </c>
    </row>
    <row r="47">
      <c r="A47" s="7">
        <f>IFERROR(__xludf.DUMMYFUNCTION("""COMPUTED_VALUE"""),45506.64583333333)</f>
        <v>45506.64583</v>
      </c>
      <c r="B47" s="6">
        <f>IFERROR(__xludf.DUMMYFUNCTION("""COMPUTED_VALUE"""),2711.2)</f>
        <v>2711.2</v>
      </c>
      <c r="C47" s="6">
        <f>IFERROR(__xludf.DUMMYFUNCTION("""COMPUTED_VALUE"""),2759.5)</f>
        <v>2759.5</v>
      </c>
      <c r="D47" s="6">
        <f>IFERROR(__xludf.DUMMYFUNCTION("""COMPUTED_VALUE"""),2675.05)</f>
        <v>2675.05</v>
      </c>
      <c r="E47" s="6">
        <f>IFERROR(__xludf.DUMMYFUNCTION("""COMPUTED_VALUE"""),2692.55)</f>
        <v>2692.55</v>
      </c>
      <c r="F47" s="6">
        <f>IFERROR(__xludf.DUMMYFUNCTION("""COMPUTED_VALUE"""),7893759.0)</f>
        <v>7893759</v>
      </c>
    </row>
    <row r="48">
      <c r="A48" s="7">
        <f>IFERROR(__xludf.DUMMYFUNCTION("""COMPUTED_VALUE"""),45513.64583333333)</f>
        <v>45513.64583</v>
      </c>
      <c r="B48" s="6">
        <f>IFERROR(__xludf.DUMMYFUNCTION("""COMPUTED_VALUE"""),2675.95)</f>
        <v>2675.95</v>
      </c>
      <c r="C48" s="6">
        <f>IFERROR(__xludf.DUMMYFUNCTION("""COMPUTED_VALUE"""),2781.85)</f>
        <v>2781.85</v>
      </c>
      <c r="D48" s="6">
        <f>IFERROR(__xludf.DUMMYFUNCTION("""COMPUTED_VALUE"""),2666.2)</f>
        <v>2666.2</v>
      </c>
      <c r="E48" s="6">
        <f>IFERROR(__xludf.DUMMYFUNCTION("""COMPUTED_VALUE"""),2747.2)</f>
        <v>2747.2</v>
      </c>
      <c r="F48" s="6">
        <f>IFERROR(__xludf.DUMMYFUNCTION("""COMPUTED_VALUE"""),9876829.0)</f>
        <v>9876829</v>
      </c>
    </row>
    <row r="49">
      <c r="A49" s="7">
        <f>IFERROR(__xludf.DUMMYFUNCTION("""COMPUTED_VALUE"""),45520.64583333333)</f>
        <v>45520.64583</v>
      </c>
      <c r="B49" s="6">
        <f>IFERROR(__xludf.DUMMYFUNCTION("""COMPUTED_VALUE"""),2738.0)</f>
        <v>2738</v>
      </c>
      <c r="C49" s="6">
        <f>IFERROR(__xludf.DUMMYFUNCTION("""COMPUTED_VALUE"""),2763.4)</f>
        <v>2763.4</v>
      </c>
      <c r="D49" s="6">
        <f>IFERROR(__xludf.DUMMYFUNCTION("""COMPUTED_VALUE"""),2706.6)</f>
        <v>2706.6</v>
      </c>
      <c r="E49" s="6">
        <f>IFERROR(__xludf.DUMMYFUNCTION("""COMPUTED_VALUE"""),2748.25)</f>
        <v>2748.25</v>
      </c>
      <c r="F49" s="6">
        <f>IFERROR(__xludf.DUMMYFUNCTION("""COMPUTED_VALUE"""),5023336.0)</f>
        <v>5023336</v>
      </c>
    </row>
    <row r="50">
      <c r="A50" s="7">
        <f>IFERROR(__xludf.DUMMYFUNCTION("""COMPUTED_VALUE"""),45527.64583333333)</f>
        <v>45527.64583</v>
      </c>
      <c r="B50" s="6">
        <f>IFERROR(__xludf.DUMMYFUNCTION("""COMPUTED_VALUE"""),2750.05)</f>
        <v>2750.05</v>
      </c>
      <c r="C50" s="6">
        <f>IFERROR(__xludf.DUMMYFUNCTION("""COMPUTED_VALUE"""),2821.0)</f>
        <v>2821</v>
      </c>
      <c r="D50" s="6">
        <f>IFERROR(__xludf.DUMMYFUNCTION("""COMPUTED_VALUE"""),2735.05)</f>
        <v>2735.05</v>
      </c>
      <c r="E50" s="6">
        <f>IFERROR(__xludf.DUMMYFUNCTION("""COMPUTED_VALUE"""),2815.6)</f>
        <v>2815.6</v>
      </c>
      <c r="F50" s="6">
        <f>IFERROR(__xludf.DUMMYFUNCTION("""COMPUTED_VALUE"""),7310293.0)</f>
        <v>7310293</v>
      </c>
    </row>
    <row r="51">
      <c r="A51" s="7">
        <f>IFERROR(__xludf.DUMMYFUNCTION("""COMPUTED_VALUE"""),45534.64583333333)</f>
        <v>45534.64583</v>
      </c>
      <c r="B51" s="6">
        <f>IFERROR(__xludf.DUMMYFUNCTION("""COMPUTED_VALUE"""),2815.6)</f>
        <v>2815.6</v>
      </c>
      <c r="C51" s="6">
        <f>IFERROR(__xludf.DUMMYFUNCTION("""COMPUTED_VALUE"""),2834.95)</f>
        <v>2834.95</v>
      </c>
      <c r="D51" s="6">
        <f>IFERROR(__xludf.DUMMYFUNCTION("""COMPUTED_VALUE"""),2745.0)</f>
        <v>2745</v>
      </c>
      <c r="E51" s="6">
        <f>IFERROR(__xludf.DUMMYFUNCTION("""COMPUTED_VALUE"""),2778.0)</f>
        <v>2778</v>
      </c>
      <c r="F51" s="6">
        <f>IFERROR(__xludf.DUMMYFUNCTION("""COMPUTED_VALUE"""),1.0392651E7)</f>
        <v>10392651</v>
      </c>
    </row>
    <row r="52">
      <c r="A52" s="7">
        <f>IFERROR(__xludf.DUMMYFUNCTION("""COMPUTED_VALUE"""),45541.64583333333)</f>
        <v>45541.64583</v>
      </c>
      <c r="B52" s="6">
        <f>IFERROR(__xludf.DUMMYFUNCTION("""COMPUTED_VALUE"""),2794.0)</f>
        <v>2794</v>
      </c>
      <c r="C52" s="6">
        <f>IFERROR(__xludf.DUMMYFUNCTION("""COMPUTED_VALUE"""),2866.45)</f>
        <v>2866.45</v>
      </c>
      <c r="D52" s="6">
        <f>IFERROR(__xludf.DUMMYFUNCTION("""COMPUTED_VALUE"""),2771.65)</f>
        <v>2771.65</v>
      </c>
      <c r="E52" s="6">
        <f>IFERROR(__xludf.DUMMYFUNCTION("""COMPUTED_VALUE"""),2838.95)</f>
        <v>2838.95</v>
      </c>
      <c r="F52" s="6">
        <f>IFERROR(__xludf.DUMMYFUNCTION("""COMPUTED_VALUE"""),8238955.0)</f>
        <v>8238955</v>
      </c>
    </row>
    <row r="53">
      <c r="A53" s="7">
        <f>IFERROR(__xludf.DUMMYFUNCTION("""COMPUTED_VALUE"""),45548.64583333333)</f>
        <v>45548.64583</v>
      </c>
      <c r="B53" s="6">
        <f>IFERROR(__xludf.DUMMYFUNCTION("""COMPUTED_VALUE"""),2853.1)</f>
        <v>2853.1</v>
      </c>
      <c r="C53" s="6">
        <f>IFERROR(__xludf.DUMMYFUNCTION("""COMPUTED_VALUE"""),2963.4)</f>
        <v>2963.4</v>
      </c>
      <c r="D53" s="6">
        <f>IFERROR(__xludf.DUMMYFUNCTION("""COMPUTED_VALUE"""),2843.2)</f>
        <v>2843.2</v>
      </c>
      <c r="E53" s="6">
        <f>IFERROR(__xludf.DUMMYFUNCTION("""COMPUTED_VALUE"""),2932.95)</f>
        <v>2932.95</v>
      </c>
      <c r="F53" s="6">
        <f>IFERROR(__xludf.DUMMYFUNCTION("""COMPUTED_VALUE"""),1.1149568E7)</f>
        <v>11149568</v>
      </c>
    </row>
    <row r="54">
      <c r="A54" s="7">
        <f>IFERROR(__xludf.DUMMYFUNCTION("""COMPUTED_VALUE"""),45555.64583333333)</f>
        <v>45555.64583</v>
      </c>
      <c r="B54" s="6">
        <f>IFERROR(__xludf.DUMMYFUNCTION("""COMPUTED_VALUE"""),2910.0)</f>
        <v>2910</v>
      </c>
      <c r="C54" s="6">
        <f>IFERROR(__xludf.DUMMYFUNCTION("""COMPUTED_VALUE"""),2989.35)</f>
        <v>2989.35</v>
      </c>
      <c r="D54" s="6">
        <f>IFERROR(__xludf.DUMMYFUNCTION("""COMPUTED_VALUE"""),2807.4)</f>
        <v>2807.4</v>
      </c>
      <c r="E54" s="6">
        <f>IFERROR(__xludf.DUMMYFUNCTION("""COMPUTED_VALUE"""),2977.6)</f>
        <v>2977.6</v>
      </c>
      <c r="F54" s="6">
        <f>IFERROR(__xludf.DUMMYFUNCTION("""COMPUTED_VALUE"""),8407156.0)</f>
        <v>8407156</v>
      </c>
    </row>
    <row r="55">
      <c r="A55" s="7">
        <f>IFERROR(__xludf.DUMMYFUNCTION("""COMPUTED_VALUE"""),45562.64583333333)</f>
        <v>45562.64583</v>
      </c>
      <c r="B55" s="6">
        <f>IFERROR(__xludf.DUMMYFUNCTION("""COMPUTED_VALUE"""),2980.0)</f>
        <v>2980</v>
      </c>
      <c r="C55" s="6">
        <f>IFERROR(__xludf.DUMMYFUNCTION("""COMPUTED_VALUE"""),3035.0)</f>
        <v>3035</v>
      </c>
      <c r="D55" s="6">
        <f>IFERROR(__xludf.DUMMYFUNCTION("""COMPUTED_VALUE"""),2905.1)</f>
        <v>2905.1</v>
      </c>
      <c r="E55" s="6">
        <f>IFERROR(__xludf.DUMMYFUNCTION("""COMPUTED_VALUE"""),2966.25)</f>
        <v>2966.25</v>
      </c>
      <c r="F55" s="6">
        <f>IFERROR(__xludf.DUMMYFUNCTION("""COMPUTED_VALUE"""),9165102.0)</f>
        <v>9165102</v>
      </c>
    </row>
    <row r="56">
      <c r="A56" s="7">
        <f>IFERROR(__xludf.DUMMYFUNCTION("""COMPUTED_VALUE"""),45569.64583333333)</f>
        <v>45569.64583</v>
      </c>
      <c r="B56" s="6">
        <f>IFERROR(__xludf.DUMMYFUNCTION("""COMPUTED_VALUE"""),2964.2)</f>
        <v>2964.2</v>
      </c>
      <c r="C56" s="6">
        <f>IFERROR(__xludf.DUMMYFUNCTION("""COMPUTED_VALUE"""),2997.9)</f>
        <v>2997.9</v>
      </c>
      <c r="D56" s="6">
        <f>IFERROR(__xludf.DUMMYFUNCTION("""COMPUTED_VALUE"""),2817.05)</f>
        <v>2817.05</v>
      </c>
      <c r="E56" s="6">
        <f>IFERROR(__xludf.DUMMYFUNCTION("""COMPUTED_VALUE"""),2848.75)</f>
        <v>2848.75</v>
      </c>
      <c r="F56" s="6">
        <f>IFERROR(__xludf.DUMMYFUNCTION("""COMPUTED_VALUE"""),6502277.0)</f>
        <v>6502277</v>
      </c>
    </row>
    <row r="57">
      <c r="A57" s="7">
        <f>IFERROR(__xludf.DUMMYFUNCTION("""COMPUTED_VALUE"""),45576.64583333333)</f>
        <v>45576.64583</v>
      </c>
      <c r="B57" s="6">
        <f>IFERROR(__xludf.DUMMYFUNCTION("""COMPUTED_VALUE"""),2845.0)</f>
        <v>2845</v>
      </c>
      <c r="C57" s="6">
        <f>IFERROR(__xludf.DUMMYFUNCTION("""COMPUTED_VALUE"""),2886.0)</f>
        <v>2886</v>
      </c>
      <c r="D57" s="6">
        <f>IFERROR(__xludf.DUMMYFUNCTION("""COMPUTED_VALUE"""),2733.2)</f>
        <v>2733.2</v>
      </c>
      <c r="E57" s="6">
        <f>IFERROR(__xludf.DUMMYFUNCTION("""COMPUTED_VALUE"""),2783.2)</f>
        <v>2783.2</v>
      </c>
      <c r="F57" s="6">
        <f>IFERROR(__xludf.DUMMYFUNCTION("""COMPUTED_VALUE"""),7263130.0)</f>
        <v>7263130</v>
      </c>
    </row>
    <row r="58">
      <c r="A58" s="7">
        <f>IFERROR(__xludf.DUMMYFUNCTION("""COMPUTED_VALUE"""),45583.64583333333)</f>
        <v>45583.64583</v>
      </c>
      <c r="B58" s="6">
        <f>IFERROR(__xludf.DUMMYFUNCTION("""COMPUTED_VALUE"""),2791.6)</f>
        <v>2791.6</v>
      </c>
      <c r="C58" s="6">
        <f>IFERROR(__xludf.DUMMYFUNCTION("""COMPUTED_VALUE"""),2804.7)</f>
        <v>2804.7</v>
      </c>
      <c r="D58" s="6">
        <f>IFERROR(__xludf.DUMMYFUNCTION("""COMPUTED_VALUE"""),2693.45)</f>
        <v>2693.45</v>
      </c>
      <c r="E58" s="6">
        <f>IFERROR(__xludf.DUMMYFUNCTION("""COMPUTED_VALUE"""),2717.1)</f>
        <v>2717.1</v>
      </c>
      <c r="F58" s="6">
        <f>IFERROR(__xludf.DUMMYFUNCTION("""COMPUTED_VALUE"""),5632992.0)</f>
        <v>5632992</v>
      </c>
    </row>
    <row r="59">
      <c r="A59" s="7">
        <f>IFERROR(__xludf.DUMMYFUNCTION("""COMPUTED_VALUE"""),45590.64583333333)</f>
        <v>45590.64583</v>
      </c>
      <c r="B59" s="6">
        <f>IFERROR(__xludf.DUMMYFUNCTION("""COMPUTED_VALUE"""),2715.0)</f>
        <v>2715</v>
      </c>
      <c r="C59" s="6">
        <f>IFERROR(__xludf.DUMMYFUNCTION("""COMPUTED_VALUE"""),2738.0)</f>
        <v>2738</v>
      </c>
      <c r="D59" s="6">
        <f>IFERROR(__xludf.DUMMYFUNCTION("""COMPUTED_VALUE"""),2452.6)</f>
        <v>2452.6</v>
      </c>
      <c r="E59" s="6">
        <f>IFERROR(__xludf.DUMMYFUNCTION("""COMPUTED_VALUE"""),2528.05)</f>
        <v>2528.05</v>
      </c>
      <c r="F59" s="6">
        <f>IFERROR(__xludf.DUMMYFUNCTION("""COMPUTED_VALUE"""),1.5473993E7)</f>
        <v>15473993</v>
      </c>
    </row>
    <row r="60">
      <c r="A60" s="7">
        <f>IFERROR(__xludf.DUMMYFUNCTION("""COMPUTED_VALUE"""),45604.64583333333)</f>
        <v>45604.64583</v>
      </c>
      <c r="B60" s="6">
        <f>IFERROR(__xludf.DUMMYFUNCTION("""COMPUTED_VALUE"""),2547.0)</f>
        <v>2547</v>
      </c>
      <c r="C60" s="6">
        <f>IFERROR(__xludf.DUMMYFUNCTION("""COMPUTED_VALUE"""),2547.0)</f>
        <v>2547</v>
      </c>
      <c r="D60" s="6">
        <f>IFERROR(__xludf.DUMMYFUNCTION("""COMPUTED_VALUE"""),2466.1)</f>
        <v>2466.1</v>
      </c>
      <c r="E60" s="6">
        <f>IFERROR(__xludf.DUMMYFUNCTION("""COMPUTED_VALUE"""),2507.7)</f>
        <v>2507.7</v>
      </c>
      <c r="F60" s="6">
        <f>IFERROR(__xludf.DUMMYFUNCTION("""COMPUTED_VALUE"""),6041795.0)</f>
        <v>6041795</v>
      </c>
    </row>
    <row r="61">
      <c r="A61" s="7">
        <f>IFERROR(__xludf.DUMMYFUNCTION("""COMPUTED_VALUE"""),45610.64583333333)</f>
        <v>45610.64583</v>
      </c>
      <c r="B61" s="6">
        <f>IFERROR(__xludf.DUMMYFUNCTION("""COMPUTED_VALUE"""),2509.0)</f>
        <v>2509</v>
      </c>
      <c r="C61" s="6">
        <f>IFERROR(__xludf.DUMMYFUNCTION("""COMPUTED_VALUE"""),2514.9)</f>
        <v>2514.9</v>
      </c>
      <c r="D61" s="6">
        <f>IFERROR(__xludf.DUMMYFUNCTION("""COMPUTED_VALUE"""),2383.7)</f>
        <v>2383.7</v>
      </c>
      <c r="E61" s="6">
        <f>IFERROR(__xludf.DUMMYFUNCTION("""COMPUTED_VALUE"""),2389.2)</f>
        <v>2389.2</v>
      </c>
      <c r="F61" s="6">
        <f>IFERROR(__xludf.DUMMYFUNCTION("""COMPUTED_VALUE"""),6505209.0)</f>
        <v>6505209</v>
      </c>
    </row>
    <row r="62">
      <c r="A62" s="7">
        <f>IFERROR(__xludf.DUMMYFUNCTION("""COMPUTED_VALUE"""),45618.64583333333)</f>
        <v>45618.64583</v>
      </c>
      <c r="B62" s="6">
        <f>IFERROR(__xludf.DUMMYFUNCTION("""COMPUTED_VALUE"""),2401.15)</f>
        <v>2401.15</v>
      </c>
      <c r="C62" s="6">
        <f>IFERROR(__xludf.DUMMYFUNCTION("""COMPUTED_VALUE"""),2452.1)</f>
        <v>2452.1</v>
      </c>
      <c r="D62" s="6">
        <f>IFERROR(__xludf.DUMMYFUNCTION("""COMPUTED_VALUE"""),2375.75)</f>
        <v>2375.75</v>
      </c>
      <c r="E62" s="6">
        <f>IFERROR(__xludf.DUMMYFUNCTION("""COMPUTED_VALUE"""),2445.25)</f>
        <v>2445.25</v>
      </c>
      <c r="F62" s="6">
        <f>IFERROR(__xludf.DUMMYFUNCTION("""COMPUTED_VALUE"""),5495885.0)</f>
        <v>5495885</v>
      </c>
    </row>
    <row r="63">
      <c r="A63" s="7">
        <f>IFERROR(__xludf.DUMMYFUNCTION("""COMPUTED_VALUE"""),45625.64583333333)</f>
        <v>45625.64583</v>
      </c>
      <c r="B63" s="6">
        <f>IFERROR(__xludf.DUMMYFUNCTION("""COMPUTED_VALUE"""),2470.0)</f>
        <v>2470</v>
      </c>
      <c r="C63" s="6">
        <f>IFERROR(__xludf.DUMMYFUNCTION("""COMPUTED_VALUE"""),2539.15)</f>
        <v>2539.15</v>
      </c>
      <c r="D63" s="6">
        <f>IFERROR(__xludf.DUMMYFUNCTION("""COMPUTED_VALUE"""),2453.2)</f>
        <v>2453.2</v>
      </c>
      <c r="E63" s="6">
        <f>IFERROR(__xludf.DUMMYFUNCTION("""COMPUTED_VALUE"""),2496.15)</f>
        <v>2496.15</v>
      </c>
      <c r="F63" s="6">
        <f>IFERROR(__xludf.DUMMYFUNCTION("""COMPUTED_VALUE"""),1.0634413E7)</f>
        <v>10634413</v>
      </c>
    </row>
    <row r="64">
      <c r="A64" s="7">
        <f>IFERROR(__xludf.DUMMYFUNCTION("""COMPUTED_VALUE"""),45632.64583333333)</f>
        <v>45632.64583</v>
      </c>
      <c r="B64" s="6">
        <f>IFERROR(__xludf.DUMMYFUNCTION("""COMPUTED_VALUE"""),2485.0)</f>
        <v>2485</v>
      </c>
      <c r="C64" s="6">
        <f>IFERROR(__xludf.DUMMYFUNCTION("""COMPUTED_VALUE"""),2515.0)</f>
        <v>2515</v>
      </c>
      <c r="D64" s="6">
        <f>IFERROR(__xludf.DUMMYFUNCTION("""COMPUTED_VALUE"""),2450.05)</f>
        <v>2450.05</v>
      </c>
      <c r="E64" s="6">
        <f>IFERROR(__xludf.DUMMYFUNCTION("""COMPUTED_VALUE"""),2483.8)</f>
        <v>2483.8</v>
      </c>
      <c r="F64" s="6">
        <f>IFERROR(__xludf.DUMMYFUNCTION("""COMPUTED_VALUE"""),7349957.0)</f>
        <v>7349957</v>
      </c>
    </row>
    <row r="65">
      <c r="A65" s="7">
        <f>IFERROR(__xludf.DUMMYFUNCTION("""COMPUTED_VALUE"""),45639.64583333333)</f>
        <v>45639.64583</v>
      </c>
      <c r="B65" s="6">
        <f>IFERROR(__xludf.DUMMYFUNCTION("""COMPUTED_VALUE"""),2465.0)</f>
        <v>2465</v>
      </c>
      <c r="C65" s="6">
        <f>IFERROR(__xludf.DUMMYFUNCTION("""COMPUTED_VALUE"""),2476.95)</f>
        <v>2476.95</v>
      </c>
      <c r="D65" s="6">
        <f>IFERROR(__xludf.DUMMYFUNCTION("""COMPUTED_VALUE"""),2333.45)</f>
        <v>2333.45</v>
      </c>
      <c r="E65" s="6">
        <f>IFERROR(__xludf.DUMMYFUNCTION("""COMPUTED_VALUE"""),2390.1)</f>
        <v>2390.1</v>
      </c>
      <c r="F65" s="6">
        <f>IFERROR(__xludf.DUMMYFUNCTION("""COMPUTED_VALUE"""),1.2659042E7)</f>
        <v>12659042</v>
      </c>
    </row>
    <row r="66">
      <c r="A66" s="7">
        <f>IFERROR(__xludf.DUMMYFUNCTION("""COMPUTED_VALUE"""),45646.64583333333)</f>
        <v>45646.64583</v>
      </c>
      <c r="B66" s="6">
        <f>IFERROR(__xludf.DUMMYFUNCTION("""COMPUTED_VALUE"""),2390.3)</f>
        <v>2390.3</v>
      </c>
      <c r="C66" s="6">
        <f>IFERROR(__xludf.DUMMYFUNCTION("""COMPUTED_VALUE"""),2393.0)</f>
        <v>2393</v>
      </c>
      <c r="D66" s="6">
        <f>IFERROR(__xludf.DUMMYFUNCTION("""COMPUTED_VALUE"""),2324.65)</f>
        <v>2324.65</v>
      </c>
      <c r="E66" s="6">
        <f>IFERROR(__xludf.DUMMYFUNCTION("""COMPUTED_VALUE"""),2333.9)</f>
        <v>2333.9</v>
      </c>
      <c r="F66" s="6">
        <f>IFERROR(__xludf.DUMMYFUNCTION("""COMPUTED_VALUE"""),8093130.0)</f>
        <v>8093130</v>
      </c>
    </row>
    <row r="67">
      <c r="A67" s="7">
        <f>IFERROR(__xludf.DUMMYFUNCTION("""COMPUTED_VALUE"""),45653.64583333333)</f>
        <v>45653.64583</v>
      </c>
      <c r="B67" s="6">
        <f>IFERROR(__xludf.DUMMYFUNCTION("""COMPUTED_VALUE"""),2337.0)</f>
        <v>2337</v>
      </c>
      <c r="C67" s="6">
        <f>IFERROR(__xludf.DUMMYFUNCTION("""COMPUTED_VALUE"""),2356.95)</f>
        <v>2356.95</v>
      </c>
      <c r="D67" s="6">
        <f>IFERROR(__xludf.DUMMYFUNCTION("""COMPUTED_VALUE"""),2315.25)</f>
        <v>2315.25</v>
      </c>
      <c r="E67" s="6">
        <f>IFERROR(__xludf.DUMMYFUNCTION("""COMPUTED_VALUE"""),2341.25)</f>
        <v>2341.25</v>
      </c>
      <c r="F67" s="6">
        <f>IFERROR(__xludf.DUMMYFUNCTION("""COMPUTED_VALUE"""),3340430.0)</f>
        <v>3340430</v>
      </c>
    </row>
    <row r="68">
      <c r="A68" s="7">
        <f>IFERROR(__xludf.DUMMYFUNCTION("""COMPUTED_VALUE"""),45660.64583333333)</f>
        <v>45660.64583</v>
      </c>
      <c r="B68" s="6">
        <f>IFERROR(__xludf.DUMMYFUNCTION("""COMPUTED_VALUE"""),2341.5)</f>
        <v>2341.5</v>
      </c>
      <c r="C68" s="6">
        <f>IFERROR(__xludf.DUMMYFUNCTION("""COMPUTED_VALUE"""),2414.6)</f>
        <v>2414.6</v>
      </c>
      <c r="D68" s="6">
        <f>IFERROR(__xludf.DUMMYFUNCTION("""COMPUTED_VALUE"""),2315.5)</f>
        <v>2315.5</v>
      </c>
      <c r="E68" s="6">
        <f>IFERROR(__xludf.DUMMYFUNCTION("""COMPUTED_VALUE"""),2406.25)</f>
        <v>2406.25</v>
      </c>
      <c r="F68" s="6">
        <f>IFERROR(__xludf.DUMMYFUNCTION("""COMPUTED_VALUE"""),6287818.0)</f>
        <v>6287818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IFERROR(__xludf.DUMMYFUNCTION("""COMPUTED_VALUE"""),2418.0)</f>
        <v>2418</v>
      </c>
      <c r="C69" s="6">
        <f>IFERROR(__xludf.DUMMYFUNCTION("""COMPUTED_VALUE"""),2473.65)</f>
        <v>2473.65</v>
      </c>
      <c r="D69" s="6">
        <f>IFERROR(__xludf.DUMMYFUNCTION("""COMPUTED_VALUE"""),2361.65)</f>
        <v>2361.65</v>
      </c>
      <c r="E69" s="6">
        <f>IFERROR(__xludf.DUMMYFUNCTION("""COMPUTED_VALUE"""),2442.05)</f>
        <v>2442.05</v>
      </c>
      <c r="F69" s="6">
        <f>IFERROR(__xludf.DUMMYFUNCTION("""COMPUTED_VALUE"""),6853716.0)</f>
        <v>6853716</v>
      </c>
    </row>
    <row r="70">
      <c r="A70" s="7">
        <f>IFERROR(__xludf.DUMMYFUNCTION("""COMPUTED_VALUE"""),45674.64583333333)</f>
        <v>45674.64583</v>
      </c>
      <c r="B70" s="6">
        <f>IFERROR(__xludf.DUMMYFUNCTION("""COMPUTED_VALUE"""),2417.05)</f>
        <v>2417.05</v>
      </c>
      <c r="C70" s="6">
        <f>IFERROR(__xludf.DUMMYFUNCTION("""COMPUTED_VALUE"""),2468.0)</f>
        <v>2468</v>
      </c>
      <c r="D70" s="6">
        <f>IFERROR(__xludf.DUMMYFUNCTION("""COMPUTED_VALUE"""),2326.05)</f>
        <v>2326.05</v>
      </c>
      <c r="E70" s="6">
        <f>IFERROR(__xludf.DUMMYFUNCTION("""COMPUTED_VALUE"""),2354.0)</f>
        <v>2354</v>
      </c>
      <c r="F70" s="6">
        <f>IFERROR(__xludf.DUMMYFUNCTION("""COMPUTED_VALUE"""),9958505.0)</f>
        <v>9958505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IFERROR(__xludf.DUMMYFUNCTION("""COMPUTED_VALUE"""),2356.45)</f>
        <v>2356.45</v>
      </c>
      <c r="C71" s="6">
        <f>IFERROR(__xludf.DUMMYFUNCTION("""COMPUTED_VALUE"""),2380.8)</f>
        <v>2380.8</v>
      </c>
      <c r="D71" s="6">
        <f>IFERROR(__xludf.DUMMYFUNCTION("""COMPUTED_VALUE"""),2253.85)</f>
        <v>2253.85</v>
      </c>
      <c r="E71" s="6">
        <f>IFERROR(__xludf.DUMMYFUNCTION("""COMPUTED_VALUE"""),2368.1)</f>
        <v>2368.1</v>
      </c>
      <c r="F71" s="6">
        <f>IFERROR(__xludf.DUMMYFUNCTION("""COMPUTED_VALUE"""),1.0980794E7)</f>
        <v>10980794</v>
      </c>
    </row>
    <row r="72">
      <c r="A72" s="7">
        <f>IFERROR(__xludf.DUMMYFUNCTION("""COMPUTED_VALUE"""),45695.64583333333)</f>
        <v>45695.64583</v>
      </c>
      <c r="B72" s="6">
        <f>IFERROR(__xludf.DUMMYFUNCTION("""COMPUTED_VALUE"""),2505.0)</f>
        <v>2505</v>
      </c>
      <c r="C72" s="6">
        <f>IFERROR(__xludf.DUMMYFUNCTION("""COMPUTED_VALUE"""),2520.0)</f>
        <v>2520</v>
      </c>
      <c r="D72" s="6">
        <f>IFERROR(__xludf.DUMMYFUNCTION("""COMPUTED_VALUE"""),2336.1)</f>
        <v>2336.1</v>
      </c>
      <c r="E72" s="6">
        <f>IFERROR(__xludf.DUMMYFUNCTION("""COMPUTED_VALUE"""),2363.85)</f>
        <v>2363.85</v>
      </c>
      <c r="F72" s="6">
        <f>IFERROR(__xludf.DUMMYFUNCTION("""COMPUTED_VALUE"""),7866085.0)</f>
        <v>7866085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IFERROR(__xludf.DUMMYFUNCTION("""COMPUTED_VALUE"""),2370.9)</f>
        <v>2370.9</v>
      </c>
      <c r="C73" s="6">
        <f>IFERROR(__xludf.DUMMYFUNCTION("""COMPUTED_VALUE"""),2398.0)</f>
        <v>2398</v>
      </c>
      <c r="D73" s="6">
        <f>IFERROR(__xludf.DUMMYFUNCTION("""COMPUTED_VALUE"""),2296.55)</f>
        <v>2296.55</v>
      </c>
      <c r="E73" s="6">
        <f>IFERROR(__xludf.DUMMYFUNCTION("""COMPUTED_VALUE"""),2318.35)</f>
        <v>2318.35</v>
      </c>
      <c r="F73" s="6">
        <f>IFERROR(__xludf.DUMMYFUNCTION("""COMPUTED_VALUE"""),6527870.0)</f>
        <v>6527870</v>
      </c>
    </row>
    <row r="74">
      <c r="A74" s="7">
        <f>IFERROR(__xludf.DUMMYFUNCTION("""COMPUTED_VALUE"""),45709.64583333333)</f>
        <v>45709.64583</v>
      </c>
      <c r="B74" s="6">
        <f>IFERROR(__xludf.DUMMYFUNCTION("""COMPUTED_VALUE"""),2318.35)</f>
        <v>2318.35</v>
      </c>
      <c r="C74" s="6">
        <f>IFERROR(__xludf.DUMMYFUNCTION("""COMPUTED_VALUE"""),2338.55)</f>
        <v>2338.55</v>
      </c>
      <c r="D74" s="6">
        <f>IFERROR(__xludf.DUMMYFUNCTION("""COMPUTED_VALUE"""),2226.4)</f>
        <v>2226.4</v>
      </c>
      <c r="E74" s="6">
        <f>IFERROR(__xludf.DUMMYFUNCTION("""COMPUTED_VALUE"""),2241.65)</f>
        <v>2241.65</v>
      </c>
      <c r="F74" s="6">
        <f>IFERROR(__xludf.DUMMYFUNCTION("""COMPUTED_VALUE"""),7953921.0)</f>
        <v>7953921</v>
      </c>
    </row>
    <row r="75">
      <c r="A75" s="7">
        <f>IFERROR(__xludf.DUMMYFUNCTION("""COMPUTED_VALUE"""),45716.64583333333)</f>
        <v>45716.64583</v>
      </c>
      <c r="B75" s="6">
        <f>IFERROR(__xludf.DUMMYFUNCTION("""COMPUTED_VALUE"""),2230.0)</f>
        <v>2230</v>
      </c>
      <c r="C75" s="6">
        <f>IFERROR(__xludf.DUMMYFUNCTION("""COMPUTED_VALUE"""),2269.65)</f>
        <v>2269.65</v>
      </c>
      <c r="D75" s="6">
        <f>IFERROR(__xludf.DUMMYFUNCTION("""COMPUTED_VALUE"""),2185.85)</f>
        <v>2185.85</v>
      </c>
      <c r="E75" s="6">
        <f>IFERROR(__xludf.DUMMYFUNCTION("""COMPUTED_VALUE"""),2190.25)</f>
        <v>2190.25</v>
      </c>
      <c r="F75" s="6">
        <f>IFERROR(__xludf.DUMMYFUNCTION("""COMPUTED_VALUE"""),8998896.0)</f>
        <v>8998896</v>
      </c>
    </row>
    <row r="76">
      <c r="A76" s="7">
        <f>IFERROR(__xludf.DUMMYFUNCTION("""COMPUTED_VALUE"""),45723.64583333333)</f>
        <v>45723.64583</v>
      </c>
      <c r="B76" s="6">
        <f>IFERROR(__xludf.DUMMYFUNCTION("""COMPUTED_VALUE"""),2199.0)</f>
        <v>2199</v>
      </c>
      <c r="C76" s="6">
        <f>IFERROR(__xludf.DUMMYFUNCTION("""COMPUTED_VALUE"""),2229.8)</f>
        <v>2229.8</v>
      </c>
      <c r="D76" s="6">
        <f>IFERROR(__xludf.DUMMYFUNCTION("""COMPUTED_VALUE"""),2136.0)</f>
        <v>2136</v>
      </c>
      <c r="E76" s="6">
        <f>IFERROR(__xludf.DUMMYFUNCTION("""COMPUTED_VALUE"""),2204.55)</f>
        <v>2204.55</v>
      </c>
      <c r="F76" s="6">
        <f>IFERROR(__xludf.DUMMYFUNCTION("""COMPUTED_VALUE"""),7847697.0)</f>
        <v>7847697</v>
      </c>
    </row>
    <row r="77">
      <c r="A77" s="7">
        <f>IFERROR(__xludf.DUMMYFUNCTION("""COMPUTED_VALUE"""),45729.64583333333)</f>
        <v>45729.64583</v>
      </c>
      <c r="B77" s="6">
        <f>IFERROR(__xludf.DUMMYFUNCTION("""COMPUTED_VALUE"""),2208.0)</f>
        <v>2208</v>
      </c>
      <c r="C77" s="6">
        <f>IFERROR(__xludf.DUMMYFUNCTION("""COMPUTED_VALUE"""),2267.15)</f>
        <v>2267.15</v>
      </c>
      <c r="D77" s="6">
        <f>IFERROR(__xludf.DUMMYFUNCTION("""COMPUTED_VALUE"""),2164.45)</f>
        <v>2164.45</v>
      </c>
      <c r="E77" s="6">
        <f>IFERROR(__xludf.DUMMYFUNCTION("""COMPUTED_VALUE"""),2174.8)</f>
        <v>2174.8</v>
      </c>
      <c r="F77" s="6">
        <f>IFERROR(__xludf.DUMMYFUNCTION("""COMPUTED_VALUE"""),5940119.0)</f>
        <v>5940119</v>
      </c>
    </row>
    <row r="78">
      <c r="A78" s="7">
        <f>IFERROR(__xludf.DUMMYFUNCTION("""COMPUTED_VALUE"""),45737.64583333333)</f>
        <v>45737.64583</v>
      </c>
      <c r="B78" s="6">
        <f>IFERROR(__xludf.DUMMYFUNCTION("""COMPUTED_VALUE"""),2161.0)</f>
        <v>2161</v>
      </c>
      <c r="C78" s="6">
        <f>IFERROR(__xludf.DUMMYFUNCTION("""COMPUTED_VALUE"""),2255.2)</f>
        <v>2255.2</v>
      </c>
      <c r="D78" s="6">
        <f>IFERROR(__xludf.DUMMYFUNCTION("""COMPUTED_VALUE"""),2156.5)</f>
        <v>2156.5</v>
      </c>
      <c r="E78" s="6">
        <f>IFERROR(__xludf.DUMMYFUNCTION("""COMPUTED_VALUE"""),2246.2)</f>
        <v>2246.2</v>
      </c>
      <c r="F78" s="6">
        <f>IFERROR(__xludf.DUMMYFUNCTION("""COMPUTED_VALUE"""),7507980.0)</f>
        <v>7507980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IFERROR(__xludf.DUMMYFUNCTION("""COMPUTED_VALUE"""),2250.25)</f>
        <v>2250.25</v>
      </c>
      <c r="C79" s="6">
        <f>IFERROR(__xludf.DUMMYFUNCTION("""COMPUTED_VALUE"""),2296.0)</f>
        <v>2296</v>
      </c>
      <c r="D79" s="6">
        <f>IFERROR(__xludf.DUMMYFUNCTION("""COMPUTED_VALUE"""),2200.0)</f>
        <v>2200</v>
      </c>
      <c r="E79" s="6">
        <f>IFERROR(__xludf.DUMMYFUNCTION("""COMPUTED_VALUE"""),2258.85)</f>
        <v>2258.85</v>
      </c>
      <c r="F79" s="6">
        <f>IFERROR(__xludf.DUMMYFUNCTION("""COMPUTED_VALUE"""),1.113343E7)</f>
        <v>11133430</v>
      </c>
    </row>
    <row r="80">
      <c r="A80" s="7">
        <f>IFERROR(__xludf.DUMMYFUNCTION("""COMPUTED_VALUE"""),45751.64583333333)</f>
        <v>45751.64583</v>
      </c>
      <c r="B80" s="6">
        <f>IFERROR(__xludf.DUMMYFUNCTION("""COMPUTED_VALUE"""),2259.0)</f>
        <v>2259</v>
      </c>
      <c r="C80" s="6">
        <f>IFERROR(__xludf.DUMMYFUNCTION("""COMPUTED_VALUE"""),2284.65)</f>
        <v>2284.65</v>
      </c>
      <c r="D80" s="6">
        <f>IFERROR(__xludf.DUMMYFUNCTION("""COMPUTED_VALUE"""),2190.05)</f>
        <v>2190.05</v>
      </c>
      <c r="E80" s="6">
        <f>IFERROR(__xludf.DUMMYFUNCTION("""COMPUTED_VALUE"""),2244.55)</f>
        <v>2244.55</v>
      </c>
      <c r="F80" s="6">
        <f>IFERROR(__xludf.DUMMYFUNCTION("""COMPUTED_VALUE"""),6277769.0)</f>
        <v>6277769</v>
      </c>
    </row>
    <row r="81">
      <c r="A81" s="7">
        <f>IFERROR(__xludf.DUMMYFUNCTION("""COMPUTED_VALUE"""),45758.64583333333)</f>
        <v>45758.64583</v>
      </c>
      <c r="B81" s="6">
        <f>IFERROR(__xludf.DUMMYFUNCTION("""COMPUTED_VALUE"""),2150.0)</f>
        <v>2150</v>
      </c>
      <c r="C81" s="6">
        <f>IFERROR(__xludf.DUMMYFUNCTION("""COMPUTED_VALUE"""),2394.85)</f>
        <v>2394.85</v>
      </c>
      <c r="D81" s="6">
        <f>IFERROR(__xludf.DUMMYFUNCTION("""COMPUTED_VALUE"""),2150.0)</f>
        <v>2150</v>
      </c>
      <c r="E81" s="6">
        <f>IFERROR(__xludf.DUMMYFUNCTION("""COMPUTED_VALUE"""),2366.15)</f>
        <v>2366.15</v>
      </c>
      <c r="F81" s="6">
        <f>IFERROR(__xludf.DUMMYFUNCTION("""COMPUTED_VALUE"""),1.3035231E7)</f>
        <v>13035231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IFERROR(__xludf.DUMMYFUNCTION("""COMPUTED_VALUE"""),2400.0)</f>
        <v>2400</v>
      </c>
      <c r="C82" s="6">
        <f>IFERROR(__xludf.DUMMYFUNCTION("""COMPUTED_VALUE"""),2400.0)</f>
        <v>2400</v>
      </c>
      <c r="D82" s="6">
        <f>IFERROR(__xludf.DUMMYFUNCTION("""COMPUTED_VALUE"""),2343.1)</f>
        <v>2343.1</v>
      </c>
      <c r="E82" s="6">
        <f>IFERROR(__xludf.DUMMYFUNCTION("""COMPUTED_VALUE"""),2375.0)</f>
        <v>2375</v>
      </c>
      <c r="F82" s="6">
        <f>IFERROR(__xludf.DUMMYFUNCTION("""COMPUTED_VALUE"""),6137160.0)</f>
        <v>6137160</v>
      </c>
    </row>
    <row r="83">
      <c r="A83" s="7">
        <f>IFERROR(__xludf.DUMMYFUNCTION("""COMPUTED_VALUE"""),45772.64583333333)</f>
        <v>45772.64583</v>
      </c>
      <c r="B83" s="6">
        <f>IFERROR(__xludf.DUMMYFUNCTION("""COMPUTED_VALUE"""),2368.1)</f>
        <v>2368.1</v>
      </c>
      <c r="C83" s="6">
        <f>IFERROR(__xludf.DUMMYFUNCTION("""COMPUTED_VALUE"""),2487.4)</f>
        <v>2487.4</v>
      </c>
      <c r="D83" s="6">
        <f>IFERROR(__xludf.DUMMYFUNCTION("""COMPUTED_VALUE"""),2294.4)</f>
        <v>2294.4</v>
      </c>
      <c r="E83" s="6">
        <f>IFERROR(__xludf.DUMMYFUNCTION("""COMPUTED_VALUE"""),2332.2)</f>
        <v>2332.2</v>
      </c>
      <c r="F83" s="6">
        <f>IFERROR(__xludf.DUMMYFUNCTION("""COMPUTED_VALUE"""),1.598213E7)</f>
        <v>15982130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IFERROR(__xludf.DUMMYFUNCTION("""COMPUTED_VALUE"""),2345.0)</f>
        <v>2345</v>
      </c>
      <c r="C84" s="6">
        <f>IFERROR(__xludf.DUMMYFUNCTION("""COMPUTED_VALUE"""),2352.5)</f>
        <v>2352.5</v>
      </c>
      <c r="D84" s="6">
        <f>IFERROR(__xludf.DUMMYFUNCTION("""COMPUTED_VALUE"""),2310.0)</f>
        <v>2310</v>
      </c>
      <c r="E84" s="6">
        <f>IFERROR(__xludf.DUMMYFUNCTION("""COMPUTED_VALUE"""),2323.9)</f>
        <v>2323.9</v>
      </c>
      <c r="F84" s="6">
        <f>IFERROR(__xludf.DUMMYFUNCTION("""COMPUTED_VALUE"""),6960138.0)</f>
        <v>6960138</v>
      </c>
    </row>
    <row r="85">
      <c r="A85" s="7">
        <f>IFERROR(__xludf.DUMMYFUNCTION("""COMPUTED_VALUE"""),45786.64583333333)</f>
        <v>45786.64583</v>
      </c>
      <c r="B85" s="6">
        <f>IFERROR(__xludf.DUMMYFUNCTION("""COMPUTED_VALUE"""),2324.1)</f>
        <v>2324.1</v>
      </c>
      <c r="C85" s="6">
        <f>IFERROR(__xludf.DUMMYFUNCTION("""COMPUTED_VALUE"""),2390.1)</f>
        <v>2390.1</v>
      </c>
      <c r="D85" s="6">
        <f>IFERROR(__xludf.DUMMYFUNCTION("""COMPUTED_VALUE"""),2302.3)</f>
        <v>2302.3</v>
      </c>
      <c r="E85" s="6">
        <f>IFERROR(__xludf.DUMMYFUNCTION("""COMPUTED_VALUE"""),2332.9)</f>
        <v>2332.9</v>
      </c>
      <c r="F85" s="6">
        <f>IFERROR(__xludf.DUMMYFUNCTION("""COMPUTED_VALUE"""),9701386.0)</f>
        <v>9701386</v>
      </c>
    </row>
    <row r="86">
      <c r="A86" s="7">
        <f>IFERROR(__xludf.DUMMYFUNCTION("""COMPUTED_VALUE"""),45793.64583333333)</f>
        <v>45793.64583</v>
      </c>
      <c r="B86" s="6">
        <f>IFERROR(__xludf.DUMMYFUNCTION("""COMPUTED_VALUE"""),2360.0)</f>
        <v>2360</v>
      </c>
      <c r="C86" s="6">
        <f>IFERROR(__xludf.DUMMYFUNCTION("""COMPUTED_VALUE"""),2398.0)</f>
        <v>2398</v>
      </c>
      <c r="D86" s="6">
        <f>IFERROR(__xludf.DUMMYFUNCTION("""COMPUTED_VALUE"""),2338.5)</f>
        <v>2338.5</v>
      </c>
      <c r="E86" s="6">
        <f>IFERROR(__xludf.DUMMYFUNCTION("""COMPUTED_VALUE"""),2381.4)</f>
        <v>2381.4</v>
      </c>
      <c r="F86" s="6">
        <f>IFERROR(__xludf.DUMMYFUNCTION("""COMPUTED_VALUE"""),9482330.0)</f>
        <v>9482330</v>
      </c>
    </row>
    <row r="87">
      <c r="A87" s="7">
        <f>IFERROR(__xludf.DUMMYFUNCTION("""COMPUTED_VALUE"""),45800.64583333333)</f>
        <v>45800.64583</v>
      </c>
      <c r="B87" s="6">
        <f>IFERROR(__xludf.DUMMYFUNCTION("""COMPUTED_VALUE"""),2375.0)</f>
        <v>2375</v>
      </c>
      <c r="C87" s="6">
        <f>IFERROR(__xludf.DUMMYFUNCTION("""COMPUTED_VALUE"""),2405.0)</f>
        <v>2405</v>
      </c>
      <c r="D87" s="6">
        <f>IFERROR(__xludf.DUMMYFUNCTION("""COMPUTED_VALUE"""),2313.1)</f>
        <v>2313.1</v>
      </c>
      <c r="E87" s="6">
        <f>IFERROR(__xludf.DUMMYFUNCTION("""COMPUTED_VALUE"""),2359.2)</f>
        <v>2359.2</v>
      </c>
      <c r="F87" s="6">
        <f>IFERROR(__xludf.DUMMYFUNCTION("""COMPUTED_VALUE"""),7392588.0)</f>
        <v>7392588</v>
      </c>
    </row>
    <row r="88">
      <c r="A88" s="7">
        <f>IFERROR(__xludf.DUMMYFUNCTION("""COMPUTED_VALUE"""),45807.64583333333)</f>
        <v>45807.64583</v>
      </c>
      <c r="B88" s="6">
        <f>IFERROR(__xludf.DUMMYFUNCTION("""COMPUTED_VALUE"""),2368.0)</f>
        <v>2368</v>
      </c>
      <c r="C88" s="6">
        <f>IFERROR(__xludf.DUMMYFUNCTION("""COMPUTED_VALUE"""),2409.5)</f>
        <v>2409.5</v>
      </c>
      <c r="D88" s="6">
        <f>IFERROR(__xludf.DUMMYFUNCTION("""COMPUTED_VALUE"""),2343.5)</f>
        <v>2343.5</v>
      </c>
      <c r="E88" s="6">
        <f>IFERROR(__xludf.DUMMYFUNCTION("""COMPUTED_VALUE"""),2348.3)</f>
        <v>2348.3</v>
      </c>
      <c r="F88" s="6">
        <f>IFERROR(__xludf.DUMMYFUNCTION("""COMPUTED_VALUE"""),8055560.0)</f>
        <v>8055560</v>
      </c>
    </row>
    <row r="89">
      <c r="A89" s="7">
        <f>IFERROR(__xludf.DUMMYFUNCTION("""COMPUTED_VALUE"""),45814.64583333333)</f>
        <v>45814.64583</v>
      </c>
      <c r="B89" s="6">
        <f>IFERROR(__xludf.DUMMYFUNCTION("""COMPUTED_VALUE"""),2347.9)</f>
        <v>2347.9</v>
      </c>
      <c r="C89" s="6">
        <f>IFERROR(__xludf.DUMMYFUNCTION("""COMPUTED_VALUE"""),2396.5)</f>
        <v>2396.5</v>
      </c>
      <c r="D89" s="6">
        <f>IFERROR(__xludf.DUMMYFUNCTION("""COMPUTED_VALUE"""),2342.1)</f>
        <v>2342.1</v>
      </c>
      <c r="E89" s="6">
        <f>IFERROR(__xludf.DUMMYFUNCTION("""COMPUTED_VALUE"""),2389.8)</f>
        <v>2389.8</v>
      </c>
      <c r="F89" s="6">
        <f>IFERROR(__xludf.DUMMYFUNCTION("""COMPUTED_VALUE"""),8895480.0)</f>
        <v>8895480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IFERROR(__xludf.DUMMYFUNCTION("""COMPUTED_VALUE"""),2394.0)</f>
        <v>2394</v>
      </c>
      <c r="C90" s="6">
        <f>IFERROR(__xludf.DUMMYFUNCTION("""COMPUTED_VALUE"""),2402.9)</f>
        <v>2402.9</v>
      </c>
      <c r="D90" s="6">
        <f>IFERROR(__xludf.DUMMYFUNCTION("""COMPUTED_VALUE"""),2302.0)</f>
        <v>2302</v>
      </c>
      <c r="E90" s="6">
        <f>IFERROR(__xludf.DUMMYFUNCTION("""COMPUTED_VALUE"""),2319.0)</f>
        <v>2319</v>
      </c>
      <c r="F90" s="6">
        <f>IFERROR(__xludf.DUMMYFUNCTION("""COMPUTED_VALUE"""),1.0130377E7)</f>
        <v>10130377</v>
      </c>
    </row>
    <row r="91">
      <c r="A91" s="7">
        <f>IFERROR(__xludf.DUMMYFUNCTION("""COMPUTED_VALUE"""),45828.64583333333)</f>
        <v>45828.64583</v>
      </c>
      <c r="B91" s="6">
        <f>IFERROR(__xludf.DUMMYFUNCTION("""COMPUTED_VALUE"""),2320.0)</f>
        <v>2320</v>
      </c>
      <c r="C91" s="6">
        <f>IFERROR(__xludf.DUMMYFUNCTION("""COMPUTED_VALUE"""),2336.6)</f>
        <v>2336.6</v>
      </c>
      <c r="D91" s="6">
        <f>IFERROR(__xludf.DUMMYFUNCTION("""COMPUTED_VALUE"""),2285.5)</f>
        <v>2285.5</v>
      </c>
      <c r="E91" s="6">
        <f>IFERROR(__xludf.DUMMYFUNCTION("""COMPUTED_VALUE"""),2306.2)</f>
        <v>2306.2</v>
      </c>
      <c r="F91" s="6">
        <f>IFERROR(__xludf.DUMMYFUNCTION("""COMPUTED_VALUE"""),8181557.0)</f>
        <v>8181557</v>
      </c>
    </row>
    <row r="92">
      <c r="A92" s="7">
        <f>IFERROR(__xludf.DUMMYFUNCTION("""COMPUTED_VALUE"""),45835.64583333333)</f>
        <v>45835.64583</v>
      </c>
      <c r="B92" s="6">
        <f>IFERROR(__xludf.DUMMYFUNCTION("""COMPUTED_VALUE"""),2283.4)</f>
        <v>2283.4</v>
      </c>
      <c r="C92" s="6">
        <f>IFERROR(__xludf.DUMMYFUNCTION("""COMPUTED_VALUE"""),2310.5)</f>
        <v>2310.5</v>
      </c>
      <c r="D92" s="6">
        <f>IFERROR(__xludf.DUMMYFUNCTION("""COMPUTED_VALUE"""),2258.7)</f>
        <v>2258.7</v>
      </c>
      <c r="E92" s="6">
        <f>IFERROR(__xludf.DUMMYFUNCTION("""COMPUTED_VALUE"""),2306.9)</f>
        <v>2306.9</v>
      </c>
      <c r="F92" s="6">
        <f>IFERROR(__xludf.DUMMYFUNCTION("""COMPUTED_VALUE"""),7256340.0)</f>
        <v>7256340</v>
      </c>
    </row>
    <row r="93">
      <c r="A93" s="7">
        <f>IFERROR(__xludf.DUMMYFUNCTION("""COMPUTED_VALUE"""),45842.64583333333)</f>
        <v>45842.64583</v>
      </c>
      <c r="B93" s="6">
        <f>IFERROR(__xludf.DUMMYFUNCTION("""COMPUTED_VALUE"""),2309.9)</f>
        <v>2309.9</v>
      </c>
      <c r="C93" s="6">
        <f>IFERROR(__xludf.DUMMYFUNCTION("""COMPUTED_VALUE"""),2341.4)</f>
        <v>2341.4</v>
      </c>
      <c r="D93" s="6">
        <f>IFERROR(__xludf.DUMMYFUNCTION("""COMPUTED_VALUE"""),2286.6)</f>
        <v>2286.6</v>
      </c>
      <c r="E93" s="6">
        <f>IFERROR(__xludf.DUMMYFUNCTION("""COMPUTED_VALUE"""),2339.3)</f>
        <v>2339.3</v>
      </c>
      <c r="F93" s="6">
        <f>IFERROR(__xludf.DUMMYFUNCTION("""COMPUTED_VALUE"""),5594087.0)</f>
        <v>5594087</v>
      </c>
    </row>
    <row r="94">
      <c r="A94" s="7">
        <f>IFERROR(__xludf.DUMMYFUNCTION("""COMPUTED_VALUE"""),45849.64583333333)</f>
        <v>45849.64583</v>
      </c>
      <c r="B94" s="6">
        <f>IFERROR(__xludf.DUMMYFUNCTION("""COMPUTED_VALUE"""),2341.0)</f>
        <v>2341</v>
      </c>
      <c r="C94" s="6">
        <f>IFERROR(__xludf.DUMMYFUNCTION("""COMPUTED_VALUE"""),2530.0)</f>
        <v>2530</v>
      </c>
      <c r="D94" s="6">
        <f>IFERROR(__xludf.DUMMYFUNCTION("""COMPUTED_VALUE"""),2341.0)</f>
        <v>2341</v>
      </c>
      <c r="E94" s="6">
        <f>IFERROR(__xludf.DUMMYFUNCTION("""COMPUTED_VALUE"""),2519.6)</f>
        <v>2519.6</v>
      </c>
      <c r="F94" s="6">
        <f>IFERROR(__xludf.DUMMYFUNCTION("""COMPUTED_VALUE"""),1.4210249E7)</f>
        <v>14210249</v>
      </c>
    </row>
    <row r="95">
      <c r="A95" s="7">
        <f>IFERROR(__xludf.DUMMYFUNCTION("""COMPUTED_VALUE"""),45856.64583333333)</f>
        <v>45856.64583</v>
      </c>
      <c r="B95" s="6">
        <f>IFERROR(__xludf.DUMMYFUNCTION("""COMPUTED_VALUE"""),2500.0)</f>
        <v>2500</v>
      </c>
      <c r="C95" s="6">
        <f>IFERROR(__xludf.DUMMYFUNCTION("""COMPUTED_VALUE"""),2532.9)</f>
        <v>2532.9</v>
      </c>
      <c r="D95" s="6">
        <f>IFERROR(__xludf.DUMMYFUNCTION("""COMPUTED_VALUE"""),2481.5)</f>
        <v>2481.5</v>
      </c>
      <c r="E95" s="6">
        <f>IFERROR(__xludf.DUMMYFUNCTION("""COMPUTED_VALUE"""),2489.6)</f>
        <v>2489.6</v>
      </c>
      <c r="F95" s="6">
        <f>IFERROR(__xludf.DUMMYFUNCTION("""COMPUTED_VALUE"""),6990971.0)</f>
        <v>6990971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IFERROR(__xludf.DUMMYFUNCTION("""COMPUTED_VALUE"""),2490.9)</f>
        <v>2490.9</v>
      </c>
      <c r="C96" s="6">
        <f>IFERROR(__xludf.DUMMYFUNCTION("""COMPUTED_VALUE"""),2493.6)</f>
        <v>2493.6</v>
      </c>
      <c r="D96" s="6">
        <f>IFERROR(__xludf.DUMMYFUNCTION("""COMPUTED_VALUE"""),2405.4)</f>
        <v>2405.4</v>
      </c>
      <c r="E96" s="6">
        <f>IFERROR(__xludf.DUMMYFUNCTION("""COMPUTED_VALUE"""),2415.4)</f>
        <v>2415.4</v>
      </c>
      <c r="F96" s="6">
        <f>IFERROR(__xludf.DUMMYFUNCTION("""COMPUTED_VALUE"""),4815759.0)</f>
        <v>4815759</v>
      </c>
    </row>
    <row r="97">
      <c r="A97" s="7">
        <f>IFERROR(__xludf.DUMMYFUNCTION("""COMPUTED_VALUE"""),45870.64583333333)</f>
        <v>45870.64583</v>
      </c>
      <c r="B97" s="6">
        <f>IFERROR(__xludf.DUMMYFUNCTION("""COMPUTED_VALUE"""),2415.4)</f>
        <v>2415.4</v>
      </c>
      <c r="C97" s="6">
        <f>IFERROR(__xludf.DUMMYFUNCTION("""COMPUTED_VALUE"""),2727.5)</f>
        <v>2727.5</v>
      </c>
      <c r="D97" s="6">
        <f>IFERROR(__xludf.DUMMYFUNCTION("""COMPUTED_VALUE"""),2398.5)</f>
        <v>2398.5</v>
      </c>
      <c r="E97" s="6">
        <f>IFERROR(__xludf.DUMMYFUNCTION("""COMPUTED_VALUE"""),2553.7)</f>
        <v>2553.7</v>
      </c>
      <c r="F97" s="6">
        <f>IFERROR(__xludf.DUMMYFUNCTION("""COMPUTED_VALUE"""),1.2709583E7)</f>
        <v>12709583</v>
      </c>
    </row>
    <row r="98">
      <c r="A98" s="7">
        <f>IFERROR(__xludf.DUMMYFUNCTION("""COMPUTED_VALUE"""),45877.64583333333)</f>
        <v>45877.64583</v>
      </c>
      <c r="B98" s="6">
        <f>IFERROR(__xludf.DUMMYFUNCTION("""COMPUTED_VALUE"""),2547.0)</f>
        <v>2547</v>
      </c>
      <c r="C98" s="6">
        <f>IFERROR(__xludf.DUMMYFUNCTION("""COMPUTED_VALUE"""),2583.2)</f>
        <v>2583.2</v>
      </c>
      <c r="D98" s="6">
        <f>IFERROR(__xludf.DUMMYFUNCTION("""COMPUTED_VALUE"""),2486.6)</f>
        <v>2486.6</v>
      </c>
      <c r="E98" s="6">
        <f>IFERROR(__xludf.DUMMYFUNCTION("""COMPUTED_VALUE"""),2498.6)</f>
        <v>2498.6</v>
      </c>
      <c r="F98" s="6">
        <f>IFERROR(__xludf.DUMMYFUNCTION("""COMPUTED_VALUE"""),4621821.0)</f>
        <v>4621821</v>
      </c>
    </row>
    <row r="99">
      <c r="A99" s="7">
        <f>IFERROR(__xludf.DUMMYFUNCTION("""COMPUTED_VALUE"""),45883.64583333333)</f>
        <v>45883.64583</v>
      </c>
      <c r="B99" s="6">
        <f>IFERROR(__xludf.DUMMYFUNCTION("""COMPUTED_VALUE"""),2490.1)</f>
        <v>2490.1</v>
      </c>
      <c r="C99" s="6">
        <f>IFERROR(__xludf.DUMMYFUNCTION("""COMPUTED_VALUE"""),2536.6)</f>
        <v>2536.6</v>
      </c>
      <c r="D99" s="6">
        <f>IFERROR(__xludf.DUMMYFUNCTION("""COMPUTED_VALUE"""),2473.2)</f>
        <v>2473.2</v>
      </c>
      <c r="E99" s="6">
        <f>IFERROR(__xludf.DUMMYFUNCTION("""COMPUTED_VALUE"""),2480.6)</f>
        <v>2480.6</v>
      </c>
      <c r="F99" s="6">
        <f>IFERROR(__xludf.DUMMYFUNCTION("""COMPUTED_VALUE"""),4472812.0)</f>
        <v>4472812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IFERROR(__xludf.DUMMYFUNCTION("""COMPUTED_VALUE"""),2539.0)</f>
        <v>2539</v>
      </c>
      <c r="C100" s="6">
        <f>IFERROR(__xludf.DUMMYFUNCTION("""COMPUTED_VALUE"""),2680.0)</f>
        <v>2680</v>
      </c>
      <c r="D100" s="6">
        <f>IFERROR(__xludf.DUMMYFUNCTION("""COMPUTED_VALUE"""),2521.3)</f>
        <v>2521.3</v>
      </c>
      <c r="E100" s="6">
        <f>IFERROR(__xludf.DUMMYFUNCTION("""COMPUTED_VALUE"""),2629.9)</f>
        <v>2629.9</v>
      </c>
      <c r="F100" s="6">
        <f>IFERROR(__xludf.DUMMYFUNCTION("""COMPUTED_VALUE"""),1.1105938E7)</f>
        <v>11105938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IFERROR(__xludf.DUMMYFUNCTION("""COMPUTED_VALUE"""),2643.0)</f>
        <v>2643</v>
      </c>
      <c r="C101" s="6">
        <f>IFERROR(__xludf.DUMMYFUNCTION("""COMPUTED_VALUE"""),2705.0)</f>
        <v>2705</v>
      </c>
      <c r="D101" s="6">
        <f>IFERROR(__xludf.DUMMYFUNCTION("""COMPUTED_VALUE"""),2615.2)</f>
        <v>2615.2</v>
      </c>
      <c r="E101" s="6">
        <f>IFERROR(__xludf.DUMMYFUNCTION("""COMPUTED_VALUE"""),2692.6)</f>
        <v>2692.6</v>
      </c>
      <c r="F101" s="6">
        <f>IFERROR(__xludf.DUMMYFUNCTION("""COMPUTED_VALUE"""),2.540576E7)</f>
        <v>25405760</v>
      </c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IFERROR(__xludf.DUMMYFUNCTION("GOOGLEFINANCE(""NSE:HINDZINC"",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IFERROR(__xludf.DUMMYFUNCTION("""COMPUTED_VALUE"""),314.45)</f>
        <v>314.45</v>
      </c>
      <c r="C2" s="6">
        <f>IFERROR(__xludf.DUMMYFUNCTION("""COMPUTED_VALUE"""),322.5)</f>
        <v>322.5</v>
      </c>
      <c r="D2" s="6">
        <f>IFERROR(__xludf.DUMMYFUNCTION("""COMPUTED_VALUE"""),314.1)</f>
        <v>314.1</v>
      </c>
      <c r="E2" s="6">
        <f>IFERROR(__xludf.DUMMYFUNCTION("""COMPUTED_VALUE"""),319.7)</f>
        <v>319.7</v>
      </c>
      <c r="F2" s="6">
        <f>IFERROR(__xludf.DUMMYFUNCTION("""COMPUTED_VALUE"""),1762062.0)</f>
        <v>1762062</v>
      </c>
    </row>
    <row r="3">
      <c r="A3" s="7">
        <f>IFERROR(__xludf.DUMMYFUNCTION("""COMPUTED_VALUE"""),45177.64583333333)</f>
        <v>45177.64583</v>
      </c>
      <c r="B3" s="6">
        <f>IFERROR(__xludf.DUMMYFUNCTION("""COMPUTED_VALUE"""),320.0)</f>
        <v>320</v>
      </c>
      <c r="C3" s="6">
        <f>IFERROR(__xludf.DUMMYFUNCTION("""COMPUTED_VALUE"""),326.45)</f>
        <v>326.45</v>
      </c>
      <c r="D3" s="6">
        <f>IFERROR(__xludf.DUMMYFUNCTION("""COMPUTED_VALUE"""),319.0)</f>
        <v>319</v>
      </c>
      <c r="E3" s="6">
        <f>IFERROR(__xludf.DUMMYFUNCTION("""COMPUTED_VALUE"""),320.2)</f>
        <v>320.2</v>
      </c>
      <c r="F3" s="6">
        <f>IFERROR(__xludf.DUMMYFUNCTION("""COMPUTED_VALUE"""),2053364.0)</f>
        <v>2053364</v>
      </c>
    </row>
    <row r="4">
      <c r="A4" s="7">
        <f>IFERROR(__xludf.DUMMYFUNCTION("""COMPUTED_VALUE"""),45184.64583333333)</f>
        <v>45184.64583</v>
      </c>
      <c r="B4" s="6">
        <f>IFERROR(__xludf.DUMMYFUNCTION("""COMPUTED_VALUE"""),320.6)</f>
        <v>320.6</v>
      </c>
      <c r="C4" s="6">
        <f>IFERROR(__xludf.DUMMYFUNCTION("""COMPUTED_VALUE"""),323.5)</f>
        <v>323.5</v>
      </c>
      <c r="D4" s="6">
        <f>IFERROR(__xludf.DUMMYFUNCTION("""COMPUTED_VALUE"""),312.5)</f>
        <v>312.5</v>
      </c>
      <c r="E4" s="6">
        <f>IFERROR(__xludf.DUMMYFUNCTION("""COMPUTED_VALUE"""),321.5)</f>
        <v>321.5</v>
      </c>
      <c r="F4" s="6">
        <f>IFERROR(__xludf.DUMMYFUNCTION("""COMPUTED_VALUE"""),2172351.0)</f>
        <v>2172351</v>
      </c>
    </row>
    <row r="5">
      <c r="A5" s="7">
        <f>IFERROR(__xludf.DUMMYFUNCTION("""COMPUTED_VALUE"""),45191.64583333333)</f>
        <v>45191.64583</v>
      </c>
      <c r="B5" s="6">
        <f>IFERROR(__xludf.DUMMYFUNCTION("""COMPUTED_VALUE"""),322.45)</f>
        <v>322.45</v>
      </c>
      <c r="C5" s="6">
        <f>IFERROR(__xludf.DUMMYFUNCTION("""COMPUTED_VALUE"""),322.45)</f>
        <v>322.45</v>
      </c>
      <c r="D5" s="6">
        <f>IFERROR(__xludf.DUMMYFUNCTION("""COMPUTED_VALUE"""),312.05)</f>
        <v>312.05</v>
      </c>
      <c r="E5" s="6">
        <f>IFERROR(__xludf.DUMMYFUNCTION("""COMPUTED_VALUE"""),313.8)</f>
        <v>313.8</v>
      </c>
      <c r="F5" s="6">
        <f>IFERROR(__xludf.DUMMYFUNCTION("""COMPUTED_VALUE"""),967641.0)</f>
        <v>967641</v>
      </c>
    </row>
    <row r="6">
      <c r="A6" s="7">
        <f>IFERROR(__xludf.DUMMYFUNCTION("""COMPUTED_VALUE"""),45198.64583333333)</f>
        <v>45198.64583</v>
      </c>
      <c r="B6" s="6">
        <f>IFERROR(__xludf.DUMMYFUNCTION("""COMPUTED_VALUE"""),315.45)</f>
        <v>315.45</v>
      </c>
      <c r="C6" s="6">
        <f>IFERROR(__xludf.DUMMYFUNCTION("""COMPUTED_VALUE"""),317.5)</f>
        <v>317.5</v>
      </c>
      <c r="D6" s="6">
        <f>IFERROR(__xludf.DUMMYFUNCTION("""COMPUTED_VALUE"""),294.0)</f>
        <v>294</v>
      </c>
      <c r="E6" s="6">
        <f>IFERROR(__xludf.DUMMYFUNCTION("""COMPUTED_VALUE"""),308.65)</f>
        <v>308.65</v>
      </c>
      <c r="F6" s="6">
        <f>IFERROR(__xludf.DUMMYFUNCTION("""COMPUTED_VALUE"""),4256069.0)</f>
        <v>4256069</v>
      </c>
    </row>
    <row r="7">
      <c r="A7" s="7">
        <f>IFERROR(__xludf.DUMMYFUNCTION("""COMPUTED_VALUE"""),45205.64583333333)</f>
        <v>45205.64583</v>
      </c>
      <c r="B7" s="6">
        <f>IFERROR(__xludf.DUMMYFUNCTION("""COMPUTED_VALUE"""),308.65)</f>
        <v>308.65</v>
      </c>
      <c r="C7" s="6">
        <f>IFERROR(__xludf.DUMMYFUNCTION("""COMPUTED_VALUE"""),311.45)</f>
        <v>311.45</v>
      </c>
      <c r="D7" s="6">
        <f>IFERROR(__xludf.DUMMYFUNCTION("""COMPUTED_VALUE"""),300.55)</f>
        <v>300.55</v>
      </c>
      <c r="E7" s="6">
        <f>IFERROR(__xludf.DUMMYFUNCTION("""COMPUTED_VALUE"""),305.55)</f>
        <v>305.55</v>
      </c>
      <c r="F7" s="6">
        <f>IFERROR(__xludf.DUMMYFUNCTION("""COMPUTED_VALUE"""),1691171.0)</f>
        <v>1691171</v>
      </c>
    </row>
    <row r="8">
      <c r="A8" s="7">
        <f>IFERROR(__xludf.DUMMYFUNCTION("""COMPUTED_VALUE"""),45212.64583333333)</f>
        <v>45212.64583</v>
      </c>
      <c r="B8" s="6">
        <f>IFERROR(__xludf.DUMMYFUNCTION("""COMPUTED_VALUE"""),308.0)</f>
        <v>308</v>
      </c>
      <c r="C8" s="6">
        <f>IFERROR(__xludf.DUMMYFUNCTION("""COMPUTED_VALUE"""),321.9)</f>
        <v>321.9</v>
      </c>
      <c r="D8" s="6">
        <f>IFERROR(__xludf.DUMMYFUNCTION("""COMPUTED_VALUE"""),302.8)</f>
        <v>302.8</v>
      </c>
      <c r="E8" s="6">
        <f>IFERROR(__xludf.DUMMYFUNCTION("""COMPUTED_VALUE"""),318.6)</f>
        <v>318.6</v>
      </c>
      <c r="F8" s="6">
        <f>IFERROR(__xludf.DUMMYFUNCTION("""COMPUTED_VALUE"""),3086928.0)</f>
        <v>3086928</v>
      </c>
    </row>
    <row r="9">
      <c r="A9" s="7">
        <f>IFERROR(__xludf.DUMMYFUNCTION("""COMPUTED_VALUE"""),45219.64583333333)</f>
        <v>45219.64583</v>
      </c>
      <c r="B9" s="6">
        <f>IFERROR(__xludf.DUMMYFUNCTION("""COMPUTED_VALUE"""),320.15)</f>
        <v>320.15</v>
      </c>
      <c r="C9" s="6">
        <f>IFERROR(__xludf.DUMMYFUNCTION("""COMPUTED_VALUE"""),324.6)</f>
        <v>324.6</v>
      </c>
      <c r="D9" s="6">
        <f>IFERROR(__xludf.DUMMYFUNCTION("""COMPUTED_VALUE"""),300.3)</f>
        <v>300.3</v>
      </c>
      <c r="E9" s="6">
        <f>IFERROR(__xludf.DUMMYFUNCTION("""COMPUTED_VALUE"""),308.6)</f>
        <v>308.6</v>
      </c>
      <c r="F9" s="6">
        <f>IFERROR(__xludf.DUMMYFUNCTION("""COMPUTED_VALUE"""),4968988.0)</f>
        <v>4968988</v>
      </c>
    </row>
    <row r="10">
      <c r="A10" s="7">
        <f>IFERROR(__xludf.DUMMYFUNCTION("""COMPUTED_VALUE"""),45226.64583333333)</f>
        <v>45226.64583</v>
      </c>
      <c r="B10" s="6">
        <f>IFERROR(__xludf.DUMMYFUNCTION("""COMPUTED_VALUE"""),306.0)</f>
        <v>306</v>
      </c>
      <c r="C10" s="6">
        <f>IFERROR(__xludf.DUMMYFUNCTION("""COMPUTED_VALUE"""),307.9)</f>
        <v>307.9</v>
      </c>
      <c r="D10" s="6">
        <f>IFERROR(__xludf.DUMMYFUNCTION("""COMPUTED_VALUE"""),290.5)</f>
        <v>290.5</v>
      </c>
      <c r="E10" s="6">
        <f>IFERROR(__xludf.DUMMYFUNCTION("""COMPUTED_VALUE"""),295.8)</f>
        <v>295.8</v>
      </c>
      <c r="F10" s="6">
        <f>IFERROR(__xludf.DUMMYFUNCTION("""COMPUTED_VALUE"""),1915415.0)</f>
        <v>1915415</v>
      </c>
    </row>
    <row r="11">
      <c r="A11" s="7">
        <f>IFERROR(__xludf.DUMMYFUNCTION("""COMPUTED_VALUE"""),45233.64583333333)</f>
        <v>45233.64583</v>
      </c>
      <c r="B11" s="6">
        <f>IFERROR(__xludf.DUMMYFUNCTION("""COMPUTED_VALUE"""),295.8)</f>
        <v>295.8</v>
      </c>
      <c r="C11" s="6">
        <f>IFERROR(__xludf.DUMMYFUNCTION("""COMPUTED_VALUE"""),299.8)</f>
        <v>299.8</v>
      </c>
      <c r="D11" s="6">
        <f>IFERROR(__xludf.DUMMYFUNCTION("""COMPUTED_VALUE"""),291.15)</f>
        <v>291.15</v>
      </c>
      <c r="E11" s="6">
        <f>IFERROR(__xludf.DUMMYFUNCTION("""COMPUTED_VALUE"""),299.1)</f>
        <v>299.1</v>
      </c>
      <c r="F11" s="6">
        <f>IFERROR(__xludf.DUMMYFUNCTION("""COMPUTED_VALUE"""),1294566.0)</f>
        <v>1294566</v>
      </c>
    </row>
    <row r="12">
      <c r="A12" s="7">
        <f>IFERROR(__xludf.DUMMYFUNCTION("""COMPUTED_VALUE"""),45240.64583333333)</f>
        <v>45240.64583</v>
      </c>
      <c r="B12" s="6">
        <f>IFERROR(__xludf.DUMMYFUNCTION("""COMPUTED_VALUE"""),299.0)</f>
        <v>299</v>
      </c>
      <c r="C12" s="6">
        <f>IFERROR(__xludf.DUMMYFUNCTION("""COMPUTED_VALUE"""),305.9)</f>
        <v>305.9</v>
      </c>
      <c r="D12" s="6">
        <f>IFERROR(__xludf.DUMMYFUNCTION("""COMPUTED_VALUE"""),292.1)</f>
        <v>292.1</v>
      </c>
      <c r="E12" s="6">
        <f>IFERROR(__xludf.DUMMYFUNCTION("""COMPUTED_VALUE"""),301.8)</f>
        <v>301.8</v>
      </c>
      <c r="F12" s="6">
        <f>IFERROR(__xludf.DUMMYFUNCTION("""COMPUTED_VALUE"""),1443535.0)</f>
        <v>1443535</v>
      </c>
    </row>
    <row r="13">
      <c r="A13" s="7">
        <f>IFERROR(__xludf.DUMMYFUNCTION("""COMPUTED_VALUE"""),45247.64583333333)</f>
        <v>45247.64583</v>
      </c>
      <c r="B13" s="6">
        <f>IFERROR(__xludf.DUMMYFUNCTION("""COMPUTED_VALUE"""),305.0)</f>
        <v>305</v>
      </c>
      <c r="C13" s="6">
        <f>IFERROR(__xludf.DUMMYFUNCTION("""COMPUTED_VALUE"""),308.7)</f>
        <v>308.7</v>
      </c>
      <c r="D13" s="6">
        <f>IFERROR(__xludf.DUMMYFUNCTION("""COMPUTED_VALUE"""),300.1)</f>
        <v>300.1</v>
      </c>
      <c r="E13" s="6">
        <f>IFERROR(__xludf.DUMMYFUNCTION("""COMPUTED_VALUE"""),307.6)</f>
        <v>307.6</v>
      </c>
      <c r="F13" s="6">
        <f>IFERROR(__xludf.DUMMYFUNCTION("""COMPUTED_VALUE"""),1302194.0)</f>
        <v>1302194</v>
      </c>
    </row>
    <row r="14">
      <c r="A14" s="7">
        <f>IFERROR(__xludf.DUMMYFUNCTION("""COMPUTED_VALUE"""),45254.64583333333)</f>
        <v>45254.64583</v>
      </c>
      <c r="B14" s="6">
        <f>IFERROR(__xludf.DUMMYFUNCTION("""COMPUTED_VALUE"""),307.6)</f>
        <v>307.6</v>
      </c>
      <c r="C14" s="6">
        <f>IFERROR(__xludf.DUMMYFUNCTION("""COMPUTED_VALUE"""),308.95)</f>
        <v>308.95</v>
      </c>
      <c r="D14" s="6">
        <f>IFERROR(__xludf.DUMMYFUNCTION("""COMPUTED_VALUE"""),298.25)</f>
        <v>298.25</v>
      </c>
      <c r="E14" s="6">
        <f>IFERROR(__xludf.DUMMYFUNCTION("""COMPUTED_VALUE"""),301.0)</f>
        <v>301</v>
      </c>
      <c r="F14" s="6">
        <f>IFERROR(__xludf.DUMMYFUNCTION("""COMPUTED_VALUE"""),800138.0)</f>
        <v>800138</v>
      </c>
    </row>
    <row r="15">
      <c r="A15" s="7">
        <f>IFERROR(__xludf.DUMMYFUNCTION("""COMPUTED_VALUE"""),45261.64583333333)</f>
        <v>45261.64583</v>
      </c>
      <c r="B15" s="6">
        <f>IFERROR(__xludf.DUMMYFUNCTION("""COMPUTED_VALUE"""),302.75)</f>
        <v>302.75</v>
      </c>
      <c r="C15" s="6">
        <f>IFERROR(__xludf.DUMMYFUNCTION("""COMPUTED_VALUE"""),303.0)</f>
        <v>303</v>
      </c>
      <c r="D15" s="6">
        <f>IFERROR(__xludf.DUMMYFUNCTION("""COMPUTED_VALUE"""),297.5)</f>
        <v>297.5</v>
      </c>
      <c r="E15" s="6">
        <f>IFERROR(__xludf.DUMMYFUNCTION("""COMPUTED_VALUE"""),300.15)</f>
        <v>300.15</v>
      </c>
      <c r="F15" s="6">
        <f>IFERROR(__xludf.DUMMYFUNCTION("""COMPUTED_VALUE"""),1612206.0)</f>
        <v>1612206</v>
      </c>
    </row>
    <row r="16">
      <c r="A16" s="7">
        <f>IFERROR(__xludf.DUMMYFUNCTION("""COMPUTED_VALUE"""),45268.64583333333)</f>
        <v>45268.64583</v>
      </c>
      <c r="B16" s="6">
        <f>IFERROR(__xludf.DUMMYFUNCTION("""COMPUTED_VALUE"""),318.9)</f>
        <v>318.9</v>
      </c>
      <c r="C16" s="6">
        <f>IFERROR(__xludf.DUMMYFUNCTION("""COMPUTED_VALUE"""),332.0)</f>
        <v>332</v>
      </c>
      <c r="D16" s="6">
        <f>IFERROR(__xludf.DUMMYFUNCTION("""COMPUTED_VALUE"""),313.0)</f>
        <v>313</v>
      </c>
      <c r="E16" s="6">
        <f>IFERROR(__xludf.DUMMYFUNCTION("""COMPUTED_VALUE"""),322.65)</f>
        <v>322.65</v>
      </c>
      <c r="F16" s="6">
        <f>IFERROR(__xludf.DUMMYFUNCTION("""COMPUTED_VALUE"""),8512249.0)</f>
        <v>8512249</v>
      </c>
    </row>
    <row r="17">
      <c r="A17" s="7">
        <f>IFERROR(__xludf.DUMMYFUNCTION("""COMPUTED_VALUE"""),45275.64583333333)</f>
        <v>45275.64583</v>
      </c>
      <c r="B17" s="6">
        <f>IFERROR(__xludf.DUMMYFUNCTION("""COMPUTED_VALUE"""),324.0)</f>
        <v>324</v>
      </c>
      <c r="C17" s="6">
        <f>IFERROR(__xludf.DUMMYFUNCTION("""COMPUTED_VALUE"""),326.8)</f>
        <v>326.8</v>
      </c>
      <c r="D17" s="6">
        <f>IFERROR(__xludf.DUMMYFUNCTION("""COMPUTED_VALUE"""),314.5)</f>
        <v>314.5</v>
      </c>
      <c r="E17" s="6">
        <f>IFERROR(__xludf.DUMMYFUNCTION("""COMPUTED_VALUE"""),316.35)</f>
        <v>316.35</v>
      </c>
      <c r="F17" s="6">
        <f>IFERROR(__xludf.DUMMYFUNCTION("""COMPUTED_VALUE"""),3523363.0)</f>
        <v>3523363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IFERROR(__xludf.DUMMYFUNCTION("""COMPUTED_VALUE"""),316.0)</f>
        <v>316</v>
      </c>
      <c r="C18" s="6">
        <f>IFERROR(__xludf.DUMMYFUNCTION("""COMPUTED_VALUE"""),316.35)</f>
        <v>316.35</v>
      </c>
      <c r="D18" s="6">
        <f>IFERROR(__xludf.DUMMYFUNCTION("""COMPUTED_VALUE"""),302.7)</f>
        <v>302.7</v>
      </c>
      <c r="E18" s="6">
        <f>IFERROR(__xludf.DUMMYFUNCTION("""COMPUTED_VALUE"""),309.9)</f>
        <v>309.9</v>
      </c>
      <c r="F18" s="6">
        <f>IFERROR(__xludf.DUMMYFUNCTION("""COMPUTED_VALUE"""),2577009.0)</f>
        <v>2577009</v>
      </c>
    </row>
    <row r="19">
      <c r="A19" s="7">
        <f>IFERROR(__xludf.DUMMYFUNCTION("""COMPUTED_VALUE"""),45289.64583333333)</f>
        <v>45289.64583</v>
      </c>
      <c r="B19" s="6">
        <f>IFERROR(__xludf.DUMMYFUNCTION("""COMPUTED_VALUE"""),311.05)</f>
        <v>311.05</v>
      </c>
      <c r="C19" s="6">
        <f>IFERROR(__xludf.DUMMYFUNCTION("""COMPUTED_VALUE"""),322.05)</f>
        <v>322.05</v>
      </c>
      <c r="D19" s="6">
        <f>IFERROR(__xludf.DUMMYFUNCTION("""COMPUTED_VALUE"""),310.0)</f>
        <v>310</v>
      </c>
      <c r="E19" s="6">
        <f>IFERROR(__xludf.DUMMYFUNCTION("""COMPUTED_VALUE"""),318.05)</f>
        <v>318.05</v>
      </c>
      <c r="F19" s="6">
        <f>IFERROR(__xludf.DUMMYFUNCTION("""COMPUTED_VALUE"""),3776962.0)</f>
        <v>3776962</v>
      </c>
    </row>
    <row r="20">
      <c r="A20" s="7">
        <f>IFERROR(__xludf.DUMMYFUNCTION("""COMPUTED_VALUE"""),45296.64583333333)</f>
        <v>45296.64583</v>
      </c>
      <c r="B20" s="6">
        <f>IFERROR(__xludf.DUMMYFUNCTION("""COMPUTED_VALUE"""),318.05)</f>
        <v>318.05</v>
      </c>
      <c r="C20" s="6">
        <f>IFERROR(__xludf.DUMMYFUNCTION("""COMPUTED_VALUE"""),322.0)</f>
        <v>322</v>
      </c>
      <c r="D20" s="6">
        <f>IFERROR(__xludf.DUMMYFUNCTION("""COMPUTED_VALUE"""),312.7)</f>
        <v>312.7</v>
      </c>
      <c r="E20" s="6">
        <f>IFERROR(__xludf.DUMMYFUNCTION("""COMPUTED_VALUE"""),318.5)</f>
        <v>318.5</v>
      </c>
      <c r="F20" s="6">
        <f>IFERROR(__xludf.DUMMYFUNCTION("""COMPUTED_VALUE"""),2907159.0)</f>
        <v>2907159</v>
      </c>
    </row>
    <row r="21">
      <c r="A21" s="7">
        <f>IFERROR(__xludf.DUMMYFUNCTION("""COMPUTED_VALUE"""),45303.64583333333)</f>
        <v>45303.64583</v>
      </c>
      <c r="B21" s="6">
        <f>IFERROR(__xludf.DUMMYFUNCTION("""COMPUTED_VALUE"""),318.0)</f>
        <v>318</v>
      </c>
      <c r="C21" s="6">
        <f>IFERROR(__xludf.DUMMYFUNCTION("""COMPUTED_VALUE"""),319.15)</f>
        <v>319.15</v>
      </c>
      <c r="D21" s="6">
        <f>IFERROR(__xludf.DUMMYFUNCTION("""COMPUTED_VALUE"""),311.0)</f>
        <v>311</v>
      </c>
      <c r="E21" s="6">
        <f>IFERROR(__xludf.DUMMYFUNCTION("""COMPUTED_VALUE"""),316.4)</f>
        <v>316.4</v>
      </c>
      <c r="F21" s="6">
        <f>IFERROR(__xludf.DUMMYFUNCTION("""COMPUTED_VALUE"""),1869811.0)</f>
        <v>1869811</v>
      </c>
    </row>
    <row r="22">
      <c r="A22" s="7">
        <f>IFERROR(__xludf.DUMMYFUNCTION("""COMPUTED_VALUE"""),45316.64583333333)</f>
        <v>45316.64583</v>
      </c>
      <c r="B22" s="6">
        <f>IFERROR(__xludf.DUMMYFUNCTION("""COMPUTED_VALUE"""),316.45)</f>
        <v>316.45</v>
      </c>
      <c r="C22" s="6">
        <f>IFERROR(__xludf.DUMMYFUNCTION("""COMPUTED_VALUE"""),317.0)</f>
        <v>317</v>
      </c>
      <c r="D22" s="6">
        <f>IFERROR(__xludf.DUMMYFUNCTION("""COMPUTED_VALUE"""),307.7)</f>
        <v>307.7</v>
      </c>
      <c r="E22" s="6">
        <f>IFERROR(__xludf.DUMMYFUNCTION("""COMPUTED_VALUE"""),313.2)</f>
        <v>313.2</v>
      </c>
      <c r="F22" s="6">
        <f>IFERROR(__xludf.DUMMYFUNCTION("""COMPUTED_VALUE"""),1365813.0)</f>
        <v>1365813</v>
      </c>
    </row>
    <row r="23">
      <c r="A23" s="7">
        <f>IFERROR(__xludf.DUMMYFUNCTION("""COMPUTED_VALUE"""),45324.64583333333)</f>
        <v>45324.64583</v>
      </c>
      <c r="B23" s="6">
        <f>IFERROR(__xludf.DUMMYFUNCTION("""COMPUTED_VALUE"""),314.0)</f>
        <v>314</v>
      </c>
      <c r="C23" s="6">
        <f>IFERROR(__xludf.DUMMYFUNCTION("""COMPUTED_VALUE"""),321.45)</f>
        <v>321.45</v>
      </c>
      <c r="D23" s="6">
        <f>IFERROR(__xludf.DUMMYFUNCTION("""COMPUTED_VALUE"""),311.55)</f>
        <v>311.55</v>
      </c>
      <c r="E23" s="6">
        <f>IFERROR(__xludf.DUMMYFUNCTION("""COMPUTED_VALUE"""),318.2)</f>
        <v>318.2</v>
      </c>
      <c r="F23" s="6">
        <f>IFERROR(__xludf.DUMMYFUNCTION("""COMPUTED_VALUE"""),2804079.0)</f>
        <v>2804079</v>
      </c>
    </row>
    <row r="24">
      <c r="A24" s="7">
        <f>IFERROR(__xludf.DUMMYFUNCTION("""COMPUTED_VALUE"""),45331.64583333333)</f>
        <v>45331.64583</v>
      </c>
      <c r="B24" s="6">
        <f>IFERROR(__xludf.DUMMYFUNCTION("""COMPUTED_VALUE"""),318.2)</f>
        <v>318.2</v>
      </c>
      <c r="C24" s="6">
        <f>IFERROR(__xludf.DUMMYFUNCTION("""COMPUTED_VALUE"""),319.75)</f>
        <v>319.75</v>
      </c>
      <c r="D24" s="6">
        <f>IFERROR(__xludf.DUMMYFUNCTION("""COMPUTED_VALUE"""),310.5)</f>
        <v>310.5</v>
      </c>
      <c r="E24" s="6">
        <f>IFERROR(__xludf.DUMMYFUNCTION("""COMPUTED_VALUE"""),312.6)</f>
        <v>312.6</v>
      </c>
      <c r="F24" s="6">
        <f>IFERROR(__xludf.DUMMYFUNCTION("""COMPUTED_VALUE"""),2360785.0)</f>
        <v>2360785</v>
      </c>
    </row>
    <row r="25">
      <c r="A25" s="7">
        <f>IFERROR(__xludf.DUMMYFUNCTION("""COMPUTED_VALUE"""),45338.64583333333)</f>
        <v>45338.64583</v>
      </c>
      <c r="B25" s="6">
        <f>IFERROR(__xludf.DUMMYFUNCTION("""COMPUTED_VALUE"""),313.95)</f>
        <v>313.95</v>
      </c>
      <c r="C25" s="6">
        <f>IFERROR(__xludf.DUMMYFUNCTION("""COMPUTED_VALUE"""),318.0)</f>
        <v>318</v>
      </c>
      <c r="D25" s="6">
        <f>IFERROR(__xludf.DUMMYFUNCTION("""COMPUTED_VALUE"""),305.0)</f>
        <v>305</v>
      </c>
      <c r="E25" s="6">
        <f>IFERROR(__xludf.DUMMYFUNCTION("""COMPUTED_VALUE"""),313.15)</f>
        <v>313.15</v>
      </c>
      <c r="F25" s="6">
        <f>IFERROR(__xludf.DUMMYFUNCTION("""COMPUTED_VALUE"""),1624017.0)</f>
        <v>1624017</v>
      </c>
    </row>
    <row r="26">
      <c r="A26" s="7">
        <f>IFERROR(__xludf.DUMMYFUNCTION("""COMPUTED_VALUE"""),45345.64583333333)</f>
        <v>45345.64583</v>
      </c>
      <c r="B26" s="6">
        <f>IFERROR(__xludf.DUMMYFUNCTION("""COMPUTED_VALUE"""),313.3)</f>
        <v>313.3</v>
      </c>
      <c r="C26" s="6">
        <f>IFERROR(__xludf.DUMMYFUNCTION("""COMPUTED_VALUE"""),314.9)</f>
        <v>314.9</v>
      </c>
      <c r="D26" s="6">
        <f>IFERROR(__xludf.DUMMYFUNCTION("""COMPUTED_VALUE"""),307.95)</f>
        <v>307.95</v>
      </c>
      <c r="E26" s="6">
        <f>IFERROR(__xludf.DUMMYFUNCTION("""COMPUTED_VALUE"""),310.65)</f>
        <v>310.65</v>
      </c>
      <c r="F26" s="6">
        <f>IFERROR(__xludf.DUMMYFUNCTION("""COMPUTED_VALUE"""),1140078.0)</f>
        <v>1140078</v>
      </c>
    </row>
    <row r="27">
      <c r="A27" s="7">
        <f>IFERROR(__xludf.DUMMYFUNCTION("""COMPUTED_VALUE"""),45358.64583333333)</f>
        <v>45358.64583</v>
      </c>
      <c r="B27" s="6">
        <f>IFERROR(__xludf.DUMMYFUNCTION("""COMPUTED_VALUE"""),313.0)</f>
        <v>313</v>
      </c>
      <c r="C27" s="6">
        <f>IFERROR(__xludf.DUMMYFUNCTION("""COMPUTED_VALUE"""),314.95)</f>
        <v>314.95</v>
      </c>
      <c r="D27" s="6">
        <f>IFERROR(__xludf.DUMMYFUNCTION("""COMPUTED_VALUE"""),306.05)</f>
        <v>306.05</v>
      </c>
      <c r="E27" s="6">
        <f>IFERROR(__xludf.DUMMYFUNCTION("""COMPUTED_VALUE"""),310.95)</f>
        <v>310.95</v>
      </c>
      <c r="F27" s="6">
        <f>IFERROR(__xludf.DUMMYFUNCTION("""COMPUTED_VALUE"""),1419047.0)</f>
        <v>1419047</v>
      </c>
    </row>
    <row r="28">
      <c r="A28" s="7">
        <f>IFERROR(__xludf.DUMMYFUNCTION("""COMPUTED_VALUE"""),45366.64583333333)</f>
        <v>45366.64583</v>
      </c>
      <c r="B28" s="6">
        <f>IFERROR(__xludf.DUMMYFUNCTION("""COMPUTED_VALUE"""),310.95)</f>
        <v>310.95</v>
      </c>
      <c r="C28" s="6">
        <f>IFERROR(__xludf.DUMMYFUNCTION("""COMPUTED_VALUE"""),312.8)</f>
        <v>312.8</v>
      </c>
      <c r="D28" s="6">
        <f>IFERROR(__xludf.DUMMYFUNCTION("""COMPUTED_VALUE"""),284.6)</f>
        <v>284.6</v>
      </c>
      <c r="E28" s="6">
        <f>IFERROR(__xludf.DUMMYFUNCTION("""COMPUTED_VALUE"""),289.4)</f>
        <v>289.4</v>
      </c>
      <c r="F28" s="6">
        <f>IFERROR(__xludf.DUMMYFUNCTION("""COMPUTED_VALUE"""),4776926.0)</f>
        <v>4776926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IFERROR(__xludf.DUMMYFUNCTION("""COMPUTED_VALUE"""),289.4)</f>
        <v>289.4</v>
      </c>
      <c r="C29" s="6">
        <f>IFERROR(__xludf.DUMMYFUNCTION("""COMPUTED_VALUE"""),297.95)</f>
        <v>297.95</v>
      </c>
      <c r="D29" s="6">
        <f>IFERROR(__xludf.DUMMYFUNCTION("""COMPUTED_VALUE"""),289.4)</f>
        <v>289.4</v>
      </c>
      <c r="E29" s="6">
        <f>IFERROR(__xludf.DUMMYFUNCTION("""COMPUTED_VALUE"""),296.0)</f>
        <v>296</v>
      </c>
      <c r="F29" s="6">
        <f>IFERROR(__xludf.DUMMYFUNCTION("""COMPUTED_VALUE"""),2314918.0)</f>
        <v>2314918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IFERROR(__xludf.DUMMYFUNCTION("""COMPUTED_VALUE"""),297.85)</f>
        <v>297.85</v>
      </c>
      <c r="C30" s="6">
        <f>IFERROR(__xludf.DUMMYFUNCTION("""COMPUTED_VALUE"""),298.95)</f>
        <v>298.95</v>
      </c>
      <c r="D30" s="6">
        <f>IFERROR(__xludf.DUMMYFUNCTION("""COMPUTED_VALUE"""),290.1)</f>
        <v>290.1</v>
      </c>
      <c r="E30" s="6">
        <f>IFERROR(__xludf.DUMMYFUNCTION("""COMPUTED_VALUE"""),292.3)</f>
        <v>292.3</v>
      </c>
      <c r="F30" s="6">
        <f>IFERROR(__xludf.DUMMYFUNCTION("""COMPUTED_VALUE"""),1373995.0)</f>
        <v>1373995</v>
      </c>
    </row>
    <row r="31">
      <c r="A31" s="7">
        <f>IFERROR(__xludf.DUMMYFUNCTION("""COMPUTED_VALUE"""),45387.64583333333)</f>
        <v>45387.64583</v>
      </c>
      <c r="B31" s="6">
        <f>IFERROR(__xludf.DUMMYFUNCTION("""COMPUTED_VALUE"""),295.45)</f>
        <v>295.45</v>
      </c>
      <c r="C31" s="6">
        <f>IFERROR(__xludf.DUMMYFUNCTION("""COMPUTED_VALUE"""),341.2)</f>
        <v>341.2</v>
      </c>
      <c r="D31" s="6">
        <f>IFERROR(__xludf.DUMMYFUNCTION("""COMPUTED_VALUE"""),294.15)</f>
        <v>294.15</v>
      </c>
      <c r="E31" s="6">
        <f>IFERROR(__xludf.DUMMYFUNCTION("""COMPUTED_VALUE"""),339.95)</f>
        <v>339.95</v>
      </c>
      <c r="F31" s="6">
        <f>IFERROR(__xludf.DUMMYFUNCTION("""COMPUTED_VALUE"""),1.5591533E7)</f>
        <v>15591533</v>
      </c>
    </row>
    <row r="32">
      <c r="A32" s="7">
        <f>IFERROR(__xludf.DUMMYFUNCTION("""COMPUTED_VALUE"""),45394.64583333333)</f>
        <v>45394.64583</v>
      </c>
      <c r="B32" s="6">
        <f>IFERROR(__xludf.DUMMYFUNCTION("""COMPUTED_VALUE"""),343.5)</f>
        <v>343.5</v>
      </c>
      <c r="C32" s="6">
        <f>IFERROR(__xludf.DUMMYFUNCTION("""COMPUTED_VALUE"""),437.8)</f>
        <v>437.8</v>
      </c>
      <c r="D32" s="6">
        <f>IFERROR(__xludf.DUMMYFUNCTION("""COMPUTED_VALUE"""),341.4)</f>
        <v>341.4</v>
      </c>
      <c r="E32" s="6">
        <f>IFERROR(__xludf.DUMMYFUNCTION("""COMPUTED_VALUE"""),431.95)</f>
        <v>431.95</v>
      </c>
      <c r="F32" s="6">
        <f>IFERROR(__xludf.DUMMYFUNCTION("""COMPUTED_VALUE"""),5.7299484E7)</f>
        <v>57299484</v>
      </c>
    </row>
    <row r="33">
      <c r="A33" s="7">
        <f>IFERROR(__xludf.DUMMYFUNCTION("""COMPUTED_VALUE"""),45401.64583333333)</f>
        <v>45401.64583</v>
      </c>
      <c r="B33" s="6">
        <f>IFERROR(__xludf.DUMMYFUNCTION("""COMPUTED_VALUE"""),425.0)</f>
        <v>425</v>
      </c>
      <c r="C33" s="6">
        <f>IFERROR(__xludf.DUMMYFUNCTION("""COMPUTED_VALUE"""),427.3)</f>
        <v>427.3</v>
      </c>
      <c r="D33" s="6">
        <f>IFERROR(__xludf.DUMMYFUNCTION("""COMPUTED_VALUE"""),393.2)</f>
        <v>393.2</v>
      </c>
      <c r="E33" s="6">
        <f>IFERROR(__xludf.DUMMYFUNCTION("""COMPUTED_VALUE"""),398.7)</f>
        <v>398.7</v>
      </c>
      <c r="F33" s="6">
        <f>IFERROR(__xludf.DUMMYFUNCTION("""COMPUTED_VALUE"""),2.022422E7)</f>
        <v>20224220</v>
      </c>
    </row>
    <row r="34">
      <c r="A34" s="7">
        <f>IFERROR(__xludf.DUMMYFUNCTION("""COMPUTED_VALUE"""),45408.64583333333)</f>
        <v>45408.64583</v>
      </c>
      <c r="B34" s="6">
        <f>IFERROR(__xludf.DUMMYFUNCTION("""COMPUTED_VALUE"""),399.0)</f>
        <v>399</v>
      </c>
      <c r="C34" s="6">
        <f>IFERROR(__xludf.DUMMYFUNCTION("""COMPUTED_VALUE"""),429.0)</f>
        <v>429</v>
      </c>
      <c r="D34" s="6">
        <f>IFERROR(__xludf.DUMMYFUNCTION("""COMPUTED_VALUE"""),397.6)</f>
        <v>397.6</v>
      </c>
      <c r="E34" s="6">
        <f>IFERROR(__xludf.DUMMYFUNCTION("""COMPUTED_VALUE"""),421.6)</f>
        <v>421.6</v>
      </c>
      <c r="F34" s="6">
        <f>IFERROR(__xludf.DUMMYFUNCTION("""COMPUTED_VALUE"""),1.2432292E7)</f>
        <v>12432292</v>
      </c>
    </row>
    <row r="35">
      <c r="A35" s="7">
        <f>IFERROR(__xludf.DUMMYFUNCTION("""COMPUTED_VALUE"""),45415.64583333333)</f>
        <v>45415.64583</v>
      </c>
      <c r="B35" s="6">
        <f>IFERROR(__xludf.DUMMYFUNCTION("""COMPUTED_VALUE"""),425.35)</f>
        <v>425.35</v>
      </c>
      <c r="C35" s="6">
        <f>IFERROR(__xludf.DUMMYFUNCTION("""COMPUTED_VALUE"""),478.4)</f>
        <v>478.4</v>
      </c>
      <c r="D35" s="6">
        <f>IFERROR(__xludf.DUMMYFUNCTION("""COMPUTED_VALUE"""),421.8)</f>
        <v>421.8</v>
      </c>
      <c r="E35" s="6">
        <f>IFERROR(__xludf.DUMMYFUNCTION("""COMPUTED_VALUE"""),470.1)</f>
        <v>470.1</v>
      </c>
      <c r="F35" s="6">
        <f>IFERROR(__xludf.DUMMYFUNCTION("""COMPUTED_VALUE"""),1.6490376E7)</f>
        <v>16490376</v>
      </c>
    </row>
    <row r="36">
      <c r="A36" s="7">
        <f>IFERROR(__xludf.DUMMYFUNCTION("""COMPUTED_VALUE"""),45422.64583333333)</f>
        <v>45422.64583</v>
      </c>
      <c r="B36" s="6">
        <f>IFERROR(__xludf.DUMMYFUNCTION("""COMPUTED_VALUE"""),474.0)</f>
        <v>474</v>
      </c>
      <c r="C36" s="6">
        <f>IFERROR(__xludf.DUMMYFUNCTION("""COMPUTED_VALUE"""),540.95)</f>
        <v>540.95</v>
      </c>
      <c r="D36" s="6">
        <f>IFERROR(__xludf.DUMMYFUNCTION("""COMPUTED_VALUE"""),433.65)</f>
        <v>433.65</v>
      </c>
      <c r="E36" s="6">
        <f>IFERROR(__xludf.DUMMYFUNCTION("""COMPUTED_VALUE"""),525.5)</f>
        <v>525.5</v>
      </c>
      <c r="F36" s="6">
        <f>IFERROR(__xludf.DUMMYFUNCTION("""COMPUTED_VALUE"""),5.0004282E7)</f>
        <v>50004282</v>
      </c>
    </row>
    <row r="37">
      <c r="A37" s="7">
        <f>IFERROR(__xludf.DUMMYFUNCTION("""COMPUTED_VALUE"""),45436.64583333333)</f>
        <v>45436.64583</v>
      </c>
      <c r="B37" s="6">
        <f>IFERROR(__xludf.DUMMYFUNCTION("""COMPUTED_VALUE"""),636.75)</f>
        <v>636.75</v>
      </c>
      <c r="C37" s="6">
        <f>IFERROR(__xludf.DUMMYFUNCTION("""COMPUTED_VALUE"""),807.7)</f>
        <v>807.7</v>
      </c>
      <c r="D37" s="6">
        <f>IFERROR(__xludf.DUMMYFUNCTION("""COMPUTED_VALUE"""),625.1)</f>
        <v>625.1</v>
      </c>
      <c r="E37" s="6">
        <f>IFERROR(__xludf.DUMMYFUNCTION("""COMPUTED_VALUE"""),742.65)</f>
        <v>742.65</v>
      </c>
      <c r="F37" s="6">
        <f>IFERROR(__xludf.DUMMYFUNCTION("""COMPUTED_VALUE"""),4.1934854E7)</f>
        <v>41934854</v>
      </c>
    </row>
    <row r="38">
      <c r="A38" s="7">
        <f>IFERROR(__xludf.DUMMYFUNCTION("""COMPUTED_VALUE"""),45443.64583333333)</f>
        <v>45443.64583</v>
      </c>
      <c r="B38" s="6">
        <f>IFERROR(__xludf.DUMMYFUNCTION("""COMPUTED_VALUE"""),746.0)</f>
        <v>746</v>
      </c>
      <c r="C38" s="6">
        <f>IFERROR(__xludf.DUMMYFUNCTION("""COMPUTED_VALUE"""),749.7)</f>
        <v>749.7</v>
      </c>
      <c r="D38" s="6">
        <f>IFERROR(__xludf.DUMMYFUNCTION("""COMPUTED_VALUE"""),660.0)</f>
        <v>660</v>
      </c>
      <c r="E38" s="6">
        <f>IFERROR(__xludf.DUMMYFUNCTION("""COMPUTED_VALUE"""),687.25)</f>
        <v>687.25</v>
      </c>
      <c r="F38" s="6">
        <f>IFERROR(__xludf.DUMMYFUNCTION("""COMPUTED_VALUE"""),1.2401084E7)</f>
        <v>12401084</v>
      </c>
    </row>
    <row r="39">
      <c r="A39" s="7">
        <f>IFERROR(__xludf.DUMMYFUNCTION("""COMPUTED_VALUE"""),45450.64583333333)</f>
        <v>45450.64583</v>
      </c>
      <c r="B39" s="6">
        <f>IFERROR(__xludf.DUMMYFUNCTION("""COMPUTED_VALUE"""),740.0)</f>
        <v>740</v>
      </c>
      <c r="C39" s="6">
        <f>IFERROR(__xludf.DUMMYFUNCTION("""COMPUTED_VALUE"""),740.0)</f>
        <v>740</v>
      </c>
      <c r="D39" s="6">
        <f>IFERROR(__xludf.DUMMYFUNCTION("""COMPUTED_VALUE"""),596.8)</f>
        <v>596.8</v>
      </c>
      <c r="E39" s="6">
        <f>IFERROR(__xludf.DUMMYFUNCTION("""COMPUTED_VALUE"""),688.15)</f>
        <v>688.15</v>
      </c>
      <c r="F39" s="6">
        <f>IFERROR(__xludf.DUMMYFUNCTION("""COMPUTED_VALUE"""),7341910.0)</f>
        <v>7341910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IFERROR(__xludf.DUMMYFUNCTION("""COMPUTED_VALUE"""),686.05)</f>
        <v>686.05</v>
      </c>
      <c r="C40" s="6">
        <f>IFERROR(__xludf.DUMMYFUNCTION("""COMPUTED_VALUE"""),716.0)</f>
        <v>716</v>
      </c>
      <c r="D40" s="6">
        <f>IFERROR(__xludf.DUMMYFUNCTION("""COMPUTED_VALUE"""),659.55)</f>
        <v>659.55</v>
      </c>
      <c r="E40" s="6">
        <f>IFERROR(__xludf.DUMMYFUNCTION("""COMPUTED_VALUE"""),661.9)</f>
        <v>661.9</v>
      </c>
      <c r="F40" s="6">
        <f>IFERROR(__xludf.DUMMYFUNCTION("""COMPUTED_VALUE"""),5570375.0)</f>
        <v>5570375</v>
      </c>
    </row>
    <row r="41">
      <c r="A41" s="7">
        <f>IFERROR(__xludf.DUMMYFUNCTION("""COMPUTED_VALUE"""),45464.64583333333)</f>
        <v>45464.64583</v>
      </c>
      <c r="B41" s="6">
        <f>IFERROR(__xludf.DUMMYFUNCTION("""COMPUTED_VALUE"""),664.0)</f>
        <v>664</v>
      </c>
      <c r="C41" s="6">
        <f>IFERROR(__xludf.DUMMYFUNCTION("""COMPUTED_VALUE"""),684.0)</f>
        <v>684</v>
      </c>
      <c r="D41" s="6">
        <f>IFERROR(__xludf.DUMMYFUNCTION("""COMPUTED_VALUE"""),630.3)</f>
        <v>630.3</v>
      </c>
      <c r="E41" s="6">
        <f>IFERROR(__xludf.DUMMYFUNCTION("""COMPUTED_VALUE"""),664.55)</f>
        <v>664.55</v>
      </c>
      <c r="F41" s="6">
        <f>IFERROR(__xludf.DUMMYFUNCTION("""COMPUTED_VALUE"""),6766039.0)</f>
        <v>6766039</v>
      </c>
    </row>
    <row r="42">
      <c r="A42" s="7">
        <f>IFERROR(__xludf.DUMMYFUNCTION("""COMPUTED_VALUE"""),45471.64583333333)</f>
        <v>45471.64583</v>
      </c>
      <c r="B42" s="6">
        <f>IFERROR(__xludf.DUMMYFUNCTION("""COMPUTED_VALUE"""),662.1)</f>
        <v>662.1</v>
      </c>
      <c r="C42" s="6">
        <f>IFERROR(__xludf.DUMMYFUNCTION("""COMPUTED_VALUE"""),679.45)</f>
        <v>679.45</v>
      </c>
      <c r="D42" s="6">
        <f>IFERROR(__xludf.DUMMYFUNCTION("""COMPUTED_VALUE"""),646.25)</f>
        <v>646.25</v>
      </c>
      <c r="E42" s="6">
        <f>IFERROR(__xludf.DUMMYFUNCTION("""COMPUTED_VALUE"""),669.65)</f>
        <v>669.65</v>
      </c>
      <c r="F42" s="6">
        <f>IFERROR(__xludf.DUMMYFUNCTION("""COMPUTED_VALUE"""),3906762.0)</f>
        <v>3906762</v>
      </c>
    </row>
    <row r="43">
      <c r="A43" s="7">
        <f>IFERROR(__xludf.DUMMYFUNCTION("""COMPUTED_VALUE"""),45478.64583333333)</f>
        <v>45478.64583</v>
      </c>
      <c r="B43" s="6">
        <f>IFERROR(__xludf.DUMMYFUNCTION("""COMPUTED_VALUE"""),670.0)</f>
        <v>670</v>
      </c>
      <c r="C43" s="6">
        <f>IFERROR(__xludf.DUMMYFUNCTION("""COMPUTED_VALUE"""),696.0)</f>
        <v>696</v>
      </c>
      <c r="D43" s="6">
        <f>IFERROR(__xludf.DUMMYFUNCTION("""COMPUTED_VALUE"""),650.0)</f>
        <v>650</v>
      </c>
      <c r="E43" s="6">
        <f>IFERROR(__xludf.DUMMYFUNCTION("""COMPUTED_VALUE"""),693.15)</f>
        <v>693.15</v>
      </c>
      <c r="F43" s="6">
        <f>IFERROR(__xludf.DUMMYFUNCTION("""COMPUTED_VALUE"""),5603040.0)</f>
        <v>5603040</v>
      </c>
    </row>
    <row r="44">
      <c r="A44" s="7">
        <f>IFERROR(__xludf.DUMMYFUNCTION("""COMPUTED_VALUE"""),45485.64583333333)</f>
        <v>45485.64583</v>
      </c>
      <c r="B44" s="6">
        <f>IFERROR(__xludf.DUMMYFUNCTION("""COMPUTED_VALUE"""),698.0)</f>
        <v>698</v>
      </c>
      <c r="C44" s="6">
        <f>IFERROR(__xludf.DUMMYFUNCTION("""COMPUTED_VALUE"""),717.0)</f>
        <v>717</v>
      </c>
      <c r="D44" s="6">
        <f>IFERROR(__xludf.DUMMYFUNCTION("""COMPUTED_VALUE"""),651.0)</f>
        <v>651</v>
      </c>
      <c r="E44" s="6">
        <f>IFERROR(__xludf.DUMMYFUNCTION("""COMPUTED_VALUE"""),664.65)</f>
        <v>664.65</v>
      </c>
      <c r="F44" s="6">
        <f>IFERROR(__xludf.DUMMYFUNCTION("""COMPUTED_VALUE"""),3637077.0)</f>
        <v>3637077</v>
      </c>
    </row>
    <row r="45">
      <c r="A45" s="7">
        <f>IFERROR(__xludf.DUMMYFUNCTION("""COMPUTED_VALUE"""),45492.64583333333)</f>
        <v>45492.64583</v>
      </c>
      <c r="B45" s="6">
        <f>IFERROR(__xludf.DUMMYFUNCTION("""COMPUTED_VALUE"""),668.0)</f>
        <v>668</v>
      </c>
      <c r="C45" s="6">
        <f>IFERROR(__xludf.DUMMYFUNCTION("""COMPUTED_VALUE"""),669.9)</f>
        <v>669.9</v>
      </c>
      <c r="D45" s="6">
        <f>IFERROR(__xludf.DUMMYFUNCTION("""COMPUTED_VALUE"""),635.0)</f>
        <v>635</v>
      </c>
      <c r="E45" s="6">
        <f>IFERROR(__xludf.DUMMYFUNCTION("""COMPUTED_VALUE"""),641.75)</f>
        <v>641.75</v>
      </c>
      <c r="F45" s="6">
        <f>IFERROR(__xludf.DUMMYFUNCTION("""COMPUTED_VALUE"""),1880179.0)</f>
        <v>1880179</v>
      </c>
    </row>
    <row r="46">
      <c r="A46" s="7">
        <f>IFERROR(__xludf.DUMMYFUNCTION("""COMPUTED_VALUE"""),45499.64583333333)</f>
        <v>45499.64583</v>
      </c>
      <c r="B46" s="6">
        <f>IFERROR(__xludf.DUMMYFUNCTION("""COMPUTED_VALUE"""),632.0)</f>
        <v>632</v>
      </c>
      <c r="C46" s="6">
        <f>IFERROR(__xludf.DUMMYFUNCTION("""COMPUTED_VALUE"""),645.95)</f>
        <v>645.95</v>
      </c>
      <c r="D46" s="6">
        <f>IFERROR(__xludf.DUMMYFUNCTION("""COMPUTED_VALUE"""),599.0)</f>
        <v>599</v>
      </c>
      <c r="E46" s="6">
        <f>IFERROR(__xludf.DUMMYFUNCTION("""COMPUTED_VALUE"""),603.5)</f>
        <v>603.5</v>
      </c>
      <c r="F46" s="6">
        <f>IFERROR(__xludf.DUMMYFUNCTION("""COMPUTED_VALUE"""),2987601.0)</f>
        <v>2987601</v>
      </c>
    </row>
    <row r="47">
      <c r="A47" s="7">
        <f>IFERROR(__xludf.DUMMYFUNCTION("""COMPUTED_VALUE"""),45506.64583333333)</f>
        <v>45506.64583</v>
      </c>
      <c r="B47" s="6">
        <f>IFERROR(__xludf.DUMMYFUNCTION("""COMPUTED_VALUE"""),611.0)</f>
        <v>611</v>
      </c>
      <c r="C47" s="6">
        <f>IFERROR(__xludf.DUMMYFUNCTION("""COMPUTED_VALUE"""),663.15)</f>
        <v>663.15</v>
      </c>
      <c r="D47" s="6">
        <f>IFERROR(__xludf.DUMMYFUNCTION("""COMPUTED_VALUE"""),608.2)</f>
        <v>608.2</v>
      </c>
      <c r="E47" s="6">
        <f>IFERROR(__xludf.DUMMYFUNCTION("""COMPUTED_VALUE"""),651.8)</f>
        <v>651.8</v>
      </c>
      <c r="F47" s="6">
        <f>IFERROR(__xludf.DUMMYFUNCTION("""COMPUTED_VALUE"""),3404685.0)</f>
        <v>3404685</v>
      </c>
    </row>
    <row r="48">
      <c r="A48" s="7">
        <f>IFERROR(__xludf.DUMMYFUNCTION("""COMPUTED_VALUE"""),45513.64583333333)</f>
        <v>45513.64583</v>
      </c>
      <c r="B48" s="6">
        <f>IFERROR(__xludf.DUMMYFUNCTION("""COMPUTED_VALUE"""),626.05)</f>
        <v>626.05</v>
      </c>
      <c r="C48" s="6">
        <f>IFERROR(__xludf.DUMMYFUNCTION("""COMPUTED_VALUE"""),636.0)</f>
        <v>636</v>
      </c>
      <c r="D48" s="6">
        <f>IFERROR(__xludf.DUMMYFUNCTION("""COMPUTED_VALUE"""),588.0)</f>
        <v>588</v>
      </c>
      <c r="E48" s="6">
        <f>IFERROR(__xludf.DUMMYFUNCTION("""COMPUTED_VALUE"""),594.0)</f>
        <v>594</v>
      </c>
      <c r="F48" s="6">
        <f>IFERROR(__xludf.DUMMYFUNCTION("""COMPUTED_VALUE"""),3922570.0)</f>
        <v>3922570</v>
      </c>
    </row>
    <row r="49">
      <c r="A49" s="7">
        <f>IFERROR(__xludf.DUMMYFUNCTION("""COMPUTED_VALUE"""),45520.64583333333)</f>
        <v>45520.64583</v>
      </c>
      <c r="B49" s="6">
        <f>IFERROR(__xludf.DUMMYFUNCTION("""COMPUTED_VALUE"""),599.95)</f>
        <v>599.95</v>
      </c>
      <c r="C49" s="6">
        <f>IFERROR(__xludf.DUMMYFUNCTION("""COMPUTED_VALUE"""),627.9)</f>
        <v>627.9</v>
      </c>
      <c r="D49" s="6">
        <f>IFERROR(__xludf.DUMMYFUNCTION("""COMPUTED_VALUE"""),516.05)</f>
        <v>516.05</v>
      </c>
      <c r="E49" s="6">
        <f>IFERROR(__xludf.DUMMYFUNCTION("""COMPUTED_VALUE"""),519.9)</f>
        <v>519.9</v>
      </c>
      <c r="F49" s="6">
        <f>IFERROR(__xludf.DUMMYFUNCTION("""COMPUTED_VALUE"""),1.66509E7)</f>
        <v>16650900</v>
      </c>
    </row>
    <row r="50">
      <c r="A50" s="7">
        <f>IFERROR(__xludf.DUMMYFUNCTION("""COMPUTED_VALUE"""),45527.64583333333)</f>
        <v>45527.64583</v>
      </c>
      <c r="B50" s="6">
        <f>IFERROR(__xludf.DUMMYFUNCTION("""COMPUTED_VALUE"""),490.0)</f>
        <v>490</v>
      </c>
      <c r="C50" s="6">
        <f>IFERROR(__xludf.DUMMYFUNCTION("""COMPUTED_VALUE"""),519.85)</f>
        <v>519.85</v>
      </c>
      <c r="D50" s="6">
        <f>IFERROR(__xludf.DUMMYFUNCTION("""COMPUTED_VALUE"""),488.05)</f>
        <v>488.05</v>
      </c>
      <c r="E50" s="6">
        <f>IFERROR(__xludf.DUMMYFUNCTION("""COMPUTED_VALUE"""),513.8)</f>
        <v>513.8</v>
      </c>
      <c r="F50" s="6">
        <f>IFERROR(__xludf.DUMMYFUNCTION("""COMPUTED_VALUE"""),6.8665812E7)</f>
        <v>68665812</v>
      </c>
    </row>
    <row r="51">
      <c r="A51" s="7">
        <f>IFERROR(__xludf.DUMMYFUNCTION("""COMPUTED_VALUE"""),45534.64583333333)</f>
        <v>45534.64583</v>
      </c>
      <c r="B51" s="6">
        <f>IFERROR(__xludf.DUMMYFUNCTION("""COMPUTED_VALUE"""),518.0)</f>
        <v>518</v>
      </c>
      <c r="C51" s="6">
        <f>IFERROR(__xludf.DUMMYFUNCTION("""COMPUTED_VALUE"""),537.6)</f>
        <v>537.6</v>
      </c>
      <c r="D51" s="6">
        <f>IFERROR(__xludf.DUMMYFUNCTION("""COMPUTED_VALUE"""),492.4)</f>
        <v>492.4</v>
      </c>
      <c r="E51" s="6">
        <f>IFERROR(__xludf.DUMMYFUNCTION("""COMPUTED_VALUE"""),500.75)</f>
        <v>500.75</v>
      </c>
      <c r="F51" s="6">
        <f>IFERROR(__xludf.DUMMYFUNCTION("""COMPUTED_VALUE"""),2.5221508E7)</f>
        <v>25221508</v>
      </c>
    </row>
    <row r="52">
      <c r="A52" s="7">
        <f>IFERROR(__xludf.DUMMYFUNCTION("""COMPUTED_VALUE"""),45541.64583333333)</f>
        <v>45541.64583</v>
      </c>
      <c r="B52" s="6">
        <f>IFERROR(__xludf.DUMMYFUNCTION("""COMPUTED_VALUE"""),502.0)</f>
        <v>502</v>
      </c>
      <c r="C52" s="6">
        <f>IFERROR(__xludf.DUMMYFUNCTION("""COMPUTED_VALUE"""),502.45)</f>
        <v>502.45</v>
      </c>
      <c r="D52" s="6">
        <f>IFERROR(__xludf.DUMMYFUNCTION("""COMPUTED_VALUE"""),481.05)</f>
        <v>481.05</v>
      </c>
      <c r="E52" s="6">
        <f>IFERROR(__xludf.DUMMYFUNCTION("""COMPUTED_VALUE"""),486.85)</f>
        <v>486.85</v>
      </c>
      <c r="F52" s="6">
        <f>IFERROR(__xludf.DUMMYFUNCTION("""COMPUTED_VALUE"""),1.0636935E7)</f>
        <v>10636935</v>
      </c>
    </row>
    <row r="53">
      <c r="A53" s="7">
        <f>IFERROR(__xludf.DUMMYFUNCTION("""COMPUTED_VALUE"""),45548.64583333333)</f>
        <v>45548.64583</v>
      </c>
      <c r="B53" s="6">
        <f>IFERROR(__xludf.DUMMYFUNCTION("""COMPUTED_VALUE"""),484.75)</f>
        <v>484.75</v>
      </c>
      <c r="C53" s="6">
        <f>IFERROR(__xludf.DUMMYFUNCTION("""COMPUTED_VALUE"""),504.0)</f>
        <v>504</v>
      </c>
      <c r="D53" s="6">
        <f>IFERROR(__xludf.DUMMYFUNCTION("""COMPUTED_VALUE"""),475.4)</f>
        <v>475.4</v>
      </c>
      <c r="E53" s="6">
        <f>IFERROR(__xludf.DUMMYFUNCTION("""COMPUTED_VALUE"""),496.6)</f>
        <v>496.6</v>
      </c>
      <c r="F53" s="6">
        <f>IFERROR(__xludf.DUMMYFUNCTION("""COMPUTED_VALUE"""),8933384.0)</f>
        <v>8933384</v>
      </c>
    </row>
    <row r="54">
      <c r="A54" s="7">
        <f>IFERROR(__xludf.DUMMYFUNCTION("""COMPUTED_VALUE"""),45555.64583333333)</f>
        <v>45555.64583</v>
      </c>
      <c r="B54" s="6">
        <f>IFERROR(__xludf.DUMMYFUNCTION("""COMPUTED_VALUE"""),501.0)</f>
        <v>501</v>
      </c>
      <c r="C54" s="6">
        <f>IFERROR(__xludf.DUMMYFUNCTION("""COMPUTED_VALUE"""),508.4)</f>
        <v>508.4</v>
      </c>
      <c r="D54" s="6">
        <f>IFERROR(__xludf.DUMMYFUNCTION("""COMPUTED_VALUE"""),478.55)</f>
        <v>478.55</v>
      </c>
      <c r="E54" s="6">
        <f>IFERROR(__xludf.DUMMYFUNCTION("""COMPUTED_VALUE"""),500.7)</f>
        <v>500.7</v>
      </c>
      <c r="F54" s="6">
        <f>IFERROR(__xludf.DUMMYFUNCTION("""COMPUTED_VALUE"""),9024379.0)</f>
        <v>9024379</v>
      </c>
    </row>
    <row r="55">
      <c r="A55" s="7">
        <f>IFERROR(__xludf.DUMMYFUNCTION("""COMPUTED_VALUE"""),45562.64583333333)</f>
        <v>45562.64583</v>
      </c>
      <c r="B55" s="6">
        <f>IFERROR(__xludf.DUMMYFUNCTION("""COMPUTED_VALUE"""),501.0)</f>
        <v>501</v>
      </c>
      <c r="C55" s="6">
        <f>IFERROR(__xludf.DUMMYFUNCTION("""COMPUTED_VALUE"""),525.4)</f>
        <v>525.4</v>
      </c>
      <c r="D55" s="6">
        <f>IFERROR(__xludf.DUMMYFUNCTION("""COMPUTED_VALUE"""),498.25)</f>
        <v>498.25</v>
      </c>
      <c r="E55" s="6">
        <f>IFERROR(__xludf.DUMMYFUNCTION("""COMPUTED_VALUE"""),523.05)</f>
        <v>523.05</v>
      </c>
      <c r="F55" s="6">
        <f>IFERROR(__xludf.DUMMYFUNCTION("""COMPUTED_VALUE"""),1.7299182E7)</f>
        <v>17299182</v>
      </c>
    </row>
    <row r="56">
      <c r="A56" s="7">
        <f>IFERROR(__xludf.DUMMYFUNCTION("""COMPUTED_VALUE"""),45569.64583333333)</f>
        <v>45569.64583</v>
      </c>
      <c r="B56" s="6">
        <f>IFERROR(__xludf.DUMMYFUNCTION("""COMPUTED_VALUE"""),525.0)</f>
        <v>525</v>
      </c>
      <c r="C56" s="6">
        <f>IFERROR(__xludf.DUMMYFUNCTION("""COMPUTED_VALUE"""),533.55)</f>
        <v>533.55</v>
      </c>
      <c r="D56" s="6">
        <f>IFERROR(__xludf.DUMMYFUNCTION("""COMPUTED_VALUE"""),509.85)</f>
        <v>509.85</v>
      </c>
      <c r="E56" s="6">
        <f>IFERROR(__xludf.DUMMYFUNCTION("""COMPUTED_VALUE"""),517.25)</f>
        <v>517.25</v>
      </c>
      <c r="F56" s="6">
        <f>IFERROR(__xludf.DUMMYFUNCTION("""COMPUTED_VALUE"""),1.3256519E7)</f>
        <v>13256519</v>
      </c>
    </row>
    <row r="57">
      <c r="A57" s="7">
        <f>IFERROR(__xludf.DUMMYFUNCTION("""COMPUTED_VALUE"""),45576.64583333333)</f>
        <v>45576.64583</v>
      </c>
      <c r="B57" s="6">
        <f>IFERROR(__xludf.DUMMYFUNCTION("""COMPUTED_VALUE"""),524.0)</f>
        <v>524</v>
      </c>
      <c r="C57" s="6">
        <f>IFERROR(__xludf.DUMMYFUNCTION("""COMPUTED_VALUE"""),524.0)</f>
        <v>524</v>
      </c>
      <c r="D57" s="6">
        <f>IFERROR(__xludf.DUMMYFUNCTION("""COMPUTED_VALUE"""),490.5)</f>
        <v>490.5</v>
      </c>
      <c r="E57" s="6">
        <f>IFERROR(__xludf.DUMMYFUNCTION("""COMPUTED_VALUE"""),504.15)</f>
        <v>504.15</v>
      </c>
      <c r="F57" s="6">
        <f>IFERROR(__xludf.DUMMYFUNCTION("""COMPUTED_VALUE"""),5783120.0)</f>
        <v>5783120</v>
      </c>
    </row>
    <row r="58">
      <c r="A58" s="7">
        <f>IFERROR(__xludf.DUMMYFUNCTION("""COMPUTED_VALUE"""),45583.64583333333)</f>
        <v>45583.64583</v>
      </c>
      <c r="B58" s="6">
        <f>IFERROR(__xludf.DUMMYFUNCTION("""COMPUTED_VALUE"""),506.7)</f>
        <v>506.7</v>
      </c>
      <c r="C58" s="6">
        <f>IFERROR(__xludf.DUMMYFUNCTION("""COMPUTED_VALUE"""),523.55)</f>
        <v>523.55</v>
      </c>
      <c r="D58" s="6">
        <f>IFERROR(__xludf.DUMMYFUNCTION("""COMPUTED_VALUE"""),494.0)</f>
        <v>494</v>
      </c>
      <c r="E58" s="6">
        <f>IFERROR(__xludf.DUMMYFUNCTION("""COMPUTED_VALUE"""),506.5)</f>
        <v>506.5</v>
      </c>
      <c r="F58" s="6">
        <f>IFERROR(__xludf.DUMMYFUNCTION("""COMPUTED_VALUE"""),8466023.0)</f>
        <v>8466023</v>
      </c>
    </row>
    <row r="59">
      <c r="A59" s="7">
        <f>IFERROR(__xludf.DUMMYFUNCTION("""COMPUTED_VALUE"""),45590.64583333333)</f>
        <v>45590.64583</v>
      </c>
      <c r="B59" s="6">
        <f>IFERROR(__xludf.DUMMYFUNCTION("""COMPUTED_VALUE"""),519.35)</f>
        <v>519.35</v>
      </c>
      <c r="C59" s="6">
        <f>IFERROR(__xludf.DUMMYFUNCTION("""COMPUTED_VALUE"""),549.0)</f>
        <v>549</v>
      </c>
      <c r="D59" s="6">
        <f>IFERROR(__xludf.DUMMYFUNCTION("""COMPUTED_VALUE"""),500.0)</f>
        <v>500</v>
      </c>
      <c r="E59" s="6">
        <f>IFERROR(__xludf.DUMMYFUNCTION("""COMPUTED_VALUE"""),510.05)</f>
        <v>510.05</v>
      </c>
      <c r="F59" s="6">
        <f>IFERROR(__xludf.DUMMYFUNCTION("""COMPUTED_VALUE"""),2.0794448E7)</f>
        <v>20794448</v>
      </c>
    </row>
    <row r="60">
      <c r="A60" s="7">
        <f>IFERROR(__xludf.DUMMYFUNCTION("""COMPUTED_VALUE"""),45604.64583333333)</f>
        <v>45604.64583</v>
      </c>
      <c r="B60" s="6">
        <f>IFERROR(__xludf.DUMMYFUNCTION("""COMPUTED_VALUE"""),559.0)</f>
        <v>559</v>
      </c>
      <c r="C60" s="6">
        <f>IFERROR(__xludf.DUMMYFUNCTION("""COMPUTED_VALUE"""),565.0)</f>
        <v>565</v>
      </c>
      <c r="D60" s="6">
        <f>IFERROR(__xludf.DUMMYFUNCTION("""COMPUTED_VALUE"""),505.05)</f>
        <v>505.05</v>
      </c>
      <c r="E60" s="6">
        <f>IFERROR(__xludf.DUMMYFUNCTION("""COMPUTED_VALUE"""),506.25)</f>
        <v>506.25</v>
      </c>
      <c r="F60" s="6">
        <f>IFERROR(__xludf.DUMMYFUNCTION("""COMPUTED_VALUE"""),2.8086925E7)</f>
        <v>28086925</v>
      </c>
    </row>
    <row r="61">
      <c r="A61" s="7">
        <f>IFERROR(__xludf.DUMMYFUNCTION("""COMPUTED_VALUE"""),45610.64583333333)</f>
        <v>45610.64583</v>
      </c>
      <c r="B61" s="6">
        <f>IFERROR(__xludf.DUMMYFUNCTION("""COMPUTED_VALUE"""),505.9)</f>
        <v>505.9</v>
      </c>
      <c r="C61" s="6">
        <f>IFERROR(__xludf.DUMMYFUNCTION("""COMPUTED_VALUE"""),512.25)</f>
        <v>512.25</v>
      </c>
      <c r="D61" s="6">
        <f>IFERROR(__xludf.DUMMYFUNCTION("""COMPUTED_VALUE"""),484.0)</f>
        <v>484</v>
      </c>
      <c r="E61" s="6">
        <f>IFERROR(__xludf.DUMMYFUNCTION("""COMPUTED_VALUE"""),495.35)</f>
        <v>495.35</v>
      </c>
      <c r="F61" s="6">
        <f>IFERROR(__xludf.DUMMYFUNCTION("""COMPUTED_VALUE"""),1.1549425E7)</f>
        <v>11549425</v>
      </c>
    </row>
    <row r="62">
      <c r="A62" s="7">
        <f>IFERROR(__xludf.DUMMYFUNCTION("""COMPUTED_VALUE"""),45618.64583333333)</f>
        <v>45618.64583</v>
      </c>
      <c r="B62" s="6">
        <f>IFERROR(__xludf.DUMMYFUNCTION("""COMPUTED_VALUE"""),503.6)</f>
        <v>503.6</v>
      </c>
      <c r="C62" s="6">
        <f>IFERROR(__xludf.DUMMYFUNCTION("""COMPUTED_VALUE"""),503.9)</f>
        <v>503.9</v>
      </c>
      <c r="D62" s="6">
        <f>IFERROR(__xludf.DUMMYFUNCTION("""COMPUTED_VALUE"""),483.2)</f>
        <v>483.2</v>
      </c>
      <c r="E62" s="6">
        <f>IFERROR(__xludf.DUMMYFUNCTION("""COMPUTED_VALUE"""),489.25)</f>
        <v>489.25</v>
      </c>
      <c r="F62" s="6">
        <f>IFERROR(__xludf.DUMMYFUNCTION("""COMPUTED_VALUE"""),6811821.0)</f>
        <v>6811821</v>
      </c>
    </row>
    <row r="63">
      <c r="A63" s="7">
        <f>IFERROR(__xludf.DUMMYFUNCTION("""COMPUTED_VALUE"""),45625.64583333333)</f>
        <v>45625.64583</v>
      </c>
      <c r="B63" s="6">
        <f>IFERROR(__xludf.DUMMYFUNCTION("""COMPUTED_VALUE"""),498.0)</f>
        <v>498</v>
      </c>
      <c r="C63" s="6">
        <f>IFERROR(__xludf.DUMMYFUNCTION("""COMPUTED_VALUE"""),505.9)</f>
        <v>505.9</v>
      </c>
      <c r="D63" s="6">
        <f>IFERROR(__xludf.DUMMYFUNCTION("""COMPUTED_VALUE"""),491.6)</f>
        <v>491.6</v>
      </c>
      <c r="E63" s="6">
        <f>IFERROR(__xludf.DUMMYFUNCTION("""COMPUTED_VALUE"""),504.6)</f>
        <v>504.6</v>
      </c>
      <c r="F63" s="6">
        <f>IFERROR(__xludf.DUMMYFUNCTION("""COMPUTED_VALUE"""),5737215.0)</f>
        <v>5737215</v>
      </c>
    </row>
    <row r="64">
      <c r="A64" s="7">
        <f>IFERROR(__xludf.DUMMYFUNCTION("""COMPUTED_VALUE"""),45632.64583333333)</f>
        <v>45632.64583</v>
      </c>
      <c r="B64" s="6">
        <f>IFERROR(__xludf.DUMMYFUNCTION("""COMPUTED_VALUE"""),502.05)</f>
        <v>502.05</v>
      </c>
      <c r="C64" s="6">
        <f>IFERROR(__xludf.DUMMYFUNCTION("""COMPUTED_VALUE"""),515.4)</f>
        <v>515.4</v>
      </c>
      <c r="D64" s="6">
        <f>IFERROR(__xludf.DUMMYFUNCTION("""COMPUTED_VALUE"""),499.1)</f>
        <v>499.1</v>
      </c>
      <c r="E64" s="6">
        <f>IFERROR(__xludf.DUMMYFUNCTION("""COMPUTED_VALUE"""),510.0)</f>
        <v>510</v>
      </c>
      <c r="F64" s="6">
        <f>IFERROR(__xludf.DUMMYFUNCTION("""COMPUTED_VALUE"""),6734876.0)</f>
        <v>6734876</v>
      </c>
    </row>
    <row r="65">
      <c r="A65" s="7">
        <f>IFERROR(__xludf.DUMMYFUNCTION("""COMPUTED_VALUE"""),45639.64583333333)</f>
        <v>45639.64583</v>
      </c>
      <c r="B65" s="6">
        <f>IFERROR(__xludf.DUMMYFUNCTION("""COMPUTED_VALUE"""),510.0)</f>
        <v>510</v>
      </c>
      <c r="C65" s="6">
        <f>IFERROR(__xludf.DUMMYFUNCTION("""COMPUTED_VALUE"""),516.4)</f>
        <v>516.4</v>
      </c>
      <c r="D65" s="6">
        <f>IFERROR(__xludf.DUMMYFUNCTION("""COMPUTED_VALUE"""),492.1)</f>
        <v>492.1</v>
      </c>
      <c r="E65" s="6">
        <f>IFERROR(__xludf.DUMMYFUNCTION("""COMPUTED_VALUE"""),501.0)</f>
        <v>501</v>
      </c>
      <c r="F65" s="6">
        <f>IFERROR(__xludf.DUMMYFUNCTION("""COMPUTED_VALUE"""),7605308.0)</f>
        <v>7605308</v>
      </c>
    </row>
    <row r="66">
      <c r="A66" s="7">
        <f>IFERROR(__xludf.DUMMYFUNCTION("""COMPUTED_VALUE"""),45646.64583333333)</f>
        <v>45646.64583</v>
      </c>
      <c r="B66" s="6">
        <f>IFERROR(__xludf.DUMMYFUNCTION("""COMPUTED_VALUE"""),500.35)</f>
        <v>500.35</v>
      </c>
      <c r="C66" s="6">
        <f>IFERROR(__xludf.DUMMYFUNCTION("""COMPUTED_VALUE"""),503.95)</f>
        <v>503.95</v>
      </c>
      <c r="D66" s="6">
        <f>IFERROR(__xludf.DUMMYFUNCTION("""COMPUTED_VALUE"""),466.3)</f>
        <v>466.3</v>
      </c>
      <c r="E66" s="6">
        <f>IFERROR(__xludf.DUMMYFUNCTION("""COMPUTED_VALUE"""),468.8)</f>
        <v>468.8</v>
      </c>
      <c r="F66" s="6">
        <f>IFERROR(__xludf.DUMMYFUNCTION("""COMPUTED_VALUE"""),4450489.0)</f>
        <v>4450489</v>
      </c>
    </row>
    <row r="67">
      <c r="A67" s="7">
        <f>IFERROR(__xludf.DUMMYFUNCTION("""COMPUTED_VALUE"""),45653.64583333333)</f>
        <v>45653.64583</v>
      </c>
      <c r="B67" s="6">
        <f>IFERROR(__xludf.DUMMYFUNCTION("""COMPUTED_VALUE"""),471.0)</f>
        <v>471</v>
      </c>
      <c r="C67" s="6">
        <f>IFERROR(__xludf.DUMMYFUNCTION("""COMPUTED_VALUE"""),473.5)</f>
        <v>473.5</v>
      </c>
      <c r="D67" s="6">
        <f>IFERROR(__xludf.DUMMYFUNCTION("""COMPUTED_VALUE"""),451.8)</f>
        <v>451.8</v>
      </c>
      <c r="E67" s="6">
        <f>IFERROR(__xludf.DUMMYFUNCTION("""COMPUTED_VALUE"""),454.7)</f>
        <v>454.7</v>
      </c>
      <c r="F67" s="6">
        <f>IFERROR(__xludf.DUMMYFUNCTION("""COMPUTED_VALUE"""),3158352.0)</f>
        <v>3158352</v>
      </c>
    </row>
    <row r="68">
      <c r="A68" s="7">
        <f>IFERROR(__xludf.DUMMYFUNCTION("""COMPUTED_VALUE"""),45660.64583333333)</f>
        <v>45660.64583</v>
      </c>
      <c r="B68" s="6">
        <f>IFERROR(__xludf.DUMMYFUNCTION("""COMPUTED_VALUE"""),454.0)</f>
        <v>454</v>
      </c>
      <c r="C68" s="6">
        <f>IFERROR(__xludf.DUMMYFUNCTION("""COMPUTED_VALUE"""),472.5)</f>
        <v>472.5</v>
      </c>
      <c r="D68" s="6">
        <f>IFERROR(__xludf.DUMMYFUNCTION("""COMPUTED_VALUE"""),429.6)</f>
        <v>429.6</v>
      </c>
      <c r="E68" s="6">
        <f>IFERROR(__xludf.DUMMYFUNCTION("""COMPUTED_VALUE"""),469.15)</f>
        <v>469.15</v>
      </c>
      <c r="F68" s="6">
        <f>IFERROR(__xludf.DUMMYFUNCTION("""COMPUTED_VALUE"""),8214901.0)</f>
        <v>8214901</v>
      </c>
    </row>
    <row r="69">
      <c r="A69" s="7">
        <f>IFERROR(__xludf.DUMMYFUNCTION("""COMPUTED_VALUE"""),45667.64583333333)</f>
        <v>45667.64583</v>
      </c>
      <c r="B69" s="6">
        <f>IFERROR(__xludf.DUMMYFUNCTION("""COMPUTED_VALUE"""),473.2)</f>
        <v>473.2</v>
      </c>
      <c r="C69" s="6">
        <f>IFERROR(__xludf.DUMMYFUNCTION("""COMPUTED_VALUE"""),473.2)</f>
        <v>473.2</v>
      </c>
      <c r="D69" s="6">
        <f>IFERROR(__xludf.DUMMYFUNCTION("""COMPUTED_VALUE"""),427.2)</f>
        <v>427.2</v>
      </c>
      <c r="E69" s="6">
        <f>IFERROR(__xludf.DUMMYFUNCTION("""COMPUTED_VALUE"""),433.35)</f>
        <v>433.35</v>
      </c>
      <c r="F69" s="6">
        <f>IFERROR(__xludf.DUMMYFUNCTION("""COMPUTED_VALUE"""),6258112.0)</f>
        <v>6258112</v>
      </c>
    </row>
    <row r="70">
      <c r="A70" s="7">
        <f>IFERROR(__xludf.DUMMYFUNCTION("""COMPUTED_VALUE"""),45674.64583333333)</f>
        <v>45674.64583</v>
      </c>
      <c r="B70" s="6">
        <f>IFERROR(__xludf.DUMMYFUNCTION("""COMPUTED_VALUE"""),429.85)</f>
        <v>429.85</v>
      </c>
      <c r="C70" s="6">
        <f>IFERROR(__xludf.DUMMYFUNCTION("""COMPUTED_VALUE"""),461.9)</f>
        <v>461.9</v>
      </c>
      <c r="D70" s="6">
        <f>IFERROR(__xludf.DUMMYFUNCTION("""COMPUTED_VALUE"""),414.7)</f>
        <v>414.7</v>
      </c>
      <c r="E70" s="6">
        <f>IFERROR(__xludf.DUMMYFUNCTION("""COMPUTED_VALUE"""),456.85)</f>
        <v>456.85</v>
      </c>
      <c r="F70" s="6">
        <f>IFERROR(__xludf.DUMMYFUNCTION("""COMPUTED_VALUE"""),5374691.0)</f>
        <v>5374691</v>
      </c>
    </row>
    <row r="71">
      <c r="A71" s="7">
        <f>IFERROR(__xludf.DUMMYFUNCTION("""COMPUTED_VALUE"""),45681.64583333333)</f>
        <v>45681.64583</v>
      </c>
      <c r="B71" s="6">
        <f>IFERROR(__xludf.DUMMYFUNCTION("""COMPUTED_VALUE"""),464.2)</f>
        <v>464.2</v>
      </c>
      <c r="C71" s="6">
        <f>IFERROR(__xludf.DUMMYFUNCTION("""COMPUTED_VALUE"""),480.5)</f>
        <v>480.5</v>
      </c>
      <c r="D71" s="6">
        <f>IFERROR(__xludf.DUMMYFUNCTION("""COMPUTED_VALUE"""),456.6)</f>
        <v>456.6</v>
      </c>
      <c r="E71" s="6">
        <f>IFERROR(__xludf.DUMMYFUNCTION("""COMPUTED_VALUE"""),466.55)</f>
        <v>466.55</v>
      </c>
      <c r="F71" s="6">
        <f>IFERROR(__xludf.DUMMYFUNCTION("""COMPUTED_VALUE"""),5120096.0)</f>
        <v>5120096</v>
      </c>
    </row>
    <row r="72">
      <c r="A72" s="7">
        <f>IFERROR(__xludf.DUMMYFUNCTION("""COMPUTED_VALUE"""),45695.64583333333)</f>
        <v>45695.64583</v>
      </c>
      <c r="B72" s="6">
        <f>IFERROR(__xludf.DUMMYFUNCTION("""COMPUTED_VALUE"""),445.0)</f>
        <v>445</v>
      </c>
      <c r="C72" s="6">
        <f>IFERROR(__xludf.DUMMYFUNCTION("""COMPUTED_VALUE"""),469.2)</f>
        <v>469.2</v>
      </c>
      <c r="D72" s="6">
        <f>IFERROR(__xludf.DUMMYFUNCTION("""COMPUTED_VALUE"""),426.55)</f>
        <v>426.55</v>
      </c>
      <c r="E72" s="6">
        <f>IFERROR(__xludf.DUMMYFUNCTION("""COMPUTED_VALUE"""),440.35)</f>
        <v>440.35</v>
      </c>
      <c r="F72" s="6">
        <f>IFERROR(__xludf.DUMMYFUNCTION("""COMPUTED_VALUE"""),9882774.0)</f>
        <v>9882774</v>
      </c>
    </row>
    <row r="73">
      <c r="A73" s="7">
        <f>IFERROR(__xludf.DUMMYFUNCTION("""COMPUTED_VALUE"""),45702.64583333333)</f>
        <v>45702.64583</v>
      </c>
      <c r="B73" s="6">
        <f>IFERROR(__xludf.DUMMYFUNCTION("""COMPUTED_VALUE"""),441.6)</f>
        <v>441.6</v>
      </c>
      <c r="C73" s="6">
        <f>IFERROR(__xludf.DUMMYFUNCTION("""COMPUTED_VALUE"""),443.9)</f>
        <v>443.9</v>
      </c>
      <c r="D73" s="6">
        <f>IFERROR(__xludf.DUMMYFUNCTION("""COMPUTED_VALUE"""),408.3)</f>
        <v>408.3</v>
      </c>
      <c r="E73" s="6">
        <f>IFERROR(__xludf.DUMMYFUNCTION("""COMPUTED_VALUE"""),416.55)</f>
        <v>416.55</v>
      </c>
      <c r="F73" s="6">
        <f>IFERROR(__xludf.DUMMYFUNCTION("""COMPUTED_VALUE"""),8009695.0)</f>
        <v>8009695</v>
      </c>
    </row>
    <row r="74">
      <c r="A74" s="7">
        <f>IFERROR(__xludf.DUMMYFUNCTION("""COMPUTED_VALUE"""),45709.64583333333)</f>
        <v>45709.64583</v>
      </c>
      <c r="B74" s="6">
        <f>IFERROR(__xludf.DUMMYFUNCTION("""COMPUTED_VALUE"""),411.55)</f>
        <v>411.55</v>
      </c>
      <c r="C74" s="6">
        <f>IFERROR(__xludf.DUMMYFUNCTION("""COMPUTED_VALUE"""),430.2)</f>
        <v>430.2</v>
      </c>
      <c r="D74" s="6">
        <f>IFERROR(__xludf.DUMMYFUNCTION("""COMPUTED_VALUE"""),402.55)</f>
        <v>402.55</v>
      </c>
      <c r="E74" s="6">
        <f>IFERROR(__xludf.DUMMYFUNCTION("""COMPUTED_VALUE"""),426.65)</f>
        <v>426.65</v>
      </c>
      <c r="F74" s="6">
        <f>IFERROR(__xludf.DUMMYFUNCTION("""COMPUTED_VALUE"""),5360529.0)</f>
        <v>5360529</v>
      </c>
    </row>
    <row r="75">
      <c r="A75" s="7">
        <f>IFERROR(__xludf.DUMMYFUNCTION("""COMPUTED_VALUE"""),45716.64583333333)</f>
        <v>45716.64583</v>
      </c>
      <c r="B75" s="6">
        <f>IFERROR(__xludf.DUMMYFUNCTION("""COMPUTED_VALUE"""),421.0)</f>
        <v>421</v>
      </c>
      <c r="C75" s="6">
        <f>IFERROR(__xludf.DUMMYFUNCTION("""COMPUTED_VALUE"""),425.95)</f>
        <v>425.95</v>
      </c>
      <c r="D75" s="6">
        <f>IFERROR(__xludf.DUMMYFUNCTION("""COMPUTED_VALUE"""),390.0)</f>
        <v>390</v>
      </c>
      <c r="E75" s="6">
        <f>IFERROR(__xludf.DUMMYFUNCTION("""COMPUTED_VALUE"""),390.8)</f>
        <v>390.8</v>
      </c>
      <c r="F75" s="6">
        <f>IFERROR(__xludf.DUMMYFUNCTION("""COMPUTED_VALUE"""),4405532.0)</f>
        <v>4405532</v>
      </c>
    </row>
    <row r="76">
      <c r="A76" s="7">
        <f>IFERROR(__xludf.DUMMYFUNCTION("""COMPUTED_VALUE"""),45723.64583333333)</f>
        <v>45723.64583</v>
      </c>
      <c r="B76" s="6">
        <f>IFERROR(__xludf.DUMMYFUNCTION("""COMPUTED_VALUE"""),392.0)</f>
        <v>392</v>
      </c>
      <c r="C76" s="6">
        <f>IFERROR(__xludf.DUMMYFUNCTION("""COMPUTED_VALUE"""),437.95)</f>
        <v>437.95</v>
      </c>
      <c r="D76" s="6">
        <f>IFERROR(__xludf.DUMMYFUNCTION("""COMPUTED_VALUE"""),378.15)</f>
        <v>378.15</v>
      </c>
      <c r="E76" s="6">
        <f>IFERROR(__xludf.DUMMYFUNCTION("""COMPUTED_VALUE"""),429.35)</f>
        <v>429.35</v>
      </c>
      <c r="F76" s="6">
        <f>IFERROR(__xludf.DUMMYFUNCTION("""COMPUTED_VALUE"""),1.0220291E7)</f>
        <v>10220291</v>
      </c>
    </row>
    <row r="77">
      <c r="A77" s="7">
        <f>IFERROR(__xludf.DUMMYFUNCTION("""COMPUTED_VALUE"""),45729.64583333333)</f>
        <v>45729.64583</v>
      </c>
      <c r="B77" s="6">
        <f>IFERROR(__xludf.DUMMYFUNCTION("""COMPUTED_VALUE"""),429.05)</f>
        <v>429.05</v>
      </c>
      <c r="C77" s="6">
        <f>IFERROR(__xludf.DUMMYFUNCTION("""COMPUTED_VALUE"""),436.9)</f>
        <v>436.9</v>
      </c>
      <c r="D77" s="6">
        <f>IFERROR(__xludf.DUMMYFUNCTION("""COMPUTED_VALUE"""),420.3)</f>
        <v>420.3</v>
      </c>
      <c r="E77" s="6">
        <f>IFERROR(__xludf.DUMMYFUNCTION("""COMPUTED_VALUE"""),430.0)</f>
        <v>430</v>
      </c>
      <c r="F77" s="6">
        <f>IFERROR(__xludf.DUMMYFUNCTION("""COMPUTED_VALUE"""),6200005.0)</f>
        <v>6200005</v>
      </c>
    </row>
    <row r="78">
      <c r="A78" s="7">
        <f>IFERROR(__xludf.DUMMYFUNCTION("""COMPUTED_VALUE"""),45737.64583333333)</f>
        <v>45737.64583</v>
      </c>
      <c r="B78" s="6">
        <f>IFERROR(__xludf.DUMMYFUNCTION("""COMPUTED_VALUE"""),437.8)</f>
        <v>437.8</v>
      </c>
      <c r="C78" s="6">
        <f>IFERROR(__xludf.DUMMYFUNCTION("""COMPUTED_VALUE"""),477.8)</f>
        <v>477.8</v>
      </c>
      <c r="D78" s="6">
        <f>IFERROR(__xludf.DUMMYFUNCTION("""COMPUTED_VALUE"""),435.25)</f>
        <v>435.25</v>
      </c>
      <c r="E78" s="6">
        <f>IFERROR(__xludf.DUMMYFUNCTION("""COMPUTED_VALUE"""),446.4)</f>
        <v>446.4</v>
      </c>
      <c r="F78" s="6">
        <f>IFERROR(__xludf.DUMMYFUNCTION("""COMPUTED_VALUE"""),1.5070117E7)</f>
        <v>15070117</v>
      </c>
    </row>
    <row r="79">
      <c r="A79" s="7">
        <f>IFERROR(__xludf.DUMMYFUNCTION("""COMPUTED_VALUE"""),45744.64583333333)</f>
        <v>45744.64583</v>
      </c>
      <c r="B79" s="6">
        <f>IFERROR(__xludf.DUMMYFUNCTION("""COMPUTED_VALUE"""),448.65)</f>
        <v>448.65</v>
      </c>
      <c r="C79" s="6">
        <f>IFERROR(__xludf.DUMMYFUNCTION("""COMPUTED_VALUE"""),475.0)</f>
        <v>475</v>
      </c>
      <c r="D79" s="6">
        <f>IFERROR(__xludf.DUMMYFUNCTION("""COMPUTED_VALUE"""),440.1)</f>
        <v>440.1</v>
      </c>
      <c r="E79" s="6">
        <f>IFERROR(__xludf.DUMMYFUNCTION("""COMPUTED_VALUE"""),461.9)</f>
        <v>461.9</v>
      </c>
      <c r="F79" s="6">
        <f>IFERROR(__xludf.DUMMYFUNCTION("""COMPUTED_VALUE"""),1.1771072E7)</f>
        <v>11771072</v>
      </c>
    </row>
    <row r="80">
      <c r="A80" s="7">
        <f>IFERROR(__xludf.DUMMYFUNCTION("""COMPUTED_VALUE"""),45751.64583333333)</f>
        <v>45751.64583</v>
      </c>
      <c r="B80" s="6">
        <f>IFERROR(__xludf.DUMMYFUNCTION("""COMPUTED_VALUE"""),462.55)</f>
        <v>462.55</v>
      </c>
      <c r="C80" s="6">
        <f>IFERROR(__xludf.DUMMYFUNCTION("""COMPUTED_VALUE"""),468.45)</f>
        <v>468.45</v>
      </c>
      <c r="D80" s="6">
        <f>IFERROR(__xludf.DUMMYFUNCTION("""COMPUTED_VALUE"""),424.0)</f>
        <v>424</v>
      </c>
      <c r="E80" s="6">
        <f>IFERROR(__xludf.DUMMYFUNCTION("""COMPUTED_VALUE"""),426.95)</f>
        <v>426.95</v>
      </c>
      <c r="F80" s="6">
        <f>IFERROR(__xludf.DUMMYFUNCTION("""COMPUTED_VALUE"""),7595724.0)</f>
        <v>7595724</v>
      </c>
    </row>
    <row r="81">
      <c r="A81" s="7">
        <f>IFERROR(__xludf.DUMMYFUNCTION("""COMPUTED_VALUE"""),45758.64583333333)</f>
        <v>45758.64583</v>
      </c>
      <c r="B81" s="6">
        <f>IFERROR(__xludf.DUMMYFUNCTION("""COMPUTED_VALUE"""),390.2)</f>
        <v>390.2</v>
      </c>
      <c r="C81" s="6">
        <f>IFERROR(__xludf.DUMMYFUNCTION("""COMPUTED_VALUE"""),419.9)</f>
        <v>419.9</v>
      </c>
      <c r="D81" s="6">
        <f>IFERROR(__xludf.DUMMYFUNCTION("""COMPUTED_VALUE"""),388.55)</f>
        <v>388.55</v>
      </c>
      <c r="E81" s="6">
        <f>IFERROR(__xludf.DUMMYFUNCTION("""COMPUTED_VALUE"""),411.05)</f>
        <v>411.05</v>
      </c>
      <c r="F81" s="6">
        <f>IFERROR(__xludf.DUMMYFUNCTION("""COMPUTED_VALUE"""),6944611.0)</f>
        <v>6944611</v>
      </c>
    </row>
    <row r="82">
      <c r="A82" s="7">
        <f>IFERROR(__xludf.DUMMYFUNCTION("""COMPUTED_VALUE"""),45764.64583333333)</f>
        <v>45764.64583</v>
      </c>
      <c r="B82" s="6">
        <f>IFERROR(__xludf.DUMMYFUNCTION("""COMPUTED_VALUE"""),419.5)</f>
        <v>419.5</v>
      </c>
      <c r="C82" s="6">
        <f>IFERROR(__xludf.DUMMYFUNCTION("""COMPUTED_VALUE"""),444.9)</f>
        <v>444.9</v>
      </c>
      <c r="D82" s="6">
        <f>IFERROR(__xludf.DUMMYFUNCTION("""COMPUTED_VALUE"""),418.3)</f>
        <v>418.3</v>
      </c>
      <c r="E82" s="6">
        <f>IFERROR(__xludf.DUMMYFUNCTION("""COMPUTED_VALUE"""),439.7)</f>
        <v>439.7</v>
      </c>
      <c r="F82" s="6">
        <f>IFERROR(__xludf.DUMMYFUNCTION("""COMPUTED_VALUE"""),5580658.0)</f>
        <v>5580658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IFERROR(__xludf.DUMMYFUNCTION("""COMPUTED_VALUE"""),440.0)</f>
        <v>440</v>
      </c>
      <c r="C83" s="6">
        <f>IFERROR(__xludf.DUMMYFUNCTION("""COMPUTED_VALUE"""),467.9)</f>
        <v>467.9</v>
      </c>
      <c r="D83" s="6">
        <f>IFERROR(__xludf.DUMMYFUNCTION("""COMPUTED_VALUE"""),437.5)</f>
        <v>437.5</v>
      </c>
      <c r="E83" s="6">
        <f>IFERROR(__xludf.DUMMYFUNCTION("""COMPUTED_VALUE"""),445.0)</f>
        <v>445</v>
      </c>
      <c r="F83" s="6">
        <f>IFERROR(__xludf.DUMMYFUNCTION("""COMPUTED_VALUE"""),1.2435253E7)</f>
        <v>12435253</v>
      </c>
    </row>
    <row r="84">
      <c r="A84" s="7">
        <f>IFERROR(__xludf.DUMMYFUNCTION("""COMPUTED_VALUE"""),45779.64583333333)</f>
        <v>45779.64583</v>
      </c>
      <c r="B84" s="6">
        <f>IFERROR(__xludf.DUMMYFUNCTION("""COMPUTED_VALUE"""),452.0)</f>
        <v>452</v>
      </c>
      <c r="C84" s="6">
        <f>IFERROR(__xludf.DUMMYFUNCTION("""COMPUTED_VALUE"""),459.5)</f>
        <v>459.5</v>
      </c>
      <c r="D84" s="6">
        <f>IFERROR(__xludf.DUMMYFUNCTION("""COMPUTED_VALUE"""),427.2)</f>
        <v>427.2</v>
      </c>
      <c r="E84" s="6">
        <f>IFERROR(__xludf.DUMMYFUNCTION("""COMPUTED_VALUE"""),428.7)</f>
        <v>428.7</v>
      </c>
      <c r="F84" s="6">
        <f>IFERROR(__xludf.DUMMYFUNCTION("""COMPUTED_VALUE"""),8079186.0)</f>
        <v>8079186</v>
      </c>
    </row>
    <row r="85">
      <c r="A85" s="7">
        <f>IFERROR(__xludf.DUMMYFUNCTION("""COMPUTED_VALUE"""),45786.64583333333)</f>
        <v>45786.64583</v>
      </c>
      <c r="B85" s="6">
        <f>IFERROR(__xludf.DUMMYFUNCTION("""COMPUTED_VALUE"""),430.45)</f>
        <v>430.45</v>
      </c>
      <c r="C85" s="6">
        <f>IFERROR(__xludf.DUMMYFUNCTION("""COMPUTED_VALUE"""),432.95)</f>
        <v>432.95</v>
      </c>
      <c r="D85" s="6">
        <f>IFERROR(__xludf.DUMMYFUNCTION("""COMPUTED_VALUE"""),398.0)</f>
        <v>398</v>
      </c>
      <c r="E85" s="6">
        <f>IFERROR(__xludf.DUMMYFUNCTION("""COMPUTED_VALUE"""),408.35)</f>
        <v>408.35</v>
      </c>
      <c r="F85" s="6">
        <f>IFERROR(__xludf.DUMMYFUNCTION("""COMPUTED_VALUE"""),7269636.0)</f>
        <v>7269636</v>
      </c>
    </row>
    <row r="86">
      <c r="A86" s="7">
        <f>IFERROR(__xludf.DUMMYFUNCTION("""COMPUTED_VALUE"""),45793.64583333333)</f>
        <v>45793.64583</v>
      </c>
      <c r="B86" s="6">
        <f>IFERROR(__xludf.DUMMYFUNCTION("""COMPUTED_VALUE"""),420.0)</f>
        <v>420</v>
      </c>
      <c r="C86" s="6">
        <f>IFERROR(__xludf.DUMMYFUNCTION("""COMPUTED_VALUE"""),445.0)</f>
        <v>445</v>
      </c>
      <c r="D86" s="6">
        <f>IFERROR(__xludf.DUMMYFUNCTION("""COMPUTED_VALUE"""),420.0)</f>
        <v>420</v>
      </c>
      <c r="E86" s="6">
        <f>IFERROR(__xludf.DUMMYFUNCTION("""COMPUTED_VALUE"""),442.3)</f>
        <v>442.3</v>
      </c>
      <c r="F86" s="6">
        <f>IFERROR(__xludf.DUMMYFUNCTION("""COMPUTED_VALUE"""),1.0188029E7)</f>
        <v>10188029</v>
      </c>
    </row>
    <row r="87">
      <c r="A87" s="7">
        <f>IFERROR(__xludf.DUMMYFUNCTION("""COMPUTED_VALUE"""),45800.64583333333)</f>
        <v>45800.64583</v>
      </c>
      <c r="B87" s="6">
        <f>IFERROR(__xludf.DUMMYFUNCTION("""COMPUTED_VALUE"""),442.25)</f>
        <v>442.25</v>
      </c>
      <c r="C87" s="6">
        <f>IFERROR(__xludf.DUMMYFUNCTION("""COMPUTED_VALUE"""),455.9)</f>
        <v>455.9</v>
      </c>
      <c r="D87" s="6">
        <f>IFERROR(__xludf.DUMMYFUNCTION("""COMPUTED_VALUE"""),433.7)</f>
        <v>433.7</v>
      </c>
      <c r="E87" s="6">
        <f>IFERROR(__xludf.DUMMYFUNCTION("""COMPUTED_VALUE"""),447.05)</f>
        <v>447.05</v>
      </c>
      <c r="F87" s="6">
        <f>IFERROR(__xludf.DUMMYFUNCTION("""COMPUTED_VALUE"""),1.1892798E7)</f>
        <v>11892798</v>
      </c>
    </row>
    <row r="88">
      <c r="A88" s="7">
        <f>IFERROR(__xludf.DUMMYFUNCTION("""COMPUTED_VALUE"""),45807.64583333333)</f>
        <v>45807.64583</v>
      </c>
      <c r="B88" s="6">
        <f>IFERROR(__xludf.DUMMYFUNCTION("""COMPUTED_VALUE"""),449.0)</f>
        <v>449</v>
      </c>
      <c r="C88" s="6">
        <f>IFERROR(__xludf.DUMMYFUNCTION("""COMPUTED_VALUE"""),469.9)</f>
        <v>469.9</v>
      </c>
      <c r="D88" s="6">
        <f>IFERROR(__xludf.DUMMYFUNCTION("""COMPUTED_VALUE"""),447.35)</f>
        <v>447.35</v>
      </c>
      <c r="E88" s="6">
        <f>IFERROR(__xludf.DUMMYFUNCTION("""COMPUTED_VALUE"""),458.2)</f>
        <v>458.2</v>
      </c>
      <c r="F88" s="6">
        <f>IFERROR(__xludf.DUMMYFUNCTION("""COMPUTED_VALUE"""),1.139523E7)</f>
        <v>11395230</v>
      </c>
    </row>
    <row r="89">
      <c r="A89" s="7">
        <f>IFERROR(__xludf.DUMMYFUNCTION("""COMPUTED_VALUE"""),45814.64583333333)</f>
        <v>45814.64583</v>
      </c>
      <c r="B89" s="6">
        <f>IFERROR(__xludf.DUMMYFUNCTION("""COMPUTED_VALUE"""),457.0)</f>
        <v>457</v>
      </c>
      <c r="C89" s="6">
        <f>IFERROR(__xludf.DUMMYFUNCTION("""COMPUTED_VALUE"""),510.9)</f>
        <v>510.9</v>
      </c>
      <c r="D89" s="6">
        <f>IFERROR(__xludf.DUMMYFUNCTION("""COMPUTED_VALUE"""),450.5)</f>
        <v>450.5</v>
      </c>
      <c r="E89" s="6">
        <f>IFERROR(__xludf.DUMMYFUNCTION("""COMPUTED_VALUE"""),502.25)</f>
        <v>502.25</v>
      </c>
      <c r="F89" s="6">
        <f>IFERROR(__xludf.DUMMYFUNCTION("""COMPUTED_VALUE"""),3.8072513E7)</f>
        <v>38072513</v>
      </c>
    </row>
    <row r="90">
      <c r="A90" s="7">
        <f>IFERROR(__xludf.DUMMYFUNCTION("""COMPUTED_VALUE"""),45821.64583333333)</f>
        <v>45821.64583</v>
      </c>
      <c r="B90" s="6">
        <f>IFERROR(__xludf.DUMMYFUNCTION("""COMPUTED_VALUE"""),511.0)</f>
        <v>511</v>
      </c>
      <c r="C90" s="6">
        <f>IFERROR(__xludf.DUMMYFUNCTION("""COMPUTED_VALUE"""),546.8)</f>
        <v>546.8</v>
      </c>
      <c r="D90" s="6">
        <f>IFERROR(__xludf.DUMMYFUNCTION("""COMPUTED_VALUE"""),502.15)</f>
        <v>502.15</v>
      </c>
      <c r="E90" s="6">
        <f>IFERROR(__xludf.DUMMYFUNCTION("""COMPUTED_VALUE"""),514.25)</f>
        <v>514.25</v>
      </c>
      <c r="F90" s="6">
        <f>IFERROR(__xludf.DUMMYFUNCTION("""COMPUTED_VALUE"""),4.3438922E7)</f>
        <v>43438922</v>
      </c>
    </row>
    <row r="91">
      <c r="A91" s="7">
        <f>IFERROR(__xludf.DUMMYFUNCTION("""COMPUTED_VALUE"""),45828.64583333333)</f>
        <v>45828.64583</v>
      </c>
      <c r="B91" s="6">
        <f>IFERROR(__xludf.DUMMYFUNCTION("""COMPUTED_VALUE"""),520.0)</f>
        <v>520</v>
      </c>
      <c r="C91" s="6">
        <f>IFERROR(__xludf.DUMMYFUNCTION("""COMPUTED_VALUE"""),520.05)</f>
        <v>520.05</v>
      </c>
      <c r="D91" s="6">
        <f>IFERROR(__xludf.DUMMYFUNCTION("""COMPUTED_VALUE"""),434.75)</f>
        <v>434.75</v>
      </c>
      <c r="E91" s="6">
        <f>IFERROR(__xludf.DUMMYFUNCTION("""COMPUTED_VALUE"""),438.6)</f>
        <v>438.6</v>
      </c>
      <c r="F91" s="6">
        <f>IFERROR(__xludf.DUMMYFUNCTION("""COMPUTED_VALUE"""),1.81626622E8)</f>
        <v>181626622</v>
      </c>
    </row>
    <row r="92">
      <c r="A92" s="7">
        <f>IFERROR(__xludf.DUMMYFUNCTION("""COMPUTED_VALUE"""),45835.64583333333)</f>
        <v>45835.64583</v>
      </c>
      <c r="B92" s="6">
        <f>IFERROR(__xludf.DUMMYFUNCTION("""COMPUTED_VALUE"""),435.7)</f>
        <v>435.7</v>
      </c>
      <c r="C92" s="6">
        <f>IFERROR(__xludf.DUMMYFUNCTION("""COMPUTED_VALUE"""),455.35)</f>
        <v>455.35</v>
      </c>
      <c r="D92" s="6">
        <f>IFERROR(__xludf.DUMMYFUNCTION("""COMPUTED_VALUE"""),435.25)</f>
        <v>435.25</v>
      </c>
      <c r="E92" s="6">
        <f>IFERROR(__xludf.DUMMYFUNCTION("""COMPUTED_VALUE"""),451.15)</f>
        <v>451.15</v>
      </c>
      <c r="F92" s="6">
        <f>IFERROR(__xludf.DUMMYFUNCTION("""COMPUTED_VALUE"""),3.0964974E7)</f>
        <v>30964974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IFERROR(__xludf.DUMMYFUNCTION("""COMPUTED_VALUE"""),452.4)</f>
        <v>452.4</v>
      </c>
      <c r="C93" s="6">
        <f>IFERROR(__xludf.DUMMYFUNCTION("""COMPUTED_VALUE"""),453.9)</f>
        <v>453.9</v>
      </c>
      <c r="D93" s="6">
        <f>IFERROR(__xludf.DUMMYFUNCTION("""COMPUTED_VALUE"""),443.1)</f>
        <v>443.1</v>
      </c>
      <c r="E93" s="6">
        <f>IFERROR(__xludf.DUMMYFUNCTION("""COMPUTED_VALUE"""),445.1)</f>
        <v>445.1</v>
      </c>
      <c r="F93" s="6">
        <f>IFERROR(__xludf.DUMMYFUNCTION("""COMPUTED_VALUE"""),1.4544147E7)</f>
        <v>14544147</v>
      </c>
    </row>
    <row r="94">
      <c r="A94" s="7">
        <f>IFERROR(__xludf.DUMMYFUNCTION("""COMPUTED_VALUE"""),45849.64583333333)</f>
        <v>45849.64583</v>
      </c>
      <c r="B94" s="6">
        <f>IFERROR(__xludf.DUMMYFUNCTION("""COMPUTED_VALUE"""),445.2)</f>
        <v>445.2</v>
      </c>
      <c r="C94" s="6">
        <f>IFERROR(__xludf.DUMMYFUNCTION("""COMPUTED_VALUE"""),445.55)</f>
        <v>445.55</v>
      </c>
      <c r="D94" s="6">
        <f>IFERROR(__xludf.DUMMYFUNCTION("""COMPUTED_VALUE"""),415.15)</f>
        <v>415.15</v>
      </c>
      <c r="E94" s="6">
        <f>IFERROR(__xludf.DUMMYFUNCTION("""COMPUTED_VALUE"""),424.9)</f>
        <v>424.9</v>
      </c>
      <c r="F94" s="6">
        <f>IFERROR(__xludf.DUMMYFUNCTION("""COMPUTED_VALUE"""),1.721534E7)</f>
        <v>17215340</v>
      </c>
    </row>
    <row r="95">
      <c r="A95" s="7">
        <f>IFERROR(__xludf.DUMMYFUNCTION("""COMPUTED_VALUE"""),45856.64583333333)</f>
        <v>45856.64583</v>
      </c>
      <c r="B95" s="6">
        <f>IFERROR(__xludf.DUMMYFUNCTION("""COMPUTED_VALUE"""),427.9)</f>
        <v>427.9</v>
      </c>
      <c r="C95" s="6">
        <f>IFERROR(__xludf.DUMMYFUNCTION("""COMPUTED_VALUE"""),441.8)</f>
        <v>441.8</v>
      </c>
      <c r="D95" s="6">
        <f>IFERROR(__xludf.DUMMYFUNCTION("""COMPUTED_VALUE"""),426.4)</f>
        <v>426.4</v>
      </c>
      <c r="E95" s="6">
        <f>IFERROR(__xludf.DUMMYFUNCTION("""COMPUTED_VALUE"""),435.5)</f>
        <v>435.5</v>
      </c>
      <c r="F95" s="6">
        <f>IFERROR(__xludf.DUMMYFUNCTION("""COMPUTED_VALUE"""),1.4594103E7)</f>
        <v>14594103</v>
      </c>
    </row>
    <row r="96">
      <c r="A96" s="7">
        <f>IFERROR(__xludf.DUMMYFUNCTION("""COMPUTED_VALUE"""),45863.64583333333)</f>
        <v>45863.64583</v>
      </c>
      <c r="B96" s="6">
        <f>IFERROR(__xludf.DUMMYFUNCTION("""COMPUTED_VALUE"""),435.7)</f>
        <v>435.7</v>
      </c>
      <c r="C96" s="6">
        <f>IFERROR(__xludf.DUMMYFUNCTION("""COMPUTED_VALUE"""),449.0)</f>
        <v>449</v>
      </c>
      <c r="D96" s="6">
        <f>IFERROR(__xludf.DUMMYFUNCTION("""COMPUTED_VALUE"""),434.8)</f>
        <v>434.8</v>
      </c>
      <c r="E96" s="6">
        <f>IFERROR(__xludf.DUMMYFUNCTION("""COMPUTED_VALUE"""),439.2)</f>
        <v>439.2</v>
      </c>
      <c r="F96" s="6">
        <f>IFERROR(__xludf.DUMMYFUNCTION("""COMPUTED_VALUE"""),1.0603688E7)</f>
        <v>10603688</v>
      </c>
    </row>
    <row r="97">
      <c r="A97" s="7">
        <f>IFERROR(__xludf.DUMMYFUNCTION("""COMPUTED_VALUE"""),45870.64583333333)</f>
        <v>45870.64583</v>
      </c>
      <c r="B97" s="6">
        <f>IFERROR(__xludf.DUMMYFUNCTION("""COMPUTED_VALUE"""),438.0)</f>
        <v>438</v>
      </c>
      <c r="C97" s="6">
        <f>IFERROR(__xludf.DUMMYFUNCTION("""COMPUTED_VALUE"""),439.8)</f>
        <v>439.8</v>
      </c>
      <c r="D97" s="6">
        <f>IFERROR(__xludf.DUMMYFUNCTION("""COMPUTED_VALUE"""),413.5)</f>
        <v>413.5</v>
      </c>
      <c r="E97" s="6">
        <f>IFERROR(__xludf.DUMMYFUNCTION("""COMPUTED_VALUE"""),415.4)</f>
        <v>415.4</v>
      </c>
      <c r="F97" s="6">
        <f>IFERROR(__xludf.DUMMYFUNCTION("""COMPUTED_VALUE"""),8837207.0)</f>
        <v>8837207</v>
      </c>
    </row>
    <row r="98">
      <c r="A98" s="7">
        <f>IFERROR(__xludf.DUMMYFUNCTION("""COMPUTED_VALUE"""),45877.64583333333)</f>
        <v>45877.64583</v>
      </c>
      <c r="B98" s="6">
        <f>IFERROR(__xludf.DUMMYFUNCTION("""COMPUTED_VALUE"""),416.1)</f>
        <v>416.1</v>
      </c>
      <c r="C98" s="6">
        <f>IFERROR(__xludf.DUMMYFUNCTION("""COMPUTED_VALUE"""),426.9)</f>
        <v>426.9</v>
      </c>
      <c r="D98" s="6">
        <f>IFERROR(__xludf.DUMMYFUNCTION("""COMPUTED_VALUE"""),413.85)</f>
        <v>413.85</v>
      </c>
      <c r="E98" s="6">
        <f>IFERROR(__xludf.DUMMYFUNCTION("""COMPUTED_VALUE"""),420.7)</f>
        <v>420.7</v>
      </c>
      <c r="F98" s="6">
        <f>IFERROR(__xludf.DUMMYFUNCTION("""COMPUTED_VALUE"""),6240189.0)</f>
        <v>6240189</v>
      </c>
    </row>
    <row r="99">
      <c r="A99" s="7">
        <f>IFERROR(__xludf.DUMMYFUNCTION("""COMPUTED_VALUE"""),45883.64583333333)</f>
        <v>45883.64583</v>
      </c>
      <c r="B99" s="6">
        <f>IFERROR(__xludf.DUMMYFUNCTION("""COMPUTED_VALUE"""),420.7)</f>
        <v>420.7</v>
      </c>
      <c r="C99" s="6">
        <f>IFERROR(__xludf.DUMMYFUNCTION("""COMPUTED_VALUE"""),433.65)</f>
        <v>433.65</v>
      </c>
      <c r="D99" s="6">
        <f>IFERROR(__xludf.DUMMYFUNCTION("""COMPUTED_VALUE"""),414.55)</f>
        <v>414.55</v>
      </c>
      <c r="E99" s="6">
        <f>IFERROR(__xludf.DUMMYFUNCTION("""COMPUTED_VALUE"""),426.65)</f>
        <v>426.65</v>
      </c>
      <c r="F99" s="6">
        <f>IFERROR(__xludf.DUMMYFUNCTION("""COMPUTED_VALUE"""),6899668.0)</f>
        <v>6899668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IFERROR(__xludf.DUMMYFUNCTION("""COMPUTED_VALUE"""),430.7)</f>
        <v>430.7</v>
      </c>
      <c r="C100" s="6">
        <f>IFERROR(__xludf.DUMMYFUNCTION("""COMPUTED_VALUE"""),433.8)</f>
        <v>433.8</v>
      </c>
      <c r="D100" s="6">
        <f>IFERROR(__xludf.DUMMYFUNCTION("""COMPUTED_VALUE"""),424.0)</f>
        <v>424</v>
      </c>
      <c r="E100" s="6">
        <f>IFERROR(__xludf.DUMMYFUNCTION("""COMPUTED_VALUE"""),424.9)</f>
        <v>424.9</v>
      </c>
      <c r="F100" s="6">
        <f>IFERROR(__xludf.DUMMYFUNCTION("""COMPUTED_VALUE"""),8453457.0)</f>
        <v>8453457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IFERROR(__xludf.DUMMYFUNCTION("""COMPUTED_VALUE"""),423.0)</f>
        <v>423</v>
      </c>
      <c r="C101" s="6">
        <f>IFERROR(__xludf.DUMMYFUNCTION("""COMPUTED_VALUE"""),436.8)</f>
        <v>436.8</v>
      </c>
      <c r="D101" s="6">
        <f>IFERROR(__xludf.DUMMYFUNCTION("""COMPUTED_VALUE"""),422.85)</f>
        <v>422.85</v>
      </c>
      <c r="E101" s="6">
        <f>IFERROR(__xludf.DUMMYFUNCTION("""COMPUTED_VALUE"""),430.15)</f>
        <v>430.15</v>
      </c>
      <c r="F101" s="6">
        <f>IFERROR(__xludf.DUMMYFUNCTION("""COMPUTED_VALUE"""),4.0403492E7)</f>
        <v>40403492</v>
      </c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IFERROR(__xludf.DUMMYFUNCTION("GOOGLEFINANCE(""NSE:HUDCO"",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IFERROR(__xludf.DUMMYFUNCTION("""COMPUTED_VALUE"""),71.8)</f>
        <v>71.8</v>
      </c>
      <c r="C2" s="6">
        <f>IFERROR(__xludf.DUMMYFUNCTION("""COMPUTED_VALUE"""),77.2)</f>
        <v>77.2</v>
      </c>
      <c r="D2" s="6">
        <f>IFERROR(__xludf.DUMMYFUNCTION("""COMPUTED_VALUE"""),71.4)</f>
        <v>71.4</v>
      </c>
      <c r="E2" s="6">
        <f>IFERROR(__xludf.DUMMYFUNCTION("""COMPUTED_VALUE"""),76.4)</f>
        <v>76.4</v>
      </c>
      <c r="F2" s="6">
        <f>IFERROR(__xludf.DUMMYFUNCTION("""COMPUTED_VALUE"""),4.669344E7)</f>
        <v>46693440</v>
      </c>
    </row>
    <row r="3">
      <c r="A3" s="7">
        <f>IFERROR(__xludf.DUMMYFUNCTION("""COMPUTED_VALUE"""),45177.64583333333)</f>
        <v>45177.64583</v>
      </c>
      <c r="B3" s="6">
        <f>IFERROR(__xludf.DUMMYFUNCTION("""COMPUTED_VALUE"""),77.0)</f>
        <v>77</v>
      </c>
      <c r="C3" s="6">
        <f>IFERROR(__xludf.DUMMYFUNCTION("""COMPUTED_VALUE"""),80.45)</f>
        <v>80.45</v>
      </c>
      <c r="D3" s="6">
        <f>IFERROR(__xludf.DUMMYFUNCTION("""COMPUTED_VALUE"""),76.15)</f>
        <v>76.15</v>
      </c>
      <c r="E3" s="6">
        <f>IFERROR(__xludf.DUMMYFUNCTION("""COMPUTED_VALUE"""),77.05)</f>
        <v>77.05</v>
      </c>
      <c r="F3" s="6">
        <f>IFERROR(__xludf.DUMMYFUNCTION("""COMPUTED_VALUE"""),5.0546897E7)</f>
        <v>50546897</v>
      </c>
    </row>
    <row r="4">
      <c r="A4" s="7">
        <f>IFERROR(__xludf.DUMMYFUNCTION("""COMPUTED_VALUE"""),45184.64583333333)</f>
        <v>45184.64583</v>
      </c>
      <c r="B4" s="6">
        <f>IFERROR(__xludf.DUMMYFUNCTION("""COMPUTED_VALUE"""),77.5)</f>
        <v>77.5</v>
      </c>
      <c r="C4" s="6">
        <f>IFERROR(__xludf.DUMMYFUNCTION("""COMPUTED_VALUE"""),78.55)</f>
        <v>78.55</v>
      </c>
      <c r="D4" s="6">
        <f>IFERROR(__xludf.DUMMYFUNCTION("""COMPUTED_VALUE"""),67.65)</f>
        <v>67.65</v>
      </c>
      <c r="E4" s="6">
        <f>IFERROR(__xludf.DUMMYFUNCTION("""COMPUTED_VALUE"""),73.1)</f>
        <v>73.1</v>
      </c>
      <c r="F4" s="6">
        <f>IFERROR(__xludf.DUMMYFUNCTION("""COMPUTED_VALUE"""),3.8350238E7)</f>
        <v>38350238</v>
      </c>
    </row>
    <row r="5">
      <c r="A5" s="7">
        <f>IFERROR(__xludf.DUMMYFUNCTION("""COMPUTED_VALUE"""),45191.64583333333)</f>
        <v>45191.64583</v>
      </c>
      <c r="B5" s="6">
        <f>IFERROR(__xludf.DUMMYFUNCTION("""COMPUTED_VALUE"""),73.4)</f>
        <v>73.4</v>
      </c>
      <c r="C5" s="6">
        <f>IFERROR(__xludf.DUMMYFUNCTION("""COMPUTED_VALUE"""),86.6)</f>
        <v>86.6</v>
      </c>
      <c r="D5" s="6">
        <f>IFERROR(__xludf.DUMMYFUNCTION("""COMPUTED_VALUE"""),71.75)</f>
        <v>71.75</v>
      </c>
      <c r="E5" s="6">
        <f>IFERROR(__xludf.DUMMYFUNCTION("""COMPUTED_VALUE"""),85.8)</f>
        <v>85.8</v>
      </c>
      <c r="F5" s="6">
        <f>IFERROR(__xludf.DUMMYFUNCTION("""COMPUTED_VALUE"""),1.36347444E8)</f>
        <v>136347444</v>
      </c>
    </row>
    <row r="6">
      <c r="A6" s="7">
        <f>IFERROR(__xludf.DUMMYFUNCTION("""COMPUTED_VALUE"""),45198.64583333333)</f>
        <v>45198.64583</v>
      </c>
      <c r="B6" s="6">
        <f>IFERROR(__xludf.DUMMYFUNCTION("""COMPUTED_VALUE"""),86.9)</f>
        <v>86.9</v>
      </c>
      <c r="C6" s="6">
        <f>IFERROR(__xludf.DUMMYFUNCTION("""COMPUTED_VALUE"""),93.8)</f>
        <v>93.8</v>
      </c>
      <c r="D6" s="6">
        <f>IFERROR(__xludf.DUMMYFUNCTION("""COMPUTED_VALUE"""),81.6)</f>
        <v>81.6</v>
      </c>
      <c r="E6" s="6">
        <f>IFERROR(__xludf.DUMMYFUNCTION("""COMPUTED_VALUE"""),91.8)</f>
        <v>91.8</v>
      </c>
      <c r="F6" s="6">
        <f>IFERROR(__xludf.DUMMYFUNCTION("""COMPUTED_VALUE"""),2.43232031E8)</f>
        <v>243232031</v>
      </c>
    </row>
    <row r="7">
      <c r="A7" s="7">
        <f>IFERROR(__xludf.DUMMYFUNCTION("""COMPUTED_VALUE"""),45205.64583333333)</f>
        <v>45205.64583</v>
      </c>
      <c r="B7" s="6">
        <f>IFERROR(__xludf.DUMMYFUNCTION("""COMPUTED_VALUE"""),91.5)</f>
        <v>91.5</v>
      </c>
      <c r="C7" s="6">
        <f>IFERROR(__xludf.DUMMYFUNCTION("""COMPUTED_VALUE"""),95.9)</f>
        <v>95.9</v>
      </c>
      <c r="D7" s="6">
        <f>IFERROR(__xludf.DUMMYFUNCTION("""COMPUTED_VALUE"""),86.65)</f>
        <v>86.65</v>
      </c>
      <c r="E7" s="6">
        <f>IFERROR(__xludf.DUMMYFUNCTION("""COMPUTED_VALUE"""),92.15)</f>
        <v>92.15</v>
      </c>
      <c r="F7" s="6">
        <f>IFERROR(__xludf.DUMMYFUNCTION("""COMPUTED_VALUE"""),1.34757541E8)</f>
        <v>134757541</v>
      </c>
    </row>
    <row r="8">
      <c r="A8" s="7">
        <f>IFERROR(__xludf.DUMMYFUNCTION("""COMPUTED_VALUE"""),45212.64583333333)</f>
        <v>45212.64583</v>
      </c>
      <c r="B8" s="6">
        <f>IFERROR(__xludf.DUMMYFUNCTION("""COMPUTED_VALUE"""),90.5)</f>
        <v>90.5</v>
      </c>
      <c r="C8" s="6">
        <f>IFERROR(__xludf.DUMMYFUNCTION("""COMPUTED_VALUE"""),93.65)</f>
        <v>93.65</v>
      </c>
      <c r="D8" s="6">
        <f>IFERROR(__xludf.DUMMYFUNCTION("""COMPUTED_VALUE"""),86.65)</f>
        <v>86.65</v>
      </c>
      <c r="E8" s="6">
        <f>IFERROR(__xludf.DUMMYFUNCTION("""COMPUTED_VALUE"""),90.15)</f>
        <v>90.15</v>
      </c>
      <c r="F8" s="6">
        <f>IFERROR(__xludf.DUMMYFUNCTION("""COMPUTED_VALUE"""),6.2375298E7)</f>
        <v>62375298</v>
      </c>
    </row>
    <row r="9">
      <c r="A9" s="7">
        <f>IFERROR(__xludf.DUMMYFUNCTION("""COMPUTED_VALUE"""),45219.64583333333)</f>
        <v>45219.64583</v>
      </c>
      <c r="B9" s="6">
        <f>IFERROR(__xludf.DUMMYFUNCTION("""COMPUTED_VALUE"""),90.5)</f>
        <v>90.5</v>
      </c>
      <c r="C9" s="6">
        <f>IFERROR(__xludf.DUMMYFUNCTION("""COMPUTED_VALUE"""),92.2)</f>
        <v>92.2</v>
      </c>
      <c r="D9" s="6">
        <f>IFERROR(__xludf.DUMMYFUNCTION("""COMPUTED_VALUE"""),77.1)</f>
        <v>77.1</v>
      </c>
      <c r="E9" s="6">
        <f>IFERROR(__xludf.DUMMYFUNCTION("""COMPUTED_VALUE"""),77.4)</f>
        <v>77.4</v>
      </c>
      <c r="F9" s="6">
        <f>IFERROR(__xludf.DUMMYFUNCTION("""COMPUTED_VALUE"""),1.20631323E8)</f>
        <v>120631323</v>
      </c>
    </row>
    <row r="10">
      <c r="A10" s="7">
        <f>IFERROR(__xludf.DUMMYFUNCTION("""COMPUTED_VALUE"""),45226.64583333333)</f>
        <v>45226.64583</v>
      </c>
      <c r="B10" s="6">
        <f>IFERROR(__xludf.DUMMYFUNCTION("""COMPUTED_VALUE"""),77.2)</f>
        <v>77.2</v>
      </c>
      <c r="C10" s="6">
        <f>IFERROR(__xludf.DUMMYFUNCTION("""COMPUTED_VALUE"""),78.0)</f>
        <v>78</v>
      </c>
      <c r="D10" s="6">
        <f>IFERROR(__xludf.DUMMYFUNCTION("""COMPUTED_VALUE"""),70.5)</f>
        <v>70.5</v>
      </c>
      <c r="E10" s="6">
        <f>IFERROR(__xludf.DUMMYFUNCTION("""COMPUTED_VALUE"""),76.55)</f>
        <v>76.55</v>
      </c>
      <c r="F10" s="6">
        <f>IFERROR(__xludf.DUMMYFUNCTION("""COMPUTED_VALUE"""),6.3458187E7)</f>
        <v>63458187</v>
      </c>
    </row>
    <row r="11">
      <c r="A11" s="7">
        <f>IFERROR(__xludf.DUMMYFUNCTION("""COMPUTED_VALUE"""),45233.64583333333)</f>
        <v>45233.64583</v>
      </c>
      <c r="B11" s="6">
        <f>IFERROR(__xludf.DUMMYFUNCTION("""COMPUTED_VALUE"""),76.55)</f>
        <v>76.55</v>
      </c>
      <c r="C11" s="6">
        <f>IFERROR(__xludf.DUMMYFUNCTION("""COMPUTED_VALUE"""),77.1)</f>
        <v>77.1</v>
      </c>
      <c r="D11" s="6">
        <f>IFERROR(__xludf.DUMMYFUNCTION("""COMPUTED_VALUE"""),74.05)</f>
        <v>74.05</v>
      </c>
      <c r="E11" s="6">
        <f>IFERROR(__xludf.DUMMYFUNCTION("""COMPUTED_VALUE"""),75.8)</f>
        <v>75.8</v>
      </c>
      <c r="F11" s="6">
        <f>IFERROR(__xludf.DUMMYFUNCTION("""COMPUTED_VALUE"""),3.2208747E7)</f>
        <v>32208747</v>
      </c>
    </row>
    <row r="12">
      <c r="A12" s="7">
        <f>IFERROR(__xludf.DUMMYFUNCTION("""COMPUTED_VALUE"""),45240.64583333333)</f>
        <v>45240.64583</v>
      </c>
      <c r="B12" s="6">
        <f>IFERROR(__xludf.DUMMYFUNCTION("""COMPUTED_VALUE"""),76.5)</f>
        <v>76.5</v>
      </c>
      <c r="C12" s="6">
        <f>IFERROR(__xludf.DUMMYFUNCTION("""COMPUTED_VALUE"""),81.95)</f>
        <v>81.95</v>
      </c>
      <c r="D12" s="6">
        <f>IFERROR(__xludf.DUMMYFUNCTION("""COMPUTED_VALUE"""),76.4)</f>
        <v>76.4</v>
      </c>
      <c r="E12" s="6">
        <f>IFERROR(__xludf.DUMMYFUNCTION("""COMPUTED_VALUE"""),80.3)</f>
        <v>80.3</v>
      </c>
      <c r="F12" s="6">
        <f>IFERROR(__xludf.DUMMYFUNCTION("""COMPUTED_VALUE"""),6.629655E7)</f>
        <v>66296550</v>
      </c>
    </row>
    <row r="13">
      <c r="A13" s="7">
        <f>IFERROR(__xludf.DUMMYFUNCTION("""COMPUTED_VALUE"""),45247.64583333333)</f>
        <v>45247.64583</v>
      </c>
      <c r="B13" s="6">
        <f>IFERROR(__xludf.DUMMYFUNCTION("""COMPUTED_VALUE"""),81.0)</f>
        <v>81</v>
      </c>
      <c r="C13" s="6">
        <f>IFERROR(__xludf.DUMMYFUNCTION("""COMPUTED_VALUE"""),82.65)</f>
        <v>82.65</v>
      </c>
      <c r="D13" s="6">
        <f>IFERROR(__xludf.DUMMYFUNCTION("""COMPUTED_VALUE"""),80.1)</f>
        <v>80.1</v>
      </c>
      <c r="E13" s="6">
        <f>IFERROR(__xludf.DUMMYFUNCTION("""COMPUTED_VALUE"""),80.7)</f>
        <v>80.7</v>
      </c>
      <c r="F13" s="6">
        <f>IFERROR(__xludf.DUMMYFUNCTION("""COMPUTED_VALUE"""),3.2418422E7)</f>
        <v>32418422</v>
      </c>
    </row>
    <row r="14">
      <c r="A14" s="7">
        <f>IFERROR(__xludf.DUMMYFUNCTION("""COMPUTED_VALUE"""),45254.64583333333)</f>
        <v>45254.64583</v>
      </c>
      <c r="B14" s="6">
        <f>IFERROR(__xludf.DUMMYFUNCTION("""COMPUTED_VALUE"""),81.5)</f>
        <v>81.5</v>
      </c>
      <c r="C14" s="6">
        <f>IFERROR(__xludf.DUMMYFUNCTION("""COMPUTED_VALUE"""),84.2)</f>
        <v>84.2</v>
      </c>
      <c r="D14" s="6">
        <f>IFERROR(__xludf.DUMMYFUNCTION("""COMPUTED_VALUE"""),81.2)</f>
        <v>81.2</v>
      </c>
      <c r="E14" s="6">
        <f>IFERROR(__xludf.DUMMYFUNCTION("""COMPUTED_VALUE"""),81.7)</f>
        <v>81.7</v>
      </c>
      <c r="F14" s="6">
        <f>IFERROR(__xludf.DUMMYFUNCTION("""COMPUTED_VALUE"""),4.6554607E7)</f>
        <v>46554607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IFERROR(__xludf.DUMMYFUNCTION("""COMPUTED_VALUE"""),82.1)</f>
        <v>82.1</v>
      </c>
      <c r="C15" s="6">
        <f>IFERROR(__xludf.DUMMYFUNCTION("""COMPUTED_VALUE"""),87.7)</f>
        <v>87.7</v>
      </c>
      <c r="D15" s="6">
        <f>IFERROR(__xludf.DUMMYFUNCTION("""COMPUTED_VALUE"""),81.2)</f>
        <v>81.2</v>
      </c>
      <c r="E15" s="6">
        <f>IFERROR(__xludf.DUMMYFUNCTION("""COMPUTED_VALUE"""),85.65)</f>
        <v>85.65</v>
      </c>
      <c r="F15" s="6">
        <f>IFERROR(__xludf.DUMMYFUNCTION("""COMPUTED_VALUE"""),7.7630555E7)</f>
        <v>77630555</v>
      </c>
    </row>
    <row r="16">
      <c r="A16" s="7">
        <f>IFERROR(__xludf.DUMMYFUNCTION("""COMPUTED_VALUE"""),45268.64583333333)</f>
        <v>45268.64583</v>
      </c>
      <c r="B16" s="6">
        <f>IFERROR(__xludf.DUMMYFUNCTION("""COMPUTED_VALUE"""),87.25)</f>
        <v>87.25</v>
      </c>
      <c r="C16" s="6">
        <f>IFERROR(__xludf.DUMMYFUNCTION("""COMPUTED_VALUE"""),94.4)</f>
        <v>94.4</v>
      </c>
      <c r="D16" s="6">
        <f>IFERROR(__xludf.DUMMYFUNCTION("""COMPUTED_VALUE"""),85.7)</f>
        <v>85.7</v>
      </c>
      <c r="E16" s="6">
        <f>IFERROR(__xludf.DUMMYFUNCTION("""COMPUTED_VALUE"""),90.75)</f>
        <v>90.75</v>
      </c>
      <c r="F16" s="6">
        <f>IFERROR(__xludf.DUMMYFUNCTION("""COMPUTED_VALUE"""),1.17469018E8)</f>
        <v>117469018</v>
      </c>
    </row>
    <row r="17">
      <c r="A17" s="7">
        <f>IFERROR(__xludf.DUMMYFUNCTION("""COMPUTED_VALUE"""),45275.64583333333)</f>
        <v>45275.64583</v>
      </c>
      <c r="B17" s="6">
        <f>IFERROR(__xludf.DUMMYFUNCTION("""COMPUTED_VALUE"""),91.0)</f>
        <v>91</v>
      </c>
      <c r="C17" s="6">
        <f>IFERROR(__xludf.DUMMYFUNCTION("""COMPUTED_VALUE"""),119.55)</f>
        <v>119.55</v>
      </c>
      <c r="D17" s="6">
        <f>IFERROR(__xludf.DUMMYFUNCTION("""COMPUTED_VALUE"""),90.25)</f>
        <v>90.25</v>
      </c>
      <c r="E17" s="6">
        <f>IFERROR(__xludf.DUMMYFUNCTION("""COMPUTED_VALUE"""),110.75)</f>
        <v>110.75</v>
      </c>
      <c r="F17" s="6">
        <f>IFERROR(__xludf.DUMMYFUNCTION("""COMPUTED_VALUE"""),3.85291324E8)</f>
        <v>385291324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IFERROR(__xludf.DUMMYFUNCTION("""COMPUTED_VALUE"""),111.2)</f>
        <v>111.2</v>
      </c>
      <c r="C18" s="6">
        <f>IFERROR(__xludf.DUMMYFUNCTION("""COMPUTED_VALUE"""),115.15)</f>
        <v>115.15</v>
      </c>
      <c r="D18" s="6">
        <f>IFERROR(__xludf.DUMMYFUNCTION("""COMPUTED_VALUE"""),96.9)</f>
        <v>96.9</v>
      </c>
      <c r="E18" s="6">
        <f>IFERROR(__xludf.DUMMYFUNCTION("""COMPUTED_VALUE"""),105.6)</f>
        <v>105.6</v>
      </c>
      <c r="F18" s="6">
        <f>IFERROR(__xludf.DUMMYFUNCTION("""COMPUTED_VALUE"""),1.0455551E8)</f>
        <v>104555510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IFERROR(__xludf.DUMMYFUNCTION("""COMPUTED_VALUE"""),106.1)</f>
        <v>106.1</v>
      </c>
      <c r="C19" s="6">
        <f>IFERROR(__xludf.DUMMYFUNCTION("""COMPUTED_VALUE"""),136.8)</f>
        <v>136.8</v>
      </c>
      <c r="D19" s="6">
        <f>IFERROR(__xludf.DUMMYFUNCTION("""COMPUTED_VALUE"""),104.7)</f>
        <v>104.7</v>
      </c>
      <c r="E19" s="6">
        <f>IFERROR(__xludf.DUMMYFUNCTION("""COMPUTED_VALUE"""),125.95)</f>
        <v>125.95</v>
      </c>
      <c r="F19" s="6">
        <f>IFERROR(__xludf.DUMMYFUNCTION("""COMPUTED_VALUE"""),3.53273621E8)</f>
        <v>353273621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IFERROR(__xludf.DUMMYFUNCTION("""COMPUTED_VALUE"""),126.0)</f>
        <v>126</v>
      </c>
      <c r="C20" s="6">
        <f>IFERROR(__xludf.DUMMYFUNCTION("""COMPUTED_VALUE"""),133.95)</f>
        <v>133.95</v>
      </c>
      <c r="D20" s="6">
        <f>IFERROR(__xludf.DUMMYFUNCTION("""COMPUTED_VALUE"""),122.75)</f>
        <v>122.75</v>
      </c>
      <c r="E20" s="6">
        <f>IFERROR(__xludf.DUMMYFUNCTION("""COMPUTED_VALUE"""),127.7)</f>
        <v>127.7</v>
      </c>
      <c r="F20" s="6">
        <f>IFERROR(__xludf.DUMMYFUNCTION("""COMPUTED_VALUE"""),1.3775302E8)</f>
        <v>137753020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IFERROR(__xludf.DUMMYFUNCTION("""COMPUTED_VALUE"""),128.1)</f>
        <v>128.1</v>
      </c>
      <c r="C21" s="6">
        <f>IFERROR(__xludf.DUMMYFUNCTION("""COMPUTED_VALUE"""),131.75)</f>
        <v>131.75</v>
      </c>
      <c r="D21" s="6">
        <f>IFERROR(__xludf.DUMMYFUNCTION("""COMPUTED_VALUE"""),122.7)</f>
        <v>122.7</v>
      </c>
      <c r="E21" s="6">
        <f>IFERROR(__xludf.DUMMYFUNCTION("""COMPUTED_VALUE"""),126.65)</f>
        <v>126.65</v>
      </c>
      <c r="F21" s="6">
        <f>IFERROR(__xludf.DUMMYFUNCTION("""COMPUTED_VALUE"""),7.2193129E7)</f>
        <v>72193129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IFERROR(__xludf.DUMMYFUNCTION("""COMPUTED_VALUE"""),169.45)</f>
        <v>169.45</v>
      </c>
      <c r="C22" s="6">
        <f>IFERROR(__xludf.DUMMYFUNCTION("""COMPUTED_VALUE"""),169.7)</f>
        <v>169.7</v>
      </c>
      <c r="D22" s="6">
        <f>IFERROR(__xludf.DUMMYFUNCTION("""COMPUTED_VALUE"""),145.55)</f>
        <v>145.55</v>
      </c>
      <c r="E22" s="6">
        <f>IFERROR(__xludf.DUMMYFUNCTION("""COMPUTED_VALUE"""),163.55)</f>
        <v>163.55</v>
      </c>
      <c r="F22" s="6">
        <f>IFERROR(__xludf.DUMMYFUNCTION("""COMPUTED_VALUE"""),1.18565984E8)</f>
        <v>118565984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IFERROR(__xludf.DUMMYFUNCTION("""COMPUTED_VALUE"""),164.85)</f>
        <v>164.85</v>
      </c>
      <c r="C23" s="6">
        <f>IFERROR(__xludf.DUMMYFUNCTION("""COMPUTED_VALUE"""),226.45)</f>
        <v>226.45</v>
      </c>
      <c r="D23" s="6">
        <f>IFERROR(__xludf.DUMMYFUNCTION("""COMPUTED_VALUE"""),162.2)</f>
        <v>162.2</v>
      </c>
      <c r="E23" s="6">
        <f>IFERROR(__xludf.DUMMYFUNCTION("""COMPUTED_VALUE"""),208.0)</f>
        <v>208</v>
      </c>
      <c r="F23" s="6">
        <f>IFERROR(__xludf.DUMMYFUNCTION("""COMPUTED_VALUE"""),3.65181597E8)</f>
        <v>365181597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IFERROR(__xludf.DUMMYFUNCTION("""COMPUTED_VALUE"""),209.55)</f>
        <v>209.55</v>
      </c>
      <c r="C24" s="6">
        <f>IFERROR(__xludf.DUMMYFUNCTION("""COMPUTED_VALUE"""),217.9)</f>
        <v>217.9</v>
      </c>
      <c r="D24" s="6">
        <f>IFERROR(__xludf.DUMMYFUNCTION("""COMPUTED_VALUE"""),182.45)</f>
        <v>182.45</v>
      </c>
      <c r="E24" s="6">
        <f>IFERROR(__xludf.DUMMYFUNCTION("""COMPUTED_VALUE"""),200.15)</f>
        <v>200.15</v>
      </c>
      <c r="F24" s="6">
        <f>IFERROR(__xludf.DUMMYFUNCTION("""COMPUTED_VALUE"""),1.17417785E8)</f>
        <v>117417785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IFERROR(__xludf.DUMMYFUNCTION("""COMPUTED_VALUE"""),201.0)</f>
        <v>201</v>
      </c>
      <c r="C25" s="6">
        <f>IFERROR(__xludf.DUMMYFUNCTION("""COMPUTED_VALUE"""),207.8)</f>
        <v>207.8</v>
      </c>
      <c r="D25" s="6">
        <f>IFERROR(__xludf.DUMMYFUNCTION("""COMPUTED_VALUE"""),164.55)</f>
        <v>164.55</v>
      </c>
      <c r="E25" s="6">
        <f>IFERROR(__xludf.DUMMYFUNCTION("""COMPUTED_VALUE"""),198.7)</f>
        <v>198.7</v>
      </c>
      <c r="F25" s="6">
        <f>IFERROR(__xludf.DUMMYFUNCTION("""COMPUTED_VALUE"""),1.42032221E8)</f>
        <v>142032221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IFERROR(__xludf.DUMMYFUNCTION("""COMPUTED_VALUE"""),199.6)</f>
        <v>199.6</v>
      </c>
      <c r="C26" s="6">
        <f>IFERROR(__xludf.DUMMYFUNCTION("""COMPUTED_VALUE"""),206.4)</f>
        <v>206.4</v>
      </c>
      <c r="D26" s="6">
        <f>IFERROR(__xludf.DUMMYFUNCTION("""COMPUTED_VALUE"""),189.65)</f>
        <v>189.65</v>
      </c>
      <c r="E26" s="6">
        <f>IFERROR(__xludf.DUMMYFUNCTION("""COMPUTED_VALUE"""),199.35)</f>
        <v>199.35</v>
      </c>
      <c r="F26" s="6">
        <f>IFERROR(__xludf.DUMMYFUNCTION("""COMPUTED_VALUE"""),9.4167657E7)</f>
        <v>94167657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IFERROR(__xludf.DUMMYFUNCTION("""COMPUTED_VALUE"""),196.75)</f>
        <v>196.75</v>
      </c>
      <c r="C27" s="6">
        <f>IFERROR(__xludf.DUMMYFUNCTION("""COMPUTED_VALUE"""),205.6)</f>
        <v>205.6</v>
      </c>
      <c r="D27" s="6">
        <f>IFERROR(__xludf.DUMMYFUNCTION("""COMPUTED_VALUE"""),191.3)</f>
        <v>191.3</v>
      </c>
      <c r="E27" s="6">
        <f>IFERROR(__xludf.DUMMYFUNCTION("""COMPUTED_VALUE"""),202.45)</f>
        <v>202.45</v>
      </c>
      <c r="F27" s="6">
        <f>IFERROR(__xludf.DUMMYFUNCTION("""COMPUTED_VALUE"""),5.4346723E7)</f>
        <v>54346723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IFERROR(__xludf.DUMMYFUNCTION("""COMPUTED_VALUE"""),203.25)</f>
        <v>203.25</v>
      </c>
      <c r="C28" s="6">
        <f>IFERROR(__xludf.DUMMYFUNCTION("""COMPUTED_VALUE"""),203.9)</f>
        <v>203.9</v>
      </c>
      <c r="D28" s="6">
        <f>IFERROR(__xludf.DUMMYFUNCTION("""COMPUTED_VALUE"""),152.55)</f>
        <v>152.55</v>
      </c>
      <c r="E28" s="6">
        <f>IFERROR(__xludf.DUMMYFUNCTION("""COMPUTED_VALUE"""),188.8)</f>
        <v>188.8</v>
      </c>
      <c r="F28" s="6">
        <f>IFERROR(__xludf.DUMMYFUNCTION("""COMPUTED_VALUE"""),1.05418589E8)</f>
        <v>105418589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IFERROR(__xludf.DUMMYFUNCTION("""COMPUTED_VALUE"""),190.0)</f>
        <v>190</v>
      </c>
      <c r="C29" s="6">
        <f>IFERROR(__xludf.DUMMYFUNCTION("""COMPUTED_VALUE"""),194.0)</f>
        <v>194</v>
      </c>
      <c r="D29" s="6">
        <f>IFERROR(__xludf.DUMMYFUNCTION("""COMPUTED_VALUE"""),170.8)</f>
        <v>170.8</v>
      </c>
      <c r="E29" s="6">
        <f>IFERROR(__xludf.DUMMYFUNCTION("""COMPUTED_VALUE"""),183.15)</f>
        <v>183.15</v>
      </c>
      <c r="F29" s="6">
        <f>IFERROR(__xludf.DUMMYFUNCTION("""COMPUTED_VALUE"""),5.1669106E7)</f>
        <v>51669106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IFERROR(__xludf.DUMMYFUNCTION("""COMPUTED_VALUE"""),183.85)</f>
        <v>183.85</v>
      </c>
      <c r="C30" s="6">
        <f>IFERROR(__xludf.DUMMYFUNCTION("""COMPUTED_VALUE"""),193.55)</f>
        <v>193.55</v>
      </c>
      <c r="D30" s="6">
        <f>IFERROR(__xludf.DUMMYFUNCTION("""COMPUTED_VALUE"""),180.35)</f>
        <v>180.35</v>
      </c>
      <c r="E30" s="6">
        <f>IFERROR(__xludf.DUMMYFUNCTION("""COMPUTED_VALUE"""),187.25)</f>
        <v>187.25</v>
      </c>
      <c r="F30" s="6">
        <f>IFERROR(__xludf.DUMMYFUNCTION("""COMPUTED_VALUE"""),2.7717291E7)</f>
        <v>27717291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IFERROR(__xludf.DUMMYFUNCTION("""COMPUTED_VALUE"""),188.05)</f>
        <v>188.05</v>
      </c>
      <c r="C31" s="6">
        <f>IFERROR(__xludf.DUMMYFUNCTION("""COMPUTED_VALUE"""),212.7)</f>
        <v>212.7</v>
      </c>
      <c r="D31" s="6">
        <f>IFERROR(__xludf.DUMMYFUNCTION("""COMPUTED_VALUE"""),188.05)</f>
        <v>188.05</v>
      </c>
      <c r="E31" s="6">
        <f>IFERROR(__xludf.DUMMYFUNCTION("""COMPUTED_VALUE"""),206.4)</f>
        <v>206.4</v>
      </c>
      <c r="F31" s="6">
        <f>IFERROR(__xludf.DUMMYFUNCTION("""COMPUTED_VALUE"""),8.2971362E7)</f>
        <v>82971362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IFERROR(__xludf.DUMMYFUNCTION("""COMPUTED_VALUE"""),208.0)</f>
        <v>208</v>
      </c>
      <c r="C32" s="6">
        <f>IFERROR(__xludf.DUMMYFUNCTION("""COMPUTED_VALUE"""),218.45)</f>
        <v>218.45</v>
      </c>
      <c r="D32" s="6">
        <f>IFERROR(__xludf.DUMMYFUNCTION("""COMPUTED_VALUE"""),204.0)</f>
        <v>204</v>
      </c>
      <c r="E32" s="6">
        <f>IFERROR(__xludf.DUMMYFUNCTION("""COMPUTED_VALUE"""),204.55)</f>
        <v>204.55</v>
      </c>
      <c r="F32" s="6">
        <f>IFERROR(__xludf.DUMMYFUNCTION("""COMPUTED_VALUE"""),5.9107836E7)</f>
        <v>59107836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IFERROR(__xludf.DUMMYFUNCTION("""COMPUTED_VALUE"""),197.7)</f>
        <v>197.7</v>
      </c>
      <c r="C33" s="6">
        <f>IFERROR(__xludf.DUMMYFUNCTION("""COMPUTED_VALUE"""),202.95)</f>
        <v>202.95</v>
      </c>
      <c r="D33" s="6">
        <f>IFERROR(__xludf.DUMMYFUNCTION("""COMPUTED_VALUE"""),188.9)</f>
        <v>188.9</v>
      </c>
      <c r="E33" s="6">
        <f>IFERROR(__xludf.DUMMYFUNCTION("""COMPUTED_VALUE"""),194.9)</f>
        <v>194.9</v>
      </c>
      <c r="F33" s="6">
        <f>IFERROR(__xludf.DUMMYFUNCTION("""COMPUTED_VALUE"""),4.0767353E7)</f>
        <v>40767353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IFERROR(__xludf.DUMMYFUNCTION("""COMPUTED_VALUE"""),197.3)</f>
        <v>197.3</v>
      </c>
      <c r="C34" s="6">
        <f>IFERROR(__xludf.DUMMYFUNCTION("""COMPUTED_VALUE"""),234.3)</f>
        <v>234.3</v>
      </c>
      <c r="D34" s="6">
        <f>IFERROR(__xludf.DUMMYFUNCTION("""COMPUTED_VALUE"""),194.55)</f>
        <v>194.55</v>
      </c>
      <c r="E34" s="6">
        <f>IFERROR(__xludf.DUMMYFUNCTION("""COMPUTED_VALUE"""),228.1)</f>
        <v>228.1</v>
      </c>
      <c r="F34" s="6">
        <f>IFERROR(__xludf.DUMMYFUNCTION("""COMPUTED_VALUE"""),1.43347889E8)</f>
        <v>143347889</v>
      </c>
    </row>
    <row r="35">
      <c r="A35" s="7">
        <f>IFERROR(__xludf.DUMMYFUNCTION("""COMPUTED_VALUE"""),45415.64583333333)</f>
        <v>45415.64583</v>
      </c>
      <c r="B35" s="6">
        <f>IFERROR(__xludf.DUMMYFUNCTION("""COMPUTED_VALUE"""),231.15)</f>
        <v>231.15</v>
      </c>
      <c r="C35" s="6">
        <f>IFERROR(__xludf.DUMMYFUNCTION("""COMPUTED_VALUE"""),242.7)</f>
        <v>242.7</v>
      </c>
      <c r="D35" s="6">
        <f>IFERROR(__xludf.DUMMYFUNCTION("""COMPUTED_VALUE"""),215.55)</f>
        <v>215.55</v>
      </c>
      <c r="E35" s="6">
        <f>IFERROR(__xludf.DUMMYFUNCTION("""COMPUTED_VALUE"""),219.55)</f>
        <v>219.55</v>
      </c>
      <c r="F35" s="6">
        <f>IFERROR(__xludf.DUMMYFUNCTION("""COMPUTED_VALUE"""),7.5349761E7)</f>
        <v>75349761</v>
      </c>
    </row>
    <row r="36">
      <c r="A36" s="7">
        <f>IFERROR(__xludf.DUMMYFUNCTION("""COMPUTED_VALUE"""),45422.64583333333)</f>
        <v>45422.64583</v>
      </c>
      <c r="B36" s="6">
        <f>IFERROR(__xludf.DUMMYFUNCTION("""COMPUTED_VALUE"""),221.0)</f>
        <v>221</v>
      </c>
      <c r="C36" s="6">
        <f>IFERROR(__xludf.DUMMYFUNCTION("""COMPUTED_VALUE"""),229.8)</f>
        <v>229.8</v>
      </c>
      <c r="D36" s="6">
        <f>IFERROR(__xludf.DUMMYFUNCTION("""COMPUTED_VALUE"""),203.45)</f>
        <v>203.45</v>
      </c>
      <c r="E36" s="6">
        <f>IFERROR(__xludf.DUMMYFUNCTION("""COMPUTED_VALUE"""),214.1)</f>
        <v>214.1</v>
      </c>
      <c r="F36" s="6">
        <f>IFERROR(__xludf.DUMMYFUNCTION("""COMPUTED_VALUE"""),1.07292751E8)</f>
        <v>107292751</v>
      </c>
    </row>
    <row r="37">
      <c r="A37" s="7">
        <f>IFERROR(__xludf.DUMMYFUNCTION("""COMPUTED_VALUE"""),45436.64583333333)</f>
        <v>45436.64583</v>
      </c>
      <c r="B37" s="6">
        <f>IFERROR(__xludf.DUMMYFUNCTION("""COMPUTED_VALUE"""),245.5)</f>
        <v>245.5</v>
      </c>
      <c r="C37" s="6">
        <f>IFERROR(__xludf.DUMMYFUNCTION("""COMPUTED_VALUE"""),277.9)</f>
        <v>277.9</v>
      </c>
      <c r="D37" s="6">
        <f>IFERROR(__xludf.DUMMYFUNCTION("""COMPUTED_VALUE"""),240.05)</f>
        <v>240.05</v>
      </c>
      <c r="E37" s="6">
        <f>IFERROR(__xludf.DUMMYFUNCTION("""COMPUTED_VALUE"""),258.7)</f>
        <v>258.7</v>
      </c>
      <c r="F37" s="6">
        <f>IFERROR(__xludf.DUMMYFUNCTION("""COMPUTED_VALUE"""),1.1610008E8)</f>
        <v>116100080</v>
      </c>
    </row>
    <row r="38">
      <c r="A38" s="7">
        <f>IFERROR(__xludf.DUMMYFUNCTION("""COMPUTED_VALUE"""),45443.64583333333)</f>
        <v>45443.64583</v>
      </c>
      <c r="B38" s="6">
        <f>IFERROR(__xludf.DUMMYFUNCTION("""COMPUTED_VALUE"""),261.15)</f>
        <v>261.15</v>
      </c>
      <c r="C38" s="6">
        <f>IFERROR(__xludf.DUMMYFUNCTION("""COMPUTED_VALUE"""),275.0)</f>
        <v>275</v>
      </c>
      <c r="D38" s="6">
        <f>IFERROR(__xludf.DUMMYFUNCTION("""COMPUTED_VALUE"""),246.0)</f>
        <v>246</v>
      </c>
      <c r="E38" s="6">
        <f>IFERROR(__xludf.DUMMYFUNCTION("""COMPUTED_VALUE"""),273.8)</f>
        <v>273.8</v>
      </c>
      <c r="F38" s="6">
        <f>IFERROR(__xludf.DUMMYFUNCTION("""COMPUTED_VALUE"""),1.20685883E8)</f>
        <v>120685883</v>
      </c>
    </row>
    <row r="39">
      <c r="A39" s="7">
        <f>IFERROR(__xludf.DUMMYFUNCTION("""COMPUTED_VALUE"""),45450.64583333333)</f>
        <v>45450.64583</v>
      </c>
      <c r="B39" s="6">
        <f>IFERROR(__xludf.DUMMYFUNCTION("""COMPUTED_VALUE"""),299.5)</f>
        <v>299.5</v>
      </c>
      <c r="C39" s="6">
        <f>IFERROR(__xludf.DUMMYFUNCTION("""COMPUTED_VALUE"""),300.0)</f>
        <v>300</v>
      </c>
      <c r="D39" s="6">
        <f>IFERROR(__xludf.DUMMYFUNCTION("""COMPUTED_VALUE"""),203.3)</f>
        <v>203.3</v>
      </c>
      <c r="E39" s="6">
        <f>IFERROR(__xludf.DUMMYFUNCTION("""COMPUTED_VALUE"""),248.6)</f>
        <v>248.6</v>
      </c>
      <c r="F39" s="6">
        <f>IFERROR(__xludf.DUMMYFUNCTION("""COMPUTED_VALUE"""),1.68042603E8)</f>
        <v>168042603</v>
      </c>
    </row>
    <row r="40">
      <c r="A40" s="7">
        <f>IFERROR(__xludf.DUMMYFUNCTION("""COMPUTED_VALUE"""),45457.64583333333)</f>
        <v>45457.64583</v>
      </c>
      <c r="B40" s="6">
        <f>IFERROR(__xludf.DUMMYFUNCTION("""COMPUTED_VALUE"""),251.0)</f>
        <v>251</v>
      </c>
      <c r="C40" s="6">
        <f>IFERROR(__xludf.DUMMYFUNCTION("""COMPUTED_VALUE"""),289.9)</f>
        <v>289.9</v>
      </c>
      <c r="D40" s="6">
        <f>IFERROR(__xludf.DUMMYFUNCTION("""COMPUTED_VALUE"""),245.05)</f>
        <v>245.05</v>
      </c>
      <c r="E40" s="6">
        <f>IFERROR(__xludf.DUMMYFUNCTION("""COMPUTED_VALUE"""),282.55)</f>
        <v>282.55</v>
      </c>
      <c r="F40" s="6">
        <f>IFERROR(__xludf.DUMMYFUNCTION("""COMPUTED_VALUE"""),1.32898315E8)</f>
        <v>132898315</v>
      </c>
    </row>
    <row r="41">
      <c r="A41" s="7">
        <f>IFERROR(__xludf.DUMMYFUNCTION("""COMPUTED_VALUE"""),45464.64583333333)</f>
        <v>45464.64583</v>
      </c>
      <c r="B41" s="6">
        <f>IFERROR(__xludf.DUMMYFUNCTION("""COMPUTED_VALUE"""),284.05)</f>
        <v>284.05</v>
      </c>
      <c r="C41" s="6">
        <f>IFERROR(__xludf.DUMMYFUNCTION("""COMPUTED_VALUE"""),293.25)</f>
        <v>293.25</v>
      </c>
      <c r="D41" s="6">
        <f>IFERROR(__xludf.DUMMYFUNCTION("""COMPUTED_VALUE"""),271.8)</f>
        <v>271.8</v>
      </c>
      <c r="E41" s="6">
        <f>IFERROR(__xludf.DUMMYFUNCTION("""COMPUTED_VALUE"""),281.05)</f>
        <v>281.05</v>
      </c>
      <c r="F41" s="6">
        <f>IFERROR(__xludf.DUMMYFUNCTION("""COMPUTED_VALUE"""),6.443892E7)</f>
        <v>64438920</v>
      </c>
    </row>
    <row r="42">
      <c r="A42" s="7">
        <f>IFERROR(__xludf.DUMMYFUNCTION("""COMPUTED_VALUE"""),45471.64583333333)</f>
        <v>45471.64583</v>
      </c>
      <c r="B42" s="6">
        <f>IFERROR(__xludf.DUMMYFUNCTION("""COMPUTED_VALUE"""),276.8)</f>
        <v>276.8</v>
      </c>
      <c r="C42" s="6">
        <f>IFERROR(__xludf.DUMMYFUNCTION("""COMPUTED_VALUE"""),294.9)</f>
        <v>294.9</v>
      </c>
      <c r="D42" s="6">
        <f>IFERROR(__xludf.DUMMYFUNCTION("""COMPUTED_VALUE"""),272.9)</f>
        <v>272.9</v>
      </c>
      <c r="E42" s="6">
        <f>IFERROR(__xludf.DUMMYFUNCTION("""COMPUTED_VALUE"""),281.2)</f>
        <v>281.2</v>
      </c>
      <c r="F42" s="6">
        <f>IFERROR(__xludf.DUMMYFUNCTION("""COMPUTED_VALUE"""),8.8204294E7)</f>
        <v>88204294</v>
      </c>
    </row>
    <row r="43">
      <c r="A43" s="7">
        <f>IFERROR(__xludf.DUMMYFUNCTION("""COMPUTED_VALUE"""),45478.64583333333)</f>
        <v>45478.64583</v>
      </c>
      <c r="B43" s="6">
        <f>IFERROR(__xludf.DUMMYFUNCTION("""COMPUTED_VALUE"""),281.35)</f>
        <v>281.35</v>
      </c>
      <c r="C43" s="6">
        <f>IFERROR(__xludf.DUMMYFUNCTION("""COMPUTED_VALUE"""),339.45)</f>
        <v>339.45</v>
      </c>
      <c r="D43" s="6">
        <f>IFERROR(__xludf.DUMMYFUNCTION("""COMPUTED_VALUE"""),277.0)</f>
        <v>277</v>
      </c>
      <c r="E43" s="6">
        <f>IFERROR(__xludf.DUMMYFUNCTION("""COMPUTED_VALUE"""),328.45)</f>
        <v>328.45</v>
      </c>
      <c r="F43" s="6">
        <f>IFERROR(__xludf.DUMMYFUNCTION("""COMPUTED_VALUE"""),2.31877798E8)</f>
        <v>231877798</v>
      </c>
    </row>
    <row r="44">
      <c r="A44" s="7">
        <f>IFERROR(__xludf.DUMMYFUNCTION("""COMPUTED_VALUE"""),45485.64583333333)</f>
        <v>45485.64583</v>
      </c>
      <c r="B44" s="6">
        <f>IFERROR(__xludf.DUMMYFUNCTION("""COMPUTED_VALUE"""),330.05)</f>
        <v>330.05</v>
      </c>
      <c r="C44" s="6">
        <f>IFERROR(__xludf.DUMMYFUNCTION("""COMPUTED_VALUE"""),353.7)</f>
        <v>353.7</v>
      </c>
      <c r="D44" s="6">
        <f>IFERROR(__xludf.DUMMYFUNCTION("""COMPUTED_VALUE"""),319.0)</f>
        <v>319</v>
      </c>
      <c r="E44" s="6">
        <f>IFERROR(__xludf.DUMMYFUNCTION("""COMPUTED_VALUE"""),334.0)</f>
        <v>334</v>
      </c>
      <c r="F44" s="6">
        <f>IFERROR(__xludf.DUMMYFUNCTION("""COMPUTED_VALUE"""),1.60053196E8)</f>
        <v>160053196</v>
      </c>
    </row>
    <row r="45">
      <c r="A45" s="7">
        <f>IFERROR(__xludf.DUMMYFUNCTION("""COMPUTED_VALUE"""),45492.64583333333)</f>
        <v>45492.64583</v>
      </c>
      <c r="B45" s="6">
        <f>IFERROR(__xludf.DUMMYFUNCTION("""COMPUTED_VALUE"""),336.45)</f>
        <v>336.45</v>
      </c>
      <c r="C45" s="6">
        <f>IFERROR(__xludf.DUMMYFUNCTION("""COMPUTED_VALUE"""),346.8)</f>
        <v>346.8</v>
      </c>
      <c r="D45" s="6">
        <f>IFERROR(__xludf.DUMMYFUNCTION("""COMPUTED_VALUE"""),309.0)</f>
        <v>309</v>
      </c>
      <c r="E45" s="6">
        <f>IFERROR(__xludf.DUMMYFUNCTION("""COMPUTED_VALUE"""),318.0)</f>
        <v>318</v>
      </c>
      <c r="F45" s="6">
        <f>IFERROR(__xludf.DUMMYFUNCTION("""COMPUTED_VALUE"""),9.300059E7)</f>
        <v>93000590</v>
      </c>
    </row>
    <row r="46">
      <c r="A46" s="7">
        <f>IFERROR(__xludf.DUMMYFUNCTION("""COMPUTED_VALUE"""),45499.64583333333)</f>
        <v>45499.64583</v>
      </c>
      <c r="B46" s="6">
        <f>IFERROR(__xludf.DUMMYFUNCTION("""COMPUTED_VALUE"""),317.0)</f>
        <v>317</v>
      </c>
      <c r="C46" s="6">
        <f>IFERROR(__xludf.DUMMYFUNCTION("""COMPUTED_VALUE"""),329.4)</f>
        <v>329.4</v>
      </c>
      <c r="D46" s="6">
        <f>IFERROR(__xludf.DUMMYFUNCTION("""COMPUTED_VALUE"""),271.15)</f>
        <v>271.15</v>
      </c>
      <c r="E46" s="6">
        <f>IFERROR(__xludf.DUMMYFUNCTION("""COMPUTED_VALUE"""),314.25)</f>
        <v>314.25</v>
      </c>
      <c r="F46" s="6">
        <f>IFERROR(__xludf.DUMMYFUNCTION("""COMPUTED_VALUE"""),1.96040984E8)</f>
        <v>196040984</v>
      </c>
    </row>
    <row r="47">
      <c r="A47" s="7">
        <f>IFERROR(__xludf.DUMMYFUNCTION("""COMPUTED_VALUE"""),45506.64583333333)</f>
        <v>45506.64583</v>
      </c>
      <c r="B47" s="6">
        <f>IFERROR(__xludf.DUMMYFUNCTION("""COMPUTED_VALUE"""),316.05)</f>
        <v>316.05</v>
      </c>
      <c r="C47" s="6">
        <f>IFERROR(__xludf.DUMMYFUNCTION("""COMPUTED_VALUE"""),321.35)</f>
        <v>321.35</v>
      </c>
      <c r="D47" s="6">
        <f>IFERROR(__xludf.DUMMYFUNCTION("""COMPUTED_VALUE"""),296.5)</f>
        <v>296.5</v>
      </c>
      <c r="E47" s="6">
        <f>IFERROR(__xludf.DUMMYFUNCTION("""COMPUTED_VALUE"""),306.2)</f>
        <v>306.2</v>
      </c>
      <c r="F47" s="6">
        <f>IFERROR(__xludf.DUMMYFUNCTION("""COMPUTED_VALUE"""),4.8968555E7)</f>
        <v>48968555</v>
      </c>
    </row>
    <row r="48">
      <c r="A48" s="7">
        <f>IFERROR(__xludf.DUMMYFUNCTION("""COMPUTED_VALUE"""),45513.64583333333)</f>
        <v>45513.64583</v>
      </c>
      <c r="B48" s="6">
        <f>IFERROR(__xludf.DUMMYFUNCTION("""COMPUTED_VALUE"""),291.15)</f>
        <v>291.15</v>
      </c>
      <c r="C48" s="6">
        <f>IFERROR(__xludf.DUMMYFUNCTION("""COMPUTED_VALUE"""),304.15)</f>
        <v>304.15</v>
      </c>
      <c r="D48" s="6">
        <f>IFERROR(__xludf.DUMMYFUNCTION("""COMPUTED_VALUE"""),284.1)</f>
        <v>284.1</v>
      </c>
      <c r="E48" s="6">
        <f>IFERROR(__xludf.DUMMYFUNCTION("""COMPUTED_VALUE"""),292.2)</f>
        <v>292.2</v>
      </c>
      <c r="F48" s="6">
        <f>IFERROR(__xludf.DUMMYFUNCTION("""COMPUTED_VALUE"""),6.0136899E7)</f>
        <v>60136899</v>
      </c>
    </row>
    <row r="49">
      <c r="A49" s="7">
        <f>IFERROR(__xludf.DUMMYFUNCTION("""COMPUTED_VALUE"""),45520.64583333333)</f>
        <v>45520.64583</v>
      </c>
      <c r="B49" s="6">
        <f>IFERROR(__xludf.DUMMYFUNCTION("""COMPUTED_VALUE"""),295.0)</f>
        <v>295</v>
      </c>
      <c r="C49" s="6">
        <f>IFERROR(__xludf.DUMMYFUNCTION("""COMPUTED_VALUE"""),312.9)</f>
        <v>312.9</v>
      </c>
      <c r="D49" s="6">
        <f>IFERROR(__xludf.DUMMYFUNCTION("""COMPUTED_VALUE"""),285.0)</f>
        <v>285</v>
      </c>
      <c r="E49" s="6">
        <f>IFERROR(__xludf.DUMMYFUNCTION("""COMPUTED_VALUE"""),291.8)</f>
        <v>291.8</v>
      </c>
      <c r="F49" s="6">
        <f>IFERROR(__xludf.DUMMYFUNCTION("""COMPUTED_VALUE"""),5.9053408E7)</f>
        <v>59053408</v>
      </c>
    </row>
    <row r="50">
      <c r="A50" s="7">
        <f>IFERROR(__xludf.DUMMYFUNCTION("""COMPUTED_VALUE"""),45527.64583333333)</f>
        <v>45527.64583</v>
      </c>
      <c r="B50" s="6">
        <f>IFERROR(__xludf.DUMMYFUNCTION("""COMPUTED_VALUE"""),292.0)</f>
        <v>292</v>
      </c>
      <c r="C50" s="6">
        <f>IFERROR(__xludf.DUMMYFUNCTION("""COMPUTED_VALUE"""),297.8)</f>
        <v>297.8</v>
      </c>
      <c r="D50" s="6">
        <f>IFERROR(__xludf.DUMMYFUNCTION("""COMPUTED_VALUE"""),282.15)</f>
        <v>282.15</v>
      </c>
      <c r="E50" s="6">
        <f>IFERROR(__xludf.DUMMYFUNCTION("""COMPUTED_VALUE"""),284.35)</f>
        <v>284.35</v>
      </c>
      <c r="F50" s="6">
        <f>IFERROR(__xludf.DUMMYFUNCTION("""COMPUTED_VALUE"""),3.1209476E7)</f>
        <v>31209476</v>
      </c>
    </row>
    <row r="51">
      <c r="A51" s="7">
        <f>IFERROR(__xludf.DUMMYFUNCTION("""COMPUTED_VALUE"""),45534.64583333333)</f>
        <v>45534.64583</v>
      </c>
      <c r="B51" s="6">
        <f>IFERROR(__xludf.DUMMYFUNCTION("""COMPUTED_VALUE"""),286.0)</f>
        <v>286</v>
      </c>
      <c r="C51" s="6">
        <f>IFERROR(__xludf.DUMMYFUNCTION("""COMPUTED_VALUE"""),299.7)</f>
        <v>299.7</v>
      </c>
      <c r="D51" s="6">
        <f>IFERROR(__xludf.DUMMYFUNCTION("""COMPUTED_VALUE"""),277.0)</f>
        <v>277</v>
      </c>
      <c r="E51" s="6">
        <f>IFERROR(__xludf.DUMMYFUNCTION("""COMPUTED_VALUE"""),280.65)</f>
        <v>280.65</v>
      </c>
      <c r="F51" s="6">
        <f>IFERROR(__xludf.DUMMYFUNCTION("""COMPUTED_VALUE"""),8.7269518E7)</f>
        <v>87269518</v>
      </c>
    </row>
    <row r="52">
      <c r="A52" s="7">
        <f>IFERROR(__xludf.DUMMYFUNCTION("""COMPUTED_VALUE"""),45541.64583333333)</f>
        <v>45541.64583</v>
      </c>
      <c r="B52" s="6">
        <f>IFERROR(__xludf.DUMMYFUNCTION("""COMPUTED_VALUE"""),279.95)</f>
        <v>279.95</v>
      </c>
      <c r="C52" s="6">
        <f>IFERROR(__xludf.DUMMYFUNCTION("""COMPUTED_VALUE"""),281.8)</f>
        <v>281.8</v>
      </c>
      <c r="D52" s="6">
        <f>IFERROR(__xludf.DUMMYFUNCTION("""COMPUTED_VALUE"""),253.1)</f>
        <v>253.1</v>
      </c>
      <c r="E52" s="6">
        <f>IFERROR(__xludf.DUMMYFUNCTION("""COMPUTED_VALUE"""),254.1)</f>
        <v>254.1</v>
      </c>
      <c r="F52" s="6">
        <f>IFERROR(__xludf.DUMMYFUNCTION("""COMPUTED_VALUE"""),3.7571502E7)</f>
        <v>37571502</v>
      </c>
    </row>
    <row r="53">
      <c r="A53" s="7">
        <f>IFERROR(__xludf.DUMMYFUNCTION("""COMPUTED_VALUE"""),45548.64583333333)</f>
        <v>45548.64583</v>
      </c>
      <c r="B53" s="6">
        <f>IFERROR(__xludf.DUMMYFUNCTION("""COMPUTED_VALUE"""),253.95)</f>
        <v>253.95</v>
      </c>
      <c r="C53" s="6">
        <f>IFERROR(__xludf.DUMMYFUNCTION("""COMPUTED_VALUE"""),258.6)</f>
        <v>258.6</v>
      </c>
      <c r="D53" s="6">
        <f>IFERROR(__xludf.DUMMYFUNCTION("""COMPUTED_VALUE"""),245.0)</f>
        <v>245</v>
      </c>
      <c r="E53" s="6">
        <f>IFERROR(__xludf.DUMMYFUNCTION("""COMPUTED_VALUE"""),252.45)</f>
        <v>252.45</v>
      </c>
      <c r="F53" s="6">
        <f>IFERROR(__xludf.DUMMYFUNCTION("""COMPUTED_VALUE"""),4.3748013E7)</f>
        <v>43748013</v>
      </c>
    </row>
    <row r="54">
      <c r="A54" s="7">
        <f>IFERROR(__xludf.DUMMYFUNCTION("""COMPUTED_VALUE"""),45555.64583333333)</f>
        <v>45555.64583</v>
      </c>
      <c r="B54" s="6">
        <f>IFERROR(__xludf.DUMMYFUNCTION("""COMPUTED_VALUE"""),253.5)</f>
        <v>253.5</v>
      </c>
      <c r="C54" s="6">
        <f>IFERROR(__xludf.DUMMYFUNCTION("""COMPUTED_VALUE"""),254.7)</f>
        <v>254.7</v>
      </c>
      <c r="D54" s="6">
        <f>IFERROR(__xludf.DUMMYFUNCTION("""COMPUTED_VALUE"""),228.05)</f>
        <v>228.05</v>
      </c>
      <c r="E54" s="6">
        <f>IFERROR(__xludf.DUMMYFUNCTION("""COMPUTED_VALUE"""),251.05)</f>
        <v>251.05</v>
      </c>
      <c r="F54" s="6">
        <f>IFERROR(__xludf.DUMMYFUNCTION("""COMPUTED_VALUE"""),6.8791769E7)</f>
        <v>68791769</v>
      </c>
    </row>
    <row r="55">
      <c r="A55" s="7">
        <f>IFERROR(__xludf.DUMMYFUNCTION("""COMPUTED_VALUE"""),45562.64583333333)</f>
        <v>45562.64583</v>
      </c>
      <c r="B55" s="6">
        <f>IFERROR(__xludf.DUMMYFUNCTION("""COMPUTED_VALUE"""),251.25)</f>
        <v>251.25</v>
      </c>
      <c r="C55" s="6">
        <f>IFERROR(__xludf.DUMMYFUNCTION("""COMPUTED_VALUE"""),252.85)</f>
        <v>252.85</v>
      </c>
      <c r="D55" s="6">
        <f>IFERROR(__xludf.DUMMYFUNCTION("""COMPUTED_VALUE"""),232.15)</f>
        <v>232.15</v>
      </c>
      <c r="E55" s="6">
        <f>IFERROR(__xludf.DUMMYFUNCTION("""COMPUTED_VALUE"""),238.45)</f>
        <v>238.45</v>
      </c>
      <c r="F55" s="6">
        <f>IFERROR(__xludf.DUMMYFUNCTION("""COMPUTED_VALUE"""),3.4012591E7)</f>
        <v>34012591</v>
      </c>
    </row>
    <row r="56">
      <c r="A56" s="7">
        <f>IFERROR(__xludf.DUMMYFUNCTION("""COMPUTED_VALUE"""),45569.64583333333)</f>
        <v>45569.64583</v>
      </c>
      <c r="B56" s="6">
        <f>IFERROR(__xludf.DUMMYFUNCTION("""COMPUTED_VALUE"""),238.0)</f>
        <v>238</v>
      </c>
      <c r="C56" s="6">
        <f>IFERROR(__xludf.DUMMYFUNCTION("""COMPUTED_VALUE"""),243.1)</f>
        <v>243.1</v>
      </c>
      <c r="D56" s="6">
        <f>IFERROR(__xludf.DUMMYFUNCTION("""COMPUTED_VALUE"""),220.0)</f>
        <v>220</v>
      </c>
      <c r="E56" s="6">
        <f>IFERROR(__xludf.DUMMYFUNCTION("""COMPUTED_VALUE"""),224.33)</f>
        <v>224.33</v>
      </c>
      <c r="F56" s="6">
        <f>IFERROR(__xludf.DUMMYFUNCTION("""COMPUTED_VALUE"""),2.0172014E7)</f>
        <v>20172014</v>
      </c>
    </row>
    <row r="57">
      <c r="A57" s="7">
        <f>IFERROR(__xludf.DUMMYFUNCTION("""COMPUTED_VALUE"""),45576.64583333333)</f>
        <v>45576.64583</v>
      </c>
      <c r="B57" s="6">
        <f>IFERROR(__xludf.DUMMYFUNCTION("""COMPUTED_VALUE"""),224.32)</f>
        <v>224.32</v>
      </c>
      <c r="C57" s="6">
        <f>IFERROR(__xludf.DUMMYFUNCTION("""COMPUTED_VALUE"""),232.56)</f>
        <v>232.56</v>
      </c>
      <c r="D57" s="6">
        <f>IFERROR(__xludf.DUMMYFUNCTION("""COMPUTED_VALUE"""),206.56)</f>
        <v>206.56</v>
      </c>
      <c r="E57" s="6">
        <f>IFERROR(__xludf.DUMMYFUNCTION("""COMPUTED_VALUE"""),223.1)</f>
        <v>223.1</v>
      </c>
      <c r="F57" s="6">
        <f>IFERROR(__xludf.DUMMYFUNCTION("""COMPUTED_VALUE"""),3.1546912E7)</f>
        <v>31546912</v>
      </c>
    </row>
    <row r="58">
      <c r="A58" s="7">
        <f>IFERROR(__xludf.DUMMYFUNCTION("""COMPUTED_VALUE"""),45583.64583333333)</f>
        <v>45583.64583</v>
      </c>
      <c r="B58" s="6">
        <f>IFERROR(__xludf.DUMMYFUNCTION("""COMPUTED_VALUE"""),223.1)</f>
        <v>223.1</v>
      </c>
      <c r="C58" s="6">
        <f>IFERROR(__xludf.DUMMYFUNCTION("""COMPUTED_VALUE"""),228.52)</f>
        <v>228.52</v>
      </c>
      <c r="D58" s="6">
        <f>IFERROR(__xludf.DUMMYFUNCTION("""COMPUTED_VALUE"""),209.9)</f>
        <v>209.9</v>
      </c>
      <c r="E58" s="6">
        <f>IFERROR(__xludf.DUMMYFUNCTION("""COMPUTED_VALUE"""),215.06)</f>
        <v>215.06</v>
      </c>
      <c r="F58" s="6">
        <f>IFERROR(__xludf.DUMMYFUNCTION("""COMPUTED_VALUE"""),1.304783E7)</f>
        <v>13047830</v>
      </c>
    </row>
    <row r="59">
      <c r="A59" s="7">
        <f>IFERROR(__xludf.DUMMYFUNCTION("""COMPUTED_VALUE"""),45590.64583333333)</f>
        <v>45590.64583</v>
      </c>
      <c r="B59" s="6">
        <f>IFERROR(__xludf.DUMMYFUNCTION("""COMPUTED_VALUE"""),216.15)</f>
        <v>216.15</v>
      </c>
      <c r="C59" s="6">
        <f>IFERROR(__xludf.DUMMYFUNCTION("""COMPUTED_VALUE"""),217.55)</f>
        <v>217.55</v>
      </c>
      <c r="D59" s="6">
        <f>IFERROR(__xludf.DUMMYFUNCTION("""COMPUTED_VALUE"""),193.0)</f>
        <v>193</v>
      </c>
      <c r="E59" s="6">
        <f>IFERROR(__xludf.DUMMYFUNCTION("""COMPUTED_VALUE"""),193.99)</f>
        <v>193.99</v>
      </c>
      <c r="F59" s="6">
        <f>IFERROR(__xludf.DUMMYFUNCTION("""COMPUTED_VALUE"""),2.6378353E7)</f>
        <v>26378353</v>
      </c>
    </row>
    <row r="60">
      <c r="A60" s="7">
        <f>IFERROR(__xludf.DUMMYFUNCTION("""COMPUTED_VALUE"""),45604.64583333333)</f>
        <v>45604.64583</v>
      </c>
      <c r="B60" s="6">
        <f>IFERROR(__xludf.DUMMYFUNCTION("""COMPUTED_VALUE"""),219.7)</f>
        <v>219.7</v>
      </c>
      <c r="C60" s="6">
        <f>IFERROR(__xludf.DUMMYFUNCTION("""COMPUTED_VALUE"""),231.74)</f>
        <v>231.74</v>
      </c>
      <c r="D60" s="6">
        <f>IFERROR(__xludf.DUMMYFUNCTION("""COMPUTED_VALUE"""),213.73)</f>
        <v>213.73</v>
      </c>
      <c r="E60" s="6">
        <f>IFERROR(__xludf.DUMMYFUNCTION("""COMPUTED_VALUE"""),218.52)</f>
        <v>218.52</v>
      </c>
      <c r="F60" s="6">
        <f>IFERROR(__xludf.DUMMYFUNCTION("""COMPUTED_VALUE"""),2.1698188E7)</f>
        <v>21698188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IFERROR(__xludf.DUMMYFUNCTION("""COMPUTED_VALUE"""),215.98)</f>
        <v>215.98</v>
      </c>
      <c r="C61" s="6">
        <f>IFERROR(__xludf.DUMMYFUNCTION("""COMPUTED_VALUE"""),224.03)</f>
        <v>224.03</v>
      </c>
      <c r="D61" s="6">
        <f>IFERROR(__xludf.DUMMYFUNCTION("""COMPUTED_VALUE"""),200.0)</f>
        <v>200</v>
      </c>
      <c r="E61" s="6">
        <f>IFERROR(__xludf.DUMMYFUNCTION("""COMPUTED_VALUE"""),202.04)</f>
        <v>202.04</v>
      </c>
      <c r="F61" s="6">
        <f>IFERROR(__xludf.DUMMYFUNCTION("""COMPUTED_VALUE"""),1.2434038E7)</f>
        <v>12434038</v>
      </c>
    </row>
    <row r="62">
      <c r="A62" s="7">
        <f>IFERROR(__xludf.DUMMYFUNCTION("""COMPUTED_VALUE"""),45618.64583333333)</f>
        <v>45618.64583</v>
      </c>
      <c r="B62" s="6">
        <f>IFERROR(__xludf.DUMMYFUNCTION("""COMPUTED_VALUE"""),203.0)</f>
        <v>203</v>
      </c>
      <c r="C62" s="6">
        <f>IFERROR(__xludf.DUMMYFUNCTION("""COMPUTED_VALUE"""),214.47)</f>
        <v>214.47</v>
      </c>
      <c r="D62" s="6">
        <f>IFERROR(__xludf.DUMMYFUNCTION("""COMPUTED_VALUE"""),198.01)</f>
        <v>198.01</v>
      </c>
      <c r="E62" s="6">
        <f>IFERROR(__xludf.DUMMYFUNCTION("""COMPUTED_VALUE"""),205.98)</f>
        <v>205.98</v>
      </c>
      <c r="F62" s="6">
        <f>IFERROR(__xludf.DUMMYFUNCTION("""COMPUTED_VALUE"""),1.2412113E7)</f>
        <v>12412113</v>
      </c>
    </row>
    <row r="63">
      <c r="A63" s="7">
        <f>IFERROR(__xludf.DUMMYFUNCTION("""COMPUTED_VALUE"""),45625.64583333333)</f>
        <v>45625.64583</v>
      </c>
      <c r="B63" s="6">
        <f>IFERROR(__xludf.DUMMYFUNCTION("""COMPUTED_VALUE"""),215.0)</f>
        <v>215</v>
      </c>
      <c r="C63" s="6">
        <f>IFERROR(__xludf.DUMMYFUNCTION("""COMPUTED_VALUE"""),242.5)</f>
        <v>242.5</v>
      </c>
      <c r="D63" s="6">
        <f>IFERROR(__xludf.DUMMYFUNCTION("""COMPUTED_VALUE"""),210.85)</f>
        <v>210.85</v>
      </c>
      <c r="E63" s="6">
        <f>IFERROR(__xludf.DUMMYFUNCTION("""COMPUTED_VALUE"""),238.61)</f>
        <v>238.61</v>
      </c>
      <c r="F63" s="6">
        <f>IFERROR(__xludf.DUMMYFUNCTION("""COMPUTED_VALUE"""),6.5373016E7)</f>
        <v>65373016</v>
      </c>
    </row>
    <row r="64">
      <c r="A64" s="7">
        <f>IFERROR(__xludf.DUMMYFUNCTION("""COMPUTED_VALUE"""),45632.64583333333)</f>
        <v>45632.64583</v>
      </c>
      <c r="B64" s="6">
        <f>IFERROR(__xludf.DUMMYFUNCTION("""COMPUTED_VALUE"""),240.0)</f>
        <v>240</v>
      </c>
      <c r="C64" s="6">
        <f>IFERROR(__xludf.DUMMYFUNCTION("""COMPUTED_VALUE"""),249.9)</f>
        <v>249.9</v>
      </c>
      <c r="D64" s="6">
        <f>IFERROR(__xludf.DUMMYFUNCTION("""COMPUTED_VALUE"""),234.2)</f>
        <v>234.2</v>
      </c>
      <c r="E64" s="6">
        <f>IFERROR(__xludf.DUMMYFUNCTION("""COMPUTED_VALUE"""),247.77)</f>
        <v>247.77</v>
      </c>
      <c r="F64" s="6">
        <f>IFERROR(__xludf.DUMMYFUNCTION("""COMPUTED_VALUE"""),4.7935852E7)</f>
        <v>47935852</v>
      </c>
    </row>
    <row r="65">
      <c r="A65" s="7">
        <f>IFERROR(__xludf.DUMMYFUNCTION("""COMPUTED_VALUE"""),45639.64583333333)</f>
        <v>45639.64583</v>
      </c>
      <c r="B65" s="6">
        <f>IFERROR(__xludf.DUMMYFUNCTION("""COMPUTED_VALUE"""),248.0)</f>
        <v>248</v>
      </c>
      <c r="C65" s="6">
        <f>IFERROR(__xludf.DUMMYFUNCTION("""COMPUTED_VALUE"""),256.0)</f>
        <v>256</v>
      </c>
      <c r="D65" s="6">
        <f>IFERROR(__xludf.DUMMYFUNCTION("""COMPUTED_VALUE"""),238.0)</f>
        <v>238</v>
      </c>
      <c r="E65" s="6">
        <f>IFERROR(__xludf.DUMMYFUNCTION("""COMPUTED_VALUE"""),244.95)</f>
        <v>244.95</v>
      </c>
      <c r="F65" s="6">
        <f>IFERROR(__xludf.DUMMYFUNCTION("""COMPUTED_VALUE"""),3.0391355E7)</f>
        <v>30391355</v>
      </c>
    </row>
    <row r="66">
      <c r="A66" s="7">
        <f>IFERROR(__xludf.DUMMYFUNCTION("""COMPUTED_VALUE"""),45646.64583333333)</f>
        <v>45646.64583</v>
      </c>
      <c r="B66" s="6">
        <f>IFERROR(__xludf.DUMMYFUNCTION("""COMPUTED_VALUE"""),244.8)</f>
        <v>244.8</v>
      </c>
      <c r="C66" s="6">
        <f>IFERROR(__xludf.DUMMYFUNCTION("""COMPUTED_VALUE"""),262.7)</f>
        <v>262.7</v>
      </c>
      <c r="D66" s="6">
        <f>IFERROR(__xludf.DUMMYFUNCTION("""COMPUTED_VALUE"""),239.56)</f>
        <v>239.56</v>
      </c>
      <c r="E66" s="6">
        <f>IFERROR(__xludf.DUMMYFUNCTION("""COMPUTED_VALUE"""),242.11)</f>
        <v>242.11</v>
      </c>
      <c r="F66" s="6">
        <f>IFERROR(__xludf.DUMMYFUNCTION("""COMPUTED_VALUE"""),3.8741177E7)</f>
        <v>38741177</v>
      </c>
    </row>
    <row r="67">
      <c r="A67" s="7">
        <f>IFERROR(__xludf.DUMMYFUNCTION("""COMPUTED_VALUE"""),45653.64583333333)</f>
        <v>45653.64583</v>
      </c>
      <c r="B67" s="6">
        <f>IFERROR(__xludf.DUMMYFUNCTION("""COMPUTED_VALUE"""),243.0)</f>
        <v>243</v>
      </c>
      <c r="C67" s="6">
        <f>IFERROR(__xludf.DUMMYFUNCTION("""COMPUTED_VALUE"""),244.09)</f>
        <v>244.09</v>
      </c>
      <c r="D67" s="6">
        <f>IFERROR(__xludf.DUMMYFUNCTION("""COMPUTED_VALUE"""),225.61)</f>
        <v>225.61</v>
      </c>
      <c r="E67" s="6">
        <f>IFERROR(__xludf.DUMMYFUNCTION("""COMPUTED_VALUE"""),226.94)</f>
        <v>226.94</v>
      </c>
      <c r="F67" s="6">
        <f>IFERROR(__xludf.DUMMYFUNCTION("""COMPUTED_VALUE"""),1.2503429E7)</f>
        <v>12503429</v>
      </c>
    </row>
    <row r="68">
      <c r="A68" s="7">
        <f>IFERROR(__xludf.DUMMYFUNCTION("""COMPUTED_VALUE"""),45660.64583333333)</f>
        <v>45660.64583</v>
      </c>
      <c r="B68" s="6">
        <f>IFERROR(__xludf.DUMMYFUNCTION("""COMPUTED_VALUE"""),226.0)</f>
        <v>226</v>
      </c>
      <c r="C68" s="6">
        <f>IFERROR(__xludf.DUMMYFUNCTION("""COMPUTED_VALUE"""),254.29)</f>
        <v>254.29</v>
      </c>
      <c r="D68" s="6">
        <f>IFERROR(__xludf.DUMMYFUNCTION("""COMPUTED_VALUE"""),224.5)</f>
        <v>224.5</v>
      </c>
      <c r="E68" s="6">
        <f>IFERROR(__xludf.DUMMYFUNCTION("""COMPUTED_VALUE"""),245.91)</f>
        <v>245.91</v>
      </c>
      <c r="F68" s="6">
        <f>IFERROR(__xludf.DUMMYFUNCTION("""COMPUTED_VALUE"""),3.7068457E7)</f>
        <v>37068457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IFERROR(__xludf.DUMMYFUNCTION("""COMPUTED_VALUE"""),247.7)</f>
        <v>247.7</v>
      </c>
      <c r="C69" s="6">
        <f>IFERROR(__xludf.DUMMYFUNCTION("""COMPUTED_VALUE"""),253.3)</f>
        <v>253.3</v>
      </c>
      <c r="D69" s="6">
        <f>IFERROR(__xludf.DUMMYFUNCTION("""COMPUTED_VALUE"""),213.26)</f>
        <v>213.26</v>
      </c>
      <c r="E69" s="6">
        <f>IFERROR(__xludf.DUMMYFUNCTION("""COMPUTED_VALUE"""),214.19)</f>
        <v>214.19</v>
      </c>
      <c r="F69" s="6">
        <f>IFERROR(__xludf.DUMMYFUNCTION("""COMPUTED_VALUE"""),3.8192344E7)</f>
        <v>38192344</v>
      </c>
    </row>
    <row r="70">
      <c r="A70" s="7">
        <f>IFERROR(__xludf.DUMMYFUNCTION("""COMPUTED_VALUE"""),45674.64583333333)</f>
        <v>45674.64583</v>
      </c>
      <c r="B70" s="6">
        <f>IFERROR(__xludf.DUMMYFUNCTION("""COMPUTED_VALUE"""),214.67)</f>
        <v>214.67</v>
      </c>
      <c r="C70" s="6">
        <f>IFERROR(__xludf.DUMMYFUNCTION("""COMPUTED_VALUE"""),236.14)</f>
        <v>236.14</v>
      </c>
      <c r="D70" s="6">
        <f>IFERROR(__xludf.DUMMYFUNCTION("""COMPUTED_VALUE"""),200.85)</f>
        <v>200.85</v>
      </c>
      <c r="E70" s="6">
        <f>IFERROR(__xludf.DUMMYFUNCTION("""COMPUTED_VALUE"""),234.8)</f>
        <v>234.8</v>
      </c>
      <c r="F70" s="6">
        <f>IFERROR(__xludf.DUMMYFUNCTION("""COMPUTED_VALUE"""),3.2088979E7)</f>
        <v>32088979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IFERROR(__xludf.DUMMYFUNCTION("""COMPUTED_VALUE"""),235.45)</f>
        <v>235.45</v>
      </c>
      <c r="C71" s="6">
        <f>IFERROR(__xludf.DUMMYFUNCTION("""COMPUTED_VALUE"""),238.49)</f>
        <v>238.49</v>
      </c>
      <c r="D71" s="6">
        <f>IFERROR(__xludf.DUMMYFUNCTION("""COMPUTED_VALUE"""),216.09)</f>
        <v>216.09</v>
      </c>
      <c r="E71" s="6">
        <f>IFERROR(__xludf.DUMMYFUNCTION("""COMPUTED_VALUE"""),219.84)</f>
        <v>219.84</v>
      </c>
      <c r="F71" s="6">
        <f>IFERROR(__xludf.DUMMYFUNCTION("""COMPUTED_VALUE"""),6.6882154E7)</f>
        <v>66882154</v>
      </c>
    </row>
    <row r="72">
      <c r="A72" s="7">
        <f>IFERROR(__xludf.DUMMYFUNCTION("""COMPUTED_VALUE"""),45695.64583333333)</f>
        <v>45695.64583</v>
      </c>
      <c r="B72" s="6">
        <f>IFERROR(__xludf.DUMMYFUNCTION("""COMPUTED_VALUE"""),214.0)</f>
        <v>214</v>
      </c>
      <c r="C72" s="6">
        <f>IFERROR(__xludf.DUMMYFUNCTION("""COMPUTED_VALUE"""),214.2)</f>
        <v>214.2</v>
      </c>
      <c r="D72" s="6">
        <f>IFERROR(__xludf.DUMMYFUNCTION("""COMPUTED_VALUE"""),191.21)</f>
        <v>191.21</v>
      </c>
      <c r="E72" s="6">
        <f>IFERROR(__xludf.DUMMYFUNCTION("""COMPUTED_VALUE"""),206.75)</f>
        <v>206.75</v>
      </c>
      <c r="F72" s="6">
        <f>IFERROR(__xludf.DUMMYFUNCTION("""COMPUTED_VALUE"""),7.4693823E7)</f>
        <v>74693823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IFERROR(__xludf.DUMMYFUNCTION("""COMPUTED_VALUE"""),208.0)</f>
        <v>208</v>
      </c>
      <c r="C73" s="6">
        <f>IFERROR(__xludf.DUMMYFUNCTION("""COMPUTED_VALUE"""),208.0)</f>
        <v>208</v>
      </c>
      <c r="D73" s="6">
        <f>IFERROR(__xludf.DUMMYFUNCTION("""COMPUTED_VALUE"""),181.5)</f>
        <v>181.5</v>
      </c>
      <c r="E73" s="6">
        <f>IFERROR(__xludf.DUMMYFUNCTION("""COMPUTED_VALUE"""),183.79)</f>
        <v>183.79</v>
      </c>
      <c r="F73" s="6">
        <f>IFERROR(__xludf.DUMMYFUNCTION("""COMPUTED_VALUE"""),3.7167744E7)</f>
        <v>37167744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IFERROR(__xludf.DUMMYFUNCTION("""COMPUTED_VALUE"""),181.0)</f>
        <v>181</v>
      </c>
      <c r="C74" s="6">
        <f>IFERROR(__xludf.DUMMYFUNCTION("""COMPUTED_VALUE"""),195.8)</f>
        <v>195.8</v>
      </c>
      <c r="D74" s="6">
        <f>IFERROR(__xludf.DUMMYFUNCTION("""COMPUTED_VALUE"""),175.42)</f>
        <v>175.42</v>
      </c>
      <c r="E74" s="6">
        <f>IFERROR(__xludf.DUMMYFUNCTION("""COMPUTED_VALUE"""),189.66)</f>
        <v>189.66</v>
      </c>
      <c r="F74" s="6">
        <f>IFERROR(__xludf.DUMMYFUNCTION("""COMPUTED_VALUE"""),4.0655082E7)</f>
        <v>40655082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IFERROR(__xludf.DUMMYFUNCTION("""COMPUTED_VALUE"""),186.0)</f>
        <v>186</v>
      </c>
      <c r="C75" s="6">
        <f>IFERROR(__xludf.DUMMYFUNCTION("""COMPUTED_VALUE"""),186.35)</f>
        <v>186.35</v>
      </c>
      <c r="D75" s="6">
        <f>IFERROR(__xludf.DUMMYFUNCTION("""COMPUTED_VALUE"""),163.7)</f>
        <v>163.7</v>
      </c>
      <c r="E75" s="6">
        <f>IFERROR(__xludf.DUMMYFUNCTION("""COMPUTED_VALUE"""),165.14)</f>
        <v>165.14</v>
      </c>
      <c r="F75" s="6">
        <f>IFERROR(__xludf.DUMMYFUNCTION("""COMPUTED_VALUE"""),2.2977709E7)</f>
        <v>22977709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IFERROR(__xludf.DUMMYFUNCTION("""COMPUTED_VALUE"""),164.99)</f>
        <v>164.99</v>
      </c>
      <c r="C76" s="6">
        <f>IFERROR(__xludf.DUMMYFUNCTION("""COMPUTED_VALUE"""),185.85)</f>
        <v>185.85</v>
      </c>
      <c r="D76" s="6">
        <f>IFERROR(__xludf.DUMMYFUNCTION("""COMPUTED_VALUE"""),158.85)</f>
        <v>158.85</v>
      </c>
      <c r="E76" s="6">
        <f>IFERROR(__xludf.DUMMYFUNCTION("""COMPUTED_VALUE"""),182.27)</f>
        <v>182.27</v>
      </c>
      <c r="F76" s="6">
        <f>IFERROR(__xludf.DUMMYFUNCTION("""COMPUTED_VALUE"""),4.0113015E7)</f>
        <v>40113015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IFERROR(__xludf.DUMMYFUNCTION("""COMPUTED_VALUE"""),183.5)</f>
        <v>183.5</v>
      </c>
      <c r="C77" s="6">
        <f>IFERROR(__xludf.DUMMYFUNCTION("""COMPUTED_VALUE"""),185.49)</f>
        <v>185.49</v>
      </c>
      <c r="D77" s="6">
        <f>IFERROR(__xludf.DUMMYFUNCTION("""COMPUTED_VALUE"""),175.05)</f>
        <v>175.05</v>
      </c>
      <c r="E77" s="6">
        <f>IFERROR(__xludf.DUMMYFUNCTION("""COMPUTED_VALUE"""),180.76)</f>
        <v>180.76</v>
      </c>
      <c r="F77" s="6">
        <f>IFERROR(__xludf.DUMMYFUNCTION("""COMPUTED_VALUE"""),2.0378524E7)</f>
        <v>20378524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IFERROR(__xludf.DUMMYFUNCTION("""COMPUTED_VALUE"""),181.39)</f>
        <v>181.39</v>
      </c>
      <c r="C78" s="6">
        <f>IFERROR(__xludf.DUMMYFUNCTION("""COMPUTED_VALUE"""),204.75)</f>
        <v>204.75</v>
      </c>
      <c r="D78" s="6">
        <f>IFERROR(__xludf.DUMMYFUNCTION("""COMPUTED_VALUE"""),181.39)</f>
        <v>181.39</v>
      </c>
      <c r="E78" s="6">
        <f>IFERROR(__xludf.DUMMYFUNCTION("""COMPUTED_VALUE"""),202.8)</f>
        <v>202.8</v>
      </c>
      <c r="F78" s="6">
        <f>IFERROR(__xludf.DUMMYFUNCTION("""COMPUTED_VALUE"""),4.7411067E7)</f>
        <v>47411067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IFERROR(__xludf.DUMMYFUNCTION("""COMPUTED_VALUE"""),203.5)</f>
        <v>203.5</v>
      </c>
      <c r="C79" s="6">
        <f>IFERROR(__xludf.DUMMYFUNCTION("""COMPUTED_VALUE"""),212.4)</f>
        <v>212.4</v>
      </c>
      <c r="D79" s="6">
        <f>IFERROR(__xludf.DUMMYFUNCTION("""COMPUTED_VALUE"""),196.0)</f>
        <v>196</v>
      </c>
      <c r="E79" s="6">
        <f>IFERROR(__xludf.DUMMYFUNCTION("""COMPUTED_VALUE"""),199.45)</f>
        <v>199.45</v>
      </c>
      <c r="F79" s="6">
        <f>IFERROR(__xludf.DUMMYFUNCTION("""COMPUTED_VALUE"""),4.8527149E7)</f>
        <v>48527149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IFERROR(__xludf.DUMMYFUNCTION("""COMPUTED_VALUE"""),198.0)</f>
        <v>198</v>
      </c>
      <c r="C80" s="6">
        <f>IFERROR(__xludf.DUMMYFUNCTION("""COMPUTED_VALUE"""),210.75)</f>
        <v>210.75</v>
      </c>
      <c r="D80" s="6">
        <f>IFERROR(__xludf.DUMMYFUNCTION("""COMPUTED_VALUE"""),195.45)</f>
        <v>195.45</v>
      </c>
      <c r="E80" s="6">
        <f>IFERROR(__xludf.DUMMYFUNCTION("""COMPUTED_VALUE"""),203.47)</f>
        <v>203.47</v>
      </c>
      <c r="F80" s="6">
        <f>IFERROR(__xludf.DUMMYFUNCTION("""COMPUTED_VALUE"""),2.9726947E7)</f>
        <v>29726947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IFERROR(__xludf.DUMMYFUNCTION("""COMPUTED_VALUE"""),184.0)</f>
        <v>184</v>
      </c>
      <c r="C81" s="6">
        <f>IFERROR(__xludf.DUMMYFUNCTION("""COMPUTED_VALUE"""),217.7)</f>
        <v>217.7</v>
      </c>
      <c r="D81" s="6">
        <f>IFERROR(__xludf.DUMMYFUNCTION("""COMPUTED_VALUE"""),184.0)</f>
        <v>184</v>
      </c>
      <c r="E81" s="6">
        <f>IFERROR(__xludf.DUMMYFUNCTION("""COMPUTED_VALUE"""),215.81)</f>
        <v>215.81</v>
      </c>
      <c r="F81" s="6">
        <f>IFERROR(__xludf.DUMMYFUNCTION("""COMPUTED_VALUE"""),4.1333989E7)</f>
        <v>41333989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IFERROR(__xludf.DUMMYFUNCTION("""COMPUTED_VALUE"""),219.64)</f>
        <v>219.64</v>
      </c>
      <c r="C82" s="6">
        <f>IFERROR(__xludf.DUMMYFUNCTION("""COMPUTED_VALUE"""),231.88)</f>
        <v>231.88</v>
      </c>
      <c r="D82" s="6">
        <f>IFERROR(__xludf.DUMMYFUNCTION("""COMPUTED_VALUE"""),217.35)</f>
        <v>217.35</v>
      </c>
      <c r="E82" s="6">
        <f>IFERROR(__xludf.DUMMYFUNCTION("""COMPUTED_VALUE"""),228.84)</f>
        <v>228.84</v>
      </c>
      <c r="F82" s="6">
        <f>IFERROR(__xludf.DUMMYFUNCTION("""COMPUTED_VALUE"""),2.5971894E7)</f>
        <v>25971894</v>
      </c>
    </row>
    <row r="83">
      <c r="A83" s="7">
        <f>IFERROR(__xludf.DUMMYFUNCTION("""COMPUTED_VALUE"""),45772.64583333333)</f>
        <v>45772.64583</v>
      </c>
      <c r="B83" s="6">
        <f>IFERROR(__xludf.DUMMYFUNCTION("""COMPUTED_VALUE"""),230.2)</f>
        <v>230.2</v>
      </c>
      <c r="C83" s="6">
        <f>IFERROR(__xludf.DUMMYFUNCTION("""COMPUTED_VALUE"""),243.46)</f>
        <v>243.46</v>
      </c>
      <c r="D83" s="6">
        <f>IFERROR(__xludf.DUMMYFUNCTION("""COMPUTED_VALUE"""),219.0)</f>
        <v>219</v>
      </c>
      <c r="E83" s="6">
        <f>IFERROR(__xludf.DUMMYFUNCTION("""COMPUTED_VALUE"""),220.24)</f>
        <v>220.24</v>
      </c>
      <c r="F83" s="6">
        <f>IFERROR(__xludf.DUMMYFUNCTION("""COMPUTED_VALUE"""),4.761171E7)</f>
        <v>47611710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IFERROR(__xludf.DUMMYFUNCTION("""COMPUTED_VALUE"""),219.0)</f>
        <v>219</v>
      </c>
      <c r="C84" s="6">
        <f>IFERROR(__xludf.DUMMYFUNCTION("""COMPUTED_VALUE"""),230.7)</f>
        <v>230.7</v>
      </c>
      <c r="D84" s="6">
        <f>IFERROR(__xludf.DUMMYFUNCTION("""COMPUTED_VALUE"""),219.0)</f>
        <v>219</v>
      </c>
      <c r="E84" s="6">
        <f>IFERROR(__xludf.DUMMYFUNCTION("""COMPUTED_VALUE"""),221.97)</f>
        <v>221.97</v>
      </c>
      <c r="F84" s="6">
        <f>IFERROR(__xludf.DUMMYFUNCTION("""COMPUTED_VALUE"""),1.5731057E7)</f>
        <v>15731057</v>
      </c>
    </row>
    <row r="85">
      <c r="A85" s="7">
        <f>IFERROR(__xludf.DUMMYFUNCTION("""COMPUTED_VALUE"""),45786.64583333333)</f>
        <v>45786.64583</v>
      </c>
      <c r="B85" s="6">
        <f>IFERROR(__xludf.DUMMYFUNCTION("""COMPUTED_VALUE"""),223.2)</f>
        <v>223.2</v>
      </c>
      <c r="C85" s="6">
        <f>IFERROR(__xludf.DUMMYFUNCTION("""COMPUTED_VALUE"""),230.2)</f>
        <v>230.2</v>
      </c>
      <c r="D85" s="6">
        <f>IFERROR(__xludf.DUMMYFUNCTION("""COMPUTED_VALUE"""),204.52)</f>
        <v>204.52</v>
      </c>
      <c r="E85" s="6">
        <f>IFERROR(__xludf.DUMMYFUNCTION("""COMPUTED_VALUE"""),208.47)</f>
        <v>208.47</v>
      </c>
      <c r="F85" s="6">
        <f>IFERROR(__xludf.DUMMYFUNCTION("""COMPUTED_VALUE"""),4.2924068E7)</f>
        <v>42924068</v>
      </c>
    </row>
    <row r="86">
      <c r="A86" s="7">
        <f>IFERROR(__xludf.DUMMYFUNCTION("""COMPUTED_VALUE"""),45793.64583333333)</f>
        <v>45793.64583</v>
      </c>
      <c r="B86" s="6">
        <f>IFERROR(__xludf.DUMMYFUNCTION("""COMPUTED_VALUE"""),217.01)</f>
        <v>217.01</v>
      </c>
      <c r="C86" s="6">
        <f>IFERROR(__xludf.DUMMYFUNCTION("""COMPUTED_VALUE"""),234.59)</f>
        <v>234.59</v>
      </c>
      <c r="D86" s="6">
        <f>IFERROR(__xludf.DUMMYFUNCTION("""COMPUTED_VALUE"""),215.1)</f>
        <v>215.1</v>
      </c>
      <c r="E86" s="6">
        <f>IFERROR(__xludf.DUMMYFUNCTION("""COMPUTED_VALUE"""),233.86)</f>
        <v>233.86</v>
      </c>
      <c r="F86" s="6">
        <f>IFERROR(__xludf.DUMMYFUNCTION("""COMPUTED_VALUE"""),4.3297987E7)</f>
        <v>43297987</v>
      </c>
    </row>
    <row r="87">
      <c r="A87" s="7">
        <f>IFERROR(__xludf.DUMMYFUNCTION("""COMPUTED_VALUE"""),45800.64583333333)</f>
        <v>45800.64583</v>
      </c>
      <c r="B87" s="6">
        <f>IFERROR(__xludf.DUMMYFUNCTION("""COMPUTED_VALUE"""),236.2)</f>
        <v>236.2</v>
      </c>
      <c r="C87" s="6">
        <f>IFERROR(__xludf.DUMMYFUNCTION("""COMPUTED_VALUE"""),239.75)</f>
        <v>239.75</v>
      </c>
      <c r="D87" s="6">
        <f>IFERROR(__xludf.DUMMYFUNCTION("""COMPUTED_VALUE"""),224.17)</f>
        <v>224.17</v>
      </c>
      <c r="E87" s="6">
        <f>IFERROR(__xludf.DUMMYFUNCTION("""COMPUTED_VALUE"""),227.78)</f>
        <v>227.78</v>
      </c>
      <c r="F87" s="6">
        <f>IFERROR(__xludf.DUMMYFUNCTION("""COMPUTED_VALUE"""),3.4576253E7)</f>
        <v>34576253</v>
      </c>
    </row>
    <row r="88">
      <c r="A88" s="7">
        <f>IFERROR(__xludf.DUMMYFUNCTION("""COMPUTED_VALUE"""),45807.64583333333)</f>
        <v>45807.64583</v>
      </c>
      <c r="B88" s="6">
        <f>IFERROR(__xludf.DUMMYFUNCTION("""COMPUTED_VALUE"""),228.0)</f>
        <v>228</v>
      </c>
      <c r="C88" s="6">
        <f>IFERROR(__xludf.DUMMYFUNCTION("""COMPUTED_VALUE"""),246.2)</f>
        <v>246.2</v>
      </c>
      <c r="D88" s="6">
        <f>IFERROR(__xludf.DUMMYFUNCTION("""COMPUTED_VALUE"""),228.0)</f>
        <v>228</v>
      </c>
      <c r="E88" s="6">
        <f>IFERROR(__xludf.DUMMYFUNCTION("""COMPUTED_VALUE"""),241.24)</f>
        <v>241.24</v>
      </c>
      <c r="F88" s="6">
        <f>IFERROR(__xludf.DUMMYFUNCTION("""COMPUTED_VALUE"""),6.7679322E7)</f>
        <v>67679322</v>
      </c>
    </row>
    <row r="89">
      <c r="A89" s="7">
        <f>IFERROR(__xludf.DUMMYFUNCTION("""COMPUTED_VALUE"""),45814.64583333333)</f>
        <v>45814.64583</v>
      </c>
      <c r="B89" s="6">
        <f>IFERROR(__xludf.DUMMYFUNCTION("""COMPUTED_VALUE"""),241.24)</f>
        <v>241.24</v>
      </c>
      <c r="C89" s="6">
        <f>IFERROR(__xludf.DUMMYFUNCTION("""COMPUTED_VALUE"""),253.73)</f>
        <v>253.73</v>
      </c>
      <c r="D89" s="6">
        <f>IFERROR(__xludf.DUMMYFUNCTION("""COMPUTED_VALUE"""),239.06)</f>
        <v>239.06</v>
      </c>
      <c r="E89" s="6">
        <f>IFERROR(__xludf.DUMMYFUNCTION("""COMPUTED_VALUE"""),246.33)</f>
        <v>246.33</v>
      </c>
      <c r="F89" s="6">
        <f>IFERROR(__xludf.DUMMYFUNCTION("""COMPUTED_VALUE"""),6.208237E7)</f>
        <v>62082370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IFERROR(__xludf.DUMMYFUNCTION("""COMPUTED_VALUE"""),247.68)</f>
        <v>247.68</v>
      </c>
      <c r="C90" s="6">
        <f>IFERROR(__xludf.DUMMYFUNCTION("""COMPUTED_VALUE"""),251.51)</f>
        <v>251.51</v>
      </c>
      <c r="D90" s="6">
        <f>IFERROR(__xludf.DUMMYFUNCTION("""COMPUTED_VALUE"""),221.5)</f>
        <v>221.5</v>
      </c>
      <c r="E90" s="6">
        <f>IFERROR(__xludf.DUMMYFUNCTION("""COMPUTED_VALUE"""),228.24)</f>
        <v>228.24</v>
      </c>
      <c r="F90" s="6">
        <f>IFERROR(__xludf.DUMMYFUNCTION("""COMPUTED_VALUE"""),3.0224931E7)</f>
        <v>30224931</v>
      </c>
    </row>
    <row r="91">
      <c r="A91" s="7">
        <f>IFERROR(__xludf.DUMMYFUNCTION("""COMPUTED_VALUE"""),45828.64583333333)</f>
        <v>45828.64583</v>
      </c>
      <c r="B91" s="6">
        <f>IFERROR(__xludf.DUMMYFUNCTION("""COMPUTED_VALUE"""),226.2)</f>
        <v>226.2</v>
      </c>
      <c r="C91" s="6">
        <f>IFERROR(__xludf.DUMMYFUNCTION("""COMPUTED_VALUE"""),231.7)</f>
        <v>231.7</v>
      </c>
      <c r="D91" s="6">
        <f>IFERROR(__xludf.DUMMYFUNCTION("""COMPUTED_VALUE"""),216.3)</f>
        <v>216.3</v>
      </c>
      <c r="E91" s="6">
        <f>IFERROR(__xludf.DUMMYFUNCTION("""COMPUTED_VALUE"""),227.15)</f>
        <v>227.15</v>
      </c>
      <c r="F91" s="6">
        <f>IFERROR(__xludf.DUMMYFUNCTION("""COMPUTED_VALUE"""),2.2626353E7)</f>
        <v>22626353</v>
      </c>
    </row>
    <row r="92">
      <c r="A92" s="7">
        <f>IFERROR(__xludf.DUMMYFUNCTION("""COMPUTED_VALUE"""),45835.64583333333)</f>
        <v>45835.64583</v>
      </c>
      <c r="B92" s="6">
        <f>IFERROR(__xludf.DUMMYFUNCTION("""COMPUTED_VALUE"""),225.0)</f>
        <v>225</v>
      </c>
      <c r="C92" s="6">
        <f>IFERROR(__xludf.DUMMYFUNCTION("""COMPUTED_VALUE"""),242.9)</f>
        <v>242.9</v>
      </c>
      <c r="D92" s="6">
        <f>IFERROR(__xludf.DUMMYFUNCTION("""COMPUTED_VALUE"""),224.2)</f>
        <v>224.2</v>
      </c>
      <c r="E92" s="6">
        <f>IFERROR(__xludf.DUMMYFUNCTION("""COMPUTED_VALUE"""),236.04)</f>
        <v>236.04</v>
      </c>
      <c r="F92" s="6">
        <f>IFERROR(__xludf.DUMMYFUNCTION("""COMPUTED_VALUE"""),3.577463E7)</f>
        <v>35774630</v>
      </c>
    </row>
    <row r="93">
      <c r="A93" s="7">
        <f>IFERROR(__xludf.DUMMYFUNCTION("""COMPUTED_VALUE"""),45842.64583333333)</f>
        <v>45842.64583</v>
      </c>
      <c r="B93" s="6">
        <f>IFERROR(__xludf.DUMMYFUNCTION("""COMPUTED_VALUE"""),236.85)</f>
        <v>236.85</v>
      </c>
      <c r="C93" s="6">
        <f>IFERROR(__xludf.DUMMYFUNCTION("""COMPUTED_VALUE"""),242.56)</f>
        <v>242.56</v>
      </c>
      <c r="D93" s="6">
        <f>IFERROR(__xludf.DUMMYFUNCTION("""COMPUTED_VALUE"""),229.55)</f>
        <v>229.55</v>
      </c>
      <c r="E93" s="6">
        <f>IFERROR(__xludf.DUMMYFUNCTION("""COMPUTED_VALUE"""),231.42)</f>
        <v>231.42</v>
      </c>
      <c r="F93" s="6">
        <f>IFERROR(__xludf.DUMMYFUNCTION("""COMPUTED_VALUE"""),2.1007063E7)</f>
        <v>21007063</v>
      </c>
    </row>
    <row r="94">
      <c r="A94" s="7">
        <f>IFERROR(__xludf.DUMMYFUNCTION("""COMPUTED_VALUE"""),45849.64583333333)</f>
        <v>45849.64583</v>
      </c>
      <c r="B94" s="6">
        <f>IFERROR(__xludf.DUMMYFUNCTION("""COMPUTED_VALUE"""),230.5)</f>
        <v>230.5</v>
      </c>
      <c r="C94" s="6">
        <f>IFERROR(__xludf.DUMMYFUNCTION("""COMPUTED_VALUE"""),233.49)</f>
        <v>233.49</v>
      </c>
      <c r="D94" s="6">
        <f>IFERROR(__xludf.DUMMYFUNCTION("""COMPUTED_VALUE"""),224.01)</f>
        <v>224.01</v>
      </c>
      <c r="E94" s="6">
        <f>IFERROR(__xludf.DUMMYFUNCTION("""COMPUTED_VALUE"""),230.71)</f>
        <v>230.71</v>
      </c>
      <c r="F94" s="6">
        <f>IFERROR(__xludf.DUMMYFUNCTION("""COMPUTED_VALUE"""),1.7182812E7)</f>
        <v>17182812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IFERROR(__xludf.DUMMYFUNCTION("""COMPUTED_VALUE"""),232.0)</f>
        <v>232</v>
      </c>
      <c r="C95" s="6">
        <f>IFERROR(__xludf.DUMMYFUNCTION("""COMPUTED_VALUE"""),235.88)</f>
        <v>235.88</v>
      </c>
      <c r="D95" s="6">
        <f>IFERROR(__xludf.DUMMYFUNCTION("""COMPUTED_VALUE"""),225.65)</f>
        <v>225.65</v>
      </c>
      <c r="E95" s="6">
        <f>IFERROR(__xludf.DUMMYFUNCTION("""COMPUTED_VALUE"""),226.15)</f>
        <v>226.15</v>
      </c>
      <c r="F95" s="6">
        <f>IFERROR(__xludf.DUMMYFUNCTION("""COMPUTED_VALUE"""),1.5627478E7)</f>
        <v>15627478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IFERROR(__xludf.DUMMYFUNCTION("""COMPUTED_VALUE"""),226.14)</f>
        <v>226.14</v>
      </c>
      <c r="C96" s="6">
        <f>IFERROR(__xludf.DUMMYFUNCTION("""COMPUTED_VALUE"""),229.45)</f>
        <v>229.45</v>
      </c>
      <c r="D96" s="6">
        <f>IFERROR(__xludf.DUMMYFUNCTION("""COMPUTED_VALUE"""),217.8)</f>
        <v>217.8</v>
      </c>
      <c r="E96" s="6">
        <f>IFERROR(__xludf.DUMMYFUNCTION("""COMPUTED_VALUE"""),218.64)</f>
        <v>218.64</v>
      </c>
      <c r="F96" s="6">
        <f>IFERROR(__xludf.DUMMYFUNCTION("""COMPUTED_VALUE"""),1.3008054E7)</f>
        <v>13008054</v>
      </c>
    </row>
    <row r="97">
      <c r="A97" s="7">
        <f>IFERROR(__xludf.DUMMYFUNCTION("""COMPUTED_VALUE"""),45870.64583333333)</f>
        <v>45870.64583</v>
      </c>
      <c r="B97" s="6">
        <f>IFERROR(__xludf.DUMMYFUNCTION("""COMPUTED_VALUE"""),217.95)</f>
        <v>217.95</v>
      </c>
      <c r="C97" s="6">
        <f>IFERROR(__xludf.DUMMYFUNCTION("""COMPUTED_VALUE"""),221.9)</f>
        <v>221.9</v>
      </c>
      <c r="D97" s="6">
        <f>IFERROR(__xludf.DUMMYFUNCTION("""COMPUTED_VALUE"""),209.35)</f>
        <v>209.35</v>
      </c>
      <c r="E97" s="6">
        <f>IFERROR(__xludf.DUMMYFUNCTION("""COMPUTED_VALUE"""),210.43)</f>
        <v>210.43</v>
      </c>
      <c r="F97" s="6">
        <f>IFERROR(__xludf.DUMMYFUNCTION("""COMPUTED_VALUE"""),1.4891842E7)</f>
        <v>14891842</v>
      </c>
    </row>
    <row r="98">
      <c r="A98" s="7">
        <f>IFERROR(__xludf.DUMMYFUNCTION("""COMPUTED_VALUE"""),45877.64583333333)</f>
        <v>45877.64583</v>
      </c>
      <c r="B98" s="6">
        <f>IFERROR(__xludf.DUMMYFUNCTION("""COMPUTED_VALUE"""),210.5)</f>
        <v>210.5</v>
      </c>
      <c r="C98" s="6">
        <f>IFERROR(__xludf.DUMMYFUNCTION("""COMPUTED_VALUE"""),219.9)</f>
        <v>219.9</v>
      </c>
      <c r="D98" s="6">
        <f>IFERROR(__xludf.DUMMYFUNCTION("""COMPUTED_VALUE"""),205.7)</f>
        <v>205.7</v>
      </c>
      <c r="E98" s="6">
        <f>IFERROR(__xludf.DUMMYFUNCTION("""COMPUTED_VALUE"""),207.63)</f>
        <v>207.63</v>
      </c>
      <c r="F98" s="6">
        <f>IFERROR(__xludf.DUMMYFUNCTION("""COMPUTED_VALUE"""),2.3951184E7)</f>
        <v>23951184</v>
      </c>
    </row>
    <row r="99">
      <c r="A99" s="7">
        <f>IFERROR(__xludf.DUMMYFUNCTION("""COMPUTED_VALUE"""),45883.64583333333)</f>
        <v>45883.64583</v>
      </c>
      <c r="B99" s="6">
        <f>IFERROR(__xludf.DUMMYFUNCTION("""COMPUTED_VALUE"""),208.09)</f>
        <v>208.09</v>
      </c>
      <c r="C99" s="6">
        <f>IFERROR(__xludf.DUMMYFUNCTION("""COMPUTED_VALUE"""),214.25)</f>
        <v>214.25</v>
      </c>
      <c r="D99" s="6">
        <f>IFERROR(__xludf.DUMMYFUNCTION("""COMPUTED_VALUE"""),206.7)</f>
        <v>206.7</v>
      </c>
      <c r="E99" s="6">
        <f>IFERROR(__xludf.DUMMYFUNCTION("""COMPUTED_VALUE"""),209.0)</f>
        <v>209</v>
      </c>
      <c r="F99" s="6">
        <f>IFERROR(__xludf.DUMMYFUNCTION("""COMPUTED_VALUE"""),1.0374273E7)</f>
        <v>10374273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IFERROR(__xludf.DUMMYFUNCTION("""COMPUTED_VALUE"""),211.9)</f>
        <v>211.9</v>
      </c>
      <c r="C100" s="6">
        <f>IFERROR(__xludf.DUMMYFUNCTION("""COMPUTED_VALUE"""),216.43)</f>
        <v>216.43</v>
      </c>
      <c r="D100" s="6">
        <f>IFERROR(__xludf.DUMMYFUNCTION("""COMPUTED_VALUE"""),209.2)</f>
        <v>209.2</v>
      </c>
      <c r="E100" s="6">
        <f>IFERROR(__xludf.DUMMYFUNCTION("""COMPUTED_VALUE"""),211.84)</f>
        <v>211.84</v>
      </c>
      <c r="F100" s="6">
        <f>IFERROR(__xludf.DUMMYFUNCTION("""COMPUTED_VALUE"""),1.2753988E7)</f>
        <v>12753988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IFERROR(__xludf.DUMMYFUNCTION("""COMPUTED_VALUE"""),212.75)</f>
        <v>212.75</v>
      </c>
      <c r="C101" s="6">
        <f>IFERROR(__xludf.DUMMYFUNCTION("""COMPUTED_VALUE"""),213.82)</f>
        <v>213.82</v>
      </c>
      <c r="D101" s="6">
        <f>IFERROR(__xludf.DUMMYFUNCTION("""COMPUTED_VALUE"""),207.2)</f>
        <v>207.2</v>
      </c>
      <c r="E101" s="6">
        <f>IFERROR(__xludf.DUMMYFUNCTION("""COMPUTED_VALUE"""),207.88)</f>
        <v>207.88</v>
      </c>
      <c r="F101" s="6">
        <f>IFERROR(__xludf.DUMMYFUNCTION("""COMPUTED_VALUE"""),3.5246061E7)</f>
        <v>35246061</v>
      </c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IFERROR(__xludf.DUMMYFUNCTION("GOOGLEFINANCE(""NSE:HYUNDAI"",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IFERROR(__xludf.DUMMYFUNCTION("""COMPUTED_VALUE"""),45590.64583333333)</f>
        <v>45590.64583</v>
      </c>
      <c r="B2" s="6">
        <f>IFERROR(__xludf.DUMMYFUNCTION("""COMPUTED_VALUE"""),1934.0)</f>
        <v>1934</v>
      </c>
      <c r="C2" s="6">
        <f>IFERROR(__xludf.DUMMYFUNCTION("""COMPUTED_VALUE"""),1970.0)</f>
        <v>1970</v>
      </c>
      <c r="D2" s="6">
        <f>IFERROR(__xludf.DUMMYFUNCTION("""COMPUTED_VALUE"""),1783.0)</f>
        <v>1783</v>
      </c>
      <c r="E2" s="6">
        <f>IFERROR(__xludf.DUMMYFUNCTION("""COMPUTED_VALUE"""),1843.75)</f>
        <v>1843.75</v>
      </c>
      <c r="F2" s="6">
        <f>IFERROR(__xludf.DUMMYFUNCTION("""COMPUTED_VALUE"""),4.2840489E7)</f>
        <v>42840489</v>
      </c>
    </row>
    <row r="3">
      <c r="A3" s="7">
        <f>IFERROR(__xludf.DUMMYFUNCTION("""COMPUTED_VALUE"""),45604.64583333333)</f>
        <v>45604.64583</v>
      </c>
      <c r="B3" s="6">
        <f>IFERROR(__xludf.DUMMYFUNCTION("""COMPUTED_VALUE"""),1832.25)</f>
        <v>1832.25</v>
      </c>
      <c r="C3" s="6">
        <f>IFERROR(__xludf.DUMMYFUNCTION("""COMPUTED_VALUE"""),1868.4)</f>
        <v>1868.4</v>
      </c>
      <c r="D3" s="6">
        <f>IFERROR(__xludf.DUMMYFUNCTION("""COMPUTED_VALUE"""),1796.1)</f>
        <v>1796.1</v>
      </c>
      <c r="E3" s="6">
        <f>IFERROR(__xludf.DUMMYFUNCTION("""COMPUTED_VALUE"""),1840.15)</f>
        <v>1840.15</v>
      </c>
      <c r="F3" s="6">
        <f>IFERROR(__xludf.DUMMYFUNCTION("""COMPUTED_VALUE"""),3948256.0)</f>
        <v>3948256</v>
      </c>
    </row>
    <row r="4">
      <c r="A4" s="7">
        <f>IFERROR(__xludf.DUMMYFUNCTION("""COMPUTED_VALUE"""),45610.64583333333)</f>
        <v>45610.64583</v>
      </c>
      <c r="B4" s="6">
        <f>IFERROR(__xludf.DUMMYFUNCTION("""COMPUTED_VALUE"""),1830.0)</f>
        <v>1830</v>
      </c>
      <c r="C4" s="6">
        <f>IFERROR(__xludf.DUMMYFUNCTION("""COMPUTED_VALUE"""),1865.0)</f>
        <v>1865</v>
      </c>
      <c r="D4" s="6">
        <f>IFERROR(__xludf.DUMMYFUNCTION("""COMPUTED_VALUE"""),1714.0)</f>
        <v>1714</v>
      </c>
      <c r="E4" s="6">
        <f>IFERROR(__xludf.DUMMYFUNCTION("""COMPUTED_VALUE"""),1765.75)</f>
        <v>1765.75</v>
      </c>
      <c r="F4" s="6">
        <f>IFERROR(__xludf.DUMMYFUNCTION("""COMPUTED_VALUE"""),3595810.0)</f>
        <v>3595810</v>
      </c>
    </row>
    <row r="5">
      <c r="A5" s="7">
        <f>IFERROR(__xludf.DUMMYFUNCTION("""COMPUTED_VALUE"""),45618.64583333333)</f>
        <v>45618.64583</v>
      </c>
      <c r="B5" s="6">
        <f>IFERROR(__xludf.DUMMYFUNCTION("""COMPUTED_VALUE"""),1751.9)</f>
        <v>1751.9</v>
      </c>
      <c r="C5" s="6">
        <f>IFERROR(__xludf.DUMMYFUNCTION("""COMPUTED_VALUE"""),1859.0)</f>
        <v>1859</v>
      </c>
      <c r="D5" s="6">
        <f>IFERROR(__xludf.DUMMYFUNCTION("""COMPUTED_VALUE"""),1688.5)</f>
        <v>1688.5</v>
      </c>
      <c r="E5" s="6">
        <f>IFERROR(__xludf.DUMMYFUNCTION("""COMPUTED_VALUE"""),1830.2)</f>
        <v>1830.2</v>
      </c>
      <c r="F5" s="6">
        <f>IFERROR(__xludf.DUMMYFUNCTION("""COMPUTED_VALUE"""),5032573.0)</f>
        <v>5032573</v>
      </c>
    </row>
    <row r="6">
      <c r="A6" s="7">
        <f>IFERROR(__xludf.DUMMYFUNCTION("""COMPUTED_VALUE"""),45625.64583333333)</f>
        <v>45625.64583</v>
      </c>
      <c r="B6" s="6">
        <f>IFERROR(__xludf.DUMMYFUNCTION("""COMPUTED_VALUE"""),1835.05)</f>
        <v>1835.05</v>
      </c>
      <c r="C6" s="6">
        <f>IFERROR(__xludf.DUMMYFUNCTION("""COMPUTED_VALUE"""),1939.0)</f>
        <v>1939</v>
      </c>
      <c r="D6" s="6">
        <f>IFERROR(__xludf.DUMMYFUNCTION("""COMPUTED_VALUE"""),1832.05)</f>
        <v>1832.05</v>
      </c>
      <c r="E6" s="6">
        <f>IFERROR(__xludf.DUMMYFUNCTION("""COMPUTED_VALUE"""),1916.55)</f>
        <v>1916.55</v>
      </c>
      <c r="F6" s="6">
        <f>IFERROR(__xludf.DUMMYFUNCTION("""COMPUTED_VALUE"""),4505791.0)</f>
        <v>4505791</v>
      </c>
    </row>
    <row r="7">
      <c r="A7" s="7">
        <f>IFERROR(__xludf.DUMMYFUNCTION("""COMPUTED_VALUE"""),45632.64583333333)</f>
        <v>45632.64583</v>
      </c>
      <c r="B7" s="6">
        <f>IFERROR(__xludf.DUMMYFUNCTION("""COMPUTED_VALUE"""),1875.0)</f>
        <v>1875</v>
      </c>
      <c r="C7" s="6">
        <f>IFERROR(__xludf.DUMMYFUNCTION("""COMPUTED_VALUE"""),1915.45)</f>
        <v>1915.45</v>
      </c>
      <c r="D7" s="6">
        <f>IFERROR(__xludf.DUMMYFUNCTION("""COMPUTED_VALUE"""),1825.5)</f>
        <v>1825.5</v>
      </c>
      <c r="E7" s="6">
        <f>IFERROR(__xludf.DUMMYFUNCTION("""COMPUTED_VALUE"""),1858.5)</f>
        <v>1858.5</v>
      </c>
      <c r="F7" s="6">
        <f>IFERROR(__xludf.DUMMYFUNCTION("""COMPUTED_VALUE"""),3197551.0)</f>
        <v>3197551</v>
      </c>
    </row>
    <row r="8">
      <c r="A8" s="7">
        <f>IFERROR(__xludf.DUMMYFUNCTION("""COMPUTED_VALUE"""),45639.64583333333)</f>
        <v>45639.64583</v>
      </c>
      <c r="B8" s="6">
        <f>IFERROR(__xludf.DUMMYFUNCTION("""COMPUTED_VALUE"""),1858.5)</f>
        <v>1858.5</v>
      </c>
      <c r="C8" s="6">
        <f>IFERROR(__xludf.DUMMYFUNCTION("""COMPUTED_VALUE"""),1871.0)</f>
        <v>1871</v>
      </c>
      <c r="D8" s="6">
        <f>IFERROR(__xludf.DUMMYFUNCTION("""COMPUTED_VALUE"""),1760.0)</f>
        <v>1760</v>
      </c>
      <c r="E8" s="6">
        <f>IFERROR(__xludf.DUMMYFUNCTION("""COMPUTED_VALUE"""),1772.0)</f>
        <v>1772</v>
      </c>
      <c r="F8" s="6">
        <f>IFERROR(__xludf.DUMMYFUNCTION("""COMPUTED_VALUE"""),2725970.0)</f>
        <v>2725970</v>
      </c>
    </row>
    <row r="9">
      <c r="A9" s="7">
        <f>IFERROR(__xludf.DUMMYFUNCTION("""COMPUTED_VALUE"""),45646.64583333333)</f>
        <v>45646.64583</v>
      </c>
      <c r="B9" s="6">
        <f>IFERROR(__xludf.DUMMYFUNCTION("""COMPUTED_VALUE"""),1772.0)</f>
        <v>1772</v>
      </c>
      <c r="C9" s="6">
        <f>IFERROR(__xludf.DUMMYFUNCTION("""COMPUTED_VALUE"""),1831.0)</f>
        <v>1831</v>
      </c>
      <c r="D9" s="6">
        <f>IFERROR(__xludf.DUMMYFUNCTION("""COMPUTED_VALUE"""),1758.0)</f>
        <v>1758</v>
      </c>
      <c r="E9" s="6">
        <f>IFERROR(__xludf.DUMMYFUNCTION("""COMPUTED_VALUE"""),1766.2)</f>
        <v>1766.2</v>
      </c>
      <c r="F9" s="6">
        <f>IFERROR(__xludf.DUMMYFUNCTION("""COMPUTED_VALUE"""),2144451.0)</f>
        <v>2144451</v>
      </c>
    </row>
    <row r="10">
      <c r="A10" s="7">
        <f>IFERROR(__xludf.DUMMYFUNCTION("""COMPUTED_VALUE"""),45653.64583333333)</f>
        <v>45653.64583</v>
      </c>
      <c r="B10" s="6">
        <f>IFERROR(__xludf.DUMMYFUNCTION("""COMPUTED_VALUE"""),1779.55)</f>
        <v>1779.55</v>
      </c>
      <c r="C10" s="6">
        <f>IFERROR(__xludf.DUMMYFUNCTION("""COMPUTED_VALUE"""),1805.3)</f>
        <v>1805.3</v>
      </c>
      <c r="D10" s="6">
        <f>IFERROR(__xludf.DUMMYFUNCTION("""COMPUTED_VALUE"""),1738.0)</f>
        <v>1738</v>
      </c>
      <c r="E10" s="6">
        <f>IFERROR(__xludf.DUMMYFUNCTION("""COMPUTED_VALUE"""),1792.1)</f>
        <v>1792.1</v>
      </c>
      <c r="F10" s="6">
        <f>IFERROR(__xludf.DUMMYFUNCTION("""COMPUTED_VALUE"""),1008338.0)</f>
        <v>1008338</v>
      </c>
    </row>
    <row r="11">
      <c r="A11" s="7">
        <f>IFERROR(__xludf.DUMMYFUNCTION("""COMPUTED_VALUE"""),45660.64583333333)</f>
        <v>45660.64583</v>
      </c>
      <c r="B11" s="6">
        <f>IFERROR(__xludf.DUMMYFUNCTION("""COMPUTED_VALUE"""),1781.4)</f>
        <v>1781.4</v>
      </c>
      <c r="C11" s="6">
        <f>IFERROR(__xludf.DUMMYFUNCTION("""COMPUTED_VALUE"""),1854.0)</f>
        <v>1854</v>
      </c>
      <c r="D11" s="6">
        <f>IFERROR(__xludf.DUMMYFUNCTION("""COMPUTED_VALUE"""),1776.0)</f>
        <v>1776</v>
      </c>
      <c r="E11" s="6">
        <f>IFERROR(__xludf.DUMMYFUNCTION("""COMPUTED_VALUE"""),1828.65)</f>
        <v>1828.65</v>
      </c>
      <c r="F11" s="6">
        <f>IFERROR(__xludf.DUMMYFUNCTION("""COMPUTED_VALUE"""),1443924.0)</f>
        <v>1443924</v>
      </c>
    </row>
    <row r="12">
      <c r="A12" s="7">
        <f>IFERROR(__xludf.DUMMYFUNCTION("""COMPUTED_VALUE"""),45667.64583333333)</f>
        <v>45667.64583</v>
      </c>
      <c r="B12" s="6">
        <f>IFERROR(__xludf.DUMMYFUNCTION("""COMPUTED_VALUE"""),1811.0)</f>
        <v>1811</v>
      </c>
      <c r="C12" s="6">
        <f>IFERROR(__xludf.DUMMYFUNCTION("""COMPUTED_VALUE"""),1849.0)</f>
        <v>1849</v>
      </c>
      <c r="D12" s="6">
        <f>IFERROR(__xludf.DUMMYFUNCTION("""COMPUTED_VALUE"""),1766.0)</f>
        <v>1766</v>
      </c>
      <c r="E12" s="6">
        <f>IFERROR(__xludf.DUMMYFUNCTION("""COMPUTED_VALUE"""),1787.6)</f>
        <v>1787.6</v>
      </c>
      <c r="F12" s="6">
        <f>IFERROR(__xludf.DUMMYFUNCTION("""COMPUTED_VALUE"""),2599568.0)</f>
        <v>2599568</v>
      </c>
    </row>
    <row r="13">
      <c r="A13" s="7">
        <f>IFERROR(__xludf.DUMMYFUNCTION("""COMPUTED_VALUE"""),45674.64583333333)</f>
        <v>45674.64583</v>
      </c>
      <c r="B13" s="6">
        <f>IFERROR(__xludf.DUMMYFUNCTION("""COMPUTED_VALUE"""),1768.4)</f>
        <v>1768.4</v>
      </c>
      <c r="C13" s="6">
        <f>IFERROR(__xludf.DUMMYFUNCTION("""COMPUTED_VALUE"""),1824.9)</f>
        <v>1824.9</v>
      </c>
      <c r="D13" s="6">
        <f>IFERROR(__xludf.DUMMYFUNCTION("""COMPUTED_VALUE"""),1738.0)</f>
        <v>1738</v>
      </c>
      <c r="E13" s="6">
        <f>IFERROR(__xludf.DUMMYFUNCTION("""COMPUTED_VALUE"""),1789.1)</f>
        <v>1789.1</v>
      </c>
      <c r="F13" s="6">
        <f>IFERROR(__xludf.DUMMYFUNCTION("""COMPUTED_VALUE"""),4318302.0)</f>
        <v>4318302</v>
      </c>
    </row>
    <row r="14">
      <c r="A14" s="7">
        <f>IFERROR(__xludf.DUMMYFUNCTION("""COMPUTED_VALUE"""),45681.64583333333)</f>
        <v>45681.64583</v>
      </c>
      <c r="B14" s="6">
        <f>IFERROR(__xludf.DUMMYFUNCTION("""COMPUTED_VALUE"""),1789.2)</f>
        <v>1789.2</v>
      </c>
      <c r="C14" s="6">
        <f>IFERROR(__xludf.DUMMYFUNCTION("""COMPUTED_VALUE"""),1801.15)</f>
        <v>1801.15</v>
      </c>
      <c r="D14" s="6">
        <f>IFERROR(__xludf.DUMMYFUNCTION("""COMPUTED_VALUE"""),1684.85)</f>
        <v>1684.85</v>
      </c>
      <c r="E14" s="6">
        <f>IFERROR(__xludf.DUMMYFUNCTION("""COMPUTED_VALUE"""),1705.3)</f>
        <v>1705.3</v>
      </c>
      <c r="F14" s="6">
        <f>IFERROR(__xludf.DUMMYFUNCTION("""COMPUTED_VALUE"""),4837809.0)</f>
        <v>4837809</v>
      </c>
    </row>
    <row r="15">
      <c r="A15" s="7">
        <f>IFERROR(__xludf.DUMMYFUNCTION("""COMPUTED_VALUE"""),45695.64583333333)</f>
        <v>45695.64583</v>
      </c>
      <c r="B15" s="6">
        <f>IFERROR(__xludf.DUMMYFUNCTION("""COMPUTED_VALUE"""),1750.85)</f>
        <v>1750.85</v>
      </c>
      <c r="C15" s="6">
        <f>IFERROR(__xludf.DUMMYFUNCTION("""COMPUTED_VALUE"""),1929.0)</f>
        <v>1929</v>
      </c>
      <c r="D15" s="6">
        <f>IFERROR(__xludf.DUMMYFUNCTION("""COMPUTED_VALUE"""),1741.3)</f>
        <v>1741.3</v>
      </c>
      <c r="E15" s="6">
        <f>IFERROR(__xludf.DUMMYFUNCTION("""COMPUTED_VALUE"""),1898.2)</f>
        <v>1898.2</v>
      </c>
      <c r="F15" s="6">
        <f>IFERROR(__xludf.DUMMYFUNCTION("""COMPUTED_VALUE"""),9135354.0)</f>
        <v>9135354</v>
      </c>
    </row>
    <row r="16">
      <c r="A16" s="7">
        <f>IFERROR(__xludf.DUMMYFUNCTION("""COMPUTED_VALUE"""),45702.64583333333)</f>
        <v>45702.64583</v>
      </c>
      <c r="B16" s="6">
        <f>IFERROR(__xludf.DUMMYFUNCTION("""COMPUTED_VALUE"""),1887.5)</f>
        <v>1887.5</v>
      </c>
      <c r="C16" s="6">
        <f>IFERROR(__xludf.DUMMYFUNCTION("""COMPUTED_VALUE"""),1898.05)</f>
        <v>1898.05</v>
      </c>
      <c r="D16" s="6">
        <f>IFERROR(__xludf.DUMMYFUNCTION("""COMPUTED_VALUE"""),1788.8)</f>
        <v>1788.8</v>
      </c>
      <c r="E16" s="6">
        <f>IFERROR(__xludf.DUMMYFUNCTION("""COMPUTED_VALUE"""),1806.3)</f>
        <v>1806.3</v>
      </c>
      <c r="F16" s="6">
        <f>IFERROR(__xludf.DUMMYFUNCTION("""COMPUTED_VALUE"""),7387105.0)</f>
        <v>7387105</v>
      </c>
    </row>
    <row r="17">
      <c r="A17" s="7">
        <f>IFERROR(__xludf.DUMMYFUNCTION("""COMPUTED_VALUE"""),45709.64583333333)</f>
        <v>45709.64583</v>
      </c>
      <c r="B17" s="6">
        <f>IFERROR(__xludf.DUMMYFUNCTION("""COMPUTED_VALUE"""),1805.0)</f>
        <v>1805</v>
      </c>
      <c r="C17" s="6">
        <f>IFERROR(__xludf.DUMMYFUNCTION("""COMPUTED_VALUE"""),1890.3)</f>
        <v>1890.3</v>
      </c>
      <c r="D17" s="6">
        <f>IFERROR(__xludf.DUMMYFUNCTION("""COMPUTED_VALUE"""),1758.1)</f>
        <v>1758.1</v>
      </c>
      <c r="E17" s="6">
        <f>IFERROR(__xludf.DUMMYFUNCTION("""COMPUTED_VALUE"""),1797.9)</f>
        <v>1797.9</v>
      </c>
      <c r="F17" s="6">
        <f>IFERROR(__xludf.DUMMYFUNCTION("""COMPUTED_VALUE"""),6791367.0)</f>
        <v>6791367</v>
      </c>
    </row>
    <row r="18">
      <c r="A18" s="7">
        <f>IFERROR(__xludf.DUMMYFUNCTION("""COMPUTED_VALUE"""),45716.64583333333)</f>
        <v>45716.64583</v>
      </c>
      <c r="B18" s="6">
        <f>IFERROR(__xludf.DUMMYFUNCTION("""COMPUTED_VALUE"""),1793.0)</f>
        <v>1793</v>
      </c>
      <c r="C18" s="6">
        <f>IFERROR(__xludf.DUMMYFUNCTION("""COMPUTED_VALUE"""),1839.7)</f>
        <v>1839.7</v>
      </c>
      <c r="D18" s="6">
        <f>IFERROR(__xludf.DUMMYFUNCTION("""COMPUTED_VALUE"""),1656.0)</f>
        <v>1656</v>
      </c>
      <c r="E18" s="6">
        <f>IFERROR(__xludf.DUMMYFUNCTION("""COMPUTED_VALUE"""),1729.9)</f>
        <v>1729.9</v>
      </c>
      <c r="F18" s="6">
        <f>IFERROR(__xludf.DUMMYFUNCTION("""COMPUTED_VALUE"""),3.2982098E7)</f>
        <v>32982098</v>
      </c>
    </row>
    <row r="19">
      <c r="A19" s="7">
        <f>IFERROR(__xludf.DUMMYFUNCTION("""COMPUTED_VALUE"""),45723.64583333333)</f>
        <v>45723.64583</v>
      </c>
      <c r="B19" s="6">
        <f>IFERROR(__xludf.DUMMYFUNCTION("""COMPUTED_VALUE"""),1681.0)</f>
        <v>1681</v>
      </c>
      <c r="C19" s="6">
        <f>IFERROR(__xludf.DUMMYFUNCTION("""COMPUTED_VALUE"""),1732.25)</f>
        <v>1732.25</v>
      </c>
      <c r="D19" s="6">
        <f>IFERROR(__xludf.DUMMYFUNCTION("""COMPUTED_VALUE"""),1661.1)</f>
        <v>1661.1</v>
      </c>
      <c r="E19" s="6">
        <f>IFERROR(__xludf.DUMMYFUNCTION("""COMPUTED_VALUE"""),1715.4)</f>
        <v>1715.4</v>
      </c>
      <c r="F19" s="6">
        <f>IFERROR(__xludf.DUMMYFUNCTION("""COMPUTED_VALUE"""),3231193.0)</f>
        <v>3231193</v>
      </c>
    </row>
    <row r="20">
      <c r="A20" s="7">
        <f>IFERROR(__xludf.DUMMYFUNCTION("""COMPUTED_VALUE"""),45729.64583333333)</f>
        <v>45729.64583</v>
      </c>
      <c r="B20" s="6">
        <f>IFERROR(__xludf.DUMMYFUNCTION("""COMPUTED_VALUE"""),1709.0)</f>
        <v>1709</v>
      </c>
      <c r="C20" s="6">
        <f>IFERROR(__xludf.DUMMYFUNCTION("""COMPUTED_VALUE"""),1712.0)</f>
        <v>1712</v>
      </c>
      <c r="D20" s="6">
        <f>IFERROR(__xludf.DUMMYFUNCTION("""COMPUTED_VALUE"""),1637.0)</f>
        <v>1637</v>
      </c>
      <c r="E20" s="6">
        <f>IFERROR(__xludf.DUMMYFUNCTION("""COMPUTED_VALUE"""),1644.45)</f>
        <v>1644.45</v>
      </c>
      <c r="F20" s="6">
        <f>IFERROR(__xludf.DUMMYFUNCTION("""COMPUTED_VALUE"""),2127153.0)</f>
        <v>2127153</v>
      </c>
    </row>
    <row r="21">
      <c r="A21" s="7">
        <f>IFERROR(__xludf.DUMMYFUNCTION("""COMPUTED_VALUE"""),45737.64583333333)</f>
        <v>45737.64583</v>
      </c>
      <c r="B21" s="6">
        <f>IFERROR(__xludf.DUMMYFUNCTION("""COMPUTED_VALUE"""),1644.95)</f>
        <v>1644.95</v>
      </c>
      <c r="C21" s="6">
        <f>IFERROR(__xludf.DUMMYFUNCTION("""COMPUTED_VALUE"""),1708.4)</f>
        <v>1708.4</v>
      </c>
      <c r="D21" s="6">
        <f>IFERROR(__xludf.DUMMYFUNCTION("""COMPUTED_VALUE"""),1551.3)</f>
        <v>1551.3</v>
      </c>
      <c r="E21" s="6">
        <f>IFERROR(__xludf.DUMMYFUNCTION("""COMPUTED_VALUE"""),1697.6)</f>
        <v>1697.6</v>
      </c>
      <c r="F21" s="6">
        <f>IFERROR(__xludf.DUMMYFUNCTION("""COMPUTED_VALUE"""),7069029.0)</f>
        <v>7069029</v>
      </c>
    </row>
    <row r="22">
      <c r="A22" s="7">
        <f>IFERROR(__xludf.DUMMYFUNCTION("""COMPUTED_VALUE"""),45744.64583333333)</f>
        <v>45744.64583</v>
      </c>
      <c r="B22" s="6">
        <f>IFERROR(__xludf.DUMMYFUNCTION("""COMPUTED_VALUE"""),1701.6)</f>
        <v>1701.6</v>
      </c>
      <c r="C22" s="6">
        <f>IFERROR(__xludf.DUMMYFUNCTION("""COMPUTED_VALUE"""),1819.0)</f>
        <v>1819</v>
      </c>
      <c r="D22" s="6">
        <f>IFERROR(__xludf.DUMMYFUNCTION("""COMPUTED_VALUE"""),1680.05)</f>
        <v>1680.05</v>
      </c>
      <c r="E22" s="6">
        <f>IFERROR(__xludf.DUMMYFUNCTION("""COMPUTED_VALUE"""),1707.65)</f>
        <v>1707.65</v>
      </c>
      <c r="F22" s="6">
        <f>IFERROR(__xludf.DUMMYFUNCTION("""COMPUTED_VALUE"""),6562551.0)</f>
        <v>6562551</v>
      </c>
    </row>
    <row r="23">
      <c r="A23" s="7">
        <f>IFERROR(__xludf.DUMMYFUNCTION("""COMPUTED_VALUE"""),45751.64583333333)</f>
        <v>45751.64583</v>
      </c>
      <c r="B23" s="6">
        <f>IFERROR(__xludf.DUMMYFUNCTION("""COMPUTED_VALUE"""),1706.8)</f>
        <v>1706.8</v>
      </c>
      <c r="C23" s="6">
        <f>IFERROR(__xludf.DUMMYFUNCTION("""COMPUTED_VALUE"""),1733.55)</f>
        <v>1733.55</v>
      </c>
      <c r="D23" s="6">
        <f>IFERROR(__xludf.DUMMYFUNCTION("""COMPUTED_VALUE"""),1625.0)</f>
        <v>1625</v>
      </c>
      <c r="E23" s="6">
        <f>IFERROR(__xludf.DUMMYFUNCTION("""COMPUTED_VALUE"""),1639.0)</f>
        <v>1639</v>
      </c>
      <c r="F23" s="6">
        <f>IFERROR(__xludf.DUMMYFUNCTION("""COMPUTED_VALUE"""),2770399.0)</f>
        <v>2770399</v>
      </c>
    </row>
    <row r="24">
      <c r="A24" s="7">
        <f>IFERROR(__xludf.DUMMYFUNCTION("""COMPUTED_VALUE"""),45758.64583333333)</f>
        <v>45758.64583</v>
      </c>
      <c r="B24" s="6">
        <f>IFERROR(__xludf.DUMMYFUNCTION("""COMPUTED_VALUE"""),1567.55)</f>
        <v>1567.55</v>
      </c>
      <c r="C24" s="6">
        <f>IFERROR(__xludf.DUMMYFUNCTION("""COMPUTED_VALUE"""),1639.9)</f>
        <v>1639.9</v>
      </c>
      <c r="D24" s="6">
        <f>IFERROR(__xludf.DUMMYFUNCTION("""COMPUTED_VALUE"""),1541.7)</f>
        <v>1541.7</v>
      </c>
      <c r="E24" s="6">
        <f>IFERROR(__xludf.DUMMYFUNCTION("""COMPUTED_VALUE"""),1629.8)</f>
        <v>1629.8</v>
      </c>
      <c r="F24" s="6">
        <f>IFERROR(__xludf.DUMMYFUNCTION("""COMPUTED_VALUE"""),3007240.0)</f>
        <v>3007240</v>
      </c>
    </row>
    <row r="25">
      <c r="A25" s="7">
        <f>IFERROR(__xludf.DUMMYFUNCTION("""COMPUTED_VALUE"""),45764.64583333333)</f>
        <v>45764.64583</v>
      </c>
      <c r="B25" s="6">
        <f>IFERROR(__xludf.DUMMYFUNCTION("""COMPUTED_VALUE"""),1641.3)</f>
        <v>1641.3</v>
      </c>
      <c r="C25" s="6">
        <f>IFERROR(__xludf.DUMMYFUNCTION("""COMPUTED_VALUE"""),1699.9)</f>
        <v>1699.9</v>
      </c>
      <c r="D25" s="6">
        <f>IFERROR(__xludf.DUMMYFUNCTION("""COMPUTED_VALUE"""),1631.3)</f>
        <v>1631.3</v>
      </c>
      <c r="E25" s="6">
        <f>IFERROR(__xludf.DUMMYFUNCTION("""COMPUTED_VALUE"""),1661.7)</f>
        <v>1661.7</v>
      </c>
      <c r="F25" s="6">
        <f>IFERROR(__xludf.DUMMYFUNCTION("""COMPUTED_VALUE"""),3491352.0)</f>
        <v>3491352</v>
      </c>
    </row>
    <row r="26">
      <c r="A26" s="7">
        <f>IFERROR(__xludf.DUMMYFUNCTION("""COMPUTED_VALUE"""),45772.64583333333)</f>
        <v>45772.64583</v>
      </c>
      <c r="B26" s="6">
        <f>IFERROR(__xludf.DUMMYFUNCTION("""COMPUTED_VALUE"""),1650.0)</f>
        <v>1650</v>
      </c>
      <c r="C26" s="6">
        <f>IFERROR(__xludf.DUMMYFUNCTION("""COMPUTED_VALUE"""),1730.3)</f>
        <v>1730.3</v>
      </c>
      <c r="D26" s="6">
        <f>IFERROR(__xludf.DUMMYFUNCTION("""COMPUTED_VALUE"""),1647.1)</f>
        <v>1647.1</v>
      </c>
      <c r="E26" s="6">
        <f>IFERROR(__xludf.DUMMYFUNCTION("""COMPUTED_VALUE"""),1667.7)</f>
        <v>1667.7</v>
      </c>
      <c r="F26" s="6">
        <f>IFERROR(__xludf.DUMMYFUNCTION("""COMPUTED_VALUE"""),5275160.0)</f>
        <v>5275160</v>
      </c>
    </row>
    <row r="27">
      <c r="A27" s="7">
        <f>IFERROR(__xludf.DUMMYFUNCTION("""COMPUTED_VALUE"""),45779.64583333333)</f>
        <v>45779.64583</v>
      </c>
      <c r="B27" s="6">
        <f>IFERROR(__xludf.DUMMYFUNCTION("""COMPUTED_VALUE"""),1651.0)</f>
        <v>1651</v>
      </c>
      <c r="C27" s="6">
        <f>IFERROR(__xludf.DUMMYFUNCTION("""COMPUTED_VALUE"""),1715.4)</f>
        <v>1715.4</v>
      </c>
      <c r="D27" s="6">
        <f>IFERROR(__xludf.DUMMYFUNCTION("""COMPUTED_VALUE"""),1635.8)</f>
        <v>1635.8</v>
      </c>
      <c r="E27" s="6">
        <f>IFERROR(__xludf.DUMMYFUNCTION("""COMPUTED_VALUE"""),1719.2)</f>
        <v>1719.2</v>
      </c>
      <c r="F27" s="6">
        <f>IFERROR(__xludf.DUMMYFUNCTION("""COMPUTED_VALUE"""),3055107.0)</f>
        <v>3055107</v>
      </c>
    </row>
    <row r="28">
      <c r="A28" s="7">
        <f>IFERROR(__xludf.DUMMYFUNCTION("""COMPUTED_VALUE"""),45786.64583333333)</f>
        <v>45786.64583</v>
      </c>
      <c r="B28" s="6">
        <f>IFERROR(__xludf.DUMMYFUNCTION("""COMPUTED_VALUE"""),1719.0)</f>
        <v>1719</v>
      </c>
      <c r="C28" s="6">
        <f>IFERROR(__xludf.DUMMYFUNCTION("""COMPUTED_VALUE"""),1784.4)</f>
        <v>1784.4</v>
      </c>
      <c r="D28" s="6">
        <f>IFERROR(__xludf.DUMMYFUNCTION("""COMPUTED_VALUE"""),1690.0)</f>
        <v>1690</v>
      </c>
      <c r="E28" s="6">
        <f>IFERROR(__xludf.DUMMYFUNCTION("""COMPUTED_VALUE"""),1734.1)</f>
        <v>1734.1</v>
      </c>
      <c r="F28" s="6">
        <f>IFERROR(__xludf.DUMMYFUNCTION("""COMPUTED_VALUE"""),2488262.0)</f>
        <v>2488262</v>
      </c>
    </row>
    <row r="29">
      <c r="A29" s="7">
        <f>IFERROR(__xludf.DUMMYFUNCTION("""COMPUTED_VALUE"""),45793.64583333333)</f>
        <v>45793.64583</v>
      </c>
      <c r="B29" s="6">
        <f>IFERROR(__xludf.DUMMYFUNCTION("""COMPUTED_VALUE"""),1750.4)</f>
        <v>1750.4</v>
      </c>
      <c r="C29" s="6">
        <f>IFERROR(__xludf.DUMMYFUNCTION("""COMPUTED_VALUE"""),1874.0)</f>
        <v>1874</v>
      </c>
      <c r="D29" s="6">
        <f>IFERROR(__xludf.DUMMYFUNCTION("""COMPUTED_VALUE"""),1742.3)</f>
        <v>1742.3</v>
      </c>
      <c r="E29" s="6">
        <f>IFERROR(__xludf.DUMMYFUNCTION("""COMPUTED_VALUE"""),1855.6)</f>
        <v>1855.6</v>
      </c>
      <c r="F29" s="6">
        <f>IFERROR(__xludf.DUMMYFUNCTION("""COMPUTED_VALUE"""),3230281.0)</f>
        <v>3230281</v>
      </c>
    </row>
    <row r="30">
      <c r="A30" s="7">
        <f>IFERROR(__xludf.DUMMYFUNCTION("""COMPUTED_VALUE"""),45800.64583333333)</f>
        <v>45800.64583</v>
      </c>
      <c r="B30" s="6">
        <f>IFERROR(__xludf.DUMMYFUNCTION("""COMPUTED_VALUE"""),1865.0)</f>
        <v>1865</v>
      </c>
      <c r="C30" s="6">
        <f>IFERROR(__xludf.DUMMYFUNCTION("""COMPUTED_VALUE"""),1916.9)</f>
        <v>1916.9</v>
      </c>
      <c r="D30" s="6">
        <f>IFERROR(__xludf.DUMMYFUNCTION("""COMPUTED_VALUE"""),1830.0)</f>
        <v>1830</v>
      </c>
      <c r="E30" s="6">
        <f>IFERROR(__xludf.DUMMYFUNCTION("""COMPUTED_VALUE"""),1882.1)</f>
        <v>1882.1</v>
      </c>
      <c r="F30" s="6">
        <f>IFERROR(__xludf.DUMMYFUNCTION("""COMPUTED_VALUE"""),4081880.0)</f>
        <v>4081880</v>
      </c>
    </row>
    <row r="31">
      <c r="A31" s="7">
        <f>IFERROR(__xludf.DUMMYFUNCTION("""COMPUTED_VALUE"""),45807.64583333333)</f>
        <v>45807.64583</v>
      </c>
      <c r="B31" s="6">
        <f>IFERROR(__xludf.DUMMYFUNCTION("""COMPUTED_VALUE"""),1891.0)</f>
        <v>1891</v>
      </c>
      <c r="C31" s="6">
        <f>IFERROR(__xludf.DUMMYFUNCTION("""COMPUTED_VALUE"""),1912.5)</f>
        <v>1912.5</v>
      </c>
      <c r="D31" s="6">
        <f>IFERROR(__xludf.DUMMYFUNCTION("""COMPUTED_VALUE"""),1803.7)</f>
        <v>1803.7</v>
      </c>
      <c r="E31" s="6">
        <f>IFERROR(__xludf.DUMMYFUNCTION("""COMPUTED_VALUE"""),1847.2)</f>
        <v>1847.2</v>
      </c>
      <c r="F31" s="6">
        <f>IFERROR(__xludf.DUMMYFUNCTION("""COMPUTED_VALUE"""),5425908.0)</f>
        <v>5425908</v>
      </c>
    </row>
    <row r="32">
      <c r="A32" s="7">
        <f>IFERROR(__xludf.DUMMYFUNCTION("""COMPUTED_VALUE"""),45814.64583333333)</f>
        <v>45814.64583</v>
      </c>
      <c r="B32" s="6">
        <f>IFERROR(__xludf.DUMMYFUNCTION("""COMPUTED_VALUE"""),1847.2)</f>
        <v>1847.2</v>
      </c>
      <c r="C32" s="6">
        <f>IFERROR(__xludf.DUMMYFUNCTION("""COMPUTED_VALUE"""),1868.6)</f>
        <v>1868.6</v>
      </c>
      <c r="D32" s="6">
        <f>IFERROR(__xludf.DUMMYFUNCTION("""COMPUTED_VALUE"""),1807.1)</f>
        <v>1807.1</v>
      </c>
      <c r="E32" s="6">
        <f>IFERROR(__xludf.DUMMYFUNCTION("""COMPUTED_VALUE"""),1861.1)</f>
        <v>1861.1</v>
      </c>
      <c r="F32" s="6">
        <f>IFERROR(__xludf.DUMMYFUNCTION("""COMPUTED_VALUE"""),5286025.0)</f>
        <v>5286025</v>
      </c>
    </row>
    <row r="33">
      <c r="A33" s="7">
        <f>IFERROR(__xludf.DUMMYFUNCTION("""COMPUTED_VALUE"""),45821.64583333333)</f>
        <v>45821.64583</v>
      </c>
      <c r="B33" s="6">
        <f>IFERROR(__xludf.DUMMYFUNCTION("""COMPUTED_VALUE"""),1900.0)</f>
        <v>1900</v>
      </c>
      <c r="C33" s="6">
        <f>IFERROR(__xludf.DUMMYFUNCTION("""COMPUTED_VALUE"""),1984.8)</f>
        <v>1984.8</v>
      </c>
      <c r="D33" s="6">
        <f>IFERROR(__xludf.DUMMYFUNCTION("""COMPUTED_VALUE"""),1898.4)</f>
        <v>1898.4</v>
      </c>
      <c r="E33" s="6">
        <f>IFERROR(__xludf.DUMMYFUNCTION("""COMPUTED_VALUE"""),1941.4)</f>
        <v>1941.4</v>
      </c>
      <c r="F33" s="6">
        <f>IFERROR(__xludf.DUMMYFUNCTION("""COMPUTED_VALUE"""),4969914.0)</f>
        <v>4969914</v>
      </c>
    </row>
    <row r="34">
      <c r="A34" s="7">
        <f>IFERROR(__xludf.DUMMYFUNCTION("""COMPUTED_VALUE"""),45828.64583333333)</f>
        <v>45828.64583</v>
      </c>
      <c r="B34" s="6">
        <f>IFERROR(__xludf.DUMMYFUNCTION("""COMPUTED_VALUE"""),1951.9)</f>
        <v>1951.9</v>
      </c>
      <c r="C34" s="6">
        <f>IFERROR(__xludf.DUMMYFUNCTION("""COMPUTED_VALUE"""),2048.1)</f>
        <v>2048.1</v>
      </c>
      <c r="D34" s="6">
        <f>IFERROR(__xludf.DUMMYFUNCTION("""COMPUTED_VALUE"""),1895.0)</f>
        <v>1895</v>
      </c>
      <c r="E34" s="6">
        <f>IFERROR(__xludf.DUMMYFUNCTION("""COMPUTED_VALUE"""),2006.2)</f>
        <v>2006.2</v>
      </c>
      <c r="F34" s="6">
        <f>IFERROR(__xludf.DUMMYFUNCTION("""COMPUTED_VALUE"""),1.5605706E7)</f>
        <v>15605706</v>
      </c>
    </row>
    <row r="35">
      <c r="A35" s="7">
        <f>IFERROR(__xludf.DUMMYFUNCTION("""COMPUTED_VALUE"""),45835.64583333333)</f>
        <v>45835.64583</v>
      </c>
      <c r="B35" s="6">
        <f>IFERROR(__xludf.DUMMYFUNCTION("""COMPUTED_VALUE"""),1982.0)</f>
        <v>1982</v>
      </c>
      <c r="C35" s="6">
        <f>IFERROR(__xludf.DUMMYFUNCTION("""COMPUTED_VALUE"""),2215.0)</f>
        <v>2215</v>
      </c>
      <c r="D35" s="6">
        <f>IFERROR(__xludf.DUMMYFUNCTION("""COMPUTED_VALUE"""),1980.0)</f>
        <v>1980</v>
      </c>
      <c r="E35" s="6">
        <f>IFERROR(__xludf.DUMMYFUNCTION("""COMPUTED_VALUE"""),2191.6)</f>
        <v>2191.6</v>
      </c>
      <c r="F35" s="6">
        <f>IFERROR(__xludf.DUMMYFUNCTION("""COMPUTED_VALUE"""),7186049.0)</f>
        <v>7186049</v>
      </c>
    </row>
    <row r="36">
      <c r="A36" s="7">
        <f>IFERROR(__xludf.DUMMYFUNCTION("""COMPUTED_VALUE"""),45842.64583333333)</f>
        <v>45842.64583</v>
      </c>
      <c r="B36" s="6">
        <f>IFERROR(__xludf.DUMMYFUNCTION("""COMPUTED_VALUE"""),2148.0)</f>
        <v>2148</v>
      </c>
      <c r="C36" s="6">
        <f>IFERROR(__xludf.DUMMYFUNCTION("""COMPUTED_VALUE"""),2265.3)</f>
        <v>2265.3</v>
      </c>
      <c r="D36" s="6">
        <f>IFERROR(__xludf.DUMMYFUNCTION("""COMPUTED_VALUE"""),2054.0)</f>
        <v>2054</v>
      </c>
      <c r="E36" s="6">
        <f>IFERROR(__xludf.DUMMYFUNCTION("""COMPUTED_VALUE"""),2064.1)</f>
        <v>2064.1</v>
      </c>
      <c r="F36" s="6">
        <f>IFERROR(__xludf.DUMMYFUNCTION("""COMPUTED_VALUE"""),6168040.0)</f>
        <v>6168040</v>
      </c>
    </row>
    <row r="37">
      <c r="A37" s="7">
        <f>IFERROR(__xludf.DUMMYFUNCTION("""COMPUTED_VALUE"""),45849.64583333333)</f>
        <v>45849.64583</v>
      </c>
      <c r="B37" s="6">
        <f>IFERROR(__xludf.DUMMYFUNCTION("""COMPUTED_VALUE"""),2064.1)</f>
        <v>2064.1</v>
      </c>
      <c r="C37" s="6">
        <f>IFERROR(__xludf.DUMMYFUNCTION("""COMPUTED_VALUE"""),2156.7)</f>
        <v>2156.7</v>
      </c>
      <c r="D37" s="6">
        <f>IFERROR(__xludf.DUMMYFUNCTION("""COMPUTED_VALUE"""),2046.0)</f>
        <v>2046</v>
      </c>
      <c r="E37" s="6">
        <f>IFERROR(__xludf.DUMMYFUNCTION("""COMPUTED_VALUE"""),2103.6)</f>
        <v>2103.6</v>
      </c>
      <c r="F37" s="6">
        <f>IFERROR(__xludf.DUMMYFUNCTION("""COMPUTED_VALUE"""),2050225.0)</f>
        <v>2050225</v>
      </c>
    </row>
    <row r="38">
      <c r="A38" s="7">
        <f>IFERROR(__xludf.DUMMYFUNCTION("""COMPUTED_VALUE"""),45856.64583333333)</f>
        <v>45856.64583</v>
      </c>
      <c r="B38" s="6">
        <f>IFERROR(__xludf.DUMMYFUNCTION("""COMPUTED_VALUE"""),2119.0)</f>
        <v>2119</v>
      </c>
      <c r="C38" s="6">
        <f>IFERROR(__xludf.DUMMYFUNCTION("""COMPUTED_VALUE"""),2166.4)</f>
        <v>2166.4</v>
      </c>
      <c r="D38" s="6">
        <f>IFERROR(__xludf.DUMMYFUNCTION("""COMPUTED_VALUE"""),2088.3)</f>
        <v>2088.3</v>
      </c>
      <c r="E38" s="6">
        <f>IFERROR(__xludf.DUMMYFUNCTION("""COMPUTED_VALUE"""),2120.3)</f>
        <v>2120.3</v>
      </c>
      <c r="F38" s="6">
        <f>IFERROR(__xludf.DUMMYFUNCTION("""COMPUTED_VALUE"""),2528881.0)</f>
        <v>2528881</v>
      </c>
    </row>
    <row r="39">
      <c r="A39" s="7">
        <f>IFERROR(__xludf.DUMMYFUNCTION("""COMPUTED_VALUE"""),45863.64583333333)</f>
        <v>45863.64583</v>
      </c>
      <c r="B39" s="6">
        <f>IFERROR(__xludf.DUMMYFUNCTION("""COMPUTED_VALUE"""),2117.0)</f>
        <v>2117</v>
      </c>
      <c r="C39" s="6">
        <f>IFERROR(__xludf.DUMMYFUNCTION("""COMPUTED_VALUE"""),2142.0)</f>
        <v>2142</v>
      </c>
      <c r="D39" s="6">
        <f>IFERROR(__xludf.DUMMYFUNCTION("""COMPUTED_VALUE"""),2075.1)</f>
        <v>2075.1</v>
      </c>
      <c r="E39" s="6">
        <f>IFERROR(__xludf.DUMMYFUNCTION("""COMPUTED_VALUE"""),2099.2)</f>
        <v>2099.2</v>
      </c>
      <c r="F39" s="6">
        <f>IFERROR(__xludf.DUMMYFUNCTION("""COMPUTED_VALUE"""),1797128.0)</f>
        <v>1797128</v>
      </c>
    </row>
    <row r="40">
      <c r="A40" s="7">
        <f>IFERROR(__xludf.DUMMYFUNCTION("""COMPUTED_VALUE"""),45870.64583333333)</f>
        <v>45870.64583</v>
      </c>
      <c r="B40" s="6">
        <f>IFERROR(__xludf.DUMMYFUNCTION("""COMPUTED_VALUE"""),2080.0)</f>
        <v>2080</v>
      </c>
      <c r="C40" s="6">
        <f>IFERROR(__xludf.DUMMYFUNCTION("""COMPUTED_VALUE"""),2200.0)</f>
        <v>2200</v>
      </c>
      <c r="D40" s="6">
        <f>IFERROR(__xludf.DUMMYFUNCTION("""COMPUTED_VALUE"""),2036.0)</f>
        <v>2036</v>
      </c>
      <c r="E40" s="6">
        <f>IFERROR(__xludf.DUMMYFUNCTION("""COMPUTED_VALUE"""),2181.0)</f>
        <v>2181</v>
      </c>
      <c r="F40" s="6">
        <f>IFERROR(__xludf.DUMMYFUNCTION("""COMPUTED_VALUE"""),2512650.0)</f>
        <v>2512650</v>
      </c>
    </row>
    <row r="41">
      <c r="A41" s="7">
        <f>IFERROR(__xludf.DUMMYFUNCTION("""COMPUTED_VALUE"""),45877.64583333333)</f>
        <v>45877.64583</v>
      </c>
      <c r="B41" s="6">
        <f>IFERROR(__xludf.DUMMYFUNCTION("""COMPUTED_VALUE"""),2175.0)</f>
        <v>2175</v>
      </c>
      <c r="C41" s="6">
        <f>IFERROR(__xludf.DUMMYFUNCTION("""COMPUTED_VALUE"""),2214.9)</f>
        <v>2214.9</v>
      </c>
      <c r="D41" s="6">
        <f>IFERROR(__xludf.DUMMYFUNCTION("""COMPUTED_VALUE"""),2108.1)</f>
        <v>2108.1</v>
      </c>
      <c r="E41" s="6">
        <f>IFERROR(__xludf.DUMMYFUNCTION("""COMPUTED_VALUE"""),2120.3)</f>
        <v>2120.3</v>
      </c>
      <c r="F41" s="6">
        <f>IFERROR(__xludf.DUMMYFUNCTION("""COMPUTED_VALUE"""),1579059.0)</f>
        <v>1579059</v>
      </c>
    </row>
    <row r="42">
      <c r="A42" s="7">
        <f>IFERROR(__xludf.DUMMYFUNCTION("""COMPUTED_VALUE"""),45883.64583333333)</f>
        <v>45883.64583</v>
      </c>
      <c r="B42" s="6">
        <f>IFERROR(__xludf.DUMMYFUNCTION("""COMPUTED_VALUE"""),2125.0)</f>
        <v>2125</v>
      </c>
      <c r="C42" s="6">
        <f>IFERROR(__xludf.DUMMYFUNCTION("""COMPUTED_VALUE"""),2270.0)</f>
        <v>2270</v>
      </c>
      <c r="D42" s="6">
        <f>IFERROR(__xludf.DUMMYFUNCTION("""COMPUTED_VALUE"""),2100.1)</f>
        <v>2100.1</v>
      </c>
      <c r="E42" s="6">
        <f>IFERROR(__xludf.DUMMYFUNCTION("""COMPUTED_VALUE"""),2240.7)</f>
        <v>2240.7</v>
      </c>
      <c r="F42" s="6">
        <f>IFERROR(__xludf.DUMMYFUNCTION("""COMPUTED_VALUE"""),2443960.0)</f>
        <v>2443960</v>
      </c>
    </row>
    <row r="43">
      <c r="A43" s="7">
        <f>IFERROR(__xludf.DUMMYFUNCTION("""COMPUTED_VALUE"""),45891.64583333333)</f>
        <v>45891.64583</v>
      </c>
      <c r="B43" s="6">
        <f>IFERROR(__xludf.DUMMYFUNCTION("""COMPUTED_VALUE"""),2301.2)</f>
        <v>2301.2</v>
      </c>
      <c r="C43" s="6">
        <f>IFERROR(__xludf.DUMMYFUNCTION("""COMPUTED_VALUE"""),2624.5)</f>
        <v>2624.5</v>
      </c>
      <c r="D43" s="6">
        <f>IFERROR(__xludf.DUMMYFUNCTION("""COMPUTED_VALUE"""),2301.2)</f>
        <v>2301.2</v>
      </c>
      <c r="E43" s="6">
        <f>IFERROR(__xludf.DUMMYFUNCTION("""COMPUTED_VALUE"""),2366.6)</f>
        <v>2366.6</v>
      </c>
      <c r="F43" s="6">
        <f>IFERROR(__xludf.DUMMYFUNCTION("""COMPUTED_VALUE"""),9894287.0)</f>
        <v>9894287</v>
      </c>
    </row>
    <row r="44">
      <c r="A44" s="7">
        <f>IFERROR(__xludf.DUMMYFUNCTION("""COMPUTED_VALUE"""),45895.64583333333)</f>
        <v>45895.64583</v>
      </c>
      <c r="B44" s="6">
        <f>IFERROR(__xludf.DUMMYFUNCTION("""COMPUTED_VALUE"""),2384.0)</f>
        <v>2384</v>
      </c>
      <c r="C44" s="6">
        <f>IFERROR(__xludf.DUMMYFUNCTION("""COMPUTED_VALUE"""),2505.6)</f>
        <v>2505.6</v>
      </c>
      <c r="D44" s="6">
        <f>IFERROR(__xludf.DUMMYFUNCTION("""COMPUTED_VALUE"""),2367.0)</f>
        <v>2367</v>
      </c>
      <c r="E44" s="6">
        <f>IFERROR(__xludf.DUMMYFUNCTION("""COMPUTED_VALUE"""),2492.4)</f>
        <v>2492.4</v>
      </c>
      <c r="F44" s="6">
        <f>IFERROR(__xludf.DUMMYFUNCTION("""COMPUTED_VALUE"""),2.1971888E7)</f>
        <v>21971888</v>
      </c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IFERROR(__xludf.DUMMYFUNCTION("GOOGLEFINANCE(""NSE:ICICIBANK"",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IFERROR(__xludf.DUMMYFUNCTION("""COMPUTED_VALUE"""),969.95)</f>
        <v>969.95</v>
      </c>
      <c r="C2" s="6">
        <f>IFERROR(__xludf.DUMMYFUNCTION("""COMPUTED_VALUE"""),977.25)</f>
        <v>977.25</v>
      </c>
      <c r="D2" s="6">
        <f>IFERROR(__xludf.DUMMYFUNCTION("""COMPUTED_VALUE"""),952.8)</f>
        <v>952.8</v>
      </c>
      <c r="E2" s="6">
        <f>IFERROR(__xludf.DUMMYFUNCTION("""COMPUTED_VALUE"""),968.7)</f>
        <v>968.7</v>
      </c>
      <c r="F2" s="6">
        <f>IFERROR(__xludf.DUMMYFUNCTION("""COMPUTED_VALUE"""),9.0571199E7)</f>
        <v>90571199</v>
      </c>
    </row>
    <row r="3">
      <c r="A3" s="7">
        <f>IFERROR(__xludf.DUMMYFUNCTION("""COMPUTED_VALUE"""),45177.64583333333)</f>
        <v>45177.64583</v>
      </c>
      <c r="B3" s="6">
        <f>IFERROR(__xludf.DUMMYFUNCTION("""COMPUTED_VALUE"""),968.7)</f>
        <v>968.7</v>
      </c>
      <c r="C3" s="6">
        <f>IFERROR(__xludf.DUMMYFUNCTION("""COMPUTED_VALUE"""),975.0)</f>
        <v>975</v>
      </c>
      <c r="D3" s="6">
        <f>IFERROR(__xludf.DUMMYFUNCTION("""COMPUTED_VALUE"""),950.8)</f>
        <v>950.8</v>
      </c>
      <c r="E3" s="6">
        <f>IFERROR(__xludf.DUMMYFUNCTION("""COMPUTED_VALUE"""),970.55)</f>
        <v>970.55</v>
      </c>
      <c r="F3" s="6">
        <f>IFERROR(__xludf.DUMMYFUNCTION("""COMPUTED_VALUE"""),8.3487804E7)</f>
        <v>83487804</v>
      </c>
    </row>
    <row r="4">
      <c r="A4" s="7">
        <f>IFERROR(__xludf.DUMMYFUNCTION("""COMPUTED_VALUE"""),45184.64583333333)</f>
        <v>45184.64583</v>
      </c>
      <c r="B4" s="6">
        <f>IFERROR(__xludf.DUMMYFUNCTION("""COMPUTED_VALUE"""),974.95)</f>
        <v>974.95</v>
      </c>
      <c r="C4" s="6">
        <f>IFERROR(__xludf.DUMMYFUNCTION("""COMPUTED_VALUE"""),997.5)</f>
        <v>997.5</v>
      </c>
      <c r="D4" s="6">
        <f>IFERROR(__xludf.DUMMYFUNCTION("""COMPUTED_VALUE"""),969.35)</f>
        <v>969.35</v>
      </c>
      <c r="E4" s="6">
        <f>IFERROR(__xludf.DUMMYFUNCTION("""COMPUTED_VALUE"""),992.45)</f>
        <v>992.45</v>
      </c>
      <c r="F4" s="6">
        <f>IFERROR(__xludf.DUMMYFUNCTION("""COMPUTED_VALUE"""),7.5623422E7)</f>
        <v>75623422</v>
      </c>
    </row>
    <row r="5">
      <c r="A5" s="7">
        <f>IFERROR(__xludf.DUMMYFUNCTION("""COMPUTED_VALUE"""),45191.64583333333)</f>
        <v>45191.64583</v>
      </c>
      <c r="B5" s="6">
        <f>IFERROR(__xludf.DUMMYFUNCTION("""COMPUTED_VALUE"""),990.1)</f>
        <v>990.1</v>
      </c>
      <c r="C5" s="6">
        <f>IFERROR(__xludf.DUMMYFUNCTION("""COMPUTED_VALUE"""),996.25)</f>
        <v>996.25</v>
      </c>
      <c r="D5" s="6">
        <f>IFERROR(__xludf.DUMMYFUNCTION("""COMPUTED_VALUE"""),947.4)</f>
        <v>947.4</v>
      </c>
      <c r="E5" s="6">
        <f>IFERROR(__xludf.DUMMYFUNCTION("""COMPUTED_VALUE"""),950.3)</f>
        <v>950.3</v>
      </c>
      <c r="F5" s="6">
        <f>IFERROR(__xludf.DUMMYFUNCTION("""COMPUTED_VALUE"""),7.4899779E7)</f>
        <v>74899779</v>
      </c>
    </row>
    <row r="6">
      <c r="A6" s="7">
        <f>IFERROR(__xludf.DUMMYFUNCTION("""COMPUTED_VALUE"""),45198.64583333333)</f>
        <v>45198.64583</v>
      </c>
      <c r="B6" s="6">
        <f>IFERROR(__xludf.DUMMYFUNCTION("""COMPUTED_VALUE"""),950.3)</f>
        <v>950.3</v>
      </c>
      <c r="C6" s="6">
        <f>IFERROR(__xludf.DUMMYFUNCTION("""COMPUTED_VALUE"""),961.2)</f>
        <v>961.2</v>
      </c>
      <c r="D6" s="6">
        <f>IFERROR(__xludf.DUMMYFUNCTION("""COMPUTED_VALUE"""),934.4)</f>
        <v>934.4</v>
      </c>
      <c r="E6" s="6">
        <f>IFERROR(__xludf.DUMMYFUNCTION("""COMPUTED_VALUE"""),951.9)</f>
        <v>951.9</v>
      </c>
      <c r="F6" s="6">
        <f>IFERROR(__xludf.DUMMYFUNCTION("""COMPUTED_VALUE"""),7.1110096E7)</f>
        <v>71110096</v>
      </c>
    </row>
    <row r="7">
      <c r="A7" s="7">
        <f>IFERROR(__xludf.DUMMYFUNCTION("""COMPUTED_VALUE"""),45205.64583333333)</f>
        <v>45205.64583</v>
      </c>
      <c r="B7" s="6">
        <f>IFERROR(__xludf.DUMMYFUNCTION("""COMPUTED_VALUE"""),951.6)</f>
        <v>951.6</v>
      </c>
      <c r="C7" s="6">
        <f>IFERROR(__xludf.DUMMYFUNCTION("""COMPUTED_VALUE"""),951.6)</f>
        <v>951.6</v>
      </c>
      <c r="D7" s="6">
        <f>IFERROR(__xludf.DUMMYFUNCTION("""COMPUTED_VALUE"""),925.0)</f>
        <v>925</v>
      </c>
      <c r="E7" s="6">
        <f>IFERROR(__xludf.DUMMYFUNCTION("""COMPUTED_VALUE"""),945.2)</f>
        <v>945.2</v>
      </c>
      <c r="F7" s="6">
        <f>IFERROR(__xludf.DUMMYFUNCTION("""COMPUTED_VALUE"""),4.5300986E7)</f>
        <v>45300986</v>
      </c>
    </row>
    <row r="8">
      <c r="A8" s="7">
        <f>IFERROR(__xludf.DUMMYFUNCTION("""COMPUTED_VALUE"""),45212.64583333333)</f>
        <v>45212.64583</v>
      </c>
      <c r="B8" s="6">
        <f>IFERROR(__xludf.DUMMYFUNCTION("""COMPUTED_VALUE"""),940.25)</f>
        <v>940.25</v>
      </c>
      <c r="C8" s="6">
        <f>IFERROR(__xludf.DUMMYFUNCTION("""COMPUTED_VALUE"""),962.05)</f>
        <v>962.05</v>
      </c>
      <c r="D8" s="6">
        <f>IFERROR(__xludf.DUMMYFUNCTION("""COMPUTED_VALUE"""),936.3)</f>
        <v>936.3</v>
      </c>
      <c r="E8" s="6">
        <f>IFERROR(__xludf.DUMMYFUNCTION("""COMPUTED_VALUE"""),951.3)</f>
        <v>951.3</v>
      </c>
      <c r="F8" s="6">
        <f>IFERROR(__xludf.DUMMYFUNCTION("""COMPUTED_VALUE"""),4.4898398E7)</f>
        <v>44898398</v>
      </c>
    </row>
    <row r="9">
      <c r="A9" s="7">
        <f>IFERROR(__xludf.DUMMYFUNCTION("""COMPUTED_VALUE"""),45219.64583333333)</f>
        <v>45219.64583</v>
      </c>
      <c r="B9" s="6">
        <f>IFERROR(__xludf.DUMMYFUNCTION("""COMPUTED_VALUE"""),948.5)</f>
        <v>948.5</v>
      </c>
      <c r="C9" s="6">
        <f>IFERROR(__xludf.DUMMYFUNCTION("""COMPUTED_VALUE"""),960.95)</f>
        <v>960.95</v>
      </c>
      <c r="D9" s="6">
        <f>IFERROR(__xludf.DUMMYFUNCTION("""COMPUTED_VALUE"""),930.0)</f>
        <v>930</v>
      </c>
      <c r="E9" s="6">
        <f>IFERROR(__xludf.DUMMYFUNCTION("""COMPUTED_VALUE"""),932.75)</f>
        <v>932.75</v>
      </c>
      <c r="F9" s="6">
        <f>IFERROR(__xludf.DUMMYFUNCTION("""COMPUTED_VALUE"""),4.0709956E7)</f>
        <v>40709956</v>
      </c>
    </row>
    <row r="10">
      <c r="A10" s="7">
        <f>IFERROR(__xludf.DUMMYFUNCTION("""COMPUTED_VALUE"""),45226.64583333333)</f>
        <v>45226.64583</v>
      </c>
      <c r="B10" s="6">
        <f>IFERROR(__xludf.DUMMYFUNCTION("""COMPUTED_VALUE"""),942.0)</f>
        <v>942</v>
      </c>
      <c r="C10" s="6">
        <f>IFERROR(__xludf.DUMMYFUNCTION("""COMPUTED_VALUE"""),944.8)</f>
        <v>944.8</v>
      </c>
      <c r="D10" s="6">
        <f>IFERROR(__xludf.DUMMYFUNCTION("""COMPUTED_VALUE"""),899.0)</f>
        <v>899</v>
      </c>
      <c r="E10" s="6">
        <f>IFERROR(__xludf.DUMMYFUNCTION("""COMPUTED_VALUE"""),912.75)</f>
        <v>912.75</v>
      </c>
      <c r="F10" s="6">
        <f>IFERROR(__xludf.DUMMYFUNCTION("""COMPUTED_VALUE"""),5.4789174E7)</f>
        <v>54789174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IFERROR(__xludf.DUMMYFUNCTION("""COMPUTED_VALUE"""),909.1)</f>
        <v>909.1</v>
      </c>
      <c r="C11" s="6">
        <f>IFERROR(__xludf.DUMMYFUNCTION("""COMPUTED_VALUE"""),934.5)</f>
        <v>934.5</v>
      </c>
      <c r="D11" s="6">
        <f>IFERROR(__xludf.DUMMYFUNCTION("""COMPUTED_VALUE"""),908.2)</f>
        <v>908.2</v>
      </c>
      <c r="E11" s="6">
        <f>IFERROR(__xludf.DUMMYFUNCTION("""COMPUTED_VALUE"""),933.8)</f>
        <v>933.8</v>
      </c>
      <c r="F11" s="6">
        <f>IFERROR(__xludf.DUMMYFUNCTION("""COMPUTED_VALUE"""),5.4720373E7)</f>
        <v>54720373</v>
      </c>
    </row>
    <row r="12">
      <c r="A12" s="7">
        <f>IFERROR(__xludf.DUMMYFUNCTION("""COMPUTED_VALUE"""),45240.64583333333)</f>
        <v>45240.64583</v>
      </c>
      <c r="B12" s="6">
        <f>IFERROR(__xludf.DUMMYFUNCTION("""COMPUTED_VALUE"""),941.0)</f>
        <v>941</v>
      </c>
      <c r="C12" s="6">
        <f>IFERROR(__xludf.DUMMYFUNCTION("""COMPUTED_VALUE"""),950.45)</f>
        <v>950.45</v>
      </c>
      <c r="D12" s="6">
        <f>IFERROR(__xludf.DUMMYFUNCTION("""COMPUTED_VALUE"""),930.45)</f>
        <v>930.45</v>
      </c>
      <c r="E12" s="6">
        <f>IFERROR(__xludf.DUMMYFUNCTION("""COMPUTED_VALUE"""),938.6)</f>
        <v>938.6</v>
      </c>
      <c r="F12" s="6">
        <f>IFERROR(__xludf.DUMMYFUNCTION("""COMPUTED_VALUE"""),6.2615955E7)</f>
        <v>62615955</v>
      </c>
    </row>
    <row r="13">
      <c r="A13" s="7">
        <f>IFERROR(__xludf.DUMMYFUNCTION("""COMPUTED_VALUE"""),45247.64583333333)</f>
        <v>45247.64583</v>
      </c>
      <c r="B13" s="6">
        <f>IFERROR(__xludf.DUMMYFUNCTION("""COMPUTED_VALUE"""),942.0)</f>
        <v>942</v>
      </c>
      <c r="C13" s="6">
        <f>IFERROR(__xludf.DUMMYFUNCTION("""COMPUTED_VALUE"""),946.2)</f>
        <v>946.2</v>
      </c>
      <c r="D13" s="6">
        <f>IFERROR(__xludf.DUMMYFUNCTION("""COMPUTED_VALUE"""),920.15)</f>
        <v>920.15</v>
      </c>
      <c r="E13" s="6">
        <f>IFERROR(__xludf.DUMMYFUNCTION("""COMPUTED_VALUE"""),921.85)</f>
        <v>921.85</v>
      </c>
      <c r="F13" s="6">
        <f>IFERROR(__xludf.DUMMYFUNCTION("""COMPUTED_VALUE"""),6.3186739E7)</f>
        <v>63186739</v>
      </c>
    </row>
    <row r="14">
      <c r="A14" s="7">
        <f>IFERROR(__xludf.DUMMYFUNCTION("""COMPUTED_VALUE"""),45254.64583333333)</f>
        <v>45254.64583</v>
      </c>
      <c r="B14" s="6">
        <f>IFERROR(__xludf.DUMMYFUNCTION("""COMPUTED_VALUE"""),922.0)</f>
        <v>922</v>
      </c>
      <c r="C14" s="6">
        <f>IFERROR(__xludf.DUMMYFUNCTION("""COMPUTED_VALUE"""),930.4)</f>
        <v>930.4</v>
      </c>
      <c r="D14" s="6">
        <f>IFERROR(__xludf.DUMMYFUNCTION("""COMPUTED_VALUE"""),914.75)</f>
        <v>914.75</v>
      </c>
      <c r="E14" s="6">
        <f>IFERROR(__xludf.DUMMYFUNCTION("""COMPUTED_VALUE"""),929.4)</f>
        <v>929.4</v>
      </c>
      <c r="F14" s="6">
        <f>IFERROR(__xludf.DUMMYFUNCTION("""COMPUTED_VALUE"""),4.4736468E7)</f>
        <v>44736468</v>
      </c>
    </row>
    <row r="15">
      <c r="A15" s="7">
        <f>IFERROR(__xludf.DUMMYFUNCTION("""COMPUTED_VALUE"""),45261.64583333333)</f>
        <v>45261.64583</v>
      </c>
      <c r="B15" s="6">
        <f>IFERROR(__xludf.DUMMYFUNCTION("""COMPUTED_VALUE"""),928.9)</f>
        <v>928.9</v>
      </c>
      <c r="C15" s="6">
        <f>IFERROR(__xludf.DUMMYFUNCTION("""COMPUTED_VALUE"""),952.0)</f>
        <v>952</v>
      </c>
      <c r="D15" s="6">
        <f>IFERROR(__xludf.DUMMYFUNCTION("""COMPUTED_VALUE"""),921.7)</f>
        <v>921.7</v>
      </c>
      <c r="E15" s="6">
        <f>IFERROR(__xludf.DUMMYFUNCTION("""COMPUTED_VALUE"""),946.7)</f>
        <v>946.7</v>
      </c>
      <c r="F15" s="6">
        <f>IFERROR(__xludf.DUMMYFUNCTION("""COMPUTED_VALUE"""),6.6848403E7)</f>
        <v>66848403</v>
      </c>
    </row>
    <row r="16">
      <c r="A16" s="7">
        <f>IFERROR(__xludf.DUMMYFUNCTION("""COMPUTED_VALUE"""),45268.64583333333)</f>
        <v>45268.64583</v>
      </c>
      <c r="B16" s="6">
        <f>IFERROR(__xludf.DUMMYFUNCTION("""COMPUTED_VALUE"""),963.7)</f>
        <v>963.7</v>
      </c>
      <c r="C16" s="6">
        <f>IFERROR(__xludf.DUMMYFUNCTION("""COMPUTED_VALUE"""),1016.25)</f>
        <v>1016.25</v>
      </c>
      <c r="D16" s="6">
        <f>IFERROR(__xludf.DUMMYFUNCTION("""COMPUTED_VALUE"""),961.4)</f>
        <v>961.4</v>
      </c>
      <c r="E16" s="6">
        <f>IFERROR(__xludf.DUMMYFUNCTION("""COMPUTED_VALUE"""),1010.85)</f>
        <v>1010.85</v>
      </c>
      <c r="F16" s="6">
        <f>IFERROR(__xludf.DUMMYFUNCTION("""COMPUTED_VALUE"""),1.11254616E8)</f>
        <v>111254616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IFERROR(__xludf.DUMMYFUNCTION("""COMPUTED_VALUE"""),1007.1)</f>
        <v>1007.1</v>
      </c>
      <c r="C17" s="6">
        <f>IFERROR(__xludf.DUMMYFUNCTION("""COMPUTED_VALUE"""),1043.7)</f>
        <v>1043.7</v>
      </c>
      <c r="D17" s="6">
        <f>IFERROR(__xludf.DUMMYFUNCTION("""COMPUTED_VALUE"""),1004.65)</f>
        <v>1004.65</v>
      </c>
      <c r="E17" s="6">
        <f>IFERROR(__xludf.DUMMYFUNCTION("""COMPUTED_VALUE"""),1037.4)</f>
        <v>1037.4</v>
      </c>
      <c r="F17" s="6">
        <f>IFERROR(__xludf.DUMMYFUNCTION("""COMPUTED_VALUE"""),7.0606241E7)</f>
        <v>70606241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IFERROR(__xludf.DUMMYFUNCTION("""COMPUTED_VALUE"""),1029.95)</f>
        <v>1029.95</v>
      </c>
      <c r="C18" s="6">
        <f>IFERROR(__xludf.DUMMYFUNCTION("""COMPUTED_VALUE"""),1029.95)</f>
        <v>1029.95</v>
      </c>
      <c r="D18" s="6">
        <f>IFERROR(__xludf.DUMMYFUNCTION("""COMPUTED_VALUE"""),989.2)</f>
        <v>989.2</v>
      </c>
      <c r="E18" s="6">
        <f>IFERROR(__xludf.DUMMYFUNCTION("""COMPUTED_VALUE"""),994.3)</f>
        <v>994.3</v>
      </c>
      <c r="F18" s="6">
        <f>IFERROR(__xludf.DUMMYFUNCTION("""COMPUTED_VALUE"""),7.412414E7)</f>
        <v>74124140</v>
      </c>
    </row>
    <row r="19">
      <c r="A19" s="7">
        <f>IFERROR(__xludf.DUMMYFUNCTION("""COMPUTED_VALUE"""),45289.64583333333)</f>
        <v>45289.64583</v>
      </c>
      <c r="B19" s="6">
        <f>IFERROR(__xludf.DUMMYFUNCTION("""COMPUTED_VALUE"""),994.9)</f>
        <v>994.9</v>
      </c>
      <c r="C19" s="6">
        <f>IFERROR(__xludf.DUMMYFUNCTION("""COMPUTED_VALUE"""),1011.7)</f>
        <v>1011.7</v>
      </c>
      <c r="D19" s="6">
        <f>IFERROR(__xludf.DUMMYFUNCTION("""COMPUTED_VALUE"""),989.9)</f>
        <v>989.9</v>
      </c>
      <c r="E19" s="6">
        <f>IFERROR(__xludf.DUMMYFUNCTION("""COMPUTED_VALUE"""),996.6)</f>
        <v>996.6</v>
      </c>
      <c r="F19" s="6">
        <f>IFERROR(__xludf.DUMMYFUNCTION("""COMPUTED_VALUE"""),6.4532297E7)</f>
        <v>64532297</v>
      </c>
    </row>
    <row r="20">
      <c r="A20" s="7">
        <f>IFERROR(__xludf.DUMMYFUNCTION("""COMPUTED_VALUE"""),45296.64583333333)</f>
        <v>45296.64583</v>
      </c>
      <c r="B20" s="6">
        <f>IFERROR(__xludf.DUMMYFUNCTION("""COMPUTED_VALUE"""),991.55)</f>
        <v>991.55</v>
      </c>
      <c r="C20" s="6">
        <f>IFERROR(__xludf.DUMMYFUNCTION("""COMPUTED_VALUE"""),1004.85)</f>
        <v>1004.85</v>
      </c>
      <c r="D20" s="6">
        <f>IFERROR(__xludf.DUMMYFUNCTION("""COMPUTED_VALUE"""),975.1)</f>
        <v>975.1</v>
      </c>
      <c r="E20" s="6">
        <f>IFERROR(__xludf.DUMMYFUNCTION("""COMPUTED_VALUE"""),993.7)</f>
        <v>993.7</v>
      </c>
      <c r="F20" s="6">
        <f>IFERROR(__xludf.DUMMYFUNCTION("""COMPUTED_VALUE"""),7.8439008E7)</f>
        <v>78439008</v>
      </c>
    </row>
    <row r="21">
      <c r="A21" s="7">
        <f>IFERROR(__xludf.DUMMYFUNCTION("""COMPUTED_VALUE"""),45303.64583333333)</f>
        <v>45303.64583</v>
      </c>
      <c r="B21" s="6">
        <f>IFERROR(__xludf.DUMMYFUNCTION("""COMPUTED_VALUE"""),994.0)</f>
        <v>994</v>
      </c>
      <c r="C21" s="6">
        <f>IFERROR(__xludf.DUMMYFUNCTION("""COMPUTED_VALUE"""),1008.7)</f>
        <v>1008.7</v>
      </c>
      <c r="D21" s="6">
        <f>IFERROR(__xludf.DUMMYFUNCTION("""COMPUTED_VALUE"""),974.3)</f>
        <v>974.3</v>
      </c>
      <c r="E21" s="6">
        <f>IFERROR(__xludf.DUMMYFUNCTION("""COMPUTED_VALUE"""),1003.5)</f>
        <v>1003.5</v>
      </c>
      <c r="F21" s="6">
        <f>IFERROR(__xludf.DUMMYFUNCTION("""COMPUTED_VALUE"""),5.1169847E7)</f>
        <v>51169847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IFERROR(__xludf.DUMMYFUNCTION("""COMPUTED_VALUE"""),1059.1)</f>
        <v>1059.1</v>
      </c>
      <c r="C22" s="6">
        <f>IFERROR(__xludf.DUMMYFUNCTION("""COMPUTED_VALUE"""),1059.4)</f>
        <v>1059.4</v>
      </c>
      <c r="D22" s="6">
        <f>IFERROR(__xludf.DUMMYFUNCTION("""COMPUTED_VALUE"""),988.15)</f>
        <v>988.15</v>
      </c>
      <c r="E22" s="6">
        <f>IFERROR(__xludf.DUMMYFUNCTION("""COMPUTED_VALUE"""),1009.95)</f>
        <v>1009.95</v>
      </c>
      <c r="F22" s="6">
        <f>IFERROR(__xludf.DUMMYFUNCTION("""COMPUTED_VALUE"""),1.13691426E8)</f>
        <v>113691426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IFERROR(__xludf.DUMMYFUNCTION("""COMPUTED_VALUE"""),1020.0)</f>
        <v>1020</v>
      </c>
      <c r="C23" s="6">
        <f>IFERROR(__xludf.DUMMYFUNCTION("""COMPUTED_VALUE"""),1050.0)</f>
        <v>1050</v>
      </c>
      <c r="D23" s="6">
        <f>IFERROR(__xludf.DUMMYFUNCTION("""COMPUTED_VALUE"""),1003.25)</f>
        <v>1003.25</v>
      </c>
      <c r="E23" s="6">
        <f>IFERROR(__xludf.DUMMYFUNCTION("""COMPUTED_VALUE"""),1024.0)</f>
        <v>1024</v>
      </c>
      <c r="F23" s="6">
        <f>IFERROR(__xludf.DUMMYFUNCTION("""COMPUTED_VALUE"""),8.3625641E7)</f>
        <v>83625641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IFERROR(__xludf.DUMMYFUNCTION("""COMPUTED_VALUE"""),1022.5)</f>
        <v>1022.5</v>
      </c>
      <c r="C24" s="6">
        <f>IFERROR(__xludf.DUMMYFUNCTION("""COMPUTED_VALUE"""),1034.9)</f>
        <v>1034.9</v>
      </c>
      <c r="D24" s="6">
        <f>IFERROR(__xludf.DUMMYFUNCTION("""COMPUTED_VALUE"""),985.25)</f>
        <v>985.25</v>
      </c>
      <c r="E24" s="6">
        <f>IFERROR(__xludf.DUMMYFUNCTION("""COMPUTED_VALUE"""),1010.7)</f>
        <v>1010.7</v>
      </c>
      <c r="F24" s="6">
        <f>IFERROR(__xludf.DUMMYFUNCTION("""COMPUTED_VALUE"""),7.5611591E7)</f>
        <v>75611591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IFERROR(__xludf.DUMMYFUNCTION("""COMPUTED_VALUE"""),1010.4)</f>
        <v>1010.4</v>
      </c>
      <c r="C25" s="6">
        <f>IFERROR(__xludf.DUMMYFUNCTION("""COMPUTED_VALUE"""),1035.7)</f>
        <v>1035.7</v>
      </c>
      <c r="D25" s="6">
        <f>IFERROR(__xludf.DUMMYFUNCTION("""COMPUTED_VALUE"""),985.25)</f>
        <v>985.25</v>
      </c>
      <c r="E25" s="6">
        <f>IFERROR(__xludf.DUMMYFUNCTION("""COMPUTED_VALUE"""),1023.25)</f>
        <v>1023.25</v>
      </c>
      <c r="F25" s="6">
        <f>IFERROR(__xludf.DUMMYFUNCTION("""COMPUTED_VALUE"""),6.1864351E7)</f>
        <v>61864351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IFERROR(__xludf.DUMMYFUNCTION("""COMPUTED_VALUE"""),1023.35)</f>
        <v>1023.35</v>
      </c>
      <c r="C26" s="6">
        <f>IFERROR(__xludf.DUMMYFUNCTION("""COMPUTED_VALUE"""),1070.0)</f>
        <v>1070</v>
      </c>
      <c r="D26" s="6">
        <f>IFERROR(__xludf.DUMMYFUNCTION("""COMPUTED_VALUE"""),1023.35)</f>
        <v>1023.35</v>
      </c>
      <c r="E26" s="6">
        <f>IFERROR(__xludf.DUMMYFUNCTION("""COMPUTED_VALUE"""),1061.3)</f>
        <v>1061.3</v>
      </c>
      <c r="F26" s="6">
        <f>IFERROR(__xludf.DUMMYFUNCTION("""COMPUTED_VALUE"""),6.320344E7)</f>
        <v>63203440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IFERROR(__xludf.DUMMYFUNCTION("""COMPUTED_VALUE"""),1081.0)</f>
        <v>1081</v>
      </c>
      <c r="C27" s="6">
        <f>IFERROR(__xludf.DUMMYFUNCTION("""COMPUTED_VALUE"""),1113.55)</f>
        <v>1113.55</v>
      </c>
      <c r="D27" s="6">
        <f>IFERROR(__xludf.DUMMYFUNCTION("""COMPUTED_VALUE"""),1076.5)</f>
        <v>1076.5</v>
      </c>
      <c r="E27" s="6">
        <f>IFERROR(__xludf.DUMMYFUNCTION("""COMPUTED_VALUE"""),1087.95)</f>
        <v>1087.95</v>
      </c>
      <c r="F27" s="6">
        <f>IFERROR(__xludf.DUMMYFUNCTION("""COMPUTED_VALUE"""),5.2407535E7)</f>
        <v>52407535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IFERROR(__xludf.DUMMYFUNCTION("""COMPUTED_VALUE"""),1087.95)</f>
        <v>1087.95</v>
      </c>
      <c r="C28" s="6">
        <f>IFERROR(__xludf.DUMMYFUNCTION("""COMPUTED_VALUE"""),1097.1)</f>
        <v>1097.1</v>
      </c>
      <c r="D28" s="6">
        <f>IFERROR(__xludf.DUMMYFUNCTION("""COMPUTED_VALUE"""),1055.65)</f>
        <v>1055.65</v>
      </c>
      <c r="E28" s="6">
        <f>IFERROR(__xludf.DUMMYFUNCTION("""COMPUTED_VALUE"""),1080.35)</f>
        <v>1080.35</v>
      </c>
      <c r="F28" s="6">
        <f>IFERROR(__xludf.DUMMYFUNCTION("""COMPUTED_VALUE"""),1.40375822E8)</f>
        <v>140375822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IFERROR(__xludf.DUMMYFUNCTION("""COMPUTED_VALUE"""),1075.05)</f>
        <v>1075.05</v>
      </c>
      <c r="C29" s="6">
        <f>IFERROR(__xludf.DUMMYFUNCTION("""COMPUTED_VALUE"""),1100.0)</f>
        <v>1100</v>
      </c>
      <c r="D29" s="6">
        <f>IFERROR(__xludf.DUMMYFUNCTION("""COMPUTED_VALUE"""),1060.05)</f>
        <v>1060.05</v>
      </c>
      <c r="E29" s="6">
        <f>IFERROR(__xludf.DUMMYFUNCTION("""COMPUTED_VALUE"""),1090.3)</f>
        <v>1090.3</v>
      </c>
      <c r="F29" s="6">
        <f>IFERROR(__xludf.DUMMYFUNCTION("""COMPUTED_VALUE"""),8.1410428E7)</f>
        <v>81410428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IFERROR(__xludf.DUMMYFUNCTION("""COMPUTED_VALUE"""),1081.0)</f>
        <v>1081</v>
      </c>
      <c r="C30" s="6">
        <f>IFERROR(__xludf.DUMMYFUNCTION("""COMPUTED_VALUE"""),1105.05)</f>
        <v>1105.05</v>
      </c>
      <c r="D30" s="6">
        <f>IFERROR(__xludf.DUMMYFUNCTION("""COMPUTED_VALUE"""),1076.95)</f>
        <v>1076.95</v>
      </c>
      <c r="E30" s="6">
        <f>IFERROR(__xludf.DUMMYFUNCTION("""COMPUTED_VALUE"""),1093.3)</f>
        <v>1093.3</v>
      </c>
      <c r="F30" s="6">
        <f>IFERROR(__xludf.DUMMYFUNCTION("""COMPUTED_VALUE"""),6.2345446E7)</f>
        <v>62345446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IFERROR(__xludf.DUMMYFUNCTION("""COMPUTED_VALUE"""),1096.05)</f>
        <v>1096.05</v>
      </c>
      <c r="C31" s="6">
        <f>IFERROR(__xludf.DUMMYFUNCTION("""COMPUTED_VALUE"""),1102.95)</f>
        <v>1102.95</v>
      </c>
      <c r="D31" s="6">
        <f>IFERROR(__xludf.DUMMYFUNCTION("""COMPUTED_VALUE"""),1063.45)</f>
        <v>1063.45</v>
      </c>
      <c r="E31" s="6">
        <f>IFERROR(__xludf.DUMMYFUNCTION("""COMPUTED_VALUE"""),1083.4)</f>
        <v>1083.4</v>
      </c>
      <c r="F31" s="6">
        <f>IFERROR(__xludf.DUMMYFUNCTION("""COMPUTED_VALUE"""),7.7466097E7)</f>
        <v>77466097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IFERROR(__xludf.DUMMYFUNCTION("""COMPUTED_VALUE"""),1078.35)</f>
        <v>1078.35</v>
      </c>
      <c r="C32" s="6">
        <f>IFERROR(__xludf.DUMMYFUNCTION("""COMPUTED_VALUE"""),1116.55)</f>
        <v>1116.55</v>
      </c>
      <c r="D32" s="6">
        <f>IFERROR(__xludf.DUMMYFUNCTION("""COMPUTED_VALUE"""),1076.3)</f>
        <v>1076.3</v>
      </c>
      <c r="E32" s="6">
        <f>IFERROR(__xludf.DUMMYFUNCTION("""COMPUTED_VALUE"""),1104.4)</f>
        <v>1104.4</v>
      </c>
      <c r="F32" s="6">
        <f>IFERROR(__xludf.DUMMYFUNCTION("""COMPUTED_VALUE"""),4.3136581E7)</f>
        <v>43136581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IFERROR(__xludf.DUMMYFUNCTION("""COMPUTED_VALUE"""),1100.2)</f>
        <v>1100.2</v>
      </c>
      <c r="C33" s="6">
        <f>IFERROR(__xludf.DUMMYFUNCTION("""COMPUTED_VALUE"""),1106.15)</f>
        <v>1106.15</v>
      </c>
      <c r="D33" s="6">
        <f>IFERROR(__xludf.DUMMYFUNCTION("""COMPUTED_VALUE"""),1048.1)</f>
        <v>1048.1</v>
      </c>
      <c r="E33" s="6">
        <f>IFERROR(__xludf.DUMMYFUNCTION("""COMPUTED_VALUE"""),1067.25)</f>
        <v>1067.25</v>
      </c>
      <c r="F33" s="6">
        <f>IFERROR(__xludf.DUMMYFUNCTION("""COMPUTED_VALUE"""),4.9653338E7)</f>
        <v>49653338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IFERROR(__xludf.DUMMYFUNCTION("""COMPUTED_VALUE"""),1078.8)</f>
        <v>1078.8</v>
      </c>
      <c r="C34" s="6">
        <f>IFERROR(__xludf.DUMMYFUNCTION("""COMPUTED_VALUE"""),1125.65)</f>
        <v>1125.65</v>
      </c>
      <c r="D34" s="6">
        <f>IFERROR(__xludf.DUMMYFUNCTION("""COMPUTED_VALUE"""),1070.35)</f>
        <v>1070.35</v>
      </c>
      <c r="E34" s="6">
        <f>IFERROR(__xludf.DUMMYFUNCTION("""COMPUTED_VALUE"""),1107.9)</f>
        <v>1107.9</v>
      </c>
      <c r="F34" s="6">
        <f>IFERROR(__xludf.DUMMYFUNCTION("""COMPUTED_VALUE"""),5.9751635E7)</f>
        <v>59751635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IFERROR(__xludf.DUMMYFUNCTION("""COMPUTED_VALUE"""),1108.0)</f>
        <v>1108</v>
      </c>
      <c r="C35" s="6">
        <f>IFERROR(__xludf.DUMMYFUNCTION("""COMPUTED_VALUE"""),1169.55)</f>
        <v>1169.55</v>
      </c>
      <c r="D35" s="6">
        <f>IFERROR(__xludf.DUMMYFUNCTION("""COMPUTED_VALUE"""),1107.9)</f>
        <v>1107.9</v>
      </c>
      <c r="E35" s="6">
        <f>IFERROR(__xludf.DUMMYFUNCTION("""COMPUTED_VALUE"""),1142.05)</f>
        <v>1142.05</v>
      </c>
      <c r="F35" s="6">
        <f>IFERROR(__xludf.DUMMYFUNCTION("""COMPUTED_VALUE"""),1.03198492E8)</f>
        <v>103198492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IFERROR(__xludf.DUMMYFUNCTION("""COMPUTED_VALUE"""),1141.55)</f>
        <v>1141.55</v>
      </c>
      <c r="C36" s="6">
        <f>IFERROR(__xludf.DUMMYFUNCTION("""COMPUTED_VALUE"""),1158.45)</f>
        <v>1158.45</v>
      </c>
      <c r="D36" s="6">
        <f>IFERROR(__xludf.DUMMYFUNCTION("""COMPUTED_VALUE"""),1110.0)</f>
        <v>1110</v>
      </c>
      <c r="E36" s="6">
        <f>IFERROR(__xludf.DUMMYFUNCTION("""COMPUTED_VALUE"""),1117.05)</f>
        <v>1117.05</v>
      </c>
      <c r="F36" s="6">
        <f>IFERROR(__xludf.DUMMYFUNCTION("""COMPUTED_VALUE"""),7.0784851E7)</f>
        <v>70784851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IFERROR(__xludf.DUMMYFUNCTION("""COMPUTED_VALUE"""),1122.2)</f>
        <v>1122.2</v>
      </c>
      <c r="C37" s="6">
        <f>IFERROR(__xludf.DUMMYFUNCTION("""COMPUTED_VALUE"""),1137.0)</f>
        <v>1137</v>
      </c>
      <c r="D37" s="6">
        <f>IFERROR(__xludf.DUMMYFUNCTION("""COMPUTED_VALUE"""),1098.1)</f>
        <v>1098.1</v>
      </c>
      <c r="E37" s="6">
        <f>IFERROR(__xludf.DUMMYFUNCTION("""COMPUTED_VALUE"""),1131.95)</f>
        <v>1131.95</v>
      </c>
      <c r="F37" s="6">
        <f>IFERROR(__xludf.DUMMYFUNCTION("""COMPUTED_VALUE"""),4.8080668E7)</f>
        <v>48080668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IFERROR(__xludf.DUMMYFUNCTION("""COMPUTED_VALUE"""),1131.9)</f>
        <v>1131.9</v>
      </c>
      <c r="C38" s="6">
        <f>IFERROR(__xludf.DUMMYFUNCTION("""COMPUTED_VALUE"""),1147.8)</f>
        <v>1147.8</v>
      </c>
      <c r="D38" s="6">
        <f>IFERROR(__xludf.DUMMYFUNCTION("""COMPUTED_VALUE"""),1096.9)</f>
        <v>1096.9</v>
      </c>
      <c r="E38" s="6">
        <f>IFERROR(__xludf.DUMMYFUNCTION("""COMPUTED_VALUE"""),1121.05)</f>
        <v>1121.05</v>
      </c>
      <c r="F38" s="6">
        <f>IFERROR(__xludf.DUMMYFUNCTION("""COMPUTED_VALUE"""),8.1633227E7)</f>
        <v>81633227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IFERROR(__xludf.DUMMYFUNCTION("""COMPUTED_VALUE"""),1170.0)</f>
        <v>1170</v>
      </c>
      <c r="C39" s="6">
        <f>IFERROR(__xludf.DUMMYFUNCTION("""COMPUTED_VALUE"""),1173.0)</f>
        <v>1173</v>
      </c>
      <c r="D39" s="6">
        <f>IFERROR(__xludf.DUMMYFUNCTION("""COMPUTED_VALUE"""),1051.05)</f>
        <v>1051.05</v>
      </c>
      <c r="E39" s="6">
        <f>IFERROR(__xludf.DUMMYFUNCTION("""COMPUTED_VALUE"""),1121.7)</f>
        <v>1121.7</v>
      </c>
      <c r="F39" s="6">
        <f>IFERROR(__xludf.DUMMYFUNCTION("""COMPUTED_VALUE"""),1.47120715E8)</f>
        <v>147120715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IFERROR(__xludf.DUMMYFUNCTION("""COMPUTED_VALUE"""),1116.0)</f>
        <v>1116</v>
      </c>
      <c r="C40" s="6">
        <f>IFERROR(__xludf.DUMMYFUNCTION("""COMPUTED_VALUE"""),1133.4)</f>
        <v>1133.4</v>
      </c>
      <c r="D40" s="6">
        <f>IFERROR(__xludf.DUMMYFUNCTION("""COMPUTED_VALUE"""),1099.45)</f>
        <v>1099.45</v>
      </c>
      <c r="E40" s="6">
        <f>IFERROR(__xludf.DUMMYFUNCTION("""COMPUTED_VALUE"""),1105.65)</f>
        <v>1105.65</v>
      </c>
      <c r="F40" s="6">
        <f>IFERROR(__xludf.DUMMYFUNCTION("""COMPUTED_VALUE"""),6.3070204E7)</f>
        <v>63070204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IFERROR(__xludf.DUMMYFUNCTION("""COMPUTED_VALUE"""),1113.95)</f>
        <v>1113.95</v>
      </c>
      <c r="C41" s="6">
        <f>IFERROR(__xludf.DUMMYFUNCTION("""COMPUTED_VALUE"""),1169.9)</f>
        <v>1169.9</v>
      </c>
      <c r="D41" s="6">
        <f>IFERROR(__xludf.DUMMYFUNCTION("""COMPUTED_VALUE"""),1101.2)</f>
        <v>1101.2</v>
      </c>
      <c r="E41" s="6">
        <f>IFERROR(__xludf.DUMMYFUNCTION("""COMPUTED_VALUE"""),1158.65)</f>
        <v>1158.65</v>
      </c>
      <c r="F41" s="6">
        <f>IFERROR(__xludf.DUMMYFUNCTION("""COMPUTED_VALUE"""),1.37351048E8)</f>
        <v>137351048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IFERROR(__xludf.DUMMYFUNCTION("""COMPUTED_VALUE"""),1154.65)</f>
        <v>1154.65</v>
      </c>
      <c r="C42" s="6">
        <f>IFERROR(__xludf.DUMMYFUNCTION("""COMPUTED_VALUE"""),1235.0)</f>
        <v>1235</v>
      </c>
      <c r="D42" s="6">
        <f>IFERROR(__xludf.DUMMYFUNCTION("""COMPUTED_VALUE"""),1152.65)</f>
        <v>1152.65</v>
      </c>
      <c r="E42" s="6">
        <f>IFERROR(__xludf.DUMMYFUNCTION("""COMPUTED_VALUE"""),1199.6)</f>
        <v>1199.6</v>
      </c>
      <c r="F42" s="6">
        <f>IFERROR(__xludf.DUMMYFUNCTION("""COMPUTED_VALUE"""),9.7947325E7)</f>
        <v>97947325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IFERROR(__xludf.DUMMYFUNCTION("""COMPUTED_VALUE"""),1199.6)</f>
        <v>1199.6</v>
      </c>
      <c r="C43" s="6">
        <f>IFERROR(__xludf.DUMMYFUNCTION("""COMPUTED_VALUE"""),1242.6)</f>
        <v>1242.6</v>
      </c>
      <c r="D43" s="6">
        <f>IFERROR(__xludf.DUMMYFUNCTION("""COMPUTED_VALUE"""),1179.45)</f>
        <v>1179.45</v>
      </c>
      <c r="E43" s="6">
        <f>IFERROR(__xludf.DUMMYFUNCTION("""COMPUTED_VALUE"""),1233.4)</f>
        <v>1233.4</v>
      </c>
      <c r="F43" s="6">
        <f>IFERROR(__xludf.DUMMYFUNCTION("""COMPUTED_VALUE"""),7.1933082E7)</f>
        <v>71933082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IFERROR(__xludf.DUMMYFUNCTION("""COMPUTED_VALUE"""),1228.9)</f>
        <v>1228.9</v>
      </c>
      <c r="C44" s="6">
        <f>IFERROR(__xludf.DUMMYFUNCTION("""COMPUTED_VALUE"""),1257.8)</f>
        <v>1257.8</v>
      </c>
      <c r="D44" s="6">
        <f>IFERROR(__xludf.DUMMYFUNCTION("""COMPUTED_VALUE"""),1216.9)</f>
        <v>1216.9</v>
      </c>
      <c r="E44" s="6">
        <f>IFERROR(__xludf.DUMMYFUNCTION("""COMPUTED_VALUE"""),1232.9)</f>
        <v>1232.9</v>
      </c>
      <c r="F44" s="6">
        <f>IFERROR(__xludf.DUMMYFUNCTION("""COMPUTED_VALUE"""),6.1725973E7)</f>
        <v>61725973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IFERROR(__xludf.DUMMYFUNCTION("""COMPUTED_VALUE"""),1233.1)</f>
        <v>1233.1</v>
      </c>
      <c r="C45" s="6">
        <f>IFERROR(__xludf.DUMMYFUNCTION("""COMPUTED_VALUE"""),1256.45)</f>
        <v>1256.45</v>
      </c>
      <c r="D45" s="6">
        <f>IFERROR(__xludf.DUMMYFUNCTION("""COMPUTED_VALUE"""),1224.05)</f>
        <v>1224.05</v>
      </c>
      <c r="E45" s="6">
        <f>IFERROR(__xludf.DUMMYFUNCTION("""COMPUTED_VALUE"""),1248.65)</f>
        <v>1248.65</v>
      </c>
      <c r="F45" s="6">
        <f>IFERROR(__xludf.DUMMYFUNCTION("""COMPUTED_VALUE"""),4.6891725E7)</f>
        <v>46891725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IFERROR(__xludf.DUMMYFUNCTION("""COMPUTED_VALUE"""),1240.0)</f>
        <v>1240</v>
      </c>
      <c r="C46" s="6">
        <f>IFERROR(__xludf.DUMMYFUNCTION("""COMPUTED_VALUE"""),1248.65)</f>
        <v>1248.65</v>
      </c>
      <c r="D46" s="6">
        <f>IFERROR(__xludf.DUMMYFUNCTION("""COMPUTED_VALUE"""),1185.95)</f>
        <v>1185.95</v>
      </c>
      <c r="E46" s="6">
        <f>IFERROR(__xludf.DUMMYFUNCTION("""COMPUTED_VALUE"""),1207.2)</f>
        <v>1207.2</v>
      </c>
      <c r="F46" s="6">
        <f>IFERROR(__xludf.DUMMYFUNCTION("""COMPUTED_VALUE"""),8.2915044E7)</f>
        <v>82915044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IFERROR(__xludf.DUMMYFUNCTION("""COMPUTED_VALUE"""),1215.15)</f>
        <v>1215.15</v>
      </c>
      <c r="C47" s="6">
        <f>IFERROR(__xludf.DUMMYFUNCTION("""COMPUTED_VALUE"""),1242.75)</f>
        <v>1242.75</v>
      </c>
      <c r="D47" s="6">
        <f>IFERROR(__xludf.DUMMYFUNCTION("""COMPUTED_VALUE"""),1190.1)</f>
        <v>1190.1</v>
      </c>
      <c r="E47" s="6">
        <f>IFERROR(__xludf.DUMMYFUNCTION("""COMPUTED_VALUE"""),1196.55)</f>
        <v>1196.55</v>
      </c>
      <c r="F47" s="6">
        <f>IFERROR(__xludf.DUMMYFUNCTION("""COMPUTED_VALUE"""),9.4188608E7)</f>
        <v>94188608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IFERROR(__xludf.DUMMYFUNCTION("""COMPUTED_VALUE"""),1182.0)</f>
        <v>1182</v>
      </c>
      <c r="C48" s="6">
        <f>IFERROR(__xludf.DUMMYFUNCTION("""COMPUTED_VALUE"""),1188.9)</f>
        <v>1188.9</v>
      </c>
      <c r="D48" s="6">
        <f>IFERROR(__xludf.DUMMYFUNCTION("""COMPUTED_VALUE"""),1158.9)</f>
        <v>1158.9</v>
      </c>
      <c r="E48" s="6">
        <f>IFERROR(__xludf.DUMMYFUNCTION("""COMPUTED_VALUE"""),1171.6)</f>
        <v>1171.6</v>
      </c>
      <c r="F48" s="6">
        <f>IFERROR(__xludf.DUMMYFUNCTION("""COMPUTED_VALUE"""),6.3129779E7)</f>
        <v>63129779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IFERROR(__xludf.DUMMYFUNCTION("""COMPUTED_VALUE"""),1171.0)</f>
        <v>1171</v>
      </c>
      <c r="C49" s="6">
        <f>IFERROR(__xludf.DUMMYFUNCTION("""COMPUTED_VALUE"""),1193.0)</f>
        <v>1193</v>
      </c>
      <c r="D49" s="6">
        <f>IFERROR(__xludf.DUMMYFUNCTION("""COMPUTED_VALUE"""),1153.0)</f>
        <v>1153</v>
      </c>
      <c r="E49" s="6">
        <f>IFERROR(__xludf.DUMMYFUNCTION("""COMPUTED_VALUE"""),1187.25)</f>
        <v>1187.25</v>
      </c>
      <c r="F49" s="6">
        <f>IFERROR(__xludf.DUMMYFUNCTION("""COMPUTED_VALUE"""),4.8371553E7)</f>
        <v>48371553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IFERROR(__xludf.DUMMYFUNCTION("""COMPUTED_VALUE"""),1191.0)</f>
        <v>1191</v>
      </c>
      <c r="C50" s="6">
        <f>IFERROR(__xludf.DUMMYFUNCTION("""COMPUTED_VALUE"""),1205.0)</f>
        <v>1205</v>
      </c>
      <c r="D50" s="6">
        <f>IFERROR(__xludf.DUMMYFUNCTION("""COMPUTED_VALUE"""),1165.1)</f>
        <v>1165.1</v>
      </c>
      <c r="E50" s="6">
        <f>IFERROR(__xludf.DUMMYFUNCTION("""COMPUTED_VALUE"""),1203.5)</f>
        <v>1203.5</v>
      </c>
      <c r="F50" s="6">
        <f>IFERROR(__xludf.DUMMYFUNCTION("""COMPUTED_VALUE"""),5.0430048E7)</f>
        <v>50430048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IFERROR(__xludf.DUMMYFUNCTION("""COMPUTED_VALUE"""),1205.55)</f>
        <v>1205.55</v>
      </c>
      <c r="C51" s="6">
        <f>IFERROR(__xludf.DUMMYFUNCTION("""COMPUTED_VALUE"""),1235.55)</f>
        <v>1235.55</v>
      </c>
      <c r="D51" s="6">
        <f>IFERROR(__xludf.DUMMYFUNCTION("""COMPUTED_VALUE"""),1201.05)</f>
        <v>1201.05</v>
      </c>
      <c r="E51" s="6">
        <f>IFERROR(__xludf.DUMMYFUNCTION("""COMPUTED_VALUE"""),1229.2)</f>
        <v>1229.2</v>
      </c>
      <c r="F51" s="6">
        <f>IFERROR(__xludf.DUMMYFUNCTION("""COMPUTED_VALUE"""),7.1524752E7)</f>
        <v>71524752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IFERROR(__xludf.DUMMYFUNCTION("""COMPUTED_VALUE"""),1239.0)</f>
        <v>1239</v>
      </c>
      <c r="C52" s="6">
        <f>IFERROR(__xludf.DUMMYFUNCTION("""COMPUTED_VALUE"""),1250.95)</f>
        <v>1250.95</v>
      </c>
      <c r="D52" s="6">
        <f>IFERROR(__xludf.DUMMYFUNCTION("""COMPUTED_VALUE"""),1205.0)</f>
        <v>1205</v>
      </c>
      <c r="E52" s="6">
        <f>IFERROR(__xludf.DUMMYFUNCTION("""COMPUTED_VALUE"""),1208.15)</f>
        <v>1208.15</v>
      </c>
      <c r="F52" s="6">
        <f>IFERROR(__xludf.DUMMYFUNCTION("""COMPUTED_VALUE"""),6.4450799E7)</f>
        <v>64450799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IFERROR(__xludf.DUMMYFUNCTION("""COMPUTED_VALUE"""),1202.9)</f>
        <v>1202.9</v>
      </c>
      <c r="C53" s="6">
        <f>IFERROR(__xludf.DUMMYFUNCTION("""COMPUTED_VALUE"""),1257.0)</f>
        <v>1257</v>
      </c>
      <c r="D53" s="6">
        <f>IFERROR(__xludf.DUMMYFUNCTION("""COMPUTED_VALUE"""),1200.45)</f>
        <v>1200.45</v>
      </c>
      <c r="E53" s="6">
        <f>IFERROR(__xludf.DUMMYFUNCTION("""COMPUTED_VALUE"""),1250.35)</f>
        <v>1250.35</v>
      </c>
      <c r="F53" s="6">
        <f>IFERROR(__xludf.DUMMYFUNCTION("""COMPUTED_VALUE"""),6.6655352E7)</f>
        <v>66655352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IFERROR(__xludf.DUMMYFUNCTION("""COMPUTED_VALUE"""),1251.0)</f>
        <v>1251</v>
      </c>
      <c r="C54" s="6">
        <f>IFERROR(__xludf.DUMMYFUNCTION("""COMPUTED_VALUE"""),1362.35)</f>
        <v>1362.35</v>
      </c>
      <c r="D54" s="6">
        <f>IFERROR(__xludf.DUMMYFUNCTION("""COMPUTED_VALUE"""),1244.7)</f>
        <v>1244.7</v>
      </c>
      <c r="E54" s="6">
        <f>IFERROR(__xludf.DUMMYFUNCTION("""COMPUTED_VALUE"""),1338.45)</f>
        <v>1338.45</v>
      </c>
      <c r="F54" s="6">
        <f>IFERROR(__xludf.DUMMYFUNCTION("""COMPUTED_VALUE"""),1.19383088E8)</f>
        <v>119383088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IFERROR(__xludf.DUMMYFUNCTION("""COMPUTED_VALUE"""),1331.0)</f>
        <v>1331</v>
      </c>
      <c r="C55" s="6">
        <f>IFERROR(__xludf.DUMMYFUNCTION("""COMPUTED_VALUE"""),1333.35)</f>
        <v>1333.35</v>
      </c>
      <c r="D55" s="6">
        <f>IFERROR(__xludf.DUMMYFUNCTION("""COMPUTED_VALUE"""),1303.85)</f>
        <v>1303.85</v>
      </c>
      <c r="E55" s="6">
        <f>IFERROR(__xludf.DUMMYFUNCTION("""COMPUTED_VALUE"""),1306.6)</f>
        <v>1306.6</v>
      </c>
      <c r="F55" s="6">
        <f>IFERROR(__xludf.DUMMYFUNCTION("""COMPUTED_VALUE"""),6.2212713E7)</f>
        <v>62212713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IFERROR(__xludf.DUMMYFUNCTION("""COMPUTED_VALUE"""),1292.1)</f>
        <v>1292.1</v>
      </c>
      <c r="C56" s="6">
        <f>IFERROR(__xludf.DUMMYFUNCTION("""COMPUTED_VALUE"""),1296.8)</f>
        <v>1296.8</v>
      </c>
      <c r="D56" s="6">
        <f>IFERROR(__xludf.DUMMYFUNCTION("""COMPUTED_VALUE"""),1236.2)</f>
        <v>1236.2</v>
      </c>
      <c r="E56" s="6">
        <f>IFERROR(__xludf.DUMMYFUNCTION("""COMPUTED_VALUE"""),1239.75)</f>
        <v>1239.75</v>
      </c>
      <c r="F56" s="6">
        <f>IFERROR(__xludf.DUMMYFUNCTION("""COMPUTED_VALUE"""),5.4732063E7)</f>
        <v>54732063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IFERROR(__xludf.DUMMYFUNCTION("""COMPUTED_VALUE"""),1241.55)</f>
        <v>1241.55</v>
      </c>
      <c r="C57" s="6">
        <f>IFERROR(__xludf.DUMMYFUNCTION("""COMPUTED_VALUE"""),1265.1)</f>
        <v>1265.1</v>
      </c>
      <c r="D57" s="6">
        <f>IFERROR(__xludf.DUMMYFUNCTION("""COMPUTED_VALUE"""),1222.0)</f>
        <v>1222</v>
      </c>
      <c r="E57" s="6">
        <f>IFERROR(__xludf.DUMMYFUNCTION("""COMPUTED_VALUE"""),1223.0)</f>
        <v>1223</v>
      </c>
      <c r="F57" s="6">
        <f>IFERROR(__xludf.DUMMYFUNCTION("""COMPUTED_VALUE"""),6.524321E7)</f>
        <v>65243210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IFERROR(__xludf.DUMMYFUNCTION("""COMPUTED_VALUE"""),1221.0)</f>
        <v>1221</v>
      </c>
      <c r="C58" s="6">
        <f>IFERROR(__xludf.DUMMYFUNCTION("""COMPUTED_VALUE"""),1268.9)</f>
        <v>1268.9</v>
      </c>
      <c r="D58" s="6">
        <f>IFERROR(__xludf.DUMMYFUNCTION("""COMPUTED_VALUE"""),1217.4)</f>
        <v>1217.4</v>
      </c>
      <c r="E58" s="6">
        <f>IFERROR(__xludf.DUMMYFUNCTION("""COMPUTED_VALUE"""),1264.5)</f>
        <v>1264.5</v>
      </c>
      <c r="F58" s="6">
        <f>IFERROR(__xludf.DUMMYFUNCTION("""COMPUTED_VALUE"""),5.0838617E7)</f>
        <v>50838617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IFERROR(__xludf.DUMMYFUNCTION("""COMPUTED_VALUE"""),1264.5)</f>
        <v>1264.5</v>
      </c>
      <c r="C59" s="6">
        <f>IFERROR(__xludf.DUMMYFUNCTION("""COMPUTED_VALUE"""),1284.9)</f>
        <v>1284.9</v>
      </c>
      <c r="D59" s="6">
        <f>IFERROR(__xludf.DUMMYFUNCTION("""COMPUTED_VALUE"""),1234.2)</f>
        <v>1234.2</v>
      </c>
      <c r="E59" s="6">
        <f>IFERROR(__xludf.DUMMYFUNCTION("""COMPUTED_VALUE"""),1255.45)</f>
        <v>1255.45</v>
      </c>
      <c r="F59" s="6">
        <f>IFERROR(__xludf.DUMMYFUNCTION("""COMPUTED_VALUE"""),6.7658109E7)</f>
        <v>67658109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IFERROR(__xludf.DUMMYFUNCTION("""COMPUTED_VALUE"""),1290.1)</f>
        <v>1290.1</v>
      </c>
      <c r="C60" s="6">
        <f>IFERROR(__xludf.DUMMYFUNCTION("""COMPUTED_VALUE"""),1315.0)</f>
        <v>1315</v>
      </c>
      <c r="D60" s="6">
        <f>IFERROR(__xludf.DUMMYFUNCTION("""COMPUTED_VALUE"""),1252.7)</f>
        <v>1252.7</v>
      </c>
      <c r="E60" s="6">
        <f>IFERROR(__xludf.DUMMYFUNCTION("""COMPUTED_VALUE"""),1258.85)</f>
        <v>1258.85</v>
      </c>
      <c r="F60" s="6">
        <f>IFERROR(__xludf.DUMMYFUNCTION("""COMPUTED_VALUE"""),6.3883289E7)</f>
        <v>63883289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IFERROR(__xludf.DUMMYFUNCTION("""COMPUTED_VALUE"""),1262.0)</f>
        <v>1262</v>
      </c>
      <c r="C61" s="6">
        <f>IFERROR(__xludf.DUMMYFUNCTION("""COMPUTED_VALUE"""),1295.0)</f>
        <v>1295</v>
      </c>
      <c r="D61" s="6">
        <f>IFERROR(__xludf.DUMMYFUNCTION("""COMPUTED_VALUE"""),1243.05)</f>
        <v>1243.05</v>
      </c>
      <c r="E61" s="6">
        <f>IFERROR(__xludf.DUMMYFUNCTION("""COMPUTED_VALUE"""),1256.95)</f>
        <v>1256.95</v>
      </c>
      <c r="F61" s="6">
        <f>IFERROR(__xludf.DUMMYFUNCTION("""COMPUTED_VALUE"""),4.3641244E7)</f>
        <v>43641244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IFERROR(__xludf.DUMMYFUNCTION("""COMPUTED_VALUE"""),1260.0)</f>
        <v>1260</v>
      </c>
      <c r="C62" s="6">
        <f>IFERROR(__xludf.DUMMYFUNCTION("""COMPUTED_VALUE"""),1281.4)</f>
        <v>1281.4</v>
      </c>
      <c r="D62" s="6">
        <f>IFERROR(__xludf.DUMMYFUNCTION("""COMPUTED_VALUE"""),1232.55)</f>
        <v>1232.55</v>
      </c>
      <c r="E62" s="6">
        <f>IFERROR(__xludf.DUMMYFUNCTION("""COMPUTED_VALUE"""),1278.05)</f>
        <v>1278.05</v>
      </c>
      <c r="F62" s="6">
        <f>IFERROR(__xludf.DUMMYFUNCTION("""COMPUTED_VALUE"""),3.8931079E7)</f>
        <v>38931079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IFERROR(__xludf.DUMMYFUNCTION("""COMPUTED_VALUE"""),1296.0)</f>
        <v>1296</v>
      </c>
      <c r="C63" s="6">
        <f>IFERROR(__xludf.DUMMYFUNCTION("""COMPUTED_VALUE"""),1314.25)</f>
        <v>1314.25</v>
      </c>
      <c r="D63" s="6">
        <f>IFERROR(__xludf.DUMMYFUNCTION("""COMPUTED_VALUE"""),1282.3)</f>
        <v>1282.3</v>
      </c>
      <c r="E63" s="6">
        <f>IFERROR(__xludf.DUMMYFUNCTION("""COMPUTED_VALUE"""),1300.1)</f>
        <v>1300.1</v>
      </c>
      <c r="F63" s="6">
        <f>IFERROR(__xludf.DUMMYFUNCTION("""COMPUTED_VALUE"""),8.6503591E7)</f>
        <v>86503591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IFERROR(__xludf.DUMMYFUNCTION("""COMPUTED_VALUE"""),1299.9)</f>
        <v>1299.9</v>
      </c>
      <c r="C64" s="6">
        <f>IFERROR(__xludf.DUMMYFUNCTION("""COMPUTED_VALUE"""),1347.1)</f>
        <v>1347.1</v>
      </c>
      <c r="D64" s="6">
        <f>IFERROR(__xludf.DUMMYFUNCTION("""COMPUTED_VALUE"""),1289.15)</f>
        <v>1289.15</v>
      </c>
      <c r="E64" s="6">
        <f>IFERROR(__xludf.DUMMYFUNCTION("""COMPUTED_VALUE"""),1328.75)</f>
        <v>1328.75</v>
      </c>
      <c r="F64" s="6">
        <f>IFERROR(__xludf.DUMMYFUNCTION("""COMPUTED_VALUE"""),6.0859326E7)</f>
        <v>60859326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IFERROR(__xludf.DUMMYFUNCTION("""COMPUTED_VALUE"""),1322.1)</f>
        <v>1322.1</v>
      </c>
      <c r="C65" s="6">
        <f>IFERROR(__xludf.DUMMYFUNCTION("""COMPUTED_VALUE"""),1347.15)</f>
        <v>1347.15</v>
      </c>
      <c r="D65" s="6">
        <f>IFERROR(__xludf.DUMMYFUNCTION("""COMPUTED_VALUE"""),1313.5)</f>
        <v>1313.5</v>
      </c>
      <c r="E65" s="6">
        <f>IFERROR(__xludf.DUMMYFUNCTION("""COMPUTED_VALUE"""),1344.9)</f>
        <v>1344.9</v>
      </c>
      <c r="F65" s="6">
        <f>IFERROR(__xludf.DUMMYFUNCTION("""COMPUTED_VALUE"""),4.6970624E7)</f>
        <v>46970624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IFERROR(__xludf.DUMMYFUNCTION("""COMPUTED_VALUE"""),1344.9)</f>
        <v>1344.9</v>
      </c>
      <c r="C66" s="6">
        <f>IFERROR(__xludf.DUMMYFUNCTION("""COMPUTED_VALUE"""),1350.45)</f>
        <v>1350.45</v>
      </c>
      <c r="D66" s="6">
        <f>IFERROR(__xludf.DUMMYFUNCTION("""COMPUTED_VALUE"""),1272.4)</f>
        <v>1272.4</v>
      </c>
      <c r="E66" s="6">
        <f>IFERROR(__xludf.DUMMYFUNCTION("""COMPUTED_VALUE"""),1288.4)</f>
        <v>1288.4</v>
      </c>
      <c r="F66" s="6">
        <f>IFERROR(__xludf.DUMMYFUNCTION("""COMPUTED_VALUE"""),9.7469343E7)</f>
        <v>97469343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IFERROR(__xludf.DUMMYFUNCTION("""COMPUTED_VALUE"""),1294.65)</f>
        <v>1294.65</v>
      </c>
      <c r="C67" s="6">
        <f>IFERROR(__xludf.DUMMYFUNCTION("""COMPUTED_VALUE"""),1315.95)</f>
        <v>1315.95</v>
      </c>
      <c r="D67" s="6">
        <f>IFERROR(__xludf.DUMMYFUNCTION("""COMPUTED_VALUE"""),1287.05)</f>
        <v>1287.05</v>
      </c>
      <c r="E67" s="6">
        <f>IFERROR(__xludf.DUMMYFUNCTION("""COMPUTED_VALUE"""),1307.55)</f>
        <v>1307.55</v>
      </c>
      <c r="F67" s="6">
        <f>IFERROR(__xludf.DUMMYFUNCTION("""COMPUTED_VALUE"""),2.6060538E7)</f>
        <v>26060538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IFERROR(__xludf.DUMMYFUNCTION("""COMPUTED_VALUE"""),1304.95)</f>
        <v>1304.95</v>
      </c>
      <c r="C68" s="6">
        <f>IFERROR(__xludf.DUMMYFUNCTION("""COMPUTED_VALUE"""),1326.5)</f>
        <v>1326.5</v>
      </c>
      <c r="D68" s="6">
        <f>IFERROR(__xludf.DUMMYFUNCTION("""COMPUTED_VALUE"""),1262.25)</f>
        <v>1262.25</v>
      </c>
      <c r="E68" s="6">
        <f>IFERROR(__xludf.DUMMYFUNCTION("""COMPUTED_VALUE"""),1265.05)</f>
        <v>1265.05</v>
      </c>
      <c r="F68" s="6">
        <f>IFERROR(__xludf.DUMMYFUNCTION("""COMPUTED_VALUE"""),4.599065E7)</f>
        <v>45990650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IFERROR(__xludf.DUMMYFUNCTION("""COMPUTED_VALUE"""),1268.05)</f>
        <v>1268.05</v>
      </c>
      <c r="C69" s="6">
        <f>IFERROR(__xludf.DUMMYFUNCTION("""COMPUTED_VALUE"""),1288.95)</f>
        <v>1288.95</v>
      </c>
      <c r="D69" s="6">
        <f>IFERROR(__xludf.DUMMYFUNCTION("""COMPUTED_VALUE"""),1243.1)</f>
        <v>1243.1</v>
      </c>
      <c r="E69" s="6">
        <f>IFERROR(__xludf.DUMMYFUNCTION("""COMPUTED_VALUE"""),1249.85)</f>
        <v>1249.85</v>
      </c>
      <c r="F69" s="6">
        <f>IFERROR(__xludf.DUMMYFUNCTION("""COMPUTED_VALUE"""),3.9149558E7)</f>
        <v>39149558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IFERROR(__xludf.DUMMYFUNCTION("""COMPUTED_VALUE"""),1234.9)</f>
        <v>1234.9</v>
      </c>
      <c r="C70" s="6">
        <f>IFERROR(__xludf.DUMMYFUNCTION("""COMPUTED_VALUE"""),1255.5)</f>
        <v>1255.5</v>
      </c>
      <c r="D70" s="6">
        <f>IFERROR(__xludf.DUMMYFUNCTION("""COMPUTED_VALUE"""),1218.0)</f>
        <v>1218</v>
      </c>
      <c r="E70" s="6">
        <f>IFERROR(__xludf.DUMMYFUNCTION("""COMPUTED_VALUE"""),1225.45)</f>
        <v>1225.45</v>
      </c>
      <c r="F70" s="6">
        <f>IFERROR(__xludf.DUMMYFUNCTION("""COMPUTED_VALUE"""),4.7053873E7)</f>
        <v>47053873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IFERROR(__xludf.DUMMYFUNCTION("""COMPUTED_VALUE"""),1223.9)</f>
        <v>1223.9</v>
      </c>
      <c r="C71" s="6">
        <f>IFERROR(__xludf.DUMMYFUNCTION("""COMPUTED_VALUE"""),1241.75)</f>
        <v>1241.75</v>
      </c>
      <c r="D71" s="6">
        <f>IFERROR(__xludf.DUMMYFUNCTION("""COMPUTED_VALUE"""),1186.0)</f>
        <v>1186</v>
      </c>
      <c r="E71" s="6">
        <f>IFERROR(__xludf.DUMMYFUNCTION("""COMPUTED_VALUE"""),1209.2)</f>
        <v>1209.2</v>
      </c>
      <c r="F71" s="6">
        <f>IFERROR(__xludf.DUMMYFUNCTION("""COMPUTED_VALUE"""),5.6561881E7)</f>
        <v>56561881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IFERROR(__xludf.DUMMYFUNCTION("""COMPUTED_VALUE"""),1246.85)</f>
        <v>1246.85</v>
      </c>
      <c r="C72" s="6">
        <f>IFERROR(__xludf.DUMMYFUNCTION("""COMPUTED_VALUE"""),1280.5)</f>
        <v>1280.5</v>
      </c>
      <c r="D72" s="6">
        <f>IFERROR(__xludf.DUMMYFUNCTION("""COMPUTED_VALUE"""),1237.8)</f>
        <v>1237.8</v>
      </c>
      <c r="E72" s="6">
        <f>IFERROR(__xludf.DUMMYFUNCTION("""COMPUTED_VALUE"""),1256.9)</f>
        <v>1256.9</v>
      </c>
      <c r="F72" s="6">
        <f>IFERROR(__xludf.DUMMYFUNCTION("""COMPUTED_VALUE"""),4.363521E7)</f>
        <v>43635210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IFERROR(__xludf.DUMMYFUNCTION("""COMPUTED_VALUE"""),1257.2)</f>
        <v>1257.2</v>
      </c>
      <c r="C73" s="6">
        <f>IFERROR(__xludf.DUMMYFUNCTION("""COMPUTED_VALUE"""),1269.75)</f>
        <v>1269.75</v>
      </c>
      <c r="D73" s="6">
        <f>IFERROR(__xludf.DUMMYFUNCTION("""COMPUTED_VALUE"""),1244.45)</f>
        <v>1244.45</v>
      </c>
      <c r="E73" s="6">
        <f>IFERROR(__xludf.DUMMYFUNCTION("""COMPUTED_VALUE"""),1260.1)</f>
        <v>1260.1</v>
      </c>
      <c r="F73" s="6">
        <f>IFERROR(__xludf.DUMMYFUNCTION("""COMPUTED_VALUE"""),3.8768563E7)</f>
        <v>38768563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IFERROR(__xludf.DUMMYFUNCTION("""COMPUTED_VALUE"""),1251.15)</f>
        <v>1251.15</v>
      </c>
      <c r="C74" s="6">
        <f>IFERROR(__xludf.DUMMYFUNCTION("""COMPUTED_VALUE"""),1264.45)</f>
        <v>1264.45</v>
      </c>
      <c r="D74" s="6">
        <f>IFERROR(__xludf.DUMMYFUNCTION("""COMPUTED_VALUE"""),1224.55)</f>
        <v>1224.55</v>
      </c>
      <c r="E74" s="6">
        <f>IFERROR(__xludf.DUMMYFUNCTION("""COMPUTED_VALUE"""),1232.95)</f>
        <v>1232.95</v>
      </c>
      <c r="F74" s="6">
        <f>IFERROR(__xludf.DUMMYFUNCTION("""COMPUTED_VALUE"""),4.3389882E7)</f>
        <v>43389882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IFERROR(__xludf.DUMMYFUNCTION("""COMPUTED_VALUE"""),1226.7)</f>
        <v>1226.7</v>
      </c>
      <c r="C75" s="6">
        <f>IFERROR(__xludf.DUMMYFUNCTION("""COMPUTED_VALUE"""),1234.85)</f>
        <v>1234.85</v>
      </c>
      <c r="D75" s="6">
        <f>IFERROR(__xludf.DUMMYFUNCTION("""COMPUTED_VALUE"""),1200.1)</f>
        <v>1200.1</v>
      </c>
      <c r="E75" s="6">
        <f>IFERROR(__xludf.DUMMYFUNCTION("""COMPUTED_VALUE"""),1204.1)</f>
        <v>1204.1</v>
      </c>
      <c r="F75" s="6">
        <f>IFERROR(__xludf.DUMMYFUNCTION("""COMPUTED_VALUE"""),5.4805134E7)</f>
        <v>54805134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IFERROR(__xludf.DUMMYFUNCTION("""COMPUTED_VALUE"""),1210.5)</f>
        <v>1210.5</v>
      </c>
      <c r="C76" s="6">
        <f>IFERROR(__xludf.DUMMYFUNCTION("""COMPUTED_VALUE"""),1227.95)</f>
        <v>1227.95</v>
      </c>
      <c r="D76" s="6">
        <f>IFERROR(__xludf.DUMMYFUNCTION("""COMPUTED_VALUE"""),1204.15)</f>
        <v>1204.15</v>
      </c>
      <c r="E76" s="6">
        <f>IFERROR(__xludf.DUMMYFUNCTION("""COMPUTED_VALUE"""),1214.55)</f>
        <v>1214.55</v>
      </c>
      <c r="F76" s="6">
        <f>IFERROR(__xludf.DUMMYFUNCTION("""COMPUTED_VALUE"""),4.5355976E7)</f>
        <v>45355976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IFERROR(__xludf.DUMMYFUNCTION("""COMPUTED_VALUE"""),1208.0)</f>
        <v>1208</v>
      </c>
      <c r="C77" s="6">
        <f>IFERROR(__xludf.DUMMYFUNCTION("""COMPUTED_VALUE"""),1255.6)</f>
        <v>1255.6</v>
      </c>
      <c r="D77" s="6">
        <f>IFERROR(__xludf.DUMMYFUNCTION("""COMPUTED_VALUE"""),1208.0)</f>
        <v>1208</v>
      </c>
      <c r="E77" s="6">
        <f>IFERROR(__xludf.DUMMYFUNCTION("""COMPUTED_VALUE"""),1250.05)</f>
        <v>1250.05</v>
      </c>
      <c r="F77" s="6">
        <f>IFERROR(__xludf.DUMMYFUNCTION("""COMPUTED_VALUE"""),3.7972699E7)</f>
        <v>37972699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IFERROR(__xludf.DUMMYFUNCTION("""COMPUTED_VALUE"""),1257.05)</f>
        <v>1257.05</v>
      </c>
      <c r="C78" s="6">
        <f>IFERROR(__xludf.DUMMYFUNCTION("""COMPUTED_VALUE"""),1349.0)</f>
        <v>1349</v>
      </c>
      <c r="D78" s="6">
        <f>IFERROR(__xludf.DUMMYFUNCTION("""COMPUTED_VALUE"""),1254.75)</f>
        <v>1254.75</v>
      </c>
      <c r="E78" s="6">
        <f>IFERROR(__xludf.DUMMYFUNCTION("""COMPUTED_VALUE"""),1343.1)</f>
        <v>1343.1</v>
      </c>
      <c r="F78" s="6">
        <f>IFERROR(__xludf.DUMMYFUNCTION("""COMPUTED_VALUE"""),1.09469376E8)</f>
        <v>109469376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IFERROR(__xludf.DUMMYFUNCTION("""COMPUTED_VALUE"""),1355.95)</f>
        <v>1355.95</v>
      </c>
      <c r="C79" s="6">
        <f>IFERROR(__xludf.DUMMYFUNCTION("""COMPUTED_VALUE"""),1373.0)</f>
        <v>1373</v>
      </c>
      <c r="D79" s="6">
        <f>IFERROR(__xludf.DUMMYFUNCTION("""COMPUTED_VALUE"""),1327.2)</f>
        <v>1327.2</v>
      </c>
      <c r="E79" s="6">
        <f>IFERROR(__xludf.DUMMYFUNCTION("""COMPUTED_VALUE"""),1348.35)</f>
        <v>1348.35</v>
      </c>
      <c r="F79" s="6">
        <f>IFERROR(__xludf.DUMMYFUNCTION("""COMPUTED_VALUE"""),6.0007284E7)</f>
        <v>60007284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IFERROR(__xludf.DUMMYFUNCTION("""COMPUTED_VALUE"""),1340.0)</f>
        <v>1340</v>
      </c>
      <c r="C80" s="6">
        <f>IFERROR(__xludf.DUMMYFUNCTION("""COMPUTED_VALUE"""),1352.35)</f>
        <v>1352.35</v>
      </c>
      <c r="D80" s="6">
        <f>IFERROR(__xludf.DUMMYFUNCTION("""COMPUTED_VALUE"""),1315.4)</f>
        <v>1315.4</v>
      </c>
      <c r="E80" s="6">
        <f>IFERROR(__xludf.DUMMYFUNCTION("""COMPUTED_VALUE"""),1335.3)</f>
        <v>1335.3</v>
      </c>
      <c r="F80" s="6">
        <f>IFERROR(__xludf.DUMMYFUNCTION("""COMPUTED_VALUE"""),3.5569788E7)</f>
        <v>35569788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IFERROR(__xludf.DUMMYFUNCTION("""COMPUTED_VALUE"""),1295.25)</f>
        <v>1295.25</v>
      </c>
      <c r="C81" s="6">
        <f>IFERROR(__xludf.DUMMYFUNCTION("""COMPUTED_VALUE"""),1325.0)</f>
        <v>1325</v>
      </c>
      <c r="D81" s="6">
        <f>IFERROR(__xludf.DUMMYFUNCTION("""COMPUTED_VALUE"""),1265.0)</f>
        <v>1265</v>
      </c>
      <c r="E81" s="6">
        <f>IFERROR(__xludf.DUMMYFUNCTION("""COMPUTED_VALUE"""),1311.65)</f>
        <v>1311.65</v>
      </c>
      <c r="F81" s="6">
        <f>IFERROR(__xludf.DUMMYFUNCTION("""COMPUTED_VALUE"""),5.8340643E7)</f>
        <v>58340643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IFERROR(__xludf.DUMMYFUNCTION("""COMPUTED_VALUE"""),1351.0)</f>
        <v>1351</v>
      </c>
      <c r="C82" s="6">
        <f>IFERROR(__xludf.DUMMYFUNCTION("""COMPUTED_VALUE"""),1408.9)</f>
        <v>1408.9</v>
      </c>
      <c r="D82" s="6">
        <f>IFERROR(__xludf.DUMMYFUNCTION("""COMPUTED_VALUE"""),1336.2)</f>
        <v>1336.2</v>
      </c>
      <c r="E82" s="6">
        <f>IFERROR(__xludf.DUMMYFUNCTION("""COMPUTED_VALUE"""),1406.7)</f>
        <v>1406.7</v>
      </c>
      <c r="F82" s="6">
        <f>IFERROR(__xludf.DUMMYFUNCTION("""COMPUTED_VALUE"""),4.67321E7)</f>
        <v>46732100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IFERROR(__xludf.DUMMYFUNCTION("""COMPUTED_VALUE"""),1436.0)</f>
        <v>1436</v>
      </c>
      <c r="C83" s="6">
        <f>IFERROR(__xludf.DUMMYFUNCTION("""COMPUTED_VALUE"""),1436.0)</f>
        <v>1436</v>
      </c>
      <c r="D83" s="6">
        <f>IFERROR(__xludf.DUMMYFUNCTION("""COMPUTED_VALUE"""),1388.4)</f>
        <v>1388.4</v>
      </c>
      <c r="E83" s="6">
        <f>IFERROR(__xludf.DUMMYFUNCTION("""COMPUTED_VALUE"""),1404.8)</f>
        <v>1404.8</v>
      </c>
      <c r="F83" s="6">
        <f>IFERROR(__xludf.DUMMYFUNCTION("""COMPUTED_VALUE"""),7.4391656E7)</f>
        <v>74391656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IFERROR(__xludf.DUMMYFUNCTION("""COMPUTED_VALUE"""),1405.6)</f>
        <v>1405.6</v>
      </c>
      <c r="C84" s="6">
        <f>IFERROR(__xludf.DUMMYFUNCTION("""COMPUTED_VALUE"""),1446.6)</f>
        <v>1446.6</v>
      </c>
      <c r="D84" s="6">
        <f>IFERROR(__xludf.DUMMYFUNCTION("""COMPUTED_VALUE"""),1400.0)</f>
        <v>1400</v>
      </c>
      <c r="E84" s="6">
        <f>IFERROR(__xludf.DUMMYFUNCTION("""COMPUTED_VALUE"""),1432.4)</f>
        <v>1432.4</v>
      </c>
      <c r="F84" s="6">
        <f>IFERROR(__xludf.DUMMYFUNCTION("""COMPUTED_VALUE"""),4.4769932E7)</f>
        <v>44769932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IFERROR(__xludf.DUMMYFUNCTION("""COMPUTED_VALUE"""),1440.0)</f>
        <v>1440</v>
      </c>
      <c r="C85" s="6">
        <f>IFERROR(__xludf.DUMMYFUNCTION("""COMPUTED_VALUE"""),1448.9)</f>
        <v>1448.9</v>
      </c>
      <c r="D85" s="6">
        <f>IFERROR(__xludf.DUMMYFUNCTION("""COMPUTED_VALUE"""),1387.0)</f>
        <v>1387</v>
      </c>
      <c r="E85" s="6">
        <f>IFERROR(__xludf.DUMMYFUNCTION("""COMPUTED_VALUE"""),1388.9)</f>
        <v>1388.9</v>
      </c>
      <c r="F85" s="6">
        <f>IFERROR(__xludf.DUMMYFUNCTION("""COMPUTED_VALUE"""),5.0145535E7)</f>
        <v>50145535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IFERROR(__xludf.DUMMYFUNCTION("""COMPUTED_VALUE"""),1409.4)</f>
        <v>1409.4</v>
      </c>
      <c r="C86" s="6">
        <f>IFERROR(__xludf.DUMMYFUNCTION("""COMPUTED_VALUE"""),1458.7)</f>
        <v>1458.7</v>
      </c>
      <c r="D86" s="6">
        <f>IFERROR(__xludf.DUMMYFUNCTION("""COMPUTED_VALUE"""),1404.0)</f>
        <v>1404</v>
      </c>
      <c r="E86" s="6">
        <f>IFERROR(__xludf.DUMMYFUNCTION("""COMPUTED_VALUE"""),1454.0)</f>
        <v>1454</v>
      </c>
      <c r="F86" s="6">
        <f>IFERROR(__xludf.DUMMYFUNCTION("""COMPUTED_VALUE"""),5.5076178E7)</f>
        <v>55076178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IFERROR(__xludf.DUMMYFUNCTION("""COMPUTED_VALUE"""),1446.5)</f>
        <v>1446.5</v>
      </c>
      <c r="C87" s="6">
        <f>IFERROR(__xludf.DUMMYFUNCTION("""COMPUTED_VALUE"""),1459.7)</f>
        <v>1459.7</v>
      </c>
      <c r="D87" s="6">
        <f>IFERROR(__xludf.DUMMYFUNCTION("""COMPUTED_VALUE"""),1427.8)</f>
        <v>1427.8</v>
      </c>
      <c r="E87" s="6">
        <f>IFERROR(__xludf.DUMMYFUNCTION("""COMPUTED_VALUE"""),1449.8)</f>
        <v>1449.8</v>
      </c>
      <c r="F87" s="6">
        <f>IFERROR(__xludf.DUMMYFUNCTION("""COMPUTED_VALUE"""),3.5317816E7)</f>
        <v>35317816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IFERROR(__xludf.DUMMYFUNCTION("""COMPUTED_VALUE"""),1458.0)</f>
        <v>1458</v>
      </c>
      <c r="C88" s="6">
        <f>IFERROR(__xludf.DUMMYFUNCTION("""COMPUTED_VALUE"""),1471.6)</f>
        <v>1471.6</v>
      </c>
      <c r="D88" s="6">
        <f>IFERROR(__xludf.DUMMYFUNCTION("""COMPUTED_VALUE"""),1435.7)</f>
        <v>1435.7</v>
      </c>
      <c r="E88" s="6">
        <f>IFERROR(__xludf.DUMMYFUNCTION("""COMPUTED_VALUE"""),1445.8)</f>
        <v>1445.8</v>
      </c>
      <c r="F88" s="6">
        <f>IFERROR(__xludf.DUMMYFUNCTION("""COMPUTED_VALUE"""),5.6419516E7)</f>
        <v>56419516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IFERROR(__xludf.DUMMYFUNCTION("""COMPUTED_VALUE"""),1442.0)</f>
        <v>1442</v>
      </c>
      <c r="C89" s="6">
        <f>IFERROR(__xludf.DUMMYFUNCTION("""COMPUTED_VALUE"""),1461.4)</f>
        <v>1461.4</v>
      </c>
      <c r="D89" s="6">
        <f>IFERROR(__xludf.DUMMYFUNCTION("""COMPUTED_VALUE"""),1426.4)</f>
        <v>1426.4</v>
      </c>
      <c r="E89" s="6">
        <f>IFERROR(__xludf.DUMMYFUNCTION("""COMPUTED_VALUE"""),1459.7)</f>
        <v>1459.7</v>
      </c>
      <c r="F89" s="6">
        <f>IFERROR(__xludf.DUMMYFUNCTION("""COMPUTED_VALUE"""),5.1618385E7)</f>
        <v>51618385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IFERROR(__xludf.DUMMYFUNCTION("""COMPUTED_VALUE"""),1465.0)</f>
        <v>1465</v>
      </c>
      <c r="C90" s="6">
        <f>IFERROR(__xludf.DUMMYFUNCTION("""COMPUTED_VALUE"""),1466.8)</f>
        <v>1466.8</v>
      </c>
      <c r="D90" s="6">
        <f>IFERROR(__xludf.DUMMYFUNCTION("""COMPUTED_VALUE"""),1403.6)</f>
        <v>1403.6</v>
      </c>
      <c r="E90" s="6">
        <f>IFERROR(__xludf.DUMMYFUNCTION("""COMPUTED_VALUE"""),1416.1)</f>
        <v>1416.1</v>
      </c>
      <c r="F90" s="6">
        <f>IFERROR(__xludf.DUMMYFUNCTION("""COMPUTED_VALUE"""),4.659053E7)</f>
        <v>46590530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IFERROR(__xludf.DUMMYFUNCTION("""COMPUTED_VALUE"""),1416.6)</f>
        <v>1416.6</v>
      </c>
      <c r="C91" s="6">
        <f>IFERROR(__xludf.DUMMYFUNCTION("""COMPUTED_VALUE"""),1433.3)</f>
        <v>1433.3</v>
      </c>
      <c r="D91" s="6">
        <f>IFERROR(__xludf.DUMMYFUNCTION("""COMPUTED_VALUE"""),1404.7)</f>
        <v>1404.7</v>
      </c>
      <c r="E91" s="6">
        <f>IFERROR(__xludf.DUMMYFUNCTION("""COMPUTED_VALUE"""),1427.1)</f>
        <v>1427.1</v>
      </c>
      <c r="F91" s="6">
        <f>IFERROR(__xludf.DUMMYFUNCTION("""COMPUTED_VALUE"""),4.0431041E7)</f>
        <v>40431041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IFERROR(__xludf.DUMMYFUNCTION("""COMPUTED_VALUE"""),1417.0)</f>
        <v>1417</v>
      </c>
      <c r="C92" s="6">
        <f>IFERROR(__xludf.DUMMYFUNCTION("""COMPUTED_VALUE"""),1466.0)</f>
        <v>1466</v>
      </c>
      <c r="D92" s="6">
        <f>IFERROR(__xludf.DUMMYFUNCTION("""COMPUTED_VALUE"""),1411.9)</f>
        <v>1411.9</v>
      </c>
      <c r="E92" s="6">
        <f>IFERROR(__xludf.DUMMYFUNCTION("""COMPUTED_VALUE"""),1462.2)</f>
        <v>1462.2</v>
      </c>
      <c r="F92" s="6">
        <f>IFERROR(__xludf.DUMMYFUNCTION("""COMPUTED_VALUE"""),6.0380544E7)</f>
        <v>60380544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IFERROR(__xludf.DUMMYFUNCTION("""COMPUTED_VALUE"""),1461.8)</f>
        <v>1461.8</v>
      </c>
      <c r="C93" s="6">
        <f>IFERROR(__xludf.DUMMYFUNCTION("""COMPUTED_VALUE"""),1461.9)</f>
        <v>1461.9</v>
      </c>
      <c r="D93" s="6">
        <f>IFERROR(__xludf.DUMMYFUNCTION("""COMPUTED_VALUE"""),1421.1)</f>
        <v>1421.1</v>
      </c>
      <c r="E93" s="6">
        <f>IFERROR(__xludf.DUMMYFUNCTION("""COMPUTED_VALUE"""),1442.8)</f>
        <v>1442.8</v>
      </c>
      <c r="F93" s="6">
        <f>IFERROR(__xludf.DUMMYFUNCTION("""COMPUTED_VALUE"""),4.2703043E7)</f>
        <v>42703043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IFERROR(__xludf.DUMMYFUNCTION("""COMPUTED_VALUE"""),1437.0)</f>
        <v>1437</v>
      </c>
      <c r="C94" s="6">
        <f>IFERROR(__xludf.DUMMYFUNCTION("""COMPUTED_VALUE"""),1445.0)</f>
        <v>1445</v>
      </c>
      <c r="D94" s="6">
        <f>IFERROR(__xludf.DUMMYFUNCTION("""COMPUTED_VALUE"""),1414.6)</f>
        <v>1414.6</v>
      </c>
      <c r="E94" s="6">
        <f>IFERROR(__xludf.DUMMYFUNCTION("""COMPUTED_VALUE"""),1421.9)</f>
        <v>1421.9</v>
      </c>
      <c r="F94" s="6">
        <f>IFERROR(__xludf.DUMMYFUNCTION("""COMPUTED_VALUE"""),3.427465E7)</f>
        <v>34274650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IFERROR(__xludf.DUMMYFUNCTION("""COMPUTED_VALUE"""),1424.9)</f>
        <v>1424.9</v>
      </c>
      <c r="C95" s="6">
        <f>IFERROR(__xludf.DUMMYFUNCTION("""COMPUTED_VALUE"""),1433.8)</f>
        <v>1433.8</v>
      </c>
      <c r="D95" s="6">
        <f>IFERROR(__xludf.DUMMYFUNCTION("""COMPUTED_VALUE"""),1408.5)</f>
        <v>1408.5</v>
      </c>
      <c r="E95" s="6">
        <f>IFERROR(__xludf.DUMMYFUNCTION("""COMPUTED_VALUE"""),1425.8)</f>
        <v>1425.8</v>
      </c>
      <c r="F95" s="6">
        <f>IFERROR(__xludf.DUMMYFUNCTION("""COMPUTED_VALUE"""),4.1761344E7)</f>
        <v>41761344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IFERROR(__xludf.DUMMYFUNCTION("""COMPUTED_VALUE"""),1448.0)</f>
        <v>1448</v>
      </c>
      <c r="C96" s="6">
        <f>IFERROR(__xludf.DUMMYFUNCTION("""COMPUTED_VALUE"""),1500.0)</f>
        <v>1500</v>
      </c>
      <c r="D96" s="6">
        <f>IFERROR(__xludf.DUMMYFUNCTION("""COMPUTED_VALUE"""),1437.0)</f>
        <v>1437</v>
      </c>
      <c r="E96" s="6">
        <f>IFERROR(__xludf.DUMMYFUNCTION("""COMPUTED_VALUE"""),1477.1)</f>
        <v>1477.1</v>
      </c>
      <c r="F96" s="6">
        <f>IFERROR(__xludf.DUMMYFUNCTION("""COMPUTED_VALUE"""),5.016813E7)</f>
        <v>50168130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IFERROR(__xludf.DUMMYFUNCTION("""COMPUTED_VALUE"""),1477.1)</f>
        <v>1477.1</v>
      </c>
      <c r="C97" s="6">
        <f>IFERROR(__xludf.DUMMYFUNCTION("""COMPUTED_VALUE"""),1494.5)</f>
        <v>1494.5</v>
      </c>
      <c r="D97" s="6">
        <f>IFERROR(__xludf.DUMMYFUNCTION("""COMPUTED_VALUE"""),1464.0)</f>
        <v>1464</v>
      </c>
      <c r="E97" s="6">
        <f>IFERROR(__xludf.DUMMYFUNCTION("""COMPUTED_VALUE"""),1471.6)</f>
        <v>1471.6</v>
      </c>
      <c r="F97" s="6">
        <f>IFERROR(__xludf.DUMMYFUNCTION("""COMPUTED_VALUE"""),4.1345048E7)</f>
        <v>41345048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IFERROR(__xludf.DUMMYFUNCTION("""COMPUTED_VALUE"""),1476.8)</f>
        <v>1476.8</v>
      </c>
      <c r="C98" s="6">
        <f>IFERROR(__xludf.DUMMYFUNCTION("""COMPUTED_VALUE"""),1478.8)</f>
        <v>1478.8</v>
      </c>
      <c r="D98" s="6">
        <f>IFERROR(__xludf.DUMMYFUNCTION("""COMPUTED_VALUE"""),1429.1)</f>
        <v>1429.1</v>
      </c>
      <c r="E98" s="6">
        <f>IFERROR(__xludf.DUMMYFUNCTION("""COMPUTED_VALUE"""),1435.9)</f>
        <v>1435.9</v>
      </c>
      <c r="F98" s="6">
        <f>IFERROR(__xludf.DUMMYFUNCTION("""COMPUTED_VALUE"""),4.1592695E7)</f>
        <v>41592695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IFERROR(__xludf.DUMMYFUNCTION("""COMPUTED_VALUE"""),1427.9)</f>
        <v>1427.9</v>
      </c>
      <c r="C99" s="6">
        <f>IFERROR(__xludf.DUMMYFUNCTION("""COMPUTED_VALUE"""),1438.4)</f>
        <v>1438.4</v>
      </c>
      <c r="D99" s="6">
        <f>IFERROR(__xludf.DUMMYFUNCTION("""COMPUTED_VALUE"""),1412.0)</f>
        <v>1412</v>
      </c>
      <c r="E99" s="6">
        <f>IFERROR(__xludf.DUMMYFUNCTION("""COMPUTED_VALUE"""),1427.3)</f>
        <v>1427.3</v>
      </c>
      <c r="F99" s="6">
        <f>IFERROR(__xludf.DUMMYFUNCTION("""COMPUTED_VALUE"""),3.0993689E7)</f>
        <v>30993689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IFERROR(__xludf.DUMMYFUNCTION("""COMPUTED_VALUE"""),1450.0)</f>
        <v>1450</v>
      </c>
      <c r="C100" s="6">
        <f>IFERROR(__xludf.DUMMYFUNCTION("""COMPUTED_VALUE"""),1452.4)</f>
        <v>1452.4</v>
      </c>
      <c r="D100" s="6">
        <f>IFERROR(__xludf.DUMMYFUNCTION("""COMPUTED_VALUE"""),1423.0)</f>
        <v>1423</v>
      </c>
      <c r="E100" s="6">
        <f>IFERROR(__xludf.DUMMYFUNCTION("""COMPUTED_VALUE"""),1436.4)</f>
        <v>1436.4</v>
      </c>
      <c r="F100" s="6">
        <f>IFERROR(__xludf.DUMMYFUNCTION("""COMPUTED_VALUE"""),3.2332108E7)</f>
        <v>32332108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IFERROR(__xludf.DUMMYFUNCTION("""COMPUTED_VALUE"""),1435.9)</f>
        <v>1435.9</v>
      </c>
      <c r="C101" s="6">
        <f>IFERROR(__xludf.DUMMYFUNCTION("""COMPUTED_VALUE"""),1435.9)</f>
        <v>1435.9</v>
      </c>
      <c r="D101" s="6">
        <f>IFERROR(__xludf.DUMMYFUNCTION("""COMPUTED_VALUE"""),1413.1)</f>
        <v>1413.1</v>
      </c>
      <c r="E101" s="6">
        <f>IFERROR(__xludf.DUMMYFUNCTION("""COMPUTED_VALUE"""),1416.6)</f>
        <v>1416.6</v>
      </c>
      <c r="F101" s="6">
        <f>IFERROR(__xludf.DUMMYFUNCTION("""COMPUTED_VALUE"""),1.15740655E8)</f>
        <v>115740655</v>
      </c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IFERROR(__xludf.DUMMYFUNCTION("GOOGLEFINANCE(""NSE:ICICIGI"",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IFERROR(__xludf.DUMMYFUNCTION("""COMPUTED_VALUE"""),1315.0)</f>
        <v>1315</v>
      </c>
      <c r="C2" s="6">
        <f>IFERROR(__xludf.DUMMYFUNCTION("""COMPUTED_VALUE"""),1354.5)</f>
        <v>1354.5</v>
      </c>
      <c r="D2" s="6">
        <f>IFERROR(__xludf.DUMMYFUNCTION("""COMPUTED_VALUE"""),1309.2)</f>
        <v>1309.2</v>
      </c>
      <c r="E2" s="6">
        <f>IFERROR(__xludf.DUMMYFUNCTION("""COMPUTED_VALUE"""),1341.35)</f>
        <v>1341.35</v>
      </c>
      <c r="F2" s="6">
        <f>IFERROR(__xludf.DUMMYFUNCTION("""COMPUTED_VALUE"""),2539614.0)</f>
        <v>2539614</v>
      </c>
    </row>
    <row r="3">
      <c r="A3" s="7">
        <f>IFERROR(__xludf.DUMMYFUNCTION("""COMPUTED_VALUE"""),45177.64583333333)</f>
        <v>45177.64583</v>
      </c>
      <c r="B3" s="6">
        <f>IFERROR(__xludf.DUMMYFUNCTION("""COMPUTED_VALUE"""),1360.95)</f>
        <v>1360.95</v>
      </c>
      <c r="C3" s="6">
        <f>IFERROR(__xludf.DUMMYFUNCTION("""COMPUTED_VALUE"""),1398.9)</f>
        <v>1398.9</v>
      </c>
      <c r="D3" s="6">
        <f>IFERROR(__xludf.DUMMYFUNCTION("""COMPUTED_VALUE"""),1337.5)</f>
        <v>1337.5</v>
      </c>
      <c r="E3" s="6">
        <f>IFERROR(__xludf.DUMMYFUNCTION("""COMPUTED_VALUE"""),1349.0)</f>
        <v>1349</v>
      </c>
      <c r="F3" s="6">
        <f>IFERROR(__xludf.DUMMYFUNCTION("""COMPUTED_VALUE"""),3012307.0)</f>
        <v>3012307</v>
      </c>
    </row>
    <row r="4">
      <c r="A4" s="7">
        <f>IFERROR(__xludf.DUMMYFUNCTION("""COMPUTED_VALUE"""),45184.64583333333)</f>
        <v>45184.64583</v>
      </c>
      <c r="B4" s="6">
        <f>IFERROR(__xludf.DUMMYFUNCTION("""COMPUTED_VALUE"""),1349.0)</f>
        <v>1349</v>
      </c>
      <c r="C4" s="6">
        <f>IFERROR(__xludf.DUMMYFUNCTION("""COMPUTED_VALUE"""),1385.0)</f>
        <v>1385</v>
      </c>
      <c r="D4" s="6">
        <f>IFERROR(__xludf.DUMMYFUNCTION("""COMPUTED_VALUE"""),1338.75)</f>
        <v>1338.75</v>
      </c>
      <c r="E4" s="6">
        <f>IFERROR(__xludf.DUMMYFUNCTION("""COMPUTED_VALUE"""),1377.85)</f>
        <v>1377.85</v>
      </c>
      <c r="F4" s="6">
        <f>IFERROR(__xludf.DUMMYFUNCTION("""COMPUTED_VALUE"""),2280077.0)</f>
        <v>2280077</v>
      </c>
    </row>
    <row r="5">
      <c r="A5" s="7">
        <f>IFERROR(__xludf.DUMMYFUNCTION("""COMPUTED_VALUE"""),45191.64583333333)</f>
        <v>45191.64583</v>
      </c>
      <c r="B5" s="6">
        <f>IFERROR(__xludf.DUMMYFUNCTION("""COMPUTED_VALUE"""),1382.4)</f>
        <v>1382.4</v>
      </c>
      <c r="C5" s="6">
        <f>IFERROR(__xludf.DUMMYFUNCTION("""COMPUTED_VALUE"""),1386.9)</f>
        <v>1386.9</v>
      </c>
      <c r="D5" s="6">
        <f>IFERROR(__xludf.DUMMYFUNCTION("""COMPUTED_VALUE"""),1321.55)</f>
        <v>1321.55</v>
      </c>
      <c r="E5" s="6">
        <f>IFERROR(__xludf.DUMMYFUNCTION("""COMPUTED_VALUE"""),1343.7)</f>
        <v>1343.7</v>
      </c>
      <c r="F5" s="6">
        <f>IFERROR(__xludf.DUMMYFUNCTION("""COMPUTED_VALUE"""),2157825.0)</f>
        <v>2157825</v>
      </c>
    </row>
    <row r="6">
      <c r="A6" s="7">
        <f>IFERROR(__xludf.DUMMYFUNCTION("""COMPUTED_VALUE"""),45198.64583333333)</f>
        <v>45198.64583</v>
      </c>
      <c r="B6" s="6">
        <f>IFERROR(__xludf.DUMMYFUNCTION("""COMPUTED_VALUE"""),1346.1)</f>
        <v>1346.1</v>
      </c>
      <c r="C6" s="6">
        <f>IFERROR(__xludf.DUMMYFUNCTION("""COMPUTED_VALUE"""),1350.4)</f>
        <v>1350.4</v>
      </c>
      <c r="D6" s="6">
        <f>IFERROR(__xludf.DUMMYFUNCTION("""COMPUTED_VALUE"""),1266.0)</f>
        <v>1266</v>
      </c>
      <c r="E6" s="6">
        <f>IFERROR(__xludf.DUMMYFUNCTION("""COMPUTED_VALUE"""),1309.55)</f>
        <v>1309.55</v>
      </c>
      <c r="F6" s="6">
        <f>IFERROR(__xludf.DUMMYFUNCTION("""COMPUTED_VALUE"""),3421681.0)</f>
        <v>3421681</v>
      </c>
    </row>
    <row r="7">
      <c r="A7" s="7">
        <f>IFERROR(__xludf.DUMMYFUNCTION("""COMPUTED_VALUE"""),45205.64583333333)</f>
        <v>45205.64583</v>
      </c>
      <c r="B7" s="6">
        <f>IFERROR(__xludf.DUMMYFUNCTION("""COMPUTED_VALUE"""),1313.95)</f>
        <v>1313.95</v>
      </c>
      <c r="C7" s="6">
        <f>IFERROR(__xludf.DUMMYFUNCTION("""COMPUTED_VALUE"""),1326.45)</f>
        <v>1326.45</v>
      </c>
      <c r="D7" s="6">
        <f>IFERROR(__xludf.DUMMYFUNCTION("""COMPUTED_VALUE"""),1286.0)</f>
        <v>1286</v>
      </c>
      <c r="E7" s="6">
        <f>IFERROR(__xludf.DUMMYFUNCTION("""COMPUTED_VALUE"""),1319.65)</f>
        <v>1319.65</v>
      </c>
      <c r="F7" s="6">
        <f>IFERROR(__xludf.DUMMYFUNCTION("""COMPUTED_VALUE"""),1647006.0)</f>
        <v>1647006</v>
      </c>
    </row>
    <row r="8">
      <c r="A8" s="7">
        <f>IFERROR(__xludf.DUMMYFUNCTION("""COMPUTED_VALUE"""),45212.64583333333)</f>
        <v>45212.64583</v>
      </c>
      <c r="B8" s="6">
        <f>IFERROR(__xludf.DUMMYFUNCTION("""COMPUTED_VALUE"""),1314.95)</f>
        <v>1314.95</v>
      </c>
      <c r="C8" s="6">
        <f>IFERROR(__xludf.DUMMYFUNCTION("""COMPUTED_VALUE"""),1335.9)</f>
        <v>1335.9</v>
      </c>
      <c r="D8" s="6">
        <f>IFERROR(__xludf.DUMMYFUNCTION("""COMPUTED_VALUE"""),1292.15)</f>
        <v>1292.15</v>
      </c>
      <c r="E8" s="6">
        <f>IFERROR(__xludf.DUMMYFUNCTION("""COMPUTED_VALUE"""),1313.95)</f>
        <v>1313.95</v>
      </c>
      <c r="F8" s="6">
        <f>IFERROR(__xludf.DUMMYFUNCTION("""COMPUTED_VALUE"""),1659105.0)</f>
        <v>1659105</v>
      </c>
    </row>
    <row r="9">
      <c r="A9" s="7">
        <f>IFERROR(__xludf.DUMMYFUNCTION("""COMPUTED_VALUE"""),45219.64583333333)</f>
        <v>45219.64583</v>
      </c>
      <c r="B9" s="6">
        <f>IFERROR(__xludf.DUMMYFUNCTION("""COMPUTED_VALUE"""),1313.0)</f>
        <v>1313</v>
      </c>
      <c r="C9" s="6">
        <f>IFERROR(__xludf.DUMMYFUNCTION("""COMPUTED_VALUE"""),1408.45)</f>
        <v>1408.45</v>
      </c>
      <c r="D9" s="6">
        <f>IFERROR(__xludf.DUMMYFUNCTION("""COMPUTED_VALUE"""),1313.0)</f>
        <v>1313</v>
      </c>
      <c r="E9" s="6">
        <f>IFERROR(__xludf.DUMMYFUNCTION("""COMPUTED_VALUE"""),1388.15)</f>
        <v>1388.15</v>
      </c>
      <c r="F9" s="6">
        <f>IFERROR(__xludf.DUMMYFUNCTION("""COMPUTED_VALUE"""),2769871.0)</f>
        <v>2769871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IFERROR(__xludf.DUMMYFUNCTION("""COMPUTED_VALUE"""),1388.15)</f>
        <v>1388.15</v>
      </c>
      <c r="C10" s="6">
        <f>IFERROR(__xludf.DUMMYFUNCTION("""COMPUTED_VALUE"""),1419.4)</f>
        <v>1419.4</v>
      </c>
      <c r="D10" s="6">
        <f>IFERROR(__xludf.DUMMYFUNCTION("""COMPUTED_VALUE"""),1345.4)</f>
        <v>1345.4</v>
      </c>
      <c r="E10" s="6">
        <f>IFERROR(__xludf.DUMMYFUNCTION("""COMPUTED_VALUE"""),1357.35)</f>
        <v>1357.35</v>
      </c>
      <c r="F10" s="6">
        <f>IFERROR(__xludf.DUMMYFUNCTION("""COMPUTED_VALUE"""),2502314.0)</f>
        <v>2502314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IFERROR(__xludf.DUMMYFUNCTION("""COMPUTED_VALUE"""),1352.5)</f>
        <v>1352.5</v>
      </c>
      <c r="C11" s="6">
        <f>IFERROR(__xludf.DUMMYFUNCTION("""COMPUTED_VALUE"""),1385.4)</f>
        <v>1385.4</v>
      </c>
      <c r="D11" s="6">
        <f>IFERROR(__xludf.DUMMYFUNCTION("""COMPUTED_VALUE"""),1332.25)</f>
        <v>1332.25</v>
      </c>
      <c r="E11" s="6">
        <f>IFERROR(__xludf.DUMMYFUNCTION("""COMPUTED_VALUE"""),1362.7)</f>
        <v>1362.7</v>
      </c>
      <c r="F11" s="6">
        <f>IFERROR(__xludf.DUMMYFUNCTION("""COMPUTED_VALUE"""),1420208.0)</f>
        <v>1420208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IFERROR(__xludf.DUMMYFUNCTION("""COMPUTED_VALUE"""),1363.0)</f>
        <v>1363</v>
      </c>
      <c r="C12" s="6">
        <f>IFERROR(__xludf.DUMMYFUNCTION("""COMPUTED_VALUE"""),1390.15)</f>
        <v>1390.15</v>
      </c>
      <c r="D12" s="6">
        <f>IFERROR(__xludf.DUMMYFUNCTION("""COMPUTED_VALUE"""),1344.0)</f>
        <v>1344</v>
      </c>
      <c r="E12" s="6">
        <f>IFERROR(__xludf.DUMMYFUNCTION("""COMPUTED_VALUE"""),1352.25)</f>
        <v>1352.25</v>
      </c>
      <c r="F12" s="6">
        <f>IFERROR(__xludf.DUMMYFUNCTION("""COMPUTED_VALUE"""),1785662.0)</f>
        <v>1785662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IFERROR(__xludf.DUMMYFUNCTION("""COMPUTED_VALUE"""),1352.25)</f>
        <v>1352.25</v>
      </c>
      <c r="C13" s="6">
        <f>IFERROR(__xludf.DUMMYFUNCTION("""COMPUTED_VALUE"""),1484.1)</f>
        <v>1484.1</v>
      </c>
      <c r="D13" s="6">
        <f>IFERROR(__xludf.DUMMYFUNCTION("""COMPUTED_VALUE"""),1336.0)</f>
        <v>1336</v>
      </c>
      <c r="E13" s="6">
        <f>IFERROR(__xludf.DUMMYFUNCTION("""COMPUTED_VALUE"""),1446.15)</f>
        <v>1446.15</v>
      </c>
      <c r="F13" s="6">
        <f>IFERROR(__xludf.DUMMYFUNCTION("""COMPUTED_VALUE"""),4122846.0)</f>
        <v>4122846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IFERROR(__xludf.DUMMYFUNCTION("""COMPUTED_VALUE"""),1446.15)</f>
        <v>1446.15</v>
      </c>
      <c r="C14" s="6">
        <f>IFERROR(__xludf.DUMMYFUNCTION("""COMPUTED_VALUE"""),1485.0)</f>
        <v>1485</v>
      </c>
      <c r="D14" s="6">
        <f>IFERROR(__xludf.DUMMYFUNCTION("""COMPUTED_VALUE"""),1420.0)</f>
        <v>1420</v>
      </c>
      <c r="E14" s="6">
        <f>IFERROR(__xludf.DUMMYFUNCTION("""COMPUTED_VALUE"""),1438.5)</f>
        <v>1438.5</v>
      </c>
      <c r="F14" s="6">
        <f>IFERROR(__xludf.DUMMYFUNCTION("""COMPUTED_VALUE"""),2881592.0)</f>
        <v>2881592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IFERROR(__xludf.DUMMYFUNCTION("""COMPUTED_VALUE"""),1440.0)</f>
        <v>1440</v>
      </c>
      <c r="C15" s="6">
        <f>IFERROR(__xludf.DUMMYFUNCTION("""COMPUTED_VALUE"""),1492.0)</f>
        <v>1492</v>
      </c>
      <c r="D15" s="6">
        <f>IFERROR(__xludf.DUMMYFUNCTION("""COMPUTED_VALUE"""),1432.45)</f>
        <v>1432.45</v>
      </c>
      <c r="E15" s="6">
        <f>IFERROR(__xludf.DUMMYFUNCTION("""COMPUTED_VALUE"""),1457.65)</f>
        <v>1457.65</v>
      </c>
      <c r="F15" s="6">
        <f>IFERROR(__xludf.DUMMYFUNCTION("""COMPUTED_VALUE"""),3415747.0)</f>
        <v>3415747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IFERROR(__xludf.DUMMYFUNCTION("""COMPUTED_VALUE"""),1464.9)</f>
        <v>1464.9</v>
      </c>
      <c r="C16" s="6">
        <f>IFERROR(__xludf.DUMMYFUNCTION("""COMPUTED_VALUE"""),1487.45)</f>
        <v>1487.45</v>
      </c>
      <c r="D16" s="6">
        <f>IFERROR(__xludf.DUMMYFUNCTION("""COMPUTED_VALUE"""),1439.05)</f>
        <v>1439.05</v>
      </c>
      <c r="E16" s="6">
        <f>IFERROR(__xludf.DUMMYFUNCTION("""COMPUTED_VALUE"""),1449.4)</f>
        <v>1449.4</v>
      </c>
      <c r="F16" s="6">
        <f>IFERROR(__xludf.DUMMYFUNCTION("""COMPUTED_VALUE"""),2093262.0)</f>
        <v>2093262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IFERROR(__xludf.DUMMYFUNCTION("""COMPUTED_VALUE"""),1441.1)</f>
        <v>1441.1</v>
      </c>
      <c r="C17" s="6">
        <f>IFERROR(__xludf.DUMMYFUNCTION("""COMPUTED_VALUE"""),1473.55)</f>
        <v>1473.55</v>
      </c>
      <c r="D17" s="6">
        <f>IFERROR(__xludf.DUMMYFUNCTION("""COMPUTED_VALUE"""),1428.95)</f>
        <v>1428.95</v>
      </c>
      <c r="E17" s="6">
        <f>IFERROR(__xludf.DUMMYFUNCTION("""COMPUTED_VALUE"""),1451.65)</f>
        <v>1451.65</v>
      </c>
      <c r="F17" s="6">
        <f>IFERROR(__xludf.DUMMYFUNCTION("""COMPUTED_VALUE"""),2702318.0)</f>
        <v>2702318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IFERROR(__xludf.DUMMYFUNCTION("""COMPUTED_VALUE"""),1443.05)</f>
        <v>1443.05</v>
      </c>
      <c r="C18" s="6">
        <f>IFERROR(__xludf.DUMMYFUNCTION("""COMPUTED_VALUE"""),1463.7)</f>
        <v>1463.7</v>
      </c>
      <c r="D18" s="6">
        <f>IFERROR(__xludf.DUMMYFUNCTION("""COMPUTED_VALUE"""),1386.8)</f>
        <v>1386.8</v>
      </c>
      <c r="E18" s="6">
        <f>IFERROR(__xludf.DUMMYFUNCTION("""COMPUTED_VALUE"""),1422.6)</f>
        <v>1422.6</v>
      </c>
      <c r="F18" s="6">
        <f>IFERROR(__xludf.DUMMYFUNCTION("""COMPUTED_VALUE"""),1896465.0)</f>
        <v>1896465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IFERROR(__xludf.DUMMYFUNCTION("""COMPUTED_VALUE"""),1423.0)</f>
        <v>1423</v>
      </c>
      <c r="C19" s="6">
        <f>IFERROR(__xludf.DUMMYFUNCTION("""COMPUTED_VALUE"""),1441.0)</f>
        <v>1441</v>
      </c>
      <c r="D19" s="6">
        <f>IFERROR(__xludf.DUMMYFUNCTION("""COMPUTED_VALUE"""),1403.0)</f>
        <v>1403</v>
      </c>
      <c r="E19" s="6">
        <f>IFERROR(__xludf.DUMMYFUNCTION("""COMPUTED_VALUE"""),1420.1)</f>
        <v>1420.1</v>
      </c>
      <c r="F19" s="6">
        <f>IFERROR(__xludf.DUMMYFUNCTION("""COMPUTED_VALUE"""),1253602.0)</f>
        <v>1253602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IFERROR(__xludf.DUMMYFUNCTION("""COMPUTED_VALUE"""),1429.0)</f>
        <v>1429</v>
      </c>
      <c r="C20" s="6">
        <f>IFERROR(__xludf.DUMMYFUNCTION("""COMPUTED_VALUE"""),1448.95)</f>
        <v>1448.95</v>
      </c>
      <c r="D20" s="6">
        <f>IFERROR(__xludf.DUMMYFUNCTION("""COMPUTED_VALUE"""),1373.7)</f>
        <v>1373.7</v>
      </c>
      <c r="E20" s="6">
        <f>IFERROR(__xludf.DUMMYFUNCTION("""COMPUTED_VALUE"""),1395.6)</f>
        <v>1395.6</v>
      </c>
      <c r="F20" s="6">
        <f>IFERROR(__xludf.DUMMYFUNCTION("""COMPUTED_VALUE"""),2227239.0)</f>
        <v>2227239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IFERROR(__xludf.DUMMYFUNCTION("""COMPUTED_VALUE"""),1395.0)</f>
        <v>1395</v>
      </c>
      <c r="C21" s="6">
        <f>IFERROR(__xludf.DUMMYFUNCTION("""COMPUTED_VALUE"""),1420.0)</f>
        <v>1420</v>
      </c>
      <c r="D21" s="6">
        <f>IFERROR(__xludf.DUMMYFUNCTION("""COMPUTED_VALUE"""),1377.4)</f>
        <v>1377.4</v>
      </c>
      <c r="E21" s="6">
        <f>IFERROR(__xludf.DUMMYFUNCTION("""COMPUTED_VALUE"""),1394.1)</f>
        <v>1394.1</v>
      </c>
      <c r="F21" s="6">
        <f>IFERROR(__xludf.DUMMYFUNCTION("""COMPUTED_VALUE"""),2904590.0)</f>
        <v>2904590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IFERROR(__xludf.DUMMYFUNCTION("""COMPUTED_VALUE"""),1490.0)</f>
        <v>1490</v>
      </c>
      <c r="C22" s="6">
        <f>IFERROR(__xludf.DUMMYFUNCTION("""COMPUTED_VALUE"""),1513.0)</f>
        <v>1513</v>
      </c>
      <c r="D22" s="6">
        <f>IFERROR(__xludf.DUMMYFUNCTION("""COMPUTED_VALUE"""),1450.6)</f>
        <v>1450.6</v>
      </c>
      <c r="E22" s="6">
        <f>IFERROR(__xludf.DUMMYFUNCTION("""COMPUTED_VALUE"""),1482.2)</f>
        <v>1482.2</v>
      </c>
      <c r="F22" s="6">
        <f>IFERROR(__xludf.DUMMYFUNCTION("""COMPUTED_VALUE"""),2464922.0)</f>
        <v>2464922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IFERROR(__xludf.DUMMYFUNCTION("""COMPUTED_VALUE"""),1482.2)</f>
        <v>1482.2</v>
      </c>
      <c r="C23" s="6">
        <f>IFERROR(__xludf.DUMMYFUNCTION("""COMPUTED_VALUE"""),1524.0)</f>
        <v>1524</v>
      </c>
      <c r="D23" s="6">
        <f>IFERROR(__xludf.DUMMYFUNCTION("""COMPUTED_VALUE"""),1468.8)</f>
        <v>1468.8</v>
      </c>
      <c r="E23" s="6">
        <f>IFERROR(__xludf.DUMMYFUNCTION("""COMPUTED_VALUE"""),1499.05)</f>
        <v>1499.05</v>
      </c>
      <c r="F23" s="6">
        <f>IFERROR(__xludf.DUMMYFUNCTION("""COMPUTED_VALUE"""),2361535.0)</f>
        <v>2361535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IFERROR(__xludf.DUMMYFUNCTION("""COMPUTED_VALUE"""),1500.0)</f>
        <v>1500</v>
      </c>
      <c r="C24" s="6">
        <f>IFERROR(__xludf.DUMMYFUNCTION("""COMPUTED_VALUE"""),1644.2)</f>
        <v>1644.2</v>
      </c>
      <c r="D24" s="6">
        <f>IFERROR(__xludf.DUMMYFUNCTION("""COMPUTED_VALUE"""),1500.0)</f>
        <v>1500</v>
      </c>
      <c r="E24" s="6">
        <f>IFERROR(__xludf.DUMMYFUNCTION("""COMPUTED_VALUE"""),1638.4)</f>
        <v>1638.4</v>
      </c>
      <c r="F24" s="6">
        <f>IFERROR(__xludf.DUMMYFUNCTION("""COMPUTED_VALUE"""),3885413.0)</f>
        <v>3885413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IFERROR(__xludf.DUMMYFUNCTION("""COMPUTED_VALUE"""),1650.0)</f>
        <v>1650</v>
      </c>
      <c r="C25" s="6">
        <f>IFERROR(__xludf.DUMMYFUNCTION("""COMPUTED_VALUE"""),1662.95)</f>
        <v>1662.95</v>
      </c>
      <c r="D25" s="6">
        <f>IFERROR(__xludf.DUMMYFUNCTION("""COMPUTED_VALUE"""),1600.0)</f>
        <v>1600</v>
      </c>
      <c r="E25" s="6">
        <f>IFERROR(__xludf.DUMMYFUNCTION("""COMPUTED_VALUE"""),1645.4)</f>
        <v>1645.4</v>
      </c>
      <c r="F25" s="6">
        <f>IFERROR(__xludf.DUMMYFUNCTION("""COMPUTED_VALUE"""),2665361.0)</f>
        <v>2665361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IFERROR(__xludf.DUMMYFUNCTION("""COMPUTED_VALUE"""),1645.5)</f>
        <v>1645.5</v>
      </c>
      <c r="C26" s="6">
        <f>IFERROR(__xludf.DUMMYFUNCTION("""COMPUTED_VALUE"""),1667.0)</f>
        <v>1667</v>
      </c>
      <c r="D26" s="6">
        <f>IFERROR(__xludf.DUMMYFUNCTION("""COMPUTED_VALUE"""),1621.0)</f>
        <v>1621</v>
      </c>
      <c r="E26" s="6">
        <f>IFERROR(__xludf.DUMMYFUNCTION("""COMPUTED_VALUE"""),1639.25)</f>
        <v>1639.25</v>
      </c>
      <c r="F26" s="6">
        <f>IFERROR(__xludf.DUMMYFUNCTION("""COMPUTED_VALUE"""),2764377.0)</f>
        <v>2764377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IFERROR(__xludf.DUMMYFUNCTION("""COMPUTED_VALUE"""),1651.95)</f>
        <v>1651.95</v>
      </c>
      <c r="C27" s="6">
        <f>IFERROR(__xludf.DUMMYFUNCTION("""COMPUTED_VALUE"""),1670.65)</f>
        <v>1670.65</v>
      </c>
      <c r="D27" s="6">
        <f>IFERROR(__xludf.DUMMYFUNCTION("""COMPUTED_VALUE"""),1625.1)</f>
        <v>1625.1</v>
      </c>
      <c r="E27" s="6">
        <f>IFERROR(__xludf.DUMMYFUNCTION("""COMPUTED_VALUE"""),1666.15)</f>
        <v>1666.15</v>
      </c>
      <c r="F27" s="6">
        <f>IFERROR(__xludf.DUMMYFUNCTION("""COMPUTED_VALUE"""),3285122.0)</f>
        <v>3285122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IFERROR(__xludf.DUMMYFUNCTION("""COMPUTED_VALUE"""),1666.15)</f>
        <v>1666.15</v>
      </c>
      <c r="C28" s="6">
        <f>IFERROR(__xludf.DUMMYFUNCTION("""COMPUTED_VALUE"""),1699.0)</f>
        <v>1699</v>
      </c>
      <c r="D28" s="6">
        <f>IFERROR(__xludf.DUMMYFUNCTION("""COMPUTED_VALUE"""),1611.0)</f>
        <v>1611</v>
      </c>
      <c r="E28" s="6">
        <f>IFERROR(__xludf.DUMMYFUNCTION("""COMPUTED_VALUE"""),1651.35)</f>
        <v>1651.35</v>
      </c>
      <c r="F28" s="6">
        <f>IFERROR(__xludf.DUMMYFUNCTION("""COMPUTED_VALUE"""),4542127.0)</f>
        <v>4542127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IFERROR(__xludf.DUMMYFUNCTION("""COMPUTED_VALUE"""),1646.0)</f>
        <v>1646</v>
      </c>
      <c r="C29" s="6">
        <f>IFERROR(__xludf.DUMMYFUNCTION("""COMPUTED_VALUE"""),1681.4)</f>
        <v>1681.4</v>
      </c>
      <c r="D29" s="6">
        <f>IFERROR(__xludf.DUMMYFUNCTION("""COMPUTED_VALUE"""),1621.05)</f>
        <v>1621.05</v>
      </c>
      <c r="E29" s="6">
        <f>IFERROR(__xludf.DUMMYFUNCTION("""COMPUTED_VALUE"""),1669.85)</f>
        <v>1669.85</v>
      </c>
      <c r="F29" s="6">
        <f>IFERROR(__xludf.DUMMYFUNCTION("""COMPUTED_VALUE"""),3070316.0)</f>
        <v>3070316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IFERROR(__xludf.DUMMYFUNCTION("""COMPUTED_VALUE"""),1669.85)</f>
        <v>1669.85</v>
      </c>
      <c r="C30" s="6">
        <f>IFERROR(__xludf.DUMMYFUNCTION("""COMPUTED_VALUE"""),1693.0)</f>
        <v>1693</v>
      </c>
      <c r="D30" s="6">
        <f>IFERROR(__xludf.DUMMYFUNCTION("""COMPUTED_VALUE"""),1622.0)</f>
        <v>1622</v>
      </c>
      <c r="E30" s="6">
        <f>IFERROR(__xludf.DUMMYFUNCTION("""COMPUTED_VALUE"""),1684.5)</f>
        <v>1684.5</v>
      </c>
      <c r="F30" s="6">
        <f>IFERROR(__xludf.DUMMYFUNCTION("""COMPUTED_VALUE"""),2713882.0)</f>
        <v>2713882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IFERROR(__xludf.DUMMYFUNCTION("""COMPUTED_VALUE"""),1709.0)</f>
        <v>1709</v>
      </c>
      <c r="C31" s="6">
        <f>IFERROR(__xludf.DUMMYFUNCTION("""COMPUTED_VALUE"""),1728.0)</f>
        <v>1728</v>
      </c>
      <c r="D31" s="6">
        <f>IFERROR(__xludf.DUMMYFUNCTION("""COMPUTED_VALUE"""),1632.55)</f>
        <v>1632.55</v>
      </c>
      <c r="E31" s="6">
        <f>IFERROR(__xludf.DUMMYFUNCTION("""COMPUTED_VALUE"""),1717.8)</f>
        <v>1717.8</v>
      </c>
      <c r="F31" s="6">
        <f>IFERROR(__xludf.DUMMYFUNCTION("""COMPUTED_VALUE"""),3017474.0)</f>
        <v>3017474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IFERROR(__xludf.DUMMYFUNCTION("""COMPUTED_VALUE"""),1728.0)</f>
        <v>1728</v>
      </c>
      <c r="C32" s="6">
        <f>IFERROR(__xludf.DUMMYFUNCTION("""COMPUTED_VALUE"""),1728.0)</f>
        <v>1728</v>
      </c>
      <c r="D32" s="6">
        <f>IFERROR(__xludf.DUMMYFUNCTION("""COMPUTED_VALUE"""),1655.55)</f>
        <v>1655.55</v>
      </c>
      <c r="E32" s="6">
        <f>IFERROR(__xludf.DUMMYFUNCTION("""COMPUTED_VALUE"""),1667.2)</f>
        <v>1667.2</v>
      </c>
      <c r="F32" s="6">
        <f>IFERROR(__xludf.DUMMYFUNCTION("""COMPUTED_VALUE"""),1464105.0)</f>
        <v>1464105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IFERROR(__xludf.DUMMYFUNCTION("""COMPUTED_VALUE"""),1647.2)</f>
        <v>1647.2</v>
      </c>
      <c r="C33" s="6">
        <f>IFERROR(__xludf.DUMMYFUNCTION("""COMPUTED_VALUE"""),1747.0)</f>
        <v>1747</v>
      </c>
      <c r="D33" s="6">
        <f>IFERROR(__xludf.DUMMYFUNCTION("""COMPUTED_VALUE"""),1611.5)</f>
        <v>1611.5</v>
      </c>
      <c r="E33" s="6">
        <f>IFERROR(__xludf.DUMMYFUNCTION("""COMPUTED_VALUE"""),1689.75)</f>
        <v>1689.75</v>
      </c>
      <c r="F33" s="6">
        <f>IFERROR(__xludf.DUMMYFUNCTION("""COMPUTED_VALUE"""),7912290.0)</f>
        <v>7912290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IFERROR(__xludf.DUMMYFUNCTION("""COMPUTED_VALUE"""),1692.45)</f>
        <v>1692.45</v>
      </c>
      <c r="C34" s="6">
        <f>IFERROR(__xludf.DUMMYFUNCTION("""COMPUTED_VALUE"""),1723.95)</f>
        <v>1723.95</v>
      </c>
      <c r="D34" s="6">
        <f>IFERROR(__xludf.DUMMYFUNCTION("""COMPUTED_VALUE"""),1671.0)</f>
        <v>1671</v>
      </c>
      <c r="E34" s="6">
        <f>IFERROR(__xludf.DUMMYFUNCTION("""COMPUTED_VALUE"""),1692.65)</f>
        <v>1692.65</v>
      </c>
      <c r="F34" s="6">
        <f>IFERROR(__xludf.DUMMYFUNCTION("""COMPUTED_VALUE"""),2704571.0)</f>
        <v>2704571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IFERROR(__xludf.DUMMYFUNCTION("""COMPUTED_VALUE"""),1692.65)</f>
        <v>1692.65</v>
      </c>
      <c r="C35" s="6">
        <f>IFERROR(__xludf.DUMMYFUNCTION("""COMPUTED_VALUE"""),1735.3)</f>
        <v>1735.3</v>
      </c>
      <c r="D35" s="6">
        <f>IFERROR(__xludf.DUMMYFUNCTION("""COMPUTED_VALUE"""),1641.45)</f>
        <v>1641.45</v>
      </c>
      <c r="E35" s="6">
        <f>IFERROR(__xludf.DUMMYFUNCTION("""COMPUTED_VALUE"""),1673.4)</f>
        <v>1673.4</v>
      </c>
      <c r="F35" s="6">
        <f>IFERROR(__xludf.DUMMYFUNCTION("""COMPUTED_VALUE"""),3097221.0)</f>
        <v>3097221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IFERROR(__xludf.DUMMYFUNCTION("""COMPUTED_VALUE"""),1674.8)</f>
        <v>1674.8</v>
      </c>
      <c r="C36" s="6">
        <f>IFERROR(__xludf.DUMMYFUNCTION("""COMPUTED_VALUE"""),1731.0)</f>
        <v>1731</v>
      </c>
      <c r="D36" s="6">
        <f>IFERROR(__xludf.DUMMYFUNCTION("""COMPUTED_VALUE"""),1644.85)</f>
        <v>1644.85</v>
      </c>
      <c r="E36" s="6">
        <f>IFERROR(__xludf.DUMMYFUNCTION("""COMPUTED_VALUE"""),1661.5)</f>
        <v>1661.5</v>
      </c>
      <c r="F36" s="6">
        <f>IFERROR(__xludf.DUMMYFUNCTION("""COMPUTED_VALUE"""),3656446.0)</f>
        <v>3656446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IFERROR(__xludf.DUMMYFUNCTION("""COMPUTED_VALUE"""),1674.25)</f>
        <v>1674.25</v>
      </c>
      <c r="C37" s="6">
        <f>IFERROR(__xludf.DUMMYFUNCTION("""COMPUTED_VALUE"""),1675.9)</f>
        <v>1675.9</v>
      </c>
      <c r="D37" s="6">
        <f>IFERROR(__xludf.DUMMYFUNCTION("""COMPUTED_VALUE"""),1625.0)</f>
        <v>1625</v>
      </c>
      <c r="E37" s="6">
        <f>IFERROR(__xludf.DUMMYFUNCTION("""COMPUTED_VALUE"""),1659.9)</f>
        <v>1659.9</v>
      </c>
      <c r="F37" s="6">
        <f>IFERROR(__xludf.DUMMYFUNCTION("""COMPUTED_VALUE"""),1985844.0)</f>
        <v>1985844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IFERROR(__xludf.DUMMYFUNCTION("""COMPUTED_VALUE"""),1650.1)</f>
        <v>1650.1</v>
      </c>
      <c r="C38" s="6">
        <f>IFERROR(__xludf.DUMMYFUNCTION("""COMPUTED_VALUE"""),1666.95)</f>
        <v>1666.95</v>
      </c>
      <c r="D38" s="6">
        <f>IFERROR(__xludf.DUMMYFUNCTION("""COMPUTED_VALUE"""),1567.25)</f>
        <v>1567.25</v>
      </c>
      <c r="E38" s="6">
        <f>IFERROR(__xludf.DUMMYFUNCTION("""COMPUTED_VALUE"""),1580.75)</f>
        <v>1580.75</v>
      </c>
      <c r="F38" s="6">
        <f>IFERROR(__xludf.DUMMYFUNCTION("""COMPUTED_VALUE"""),4544232.0)</f>
        <v>4544232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IFERROR(__xludf.DUMMYFUNCTION("""COMPUTED_VALUE"""),1630.0)</f>
        <v>1630</v>
      </c>
      <c r="C39" s="6">
        <f>IFERROR(__xludf.DUMMYFUNCTION("""COMPUTED_VALUE"""),1660.25)</f>
        <v>1660.25</v>
      </c>
      <c r="D39" s="6">
        <f>IFERROR(__xludf.DUMMYFUNCTION("""COMPUTED_VALUE"""),1480.5)</f>
        <v>1480.5</v>
      </c>
      <c r="E39" s="6">
        <f>IFERROR(__xludf.DUMMYFUNCTION("""COMPUTED_VALUE"""),1655.15)</f>
        <v>1655.15</v>
      </c>
      <c r="F39" s="6">
        <f>IFERROR(__xludf.DUMMYFUNCTION("""COMPUTED_VALUE"""),4663360.0)</f>
        <v>4663360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IFERROR(__xludf.DUMMYFUNCTION("""COMPUTED_VALUE"""),1655.15)</f>
        <v>1655.15</v>
      </c>
      <c r="C40" s="6">
        <f>IFERROR(__xludf.DUMMYFUNCTION("""COMPUTED_VALUE"""),1766.95)</f>
        <v>1766.95</v>
      </c>
      <c r="D40" s="6">
        <f>IFERROR(__xludf.DUMMYFUNCTION("""COMPUTED_VALUE"""),1641.0)</f>
        <v>1641</v>
      </c>
      <c r="E40" s="6">
        <f>IFERROR(__xludf.DUMMYFUNCTION("""COMPUTED_VALUE"""),1730.9)</f>
        <v>1730.9</v>
      </c>
      <c r="F40" s="6">
        <f>IFERROR(__xludf.DUMMYFUNCTION("""COMPUTED_VALUE"""),6919312.0)</f>
        <v>6919312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IFERROR(__xludf.DUMMYFUNCTION("""COMPUTED_VALUE"""),1731.0)</f>
        <v>1731</v>
      </c>
      <c r="C41" s="6">
        <f>IFERROR(__xludf.DUMMYFUNCTION("""COMPUTED_VALUE"""),1784.0)</f>
        <v>1784</v>
      </c>
      <c r="D41" s="6">
        <f>IFERROR(__xludf.DUMMYFUNCTION("""COMPUTED_VALUE"""),1709.95)</f>
        <v>1709.95</v>
      </c>
      <c r="E41" s="6">
        <f>IFERROR(__xludf.DUMMYFUNCTION("""COMPUTED_VALUE"""),1756.85)</f>
        <v>1756.85</v>
      </c>
      <c r="F41" s="6">
        <f>IFERROR(__xludf.DUMMYFUNCTION("""COMPUTED_VALUE"""),9071196.0)</f>
        <v>9071196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IFERROR(__xludf.DUMMYFUNCTION("""COMPUTED_VALUE"""),1754.75)</f>
        <v>1754.75</v>
      </c>
      <c r="C42" s="6">
        <f>IFERROR(__xludf.DUMMYFUNCTION("""COMPUTED_VALUE"""),1814.0)</f>
        <v>1814</v>
      </c>
      <c r="D42" s="6">
        <f>IFERROR(__xludf.DUMMYFUNCTION("""COMPUTED_VALUE"""),1731.85)</f>
        <v>1731.85</v>
      </c>
      <c r="E42" s="6">
        <f>IFERROR(__xludf.DUMMYFUNCTION("""COMPUTED_VALUE"""),1789.55)</f>
        <v>1789.55</v>
      </c>
      <c r="F42" s="6">
        <f>IFERROR(__xludf.DUMMYFUNCTION("""COMPUTED_VALUE"""),4324553.0)</f>
        <v>4324553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IFERROR(__xludf.DUMMYFUNCTION("""COMPUTED_VALUE"""),1787.0)</f>
        <v>1787</v>
      </c>
      <c r="C43" s="6">
        <f>IFERROR(__xludf.DUMMYFUNCTION("""COMPUTED_VALUE"""),1877.4)</f>
        <v>1877.4</v>
      </c>
      <c r="D43" s="6">
        <f>IFERROR(__xludf.DUMMYFUNCTION("""COMPUTED_VALUE"""),1782.15)</f>
        <v>1782.15</v>
      </c>
      <c r="E43" s="6">
        <f>IFERROR(__xludf.DUMMYFUNCTION("""COMPUTED_VALUE"""),1865.05)</f>
        <v>1865.05</v>
      </c>
      <c r="F43" s="6">
        <f>IFERROR(__xludf.DUMMYFUNCTION("""COMPUTED_VALUE"""),3891080.0)</f>
        <v>3891080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IFERROR(__xludf.DUMMYFUNCTION("""COMPUTED_VALUE"""),1865.05)</f>
        <v>1865.05</v>
      </c>
      <c r="C44" s="6">
        <f>IFERROR(__xludf.DUMMYFUNCTION("""COMPUTED_VALUE"""),1886.2)</f>
        <v>1886.2</v>
      </c>
      <c r="D44" s="6">
        <f>IFERROR(__xludf.DUMMYFUNCTION("""COMPUTED_VALUE"""),1822.0)</f>
        <v>1822</v>
      </c>
      <c r="E44" s="6">
        <f>IFERROR(__xludf.DUMMYFUNCTION("""COMPUTED_VALUE"""),1865.3)</f>
        <v>1865.3</v>
      </c>
      <c r="F44" s="6">
        <f>IFERROR(__xludf.DUMMYFUNCTION("""COMPUTED_VALUE"""),2689613.0)</f>
        <v>2689613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IFERROR(__xludf.DUMMYFUNCTION("""COMPUTED_VALUE"""),1867.15)</f>
        <v>1867.15</v>
      </c>
      <c r="C45" s="6">
        <f>IFERROR(__xludf.DUMMYFUNCTION("""COMPUTED_VALUE"""),1916.0)</f>
        <v>1916</v>
      </c>
      <c r="D45" s="6">
        <f>IFERROR(__xludf.DUMMYFUNCTION("""COMPUTED_VALUE"""),1853.55)</f>
        <v>1853.55</v>
      </c>
      <c r="E45" s="6">
        <f>IFERROR(__xludf.DUMMYFUNCTION("""COMPUTED_VALUE"""),1881.4)</f>
        <v>1881.4</v>
      </c>
      <c r="F45" s="6">
        <f>IFERROR(__xludf.DUMMYFUNCTION("""COMPUTED_VALUE"""),2967834.0)</f>
        <v>2967834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IFERROR(__xludf.DUMMYFUNCTION("""COMPUTED_VALUE"""),1893.0)</f>
        <v>1893</v>
      </c>
      <c r="C46" s="6">
        <f>IFERROR(__xludf.DUMMYFUNCTION("""COMPUTED_VALUE"""),1980.05)</f>
        <v>1980.05</v>
      </c>
      <c r="D46" s="6">
        <f>IFERROR(__xludf.DUMMYFUNCTION("""COMPUTED_VALUE"""),1856.85)</f>
        <v>1856.85</v>
      </c>
      <c r="E46" s="6">
        <f>IFERROR(__xludf.DUMMYFUNCTION("""COMPUTED_VALUE"""),1967.3)</f>
        <v>1967.3</v>
      </c>
      <c r="F46" s="6">
        <f>IFERROR(__xludf.DUMMYFUNCTION("""COMPUTED_VALUE"""),5796257.0)</f>
        <v>5796257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IFERROR(__xludf.DUMMYFUNCTION("""COMPUTED_VALUE"""),1969.0)</f>
        <v>1969</v>
      </c>
      <c r="C47" s="6">
        <f>IFERROR(__xludf.DUMMYFUNCTION("""COMPUTED_VALUE"""),2031.0)</f>
        <v>2031</v>
      </c>
      <c r="D47" s="6">
        <f>IFERROR(__xludf.DUMMYFUNCTION("""COMPUTED_VALUE"""),1922.85)</f>
        <v>1922.85</v>
      </c>
      <c r="E47" s="6">
        <f>IFERROR(__xludf.DUMMYFUNCTION("""COMPUTED_VALUE"""),1983.3)</f>
        <v>1983.3</v>
      </c>
      <c r="F47" s="6">
        <f>IFERROR(__xludf.DUMMYFUNCTION("""COMPUTED_VALUE"""),4435562.0)</f>
        <v>4435562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IFERROR(__xludf.DUMMYFUNCTION("""COMPUTED_VALUE"""),1959.5)</f>
        <v>1959.5</v>
      </c>
      <c r="C48" s="6">
        <f>IFERROR(__xludf.DUMMYFUNCTION("""COMPUTED_VALUE"""),1996.45)</f>
        <v>1996.45</v>
      </c>
      <c r="D48" s="6">
        <f>IFERROR(__xludf.DUMMYFUNCTION("""COMPUTED_VALUE"""),1905.05)</f>
        <v>1905.05</v>
      </c>
      <c r="E48" s="6">
        <f>IFERROR(__xludf.DUMMYFUNCTION("""COMPUTED_VALUE"""),1965.95)</f>
        <v>1965.95</v>
      </c>
      <c r="F48" s="6">
        <f>IFERROR(__xludf.DUMMYFUNCTION("""COMPUTED_VALUE"""),3380118.0)</f>
        <v>3380118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IFERROR(__xludf.DUMMYFUNCTION("""COMPUTED_VALUE"""),1973.3)</f>
        <v>1973.3</v>
      </c>
      <c r="C49" s="6">
        <f>IFERROR(__xludf.DUMMYFUNCTION("""COMPUTED_VALUE"""),2046.8)</f>
        <v>2046.8</v>
      </c>
      <c r="D49" s="6">
        <f>IFERROR(__xludf.DUMMYFUNCTION("""COMPUTED_VALUE"""),1930.0)</f>
        <v>1930</v>
      </c>
      <c r="E49" s="6">
        <f>IFERROR(__xludf.DUMMYFUNCTION("""COMPUTED_VALUE"""),2036.7)</f>
        <v>2036.7</v>
      </c>
      <c r="F49" s="6">
        <f>IFERROR(__xludf.DUMMYFUNCTION("""COMPUTED_VALUE"""),3529540.0)</f>
        <v>3529540</v>
      </c>
    </row>
    <row r="50">
      <c r="A50" s="7">
        <f>IFERROR(__xludf.DUMMYFUNCTION("""COMPUTED_VALUE"""),45527.64583333333)</f>
        <v>45527.64583</v>
      </c>
      <c r="B50" s="6">
        <f>IFERROR(__xludf.DUMMYFUNCTION("""COMPUTED_VALUE"""),2043.45)</f>
        <v>2043.45</v>
      </c>
      <c r="C50" s="6">
        <f>IFERROR(__xludf.DUMMYFUNCTION("""COMPUTED_VALUE"""),2119.3)</f>
        <v>2119.3</v>
      </c>
      <c r="D50" s="6">
        <f>IFERROR(__xludf.DUMMYFUNCTION("""COMPUTED_VALUE"""),1993.05)</f>
        <v>1993.05</v>
      </c>
      <c r="E50" s="6">
        <f>IFERROR(__xludf.DUMMYFUNCTION("""COMPUTED_VALUE"""),2096.8)</f>
        <v>2096.8</v>
      </c>
      <c r="F50" s="6">
        <f>IFERROR(__xludf.DUMMYFUNCTION("""COMPUTED_VALUE"""),4455568.0)</f>
        <v>4455568</v>
      </c>
    </row>
    <row r="51">
      <c r="A51" s="7">
        <f>IFERROR(__xludf.DUMMYFUNCTION("""COMPUTED_VALUE"""),45534.64583333333)</f>
        <v>45534.64583</v>
      </c>
      <c r="B51" s="6">
        <f>IFERROR(__xludf.DUMMYFUNCTION("""COMPUTED_VALUE"""),2108.0)</f>
        <v>2108</v>
      </c>
      <c r="C51" s="6">
        <f>IFERROR(__xludf.DUMMYFUNCTION("""COMPUTED_VALUE"""),2183.0)</f>
        <v>2183</v>
      </c>
      <c r="D51" s="6">
        <f>IFERROR(__xludf.DUMMYFUNCTION("""COMPUTED_VALUE"""),2080.2)</f>
        <v>2080.2</v>
      </c>
      <c r="E51" s="6">
        <f>IFERROR(__xludf.DUMMYFUNCTION("""COMPUTED_VALUE"""),2141.75)</f>
        <v>2141.75</v>
      </c>
      <c r="F51" s="6">
        <f>IFERROR(__xludf.DUMMYFUNCTION("""COMPUTED_VALUE"""),6099052.0)</f>
        <v>6099052</v>
      </c>
    </row>
    <row r="52">
      <c r="A52" s="7">
        <f>IFERROR(__xludf.DUMMYFUNCTION("""COMPUTED_VALUE"""),45541.64583333333)</f>
        <v>45541.64583</v>
      </c>
      <c r="B52" s="6">
        <f>IFERROR(__xludf.DUMMYFUNCTION("""COMPUTED_VALUE"""),2142.0)</f>
        <v>2142</v>
      </c>
      <c r="C52" s="6">
        <f>IFERROR(__xludf.DUMMYFUNCTION("""COMPUTED_VALUE"""),2285.0)</f>
        <v>2285</v>
      </c>
      <c r="D52" s="6">
        <f>IFERROR(__xludf.DUMMYFUNCTION("""COMPUTED_VALUE"""),2142.0)</f>
        <v>2142</v>
      </c>
      <c r="E52" s="6">
        <f>IFERROR(__xludf.DUMMYFUNCTION("""COMPUTED_VALUE"""),2261.7)</f>
        <v>2261.7</v>
      </c>
      <c r="F52" s="6">
        <f>IFERROR(__xludf.DUMMYFUNCTION("""COMPUTED_VALUE"""),4604456.0)</f>
        <v>4604456</v>
      </c>
    </row>
    <row r="53">
      <c r="A53" s="7">
        <f>IFERROR(__xludf.DUMMYFUNCTION("""COMPUTED_VALUE"""),45548.64583333333)</f>
        <v>45548.64583</v>
      </c>
      <c r="B53" s="6">
        <f>IFERROR(__xludf.DUMMYFUNCTION("""COMPUTED_VALUE"""),2261.55)</f>
        <v>2261.55</v>
      </c>
      <c r="C53" s="6">
        <f>IFERROR(__xludf.DUMMYFUNCTION("""COMPUTED_VALUE"""),2273.45)</f>
        <v>2273.45</v>
      </c>
      <c r="D53" s="6">
        <f>IFERROR(__xludf.DUMMYFUNCTION("""COMPUTED_VALUE"""),2105.05)</f>
        <v>2105.05</v>
      </c>
      <c r="E53" s="6">
        <f>IFERROR(__xludf.DUMMYFUNCTION("""COMPUTED_VALUE"""),2109.25)</f>
        <v>2109.25</v>
      </c>
      <c r="F53" s="6">
        <f>IFERROR(__xludf.DUMMYFUNCTION("""COMPUTED_VALUE"""),3731439.0)</f>
        <v>3731439</v>
      </c>
    </row>
    <row r="54">
      <c r="A54" s="7">
        <f>IFERROR(__xludf.DUMMYFUNCTION("""COMPUTED_VALUE"""),45555.64583333333)</f>
        <v>45555.64583</v>
      </c>
      <c r="B54" s="6">
        <f>IFERROR(__xludf.DUMMYFUNCTION("""COMPUTED_VALUE"""),2114.0)</f>
        <v>2114</v>
      </c>
      <c r="C54" s="6">
        <f>IFERROR(__xludf.DUMMYFUNCTION("""COMPUTED_VALUE"""),2254.5)</f>
        <v>2254.5</v>
      </c>
      <c r="D54" s="6">
        <f>IFERROR(__xludf.DUMMYFUNCTION("""COMPUTED_VALUE"""),2076.5)</f>
        <v>2076.5</v>
      </c>
      <c r="E54" s="6">
        <f>IFERROR(__xludf.DUMMYFUNCTION("""COMPUTED_VALUE"""),2234.05)</f>
        <v>2234.05</v>
      </c>
      <c r="F54" s="6">
        <f>IFERROR(__xludf.DUMMYFUNCTION("""COMPUTED_VALUE"""),5159895.0)</f>
        <v>5159895</v>
      </c>
    </row>
    <row r="55">
      <c r="A55" s="7">
        <f>IFERROR(__xludf.DUMMYFUNCTION("""COMPUTED_VALUE"""),45562.64583333333)</f>
        <v>45562.64583</v>
      </c>
      <c r="B55" s="6">
        <f>IFERROR(__xludf.DUMMYFUNCTION("""COMPUTED_VALUE"""),2240.0)</f>
        <v>2240</v>
      </c>
      <c r="C55" s="6">
        <f>IFERROR(__xludf.DUMMYFUNCTION("""COMPUTED_VALUE"""),2301.9)</f>
        <v>2301.9</v>
      </c>
      <c r="D55" s="6">
        <f>IFERROR(__xludf.DUMMYFUNCTION("""COMPUTED_VALUE"""),2200.15)</f>
        <v>2200.15</v>
      </c>
      <c r="E55" s="6">
        <f>IFERROR(__xludf.DUMMYFUNCTION("""COMPUTED_VALUE"""),2238.15)</f>
        <v>2238.15</v>
      </c>
      <c r="F55" s="6">
        <f>IFERROR(__xludf.DUMMYFUNCTION("""COMPUTED_VALUE"""),3583019.0)</f>
        <v>3583019</v>
      </c>
    </row>
    <row r="56">
      <c r="A56" s="7">
        <f>IFERROR(__xludf.DUMMYFUNCTION("""COMPUTED_VALUE"""),45569.64583333333)</f>
        <v>45569.64583</v>
      </c>
      <c r="B56" s="6">
        <f>IFERROR(__xludf.DUMMYFUNCTION("""COMPUTED_VALUE"""),2236.5)</f>
        <v>2236.5</v>
      </c>
      <c r="C56" s="6">
        <f>IFERROR(__xludf.DUMMYFUNCTION("""COMPUTED_VALUE"""),2239.8)</f>
        <v>2239.8</v>
      </c>
      <c r="D56" s="6">
        <f>IFERROR(__xludf.DUMMYFUNCTION("""COMPUTED_VALUE"""),2116.9)</f>
        <v>2116.9</v>
      </c>
      <c r="E56" s="6">
        <f>IFERROR(__xludf.DUMMYFUNCTION("""COMPUTED_VALUE"""),2126.6)</f>
        <v>2126.6</v>
      </c>
      <c r="F56" s="6">
        <f>IFERROR(__xludf.DUMMYFUNCTION("""COMPUTED_VALUE"""),2818093.0)</f>
        <v>2818093</v>
      </c>
    </row>
    <row r="57">
      <c r="A57" s="7">
        <f>IFERROR(__xludf.DUMMYFUNCTION("""COMPUTED_VALUE"""),45576.64583333333)</f>
        <v>45576.64583</v>
      </c>
      <c r="B57" s="6">
        <f>IFERROR(__xludf.DUMMYFUNCTION("""COMPUTED_VALUE"""),2150.0)</f>
        <v>2150</v>
      </c>
      <c r="C57" s="6">
        <f>IFERROR(__xludf.DUMMYFUNCTION("""COMPUTED_VALUE"""),2165.8)</f>
        <v>2165.8</v>
      </c>
      <c r="D57" s="6">
        <f>IFERROR(__xludf.DUMMYFUNCTION("""COMPUTED_VALUE"""),2060.0)</f>
        <v>2060</v>
      </c>
      <c r="E57" s="6">
        <f>IFERROR(__xludf.DUMMYFUNCTION("""COMPUTED_VALUE"""),2067.35)</f>
        <v>2067.35</v>
      </c>
      <c r="F57" s="6">
        <f>IFERROR(__xludf.DUMMYFUNCTION("""COMPUTED_VALUE"""),2587162.0)</f>
        <v>2587162</v>
      </c>
    </row>
    <row r="58">
      <c r="A58" s="7">
        <f>IFERROR(__xludf.DUMMYFUNCTION("""COMPUTED_VALUE"""),45583.64583333333)</f>
        <v>45583.64583</v>
      </c>
      <c r="B58" s="6">
        <f>IFERROR(__xludf.DUMMYFUNCTION("""COMPUTED_VALUE"""),2065.0)</f>
        <v>2065</v>
      </c>
      <c r="C58" s="6">
        <f>IFERROR(__xludf.DUMMYFUNCTION("""COMPUTED_VALUE"""),2145.0)</f>
        <v>2145</v>
      </c>
      <c r="D58" s="6">
        <f>IFERROR(__xludf.DUMMYFUNCTION("""COMPUTED_VALUE"""),1988.55)</f>
        <v>1988.55</v>
      </c>
      <c r="E58" s="6">
        <f>IFERROR(__xludf.DUMMYFUNCTION("""COMPUTED_VALUE"""),2020.95)</f>
        <v>2020.95</v>
      </c>
      <c r="F58" s="6">
        <f>IFERROR(__xludf.DUMMYFUNCTION("""COMPUTED_VALUE"""),2804428.0)</f>
        <v>2804428</v>
      </c>
    </row>
    <row r="59">
      <c r="A59" s="7">
        <f>IFERROR(__xludf.DUMMYFUNCTION("""COMPUTED_VALUE"""),45590.64583333333)</f>
        <v>45590.64583</v>
      </c>
      <c r="B59" s="6">
        <f>IFERROR(__xludf.DUMMYFUNCTION("""COMPUTED_VALUE"""),2034.0)</f>
        <v>2034</v>
      </c>
      <c r="C59" s="6">
        <f>IFERROR(__xludf.DUMMYFUNCTION("""COMPUTED_VALUE"""),2094.35)</f>
        <v>2094.35</v>
      </c>
      <c r="D59" s="6">
        <f>IFERROR(__xludf.DUMMYFUNCTION("""COMPUTED_VALUE"""),1916.8)</f>
        <v>1916.8</v>
      </c>
      <c r="E59" s="6">
        <f>IFERROR(__xludf.DUMMYFUNCTION("""COMPUTED_VALUE"""),1929.15)</f>
        <v>1929.15</v>
      </c>
      <c r="F59" s="6">
        <f>IFERROR(__xludf.DUMMYFUNCTION("""COMPUTED_VALUE"""),4540429.0)</f>
        <v>4540429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IFERROR(__xludf.DUMMYFUNCTION("""COMPUTED_VALUE"""),1908.5)</f>
        <v>1908.5</v>
      </c>
      <c r="C60" s="6">
        <f>IFERROR(__xludf.DUMMYFUNCTION("""COMPUTED_VALUE"""),2003.75)</f>
        <v>2003.75</v>
      </c>
      <c r="D60" s="6">
        <f>IFERROR(__xludf.DUMMYFUNCTION("""COMPUTED_VALUE"""),1843.85)</f>
        <v>1843.85</v>
      </c>
      <c r="E60" s="6">
        <f>IFERROR(__xludf.DUMMYFUNCTION("""COMPUTED_VALUE"""),1910.15)</f>
        <v>1910.15</v>
      </c>
      <c r="F60" s="6">
        <f>IFERROR(__xludf.DUMMYFUNCTION("""COMPUTED_VALUE"""),2433344.0)</f>
        <v>2433344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IFERROR(__xludf.DUMMYFUNCTION("""COMPUTED_VALUE"""),1893.0)</f>
        <v>1893</v>
      </c>
      <c r="C61" s="6">
        <f>IFERROR(__xludf.DUMMYFUNCTION("""COMPUTED_VALUE"""),1933.1)</f>
        <v>1933.1</v>
      </c>
      <c r="D61" s="6">
        <f>IFERROR(__xludf.DUMMYFUNCTION("""COMPUTED_VALUE"""),1849.85)</f>
        <v>1849.85</v>
      </c>
      <c r="E61" s="6">
        <f>IFERROR(__xludf.DUMMYFUNCTION("""COMPUTED_VALUE"""),1863.4)</f>
        <v>1863.4</v>
      </c>
      <c r="F61" s="6">
        <f>IFERROR(__xludf.DUMMYFUNCTION("""COMPUTED_VALUE"""),1684936.0)</f>
        <v>1684936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IFERROR(__xludf.DUMMYFUNCTION("""COMPUTED_VALUE"""),1870.05)</f>
        <v>1870.05</v>
      </c>
      <c r="C62" s="6">
        <f>IFERROR(__xludf.DUMMYFUNCTION("""COMPUTED_VALUE"""),1967.1)</f>
        <v>1967.1</v>
      </c>
      <c r="D62" s="6">
        <f>IFERROR(__xludf.DUMMYFUNCTION("""COMPUTED_VALUE"""),1789.05)</f>
        <v>1789.05</v>
      </c>
      <c r="E62" s="6">
        <f>IFERROR(__xludf.DUMMYFUNCTION("""COMPUTED_VALUE"""),1837.5)</f>
        <v>1837.5</v>
      </c>
      <c r="F62" s="6">
        <f>IFERROR(__xludf.DUMMYFUNCTION("""COMPUTED_VALUE"""),2755629.0)</f>
        <v>2755629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IFERROR(__xludf.DUMMYFUNCTION("""COMPUTED_VALUE"""),1851.95)</f>
        <v>1851.95</v>
      </c>
      <c r="C63" s="6">
        <f>IFERROR(__xludf.DUMMYFUNCTION("""COMPUTED_VALUE"""),1888.8)</f>
        <v>1888.8</v>
      </c>
      <c r="D63" s="6">
        <f>IFERROR(__xludf.DUMMYFUNCTION("""COMPUTED_VALUE"""),1826.15)</f>
        <v>1826.15</v>
      </c>
      <c r="E63" s="6">
        <f>IFERROR(__xludf.DUMMYFUNCTION("""COMPUTED_VALUE"""),1861.85)</f>
        <v>1861.85</v>
      </c>
      <c r="F63" s="6">
        <f>IFERROR(__xludf.DUMMYFUNCTION("""COMPUTED_VALUE"""),3171090.0)</f>
        <v>3171090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IFERROR(__xludf.DUMMYFUNCTION("""COMPUTED_VALUE"""),1869.75)</f>
        <v>1869.75</v>
      </c>
      <c r="C64" s="6">
        <f>IFERROR(__xludf.DUMMYFUNCTION("""COMPUTED_VALUE"""),1957.8)</f>
        <v>1957.8</v>
      </c>
      <c r="D64" s="6">
        <f>IFERROR(__xludf.DUMMYFUNCTION("""COMPUTED_VALUE"""),1822.7)</f>
        <v>1822.7</v>
      </c>
      <c r="E64" s="6">
        <f>IFERROR(__xludf.DUMMYFUNCTION("""COMPUTED_VALUE"""),1949.9)</f>
        <v>1949.9</v>
      </c>
      <c r="F64" s="6">
        <f>IFERROR(__xludf.DUMMYFUNCTION("""COMPUTED_VALUE"""),3216426.0)</f>
        <v>3216426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IFERROR(__xludf.DUMMYFUNCTION("""COMPUTED_VALUE"""),1945.0)</f>
        <v>1945</v>
      </c>
      <c r="C65" s="6">
        <f>IFERROR(__xludf.DUMMYFUNCTION("""COMPUTED_VALUE"""),1991.95)</f>
        <v>1991.95</v>
      </c>
      <c r="D65" s="6">
        <f>IFERROR(__xludf.DUMMYFUNCTION("""COMPUTED_VALUE"""),1927.2)</f>
        <v>1927.2</v>
      </c>
      <c r="E65" s="6">
        <f>IFERROR(__xludf.DUMMYFUNCTION("""COMPUTED_VALUE"""),1983.35)</f>
        <v>1983.35</v>
      </c>
      <c r="F65" s="6">
        <f>IFERROR(__xludf.DUMMYFUNCTION("""COMPUTED_VALUE"""),1890116.0)</f>
        <v>1890116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IFERROR(__xludf.DUMMYFUNCTION("""COMPUTED_VALUE"""),1989.2)</f>
        <v>1989.2</v>
      </c>
      <c r="C66" s="6">
        <f>IFERROR(__xludf.DUMMYFUNCTION("""COMPUTED_VALUE"""),1998.5)</f>
        <v>1998.5</v>
      </c>
      <c r="D66" s="6">
        <f>IFERROR(__xludf.DUMMYFUNCTION("""COMPUTED_VALUE"""),1840.55)</f>
        <v>1840.55</v>
      </c>
      <c r="E66" s="6">
        <f>IFERROR(__xludf.DUMMYFUNCTION("""COMPUTED_VALUE"""),1902.15)</f>
        <v>1902.15</v>
      </c>
      <c r="F66" s="6">
        <f>IFERROR(__xludf.DUMMYFUNCTION("""COMPUTED_VALUE"""),2679140.0)</f>
        <v>2679140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IFERROR(__xludf.DUMMYFUNCTION("""COMPUTED_VALUE"""),1895.15)</f>
        <v>1895.15</v>
      </c>
      <c r="C67" s="6">
        <f>IFERROR(__xludf.DUMMYFUNCTION("""COMPUTED_VALUE"""),1899.0)</f>
        <v>1899</v>
      </c>
      <c r="D67" s="6">
        <f>IFERROR(__xludf.DUMMYFUNCTION("""COMPUTED_VALUE"""),1822.1)</f>
        <v>1822.1</v>
      </c>
      <c r="E67" s="6">
        <f>IFERROR(__xludf.DUMMYFUNCTION("""COMPUTED_VALUE"""),1832.45)</f>
        <v>1832.45</v>
      </c>
      <c r="F67" s="6">
        <f>IFERROR(__xludf.DUMMYFUNCTION("""COMPUTED_VALUE"""),2906601.0)</f>
        <v>2906601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IFERROR(__xludf.DUMMYFUNCTION("""COMPUTED_VALUE"""),1832.45)</f>
        <v>1832.45</v>
      </c>
      <c r="C68" s="6">
        <f>IFERROR(__xludf.DUMMYFUNCTION("""COMPUTED_VALUE"""),1843.9)</f>
        <v>1843.9</v>
      </c>
      <c r="D68" s="6">
        <f>IFERROR(__xludf.DUMMYFUNCTION("""COMPUTED_VALUE"""),1739.8)</f>
        <v>1739.8</v>
      </c>
      <c r="E68" s="6">
        <f>IFERROR(__xludf.DUMMYFUNCTION("""COMPUTED_VALUE"""),1838.2)</f>
        <v>1838.2</v>
      </c>
      <c r="F68" s="6">
        <f>IFERROR(__xludf.DUMMYFUNCTION("""COMPUTED_VALUE"""),4392994.0)</f>
        <v>4392994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IFERROR(__xludf.DUMMYFUNCTION("""COMPUTED_VALUE"""),1844.7)</f>
        <v>1844.7</v>
      </c>
      <c r="C69" s="6">
        <f>IFERROR(__xludf.DUMMYFUNCTION("""COMPUTED_VALUE"""),1901.7)</f>
        <v>1901.7</v>
      </c>
      <c r="D69" s="6">
        <f>IFERROR(__xludf.DUMMYFUNCTION("""COMPUTED_VALUE"""),1799.7)</f>
        <v>1799.7</v>
      </c>
      <c r="E69" s="6">
        <f>IFERROR(__xludf.DUMMYFUNCTION("""COMPUTED_VALUE"""),1877.6)</f>
        <v>1877.6</v>
      </c>
      <c r="F69" s="6">
        <f>IFERROR(__xludf.DUMMYFUNCTION("""COMPUTED_VALUE"""),3578429.0)</f>
        <v>3578429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IFERROR(__xludf.DUMMYFUNCTION("""COMPUTED_VALUE"""),1874.9)</f>
        <v>1874.9</v>
      </c>
      <c r="C70" s="6">
        <f>IFERROR(__xludf.DUMMYFUNCTION("""COMPUTED_VALUE"""),1966.0)</f>
        <v>1966</v>
      </c>
      <c r="D70" s="6">
        <f>IFERROR(__xludf.DUMMYFUNCTION("""COMPUTED_VALUE"""),1800.0)</f>
        <v>1800</v>
      </c>
      <c r="E70" s="6">
        <f>IFERROR(__xludf.DUMMYFUNCTION("""COMPUTED_VALUE"""),1948.75)</f>
        <v>1948.75</v>
      </c>
      <c r="F70" s="6">
        <f>IFERROR(__xludf.DUMMYFUNCTION("""COMPUTED_VALUE"""),3221046.0)</f>
        <v>3221046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IFERROR(__xludf.DUMMYFUNCTION("""COMPUTED_VALUE"""),1980.0)</f>
        <v>1980</v>
      </c>
      <c r="C71" s="6">
        <f>IFERROR(__xludf.DUMMYFUNCTION("""COMPUTED_VALUE"""),2014.95)</f>
        <v>2014.95</v>
      </c>
      <c r="D71" s="6">
        <f>IFERROR(__xludf.DUMMYFUNCTION("""COMPUTED_VALUE"""),1805.0)</f>
        <v>1805</v>
      </c>
      <c r="E71" s="6">
        <f>IFERROR(__xludf.DUMMYFUNCTION("""COMPUTED_VALUE"""),1815.65)</f>
        <v>1815.65</v>
      </c>
      <c r="F71" s="6">
        <f>IFERROR(__xludf.DUMMYFUNCTION("""COMPUTED_VALUE"""),4287060.0)</f>
        <v>4287060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IFERROR(__xludf.DUMMYFUNCTION("""COMPUTED_VALUE"""),1894.0)</f>
        <v>1894</v>
      </c>
      <c r="C72" s="6">
        <f>IFERROR(__xludf.DUMMYFUNCTION("""COMPUTED_VALUE"""),1900.0)</f>
        <v>1900</v>
      </c>
      <c r="D72" s="6">
        <f>IFERROR(__xludf.DUMMYFUNCTION("""COMPUTED_VALUE"""),1810.85)</f>
        <v>1810.85</v>
      </c>
      <c r="E72" s="6">
        <f>IFERROR(__xludf.DUMMYFUNCTION("""COMPUTED_VALUE"""),1826.95)</f>
        <v>1826.95</v>
      </c>
      <c r="F72" s="6">
        <f>IFERROR(__xludf.DUMMYFUNCTION("""COMPUTED_VALUE"""),2102363.0)</f>
        <v>2102363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IFERROR(__xludf.DUMMYFUNCTION("""COMPUTED_VALUE"""),1809.0)</f>
        <v>1809</v>
      </c>
      <c r="C73" s="6">
        <f>IFERROR(__xludf.DUMMYFUNCTION("""COMPUTED_VALUE"""),1890.9)</f>
        <v>1890.9</v>
      </c>
      <c r="D73" s="6">
        <f>IFERROR(__xludf.DUMMYFUNCTION("""COMPUTED_VALUE"""),1729.95)</f>
        <v>1729.95</v>
      </c>
      <c r="E73" s="6">
        <f>IFERROR(__xludf.DUMMYFUNCTION("""COMPUTED_VALUE"""),1737.95)</f>
        <v>1737.95</v>
      </c>
      <c r="F73" s="6">
        <f>IFERROR(__xludf.DUMMYFUNCTION("""COMPUTED_VALUE"""),2982516.0)</f>
        <v>2982516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IFERROR(__xludf.DUMMYFUNCTION("""COMPUTED_VALUE"""),1732.15)</f>
        <v>1732.15</v>
      </c>
      <c r="C74" s="6">
        <f>IFERROR(__xludf.DUMMYFUNCTION("""COMPUTED_VALUE"""),1750.5)</f>
        <v>1750.5</v>
      </c>
      <c r="D74" s="6">
        <f>IFERROR(__xludf.DUMMYFUNCTION("""COMPUTED_VALUE"""),1708.4)</f>
        <v>1708.4</v>
      </c>
      <c r="E74" s="6">
        <f>IFERROR(__xludf.DUMMYFUNCTION("""COMPUTED_VALUE"""),1733.1)</f>
        <v>1733.1</v>
      </c>
      <c r="F74" s="6">
        <f>IFERROR(__xludf.DUMMYFUNCTION("""COMPUTED_VALUE"""),2693207.0)</f>
        <v>2693207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IFERROR(__xludf.DUMMYFUNCTION("""COMPUTED_VALUE"""),1729.0)</f>
        <v>1729</v>
      </c>
      <c r="C75" s="6">
        <f>IFERROR(__xludf.DUMMYFUNCTION("""COMPUTED_VALUE"""),1735.0)</f>
        <v>1735</v>
      </c>
      <c r="D75" s="6">
        <f>IFERROR(__xludf.DUMMYFUNCTION("""COMPUTED_VALUE"""),1667.0)</f>
        <v>1667</v>
      </c>
      <c r="E75" s="6">
        <f>IFERROR(__xludf.DUMMYFUNCTION("""COMPUTED_VALUE"""),1690.95)</f>
        <v>1690.95</v>
      </c>
      <c r="F75" s="6">
        <f>IFERROR(__xludf.DUMMYFUNCTION("""COMPUTED_VALUE"""),4234428.0)</f>
        <v>4234428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IFERROR(__xludf.DUMMYFUNCTION("""COMPUTED_VALUE"""),1690.0)</f>
        <v>1690</v>
      </c>
      <c r="C76" s="6">
        <f>IFERROR(__xludf.DUMMYFUNCTION("""COMPUTED_VALUE"""),1713.0)</f>
        <v>1713</v>
      </c>
      <c r="D76" s="6">
        <f>IFERROR(__xludf.DUMMYFUNCTION("""COMPUTED_VALUE"""),1613.7)</f>
        <v>1613.7</v>
      </c>
      <c r="E76" s="6">
        <f>IFERROR(__xludf.DUMMYFUNCTION("""COMPUTED_VALUE"""),1686.95)</f>
        <v>1686.95</v>
      </c>
      <c r="F76" s="6">
        <f>IFERROR(__xludf.DUMMYFUNCTION("""COMPUTED_VALUE"""),5737104.0)</f>
        <v>5737104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IFERROR(__xludf.DUMMYFUNCTION("""COMPUTED_VALUE"""),1681.15)</f>
        <v>1681.15</v>
      </c>
      <c r="C77" s="6">
        <f>IFERROR(__xludf.DUMMYFUNCTION("""COMPUTED_VALUE"""),1715.0)</f>
        <v>1715</v>
      </c>
      <c r="D77" s="6">
        <f>IFERROR(__xludf.DUMMYFUNCTION("""COMPUTED_VALUE"""),1658.0)</f>
        <v>1658</v>
      </c>
      <c r="E77" s="6">
        <f>IFERROR(__xludf.DUMMYFUNCTION("""COMPUTED_VALUE"""),1678.75)</f>
        <v>1678.75</v>
      </c>
      <c r="F77" s="6">
        <f>IFERROR(__xludf.DUMMYFUNCTION("""COMPUTED_VALUE"""),3782878.0)</f>
        <v>3782878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IFERROR(__xludf.DUMMYFUNCTION("""COMPUTED_VALUE"""),1682.0)</f>
        <v>1682</v>
      </c>
      <c r="C78" s="6">
        <f>IFERROR(__xludf.DUMMYFUNCTION("""COMPUTED_VALUE"""),1766.05)</f>
        <v>1766.05</v>
      </c>
      <c r="D78" s="6">
        <f>IFERROR(__xludf.DUMMYFUNCTION("""COMPUTED_VALUE"""),1670.4)</f>
        <v>1670.4</v>
      </c>
      <c r="E78" s="6">
        <f>IFERROR(__xludf.DUMMYFUNCTION("""COMPUTED_VALUE"""),1723.2)</f>
        <v>1723.2</v>
      </c>
      <c r="F78" s="6">
        <f>IFERROR(__xludf.DUMMYFUNCTION("""COMPUTED_VALUE"""),3441565.0)</f>
        <v>3441565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IFERROR(__xludf.DUMMYFUNCTION("""COMPUTED_VALUE"""),1733.0)</f>
        <v>1733</v>
      </c>
      <c r="C79" s="6">
        <f>IFERROR(__xludf.DUMMYFUNCTION("""COMPUTED_VALUE"""),1849.0)</f>
        <v>1849</v>
      </c>
      <c r="D79" s="6">
        <f>IFERROR(__xludf.DUMMYFUNCTION("""COMPUTED_VALUE"""),1718.05)</f>
        <v>1718.05</v>
      </c>
      <c r="E79" s="6">
        <f>IFERROR(__xludf.DUMMYFUNCTION("""COMPUTED_VALUE"""),1792.85)</f>
        <v>1792.85</v>
      </c>
      <c r="F79" s="6">
        <f>IFERROR(__xludf.DUMMYFUNCTION("""COMPUTED_VALUE"""),3136570.0)</f>
        <v>3136570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IFERROR(__xludf.DUMMYFUNCTION("""COMPUTED_VALUE"""),1772.5)</f>
        <v>1772.5</v>
      </c>
      <c r="C80" s="6">
        <f>IFERROR(__xludf.DUMMYFUNCTION("""COMPUTED_VALUE"""),1848.9)</f>
        <v>1848.9</v>
      </c>
      <c r="D80" s="6">
        <f>IFERROR(__xludf.DUMMYFUNCTION("""COMPUTED_VALUE"""),1768.05)</f>
        <v>1768.05</v>
      </c>
      <c r="E80" s="6">
        <f>IFERROR(__xludf.DUMMYFUNCTION("""COMPUTED_VALUE"""),1829.55)</f>
        <v>1829.55</v>
      </c>
      <c r="F80" s="6">
        <f>IFERROR(__xludf.DUMMYFUNCTION("""COMPUTED_VALUE"""),1612396.0)</f>
        <v>1612396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IFERROR(__xludf.DUMMYFUNCTION("""COMPUTED_VALUE"""),1731.15)</f>
        <v>1731.15</v>
      </c>
      <c r="C81" s="6">
        <f>IFERROR(__xludf.DUMMYFUNCTION("""COMPUTED_VALUE"""),1808.95)</f>
        <v>1808.95</v>
      </c>
      <c r="D81" s="6">
        <f>IFERROR(__xludf.DUMMYFUNCTION("""COMPUTED_VALUE"""),1702.0)</f>
        <v>1702</v>
      </c>
      <c r="E81" s="6">
        <f>IFERROR(__xludf.DUMMYFUNCTION("""COMPUTED_VALUE"""),1718.55)</f>
        <v>1718.55</v>
      </c>
      <c r="F81" s="6">
        <f>IFERROR(__xludf.DUMMYFUNCTION("""COMPUTED_VALUE"""),2801871.0)</f>
        <v>2801871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IFERROR(__xludf.DUMMYFUNCTION("""COMPUTED_VALUE"""),1760.0)</f>
        <v>1760</v>
      </c>
      <c r="C82" s="6">
        <f>IFERROR(__xludf.DUMMYFUNCTION("""COMPUTED_VALUE"""),1833.3)</f>
        <v>1833.3</v>
      </c>
      <c r="D82" s="6">
        <f>IFERROR(__xludf.DUMMYFUNCTION("""COMPUTED_VALUE"""),1736.0)</f>
        <v>1736</v>
      </c>
      <c r="E82" s="6">
        <f>IFERROR(__xludf.DUMMYFUNCTION("""COMPUTED_VALUE"""),1793.4)</f>
        <v>1793.4</v>
      </c>
      <c r="F82" s="6">
        <f>IFERROR(__xludf.DUMMYFUNCTION("""COMPUTED_VALUE"""),4016129.0)</f>
        <v>4016129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IFERROR(__xludf.DUMMYFUNCTION("""COMPUTED_VALUE"""),1799.0)</f>
        <v>1799</v>
      </c>
      <c r="C83" s="6">
        <f>IFERROR(__xludf.DUMMYFUNCTION("""COMPUTED_VALUE"""),1908.7)</f>
        <v>1908.7</v>
      </c>
      <c r="D83" s="6">
        <f>IFERROR(__xludf.DUMMYFUNCTION("""COMPUTED_VALUE"""),1783.0)</f>
        <v>1783</v>
      </c>
      <c r="E83" s="6">
        <f>IFERROR(__xludf.DUMMYFUNCTION("""COMPUTED_VALUE"""),1854.1)</f>
        <v>1854.1</v>
      </c>
      <c r="F83" s="6">
        <f>IFERROR(__xludf.DUMMYFUNCTION("""COMPUTED_VALUE"""),3361326.0)</f>
        <v>3361326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IFERROR(__xludf.DUMMYFUNCTION("""COMPUTED_VALUE"""),1845.0)</f>
        <v>1845</v>
      </c>
      <c r="C84" s="6">
        <f>IFERROR(__xludf.DUMMYFUNCTION("""COMPUTED_VALUE"""),1895.0)</f>
        <v>1895</v>
      </c>
      <c r="D84" s="6">
        <f>IFERROR(__xludf.DUMMYFUNCTION("""COMPUTED_VALUE"""),1836.5)</f>
        <v>1836.5</v>
      </c>
      <c r="E84" s="6">
        <f>IFERROR(__xludf.DUMMYFUNCTION("""COMPUTED_VALUE"""),1867.9)</f>
        <v>1867.9</v>
      </c>
      <c r="F84" s="6">
        <f>IFERROR(__xludf.DUMMYFUNCTION("""COMPUTED_VALUE"""),3224390.0)</f>
        <v>3224390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IFERROR(__xludf.DUMMYFUNCTION("""COMPUTED_VALUE"""),1872.1)</f>
        <v>1872.1</v>
      </c>
      <c r="C85" s="6">
        <f>IFERROR(__xludf.DUMMYFUNCTION("""COMPUTED_VALUE"""),1879.9)</f>
        <v>1879.9</v>
      </c>
      <c r="D85" s="6">
        <f>IFERROR(__xludf.DUMMYFUNCTION("""COMPUTED_VALUE"""),1748.0)</f>
        <v>1748</v>
      </c>
      <c r="E85" s="6">
        <f>IFERROR(__xludf.DUMMYFUNCTION("""COMPUTED_VALUE"""),1782.2)</f>
        <v>1782.2</v>
      </c>
      <c r="F85" s="6">
        <f>IFERROR(__xludf.DUMMYFUNCTION("""COMPUTED_VALUE"""),2622644.0)</f>
        <v>2622644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IFERROR(__xludf.DUMMYFUNCTION("""COMPUTED_VALUE"""),1814.4)</f>
        <v>1814.4</v>
      </c>
      <c r="C86" s="6">
        <f>IFERROR(__xludf.DUMMYFUNCTION("""COMPUTED_VALUE"""),1880.0)</f>
        <v>1880</v>
      </c>
      <c r="D86" s="6">
        <f>IFERROR(__xludf.DUMMYFUNCTION("""COMPUTED_VALUE"""),1799.1)</f>
        <v>1799.1</v>
      </c>
      <c r="E86" s="6">
        <f>IFERROR(__xludf.DUMMYFUNCTION("""COMPUTED_VALUE"""),1849.6)</f>
        <v>1849.6</v>
      </c>
      <c r="F86" s="6">
        <f>IFERROR(__xludf.DUMMYFUNCTION("""COMPUTED_VALUE"""),2968317.0)</f>
        <v>2968317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IFERROR(__xludf.DUMMYFUNCTION("""COMPUTED_VALUE"""),1851.6)</f>
        <v>1851.6</v>
      </c>
      <c r="C87" s="6">
        <f>IFERROR(__xludf.DUMMYFUNCTION("""COMPUTED_VALUE"""),1917.6)</f>
        <v>1917.6</v>
      </c>
      <c r="D87" s="6">
        <f>IFERROR(__xludf.DUMMYFUNCTION("""COMPUTED_VALUE"""),1844.4)</f>
        <v>1844.4</v>
      </c>
      <c r="E87" s="6">
        <f>IFERROR(__xludf.DUMMYFUNCTION("""COMPUTED_VALUE"""),1895.1)</f>
        <v>1895.1</v>
      </c>
      <c r="F87" s="6">
        <f>IFERROR(__xludf.DUMMYFUNCTION("""COMPUTED_VALUE"""),4209460.0)</f>
        <v>4209460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IFERROR(__xludf.DUMMYFUNCTION("""COMPUTED_VALUE"""),1900.0)</f>
        <v>1900</v>
      </c>
      <c r="C88" s="6">
        <f>IFERROR(__xludf.DUMMYFUNCTION("""COMPUTED_VALUE"""),1905.0)</f>
        <v>1905</v>
      </c>
      <c r="D88" s="6">
        <f>IFERROR(__xludf.DUMMYFUNCTION("""COMPUTED_VALUE"""),1823.4)</f>
        <v>1823.4</v>
      </c>
      <c r="E88" s="6">
        <f>IFERROR(__xludf.DUMMYFUNCTION("""COMPUTED_VALUE"""),1875.4)</f>
        <v>1875.4</v>
      </c>
      <c r="F88" s="6">
        <f>IFERROR(__xludf.DUMMYFUNCTION("""COMPUTED_VALUE"""),4148728.0)</f>
        <v>4148728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IFERROR(__xludf.DUMMYFUNCTION("""COMPUTED_VALUE"""),1878.0)</f>
        <v>1878</v>
      </c>
      <c r="C89" s="6">
        <f>IFERROR(__xludf.DUMMYFUNCTION("""COMPUTED_VALUE"""),2013.4)</f>
        <v>2013.4</v>
      </c>
      <c r="D89" s="6">
        <f>IFERROR(__xludf.DUMMYFUNCTION("""COMPUTED_VALUE"""),1847.0)</f>
        <v>1847</v>
      </c>
      <c r="E89" s="6">
        <f>IFERROR(__xludf.DUMMYFUNCTION("""COMPUTED_VALUE"""),2006.2)</f>
        <v>2006.2</v>
      </c>
      <c r="F89" s="6">
        <f>IFERROR(__xludf.DUMMYFUNCTION("""COMPUTED_VALUE"""),4819972.0)</f>
        <v>4819972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IFERROR(__xludf.DUMMYFUNCTION("""COMPUTED_VALUE"""),2014.9)</f>
        <v>2014.9</v>
      </c>
      <c r="C90" s="6">
        <f>IFERROR(__xludf.DUMMYFUNCTION("""COMPUTED_VALUE"""),2030.0)</f>
        <v>2030</v>
      </c>
      <c r="D90" s="6">
        <f>IFERROR(__xludf.DUMMYFUNCTION("""COMPUTED_VALUE"""),1864.0)</f>
        <v>1864</v>
      </c>
      <c r="E90" s="6">
        <f>IFERROR(__xludf.DUMMYFUNCTION("""COMPUTED_VALUE"""),1940.7)</f>
        <v>1940.7</v>
      </c>
      <c r="F90" s="6">
        <f>IFERROR(__xludf.DUMMYFUNCTION("""COMPUTED_VALUE"""),5006824.0)</f>
        <v>5006824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IFERROR(__xludf.DUMMYFUNCTION("""COMPUTED_VALUE"""),1940.0)</f>
        <v>1940</v>
      </c>
      <c r="C91" s="6">
        <f>IFERROR(__xludf.DUMMYFUNCTION("""COMPUTED_VALUE"""),1979.0)</f>
        <v>1979</v>
      </c>
      <c r="D91" s="6">
        <f>IFERROR(__xludf.DUMMYFUNCTION("""COMPUTED_VALUE"""),1908.0)</f>
        <v>1908</v>
      </c>
      <c r="E91" s="6">
        <f>IFERROR(__xludf.DUMMYFUNCTION("""COMPUTED_VALUE"""),1971.0)</f>
        <v>1971</v>
      </c>
      <c r="F91" s="6">
        <f>IFERROR(__xludf.DUMMYFUNCTION("""COMPUTED_VALUE"""),4123259.0)</f>
        <v>4123259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IFERROR(__xludf.DUMMYFUNCTION("""COMPUTED_VALUE"""),1964.0)</f>
        <v>1964</v>
      </c>
      <c r="C92" s="6">
        <f>IFERROR(__xludf.DUMMYFUNCTION("""COMPUTED_VALUE"""),2031.9)</f>
        <v>2031.9</v>
      </c>
      <c r="D92" s="6">
        <f>IFERROR(__xludf.DUMMYFUNCTION("""COMPUTED_VALUE"""),1949.6)</f>
        <v>1949.6</v>
      </c>
      <c r="E92" s="6">
        <f>IFERROR(__xludf.DUMMYFUNCTION("""COMPUTED_VALUE"""),2017.1)</f>
        <v>2017.1</v>
      </c>
      <c r="F92" s="6">
        <f>IFERROR(__xludf.DUMMYFUNCTION("""COMPUTED_VALUE"""),3695373.0)</f>
        <v>3695373</v>
      </c>
    </row>
    <row r="93">
      <c r="A93" s="7">
        <f>IFERROR(__xludf.DUMMYFUNCTION("""COMPUTED_VALUE"""),45842.64583333333)</f>
        <v>45842.64583</v>
      </c>
      <c r="B93" s="6">
        <f>IFERROR(__xludf.DUMMYFUNCTION("""COMPUTED_VALUE"""),2017.1)</f>
        <v>2017.1</v>
      </c>
      <c r="C93" s="6">
        <f>IFERROR(__xludf.DUMMYFUNCTION("""COMPUTED_VALUE"""),2068.7)</f>
        <v>2068.7</v>
      </c>
      <c r="D93" s="6">
        <f>IFERROR(__xludf.DUMMYFUNCTION("""COMPUTED_VALUE"""),2009.8)</f>
        <v>2009.8</v>
      </c>
      <c r="E93" s="6">
        <f>IFERROR(__xludf.DUMMYFUNCTION("""COMPUTED_VALUE"""),2035.4)</f>
        <v>2035.4</v>
      </c>
      <c r="F93" s="6">
        <f>IFERROR(__xludf.DUMMYFUNCTION("""COMPUTED_VALUE"""),3607040.0)</f>
        <v>3607040</v>
      </c>
    </row>
    <row r="94">
      <c r="A94" s="7">
        <f>IFERROR(__xludf.DUMMYFUNCTION("""COMPUTED_VALUE"""),45849.64583333333)</f>
        <v>45849.64583</v>
      </c>
      <c r="B94" s="6">
        <f>IFERROR(__xludf.DUMMYFUNCTION("""COMPUTED_VALUE"""),2035.4)</f>
        <v>2035.4</v>
      </c>
      <c r="C94" s="6">
        <f>IFERROR(__xludf.DUMMYFUNCTION("""COMPUTED_VALUE"""),2052.0)</f>
        <v>2052</v>
      </c>
      <c r="D94" s="6">
        <f>IFERROR(__xludf.DUMMYFUNCTION("""COMPUTED_VALUE"""),1980.0)</f>
        <v>1980</v>
      </c>
      <c r="E94" s="6">
        <f>IFERROR(__xludf.DUMMYFUNCTION("""COMPUTED_VALUE"""),2012.2)</f>
        <v>2012.2</v>
      </c>
      <c r="F94" s="6">
        <f>IFERROR(__xludf.DUMMYFUNCTION("""COMPUTED_VALUE"""),3024203.0)</f>
        <v>3024203</v>
      </c>
    </row>
    <row r="95">
      <c r="A95" s="7">
        <f>IFERROR(__xludf.DUMMYFUNCTION("""COMPUTED_VALUE"""),45856.64583333333)</f>
        <v>45856.64583</v>
      </c>
      <c r="B95" s="6">
        <f>IFERROR(__xludf.DUMMYFUNCTION("""COMPUTED_VALUE"""),2012.2)</f>
        <v>2012.2</v>
      </c>
      <c r="C95" s="6">
        <f>IFERROR(__xludf.DUMMYFUNCTION("""COMPUTED_VALUE"""),2052.0)</f>
        <v>2052</v>
      </c>
      <c r="D95" s="6">
        <f>IFERROR(__xludf.DUMMYFUNCTION("""COMPUTED_VALUE"""),1906.6)</f>
        <v>1906.6</v>
      </c>
      <c r="E95" s="6">
        <f>IFERROR(__xludf.DUMMYFUNCTION("""COMPUTED_VALUE"""),1912.8)</f>
        <v>1912.8</v>
      </c>
      <c r="F95" s="6">
        <f>IFERROR(__xludf.DUMMYFUNCTION("""COMPUTED_VALUE"""),5404250.0)</f>
        <v>5404250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IFERROR(__xludf.DUMMYFUNCTION("""COMPUTED_VALUE"""),1912.8)</f>
        <v>1912.8</v>
      </c>
      <c r="C96" s="6">
        <f>IFERROR(__xludf.DUMMYFUNCTION("""COMPUTED_VALUE"""),1974.9)</f>
        <v>1974.9</v>
      </c>
      <c r="D96" s="6">
        <f>IFERROR(__xludf.DUMMYFUNCTION("""COMPUTED_VALUE"""),1890.0)</f>
        <v>1890</v>
      </c>
      <c r="E96" s="6">
        <f>IFERROR(__xludf.DUMMYFUNCTION("""COMPUTED_VALUE"""),1921.3)</f>
        <v>1921.3</v>
      </c>
      <c r="F96" s="6">
        <f>IFERROR(__xludf.DUMMYFUNCTION("""COMPUTED_VALUE"""),2363742.0)</f>
        <v>2363742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IFERROR(__xludf.DUMMYFUNCTION("""COMPUTED_VALUE"""),1920.0)</f>
        <v>1920</v>
      </c>
      <c r="C97" s="6">
        <f>IFERROR(__xludf.DUMMYFUNCTION("""COMPUTED_VALUE"""),1939.0)</f>
        <v>1939</v>
      </c>
      <c r="D97" s="6">
        <f>IFERROR(__xludf.DUMMYFUNCTION("""COMPUTED_VALUE"""),1861.1)</f>
        <v>1861.1</v>
      </c>
      <c r="E97" s="6">
        <f>IFERROR(__xludf.DUMMYFUNCTION("""COMPUTED_VALUE"""),1867.3)</f>
        <v>1867.3</v>
      </c>
      <c r="F97" s="6">
        <f>IFERROR(__xludf.DUMMYFUNCTION("""COMPUTED_VALUE"""),1813112.0)</f>
        <v>1813112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IFERROR(__xludf.DUMMYFUNCTION("""COMPUTED_VALUE"""),1866.9)</f>
        <v>1866.9</v>
      </c>
      <c r="C98" s="6">
        <f>IFERROR(__xludf.DUMMYFUNCTION("""COMPUTED_VALUE"""),1912.0)</f>
        <v>1912</v>
      </c>
      <c r="D98" s="6">
        <f>IFERROR(__xludf.DUMMYFUNCTION("""COMPUTED_VALUE"""),1852.0)</f>
        <v>1852</v>
      </c>
      <c r="E98" s="6">
        <f>IFERROR(__xludf.DUMMYFUNCTION("""COMPUTED_VALUE"""),1894.7)</f>
        <v>1894.7</v>
      </c>
      <c r="F98" s="6">
        <f>IFERROR(__xludf.DUMMYFUNCTION("""COMPUTED_VALUE"""),2325611.0)</f>
        <v>2325611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IFERROR(__xludf.DUMMYFUNCTION("""COMPUTED_VALUE"""),1894.9)</f>
        <v>1894.9</v>
      </c>
      <c r="C99" s="6">
        <f>IFERROR(__xludf.DUMMYFUNCTION("""COMPUTED_VALUE"""),1924.3)</f>
        <v>1924.3</v>
      </c>
      <c r="D99" s="6">
        <f>IFERROR(__xludf.DUMMYFUNCTION("""COMPUTED_VALUE"""),1882.0)</f>
        <v>1882</v>
      </c>
      <c r="E99" s="6">
        <f>IFERROR(__xludf.DUMMYFUNCTION("""COMPUTED_VALUE"""),1898.3)</f>
        <v>1898.3</v>
      </c>
      <c r="F99" s="6">
        <f>IFERROR(__xludf.DUMMYFUNCTION("""COMPUTED_VALUE"""),988178.0)</f>
        <v>988178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IFERROR(__xludf.DUMMYFUNCTION("""COMPUTED_VALUE"""),1940.0)</f>
        <v>1940</v>
      </c>
      <c r="C100" s="6">
        <f>IFERROR(__xludf.DUMMYFUNCTION("""COMPUTED_VALUE"""),1998.0)</f>
        <v>1998</v>
      </c>
      <c r="D100" s="6">
        <f>IFERROR(__xludf.DUMMYFUNCTION("""COMPUTED_VALUE"""),1908.0)</f>
        <v>1908</v>
      </c>
      <c r="E100" s="6">
        <f>IFERROR(__xludf.DUMMYFUNCTION("""COMPUTED_VALUE"""),1910.7)</f>
        <v>1910.7</v>
      </c>
      <c r="F100" s="6">
        <f>IFERROR(__xludf.DUMMYFUNCTION("""COMPUTED_VALUE"""),2461103.0)</f>
        <v>2461103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IFERROR(__xludf.DUMMYFUNCTION("""COMPUTED_VALUE"""),1917.8)</f>
        <v>1917.8</v>
      </c>
      <c r="C101" s="6">
        <f>IFERROR(__xludf.DUMMYFUNCTION("""COMPUTED_VALUE"""),1942.0)</f>
        <v>1942</v>
      </c>
      <c r="D101" s="6">
        <f>IFERROR(__xludf.DUMMYFUNCTION("""COMPUTED_VALUE"""),1859.7)</f>
        <v>1859.7</v>
      </c>
      <c r="E101" s="6">
        <f>IFERROR(__xludf.DUMMYFUNCTION("""COMPUTED_VALUE"""),1872.7)</f>
        <v>1872.7</v>
      </c>
      <c r="F101" s="6">
        <f>IFERROR(__xludf.DUMMYFUNCTION("""COMPUTED_VALUE"""),6912077.0)</f>
        <v>6912077</v>
      </c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IFERROR(__xludf.DUMMYFUNCTION("GOOGLEFINANCE(""NSE:ICICIPRULI"",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IFERROR(__xludf.DUMMYFUNCTION("""COMPUTED_VALUE"""),548.45)</f>
        <v>548.45</v>
      </c>
      <c r="C2" s="6">
        <f>IFERROR(__xludf.DUMMYFUNCTION("""COMPUTED_VALUE"""),569.15)</f>
        <v>569.15</v>
      </c>
      <c r="D2" s="6">
        <f>IFERROR(__xludf.DUMMYFUNCTION("""COMPUTED_VALUE"""),545.25)</f>
        <v>545.25</v>
      </c>
      <c r="E2" s="6">
        <f>IFERROR(__xludf.DUMMYFUNCTION("""COMPUTED_VALUE"""),561.8)</f>
        <v>561.8</v>
      </c>
      <c r="F2" s="6">
        <f>IFERROR(__xludf.DUMMYFUNCTION("""COMPUTED_VALUE"""),9562456.0)</f>
        <v>9562456</v>
      </c>
    </row>
    <row r="3">
      <c r="A3" s="7">
        <f>IFERROR(__xludf.DUMMYFUNCTION("""COMPUTED_VALUE"""),45177.64583333333)</f>
        <v>45177.64583</v>
      </c>
      <c r="B3" s="6">
        <f>IFERROR(__xludf.DUMMYFUNCTION("""COMPUTED_VALUE"""),560.45)</f>
        <v>560.45</v>
      </c>
      <c r="C3" s="6">
        <f>IFERROR(__xludf.DUMMYFUNCTION("""COMPUTED_VALUE"""),567.85)</f>
        <v>567.85</v>
      </c>
      <c r="D3" s="6">
        <f>IFERROR(__xludf.DUMMYFUNCTION("""COMPUTED_VALUE"""),521.55)</f>
        <v>521.55</v>
      </c>
      <c r="E3" s="6">
        <f>IFERROR(__xludf.DUMMYFUNCTION("""COMPUTED_VALUE"""),556.7)</f>
        <v>556.7</v>
      </c>
      <c r="F3" s="6">
        <f>IFERROR(__xludf.DUMMYFUNCTION("""COMPUTED_VALUE"""),9516855.0)</f>
        <v>9516855</v>
      </c>
    </row>
    <row r="4">
      <c r="A4" s="7">
        <f>IFERROR(__xludf.DUMMYFUNCTION("""COMPUTED_VALUE"""),45184.64583333333)</f>
        <v>45184.64583</v>
      </c>
      <c r="B4" s="6">
        <f>IFERROR(__xludf.DUMMYFUNCTION("""COMPUTED_VALUE"""),561.5)</f>
        <v>561.5</v>
      </c>
      <c r="C4" s="6">
        <f>IFERROR(__xludf.DUMMYFUNCTION("""COMPUTED_VALUE"""),598.2)</f>
        <v>598.2</v>
      </c>
      <c r="D4" s="6">
        <f>IFERROR(__xludf.DUMMYFUNCTION("""COMPUTED_VALUE"""),549.0)</f>
        <v>549</v>
      </c>
      <c r="E4" s="6">
        <f>IFERROR(__xludf.DUMMYFUNCTION("""COMPUTED_VALUE"""),595.0)</f>
        <v>595</v>
      </c>
      <c r="F4" s="6">
        <f>IFERROR(__xludf.DUMMYFUNCTION("""COMPUTED_VALUE"""),1.1101121E7)</f>
        <v>11101121</v>
      </c>
    </row>
    <row r="5">
      <c r="A5" s="7">
        <f>IFERROR(__xludf.DUMMYFUNCTION("""COMPUTED_VALUE"""),45191.64583333333)</f>
        <v>45191.64583</v>
      </c>
      <c r="B5" s="6">
        <f>IFERROR(__xludf.DUMMYFUNCTION("""COMPUTED_VALUE"""),594.95)</f>
        <v>594.95</v>
      </c>
      <c r="C5" s="6">
        <f>IFERROR(__xludf.DUMMYFUNCTION("""COMPUTED_VALUE"""),606.4)</f>
        <v>606.4</v>
      </c>
      <c r="D5" s="6">
        <f>IFERROR(__xludf.DUMMYFUNCTION("""COMPUTED_VALUE"""),564.25)</f>
        <v>564.25</v>
      </c>
      <c r="E5" s="6">
        <f>IFERROR(__xludf.DUMMYFUNCTION("""COMPUTED_VALUE"""),578.2)</f>
        <v>578.2</v>
      </c>
      <c r="F5" s="6">
        <f>IFERROR(__xludf.DUMMYFUNCTION("""COMPUTED_VALUE"""),8108330.0)</f>
        <v>8108330</v>
      </c>
    </row>
    <row r="6">
      <c r="A6" s="7">
        <f>IFERROR(__xludf.DUMMYFUNCTION("""COMPUTED_VALUE"""),45198.64583333333)</f>
        <v>45198.64583</v>
      </c>
      <c r="B6" s="6">
        <f>IFERROR(__xludf.DUMMYFUNCTION("""COMPUTED_VALUE"""),580.05)</f>
        <v>580.05</v>
      </c>
      <c r="C6" s="6">
        <f>IFERROR(__xludf.DUMMYFUNCTION("""COMPUTED_VALUE"""),586.65)</f>
        <v>586.65</v>
      </c>
      <c r="D6" s="6">
        <f>IFERROR(__xludf.DUMMYFUNCTION("""COMPUTED_VALUE"""),560.15)</f>
        <v>560.15</v>
      </c>
      <c r="E6" s="6">
        <f>IFERROR(__xludf.DUMMYFUNCTION("""COMPUTED_VALUE"""),566.2)</f>
        <v>566.2</v>
      </c>
      <c r="F6" s="6">
        <f>IFERROR(__xludf.DUMMYFUNCTION("""COMPUTED_VALUE"""),9052066.0)</f>
        <v>9052066</v>
      </c>
    </row>
    <row r="7">
      <c r="A7" s="7">
        <f>IFERROR(__xludf.DUMMYFUNCTION("""COMPUTED_VALUE"""),45205.64583333333)</f>
        <v>45205.64583</v>
      </c>
      <c r="B7" s="6">
        <f>IFERROR(__xludf.DUMMYFUNCTION("""COMPUTED_VALUE"""),565.0)</f>
        <v>565</v>
      </c>
      <c r="C7" s="6">
        <f>IFERROR(__xludf.DUMMYFUNCTION("""COMPUTED_VALUE"""),566.9)</f>
        <v>566.9</v>
      </c>
      <c r="D7" s="6">
        <f>IFERROR(__xludf.DUMMYFUNCTION("""COMPUTED_VALUE"""),550.6)</f>
        <v>550.6</v>
      </c>
      <c r="E7" s="6">
        <f>IFERROR(__xludf.DUMMYFUNCTION("""COMPUTED_VALUE"""),559.35)</f>
        <v>559.35</v>
      </c>
      <c r="F7" s="6">
        <f>IFERROR(__xludf.DUMMYFUNCTION("""COMPUTED_VALUE"""),4083042.0)</f>
        <v>4083042</v>
      </c>
    </row>
    <row r="8">
      <c r="A8" s="7">
        <f>IFERROR(__xludf.DUMMYFUNCTION("""COMPUTED_VALUE"""),45212.64583333333)</f>
        <v>45212.64583</v>
      </c>
      <c r="B8" s="6">
        <f>IFERROR(__xludf.DUMMYFUNCTION("""COMPUTED_VALUE"""),559.0)</f>
        <v>559</v>
      </c>
      <c r="C8" s="6">
        <f>IFERROR(__xludf.DUMMYFUNCTION("""COMPUTED_VALUE"""),560.7)</f>
        <v>560.7</v>
      </c>
      <c r="D8" s="6">
        <f>IFERROR(__xludf.DUMMYFUNCTION("""COMPUTED_VALUE"""),519.45)</f>
        <v>519.45</v>
      </c>
      <c r="E8" s="6">
        <f>IFERROR(__xludf.DUMMYFUNCTION("""COMPUTED_VALUE"""),522.6)</f>
        <v>522.6</v>
      </c>
      <c r="F8" s="6">
        <f>IFERROR(__xludf.DUMMYFUNCTION("""COMPUTED_VALUE"""),1.3125709E7)</f>
        <v>13125709</v>
      </c>
    </row>
    <row r="9">
      <c r="A9" s="7">
        <f>IFERROR(__xludf.DUMMYFUNCTION("""COMPUTED_VALUE"""),45219.64583333333)</f>
        <v>45219.64583</v>
      </c>
      <c r="B9" s="6">
        <f>IFERROR(__xludf.DUMMYFUNCTION("""COMPUTED_VALUE"""),525.0)</f>
        <v>525</v>
      </c>
      <c r="C9" s="6">
        <f>IFERROR(__xludf.DUMMYFUNCTION("""COMPUTED_VALUE"""),535.5)</f>
        <v>535.5</v>
      </c>
      <c r="D9" s="6">
        <f>IFERROR(__xludf.DUMMYFUNCTION("""COMPUTED_VALUE"""),512.4)</f>
        <v>512.4</v>
      </c>
      <c r="E9" s="6">
        <f>IFERROR(__xludf.DUMMYFUNCTION("""COMPUTED_VALUE"""),526.2)</f>
        <v>526.2</v>
      </c>
      <c r="F9" s="6">
        <f>IFERROR(__xludf.DUMMYFUNCTION("""COMPUTED_VALUE"""),1.1291323E7)</f>
        <v>11291323</v>
      </c>
    </row>
    <row r="10">
      <c r="A10" s="7">
        <f>IFERROR(__xludf.DUMMYFUNCTION("""COMPUTED_VALUE"""),45226.64583333333)</f>
        <v>45226.64583</v>
      </c>
      <c r="B10" s="6">
        <f>IFERROR(__xludf.DUMMYFUNCTION("""COMPUTED_VALUE"""),525.0)</f>
        <v>525</v>
      </c>
      <c r="C10" s="6">
        <f>IFERROR(__xludf.DUMMYFUNCTION("""COMPUTED_VALUE"""),530.4)</f>
        <v>530.4</v>
      </c>
      <c r="D10" s="6">
        <f>IFERROR(__xludf.DUMMYFUNCTION("""COMPUTED_VALUE"""),505.0)</f>
        <v>505</v>
      </c>
      <c r="E10" s="6">
        <f>IFERROR(__xludf.DUMMYFUNCTION("""COMPUTED_VALUE"""),519.0)</f>
        <v>519</v>
      </c>
      <c r="F10" s="6">
        <f>IFERROR(__xludf.DUMMYFUNCTION("""COMPUTED_VALUE"""),3803359.0)</f>
        <v>3803359</v>
      </c>
    </row>
    <row r="11">
      <c r="A11" s="7">
        <f>IFERROR(__xludf.DUMMYFUNCTION("""COMPUTED_VALUE"""),45233.64583333333)</f>
        <v>45233.64583</v>
      </c>
      <c r="B11" s="6">
        <f>IFERROR(__xludf.DUMMYFUNCTION("""COMPUTED_VALUE"""),518.0)</f>
        <v>518</v>
      </c>
      <c r="C11" s="6">
        <f>IFERROR(__xludf.DUMMYFUNCTION("""COMPUTED_VALUE"""),529.95)</f>
        <v>529.95</v>
      </c>
      <c r="D11" s="6">
        <f>IFERROR(__xludf.DUMMYFUNCTION("""COMPUTED_VALUE"""),512.0)</f>
        <v>512</v>
      </c>
      <c r="E11" s="6">
        <f>IFERROR(__xludf.DUMMYFUNCTION("""COMPUTED_VALUE"""),520.15)</f>
        <v>520.15</v>
      </c>
      <c r="F11" s="6">
        <f>IFERROR(__xludf.DUMMYFUNCTION("""COMPUTED_VALUE"""),4951324.0)</f>
        <v>4951324</v>
      </c>
    </row>
    <row r="12">
      <c r="A12" s="7">
        <f>IFERROR(__xludf.DUMMYFUNCTION("""COMPUTED_VALUE"""),45240.64583333333)</f>
        <v>45240.64583</v>
      </c>
      <c r="B12" s="6">
        <f>IFERROR(__xludf.DUMMYFUNCTION("""COMPUTED_VALUE"""),522.15)</f>
        <v>522.15</v>
      </c>
      <c r="C12" s="6">
        <f>IFERROR(__xludf.DUMMYFUNCTION("""COMPUTED_VALUE"""),540.0)</f>
        <v>540</v>
      </c>
      <c r="D12" s="6">
        <f>IFERROR(__xludf.DUMMYFUNCTION("""COMPUTED_VALUE"""),516.7)</f>
        <v>516.7</v>
      </c>
      <c r="E12" s="6">
        <f>IFERROR(__xludf.DUMMYFUNCTION("""COMPUTED_VALUE"""),530.1)</f>
        <v>530.1</v>
      </c>
      <c r="F12" s="6">
        <f>IFERROR(__xludf.DUMMYFUNCTION("""COMPUTED_VALUE"""),4732846.0)</f>
        <v>4732846</v>
      </c>
    </row>
    <row r="13">
      <c r="A13" s="7">
        <f>IFERROR(__xludf.DUMMYFUNCTION("""COMPUTED_VALUE"""),45247.64583333333)</f>
        <v>45247.64583</v>
      </c>
      <c r="B13" s="6">
        <f>IFERROR(__xludf.DUMMYFUNCTION("""COMPUTED_VALUE"""),536.7)</f>
        <v>536.7</v>
      </c>
      <c r="C13" s="6">
        <f>IFERROR(__xludf.DUMMYFUNCTION("""COMPUTED_VALUE"""),572.5)</f>
        <v>572.5</v>
      </c>
      <c r="D13" s="6">
        <f>IFERROR(__xludf.DUMMYFUNCTION("""COMPUTED_VALUE"""),522.95)</f>
        <v>522.95</v>
      </c>
      <c r="E13" s="6">
        <f>IFERROR(__xludf.DUMMYFUNCTION("""COMPUTED_VALUE"""),559.85)</f>
        <v>559.85</v>
      </c>
      <c r="F13" s="6">
        <f>IFERROR(__xludf.DUMMYFUNCTION("""COMPUTED_VALUE"""),8019494.0)</f>
        <v>8019494</v>
      </c>
    </row>
    <row r="14">
      <c r="A14" s="7">
        <f>IFERROR(__xludf.DUMMYFUNCTION("""COMPUTED_VALUE"""),45254.64583333333)</f>
        <v>45254.64583</v>
      </c>
      <c r="B14" s="6">
        <f>IFERROR(__xludf.DUMMYFUNCTION("""COMPUTED_VALUE"""),559.0)</f>
        <v>559</v>
      </c>
      <c r="C14" s="6">
        <f>IFERROR(__xludf.DUMMYFUNCTION("""COMPUTED_VALUE"""),565.95)</f>
        <v>565.95</v>
      </c>
      <c r="D14" s="6">
        <f>IFERROR(__xludf.DUMMYFUNCTION("""COMPUTED_VALUE"""),547.45)</f>
        <v>547.45</v>
      </c>
      <c r="E14" s="6">
        <f>IFERROR(__xludf.DUMMYFUNCTION("""COMPUTED_VALUE"""),555.45)</f>
        <v>555.45</v>
      </c>
      <c r="F14" s="6">
        <f>IFERROR(__xludf.DUMMYFUNCTION("""COMPUTED_VALUE"""),8985485.0)</f>
        <v>8985485</v>
      </c>
    </row>
    <row r="15">
      <c r="A15" s="7">
        <f>IFERROR(__xludf.DUMMYFUNCTION("""COMPUTED_VALUE"""),45261.64583333333)</f>
        <v>45261.64583</v>
      </c>
      <c r="B15" s="6">
        <f>IFERROR(__xludf.DUMMYFUNCTION("""COMPUTED_VALUE"""),555.45)</f>
        <v>555.45</v>
      </c>
      <c r="C15" s="6">
        <f>IFERROR(__xludf.DUMMYFUNCTION("""COMPUTED_VALUE"""),569.4)</f>
        <v>569.4</v>
      </c>
      <c r="D15" s="6">
        <f>IFERROR(__xludf.DUMMYFUNCTION("""COMPUTED_VALUE"""),548.5)</f>
        <v>548.5</v>
      </c>
      <c r="E15" s="6">
        <f>IFERROR(__xludf.DUMMYFUNCTION("""COMPUTED_VALUE"""),558.8)</f>
        <v>558.8</v>
      </c>
      <c r="F15" s="6">
        <f>IFERROR(__xludf.DUMMYFUNCTION("""COMPUTED_VALUE"""),1.399467E7)</f>
        <v>13994670</v>
      </c>
    </row>
    <row r="16">
      <c r="A16" s="7">
        <f>IFERROR(__xludf.DUMMYFUNCTION("""COMPUTED_VALUE"""),45268.64583333333)</f>
        <v>45268.64583</v>
      </c>
      <c r="B16" s="6">
        <f>IFERROR(__xludf.DUMMYFUNCTION("""COMPUTED_VALUE"""),563.0)</f>
        <v>563</v>
      </c>
      <c r="C16" s="6">
        <f>IFERROR(__xludf.DUMMYFUNCTION("""COMPUTED_VALUE"""),565.0)</f>
        <v>565</v>
      </c>
      <c r="D16" s="6">
        <f>IFERROR(__xludf.DUMMYFUNCTION("""COMPUTED_VALUE"""),539.65)</f>
        <v>539.65</v>
      </c>
      <c r="E16" s="6">
        <f>IFERROR(__xludf.DUMMYFUNCTION("""COMPUTED_VALUE"""),543.55)</f>
        <v>543.55</v>
      </c>
      <c r="F16" s="6">
        <f>IFERROR(__xludf.DUMMYFUNCTION("""COMPUTED_VALUE"""),9169165.0)</f>
        <v>9169165</v>
      </c>
    </row>
    <row r="17">
      <c r="A17" s="7">
        <f>IFERROR(__xludf.DUMMYFUNCTION("""COMPUTED_VALUE"""),45275.64583333333)</f>
        <v>45275.64583</v>
      </c>
      <c r="B17" s="6">
        <f>IFERROR(__xludf.DUMMYFUNCTION("""COMPUTED_VALUE"""),543.55)</f>
        <v>543.55</v>
      </c>
      <c r="C17" s="6">
        <f>IFERROR(__xludf.DUMMYFUNCTION("""COMPUTED_VALUE"""),554.9)</f>
        <v>554.9</v>
      </c>
      <c r="D17" s="6">
        <f>IFERROR(__xludf.DUMMYFUNCTION("""COMPUTED_VALUE"""),516.3)</f>
        <v>516.3</v>
      </c>
      <c r="E17" s="6">
        <f>IFERROR(__xludf.DUMMYFUNCTION("""COMPUTED_VALUE"""),519.2)</f>
        <v>519.2</v>
      </c>
      <c r="F17" s="6">
        <f>IFERROR(__xludf.DUMMYFUNCTION("""COMPUTED_VALUE"""),1.1090114E7)</f>
        <v>11090114</v>
      </c>
    </row>
    <row r="18">
      <c r="A18" s="7">
        <f>IFERROR(__xludf.DUMMYFUNCTION("""COMPUTED_VALUE"""),45282.64583333333)</f>
        <v>45282.64583</v>
      </c>
      <c r="B18" s="6">
        <f>IFERROR(__xludf.DUMMYFUNCTION("""COMPUTED_VALUE"""),521.8)</f>
        <v>521.8</v>
      </c>
      <c r="C18" s="6">
        <f>IFERROR(__xludf.DUMMYFUNCTION("""COMPUTED_VALUE"""),526.0)</f>
        <v>526</v>
      </c>
      <c r="D18" s="6">
        <f>IFERROR(__xludf.DUMMYFUNCTION("""COMPUTED_VALUE"""),505.4)</f>
        <v>505.4</v>
      </c>
      <c r="E18" s="6">
        <f>IFERROR(__xludf.DUMMYFUNCTION("""COMPUTED_VALUE"""),518.95)</f>
        <v>518.95</v>
      </c>
      <c r="F18" s="6">
        <f>IFERROR(__xludf.DUMMYFUNCTION("""COMPUTED_VALUE"""),8356774.0)</f>
        <v>8356774</v>
      </c>
    </row>
    <row r="19">
      <c r="A19" s="7">
        <f>IFERROR(__xludf.DUMMYFUNCTION("""COMPUTED_VALUE"""),45289.64583333333)</f>
        <v>45289.64583</v>
      </c>
      <c r="B19" s="6">
        <f>IFERROR(__xludf.DUMMYFUNCTION("""COMPUTED_VALUE"""),524.0)</f>
        <v>524</v>
      </c>
      <c r="C19" s="6">
        <f>IFERROR(__xludf.DUMMYFUNCTION("""COMPUTED_VALUE"""),535.35)</f>
        <v>535.35</v>
      </c>
      <c r="D19" s="6">
        <f>IFERROR(__xludf.DUMMYFUNCTION("""COMPUTED_VALUE"""),516.95)</f>
        <v>516.95</v>
      </c>
      <c r="E19" s="6">
        <f>IFERROR(__xludf.DUMMYFUNCTION("""COMPUTED_VALUE"""),534.85)</f>
        <v>534.85</v>
      </c>
      <c r="F19" s="6">
        <f>IFERROR(__xludf.DUMMYFUNCTION("""COMPUTED_VALUE"""),7717347.0)</f>
        <v>7717347</v>
      </c>
    </row>
    <row r="20">
      <c r="A20" s="7">
        <f>IFERROR(__xludf.DUMMYFUNCTION("""COMPUTED_VALUE"""),45296.64583333333)</f>
        <v>45296.64583</v>
      </c>
      <c r="B20" s="6">
        <f>IFERROR(__xludf.DUMMYFUNCTION("""COMPUTED_VALUE"""),534.7)</f>
        <v>534.7</v>
      </c>
      <c r="C20" s="6">
        <f>IFERROR(__xludf.DUMMYFUNCTION("""COMPUTED_VALUE"""),545.55)</f>
        <v>545.55</v>
      </c>
      <c r="D20" s="6">
        <f>IFERROR(__xludf.DUMMYFUNCTION("""COMPUTED_VALUE"""),528.1)</f>
        <v>528.1</v>
      </c>
      <c r="E20" s="6">
        <f>IFERROR(__xludf.DUMMYFUNCTION("""COMPUTED_VALUE"""),541.0)</f>
        <v>541</v>
      </c>
      <c r="F20" s="6">
        <f>IFERROR(__xludf.DUMMYFUNCTION("""COMPUTED_VALUE"""),9886621.0)</f>
        <v>9886621</v>
      </c>
    </row>
    <row r="21">
      <c r="A21" s="7">
        <f>IFERROR(__xludf.DUMMYFUNCTION("""COMPUTED_VALUE"""),45303.64583333333)</f>
        <v>45303.64583</v>
      </c>
      <c r="B21" s="6">
        <f>IFERROR(__xludf.DUMMYFUNCTION("""COMPUTED_VALUE"""),541.0)</f>
        <v>541</v>
      </c>
      <c r="C21" s="6">
        <f>IFERROR(__xludf.DUMMYFUNCTION("""COMPUTED_VALUE"""),550.6)</f>
        <v>550.6</v>
      </c>
      <c r="D21" s="6">
        <f>IFERROR(__xludf.DUMMYFUNCTION("""COMPUTED_VALUE"""),529.1)</f>
        <v>529.1</v>
      </c>
      <c r="E21" s="6">
        <f>IFERROR(__xludf.DUMMYFUNCTION("""COMPUTED_VALUE"""),529.95)</f>
        <v>529.95</v>
      </c>
      <c r="F21" s="6">
        <f>IFERROR(__xludf.DUMMYFUNCTION("""COMPUTED_VALUE"""),1.2405797E7)</f>
        <v>12405797</v>
      </c>
    </row>
    <row r="22">
      <c r="A22" s="7">
        <f>IFERROR(__xludf.DUMMYFUNCTION("""COMPUTED_VALUE"""),45316.64583333333)</f>
        <v>45316.64583</v>
      </c>
      <c r="B22" s="6">
        <f>IFERROR(__xludf.DUMMYFUNCTION("""COMPUTED_VALUE"""),496.0)</f>
        <v>496</v>
      </c>
      <c r="C22" s="6">
        <f>IFERROR(__xludf.DUMMYFUNCTION("""COMPUTED_VALUE"""),497.15)</f>
        <v>497.15</v>
      </c>
      <c r="D22" s="6">
        <f>IFERROR(__xludf.DUMMYFUNCTION("""COMPUTED_VALUE"""),475.2)</f>
        <v>475.2</v>
      </c>
      <c r="E22" s="6">
        <f>IFERROR(__xludf.DUMMYFUNCTION("""COMPUTED_VALUE"""),486.3)</f>
        <v>486.3</v>
      </c>
      <c r="F22" s="6">
        <f>IFERROR(__xludf.DUMMYFUNCTION("""COMPUTED_VALUE"""),8464954.0)</f>
        <v>8464954</v>
      </c>
    </row>
    <row r="23">
      <c r="A23" s="7">
        <f>IFERROR(__xludf.DUMMYFUNCTION("""COMPUTED_VALUE"""),45324.64583333333)</f>
        <v>45324.64583</v>
      </c>
      <c r="B23" s="6">
        <f>IFERROR(__xludf.DUMMYFUNCTION("""COMPUTED_VALUE"""),486.3)</f>
        <v>486.3</v>
      </c>
      <c r="C23" s="6">
        <f>IFERROR(__xludf.DUMMYFUNCTION("""COMPUTED_VALUE"""),521.0)</f>
        <v>521</v>
      </c>
      <c r="D23" s="6">
        <f>IFERROR(__xludf.DUMMYFUNCTION("""COMPUTED_VALUE"""),483.0)</f>
        <v>483</v>
      </c>
      <c r="E23" s="6">
        <f>IFERROR(__xludf.DUMMYFUNCTION("""COMPUTED_VALUE"""),506.5)</f>
        <v>506.5</v>
      </c>
      <c r="F23" s="6">
        <f>IFERROR(__xludf.DUMMYFUNCTION("""COMPUTED_VALUE"""),1.4407565E7)</f>
        <v>14407565</v>
      </c>
    </row>
    <row r="24">
      <c r="A24" s="7">
        <f>IFERROR(__xludf.DUMMYFUNCTION("""COMPUTED_VALUE"""),45331.64583333333)</f>
        <v>45331.64583</v>
      </c>
      <c r="B24" s="6">
        <f>IFERROR(__xludf.DUMMYFUNCTION("""COMPUTED_VALUE"""),507.0)</f>
        <v>507</v>
      </c>
      <c r="C24" s="6">
        <f>IFERROR(__xludf.DUMMYFUNCTION("""COMPUTED_VALUE"""),533.8)</f>
        <v>533.8</v>
      </c>
      <c r="D24" s="6">
        <f>IFERROR(__xludf.DUMMYFUNCTION("""COMPUTED_VALUE"""),502.1)</f>
        <v>502.1</v>
      </c>
      <c r="E24" s="6">
        <f>IFERROR(__xludf.DUMMYFUNCTION("""COMPUTED_VALUE"""),521.45)</f>
        <v>521.45</v>
      </c>
      <c r="F24" s="6">
        <f>IFERROR(__xludf.DUMMYFUNCTION("""COMPUTED_VALUE"""),6907376.0)</f>
        <v>6907376</v>
      </c>
    </row>
    <row r="25">
      <c r="A25" s="7">
        <f>IFERROR(__xludf.DUMMYFUNCTION("""COMPUTED_VALUE"""),45338.64583333333)</f>
        <v>45338.64583</v>
      </c>
      <c r="B25" s="6">
        <f>IFERROR(__xludf.DUMMYFUNCTION("""COMPUTED_VALUE"""),521.45)</f>
        <v>521.45</v>
      </c>
      <c r="C25" s="6">
        <f>IFERROR(__xludf.DUMMYFUNCTION("""COMPUTED_VALUE"""),521.6)</f>
        <v>521.6</v>
      </c>
      <c r="D25" s="6">
        <f>IFERROR(__xludf.DUMMYFUNCTION("""COMPUTED_VALUE"""),497.3)</f>
        <v>497.3</v>
      </c>
      <c r="E25" s="6">
        <f>IFERROR(__xludf.DUMMYFUNCTION("""COMPUTED_VALUE"""),512.05)</f>
        <v>512.05</v>
      </c>
      <c r="F25" s="6">
        <f>IFERROR(__xludf.DUMMYFUNCTION("""COMPUTED_VALUE"""),7907886.0)</f>
        <v>7907886</v>
      </c>
    </row>
    <row r="26">
      <c r="A26" s="7">
        <f>IFERROR(__xludf.DUMMYFUNCTION("""COMPUTED_VALUE"""),45345.64583333333)</f>
        <v>45345.64583</v>
      </c>
      <c r="B26" s="6">
        <f>IFERROR(__xludf.DUMMYFUNCTION("""COMPUTED_VALUE"""),514.0)</f>
        <v>514</v>
      </c>
      <c r="C26" s="6">
        <f>IFERROR(__xludf.DUMMYFUNCTION("""COMPUTED_VALUE"""),526.4)</f>
        <v>526.4</v>
      </c>
      <c r="D26" s="6">
        <f>IFERROR(__xludf.DUMMYFUNCTION("""COMPUTED_VALUE"""),509.0)</f>
        <v>509</v>
      </c>
      <c r="E26" s="6">
        <f>IFERROR(__xludf.DUMMYFUNCTION("""COMPUTED_VALUE"""),522.85)</f>
        <v>522.85</v>
      </c>
      <c r="F26" s="6">
        <f>IFERROR(__xludf.DUMMYFUNCTION("""COMPUTED_VALUE"""),7059910.0)</f>
        <v>7059910</v>
      </c>
    </row>
    <row r="27">
      <c r="A27" s="7">
        <f>IFERROR(__xludf.DUMMYFUNCTION("""COMPUTED_VALUE"""),45358.64583333333)</f>
        <v>45358.64583</v>
      </c>
      <c r="B27" s="6">
        <f>IFERROR(__xludf.DUMMYFUNCTION("""COMPUTED_VALUE"""),539.5)</f>
        <v>539.5</v>
      </c>
      <c r="C27" s="6">
        <f>IFERROR(__xludf.DUMMYFUNCTION("""COMPUTED_VALUE"""),595.0)</f>
        <v>595</v>
      </c>
      <c r="D27" s="6">
        <f>IFERROR(__xludf.DUMMYFUNCTION("""COMPUTED_VALUE"""),533.95)</f>
        <v>533.95</v>
      </c>
      <c r="E27" s="6">
        <f>IFERROR(__xludf.DUMMYFUNCTION("""COMPUTED_VALUE"""),583.6)</f>
        <v>583.6</v>
      </c>
      <c r="F27" s="6">
        <f>IFERROR(__xludf.DUMMYFUNCTION("""COMPUTED_VALUE"""),1.5459347E7)</f>
        <v>15459347</v>
      </c>
    </row>
    <row r="28">
      <c r="A28" s="7">
        <f>IFERROR(__xludf.DUMMYFUNCTION("""COMPUTED_VALUE"""),45366.64583333333)</f>
        <v>45366.64583</v>
      </c>
      <c r="B28" s="6">
        <f>IFERROR(__xludf.DUMMYFUNCTION("""COMPUTED_VALUE"""),595.0)</f>
        <v>595</v>
      </c>
      <c r="C28" s="6">
        <f>IFERROR(__xludf.DUMMYFUNCTION("""COMPUTED_VALUE"""),614.7)</f>
        <v>614.7</v>
      </c>
      <c r="D28" s="6">
        <f>IFERROR(__xludf.DUMMYFUNCTION("""COMPUTED_VALUE"""),561.25)</f>
        <v>561.25</v>
      </c>
      <c r="E28" s="6">
        <f>IFERROR(__xludf.DUMMYFUNCTION("""COMPUTED_VALUE"""),567.75)</f>
        <v>567.75</v>
      </c>
      <c r="F28" s="6">
        <f>IFERROR(__xludf.DUMMYFUNCTION("""COMPUTED_VALUE"""),2.040872E7)</f>
        <v>20408720</v>
      </c>
    </row>
    <row r="29">
      <c r="A29" s="7">
        <f>IFERROR(__xludf.DUMMYFUNCTION("""COMPUTED_VALUE"""),45373.64583333333)</f>
        <v>45373.64583</v>
      </c>
      <c r="B29" s="6">
        <f>IFERROR(__xludf.DUMMYFUNCTION("""COMPUTED_VALUE"""),569.0)</f>
        <v>569</v>
      </c>
      <c r="C29" s="6">
        <f>IFERROR(__xludf.DUMMYFUNCTION("""COMPUTED_VALUE"""),588.75)</f>
        <v>588.75</v>
      </c>
      <c r="D29" s="6">
        <f>IFERROR(__xludf.DUMMYFUNCTION("""COMPUTED_VALUE"""),545.85)</f>
        <v>545.85</v>
      </c>
      <c r="E29" s="6">
        <f>IFERROR(__xludf.DUMMYFUNCTION("""COMPUTED_VALUE"""),581.85)</f>
        <v>581.85</v>
      </c>
      <c r="F29" s="6">
        <f>IFERROR(__xludf.DUMMYFUNCTION("""COMPUTED_VALUE"""),8498835.0)</f>
        <v>8498835</v>
      </c>
    </row>
    <row r="30">
      <c r="A30" s="7">
        <f>IFERROR(__xludf.DUMMYFUNCTION("""COMPUTED_VALUE"""),45379.64583333333)</f>
        <v>45379.64583</v>
      </c>
      <c r="B30" s="6">
        <f>IFERROR(__xludf.DUMMYFUNCTION("""COMPUTED_VALUE"""),588.0)</f>
        <v>588</v>
      </c>
      <c r="C30" s="6">
        <f>IFERROR(__xludf.DUMMYFUNCTION("""COMPUTED_VALUE"""),614.0)</f>
        <v>614</v>
      </c>
      <c r="D30" s="6">
        <f>IFERROR(__xludf.DUMMYFUNCTION("""COMPUTED_VALUE"""),588.0)</f>
        <v>588</v>
      </c>
      <c r="E30" s="6">
        <f>IFERROR(__xludf.DUMMYFUNCTION("""COMPUTED_VALUE"""),608.65)</f>
        <v>608.65</v>
      </c>
      <c r="F30" s="6">
        <f>IFERROR(__xludf.DUMMYFUNCTION("""COMPUTED_VALUE"""),6788395.0)</f>
        <v>6788395</v>
      </c>
    </row>
    <row r="31">
      <c r="A31" s="7">
        <f>IFERROR(__xludf.DUMMYFUNCTION("""COMPUTED_VALUE"""),45387.64583333333)</f>
        <v>45387.64583</v>
      </c>
      <c r="B31" s="6">
        <f>IFERROR(__xludf.DUMMYFUNCTION("""COMPUTED_VALUE"""),610.0)</f>
        <v>610</v>
      </c>
      <c r="C31" s="6">
        <f>IFERROR(__xludf.DUMMYFUNCTION("""COMPUTED_VALUE"""),630.0)</f>
        <v>630</v>
      </c>
      <c r="D31" s="6">
        <f>IFERROR(__xludf.DUMMYFUNCTION("""COMPUTED_VALUE"""),602.55)</f>
        <v>602.55</v>
      </c>
      <c r="E31" s="6">
        <f>IFERROR(__xludf.DUMMYFUNCTION("""COMPUTED_VALUE"""),620.0)</f>
        <v>620</v>
      </c>
      <c r="F31" s="6">
        <f>IFERROR(__xludf.DUMMYFUNCTION("""COMPUTED_VALUE"""),1.3334158E7)</f>
        <v>13334158</v>
      </c>
    </row>
    <row r="32">
      <c r="A32" s="7">
        <f>IFERROR(__xludf.DUMMYFUNCTION("""COMPUTED_VALUE"""),45394.64583333333)</f>
        <v>45394.64583</v>
      </c>
      <c r="B32" s="6">
        <f>IFERROR(__xludf.DUMMYFUNCTION("""COMPUTED_VALUE"""),623.4)</f>
        <v>623.4</v>
      </c>
      <c r="C32" s="6">
        <f>IFERROR(__xludf.DUMMYFUNCTION("""COMPUTED_VALUE"""),640.85)</f>
        <v>640.85</v>
      </c>
      <c r="D32" s="6">
        <f>IFERROR(__xludf.DUMMYFUNCTION("""COMPUTED_VALUE"""),612.65)</f>
        <v>612.65</v>
      </c>
      <c r="E32" s="6">
        <f>IFERROR(__xludf.DUMMYFUNCTION("""COMPUTED_VALUE"""),629.0)</f>
        <v>629</v>
      </c>
      <c r="F32" s="6">
        <f>IFERROR(__xludf.DUMMYFUNCTION("""COMPUTED_VALUE"""),7055353.0)</f>
        <v>7055353</v>
      </c>
    </row>
    <row r="33">
      <c r="A33" s="7">
        <f>IFERROR(__xludf.DUMMYFUNCTION("""COMPUTED_VALUE"""),45401.64583333333)</f>
        <v>45401.64583</v>
      </c>
      <c r="B33" s="6">
        <f>IFERROR(__xludf.DUMMYFUNCTION("""COMPUTED_VALUE"""),621.0)</f>
        <v>621</v>
      </c>
      <c r="C33" s="6">
        <f>IFERROR(__xludf.DUMMYFUNCTION("""COMPUTED_VALUE"""),624.75)</f>
        <v>624.75</v>
      </c>
      <c r="D33" s="6">
        <f>IFERROR(__xludf.DUMMYFUNCTION("""COMPUTED_VALUE"""),578.6)</f>
        <v>578.6</v>
      </c>
      <c r="E33" s="6">
        <f>IFERROR(__xludf.DUMMYFUNCTION("""COMPUTED_VALUE"""),588.15)</f>
        <v>588.15</v>
      </c>
      <c r="F33" s="6">
        <f>IFERROR(__xludf.DUMMYFUNCTION("""COMPUTED_VALUE"""),5903620.0)</f>
        <v>5903620</v>
      </c>
    </row>
    <row r="34">
      <c r="A34" s="7">
        <f>IFERROR(__xludf.DUMMYFUNCTION("""COMPUTED_VALUE"""),45408.64583333333)</f>
        <v>45408.64583</v>
      </c>
      <c r="B34" s="6">
        <f>IFERROR(__xludf.DUMMYFUNCTION("""COMPUTED_VALUE"""),589.95)</f>
        <v>589.95</v>
      </c>
      <c r="C34" s="6">
        <f>IFERROR(__xludf.DUMMYFUNCTION("""COMPUTED_VALUE"""),599.0)</f>
        <v>599</v>
      </c>
      <c r="D34" s="6">
        <f>IFERROR(__xludf.DUMMYFUNCTION("""COMPUTED_VALUE"""),556.75)</f>
        <v>556.75</v>
      </c>
      <c r="E34" s="6">
        <f>IFERROR(__xludf.DUMMYFUNCTION("""COMPUTED_VALUE"""),566.25)</f>
        <v>566.25</v>
      </c>
      <c r="F34" s="6">
        <f>IFERROR(__xludf.DUMMYFUNCTION("""COMPUTED_VALUE"""),1.6006498E7)</f>
        <v>16006498</v>
      </c>
    </row>
    <row r="35">
      <c r="A35" s="7">
        <f>IFERROR(__xludf.DUMMYFUNCTION("""COMPUTED_VALUE"""),45415.64583333333)</f>
        <v>45415.64583</v>
      </c>
      <c r="B35" s="6">
        <f>IFERROR(__xludf.DUMMYFUNCTION("""COMPUTED_VALUE"""),568.25)</f>
        <v>568.25</v>
      </c>
      <c r="C35" s="6">
        <f>IFERROR(__xludf.DUMMYFUNCTION("""COMPUTED_VALUE"""),585.0)</f>
        <v>585</v>
      </c>
      <c r="D35" s="6">
        <f>IFERROR(__xludf.DUMMYFUNCTION("""COMPUTED_VALUE"""),552.25)</f>
        <v>552.25</v>
      </c>
      <c r="E35" s="6">
        <f>IFERROR(__xludf.DUMMYFUNCTION("""COMPUTED_VALUE"""),576.7)</f>
        <v>576.7</v>
      </c>
      <c r="F35" s="6">
        <f>IFERROR(__xludf.DUMMYFUNCTION("""COMPUTED_VALUE"""),9759633.0)</f>
        <v>9759633</v>
      </c>
    </row>
    <row r="36">
      <c r="A36" s="7">
        <f>IFERROR(__xludf.DUMMYFUNCTION("""COMPUTED_VALUE"""),45422.64583333333)</f>
        <v>45422.64583</v>
      </c>
      <c r="B36" s="6">
        <f>IFERROR(__xludf.DUMMYFUNCTION("""COMPUTED_VALUE"""),580.8)</f>
        <v>580.8</v>
      </c>
      <c r="C36" s="6">
        <f>IFERROR(__xludf.DUMMYFUNCTION("""COMPUTED_VALUE"""),593.85)</f>
        <v>593.85</v>
      </c>
      <c r="D36" s="6">
        <f>IFERROR(__xludf.DUMMYFUNCTION("""COMPUTED_VALUE"""),566.0)</f>
        <v>566</v>
      </c>
      <c r="E36" s="6">
        <f>IFERROR(__xludf.DUMMYFUNCTION("""COMPUTED_VALUE"""),591.75)</f>
        <v>591.75</v>
      </c>
      <c r="F36" s="6">
        <f>IFERROR(__xludf.DUMMYFUNCTION("""COMPUTED_VALUE"""),5162109.0)</f>
        <v>5162109</v>
      </c>
    </row>
    <row r="37">
      <c r="A37" s="7">
        <f>IFERROR(__xludf.DUMMYFUNCTION("""COMPUTED_VALUE"""),45436.64583333333)</f>
        <v>45436.64583</v>
      </c>
      <c r="B37" s="6">
        <f>IFERROR(__xludf.DUMMYFUNCTION("""COMPUTED_VALUE"""),589.7)</f>
        <v>589.7</v>
      </c>
      <c r="C37" s="6">
        <f>IFERROR(__xludf.DUMMYFUNCTION("""COMPUTED_VALUE"""),592.7)</f>
        <v>592.7</v>
      </c>
      <c r="D37" s="6">
        <f>IFERROR(__xludf.DUMMYFUNCTION("""COMPUTED_VALUE"""),573.3)</f>
        <v>573.3</v>
      </c>
      <c r="E37" s="6">
        <f>IFERROR(__xludf.DUMMYFUNCTION("""COMPUTED_VALUE"""),579.5)</f>
        <v>579.5</v>
      </c>
      <c r="F37" s="6">
        <f>IFERROR(__xludf.DUMMYFUNCTION("""COMPUTED_VALUE"""),4216363.0)</f>
        <v>4216363</v>
      </c>
    </row>
    <row r="38">
      <c r="A38" s="7">
        <f>IFERROR(__xludf.DUMMYFUNCTION("""COMPUTED_VALUE"""),45443.64583333333)</f>
        <v>45443.64583</v>
      </c>
      <c r="B38" s="6">
        <f>IFERROR(__xludf.DUMMYFUNCTION("""COMPUTED_VALUE"""),579.5)</f>
        <v>579.5</v>
      </c>
      <c r="C38" s="6">
        <f>IFERROR(__xludf.DUMMYFUNCTION("""COMPUTED_VALUE"""),586.95)</f>
        <v>586.95</v>
      </c>
      <c r="D38" s="6">
        <f>IFERROR(__xludf.DUMMYFUNCTION("""COMPUTED_VALUE"""),543.3)</f>
        <v>543.3</v>
      </c>
      <c r="E38" s="6">
        <f>IFERROR(__xludf.DUMMYFUNCTION("""COMPUTED_VALUE"""),545.45)</f>
        <v>545.45</v>
      </c>
      <c r="F38" s="6">
        <f>IFERROR(__xludf.DUMMYFUNCTION("""COMPUTED_VALUE"""),1.4711281E7)</f>
        <v>14711281</v>
      </c>
    </row>
    <row r="39">
      <c r="A39" s="7">
        <f>IFERROR(__xludf.DUMMYFUNCTION("""COMPUTED_VALUE"""),45450.64583333333)</f>
        <v>45450.64583</v>
      </c>
      <c r="B39" s="6">
        <f>IFERROR(__xludf.DUMMYFUNCTION("""COMPUTED_VALUE"""),560.0)</f>
        <v>560</v>
      </c>
      <c r="C39" s="6">
        <f>IFERROR(__xludf.DUMMYFUNCTION("""COMPUTED_VALUE"""),572.9)</f>
        <v>572.9</v>
      </c>
      <c r="D39" s="6">
        <f>IFERROR(__xludf.DUMMYFUNCTION("""COMPUTED_VALUE"""),515.45)</f>
        <v>515.45</v>
      </c>
      <c r="E39" s="6">
        <f>IFERROR(__xludf.DUMMYFUNCTION("""COMPUTED_VALUE"""),571.4)</f>
        <v>571.4</v>
      </c>
      <c r="F39" s="6">
        <f>IFERROR(__xludf.DUMMYFUNCTION("""COMPUTED_VALUE"""),6899753.0)</f>
        <v>6899753</v>
      </c>
    </row>
    <row r="40">
      <c r="A40" s="7">
        <f>IFERROR(__xludf.DUMMYFUNCTION("""COMPUTED_VALUE"""),45457.64583333333)</f>
        <v>45457.64583</v>
      </c>
      <c r="B40" s="6">
        <f>IFERROR(__xludf.DUMMYFUNCTION("""COMPUTED_VALUE"""),571.75)</f>
        <v>571.75</v>
      </c>
      <c r="C40" s="6">
        <f>IFERROR(__xludf.DUMMYFUNCTION("""COMPUTED_VALUE"""),622.0)</f>
        <v>622</v>
      </c>
      <c r="D40" s="6">
        <f>IFERROR(__xludf.DUMMYFUNCTION("""COMPUTED_VALUE"""),567.1)</f>
        <v>567.1</v>
      </c>
      <c r="E40" s="6">
        <f>IFERROR(__xludf.DUMMYFUNCTION("""COMPUTED_VALUE"""),613.7)</f>
        <v>613.7</v>
      </c>
      <c r="F40" s="6">
        <f>IFERROR(__xludf.DUMMYFUNCTION("""COMPUTED_VALUE"""),1.1121355E7)</f>
        <v>11121355</v>
      </c>
    </row>
    <row r="41">
      <c r="A41" s="7">
        <f>IFERROR(__xludf.DUMMYFUNCTION("""COMPUTED_VALUE"""),45464.64583333333)</f>
        <v>45464.64583</v>
      </c>
      <c r="B41" s="6">
        <f>IFERROR(__xludf.DUMMYFUNCTION("""COMPUTED_VALUE"""),615.0)</f>
        <v>615</v>
      </c>
      <c r="C41" s="6">
        <f>IFERROR(__xludf.DUMMYFUNCTION("""COMPUTED_VALUE"""),620.65)</f>
        <v>620.65</v>
      </c>
      <c r="D41" s="6">
        <f>IFERROR(__xludf.DUMMYFUNCTION("""COMPUTED_VALUE"""),596.6)</f>
        <v>596.6</v>
      </c>
      <c r="E41" s="6">
        <f>IFERROR(__xludf.DUMMYFUNCTION("""COMPUTED_VALUE"""),604.4)</f>
        <v>604.4</v>
      </c>
      <c r="F41" s="6">
        <f>IFERROR(__xludf.DUMMYFUNCTION("""COMPUTED_VALUE"""),6227182.0)</f>
        <v>6227182</v>
      </c>
    </row>
    <row r="42">
      <c r="A42" s="7">
        <f>IFERROR(__xludf.DUMMYFUNCTION("""COMPUTED_VALUE"""),45471.64583333333)</f>
        <v>45471.64583</v>
      </c>
      <c r="B42" s="6">
        <f>IFERROR(__xludf.DUMMYFUNCTION("""COMPUTED_VALUE"""),603.0)</f>
        <v>603</v>
      </c>
      <c r="C42" s="6">
        <f>IFERROR(__xludf.DUMMYFUNCTION("""COMPUTED_VALUE"""),617.75)</f>
        <v>617.75</v>
      </c>
      <c r="D42" s="6">
        <f>IFERROR(__xludf.DUMMYFUNCTION("""COMPUTED_VALUE"""),593.45)</f>
        <v>593.45</v>
      </c>
      <c r="E42" s="6">
        <f>IFERROR(__xludf.DUMMYFUNCTION("""COMPUTED_VALUE"""),605.7)</f>
        <v>605.7</v>
      </c>
      <c r="F42" s="6">
        <f>IFERROR(__xludf.DUMMYFUNCTION("""COMPUTED_VALUE"""),8799872.0)</f>
        <v>8799872</v>
      </c>
    </row>
    <row r="43">
      <c r="A43" s="7">
        <f>IFERROR(__xludf.DUMMYFUNCTION("""COMPUTED_VALUE"""),45478.64583333333)</f>
        <v>45478.64583</v>
      </c>
      <c r="B43" s="6">
        <f>IFERROR(__xludf.DUMMYFUNCTION("""COMPUTED_VALUE"""),602.95)</f>
        <v>602.95</v>
      </c>
      <c r="C43" s="6">
        <f>IFERROR(__xludf.DUMMYFUNCTION("""COMPUTED_VALUE"""),644.85)</f>
        <v>644.85</v>
      </c>
      <c r="D43" s="6">
        <f>IFERROR(__xludf.DUMMYFUNCTION("""COMPUTED_VALUE"""),601.2)</f>
        <v>601.2</v>
      </c>
      <c r="E43" s="6">
        <f>IFERROR(__xludf.DUMMYFUNCTION("""COMPUTED_VALUE"""),643.0)</f>
        <v>643</v>
      </c>
      <c r="F43" s="6">
        <f>IFERROR(__xludf.DUMMYFUNCTION("""COMPUTED_VALUE"""),1.1572602E7)</f>
        <v>11572602</v>
      </c>
    </row>
    <row r="44">
      <c r="A44" s="7">
        <f>IFERROR(__xludf.DUMMYFUNCTION("""COMPUTED_VALUE"""),45485.64583333333)</f>
        <v>45485.64583</v>
      </c>
      <c r="B44" s="6">
        <f>IFERROR(__xludf.DUMMYFUNCTION("""COMPUTED_VALUE"""),641.6)</f>
        <v>641.6</v>
      </c>
      <c r="C44" s="6">
        <f>IFERROR(__xludf.DUMMYFUNCTION("""COMPUTED_VALUE"""),673.7)</f>
        <v>673.7</v>
      </c>
      <c r="D44" s="6">
        <f>IFERROR(__xludf.DUMMYFUNCTION("""COMPUTED_VALUE"""),628.6)</f>
        <v>628.6</v>
      </c>
      <c r="E44" s="6">
        <f>IFERROR(__xludf.DUMMYFUNCTION("""COMPUTED_VALUE"""),651.15)</f>
        <v>651.15</v>
      </c>
      <c r="F44" s="6">
        <f>IFERROR(__xludf.DUMMYFUNCTION("""COMPUTED_VALUE"""),1.1795322E7)</f>
        <v>11795322</v>
      </c>
    </row>
    <row r="45">
      <c r="A45" s="7">
        <f>IFERROR(__xludf.DUMMYFUNCTION("""COMPUTED_VALUE"""),45492.64583333333)</f>
        <v>45492.64583</v>
      </c>
      <c r="B45" s="6">
        <f>IFERROR(__xludf.DUMMYFUNCTION("""COMPUTED_VALUE"""),652.5)</f>
        <v>652.5</v>
      </c>
      <c r="C45" s="6">
        <f>IFERROR(__xludf.DUMMYFUNCTION("""COMPUTED_VALUE"""),662.75)</f>
        <v>662.75</v>
      </c>
      <c r="D45" s="6">
        <f>IFERROR(__xludf.DUMMYFUNCTION("""COMPUTED_VALUE"""),637.5)</f>
        <v>637.5</v>
      </c>
      <c r="E45" s="6">
        <f>IFERROR(__xludf.DUMMYFUNCTION("""COMPUTED_VALUE"""),643.4)</f>
        <v>643.4</v>
      </c>
      <c r="F45" s="6">
        <f>IFERROR(__xludf.DUMMYFUNCTION("""COMPUTED_VALUE"""),5448576.0)</f>
        <v>5448576</v>
      </c>
    </row>
    <row r="46">
      <c r="A46" s="7">
        <f>IFERROR(__xludf.DUMMYFUNCTION("""COMPUTED_VALUE"""),45499.64583333333)</f>
        <v>45499.64583</v>
      </c>
      <c r="B46" s="6">
        <f>IFERROR(__xludf.DUMMYFUNCTION("""COMPUTED_VALUE"""),640.05)</f>
        <v>640.05</v>
      </c>
      <c r="C46" s="6">
        <f>IFERROR(__xludf.DUMMYFUNCTION("""COMPUTED_VALUE"""),731.45)</f>
        <v>731.45</v>
      </c>
      <c r="D46" s="6">
        <f>IFERROR(__xludf.DUMMYFUNCTION("""COMPUTED_VALUE"""),611.25)</f>
        <v>611.25</v>
      </c>
      <c r="E46" s="6">
        <f>IFERROR(__xludf.DUMMYFUNCTION("""COMPUTED_VALUE"""),724.9)</f>
        <v>724.9</v>
      </c>
      <c r="F46" s="6">
        <f>IFERROR(__xludf.DUMMYFUNCTION("""COMPUTED_VALUE"""),2.0105706E7)</f>
        <v>20105706</v>
      </c>
    </row>
    <row r="47">
      <c r="A47" s="7">
        <f>IFERROR(__xludf.DUMMYFUNCTION("""COMPUTED_VALUE"""),45506.64583333333)</f>
        <v>45506.64583</v>
      </c>
      <c r="B47" s="6">
        <f>IFERROR(__xludf.DUMMYFUNCTION("""COMPUTED_VALUE"""),724.9)</f>
        <v>724.9</v>
      </c>
      <c r="C47" s="6">
        <f>IFERROR(__xludf.DUMMYFUNCTION("""COMPUTED_VALUE"""),742.2)</f>
        <v>742.2</v>
      </c>
      <c r="D47" s="6">
        <f>IFERROR(__xludf.DUMMYFUNCTION("""COMPUTED_VALUE"""),698.05)</f>
        <v>698.05</v>
      </c>
      <c r="E47" s="6">
        <f>IFERROR(__xludf.DUMMYFUNCTION("""COMPUTED_VALUE"""),728.6)</f>
        <v>728.6</v>
      </c>
      <c r="F47" s="6">
        <f>IFERROR(__xludf.DUMMYFUNCTION("""COMPUTED_VALUE"""),8066844.0)</f>
        <v>8066844</v>
      </c>
    </row>
    <row r="48">
      <c r="A48" s="7">
        <f>IFERROR(__xludf.DUMMYFUNCTION("""COMPUTED_VALUE"""),45513.64583333333)</f>
        <v>45513.64583</v>
      </c>
      <c r="B48" s="6">
        <f>IFERROR(__xludf.DUMMYFUNCTION("""COMPUTED_VALUE"""),705.0)</f>
        <v>705</v>
      </c>
      <c r="C48" s="6">
        <f>IFERROR(__xludf.DUMMYFUNCTION("""COMPUTED_VALUE"""),746.65)</f>
        <v>746.65</v>
      </c>
      <c r="D48" s="6">
        <f>IFERROR(__xludf.DUMMYFUNCTION("""COMPUTED_VALUE"""),697.35)</f>
        <v>697.35</v>
      </c>
      <c r="E48" s="6">
        <f>IFERROR(__xludf.DUMMYFUNCTION("""COMPUTED_VALUE"""),739.25)</f>
        <v>739.25</v>
      </c>
      <c r="F48" s="6">
        <f>IFERROR(__xludf.DUMMYFUNCTION("""COMPUTED_VALUE"""),8271132.0)</f>
        <v>8271132</v>
      </c>
    </row>
    <row r="49">
      <c r="A49" s="7">
        <f>IFERROR(__xludf.DUMMYFUNCTION("""COMPUTED_VALUE"""),45520.64583333333)</f>
        <v>45520.64583</v>
      </c>
      <c r="B49" s="6">
        <f>IFERROR(__xludf.DUMMYFUNCTION("""COMPUTED_VALUE"""),731.1)</f>
        <v>731.1</v>
      </c>
      <c r="C49" s="6">
        <f>IFERROR(__xludf.DUMMYFUNCTION("""COMPUTED_VALUE"""),741.0)</f>
        <v>741</v>
      </c>
      <c r="D49" s="6">
        <f>IFERROR(__xludf.DUMMYFUNCTION("""COMPUTED_VALUE"""),702.65)</f>
        <v>702.65</v>
      </c>
      <c r="E49" s="6">
        <f>IFERROR(__xludf.DUMMYFUNCTION("""COMPUTED_VALUE"""),720.05)</f>
        <v>720.05</v>
      </c>
      <c r="F49" s="6">
        <f>IFERROR(__xludf.DUMMYFUNCTION("""COMPUTED_VALUE"""),5251512.0)</f>
        <v>5251512</v>
      </c>
    </row>
    <row r="50">
      <c r="A50" s="7">
        <f>IFERROR(__xludf.DUMMYFUNCTION("""COMPUTED_VALUE"""),45527.64583333333)</f>
        <v>45527.64583</v>
      </c>
      <c r="B50" s="6">
        <f>IFERROR(__xludf.DUMMYFUNCTION("""COMPUTED_VALUE"""),720.0)</f>
        <v>720</v>
      </c>
      <c r="C50" s="6">
        <f>IFERROR(__xludf.DUMMYFUNCTION("""COMPUTED_VALUE"""),752.45)</f>
        <v>752.45</v>
      </c>
      <c r="D50" s="6">
        <f>IFERROR(__xludf.DUMMYFUNCTION("""COMPUTED_VALUE"""),714.55)</f>
        <v>714.55</v>
      </c>
      <c r="E50" s="6">
        <f>IFERROR(__xludf.DUMMYFUNCTION("""COMPUTED_VALUE"""),731.95)</f>
        <v>731.95</v>
      </c>
      <c r="F50" s="6">
        <f>IFERROR(__xludf.DUMMYFUNCTION("""COMPUTED_VALUE"""),8781826.0)</f>
        <v>8781826</v>
      </c>
    </row>
    <row r="51">
      <c r="A51" s="7">
        <f>IFERROR(__xludf.DUMMYFUNCTION("""COMPUTED_VALUE"""),45534.64583333333)</f>
        <v>45534.64583</v>
      </c>
      <c r="B51" s="6">
        <f>IFERROR(__xludf.DUMMYFUNCTION("""COMPUTED_VALUE"""),732.0)</f>
        <v>732</v>
      </c>
      <c r="C51" s="6">
        <f>IFERROR(__xludf.DUMMYFUNCTION("""COMPUTED_VALUE"""),754.75)</f>
        <v>754.75</v>
      </c>
      <c r="D51" s="6">
        <f>IFERROR(__xludf.DUMMYFUNCTION("""COMPUTED_VALUE"""),715.45)</f>
        <v>715.45</v>
      </c>
      <c r="E51" s="6">
        <f>IFERROR(__xludf.DUMMYFUNCTION("""COMPUTED_VALUE"""),753.15)</f>
        <v>753.15</v>
      </c>
      <c r="F51" s="6">
        <f>IFERROR(__xludf.DUMMYFUNCTION("""COMPUTED_VALUE"""),9224388.0)</f>
        <v>9224388</v>
      </c>
    </row>
    <row r="52">
      <c r="A52" s="7">
        <f>IFERROR(__xludf.DUMMYFUNCTION("""COMPUTED_VALUE"""),45541.64583333333)</f>
        <v>45541.64583</v>
      </c>
      <c r="B52" s="6">
        <f>IFERROR(__xludf.DUMMYFUNCTION("""COMPUTED_VALUE"""),755.0)</f>
        <v>755</v>
      </c>
      <c r="C52" s="6">
        <f>IFERROR(__xludf.DUMMYFUNCTION("""COMPUTED_VALUE"""),772.9)</f>
        <v>772.9</v>
      </c>
      <c r="D52" s="6">
        <f>IFERROR(__xludf.DUMMYFUNCTION("""COMPUTED_VALUE"""),746.05)</f>
        <v>746.05</v>
      </c>
      <c r="E52" s="6">
        <f>IFERROR(__xludf.DUMMYFUNCTION("""COMPUTED_VALUE"""),750.65)</f>
        <v>750.65</v>
      </c>
      <c r="F52" s="6">
        <f>IFERROR(__xludf.DUMMYFUNCTION("""COMPUTED_VALUE"""),5927135.0)</f>
        <v>5927135</v>
      </c>
    </row>
    <row r="53">
      <c r="A53" s="7">
        <f>IFERROR(__xludf.DUMMYFUNCTION("""COMPUTED_VALUE"""),45548.64583333333)</f>
        <v>45548.64583</v>
      </c>
      <c r="B53" s="6">
        <f>IFERROR(__xludf.DUMMYFUNCTION("""COMPUTED_VALUE"""),749.9)</f>
        <v>749.9</v>
      </c>
      <c r="C53" s="6">
        <f>IFERROR(__xludf.DUMMYFUNCTION("""COMPUTED_VALUE"""),766.7)</f>
        <v>766.7</v>
      </c>
      <c r="D53" s="6">
        <f>IFERROR(__xludf.DUMMYFUNCTION("""COMPUTED_VALUE"""),740.35)</f>
        <v>740.35</v>
      </c>
      <c r="E53" s="6">
        <f>IFERROR(__xludf.DUMMYFUNCTION("""COMPUTED_VALUE"""),755.25)</f>
        <v>755.25</v>
      </c>
      <c r="F53" s="6">
        <f>IFERROR(__xludf.DUMMYFUNCTION("""COMPUTED_VALUE"""),5876886.0)</f>
        <v>5876886</v>
      </c>
    </row>
    <row r="54">
      <c r="A54" s="7">
        <f>IFERROR(__xludf.DUMMYFUNCTION("""COMPUTED_VALUE"""),45555.64583333333)</f>
        <v>45555.64583</v>
      </c>
      <c r="B54" s="6">
        <f>IFERROR(__xludf.DUMMYFUNCTION("""COMPUTED_VALUE"""),751.2)</f>
        <v>751.2</v>
      </c>
      <c r="C54" s="6">
        <f>IFERROR(__xludf.DUMMYFUNCTION("""COMPUTED_VALUE"""),770.9)</f>
        <v>770.9</v>
      </c>
      <c r="D54" s="6">
        <f>IFERROR(__xludf.DUMMYFUNCTION("""COMPUTED_VALUE"""),742.85)</f>
        <v>742.85</v>
      </c>
      <c r="E54" s="6">
        <f>IFERROR(__xludf.DUMMYFUNCTION("""COMPUTED_VALUE"""),768.0)</f>
        <v>768</v>
      </c>
      <c r="F54" s="6">
        <f>IFERROR(__xludf.DUMMYFUNCTION("""COMPUTED_VALUE"""),5463815.0)</f>
        <v>5463815</v>
      </c>
    </row>
    <row r="55">
      <c r="A55" s="7">
        <f>IFERROR(__xludf.DUMMYFUNCTION("""COMPUTED_VALUE"""),45562.64583333333)</f>
        <v>45562.64583</v>
      </c>
      <c r="B55" s="6">
        <f>IFERROR(__xludf.DUMMYFUNCTION("""COMPUTED_VALUE"""),768.0)</f>
        <v>768</v>
      </c>
      <c r="C55" s="6">
        <f>IFERROR(__xludf.DUMMYFUNCTION("""COMPUTED_VALUE"""),795.0)</f>
        <v>795</v>
      </c>
      <c r="D55" s="6">
        <f>IFERROR(__xludf.DUMMYFUNCTION("""COMPUTED_VALUE"""),761.5)</f>
        <v>761.5</v>
      </c>
      <c r="E55" s="6">
        <f>IFERROR(__xludf.DUMMYFUNCTION("""COMPUTED_VALUE"""),789.5)</f>
        <v>789.5</v>
      </c>
      <c r="F55" s="6">
        <f>IFERROR(__xludf.DUMMYFUNCTION("""COMPUTED_VALUE"""),7214011.0)</f>
        <v>7214011</v>
      </c>
    </row>
    <row r="56">
      <c r="A56" s="7">
        <f>IFERROR(__xludf.DUMMYFUNCTION("""COMPUTED_VALUE"""),45569.64583333333)</f>
        <v>45569.64583</v>
      </c>
      <c r="B56" s="6">
        <f>IFERROR(__xludf.DUMMYFUNCTION("""COMPUTED_VALUE"""),793.8)</f>
        <v>793.8</v>
      </c>
      <c r="C56" s="6">
        <f>IFERROR(__xludf.DUMMYFUNCTION("""COMPUTED_VALUE"""),796.8)</f>
        <v>796.8</v>
      </c>
      <c r="D56" s="6">
        <f>IFERROR(__xludf.DUMMYFUNCTION("""COMPUTED_VALUE"""),748.95)</f>
        <v>748.95</v>
      </c>
      <c r="E56" s="6">
        <f>IFERROR(__xludf.DUMMYFUNCTION("""COMPUTED_VALUE"""),755.75)</f>
        <v>755.75</v>
      </c>
      <c r="F56" s="6">
        <f>IFERROR(__xludf.DUMMYFUNCTION("""COMPUTED_VALUE"""),3664716.0)</f>
        <v>3664716</v>
      </c>
    </row>
    <row r="57">
      <c r="A57" s="7">
        <f>IFERROR(__xludf.DUMMYFUNCTION("""COMPUTED_VALUE"""),45576.64583333333)</f>
        <v>45576.64583</v>
      </c>
      <c r="B57" s="6">
        <f>IFERROR(__xludf.DUMMYFUNCTION("""COMPUTED_VALUE"""),755.75)</f>
        <v>755.75</v>
      </c>
      <c r="C57" s="6">
        <f>IFERROR(__xludf.DUMMYFUNCTION("""COMPUTED_VALUE"""),764.45)</f>
        <v>764.45</v>
      </c>
      <c r="D57" s="6">
        <f>IFERROR(__xludf.DUMMYFUNCTION("""COMPUTED_VALUE"""),726.2)</f>
        <v>726.2</v>
      </c>
      <c r="E57" s="6">
        <f>IFERROR(__xludf.DUMMYFUNCTION("""COMPUTED_VALUE"""),742.55)</f>
        <v>742.55</v>
      </c>
      <c r="F57" s="6">
        <f>IFERROR(__xludf.DUMMYFUNCTION("""COMPUTED_VALUE"""),5106629.0)</f>
        <v>5106629</v>
      </c>
    </row>
    <row r="58">
      <c r="A58" s="7">
        <f>IFERROR(__xludf.DUMMYFUNCTION("""COMPUTED_VALUE"""),45583.64583333333)</f>
        <v>45583.64583</v>
      </c>
      <c r="B58" s="6">
        <f>IFERROR(__xludf.DUMMYFUNCTION("""COMPUTED_VALUE"""),742.35)</f>
        <v>742.35</v>
      </c>
      <c r="C58" s="6">
        <f>IFERROR(__xludf.DUMMYFUNCTION("""COMPUTED_VALUE"""),759.45)</f>
        <v>759.45</v>
      </c>
      <c r="D58" s="6">
        <f>IFERROR(__xludf.DUMMYFUNCTION("""COMPUTED_VALUE"""),723.15)</f>
        <v>723.15</v>
      </c>
      <c r="E58" s="6">
        <f>IFERROR(__xludf.DUMMYFUNCTION("""COMPUTED_VALUE"""),745.35)</f>
        <v>745.35</v>
      </c>
      <c r="F58" s="6">
        <f>IFERROR(__xludf.DUMMYFUNCTION("""COMPUTED_VALUE"""),4651183.0)</f>
        <v>4651183</v>
      </c>
    </row>
    <row r="59">
      <c r="A59" s="7">
        <f>IFERROR(__xludf.DUMMYFUNCTION("""COMPUTED_VALUE"""),45590.64583333333)</f>
        <v>45590.64583</v>
      </c>
      <c r="B59" s="6">
        <f>IFERROR(__xludf.DUMMYFUNCTION("""COMPUTED_VALUE"""),748.45)</f>
        <v>748.45</v>
      </c>
      <c r="C59" s="6">
        <f>IFERROR(__xludf.DUMMYFUNCTION("""COMPUTED_VALUE"""),776.85)</f>
        <v>776.85</v>
      </c>
      <c r="D59" s="6">
        <f>IFERROR(__xludf.DUMMYFUNCTION("""COMPUTED_VALUE"""),701.2)</f>
        <v>701.2</v>
      </c>
      <c r="E59" s="6">
        <f>IFERROR(__xludf.DUMMYFUNCTION("""COMPUTED_VALUE"""),742.85)</f>
        <v>742.85</v>
      </c>
      <c r="F59" s="6">
        <f>IFERROR(__xludf.DUMMYFUNCTION("""COMPUTED_VALUE"""),6789669.0)</f>
        <v>6789669</v>
      </c>
    </row>
    <row r="60">
      <c r="A60" s="7">
        <f>IFERROR(__xludf.DUMMYFUNCTION("""COMPUTED_VALUE"""),45604.64583333333)</f>
        <v>45604.64583</v>
      </c>
      <c r="B60" s="6">
        <f>IFERROR(__xludf.DUMMYFUNCTION("""COMPUTED_VALUE"""),744.0)</f>
        <v>744</v>
      </c>
      <c r="C60" s="6">
        <f>IFERROR(__xludf.DUMMYFUNCTION("""COMPUTED_VALUE"""),744.8)</f>
        <v>744.8</v>
      </c>
      <c r="D60" s="6">
        <f>IFERROR(__xludf.DUMMYFUNCTION("""COMPUTED_VALUE"""),702.3)</f>
        <v>702.3</v>
      </c>
      <c r="E60" s="6">
        <f>IFERROR(__xludf.DUMMYFUNCTION("""COMPUTED_VALUE"""),710.35)</f>
        <v>710.35</v>
      </c>
      <c r="F60" s="6">
        <f>IFERROR(__xludf.DUMMYFUNCTION("""COMPUTED_VALUE"""),4449916.0)</f>
        <v>4449916</v>
      </c>
    </row>
    <row r="61">
      <c r="A61" s="7">
        <f>IFERROR(__xludf.DUMMYFUNCTION("""COMPUTED_VALUE"""),45610.64583333333)</f>
        <v>45610.64583</v>
      </c>
      <c r="B61" s="6">
        <f>IFERROR(__xludf.DUMMYFUNCTION("""COMPUTED_VALUE"""),706.0)</f>
        <v>706</v>
      </c>
      <c r="C61" s="6">
        <f>IFERROR(__xludf.DUMMYFUNCTION("""COMPUTED_VALUE"""),711.35)</f>
        <v>711.35</v>
      </c>
      <c r="D61" s="6">
        <f>IFERROR(__xludf.DUMMYFUNCTION("""COMPUTED_VALUE"""),685.0)</f>
        <v>685</v>
      </c>
      <c r="E61" s="6">
        <f>IFERROR(__xludf.DUMMYFUNCTION("""COMPUTED_VALUE"""),693.9)</f>
        <v>693.9</v>
      </c>
      <c r="F61" s="6">
        <f>IFERROR(__xludf.DUMMYFUNCTION("""COMPUTED_VALUE"""),2718255.0)</f>
        <v>2718255</v>
      </c>
    </row>
    <row r="62">
      <c r="A62" s="7">
        <f>IFERROR(__xludf.DUMMYFUNCTION("""COMPUTED_VALUE"""),45618.64583333333)</f>
        <v>45618.64583</v>
      </c>
      <c r="B62" s="6">
        <f>IFERROR(__xludf.DUMMYFUNCTION("""COMPUTED_VALUE"""),687.0)</f>
        <v>687</v>
      </c>
      <c r="C62" s="6">
        <f>IFERROR(__xludf.DUMMYFUNCTION("""COMPUTED_VALUE"""),698.75)</f>
        <v>698.75</v>
      </c>
      <c r="D62" s="6">
        <f>IFERROR(__xludf.DUMMYFUNCTION("""COMPUTED_VALUE"""),668.3)</f>
        <v>668.3</v>
      </c>
      <c r="E62" s="6">
        <f>IFERROR(__xludf.DUMMYFUNCTION("""COMPUTED_VALUE"""),687.2)</f>
        <v>687.2</v>
      </c>
      <c r="F62" s="6">
        <f>IFERROR(__xludf.DUMMYFUNCTION("""COMPUTED_VALUE"""),3599262.0)</f>
        <v>3599262</v>
      </c>
    </row>
    <row r="63">
      <c r="A63" s="7">
        <f>IFERROR(__xludf.DUMMYFUNCTION("""COMPUTED_VALUE"""),45625.64583333333)</f>
        <v>45625.64583</v>
      </c>
      <c r="B63" s="6">
        <f>IFERROR(__xludf.DUMMYFUNCTION("""COMPUTED_VALUE"""),692.2)</f>
        <v>692.2</v>
      </c>
      <c r="C63" s="6">
        <f>IFERROR(__xludf.DUMMYFUNCTION("""COMPUTED_VALUE"""),704.7)</f>
        <v>704.7</v>
      </c>
      <c r="D63" s="6">
        <f>IFERROR(__xludf.DUMMYFUNCTION("""COMPUTED_VALUE"""),667.7)</f>
        <v>667.7</v>
      </c>
      <c r="E63" s="6">
        <f>IFERROR(__xludf.DUMMYFUNCTION("""COMPUTED_VALUE"""),699.65)</f>
        <v>699.65</v>
      </c>
      <c r="F63" s="6">
        <f>IFERROR(__xludf.DUMMYFUNCTION("""COMPUTED_VALUE"""),8246155.0)</f>
        <v>8246155</v>
      </c>
    </row>
    <row r="64">
      <c r="A64" s="7">
        <f>IFERROR(__xludf.DUMMYFUNCTION("""COMPUTED_VALUE"""),45632.64583333333)</f>
        <v>45632.64583</v>
      </c>
      <c r="B64" s="6">
        <f>IFERROR(__xludf.DUMMYFUNCTION("""COMPUTED_VALUE"""),690.0)</f>
        <v>690</v>
      </c>
      <c r="C64" s="6">
        <f>IFERROR(__xludf.DUMMYFUNCTION("""COMPUTED_VALUE"""),704.0)</f>
        <v>704</v>
      </c>
      <c r="D64" s="6">
        <f>IFERROR(__xludf.DUMMYFUNCTION("""COMPUTED_VALUE"""),663.65)</f>
        <v>663.65</v>
      </c>
      <c r="E64" s="6">
        <f>IFERROR(__xludf.DUMMYFUNCTION("""COMPUTED_VALUE"""),674.85)</f>
        <v>674.85</v>
      </c>
      <c r="F64" s="6">
        <f>IFERROR(__xludf.DUMMYFUNCTION("""COMPUTED_VALUE"""),4475423.0)</f>
        <v>4475423</v>
      </c>
    </row>
    <row r="65">
      <c r="A65" s="7">
        <f>IFERROR(__xludf.DUMMYFUNCTION("""COMPUTED_VALUE"""),45639.64583333333)</f>
        <v>45639.64583</v>
      </c>
      <c r="B65" s="6">
        <f>IFERROR(__xludf.DUMMYFUNCTION("""COMPUTED_VALUE"""),675.0)</f>
        <v>675</v>
      </c>
      <c r="C65" s="6">
        <f>IFERROR(__xludf.DUMMYFUNCTION("""COMPUTED_VALUE"""),700.0)</f>
        <v>700</v>
      </c>
      <c r="D65" s="6">
        <f>IFERROR(__xludf.DUMMYFUNCTION("""COMPUTED_VALUE"""),671.1)</f>
        <v>671.1</v>
      </c>
      <c r="E65" s="6">
        <f>IFERROR(__xludf.DUMMYFUNCTION("""COMPUTED_VALUE"""),685.75)</f>
        <v>685.75</v>
      </c>
      <c r="F65" s="6">
        <f>IFERROR(__xludf.DUMMYFUNCTION("""COMPUTED_VALUE"""),4273665.0)</f>
        <v>4273665</v>
      </c>
    </row>
    <row r="66">
      <c r="A66" s="7">
        <f>IFERROR(__xludf.DUMMYFUNCTION("""COMPUTED_VALUE"""),45646.64583333333)</f>
        <v>45646.64583</v>
      </c>
      <c r="B66" s="6">
        <f>IFERROR(__xludf.DUMMYFUNCTION("""COMPUTED_VALUE"""),688.0)</f>
        <v>688</v>
      </c>
      <c r="C66" s="6">
        <f>IFERROR(__xludf.DUMMYFUNCTION("""COMPUTED_VALUE"""),691.95)</f>
        <v>691.95</v>
      </c>
      <c r="D66" s="6">
        <f>IFERROR(__xludf.DUMMYFUNCTION("""COMPUTED_VALUE"""),650.1)</f>
        <v>650.1</v>
      </c>
      <c r="E66" s="6">
        <f>IFERROR(__xludf.DUMMYFUNCTION("""COMPUTED_VALUE"""),653.9)</f>
        <v>653.9</v>
      </c>
      <c r="F66" s="6">
        <f>IFERROR(__xludf.DUMMYFUNCTION("""COMPUTED_VALUE"""),4197032.0)</f>
        <v>4197032</v>
      </c>
    </row>
    <row r="67">
      <c r="A67" s="7">
        <f>IFERROR(__xludf.DUMMYFUNCTION("""COMPUTED_VALUE"""),45653.64583333333)</f>
        <v>45653.64583</v>
      </c>
      <c r="B67" s="6">
        <f>IFERROR(__xludf.DUMMYFUNCTION("""COMPUTED_VALUE"""),650.0)</f>
        <v>650</v>
      </c>
      <c r="C67" s="6">
        <f>IFERROR(__xludf.DUMMYFUNCTION("""COMPUTED_VALUE"""),670.5)</f>
        <v>670.5</v>
      </c>
      <c r="D67" s="6">
        <f>IFERROR(__xludf.DUMMYFUNCTION("""COMPUTED_VALUE"""),643.35)</f>
        <v>643.35</v>
      </c>
      <c r="E67" s="6">
        <f>IFERROR(__xludf.DUMMYFUNCTION("""COMPUTED_VALUE"""),656.15)</f>
        <v>656.15</v>
      </c>
      <c r="F67" s="6">
        <f>IFERROR(__xludf.DUMMYFUNCTION("""COMPUTED_VALUE"""),3412073.0)</f>
        <v>3412073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IFERROR(__xludf.DUMMYFUNCTION("""COMPUTED_VALUE"""),656.15)</f>
        <v>656.15</v>
      </c>
      <c r="C68" s="6">
        <f>IFERROR(__xludf.DUMMYFUNCTION("""COMPUTED_VALUE"""),677.3)</f>
        <v>677.3</v>
      </c>
      <c r="D68" s="6">
        <f>IFERROR(__xludf.DUMMYFUNCTION("""COMPUTED_VALUE"""),643.45)</f>
        <v>643.45</v>
      </c>
      <c r="E68" s="6">
        <f>IFERROR(__xludf.DUMMYFUNCTION("""COMPUTED_VALUE"""),673.6)</f>
        <v>673.6</v>
      </c>
      <c r="F68" s="6">
        <f>IFERROR(__xludf.DUMMYFUNCTION("""COMPUTED_VALUE"""),7329800.0)</f>
        <v>7329800</v>
      </c>
    </row>
    <row r="69">
      <c r="A69" s="7">
        <f>IFERROR(__xludf.DUMMYFUNCTION("""COMPUTED_VALUE"""),45667.64583333333)</f>
        <v>45667.64583</v>
      </c>
      <c r="B69" s="6">
        <f>IFERROR(__xludf.DUMMYFUNCTION("""COMPUTED_VALUE"""),676.15)</f>
        <v>676.15</v>
      </c>
      <c r="C69" s="6">
        <f>IFERROR(__xludf.DUMMYFUNCTION("""COMPUTED_VALUE"""),681.95)</f>
        <v>681.95</v>
      </c>
      <c r="D69" s="6">
        <f>IFERROR(__xludf.DUMMYFUNCTION("""COMPUTED_VALUE"""),632.4)</f>
        <v>632.4</v>
      </c>
      <c r="E69" s="6">
        <f>IFERROR(__xludf.DUMMYFUNCTION("""COMPUTED_VALUE"""),644.55)</f>
        <v>644.55</v>
      </c>
      <c r="F69" s="6">
        <f>IFERROR(__xludf.DUMMYFUNCTION("""COMPUTED_VALUE"""),4250223.0)</f>
        <v>4250223</v>
      </c>
    </row>
    <row r="70">
      <c r="A70" s="7">
        <f>IFERROR(__xludf.DUMMYFUNCTION("""COMPUTED_VALUE"""),45674.64583333333)</f>
        <v>45674.64583</v>
      </c>
      <c r="B70" s="6">
        <f>IFERROR(__xludf.DUMMYFUNCTION("""COMPUTED_VALUE"""),642.0)</f>
        <v>642</v>
      </c>
      <c r="C70" s="6">
        <f>IFERROR(__xludf.DUMMYFUNCTION("""COMPUTED_VALUE"""),666.95)</f>
        <v>666.95</v>
      </c>
      <c r="D70" s="6">
        <f>IFERROR(__xludf.DUMMYFUNCTION("""COMPUTED_VALUE"""),628.65)</f>
        <v>628.65</v>
      </c>
      <c r="E70" s="6">
        <f>IFERROR(__xludf.DUMMYFUNCTION("""COMPUTED_VALUE"""),645.75)</f>
        <v>645.75</v>
      </c>
      <c r="F70" s="6">
        <f>IFERROR(__xludf.DUMMYFUNCTION("""COMPUTED_VALUE"""),9149066.0)</f>
        <v>9149066</v>
      </c>
    </row>
    <row r="71">
      <c r="A71" s="7">
        <f>IFERROR(__xludf.DUMMYFUNCTION("""COMPUTED_VALUE"""),45681.64583333333)</f>
        <v>45681.64583</v>
      </c>
      <c r="B71" s="6">
        <f>IFERROR(__xludf.DUMMYFUNCTION("""COMPUTED_VALUE"""),654.45)</f>
        <v>654.45</v>
      </c>
      <c r="C71" s="6">
        <f>IFERROR(__xludf.DUMMYFUNCTION("""COMPUTED_VALUE"""),654.45)</f>
        <v>654.45</v>
      </c>
      <c r="D71" s="6">
        <f>IFERROR(__xludf.DUMMYFUNCTION("""COMPUTED_VALUE"""),572.0)</f>
        <v>572</v>
      </c>
      <c r="E71" s="6">
        <f>IFERROR(__xludf.DUMMYFUNCTION("""COMPUTED_VALUE"""),590.5)</f>
        <v>590.5</v>
      </c>
      <c r="F71" s="6">
        <f>IFERROR(__xludf.DUMMYFUNCTION("""COMPUTED_VALUE"""),1.6997383E7)</f>
        <v>16997383</v>
      </c>
    </row>
    <row r="72">
      <c r="A72" s="7">
        <f>IFERROR(__xludf.DUMMYFUNCTION("""COMPUTED_VALUE"""),45695.64583333333)</f>
        <v>45695.64583</v>
      </c>
      <c r="B72" s="6">
        <f>IFERROR(__xludf.DUMMYFUNCTION("""COMPUTED_VALUE"""),605.95)</f>
        <v>605.95</v>
      </c>
      <c r="C72" s="6">
        <f>IFERROR(__xludf.DUMMYFUNCTION("""COMPUTED_VALUE"""),618.9)</f>
        <v>618.9</v>
      </c>
      <c r="D72" s="6">
        <f>IFERROR(__xludf.DUMMYFUNCTION("""COMPUTED_VALUE"""),592.05)</f>
        <v>592.05</v>
      </c>
      <c r="E72" s="6">
        <f>IFERROR(__xludf.DUMMYFUNCTION("""COMPUTED_VALUE"""),600.05)</f>
        <v>600.05</v>
      </c>
      <c r="F72" s="6">
        <f>IFERROR(__xludf.DUMMYFUNCTION("""COMPUTED_VALUE"""),4330922.0)</f>
        <v>4330922</v>
      </c>
    </row>
    <row r="73">
      <c r="A73" s="7">
        <f>IFERROR(__xludf.DUMMYFUNCTION("""COMPUTED_VALUE"""),45702.64583333333)</f>
        <v>45702.64583</v>
      </c>
      <c r="B73" s="6">
        <f>IFERROR(__xludf.DUMMYFUNCTION("""COMPUTED_VALUE"""),603.0)</f>
        <v>603</v>
      </c>
      <c r="C73" s="6">
        <f>IFERROR(__xludf.DUMMYFUNCTION("""COMPUTED_VALUE"""),608.95)</f>
        <v>608.95</v>
      </c>
      <c r="D73" s="6">
        <f>IFERROR(__xludf.DUMMYFUNCTION("""COMPUTED_VALUE"""),563.45)</f>
        <v>563.45</v>
      </c>
      <c r="E73" s="6">
        <f>IFERROR(__xludf.DUMMYFUNCTION("""COMPUTED_VALUE"""),582.45)</f>
        <v>582.45</v>
      </c>
      <c r="F73" s="6">
        <f>IFERROR(__xludf.DUMMYFUNCTION("""COMPUTED_VALUE"""),3559725.0)</f>
        <v>3559725</v>
      </c>
    </row>
    <row r="74">
      <c r="A74" s="7">
        <f>IFERROR(__xludf.DUMMYFUNCTION("""COMPUTED_VALUE"""),45709.64583333333)</f>
        <v>45709.64583</v>
      </c>
      <c r="B74" s="6">
        <f>IFERROR(__xludf.DUMMYFUNCTION("""COMPUTED_VALUE"""),580.0)</f>
        <v>580</v>
      </c>
      <c r="C74" s="6">
        <f>IFERROR(__xludf.DUMMYFUNCTION("""COMPUTED_VALUE"""),581.95)</f>
        <v>581.95</v>
      </c>
      <c r="D74" s="6">
        <f>IFERROR(__xludf.DUMMYFUNCTION("""COMPUTED_VALUE"""),566.2)</f>
        <v>566.2</v>
      </c>
      <c r="E74" s="6">
        <f>IFERROR(__xludf.DUMMYFUNCTION("""COMPUTED_VALUE"""),574.0)</f>
        <v>574</v>
      </c>
      <c r="F74" s="6">
        <f>IFERROR(__xludf.DUMMYFUNCTION("""COMPUTED_VALUE"""),5419523.0)</f>
        <v>5419523</v>
      </c>
    </row>
    <row r="75">
      <c r="A75" s="7">
        <f>IFERROR(__xludf.DUMMYFUNCTION("""COMPUTED_VALUE"""),45716.64583333333)</f>
        <v>45716.64583</v>
      </c>
      <c r="B75" s="6">
        <f>IFERROR(__xludf.DUMMYFUNCTION("""COMPUTED_VALUE"""),571.0)</f>
        <v>571</v>
      </c>
      <c r="C75" s="6">
        <f>IFERROR(__xludf.DUMMYFUNCTION("""COMPUTED_VALUE"""),574.75)</f>
        <v>574.75</v>
      </c>
      <c r="D75" s="6">
        <f>IFERROR(__xludf.DUMMYFUNCTION("""COMPUTED_VALUE"""),548.3)</f>
        <v>548.3</v>
      </c>
      <c r="E75" s="6">
        <f>IFERROR(__xludf.DUMMYFUNCTION("""COMPUTED_VALUE"""),551.6)</f>
        <v>551.6</v>
      </c>
      <c r="F75" s="6">
        <f>IFERROR(__xludf.DUMMYFUNCTION("""COMPUTED_VALUE"""),4700464.0)</f>
        <v>4700464</v>
      </c>
    </row>
    <row r="76">
      <c r="A76" s="7">
        <f>IFERROR(__xludf.DUMMYFUNCTION("""COMPUTED_VALUE"""),45723.64583333333)</f>
        <v>45723.64583</v>
      </c>
      <c r="B76" s="6">
        <f>IFERROR(__xludf.DUMMYFUNCTION("""COMPUTED_VALUE"""),552.1)</f>
        <v>552.1</v>
      </c>
      <c r="C76" s="6">
        <f>IFERROR(__xludf.DUMMYFUNCTION("""COMPUTED_VALUE"""),558.45)</f>
        <v>558.45</v>
      </c>
      <c r="D76" s="6">
        <f>IFERROR(__xludf.DUMMYFUNCTION("""COMPUTED_VALUE"""),543.4)</f>
        <v>543.4</v>
      </c>
      <c r="E76" s="6">
        <f>IFERROR(__xludf.DUMMYFUNCTION("""COMPUTED_VALUE"""),549.55)</f>
        <v>549.55</v>
      </c>
      <c r="F76" s="6">
        <f>IFERROR(__xludf.DUMMYFUNCTION("""COMPUTED_VALUE"""),8083834.0)</f>
        <v>8083834</v>
      </c>
    </row>
    <row r="77">
      <c r="A77" s="7">
        <f>IFERROR(__xludf.DUMMYFUNCTION("""COMPUTED_VALUE"""),45729.64583333333)</f>
        <v>45729.64583</v>
      </c>
      <c r="B77" s="6">
        <f>IFERROR(__xludf.DUMMYFUNCTION("""COMPUTED_VALUE"""),552.4)</f>
        <v>552.4</v>
      </c>
      <c r="C77" s="6">
        <f>IFERROR(__xludf.DUMMYFUNCTION("""COMPUTED_VALUE"""),554.05)</f>
        <v>554.05</v>
      </c>
      <c r="D77" s="6">
        <f>IFERROR(__xludf.DUMMYFUNCTION("""COMPUTED_VALUE"""),535.0)</f>
        <v>535</v>
      </c>
      <c r="E77" s="6">
        <f>IFERROR(__xludf.DUMMYFUNCTION("""COMPUTED_VALUE"""),536.6)</f>
        <v>536.6</v>
      </c>
      <c r="F77" s="6">
        <f>IFERROR(__xludf.DUMMYFUNCTION("""COMPUTED_VALUE"""),3734958.0)</f>
        <v>3734958</v>
      </c>
    </row>
    <row r="78">
      <c r="A78" s="7">
        <f>IFERROR(__xludf.DUMMYFUNCTION("""COMPUTED_VALUE"""),45737.64583333333)</f>
        <v>45737.64583</v>
      </c>
      <c r="B78" s="6">
        <f>IFERROR(__xludf.DUMMYFUNCTION("""COMPUTED_VALUE"""),537.05)</f>
        <v>537.05</v>
      </c>
      <c r="C78" s="6">
        <f>IFERROR(__xludf.DUMMYFUNCTION("""COMPUTED_VALUE"""),584.4)</f>
        <v>584.4</v>
      </c>
      <c r="D78" s="6">
        <f>IFERROR(__xludf.DUMMYFUNCTION("""COMPUTED_VALUE"""),537.0)</f>
        <v>537</v>
      </c>
      <c r="E78" s="6">
        <f>IFERROR(__xludf.DUMMYFUNCTION("""COMPUTED_VALUE"""),581.4)</f>
        <v>581.4</v>
      </c>
      <c r="F78" s="6">
        <f>IFERROR(__xludf.DUMMYFUNCTION("""COMPUTED_VALUE"""),4971262.0)</f>
        <v>4971262</v>
      </c>
    </row>
    <row r="79">
      <c r="A79" s="7">
        <f>IFERROR(__xludf.DUMMYFUNCTION("""COMPUTED_VALUE"""),45744.64583333333)</f>
        <v>45744.64583</v>
      </c>
      <c r="B79" s="6">
        <f>IFERROR(__xludf.DUMMYFUNCTION("""COMPUTED_VALUE"""),582.1)</f>
        <v>582.1</v>
      </c>
      <c r="C79" s="6">
        <f>IFERROR(__xludf.DUMMYFUNCTION("""COMPUTED_VALUE"""),606.25)</f>
        <v>606.25</v>
      </c>
      <c r="D79" s="6">
        <f>IFERROR(__xludf.DUMMYFUNCTION("""COMPUTED_VALUE"""),560.85)</f>
        <v>560.85</v>
      </c>
      <c r="E79" s="6">
        <f>IFERROR(__xludf.DUMMYFUNCTION("""COMPUTED_VALUE"""),564.35)</f>
        <v>564.35</v>
      </c>
      <c r="F79" s="6">
        <f>IFERROR(__xludf.DUMMYFUNCTION("""COMPUTED_VALUE"""),8184407.0)</f>
        <v>8184407</v>
      </c>
    </row>
    <row r="80">
      <c r="A80" s="7">
        <f>IFERROR(__xludf.DUMMYFUNCTION("""COMPUTED_VALUE"""),45751.64583333333)</f>
        <v>45751.64583</v>
      </c>
      <c r="B80" s="6">
        <f>IFERROR(__xludf.DUMMYFUNCTION("""COMPUTED_VALUE"""),564.0)</f>
        <v>564</v>
      </c>
      <c r="C80" s="6">
        <f>IFERROR(__xludf.DUMMYFUNCTION("""COMPUTED_VALUE"""),573.15)</f>
        <v>573.15</v>
      </c>
      <c r="D80" s="6">
        <f>IFERROR(__xludf.DUMMYFUNCTION("""COMPUTED_VALUE"""),553.0)</f>
        <v>553</v>
      </c>
      <c r="E80" s="6">
        <f>IFERROR(__xludf.DUMMYFUNCTION("""COMPUTED_VALUE"""),556.8)</f>
        <v>556.8</v>
      </c>
      <c r="F80" s="6">
        <f>IFERROR(__xludf.DUMMYFUNCTION("""COMPUTED_VALUE"""),5873367.0)</f>
        <v>5873367</v>
      </c>
    </row>
    <row r="81">
      <c r="A81" s="7">
        <f>IFERROR(__xludf.DUMMYFUNCTION("""COMPUTED_VALUE"""),45758.64583333333)</f>
        <v>45758.64583</v>
      </c>
      <c r="B81" s="6">
        <f>IFERROR(__xludf.DUMMYFUNCTION("""COMPUTED_VALUE"""),532.4)</f>
        <v>532.4</v>
      </c>
      <c r="C81" s="6">
        <f>IFERROR(__xludf.DUMMYFUNCTION("""COMPUTED_VALUE"""),576.05)</f>
        <v>576.05</v>
      </c>
      <c r="D81" s="6">
        <f>IFERROR(__xludf.DUMMYFUNCTION("""COMPUTED_VALUE"""),525.8)</f>
        <v>525.8</v>
      </c>
      <c r="E81" s="6">
        <f>IFERROR(__xludf.DUMMYFUNCTION("""COMPUTED_VALUE"""),552.95)</f>
        <v>552.95</v>
      </c>
      <c r="F81" s="6">
        <f>IFERROR(__xludf.DUMMYFUNCTION("""COMPUTED_VALUE"""),8061484.0)</f>
        <v>8061484</v>
      </c>
    </row>
    <row r="82">
      <c r="A82" s="7">
        <f>IFERROR(__xludf.DUMMYFUNCTION("""COMPUTED_VALUE"""),45764.64583333333)</f>
        <v>45764.64583</v>
      </c>
      <c r="B82" s="6">
        <f>IFERROR(__xludf.DUMMYFUNCTION("""COMPUTED_VALUE"""),552.95)</f>
        <v>552.95</v>
      </c>
      <c r="C82" s="6">
        <f>IFERROR(__xludf.DUMMYFUNCTION("""COMPUTED_VALUE"""),602.25)</f>
        <v>602.25</v>
      </c>
      <c r="D82" s="6">
        <f>IFERROR(__xludf.DUMMYFUNCTION("""COMPUTED_VALUE"""),545.3)</f>
        <v>545.3</v>
      </c>
      <c r="E82" s="6">
        <f>IFERROR(__xludf.DUMMYFUNCTION("""COMPUTED_VALUE"""),595.65)</f>
        <v>595.65</v>
      </c>
      <c r="F82" s="6">
        <f>IFERROR(__xludf.DUMMYFUNCTION("""COMPUTED_VALUE"""),1.4885142E7)</f>
        <v>14885142</v>
      </c>
    </row>
    <row r="83">
      <c r="A83" s="7">
        <f>IFERROR(__xludf.DUMMYFUNCTION("""COMPUTED_VALUE"""),45772.64583333333)</f>
        <v>45772.64583</v>
      </c>
      <c r="B83" s="6">
        <f>IFERROR(__xludf.DUMMYFUNCTION("""COMPUTED_VALUE"""),602.0)</f>
        <v>602</v>
      </c>
      <c r="C83" s="6">
        <f>IFERROR(__xludf.DUMMYFUNCTION("""COMPUTED_VALUE"""),618.6)</f>
        <v>618.6</v>
      </c>
      <c r="D83" s="6">
        <f>IFERROR(__xludf.DUMMYFUNCTION("""COMPUTED_VALUE"""),585.0)</f>
        <v>585</v>
      </c>
      <c r="E83" s="6">
        <f>IFERROR(__xludf.DUMMYFUNCTION("""COMPUTED_VALUE"""),595.8)</f>
        <v>595.8</v>
      </c>
      <c r="F83" s="6">
        <f>IFERROR(__xludf.DUMMYFUNCTION("""COMPUTED_VALUE"""),9485044.0)</f>
        <v>9485044</v>
      </c>
    </row>
    <row r="84">
      <c r="A84" s="7">
        <f>IFERROR(__xludf.DUMMYFUNCTION("""COMPUTED_VALUE"""),45779.64583333333)</f>
        <v>45779.64583</v>
      </c>
      <c r="B84" s="6">
        <f>IFERROR(__xludf.DUMMYFUNCTION("""COMPUTED_VALUE"""),590.25)</f>
        <v>590.25</v>
      </c>
      <c r="C84" s="6">
        <f>IFERROR(__xludf.DUMMYFUNCTION("""COMPUTED_VALUE"""),621.9)</f>
        <v>621.9</v>
      </c>
      <c r="D84" s="6">
        <f>IFERROR(__xludf.DUMMYFUNCTION("""COMPUTED_VALUE"""),590.25)</f>
        <v>590.25</v>
      </c>
      <c r="E84" s="6">
        <f>IFERROR(__xludf.DUMMYFUNCTION("""COMPUTED_VALUE"""),608.95)</f>
        <v>608.95</v>
      </c>
      <c r="F84" s="6">
        <f>IFERROR(__xludf.DUMMYFUNCTION("""COMPUTED_VALUE"""),3482479.0)</f>
        <v>3482479</v>
      </c>
    </row>
    <row r="85">
      <c r="A85" s="7">
        <f>IFERROR(__xludf.DUMMYFUNCTION("""COMPUTED_VALUE"""),45786.64583333333)</f>
        <v>45786.64583</v>
      </c>
      <c r="B85" s="6">
        <f>IFERROR(__xludf.DUMMYFUNCTION("""COMPUTED_VALUE"""),609.1)</f>
        <v>609.1</v>
      </c>
      <c r="C85" s="6">
        <f>IFERROR(__xludf.DUMMYFUNCTION("""COMPUTED_VALUE"""),616.7)</f>
        <v>616.7</v>
      </c>
      <c r="D85" s="6">
        <f>IFERROR(__xludf.DUMMYFUNCTION("""COMPUTED_VALUE"""),570.95)</f>
        <v>570.95</v>
      </c>
      <c r="E85" s="6">
        <f>IFERROR(__xludf.DUMMYFUNCTION("""COMPUTED_VALUE"""),581.2)</f>
        <v>581.2</v>
      </c>
      <c r="F85" s="6">
        <f>IFERROR(__xludf.DUMMYFUNCTION("""COMPUTED_VALUE"""),2557047.0)</f>
        <v>2557047</v>
      </c>
    </row>
    <row r="86">
      <c r="A86" s="7">
        <f>IFERROR(__xludf.DUMMYFUNCTION("""COMPUTED_VALUE"""),45793.64583333333)</f>
        <v>45793.64583</v>
      </c>
      <c r="B86" s="6">
        <f>IFERROR(__xludf.DUMMYFUNCTION("""COMPUTED_VALUE"""),592.8)</f>
        <v>592.8</v>
      </c>
      <c r="C86" s="6">
        <f>IFERROR(__xludf.DUMMYFUNCTION("""COMPUTED_VALUE"""),617.9)</f>
        <v>617.9</v>
      </c>
      <c r="D86" s="6">
        <f>IFERROR(__xludf.DUMMYFUNCTION("""COMPUTED_VALUE"""),591.1)</f>
        <v>591.1</v>
      </c>
      <c r="E86" s="6">
        <f>IFERROR(__xludf.DUMMYFUNCTION("""COMPUTED_VALUE"""),615.6)</f>
        <v>615.6</v>
      </c>
      <c r="F86" s="6">
        <f>IFERROR(__xludf.DUMMYFUNCTION("""COMPUTED_VALUE"""),2552577.0)</f>
        <v>2552577</v>
      </c>
    </row>
    <row r="87">
      <c r="A87" s="7">
        <f>IFERROR(__xludf.DUMMYFUNCTION("""COMPUTED_VALUE"""),45800.64583333333)</f>
        <v>45800.64583</v>
      </c>
      <c r="B87" s="6">
        <f>IFERROR(__xludf.DUMMYFUNCTION("""COMPUTED_VALUE"""),615.6)</f>
        <v>615.6</v>
      </c>
      <c r="C87" s="6">
        <f>IFERROR(__xludf.DUMMYFUNCTION("""COMPUTED_VALUE"""),643.95)</f>
        <v>643.95</v>
      </c>
      <c r="D87" s="6">
        <f>IFERROR(__xludf.DUMMYFUNCTION("""COMPUTED_VALUE"""),610.05)</f>
        <v>610.05</v>
      </c>
      <c r="E87" s="6">
        <f>IFERROR(__xludf.DUMMYFUNCTION("""COMPUTED_VALUE"""),642.2)</f>
        <v>642.2</v>
      </c>
      <c r="F87" s="6">
        <f>IFERROR(__xludf.DUMMYFUNCTION("""COMPUTED_VALUE"""),3704237.0)</f>
        <v>3704237</v>
      </c>
    </row>
    <row r="88">
      <c r="A88" s="7">
        <f>IFERROR(__xludf.DUMMYFUNCTION("""COMPUTED_VALUE"""),45807.64583333333)</f>
        <v>45807.64583</v>
      </c>
      <c r="B88" s="6">
        <f>IFERROR(__xludf.DUMMYFUNCTION("""COMPUTED_VALUE"""),649.95)</f>
        <v>649.95</v>
      </c>
      <c r="C88" s="6">
        <f>IFERROR(__xludf.DUMMYFUNCTION("""COMPUTED_VALUE"""),676.65)</f>
        <v>676.65</v>
      </c>
      <c r="D88" s="6">
        <f>IFERROR(__xludf.DUMMYFUNCTION("""COMPUTED_VALUE"""),643.15)</f>
        <v>643.15</v>
      </c>
      <c r="E88" s="6">
        <f>IFERROR(__xludf.DUMMYFUNCTION("""COMPUTED_VALUE"""),662.4)</f>
        <v>662.4</v>
      </c>
      <c r="F88" s="6">
        <f>IFERROR(__xludf.DUMMYFUNCTION("""COMPUTED_VALUE"""),7029955.0)</f>
        <v>7029955</v>
      </c>
    </row>
    <row r="89">
      <c r="A89" s="7">
        <f>IFERROR(__xludf.DUMMYFUNCTION("""COMPUTED_VALUE"""),45814.64583333333)</f>
        <v>45814.64583</v>
      </c>
      <c r="B89" s="6">
        <f>IFERROR(__xludf.DUMMYFUNCTION("""COMPUTED_VALUE"""),665.6)</f>
        <v>665.6</v>
      </c>
      <c r="C89" s="6">
        <f>IFERROR(__xludf.DUMMYFUNCTION("""COMPUTED_VALUE"""),673.9)</f>
        <v>673.9</v>
      </c>
      <c r="D89" s="6">
        <f>IFERROR(__xludf.DUMMYFUNCTION("""COMPUTED_VALUE"""),632.35)</f>
        <v>632.35</v>
      </c>
      <c r="E89" s="6">
        <f>IFERROR(__xludf.DUMMYFUNCTION("""COMPUTED_VALUE"""),636.05)</f>
        <v>636.05</v>
      </c>
      <c r="F89" s="6">
        <f>IFERROR(__xludf.DUMMYFUNCTION("""COMPUTED_VALUE"""),3962947.0)</f>
        <v>3962947</v>
      </c>
    </row>
    <row r="90">
      <c r="A90" s="7">
        <f>IFERROR(__xludf.DUMMYFUNCTION("""COMPUTED_VALUE"""),45821.64583333333)</f>
        <v>45821.64583</v>
      </c>
      <c r="B90" s="6">
        <f>IFERROR(__xludf.DUMMYFUNCTION("""COMPUTED_VALUE"""),634.5)</f>
        <v>634.5</v>
      </c>
      <c r="C90" s="6">
        <f>IFERROR(__xludf.DUMMYFUNCTION("""COMPUTED_VALUE"""),647.5)</f>
        <v>647.5</v>
      </c>
      <c r="D90" s="6">
        <f>IFERROR(__xludf.DUMMYFUNCTION("""COMPUTED_VALUE"""),620.85)</f>
        <v>620.85</v>
      </c>
      <c r="E90" s="6">
        <f>IFERROR(__xludf.DUMMYFUNCTION("""COMPUTED_VALUE"""),629.5)</f>
        <v>629.5</v>
      </c>
      <c r="F90" s="6">
        <f>IFERROR(__xludf.DUMMYFUNCTION("""COMPUTED_VALUE"""),4174996.0)</f>
        <v>4174996</v>
      </c>
    </row>
    <row r="91">
      <c r="A91" s="7">
        <f>IFERROR(__xludf.DUMMYFUNCTION("""COMPUTED_VALUE"""),45828.64583333333)</f>
        <v>45828.64583</v>
      </c>
      <c r="B91" s="6">
        <f>IFERROR(__xludf.DUMMYFUNCTION("""COMPUTED_VALUE"""),629.5)</f>
        <v>629.5</v>
      </c>
      <c r="C91" s="6">
        <f>IFERROR(__xludf.DUMMYFUNCTION("""COMPUTED_VALUE"""),644.0)</f>
        <v>644</v>
      </c>
      <c r="D91" s="6">
        <f>IFERROR(__xludf.DUMMYFUNCTION("""COMPUTED_VALUE"""),621.1)</f>
        <v>621.1</v>
      </c>
      <c r="E91" s="6">
        <f>IFERROR(__xludf.DUMMYFUNCTION("""COMPUTED_VALUE"""),633.75)</f>
        <v>633.75</v>
      </c>
      <c r="F91" s="6">
        <f>IFERROR(__xludf.DUMMYFUNCTION("""COMPUTED_VALUE"""),4504716.0)</f>
        <v>4504716</v>
      </c>
    </row>
    <row r="92">
      <c r="A92" s="7">
        <f>IFERROR(__xludf.DUMMYFUNCTION("""COMPUTED_VALUE"""),45835.64583333333)</f>
        <v>45835.64583</v>
      </c>
      <c r="B92" s="6">
        <f>IFERROR(__xludf.DUMMYFUNCTION("""COMPUTED_VALUE"""),631.0)</f>
        <v>631</v>
      </c>
      <c r="C92" s="6">
        <f>IFERROR(__xludf.DUMMYFUNCTION("""COMPUTED_VALUE"""),650.7)</f>
        <v>650.7</v>
      </c>
      <c r="D92" s="6">
        <f>IFERROR(__xludf.DUMMYFUNCTION("""COMPUTED_VALUE"""),627.0)</f>
        <v>627</v>
      </c>
      <c r="E92" s="6">
        <f>IFERROR(__xludf.DUMMYFUNCTION("""COMPUTED_VALUE"""),647.85)</f>
        <v>647.85</v>
      </c>
      <c r="F92" s="6">
        <f>IFERROR(__xludf.DUMMYFUNCTION("""COMPUTED_VALUE"""),8361042.0)</f>
        <v>8361042</v>
      </c>
    </row>
    <row r="93">
      <c r="A93" s="7">
        <f>IFERROR(__xludf.DUMMYFUNCTION("""COMPUTED_VALUE"""),45842.64583333333)</f>
        <v>45842.64583</v>
      </c>
      <c r="B93" s="6">
        <f>IFERROR(__xludf.DUMMYFUNCTION("""COMPUTED_VALUE"""),651.0)</f>
        <v>651</v>
      </c>
      <c r="C93" s="6">
        <f>IFERROR(__xludf.DUMMYFUNCTION("""COMPUTED_VALUE"""),664.95)</f>
        <v>664.95</v>
      </c>
      <c r="D93" s="6">
        <f>IFERROR(__xludf.DUMMYFUNCTION("""COMPUTED_VALUE"""),636.95)</f>
        <v>636.95</v>
      </c>
      <c r="E93" s="6">
        <f>IFERROR(__xludf.DUMMYFUNCTION("""COMPUTED_VALUE"""),650.95)</f>
        <v>650.95</v>
      </c>
      <c r="F93" s="6">
        <f>IFERROR(__xludf.DUMMYFUNCTION("""COMPUTED_VALUE"""),7588827.0)</f>
        <v>7588827</v>
      </c>
    </row>
    <row r="94">
      <c r="A94" s="7">
        <f>IFERROR(__xludf.DUMMYFUNCTION("""COMPUTED_VALUE"""),45849.64583333333)</f>
        <v>45849.64583</v>
      </c>
      <c r="B94" s="6">
        <f>IFERROR(__xludf.DUMMYFUNCTION("""COMPUTED_VALUE"""),650.95)</f>
        <v>650.95</v>
      </c>
      <c r="C94" s="6">
        <f>IFERROR(__xludf.DUMMYFUNCTION("""COMPUTED_VALUE"""),685.75)</f>
        <v>685.75</v>
      </c>
      <c r="D94" s="6">
        <f>IFERROR(__xludf.DUMMYFUNCTION("""COMPUTED_VALUE"""),650.95)</f>
        <v>650.95</v>
      </c>
      <c r="E94" s="6">
        <f>IFERROR(__xludf.DUMMYFUNCTION("""COMPUTED_VALUE"""),660.7)</f>
        <v>660.7</v>
      </c>
      <c r="F94" s="6">
        <f>IFERROR(__xludf.DUMMYFUNCTION("""COMPUTED_VALUE"""),6574871.0)</f>
        <v>6574871</v>
      </c>
    </row>
    <row r="95">
      <c r="A95" s="7">
        <f>IFERROR(__xludf.DUMMYFUNCTION("""COMPUTED_VALUE"""),45856.64583333333)</f>
        <v>45856.64583</v>
      </c>
      <c r="B95" s="6">
        <f>IFERROR(__xludf.DUMMYFUNCTION("""COMPUTED_VALUE"""),658.1)</f>
        <v>658.1</v>
      </c>
      <c r="C95" s="6">
        <f>IFERROR(__xludf.DUMMYFUNCTION("""COMPUTED_VALUE"""),693.5)</f>
        <v>693.5</v>
      </c>
      <c r="D95" s="6">
        <f>IFERROR(__xludf.DUMMYFUNCTION("""COMPUTED_VALUE"""),632.0)</f>
        <v>632</v>
      </c>
      <c r="E95" s="6">
        <f>IFERROR(__xludf.DUMMYFUNCTION("""COMPUTED_VALUE"""),633.8)</f>
        <v>633.8</v>
      </c>
      <c r="F95" s="6">
        <f>IFERROR(__xludf.DUMMYFUNCTION("""COMPUTED_VALUE"""),1.4059312E7)</f>
        <v>14059312</v>
      </c>
    </row>
    <row r="96">
      <c r="A96" s="7">
        <f>IFERROR(__xludf.DUMMYFUNCTION("""COMPUTED_VALUE"""),45863.64583333333)</f>
        <v>45863.64583</v>
      </c>
      <c r="B96" s="6">
        <f>IFERROR(__xludf.DUMMYFUNCTION("""COMPUTED_VALUE"""),629.95)</f>
        <v>629.95</v>
      </c>
      <c r="C96" s="6">
        <f>IFERROR(__xludf.DUMMYFUNCTION("""COMPUTED_VALUE"""),642.9)</f>
        <v>642.9</v>
      </c>
      <c r="D96" s="6">
        <f>IFERROR(__xludf.DUMMYFUNCTION("""COMPUTED_VALUE"""),615.0)</f>
        <v>615</v>
      </c>
      <c r="E96" s="6">
        <f>IFERROR(__xludf.DUMMYFUNCTION("""COMPUTED_VALUE"""),618.7)</f>
        <v>618.7</v>
      </c>
      <c r="F96" s="6">
        <f>IFERROR(__xludf.DUMMYFUNCTION("""COMPUTED_VALUE"""),4852207.0)</f>
        <v>4852207</v>
      </c>
    </row>
    <row r="97">
      <c r="A97" s="7">
        <f>IFERROR(__xludf.DUMMYFUNCTION("""COMPUTED_VALUE"""),45870.64583333333)</f>
        <v>45870.64583</v>
      </c>
      <c r="B97" s="6">
        <f>IFERROR(__xludf.DUMMYFUNCTION("""COMPUTED_VALUE"""),618.7)</f>
        <v>618.7</v>
      </c>
      <c r="C97" s="6">
        <f>IFERROR(__xludf.DUMMYFUNCTION("""COMPUTED_VALUE"""),624.7)</f>
        <v>624.7</v>
      </c>
      <c r="D97" s="6">
        <f>IFERROR(__xludf.DUMMYFUNCTION("""COMPUTED_VALUE"""),599.0)</f>
        <v>599</v>
      </c>
      <c r="E97" s="6">
        <f>IFERROR(__xludf.DUMMYFUNCTION("""COMPUTED_VALUE"""),601.05)</f>
        <v>601.05</v>
      </c>
      <c r="F97" s="6">
        <f>IFERROR(__xludf.DUMMYFUNCTION("""COMPUTED_VALUE"""),2684238.0)</f>
        <v>2684238</v>
      </c>
    </row>
    <row r="98">
      <c r="A98" s="7">
        <f>IFERROR(__xludf.DUMMYFUNCTION("""COMPUTED_VALUE"""),45877.64583333333)</f>
        <v>45877.64583</v>
      </c>
      <c r="B98" s="6">
        <f>IFERROR(__xludf.DUMMYFUNCTION("""COMPUTED_VALUE"""),602.0)</f>
        <v>602</v>
      </c>
      <c r="C98" s="6">
        <f>IFERROR(__xludf.DUMMYFUNCTION("""COMPUTED_VALUE"""),624.2)</f>
        <v>624.2</v>
      </c>
      <c r="D98" s="6">
        <f>IFERROR(__xludf.DUMMYFUNCTION("""COMPUTED_VALUE"""),597.0)</f>
        <v>597</v>
      </c>
      <c r="E98" s="6">
        <f>IFERROR(__xludf.DUMMYFUNCTION("""COMPUTED_VALUE"""),610.05)</f>
        <v>610.05</v>
      </c>
      <c r="F98" s="6">
        <f>IFERROR(__xludf.DUMMYFUNCTION("""COMPUTED_VALUE"""),3980915.0)</f>
        <v>3980915</v>
      </c>
    </row>
    <row r="99">
      <c r="A99" s="7">
        <f>IFERROR(__xludf.DUMMYFUNCTION("""COMPUTED_VALUE"""),45883.64583333333)</f>
        <v>45883.64583</v>
      </c>
      <c r="B99" s="6">
        <f>IFERROR(__xludf.DUMMYFUNCTION("""COMPUTED_VALUE"""),611.05)</f>
        <v>611.05</v>
      </c>
      <c r="C99" s="6">
        <f>IFERROR(__xludf.DUMMYFUNCTION("""COMPUTED_VALUE"""),630.95)</f>
        <v>630.95</v>
      </c>
      <c r="D99" s="6">
        <f>IFERROR(__xludf.DUMMYFUNCTION("""COMPUTED_VALUE"""),602.3)</f>
        <v>602.3</v>
      </c>
      <c r="E99" s="6">
        <f>IFERROR(__xludf.DUMMYFUNCTION("""COMPUTED_VALUE"""),626.6)</f>
        <v>626.6</v>
      </c>
      <c r="F99" s="6">
        <f>IFERROR(__xludf.DUMMYFUNCTION("""COMPUTED_VALUE"""),3838141.0)</f>
        <v>3838141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IFERROR(__xludf.DUMMYFUNCTION("""COMPUTED_VALUE"""),642.0)</f>
        <v>642</v>
      </c>
      <c r="C100" s="6">
        <f>IFERROR(__xludf.DUMMYFUNCTION("""COMPUTED_VALUE"""),655.9)</f>
        <v>655.9</v>
      </c>
      <c r="D100" s="6">
        <f>IFERROR(__xludf.DUMMYFUNCTION("""COMPUTED_VALUE"""),622.25)</f>
        <v>622.25</v>
      </c>
      <c r="E100" s="6">
        <f>IFERROR(__xludf.DUMMYFUNCTION("""COMPUTED_VALUE"""),626.05)</f>
        <v>626.05</v>
      </c>
      <c r="F100" s="6">
        <f>IFERROR(__xludf.DUMMYFUNCTION("""COMPUTED_VALUE"""),4845802.0)</f>
        <v>4845802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IFERROR(__xludf.DUMMYFUNCTION("""COMPUTED_VALUE"""),626.05)</f>
        <v>626.05</v>
      </c>
      <c r="C101" s="6">
        <f>IFERROR(__xludf.DUMMYFUNCTION("""COMPUTED_VALUE"""),630.75)</f>
        <v>630.75</v>
      </c>
      <c r="D101" s="6">
        <f>IFERROR(__xludf.DUMMYFUNCTION("""COMPUTED_VALUE"""),613.9)</f>
        <v>613.9</v>
      </c>
      <c r="E101" s="6">
        <f>IFERROR(__xludf.DUMMYFUNCTION("""COMPUTED_VALUE"""),616.3)</f>
        <v>616.3</v>
      </c>
      <c r="F101" s="6">
        <f>IFERROR(__xludf.DUMMYFUNCTION("""COMPUTED_VALUE"""),1.7054476E7)</f>
        <v>17054476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IFERROR(__xludf.DUMMYFUNCTION("GOOGLEFINANCE(""NSE:IDEA"",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IFERROR(__xludf.DUMMYFUNCTION("""COMPUTED_VALUE"""),8.9)</f>
        <v>8.9</v>
      </c>
      <c r="C2" s="6">
        <f>IFERROR(__xludf.DUMMYFUNCTION("""COMPUTED_VALUE"""),10.4)</f>
        <v>10.4</v>
      </c>
      <c r="D2" s="6">
        <f>IFERROR(__xludf.DUMMYFUNCTION("""COMPUTED_VALUE"""),8.5)</f>
        <v>8.5</v>
      </c>
      <c r="E2" s="6">
        <f>IFERROR(__xludf.DUMMYFUNCTION("""COMPUTED_VALUE"""),10.0)</f>
        <v>10</v>
      </c>
      <c r="F2" s="6">
        <f>IFERROR(__xludf.DUMMYFUNCTION("""COMPUTED_VALUE"""),1.90984926E9)</f>
        <v>1909849260</v>
      </c>
    </row>
    <row r="3">
      <c r="A3" s="7">
        <f>IFERROR(__xludf.DUMMYFUNCTION("""COMPUTED_VALUE"""),45177.64583333333)</f>
        <v>45177.64583</v>
      </c>
      <c r="B3" s="6">
        <f>IFERROR(__xludf.DUMMYFUNCTION("""COMPUTED_VALUE"""),10.1)</f>
        <v>10.1</v>
      </c>
      <c r="C3" s="8">
        <f>IFERROR(__xludf.DUMMYFUNCTION("""COMPUTED_VALUE"""),11.0)</f>
        <v>11</v>
      </c>
      <c r="D3" s="6">
        <f>IFERROR(__xludf.DUMMYFUNCTION("""COMPUTED_VALUE"""),9.55)</f>
        <v>9.55</v>
      </c>
      <c r="E3" s="6">
        <f>IFERROR(__xludf.DUMMYFUNCTION("""COMPUTED_VALUE"""),10.5)</f>
        <v>10.5</v>
      </c>
      <c r="F3" s="6">
        <f>IFERROR(__xludf.DUMMYFUNCTION("""COMPUTED_VALUE"""),1.40287112E9)</f>
        <v>1402871120</v>
      </c>
    </row>
    <row r="4">
      <c r="A4" s="7">
        <f>IFERROR(__xludf.DUMMYFUNCTION("""COMPUTED_VALUE"""),45184.64583333333)</f>
        <v>45184.64583</v>
      </c>
      <c r="B4" s="6">
        <f>IFERROR(__xludf.DUMMYFUNCTION("""COMPUTED_VALUE"""),10.65)</f>
        <v>10.65</v>
      </c>
      <c r="C4" s="6">
        <f>IFERROR(__xludf.DUMMYFUNCTION("""COMPUTED_VALUE"""),11.95)</f>
        <v>11.95</v>
      </c>
      <c r="D4" s="6">
        <f>IFERROR(__xludf.DUMMYFUNCTION("""COMPUTED_VALUE"""),10.3)</f>
        <v>10.3</v>
      </c>
      <c r="E4" s="6">
        <f>IFERROR(__xludf.DUMMYFUNCTION("""COMPUTED_VALUE"""),11.7)</f>
        <v>11.7</v>
      </c>
      <c r="F4" s="6">
        <f>IFERROR(__xludf.DUMMYFUNCTION("""COMPUTED_VALUE"""),2.006071897E9)</f>
        <v>2006071897</v>
      </c>
    </row>
    <row r="5">
      <c r="A5" s="7">
        <f>IFERROR(__xludf.DUMMYFUNCTION("""COMPUTED_VALUE"""),45191.64583333333)</f>
        <v>45191.64583</v>
      </c>
      <c r="B5" s="6">
        <f>IFERROR(__xludf.DUMMYFUNCTION("""COMPUTED_VALUE"""),12.5)</f>
        <v>12.5</v>
      </c>
      <c r="C5" s="6">
        <f>IFERROR(__xludf.DUMMYFUNCTION("""COMPUTED_VALUE"""),12.5)</f>
        <v>12.5</v>
      </c>
      <c r="D5" s="6">
        <f>IFERROR(__xludf.DUMMYFUNCTION("""COMPUTED_VALUE"""),10.6)</f>
        <v>10.6</v>
      </c>
      <c r="E5" s="6">
        <f>IFERROR(__xludf.DUMMYFUNCTION("""COMPUTED_VALUE"""),11.3)</f>
        <v>11.3</v>
      </c>
      <c r="F5" s="6">
        <f>IFERROR(__xludf.DUMMYFUNCTION("""COMPUTED_VALUE"""),1.08995568E9)</f>
        <v>1089955680</v>
      </c>
    </row>
    <row r="6">
      <c r="A6" s="7">
        <f>IFERROR(__xludf.DUMMYFUNCTION("""COMPUTED_VALUE"""),45198.64583333333)</f>
        <v>45198.64583</v>
      </c>
      <c r="B6" s="6">
        <f>IFERROR(__xludf.DUMMYFUNCTION("""COMPUTED_VALUE"""),11.35)</f>
        <v>11.35</v>
      </c>
      <c r="C6" s="6">
        <f>IFERROR(__xludf.DUMMYFUNCTION("""COMPUTED_VALUE"""),12.45)</f>
        <v>12.45</v>
      </c>
      <c r="D6" s="6">
        <f>IFERROR(__xludf.DUMMYFUNCTION("""COMPUTED_VALUE"""),11.05)</f>
        <v>11.05</v>
      </c>
      <c r="E6" s="6">
        <f>IFERROR(__xludf.DUMMYFUNCTION("""COMPUTED_VALUE"""),11.65)</f>
        <v>11.65</v>
      </c>
      <c r="F6" s="6">
        <f>IFERROR(__xludf.DUMMYFUNCTION("""COMPUTED_VALUE"""),1.495455508E9)</f>
        <v>1495455508</v>
      </c>
    </row>
    <row r="7">
      <c r="A7" s="7">
        <f>IFERROR(__xludf.DUMMYFUNCTION("""COMPUTED_VALUE"""),45205.64583333333)</f>
        <v>45205.64583</v>
      </c>
      <c r="B7" s="6">
        <f>IFERROR(__xludf.DUMMYFUNCTION("""COMPUTED_VALUE"""),11.75)</f>
        <v>11.75</v>
      </c>
      <c r="C7" s="6">
        <f>IFERROR(__xludf.DUMMYFUNCTION("""COMPUTED_VALUE"""),12.05)</f>
        <v>12.05</v>
      </c>
      <c r="D7" s="6">
        <f>IFERROR(__xludf.DUMMYFUNCTION("""COMPUTED_VALUE"""),10.85)</f>
        <v>10.85</v>
      </c>
      <c r="E7" s="6">
        <f>IFERROR(__xludf.DUMMYFUNCTION("""COMPUTED_VALUE"""),10.95)</f>
        <v>10.95</v>
      </c>
      <c r="F7" s="6">
        <f>IFERROR(__xludf.DUMMYFUNCTION("""COMPUTED_VALUE"""),7.56782029E8)</f>
        <v>756782029</v>
      </c>
    </row>
    <row r="8">
      <c r="A8" s="7">
        <f>IFERROR(__xludf.DUMMYFUNCTION("""COMPUTED_VALUE"""),45212.64583333333)</f>
        <v>45212.64583</v>
      </c>
      <c r="B8" s="6">
        <f>IFERROR(__xludf.DUMMYFUNCTION("""COMPUTED_VALUE"""),10.7)</f>
        <v>10.7</v>
      </c>
      <c r="C8" s="6">
        <f>IFERROR(__xludf.DUMMYFUNCTION("""COMPUTED_VALUE"""),12.35)</f>
        <v>12.35</v>
      </c>
      <c r="D8" s="6">
        <f>IFERROR(__xludf.DUMMYFUNCTION("""COMPUTED_VALUE"""),10.55)</f>
        <v>10.55</v>
      </c>
      <c r="E8" s="6">
        <f>IFERROR(__xludf.DUMMYFUNCTION("""COMPUTED_VALUE"""),12.0)</f>
        <v>12</v>
      </c>
      <c r="F8" s="6">
        <f>IFERROR(__xludf.DUMMYFUNCTION("""COMPUTED_VALUE"""),1.46064322E9)</f>
        <v>1460643220</v>
      </c>
    </row>
    <row r="9">
      <c r="A9" s="7">
        <f>IFERROR(__xludf.DUMMYFUNCTION("""COMPUTED_VALUE"""),45219.64583333333)</f>
        <v>45219.64583</v>
      </c>
      <c r="B9" s="6">
        <f>IFERROR(__xludf.DUMMYFUNCTION("""COMPUTED_VALUE"""),12.1)</f>
        <v>12.1</v>
      </c>
      <c r="C9" s="6">
        <f>IFERROR(__xludf.DUMMYFUNCTION("""COMPUTED_VALUE"""),12.2)</f>
        <v>12.2</v>
      </c>
      <c r="D9" s="6">
        <f>IFERROR(__xludf.DUMMYFUNCTION("""COMPUTED_VALUE"""),11.55)</f>
        <v>11.55</v>
      </c>
      <c r="E9" s="6">
        <f>IFERROR(__xludf.DUMMYFUNCTION("""COMPUTED_VALUE"""),11.75)</f>
        <v>11.75</v>
      </c>
      <c r="F9" s="6">
        <f>IFERROR(__xludf.DUMMYFUNCTION("""COMPUTED_VALUE"""),9.80493083E8)</f>
        <v>980493083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IFERROR(__xludf.DUMMYFUNCTION("""COMPUTED_VALUE"""),11.8)</f>
        <v>11.8</v>
      </c>
      <c r="C10" s="6">
        <f>IFERROR(__xludf.DUMMYFUNCTION("""COMPUTED_VALUE"""),11.9)</f>
        <v>11.9</v>
      </c>
      <c r="D10" s="6">
        <f>IFERROR(__xludf.DUMMYFUNCTION("""COMPUTED_VALUE"""),10.5)</f>
        <v>10.5</v>
      </c>
      <c r="E10" s="6">
        <f>IFERROR(__xludf.DUMMYFUNCTION("""COMPUTED_VALUE"""),10.9)</f>
        <v>10.9</v>
      </c>
      <c r="F10" s="6">
        <f>IFERROR(__xludf.DUMMYFUNCTION("""COMPUTED_VALUE"""),8.59319935E8)</f>
        <v>859319935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IFERROR(__xludf.DUMMYFUNCTION("""COMPUTED_VALUE"""),11.0)</f>
        <v>11</v>
      </c>
      <c r="C11" s="6">
        <f>IFERROR(__xludf.DUMMYFUNCTION("""COMPUTED_VALUE"""),14.35)</f>
        <v>14.35</v>
      </c>
      <c r="D11" s="6">
        <f>IFERROR(__xludf.DUMMYFUNCTION("""COMPUTED_VALUE"""),10.7)</f>
        <v>10.7</v>
      </c>
      <c r="E11" s="6">
        <f>IFERROR(__xludf.DUMMYFUNCTION("""COMPUTED_VALUE"""),13.75)</f>
        <v>13.75</v>
      </c>
      <c r="F11" s="6">
        <f>IFERROR(__xludf.DUMMYFUNCTION("""COMPUTED_VALUE"""),2.917692628E9)</f>
        <v>2917692628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IFERROR(__xludf.DUMMYFUNCTION("""COMPUTED_VALUE"""),13.9)</f>
        <v>13.9</v>
      </c>
      <c r="C12" s="6">
        <f>IFERROR(__xludf.DUMMYFUNCTION("""COMPUTED_VALUE"""),14.45)</f>
        <v>14.45</v>
      </c>
      <c r="D12" s="6">
        <f>IFERROR(__xludf.DUMMYFUNCTION("""COMPUTED_VALUE"""),13.35)</f>
        <v>13.35</v>
      </c>
      <c r="E12" s="6">
        <f>IFERROR(__xludf.DUMMYFUNCTION("""COMPUTED_VALUE"""),13.7)</f>
        <v>13.7</v>
      </c>
      <c r="F12" s="6">
        <f>IFERROR(__xludf.DUMMYFUNCTION("""COMPUTED_VALUE"""),1.035200869E9)</f>
        <v>1035200869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IFERROR(__xludf.DUMMYFUNCTION("""COMPUTED_VALUE"""),13.8)</f>
        <v>13.8</v>
      </c>
      <c r="C13" s="6">
        <f>IFERROR(__xludf.DUMMYFUNCTION("""COMPUTED_VALUE"""),14.8)</f>
        <v>14.8</v>
      </c>
      <c r="D13" s="6">
        <f>IFERROR(__xludf.DUMMYFUNCTION("""COMPUTED_VALUE"""),13.7)</f>
        <v>13.7</v>
      </c>
      <c r="E13" s="6">
        <f>IFERROR(__xludf.DUMMYFUNCTION("""COMPUTED_VALUE"""),14.55)</f>
        <v>14.55</v>
      </c>
      <c r="F13" s="6">
        <f>IFERROR(__xludf.DUMMYFUNCTION("""COMPUTED_VALUE"""),8.77188732E8)</f>
        <v>877188732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IFERROR(__xludf.DUMMYFUNCTION("""COMPUTED_VALUE"""),14.65)</f>
        <v>14.65</v>
      </c>
      <c r="C14" s="6">
        <f>IFERROR(__xludf.DUMMYFUNCTION("""COMPUTED_VALUE"""),15.05)</f>
        <v>15.05</v>
      </c>
      <c r="D14" s="6">
        <f>IFERROR(__xludf.DUMMYFUNCTION("""COMPUTED_VALUE"""),13.3)</f>
        <v>13.3</v>
      </c>
      <c r="E14" s="6">
        <f>IFERROR(__xludf.DUMMYFUNCTION("""COMPUTED_VALUE"""),13.35)</f>
        <v>13.35</v>
      </c>
      <c r="F14" s="6">
        <f>IFERROR(__xludf.DUMMYFUNCTION("""COMPUTED_VALUE"""),1.076081487E9)</f>
        <v>1076081487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IFERROR(__xludf.DUMMYFUNCTION("""COMPUTED_VALUE"""),13.4)</f>
        <v>13.4</v>
      </c>
      <c r="C15" s="6">
        <f>IFERROR(__xludf.DUMMYFUNCTION("""COMPUTED_VALUE"""),13.6)</f>
        <v>13.6</v>
      </c>
      <c r="D15" s="6">
        <f>IFERROR(__xludf.DUMMYFUNCTION("""COMPUTED_VALUE"""),12.95)</f>
        <v>12.95</v>
      </c>
      <c r="E15" s="6">
        <f>IFERROR(__xludf.DUMMYFUNCTION("""COMPUTED_VALUE"""),13.25)</f>
        <v>13.25</v>
      </c>
      <c r="F15" s="6">
        <f>IFERROR(__xludf.DUMMYFUNCTION("""COMPUTED_VALUE"""),1.064669394E9)</f>
        <v>1064669394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IFERROR(__xludf.DUMMYFUNCTION("""COMPUTED_VALUE"""),13.45)</f>
        <v>13.45</v>
      </c>
      <c r="C16" s="6">
        <f>IFERROR(__xludf.DUMMYFUNCTION("""COMPUTED_VALUE"""),13.55)</f>
        <v>13.55</v>
      </c>
      <c r="D16" s="6">
        <f>IFERROR(__xludf.DUMMYFUNCTION("""COMPUTED_VALUE"""),12.65)</f>
        <v>12.65</v>
      </c>
      <c r="E16" s="6">
        <f>IFERROR(__xludf.DUMMYFUNCTION("""COMPUTED_VALUE"""),12.9)</f>
        <v>12.9</v>
      </c>
      <c r="F16" s="6">
        <f>IFERROR(__xludf.DUMMYFUNCTION("""COMPUTED_VALUE"""),1.098736723E9)</f>
        <v>1098736723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IFERROR(__xludf.DUMMYFUNCTION("""COMPUTED_VALUE"""),12.9)</f>
        <v>12.9</v>
      </c>
      <c r="C17" s="6">
        <f>IFERROR(__xludf.DUMMYFUNCTION("""COMPUTED_VALUE"""),14.25)</f>
        <v>14.25</v>
      </c>
      <c r="D17" s="6">
        <f>IFERROR(__xludf.DUMMYFUNCTION("""COMPUTED_VALUE"""),12.9)</f>
        <v>12.9</v>
      </c>
      <c r="E17" s="6">
        <f>IFERROR(__xludf.DUMMYFUNCTION("""COMPUTED_VALUE"""),14.05)</f>
        <v>14.05</v>
      </c>
      <c r="F17" s="6">
        <f>IFERROR(__xludf.DUMMYFUNCTION("""COMPUTED_VALUE"""),1.646161648E9)</f>
        <v>1646161648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IFERROR(__xludf.DUMMYFUNCTION("""COMPUTED_VALUE"""),14.4)</f>
        <v>14.4</v>
      </c>
      <c r="C18" s="6">
        <f>IFERROR(__xludf.DUMMYFUNCTION("""COMPUTED_VALUE"""),14.5)</f>
        <v>14.5</v>
      </c>
      <c r="D18" s="6">
        <f>IFERROR(__xludf.DUMMYFUNCTION("""COMPUTED_VALUE"""),12.9)</f>
        <v>12.9</v>
      </c>
      <c r="E18" s="6">
        <f>IFERROR(__xludf.DUMMYFUNCTION("""COMPUTED_VALUE"""),13.6)</f>
        <v>13.6</v>
      </c>
      <c r="F18" s="6">
        <f>IFERROR(__xludf.DUMMYFUNCTION("""COMPUTED_VALUE"""),1.658104927E9)</f>
        <v>1658104927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IFERROR(__xludf.DUMMYFUNCTION("""COMPUTED_VALUE"""),13.65)</f>
        <v>13.65</v>
      </c>
      <c r="C19" s="6">
        <f>IFERROR(__xludf.DUMMYFUNCTION("""COMPUTED_VALUE"""),16.25)</f>
        <v>16.25</v>
      </c>
      <c r="D19" s="6">
        <f>IFERROR(__xludf.DUMMYFUNCTION("""COMPUTED_VALUE"""),13.1)</f>
        <v>13.1</v>
      </c>
      <c r="E19" s="6">
        <f>IFERROR(__xludf.DUMMYFUNCTION("""COMPUTED_VALUE"""),16.0)</f>
        <v>16</v>
      </c>
      <c r="F19" s="6">
        <f>IFERROR(__xludf.DUMMYFUNCTION("""COMPUTED_VALUE"""),1.25248608E9)</f>
        <v>1252486080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IFERROR(__xludf.DUMMYFUNCTION("""COMPUTED_VALUE"""),16.2)</f>
        <v>16.2</v>
      </c>
      <c r="C20" s="6">
        <f>IFERROR(__xludf.DUMMYFUNCTION("""COMPUTED_VALUE"""),18.4)</f>
        <v>18.4</v>
      </c>
      <c r="D20" s="6">
        <f>IFERROR(__xludf.DUMMYFUNCTION("""COMPUTED_VALUE"""),15.55)</f>
        <v>15.55</v>
      </c>
      <c r="E20" s="6">
        <f>IFERROR(__xludf.DUMMYFUNCTION("""COMPUTED_VALUE"""),17.1)</f>
        <v>17.1</v>
      </c>
      <c r="F20" s="6">
        <f>IFERROR(__xludf.DUMMYFUNCTION("""COMPUTED_VALUE"""),2.552967075E9)</f>
        <v>2552967075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IFERROR(__xludf.DUMMYFUNCTION("""COMPUTED_VALUE"""),17.2)</f>
        <v>17.2</v>
      </c>
      <c r="C21" s="6">
        <f>IFERROR(__xludf.DUMMYFUNCTION("""COMPUTED_VALUE"""),17.65)</f>
        <v>17.65</v>
      </c>
      <c r="D21" s="6">
        <f>IFERROR(__xludf.DUMMYFUNCTION("""COMPUTED_VALUE"""),15.8)</f>
        <v>15.8</v>
      </c>
      <c r="E21" s="6">
        <f>IFERROR(__xludf.DUMMYFUNCTION("""COMPUTED_VALUE"""),15.85)</f>
        <v>15.85</v>
      </c>
      <c r="F21" s="6">
        <f>IFERROR(__xludf.DUMMYFUNCTION("""COMPUTED_VALUE"""),1.123156368E9)</f>
        <v>1123156368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IFERROR(__xludf.DUMMYFUNCTION("""COMPUTED_VALUE"""),15.1)</f>
        <v>15.1</v>
      </c>
      <c r="C22" s="6">
        <f>IFERROR(__xludf.DUMMYFUNCTION("""COMPUTED_VALUE"""),15.25)</f>
        <v>15.25</v>
      </c>
      <c r="D22" s="6">
        <f>IFERROR(__xludf.DUMMYFUNCTION("""COMPUTED_VALUE"""),14.25)</f>
        <v>14.25</v>
      </c>
      <c r="E22" s="6">
        <f>IFERROR(__xludf.DUMMYFUNCTION("""COMPUTED_VALUE"""),14.6)</f>
        <v>14.6</v>
      </c>
      <c r="F22" s="6">
        <f>IFERROR(__xludf.DUMMYFUNCTION("""COMPUTED_VALUE"""),1.105136744E9)</f>
        <v>1105136744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IFERROR(__xludf.DUMMYFUNCTION("""COMPUTED_VALUE"""),14.7)</f>
        <v>14.7</v>
      </c>
      <c r="C23" s="6">
        <f>IFERROR(__xludf.DUMMYFUNCTION("""COMPUTED_VALUE"""),15.2)</f>
        <v>15.2</v>
      </c>
      <c r="D23" s="6">
        <f>IFERROR(__xludf.DUMMYFUNCTION("""COMPUTED_VALUE"""),13.95)</f>
        <v>13.95</v>
      </c>
      <c r="E23" s="6">
        <f>IFERROR(__xludf.DUMMYFUNCTION("""COMPUTED_VALUE"""),14.05)</f>
        <v>14.05</v>
      </c>
      <c r="F23" s="6">
        <f>IFERROR(__xludf.DUMMYFUNCTION("""COMPUTED_VALUE"""),1.106786961E9)</f>
        <v>1106786961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IFERROR(__xludf.DUMMYFUNCTION("""COMPUTED_VALUE"""),14.1)</f>
        <v>14.1</v>
      </c>
      <c r="C24" s="6">
        <f>IFERROR(__xludf.DUMMYFUNCTION("""COMPUTED_VALUE"""),15.65)</f>
        <v>15.65</v>
      </c>
      <c r="D24" s="6">
        <f>IFERROR(__xludf.DUMMYFUNCTION("""COMPUTED_VALUE"""),13.6)</f>
        <v>13.6</v>
      </c>
      <c r="E24" s="6">
        <f>IFERROR(__xludf.DUMMYFUNCTION("""COMPUTED_VALUE"""),15.5)</f>
        <v>15.5</v>
      </c>
      <c r="F24" s="6">
        <f>IFERROR(__xludf.DUMMYFUNCTION("""COMPUTED_VALUE"""),1.902123529E9)</f>
        <v>1902123529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IFERROR(__xludf.DUMMYFUNCTION("""COMPUTED_VALUE"""),15.65)</f>
        <v>15.65</v>
      </c>
      <c r="C25" s="6">
        <f>IFERROR(__xludf.DUMMYFUNCTION("""COMPUTED_VALUE"""),16.6)</f>
        <v>16.6</v>
      </c>
      <c r="D25" s="6">
        <f>IFERROR(__xludf.DUMMYFUNCTION("""COMPUTED_VALUE"""),14.1)</f>
        <v>14.1</v>
      </c>
      <c r="E25" s="6">
        <f>IFERROR(__xludf.DUMMYFUNCTION("""COMPUTED_VALUE"""),15.9)</f>
        <v>15.9</v>
      </c>
      <c r="F25" s="6">
        <f>IFERROR(__xludf.DUMMYFUNCTION("""COMPUTED_VALUE"""),2.003315631E9)</f>
        <v>2003315631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IFERROR(__xludf.DUMMYFUNCTION("""COMPUTED_VALUE"""),15.95)</f>
        <v>15.95</v>
      </c>
      <c r="C26" s="6">
        <f>IFERROR(__xludf.DUMMYFUNCTION("""COMPUTED_VALUE"""),18.4)</f>
        <v>18.4</v>
      </c>
      <c r="D26" s="6">
        <f>IFERROR(__xludf.DUMMYFUNCTION("""COMPUTED_VALUE"""),15.05)</f>
        <v>15.05</v>
      </c>
      <c r="E26" s="6">
        <f>IFERROR(__xludf.DUMMYFUNCTION("""COMPUTED_VALUE"""),17.55)</f>
        <v>17.55</v>
      </c>
      <c r="F26" s="6">
        <f>IFERROR(__xludf.DUMMYFUNCTION("""COMPUTED_VALUE"""),2.000004097E9)</f>
        <v>2000004097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IFERROR(__xludf.DUMMYFUNCTION("""COMPUTED_VALUE"""),14.6)</f>
        <v>14.6</v>
      </c>
      <c r="C27" s="6">
        <f>IFERROR(__xludf.DUMMYFUNCTION("""COMPUTED_VALUE"""),14.75)</f>
        <v>14.75</v>
      </c>
      <c r="D27" s="6">
        <f>IFERROR(__xludf.DUMMYFUNCTION("""COMPUTED_VALUE"""),13.8)</f>
        <v>13.8</v>
      </c>
      <c r="E27" s="6">
        <f>IFERROR(__xludf.DUMMYFUNCTION("""COMPUTED_VALUE"""),14.25)</f>
        <v>14.25</v>
      </c>
      <c r="F27" s="6">
        <f>IFERROR(__xludf.DUMMYFUNCTION("""COMPUTED_VALUE"""),1.178748612E9)</f>
        <v>1178748612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IFERROR(__xludf.DUMMYFUNCTION("""COMPUTED_VALUE"""),14.3)</f>
        <v>14.3</v>
      </c>
      <c r="C28" s="6">
        <f>IFERROR(__xludf.DUMMYFUNCTION("""COMPUTED_VALUE"""),14.35)</f>
        <v>14.35</v>
      </c>
      <c r="D28" s="6">
        <f>IFERROR(__xludf.DUMMYFUNCTION("""COMPUTED_VALUE"""),11.75)</f>
        <v>11.75</v>
      </c>
      <c r="E28" s="6">
        <f>IFERROR(__xludf.DUMMYFUNCTION("""COMPUTED_VALUE"""),13.15)</f>
        <v>13.15</v>
      </c>
      <c r="F28" s="6">
        <f>IFERROR(__xludf.DUMMYFUNCTION("""COMPUTED_VALUE"""),1.888969994E9)</f>
        <v>1888969994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IFERROR(__xludf.DUMMYFUNCTION("""COMPUTED_VALUE"""),13.25)</f>
        <v>13.25</v>
      </c>
      <c r="C29" s="6">
        <f>IFERROR(__xludf.DUMMYFUNCTION("""COMPUTED_VALUE"""),13.6)</f>
        <v>13.6</v>
      </c>
      <c r="D29" s="6">
        <f>IFERROR(__xludf.DUMMYFUNCTION("""COMPUTED_VALUE"""),12.4)</f>
        <v>12.4</v>
      </c>
      <c r="E29" s="6">
        <f>IFERROR(__xludf.DUMMYFUNCTION("""COMPUTED_VALUE"""),13.3)</f>
        <v>13.3</v>
      </c>
      <c r="F29" s="6">
        <f>IFERROR(__xludf.DUMMYFUNCTION("""COMPUTED_VALUE"""),1.32615771E9)</f>
        <v>1326157710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IFERROR(__xludf.DUMMYFUNCTION("""COMPUTED_VALUE"""),13.4)</f>
        <v>13.4</v>
      </c>
      <c r="C30" s="6">
        <f>IFERROR(__xludf.DUMMYFUNCTION("""COMPUTED_VALUE"""),13.6)</f>
        <v>13.6</v>
      </c>
      <c r="D30" s="6">
        <f>IFERROR(__xludf.DUMMYFUNCTION("""COMPUTED_VALUE"""),13.15)</f>
        <v>13.15</v>
      </c>
      <c r="E30" s="6">
        <f>IFERROR(__xludf.DUMMYFUNCTION("""COMPUTED_VALUE"""),13.25)</f>
        <v>13.25</v>
      </c>
      <c r="F30" s="6">
        <f>IFERROR(__xludf.DUMMYFUNCTION("""COMPUTED_VALUE"""),7.8367477E8)</f>
        <v>783674770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IFERROR(__xludf.DUMMYFUNCTION("""COMPUTED_VALUE"""),13.35)</f>
        <v>13.35</v>
      </c>
      <c r="C31" s="6">
        <f>IFERROR(__xludf.DUMMYFUNCTION("""COMPUTED_VALUE"""),14.25)</f>
        <v>14.25</v>
      </c>
      <c r="D31" s="6">
        <f>IFERROR(__xludf.DUMMYFUNCTION("""COMPUTED_VALUE"""),12.95)</f>
        <v>12.95</v>
      </c>
      <c r="E31" s="6">
        <f>IFERROR(__xludf.DUMMYFUNCTION("""COMPUTED_VALUE"""),13.3)</f>
        <v>13.3</v>
      </c>
      <c r="F31" s="6">
        <f>IFERROR(__xludf.DUMMYFUNCTION("""COMPUTED_VALUE"""),2.951094749E9)</f>
        <v>2951094749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IFERROR(__xludf.DUMMYFUNCTION("""COMPUTED_VALUE"""),13.9)</f>
        <v>13.9</v>
      </c>
      <c r="C32" s="6">
        <f>IFERROR(__xludf.DUMMYFUNCTION("""COMPUTED_VALUE"""),13.9)</f>
        <v>13.9</v>
      </c>
      <c r="D32" s="6">
        <f>IFERROR(__xludf.DUMMYFUNCTION("""COMPUTED_VALUE"""),12.2)</f>
        <v>12.2</v>
      </c>
      <c r="E32" s="6">
        <f>IFERROR(__xludf.DUMMYFUNCTION("""COMPUTED_VALUE"""),12.95)</f>
        <v>12.95</v>
      </c>
      <c r="F32" s="6">
        <f>IFERROR(__xludf.DUMMYFUNCTION("""COMPUTED_VALUE"""),1.70705072E9)</f>
        <v>1707050720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IFERROR(__xludf.DUMMYFUNCTION("""COMPUTED_VALUE"""),13.0)</f>
        <v>13</v>
      </c>
      <c r="C33" s="6">
        <f>IFERROR(__xludf.DUMMYFUNCTION("""COMPUTED_VALUE"""),13.55)</f>
        <v>13.55</v>
      </c>
      <c r="D33" s="6">
        <f>IFERROR(__xludf.DUMMYFUNCTION("""COMPUTED_VALUE"""),12.55)</f>
        <v>12.55</v>
      </c>
      <c r="E33" s="6">
        <f>IFERROR(__xludf.DUMMYFUNCTION("""COMPUTED_VALUE"""),12.9)</f>
        <v>12.9</v>
      </c>
      <c r="F33" s="6">
        <f>IFERROR(__xludf.DUMMYFUNCTION("""COMPUTED_VALUE"""),2.434846965E9)</f>
        <v>2434846965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IFERROR(__xludf.DUMMYFUNCTION("""COMPUTED_VALUE"""),12.4)</f>
        <v>12.4</v>
      </c>
      <c r="C34" s="6">
        <f>IFERROR(__xludf.DUMMYFUNCTION("""COMPUTED_VALUE"""),14.75)</f>
        <v>14.75</v>
      </c>
      <c r="D34" s="6">
        <f>IFERROR(__xludf.DUMMYFUNCTION("""COMPUTED_VALUE"""),11.8)</f>
        <v>11.8</v>
      </c>
      <c r="E34" s="6">
        <f>IFERROR(__xludf.DUMMYFUNCTION("""COMPUTED_VALUE"""),14.0)</f>
        <v>14</v>
      </c>
      <c r="F34" s="6">
        <f>IFERROR(__xludf.DUMMYFUNCTION("""COMPUTED_VALUE"""),3.316647854E9)</f>
        <v>3316647854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IFERROR(__xludf.DUMMYFUNCTION("""COMPUTED_VALUE"""),14.0)</f>
        <v>14</v>
      </c>
      <c r="C35" s="6">
        <f>IFERROR(__xludf.DUMMYFUNCTION("""COMPUTED_VALUE"""),14.3)</f>
        <v>14.3</v>
      </c>
      <c r="D35" s="6">
        <f>IFERROR(__xludf.DUMMYFUNCTION("""COMPUTED_VALUE"""),13.0)</f>
        <v>13</v>
      </c>
      <c r="E35" s="6">
        <f>IFERROR(__xludf.DUMMYFUNCTION("""COMPUTED_VALUE"""),13.2)</f>
        <v>13.2</v>
      </c>
      <c r="F35" s="6">
        <f>IFERROR(__xludf.DUMMYFUNCTION("""COMPUTED_VALUE"""),2.862264389E9)</f>
        <v>2862264389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IFERROR(__xludf.DUMMYFUNCTION("""COMPUTED_VALUE"""),13.25)</f>
        <v>13.25</v>
      </c>
      <c r="C36" s="6">
        <f>IFERROR(__xludf.DUMMYFUNCTION("""COMPUTED_VALUE"""),13.3)</f>
        <v>13.3</v>
      </c>
      <c r="D36" s="6">
        <f>IFERROR(__xludf.DUMMYFUNCTION("""COMPUTED_VALUE"""),12.1)</f>
        <v>12.1</v>
      </c>
      <c r="E36" s="6">
        <f>IFERROR(__xludf.DUMMYFUNCTION("""COMPUTED_VALUE"""),12.7)</f>
        <v>12.7</v>
      </c>
      <c r="F36" s="6">
        <f>IFERROR(__xludf.DUMMYFUNCTION("""COMPUTED_VALUE"""),2.569104076E9)</f>
        <v>2569104076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IFERROR(__xludf.DUMMYFUNCTION("""COMPUTED_VALUE"""),13.55)</f>
        <v>13.55</v>
      </c>
      <c r="C37" s="6">
        <f>IFERROR(__xludf.DUMMYFUNCTION("""COMPUTED_VALUE"""),15.7)</f>
        <v>15.7</v>
      </c>
      <c r="D37" s="6">
        <f>IFERROR(__xludf.DUMMYFUNCTION("""COMPUTED_VALUE"""),13.35)</f>
        <v>13.35</v>
      </c>
      <c r="E37" s="6">
        <f>IFERROR(__xludf.DUMMYFUNCTION("""COMPUTED_VALUE"""),15.1)</f>
        <v>15.1</v>
      </c>
      <c r="F37" s="6">
        <f>IFERROR(__xludf.DUMMYFUNCTION("""COMPUTED_VALUE"""),1.991090973E9)</f>
        <v>1991090973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IFERROR(__xludf.DUMMYFUNCTION("""COMPUTED_VALUE"""),15.2)</f>
        <v>15.2</v>
      </c>
      <c r="C38" s="6">
        <f>IFERROR(__xludf.DUMMYFUNCTION("""COMPUTED_VALUE"""),15.45)</f>
        <v>15.45</v>
      </c>
      <c r="D38" s="6">
        <f>IFERROR(__xludf.DUMMYFUNCTION("""COMPUTED_VALUE"""),14.4)</f>
        <v>14.4</v>
      </c>
      <c r="E38" s="6">
        <f>IFERROR(__xludf.DUMMYFUNCTION("""COMPUTED_VALUE"""),15.25)</f>
        <v>15.25</v>
      </c>
      <c r="F38" s="6">
        <f>IFERROR(__xludf.DUMMYFUNCTION("""COMPUTED_VALUE"""),3.086108934E9)</f>
        <v>3086108934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IFERROR(__xludf.DUMMYFUNCTION("""COMPUTED_VALUE"""),16.4)</f>
        <v>16.4</v>
      </c>
      <c r="C39" s="6">
        <f>IFERROR(__xludf.DUMMYFUNCTION("""COMPUTED_VALUE"""),16.4)</f>
        <v>16.4</v>
      </c>
      <c r="D39" s="6">
        <f>IFERROR(__xludf.DUMMYFUNCTION("""COMPUTED_VALUE"""),12.05)</f>
        <v>12.05</v>
      </c>
      <c r="E39" s="6">
        <f>IFERROR(__xludf.DUMMYFUNCTION("""COMPUTED_VALUE"""),15.85)</f>
        <v>15.85</v>
      </c>
      <c r="F39" s="6">
        <f>IFERROR(__xludf.DUMMYFUNCTION("""COMPUTED_VALUE"""),1.793399482E9)</f>
        <v>1793399482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IFERROR(__xludf.DUMMYFUNCTION("""COMPUTED_VALUE"""),15.96)</f>
        <v>15.96</v>
      </c>
      <c r="C40" s="6">
        <f>IFERROR(__xludf.DUMMYFUNCTION("""COMPUTED_VALUE"""),16.85)</f>
        <v>16.85</v>
      </c>
      <c r="D40" s="6">
        <f>IFERROR(__xludf.DUMMYFUNCTION("""COMPUTED_VALUE"""),15.61)</f>
        <v>15.61</v>
      </c>
      <c r="E40" s="6">
        <f>IFERROR(__xludf.DUMMYFUNCTION("""COMPUTED_VALUE"""),16.73)</f>
        <v>16.73</v>
      </c>
      <c r="F40" s="6">
        <f>IFERROR(__xludf.DUMMYFUNCTION("""COMPUTED_VALUE"""),1.909585088E9)</f>
        <v>1909585088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IFERROR(__xludf.DUMMYFUNCTION("""COMPUTED_VALUE"""),16.99)</f>
        <v>16.99</v>
      </c>
      <c r="C41" s="6">
        <f>IFERROR(__xludf.DUMMYFUNCTION("""COMPUTED_VALUE"""),17.39)</f>
        <v>17.39</v>
      </c>
      <c r="D41" s="6">
        <f>IFERROR(__xludf.DUMMYFUNCTION("""COMPUTED_VALUE"""),16.36)</f>
        <v>16.36</v>
      </c>
      <c r="E41" s="6">
        <f>IFERROR(__xludf.DUMMYFUNCTION("""COMPUTED_VALUE"""),17.14)</f>
        <v>17.14</v>
      </c>
      <c r="F41" s="6">
        <f>IFERROR(__xludf.DUMMYFUNCTION("""COMPUTED_VALUE"""),3.795551306E9)</f>
        <v>3795551306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IFERROR(__xludf.DUMMYFUNCTION("""COMPUTED_VALUE"""),16.99)</f>
        <v>16.99</v>
      </c>
      <c r="C42" s="6">
        <f>IFERROR(__xludf.DUMMYFUNCTION("""COMPUTED_VALUE"""),19.18)</f>
        <v>19.18</v>
      </c>
      <c r="D42" s="6">
        <f>IFERROR(__xludf.DUMMYFUNCTION("""COMPUTED_VALUE"""),16.86)</f>
        <v>16.86</v>
      </c>
      <c r="E42" s="6">
        <f>IFERROR(__xludf.DUMMYFUNCTION("""COMPUTED_VALUE"""),17.89)</f>
        <v>17.89</v>
      </c>
      <c r="F42" s="6">
        <f>IFERROR(__xludf.DUMMYFUNCTION("""COMPUTED_VALUE"""),3.447372849E9)</f>
        <v>3447372849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IFERROR(__xludf.DUMMYFUNCTION("""COMPUTED_VALUE"""),17.79)</f>
        <v>17.79</v>
      </c>
      <c r="C43" s="6">
        <f>IFERROR(__xludf.DUMMYFUNCTION("""COMPUTED_VALUE"""),18.06)</f>
        <v>18.06</v>
      </c>
      <c r="D43" s="6">
        <f>IFERROR(__xludf.DUMMYFUNCTION("""COMPUTED_VALUE"""),16.91)</f>
        <v>16.91</v>
      </c>
      <c r="E43" s="6">
        <f>IFERROR(__xludf.DUMMYFUNCTION("""COMPUTED_VALUE"""),17.09)</f>
        <v>17.09</v>
      </c>
      <c r="F43" s="6">
        <f>IFERROR(__xludf.DUMMYFUNCTION("""COMPUTED_VALUE"""),3.702674461E9)</f>
        <v>3702674461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IFERROR(__xludf.DUMMYFUNCTION("""COMPUTED_VALUE"""),17.1)</f>
        <v>17.1</v>
      </c>
      <c r="C44" s="6">
        <f>IFERROR(__xludf.DUMMYFUNCTION("""COMPUTED_VALUE"""),17.28)</f>
        <v>17.28</v>
      </c>
      <c r="D44" s="6">
        <f>IFERROR(__xludf.DUMMYFUNCTION("""COMPUTED_VALUE"""),16.0)</f>
        <v>16</v>
      </c>
      <c r="E44" s="6">
        <f>IFERROR(__xludf.DUMMYFUNCTION("""COMPUTED_VALUE"""),16.09)</f>
        <v>16.09</v>
      </c>
      <c r="F44" s="6">
        <f>IFERROR(__xludf.DUMMYFUNCTION("""COMPUTED_VALUE"""),2.486145748E9)</f>
        <v>2486145748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IFERROR(__xludf.DUMMYFUNCTION("""COMPUTED_VALUE"""),16.1)</f>
        <v>16.1</v>
      </c>
      <c r="C45" s="6">
        <f>IFERROR(__xludf.DUMMYFUNCTION("""COMPUTED_VALUE"""),17.67)</f>
        <v>17.67</v>
      </c>
      <c r="D45" s="6">
        <f>IFERROR(__xludf.DUMMYFUNCTION("""COMPUTED_VALUE"""),15.78)</f>
        <v>15.78</v>
      </c>
      <c r="E45" s="6">
        <f>IFERROR(__xludf.DUMMYFUNCTION("""COMPUTED_VALUE"""),15.87)</f>
        <v>15.87</v>
      </c>
      <c r="F45" s="6">
        <f>IFERROR(__xludf.DUMMYFUNCTION("""COMPUTED_VALUE"""),2.557251617E9)</f>
        <v>2557251617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IFERROR(__xludf.DUMMYFUNCTION("""COMPUTED_VALUE"""),15.77)</f>
        <v>15.77</v>
      </c>
      <c r="C46" s="6">
        <f>IFERROR(__xludf.DUMMYFUNCTION("""COMPUTED_VALUE"""),16.14)</f>
        <v>16.14</v>
      </c>
      <c r="D46" s="6">
        <f>IFERROR(__xludf.DUMMYFUNCTION("""COMPUTED_VALUE"""),14.57)</f>
        <v>14.57</v>
      </c>
      <c r="E46" s="6">
        <f>IFERROR(__xludf.DUMMYFUNCTION("""COMPUTED_VALUE"""),15.98)</f>
        <v>15.98</v>
      </c>
      <c r="F46" s="6">
        <f>IFERROR(__xludf.DUMMYFUNCTION("""COMPUTED_VALUE"""),2.485057822E9)</f>
        <v>2485057822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IFERROR(__xludf.DUMMYFUNCTION("""COMPUTED_VALUE"""),16.0)</f>
        <v>16</v>
      </c>
      <c r="C47" s="6">
        <f>IFERROR(__xludf.DUMMYFUNCTION("""COMPUTED_VALUE"""),16.52)</f>
        <v>16.52</v>
      </c>
      <c r="D47" s="6">
        <f>IFERROR(__xludf.DUMMYFUNCTION("""COMPUTED_VALUE"""),15.75)</f>
        <v>15.75</v>
      </c>
      <c r="E47" s="6">
        <f>IFERROR(__xludf.DUMMYFUNCTION("""COMPUTED_VALUE"""),16.12)</f>
        <v>16.12</v>
      </c>
      <c r="F47" s="6">
        <f>IFERROR(__xludf.DUMMYFUNCTION("""COMPUTED_VALUE"""),1.932262282E9)</f>
        <v>1932262282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IFERROR(__xludf.DUMMYFUNCTION("""COMPUTED_VALUE"""),15.61)</f>
        <v>15.61</v>
      </c>
      <c r="C48" s="6">
        <f>IFERROR(__xludf.DUMMYFUNCTION("""COMPUTED_VALUE"""),16.35)</f>
        <v>16.35</v>
      </c>
      <c r="D48" s="6">
        <f>IFERROR(__xludf.DUMMYFUNCTION("""COMPUTED_VALUE"""),15.05)</f>
        <v>15.05</v>
      </c>
      <c r="E48" s="6">
        <f>IFERROR(__xludf.DUMMYFUNCTION("""COMPUTED_VALUE"""),16.1)</f>
        <v>16.1</v>
      </c>
      <c r="F48" s="6">
        <f>IFERROR(__xludf.DUMMYFUNCTION("""COMPUTED_VALUE"""),1.830537838E9)</f>
        <v>1830537838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IFERROR(__xludf.DUMMYFUNCTION("""COMPUTED_VALUE"""),16.12)</f>
        <v>16.12</v>
      </c>
      <c r="C49" s="6">
        <f>IFERROR(__xludf.DUMMYFUNCTION("""COMPUTED_VALUE"""),16.22)</f>
        <v>16.22</v>
      </c>
      <c r="D49" s="6">
        <f>IFERROR(__xludf.DUMMYFUNCTION("""COMPUTED_VALUE"""),15.42)</f>
        <v>15.42</v>
      </c>
      <c r="E49" s="6">
        <f>IFERROR(__xludf.DUMMYFUNCTION("""COMPUTED_VALUE"""),15.88)</f>
        <v>15.88</v>
      </c>
      <c r="F49" s="6">
        <f>IFERROR(__xludf.DUMMYFUNCTION("""COMPUTED_VALUE"""),1.513167635E9)</f>
        <v>1513167635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IFERROR(__xludf.DUMMYFUNCTION("""COMPUTED_VALUE"""),15.87)</f>
        <v>15.87</v>
      </c>
      <c r="C50" s="6">
        <f>IFERROR(__xludf.DUMMYFUNCTION("""COMPUTED_VALUE"""),16.34)</f>
        <v>16.34</v>
      </c>
      <c r="D50" s="6">
        <f>IFERROR(__xludf.DUMMYFUNCTION("""COMPUTED_VALUE"""),15.72)</f>
        <v>15.72</v>
      </c>
      <c r="E50" s="6">
        <f>IFERROR(__xludf.DUMMYFUNCTION("""COMPUTED_VALUE"""),15.82)</f>
        <v>15.82</v>
      </c>
      <c r="F50" s="6">
        <f>IFERROR(__xludf.DUMMYFUNCTION("""COMPUTED_VALUE"""),1.465459861E9)</f>
        <v>1465459861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IFERROR(__xludf.DUMMYFUNCTION("""COMPUTED_VALUE"""),15.96)</f>
        <v>15.96</v>
      </c>
      <c r="C51" s="6">
        <f>IFERROR(__xludf.DUMMYFUNCTION("""COMPUTED_VALUE"""),16.55)</f>
        <v>16.55</v>
      </c>
      <c r="D51" s="6">
        <f>IFERROR(__xludf.DUMMYFUNCTION("""COMPUTED_VALUE"""),15.39)</f>
        <v>15.39</v>
      </c>
      <c r="E51" s="6">
        <f>IFERROR(__xludf.DUMMYFUNCTION("""COMPUTED_VALUE"""),15.64)</f>
        <v>15.64</v>
      </c>
      <c r="F51" s="6">
        <f>IFERROR(__xludf.DUMMYFUNCTION("""COMPUTED_VALUE"""),1.887948207E9)</f>
        <v>1887948207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IFERROR(__xludf.DUMMYFUNCTION("""COMPUTED_VALUE"""),15.58)</f>
        <v>15.58</v>
      </c>
      <c r="C52" s="6">
        <f>IFERROR(__xludf.DUMMYFUNCTION("""COMPUTED_VALUE"""),15.58)</f>
        <v>15.58</v>
      </c>
      <c r="D52" s="6">
        <f>IFERROR(__xludf.DUMMYFUNCTION("""COMPUTED_VALUE"""),12.92)</f>
        <v>12.92</v>
      </c>
      <c r="E52" s="6">
        <f>IFERROR(__xludf.DUMMYFUNCTION("""COMPUTED_VALUE"""),13.35)</f>
        <v>13.35</v>
      </c>
      <c r="F52" s="6">
        <f>IFERROR(__xludf.DUMMYFUNCTION("""COMPUTED_VALUE"""),2.353860886E9)</f>
        <v>2353860886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IFERROR(__xludf.DUMMYFUNCTION("""COMPUTED_VALUE"""),13.35)</f>
        <v>13.35</v>
      </c>
      <c r="C53" s="6">
        <f>IFERROR(__xludf.DUMMYFUNCTION("""COMPUTED_VALUE"""),13.77)</f>
        <v>13.77</v>
      </c>
      <c r="D53" s="6">
        <f>IFERROR(__xludf.DUMMYFUNCTION("""COMPUTED_VALUE"""),12.83)</f>
        <v>12.83</v>
      </c>
      <c r="E53" s="6">
        <f>IFERROR(__xludf.DUMMYFUNCTION("""COMPUTED_VALUE"""),13.41)</f>
        <v>13.41</v>
      </c>
      <c r="F53" s="6">
        <f>IFERROR(__xludf.DUMMYFUNCTION("""COMPUTED_VALUE"""),2.037701791E9)</f>
        <v>2037701791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IFERROR(__xludf.DUMMYFUNCTION("""COMPUTED_VALUE"""),13.5)</f>
        <v>13.5</v>
      </c>
      <c r="C54" s="6">
        <f>IFERROR(__xludf.DUMMYFUNCTION("""COMPUTED_VALUE"""),13.5)</f>
        <v>13.5</v>
      </c>
      <c r="D54" s="6">
        <f>IFERROR(__xludf.DUMMYFUNCTION("""COMPUTED_VALUE"""),9.79)</f>
        <v>9.79</v>
      </c>
      <c r="E54" s="6">
        <f>IFERROR(__xludf.DUMMYFUNCTION("""COMPUTED_VALUE"""),10.47)</f>
        <v>10.47</v>
      </c>
      <c r="F54" s="6">
        <f>IFERROR(__xludf.DUMMYFUNCTION("""COMPUTED_VALUE"""),1.185230993E9)</f>
        <v>1185230993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IFERROR(__xludf.DUMMYFUNCTION("""COMPUTED_VALUE"""),11.27)</f>
        <v>11.27</v>
      </c>
      <c r="C55" s="6">
        <f>IFERROR(__xludf.DUMMYFUNCTION("""COMPUTED_VALUE"""),11.94)</f>
        <v>11.94</v>
      </c>
      <c r="D55" s="6">
        <f>IFERROR(__xludf.DUMMYFUNCTION("""COMPUTED_VALUE"""),10.12)</f>
        <v>10.12</v>
      </c>
      <c r="E55" s="6">
        <f>IFERROR(__xludf.DUMMYFUNCTION("""COMPUTED_VALUE"""),10.66)</f>
        <v>10.66</v>
      </c>
      <c r="F55" s="6">
        <f>IFERROR(__xludf.DUMMYFUNCTION("""COMPUTED_VALUE"""),2.582340209E9)</f>
        <v>2582340209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IFERROR(__xludf.DUMMYFUNCTION("""COMPUTED_VALUE"""),10.65)</f>
        <v>10.65</v>
      </c>
      <c r="C56" s="6">
        <f>IFERROR(__xludf.DUMMYFUNCTION("""COMPUTED_VALUE"""),10.68)</f>
        <v>10.68</v>
      </c>
      <c r="D56" s="6">
        <f>IFERROR(__xludf.DUMMYFUNCTION("""COMPUTED_VALUE"""),9.63)</f>
        <v>9.63</v>
      </c>
      <c r="E56" s="6">
        <f>IFERROR(__xludf.DUMMYFUNCTION("""COMPUTED_VALUE"""),9.79)</f>
        <v>9.79</v>
      </c>
      <c r="F56" s="6">
        <f>IFERROR(__xludf.DUMMYFUNCTION("""COMPUTED_VALUE"""),1.713955124E9)</f>
        <v>1713955124</v>
      </c>
    </row>
    <row r="57">
      <c r="A57" s="7">
        <f>IFERROR(__xludf.DUMMYFUNCTION("""COMPUTED_VALUE"""),45576.64583333333)</f>
        <v>45576.64583</v>
      </c>
      <c r="B57" s="6">
        <f>IFERROR(__xludf.DUMMYFUNCTION("""COMPUTED_VALUE"""),9.79)</f>
        <v>9.79</v>
      </c>
      <c r="C57" s="6">
        <f>IFERROR(__xludf.DUMMYFUNCTION("""COMPUTED_VALUE"""),9.81)</f>
        <v>9.81</v>
      </c>
      <c r="D57" s="6">
        <f>IFERROR(__xludf.DUMMYFUNCTION("""COMPUTED_VALUE"""),8.9)</f>
        <v>8.9</v>
      </c>
      <c r="E57" s="6">
        <f>IFERROR(__xludf.DUMMYFUNCTION("""COMPUTED_VALUE"""),9.18)</f>
        <v>9.18</v>
      </c>
      <c r="F57" s="6">
        <f>IFERROR(__xludf.DUMMYFUNCTION("""COMPUTED_VALUE"""),1.971497841E9)</f>
        <v>1971497841</v>
      </c>
    </row>
    <row r="58">
      <c r="A58" s="7">
        <f>IFERROR(__xludf.DUMMYFUNCTION("""COMPUTED_VALUE"""),45583.64583333333)</f>
        <v>45583.64583</v>
      </c>
      <c r="B58" s="6">
        <f>IFERROR(__xludf.DUMMYFUNCTION("""COMPUTED_VALUE"""),9.23)</f>
        <v>9.23</v>
      </c>
      <c r="C58" s="6">
        <f>IFERROR(__xludf.DUMMYFUNCTION("""COMPUTED_VALUE"""),9.49)</f>
        <v>9.49</v>
      </c>
      <c r="D58" s="6">
        <f>IFERROR(__xludf.DUMMYFUNCTION("""COMPUTED_VALUE"""),8.86)</f>
        <v>8.86</v>
      </c>
      <c r="E58" s="6">
        <f>IFERROR(__xludf.DUMMYFUNCTION("""COMPUTED_VALUE"""),9.02)</f>
        <v>9.02</v>
      </c>
      <c r="F58" s="6">
        <f>IFERROR(__xludf.DUMMYFUNCTION("""COMPUTED_VALUE"""),1.533169565E9)</f>
        <v>1533169565</v>
      </c>
    </row>
    <row r="59">
      <c r="A59" s="7">
        <f>IFERROR(__xludf.DUMMYFUNCTION("""COMPUTED_VALUE"""),45590.64583333333)</f>
        <v>45590.64583</v>
      </c>
      <c r="B59" s="6">
        <f>IFERROR(__xludf.DUMMYFUNCTION("""COMPUTED_VALUE"""),9.09)</f>
        <v>9.09</v>
      </c>
      <c r="C59" s="6">
        <f>IFERROR(__xludf.DUMMYFUNCTION("""COMPUTED_VALUE"""),9.1)</f>
        <v>9.1</v>
      </c>
      <c r="D59" s="6">
        <f>IFERROR(__xludf.DUMMYFUNCTION("""COMPUTED_VALUE"""),7.59)</f>
        <v>7.59</v>
      </c>
      <c r="E59" s="6">
        <f>IFERROR(__xludf.DUMMYFUNCTION("""COMPUTED_VALUE"""),7.66)</f>
        <v>7.66</v>
      </c>
      <c r="F59" s="6">
        <f>IFERROR(__xludf.DUMMYFUNCTION("""COMPUTED_VALUE"""),2.400079964E9)</f>
        <v>2400079964</v>
      </c>
    </row>
    <row r="60">
      <c r="A60" s="7">
        <f>IFERROR(__xludf.DUMMYFUNCTION("""COMPUTED_VALUE"""),45604.64583333333)</f>
        <v>45604.64583</v>
      </c>
      <c r="B60" s="6">
        <f>IFERROR(__xludf.DUMMYFUNCTION("""COMPUTED_VALUE"""),8.49)</f>
        <v>8.49</v>
      </c>
      <c r="C60" s="6">
        <f>IFERROR(__xludf.DUMMYFUNCTION("""COMPUTED_VALUE"""),8.49)</f>
        <v>8.49</v>
      </c>
      <c r="D60" s="6">
        <f>IFERROR(__xludf.DUMMYFUNCTION("""COMPUTED_VALUE"""),7.81)</f>
        <v>7.81</v>
      </c>
      <c r="E60" s="6">
        <f>IFERROR(__xludf.DUMMYFUNCTION("""COMPUTED_VALUE"""),7.88)</f>
        <v>7.88</v>
      </c>
      <c r="F60" s="6">
        <f>IFERROR(__xludf.DUMMYFUNCTION("""COMPUTED_VALUE"""),2.229339776E9)</f>
        <v>2229339776</v>
      </c>
    </row>
    <row r="61">
      <c r="A61" s="7">
        <f>IFERROR(__xludf.DUMMYFUNCTION("""COMPUTED_VALUE"""),45610.64583333333)</f>
        <v>45610.64583</v>
      </c>
      <c r="B61" s="6">
        <f>IFERROR(__xludf.DUMMYFUNCTION("""COMPUTED_VALUE"""),7.85)</f>
        <v>7.85</v>
      </c>
      <c r="C61" s="6">
        <f>IFERROR(__xludf.DUMMYFUNCTION("""COMPUTED_VALUE"""),7.95)</f>
        <v>7.95</v>
      </c>
      <c r="D61" s="6">
        <f>IFERROR(__xludf.DUMMYFUNCTION("""COMPUTED_VALUE"""),7.32)</f>
        <v>7.32</v>
      </c>
      <c r="E61" s="6">
        <f>IFERROR(__xludf.DUMMYFUNCTION("""COMPUTED_VALUE"""),7.34)</f>
        <v>7.34</v>
      </c>
      <c r="F61" s="6">
        <f>IFERROR(__xludf.DUMMYFUNCTION("""COMPUTED_VALUE"""),1.43615348E9)</f>
        <v>1436153480</v>
      </c>
    </row>
    <row r="62">
      <c r="A62" s="7">
        <f>IFERROR(__xludf.DUMMYFUNCTION("""COMPUTED_VALUE"""),45618.64583333333)</f>
        <v>45618.64583</v>
      </c>
      <c r="B62" s="6">
        <f>IFERROR(__xludf.DUMMYFUNCTION("""COMPUTED_VALUE"""),7.47)</f>
        <v>7.47</v>
      </c>
      <c r="C62" s="6">
        <f>IFERROR(__xludf.DUMMYFUNCTION("""COMPUTED_VALUE"""),7.53)</f>
        <v>7.53</v>
      </c>
      <c r="D62" s="6">
        <f>IFERROR(__xludf.DUMMYFUNCTION("""COMPUTED_VALUE"""),6.61)</f>
        <v>6.61</v>
      </c>
      <c r="E62" s="6">
        <f>IFERROR(__xludf.DUMMYFUNCTION("""COMPUTED_VALUE"""),6.67)</f>
        <v>6.67</v>
      </c>
      <c r="F62" s="6">
        <f>IFERROR(__xludf.DUMMYFUNCTION("""COMPUTED_VALUE"""),2.019069023E9)</f>
        <v>2019069023</v>
      </c>
    </row>
    <row r="63">
      <c r="A63" s="7">
        <f>IFERROR(__xludf.DUMMYFUNCTION("""COMPUTED_VALUE"""),45625.64583333333)</f>
        <v>45625.64583</v>
      </c>
      <c r="B63" s="6">
        <f>IFERROR(__xludf.DUMMYFUNCTION("""COMPUTED_VALUE"""),6.81)</f>
        <v>6.81</v>
      </c>
      <c r="C63" s="6">
        <f>IFERROR(__xludf.DUMMYFUNCTION("""COMPUTED_VALUE"""),8.67)</f>
        <v>8.67</v>
      </c>
      <c r="D63" s="6">
        <f>IFERROR(__xludf.DUMMYFUNCTION("""COMPUTED_VALUE"""),6.67)</f>
        <v>6.67</v>
      </c>
      <c r="E63" s="6">
        <f>IFERROR(__xludf.DUMMYFUNCTION("""COMPUTED_VALUE"""),8.36)</f>
        <v>8.36</v>
      </c>
      <c r="F63" s="6">
        <f>IFERROR(__xludf.DUMMYFUNCTION("""COMPUTED_VALUE"""),3.174229694E9)</f>
        <v>3174229694</v>
      </c>
    </row>
    <row r="64">
      <c r="A64" s="7">
        <f>IFERROR(__xludf.DUMMYFUNCTION("""COMPUTED_VALUE"""),45632.64583333333)</f>
        <v>45632.64583</v>
      </c>
      <c r="B64" s="6">
        <f>IFERROR(__xludf.DUMMYFUNCTION("""COMPUTED_VALUE"""),8.25)</f>
        <v>8.25</v>
      </c>
      <c r="C64" s="6">
        <f>IFERROR(__xludf.DUMMYFUNCTION("""COMPUTED_VALUE"""),8.79)</f>
        <v>8.79</v>
      </c>
      <c r="D64" s="6">
        <f>IFERROR(__xludf.DUMMYFUNCTION("""COMPUTED_VALUE"""),7.97)</f>
        <v>7.97</v>
      </c>
      <c r="E64" s="6">
        <f>IFERROR(__xludf.DUMMYFUNCTION("""COMPUTED_VALUE"""),8.12)</f>
        <v>8.12</v>
      </c>
      <c r="F64" s="6">
        <f>IFERROR(__xludf.DUMMYFUNCTION("""COMPUTED_VALUE"""),2.379669993E9)</f>
        <v>2379669993</v>
      </c>
    </row>
    <row r="65">
      <c r="A65" s="7">
        <f>IFERROR(__xludf.DUMMYFUNCTION("""COMPUTED_VALUE"""),45639.64583333333)</f>
        <v>45639.64583</v>
      </c>
      <c r="B65" s="6">
        <f>IFERROR(__xludf.DUMMYFUNCTION("""COMPUTED_VALUE"""),8.15)</f>
        <v>8.15</v>
      </c>
      <c r="C65" s="6">
        <f>IFERROR(__xludf.DUMMYFUNCTION("""COMPUTED_VALUE"""),8.3)</f>
        <v>8.3</v>
      </c>
      <c r="D65" s="6">
        <f>IFERROR(__xludf.DUMMYFUNCTION("""COMPUTED_VALUE"""),7.68)</f>
        <v>7.68</v>
      </c>
      <c r="E65" s="6">
        <f>IFERROR(__xludf.DUMMYFUNCTION("""COMPUTED_VALUE"""),7.99)</f>
        <v>7.99</v>
      </c>
      <c r="F65" s="6">
        <f>IFERROR(__xludf.DUMMYFUNCTION("""COMPUTED_VALUE"""),1.687389707E9)</f>
        <v>1687389707</v>
      </c>
    </row>
    <row r="66">
      <c r="A66" s="7">
        <f>IFERROR(__xludf.DUMMYFUNCTION("""COMPUTED_VALUE"""),45646.64583333333)</f>
        <v>45646.64583</v>
      </c>
      <c r="B66" s="6">
        <f>IFERROR(__xludf.DUMMYFUNCTION("""COMPUTED_VALUE"""),8.0)</f>
        <v>8</v>
      </c>
      <c r="C66" s="6">
        <f>IFERROR(__xludf.DUMMYFUNCTION("""COMPUTED_VALUE"""),8.05)</f>
        <v>8.05</v>
      </c>
      <c r="D66" s="6">
        <f>IFERROR(__xludf.DUMMYFUNCTION("""COMPUTED_VALUE"""),7.34)</f>
        <v>7.34</v>
      </c>
      <c r="E66" s="6">
        <f>IFERROR(__xludf.DUMMYFUNCTION("""COMPUTED_VALUE"""),7.4)</f>
        <v>7.4</v>
      </c>
      <c r="F66" s="6">
        <f>IFERROR(__xludf.DUMMYFUNCTION("""COMPUTED_VALUE"""),1.45687019E9)</f>
        <v>1456870190</v>
      </c>
    </row>
    <row r="67">
      <c r="A67" s="7">
        <f>IFERROR(__xludf.DUMMYFUNCTION("""COMPUTED_VALUE"""),45653.64583333333)</f>
        <v>45653.64583</v>
      </c>
      <c r="B67" s="6">
        <f>IFERROR(__xludf.DUMMYFUNCTION("""COMPUTED_VALUE"""),7.4)</f>
        <v>7.4</v>
      </c>
      <c r="C67" s="6">
        <f>IFERROR(__xludf.DUMMYFUNCTION("""COMPUTED_VALUE"""),7.67)</f>
        <v>7.67</v>
      </c>
      <c r="D67" s="6">
        <f>IFERROR(__xludf.DUMMYFUNCTION("""COMPUTED_VALUE"""),7.35)</f>
        <v>7.35</v>
      </c>
      <c r="E67" s="6">
        <f>IFERROR(__xludf.DUMMYFUNCTION("""COMPUTED_VALUE"""),7.47)</f>
        <v>7.47</v>
      </c>
      <c r="F67" s="6">
        <f>IFERROR(__xludf.DUMMYFUNCTION("""COMPUTED_VALUE"""),1.033724015E9)</f>
        <v>1033724015</v>
      </c>
    </row>
    <row r="68">
      <c r="A68" s="7">
        <f>IFERROR(__xludf.DUMMYFUNCTION("""COMPUTED_VALUE"""),45660.64583333333)</f>
        <v>45660.64583</v>
      </c>
      <c r="B68" s="6">
        <f>IFERROR(__xludf.DUMMYFUNCTION("""COMPUTED_VALUE"""),7.99)</f>
        <v>7.99</v>
      </c>
      <c r="C68" s="6">
        <f>IFERROR(__xludf.DUMMYFUNCTION("""COMPUTED_VALUE"""),8.4)</f>
        <v>8.4</v>
      </c>
      <c r="D68" s="6">
        <f>IFERROR(__xludf.DUMMYFUNCTION("""COMPUTED_VALUE"""),7.61)</f>
        <v>7.61</v>
      </c>
      <c r="E68" s="6">
        <f>IFERROR(__xludf.DUMMYFUNCTION("""COMPUTED_VALUE"""),8.27)</f>
        <v>8.27</v>
      </c>
      <c r="F68" s="6">
        <f>IFERROR(__xludf.DUMMYFUNCTION("""COMPUTED_VALUE"""),2.307340936E9)</f>
        <v>2307340936</v>
      </c>
    </row>
    <row r="69">
      <c r="A69" s="7">
        <f>IFERROR(__xludf.DUMMYFUNCTION("""COMPUTED_VALUE"""),45667.64583333333)</f>
        <v>45667.64583</v>
      </c>
      <c r="B69" s="6">
        <f>IFERROR(__xludf.DUMMYFUNCTION("""COMPUTED_VALUE"""),8.29)</f>
        <v>8.29</v>
      </c>
      <c r="C69" s="6">
        <f>IFERROR(__xludf.DUMMYFUNCTION("""COMPUTED_VALUE"""),8.33)</f>
        <v>8.33</v>
      </c>
      <c r="D69" s="6">
        <f>IFERROR(__xludf.DUMMYFUNCTION("""COMPUTED_VALUE"""),7.67)</f>
        <v>7.67</v>
      </c>
      <c r="E69" s="6">
        <f>IFERROR(__xludf.DUMMYFUNCTION("""COMPUTED_VALUE"""),7.75)</f>
        <v>7.75</v>
      </c>
      <c r="F69" s="6">
        <f>IFERROR(__xludf.DUMMYFUNCTION("""COMPUTED_VALUE"""),1.767698909E9)</f>
        <v>1767698909</v>
      </c>
    </row>
    <row r="70">
      <c r="A70" s="7">
        <f>IFERROR(__xludf.DUMMYFUNCTION("""COMPUTED_VALUE"""),45674.64583333333)</f>
        <v>45674.64583</v>
      </c>
      <c r="B70" s="6">
        <f>IFERROR(__xludf.DUMMYFUNCTION("""COMPUTED_VALUE"""),7.7)</f>
        <v>7.7</v>
      </c>
      <c r="C70" s="6">
        <f>IFERROR(__xludf.DUMMYFUNCTION("""COMPUTED_VALUE"""),9.25)</f>
        <v>9.25</v>
      </c>
      <c r="D70" s="6">
        <f>IFERROR(__xludf.DUMMYFUNCTION("""COMPUTED_VALUE"""),7.61)</f>
        <v>7.61</v>
      </c>
      <c r="E70" s="6">
        <f>IFERROR(__xludf.DUMMYFUNCTION("""COMPUTED_VALUE"""),9.11)</f>
        <v>9.11</v>
      </c>
      <c r="F70" s="6">
        <f>IFERROR(__xludf.DUMMYFUNCTION("""COMPUTED_VALUE"""),2.477496428E9)</f>
        <v>2477496428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IFERROR(__xludf.DUMMYFUNCTION("""COMPUTED_VALUE"""),10.02)</f>
        <v>10.02</v>
      </c>
      <c r="C71" s="6">
        <f>IFERROR(__xludf.DUMMYFUNCTION("""COMPUTED_VALUE"""),10.47)</f>
        <v>10.47</v>
      </c>
      <c r="D71" s="6">
        <f>IFERROR(__xludf.DUMMYFUNCTION("""COMPUTED_VALUE"""),9.14)</f>
        <v>9.14</v>
      </c>
      <c r="E71" s="6">
        <f>IFERROR(__xludf.DUMMYFUNCTION("""COMPUTED_VALUE"""),9.46)</f>
        <v>9.46</v>
      </c>
      <c r="F71" s="6">
        <f>IFERROR(__xludf.DUMMYFUNCTION("""COMPUTED_VALUE"""),2.213513703E9)</f>
        <v>2213513703</v>
      </c>
    </row>
    <row r="72">
      <c r="A72" s="7">
        <f>IFERROR(__xludf.DUMMYFUNCTION("""COMPUTED_VALUE"""),45695.64583333333)</f>
        <v>45695.64583</v>
      </c>
      <c r="B72" s="6">
        <f>IFERROR(__xludf.DUMMYFUNCTION("""COMPUTED_VALUE"""),9.21)</f>
        <v>9.21</v>
      </c>
      <c r="C72" s="6">
        <f>IFERROR(__xludf.DUMMYFUNCTION("""COMPUTED_VALUE"""),9.8)</f>
        <v>9.8</v>
      </c>
      <c r="D72" s="6">
        <f>IFERROR(__xludf.DUMMYFUNCTION("""COMPUTED_VALUE"""),9.02)</f>
        <v>9.02</v>
      </c>
      <c r="E72" s="6">
        <f>IFERROR(__xludf.DUMMYFUNCTION("""COMPUTED_VALUE"""),9.47)</f>
        <v>9.47</v>
      </c>
      <c r="F72" s="6">
        <f>IFERROR(__xludf.DUMMYFUNCTION("""COMPUTED_VALUE"""),1.980286644E9)</f>
        <v>1980286644</v>
      </c>
    </row>
    <row r="73">
      <c r="A73" s="7">
        <f>IFERROR(__xludf.DUMMYFUNCTION("""COMPUTED_VALUE"""),45702.64583333333)</f>
        <v>45702.64583</v>
      </c>
      <c r="B73" s="6">
        <f>IFERROR(__xludf.DUMMYFUNCTION("""COMPUTED_VALUE"""),9.55)</f>
        <v>9.55</v>
      </c>
      <c r="C73" s="6">
        <f>IFERROR(__xludf.DUMMYFUNCTION("""COMPUTED_VALUE"""),9.55)</f>
        <v>9.55</v>
      </c>
      <c r="D73" s="6">
        <f>IFERROR(__xludf.DUMMYFUNCTION("""COMPUTED_VALUE"""),8.06)</f>
        <v>8.06</v>
      </c>
      <c r="E73" s="6">
        <f>IFERROR(__xludf.DUMMYFUNCTION("""COMPUTED_VALUE"""),8.21)</f>
        <v>8.21</v>
      </c>
      <c r="F73" s="6">
        <f>IFERROR(__xludf.DUMMYFUNCTION("""COMPUTED_VALUE"""),2.311731765E9)</f>
        <v>2311731765</v>
      </c>
    </row>
    <row r="74">
      <c r="A74" s="7">
        <f>IFERROR(__xludf.DUMMYFUNCTION("""COMPUTED_VALUE"""),45709.64583333333)</f>
        <v>45709.64583</v>
      </c>
      <c r="B74" s="6">
        <f>IFERROR(__xludf.DUMMYFUNCTION("""COMPUTED_VALUE"""),8.17)</f>
        <v>8.17</v>
      </c>
      <c r="C74" s="6">
        <f>IFERROR(__xludf.DUMMYFUNCTION("""COMPUTED_VALUE"""),8.4)</f>
        <v>8.4</v>
      </c>
      <c r="D74" s="6">
        <f>IFERROR(__xludf.DUMMYFUNCTION("""COMPUTED_VALUE"""),7.92)</f>
        <v>7.92</v>
      </c>
      <c r="E74" s="6">
        <f>IFERROR(__xludf.DUMMYFUNCTION("""COMPUTED_VALUE"""),8.04)</f>
        <v>8.04</v>
      </c>
      <c r="F74" s="6">
        <f>IFERROR(__xludf.DUMMYFUNCTION("""COMPUTED_VALUE"""),1.546825942E9)</f>
        <v>1546825942</v>
      </c>
    </row>
    <row r="75">
      <c r="A75" s="7">
        <f>IFERROR(__xludf.DUMMYFUNCTION("""COMPUTED_VALUE"""),45716.64583333333)</f>
        <v>45716.64583</v>
      </c>
      <c r="B75" s="6">
        <f>IFERROR(__xludf.DUMMYFUNCTION("""COMPUTED_VALUE"""),7.98)</f>
        <v>7.98</v>
      </c>
      <c r="C75" s="6">
        <f>IFERROR(__xludf.DUMMYFUNCTION("""COMPUTED_VALUE"""),8.04)</f>
        <v>8.04</v>
      </c>
      <c r="D75" s="6">
        <f>IFERROR(__xludf.DUMMYFUNCTION("""COMPUTED_VALUE"""),7.49)</f>
        <v>7.49</v>
      </c>
      <c r="E75" s="6">
        <f>IFERROR(__xludf.DUMMYFUNCTION("""COMPUTED_VALUE"""),7.55)</f>
        <v>7.55</v>
      </c>
      <c r="F75" s="6">
        <f>IFERROR(__xludf.DUMMYFUNCTION("""COMPUTED_VALUE"""),1.282679798E9)</f>
        <v>1282679798</v>
      </c>
    </row>
    <row r="76">
      <c r="A76" s="7">
        <f>IFERROR(__xludf.DUMMYFUNCTION("""COMPUTED_VALUE"""),45723.64583333333)</f>
        <v>45723.64583</v>
      </c>
      <c r="B76" s="6">
        <f>IFERROR(__xludf.DUMMYFUNCTION("""COMPUTED_VALUE"""),7.59)</f>
        <v>7.59</v>
      </c>
      <c r="C76" s="6">
        <f>IFERROR(__xludf.DUMMYFUNCTION("""COMPUTED_VALUE"""),8.04)</f>
        <v>8.04</v>
      </c>
      <c r="D76" s="6">
        <f>IFERROR(__xludf.DUMMYFUNCTION("""COMPUTED_VALUE"""),7.16)</f>
        <v>7.16</v>
      </c>
      <c r="E76" s="6">
        <f>IFERROR(__xludf.DUMMYFUNCTION("""COMPUTED_VALUE"""),7.55)</f>
        <v>7.55</v>
      </c>
      <c r="F76" s="6">
        <f>IFERROR(__xludf.DUMMYFUNCTION("""COMPUTED_VALUE"""),1.80159014E9)</f>
        <v>1801590140</v>
      </c>
    </row>
    <row r="77">
      <c r="A77" s="7">
        <f>IFERROR(__xludf.DUMMYFUNCTION("""COMPUTED_VALUE"""),45729.64583333333)</f>
        <v>45729.64583</v>
      </c>
      <c r="B77" s="6">
        <f>IFERROR(__xludf.DUMMYFUNCTION("""COMPUTED_VALUE"""),7.58)</f>
        <v>7.58</v>
      </c>
      <c r="C77" s="6">
        <f>IFERROR(__xludf.DUMMYFUNCTION("""COMPUTED_VALUE"""),7.64)</f>
        <v>7.64</v>
      </c>
      <c r="D77" s="6">
        <f>IFERROR(__xludf.DUMMYFUNCTION("""COMPUTED_VALUE"""),6.87)</f>
        <v>6.87</v>
      </c>
      <c r="E77" s="6">
        <f>IFERROR(__xludf.DUMMYFUNCTION("""COMPUTED_VALUE"""),6.95)</f>
        <v>6.95</v>
      </c>
      <c r="F77" s="6">
        <f>IFERROR(__xludf.DUMMYFUNCTION("""COMPUTED_VALUE"""),1.721223263E9)</f>
        <v>1721223263</v>
      </c>
    </row>
    <row r="78">
      <c r="A78" s="7">
        <f>IFERROR(__xludf.DUMMYFUNCTION("""COMPUTED_VALUE"""),45737.64583333333)</f>
        <v>45737.64583</v>
      </c>
      <c r="B78" s="6">
        <f>IFERROR(__xludf.DUMMYFUNCTION("""COMPUTED_VALUE"""),7.0)</f>
        <v>7</v>
      </c>
      <c r="C78" s="6">
        <f>IFERROR(__xludf.DUMMYFUNCTION("""COMPUTED_VALUE"""),7.72)</f>
        <v>7.72</v>
      </c>
      <c r="D78" s="6">
        <f>IFERROR(__xludf.DUMMYFUNCTION("""COMPUTED_VALUE"""),6.92)</f>
        <v>6.92</v>
      </c>
      <c r="E78" s="6">
        <f>IFERROR(__xludf.DUMMYFUNCTION("""COMPUTED_VALUE"""),7.62)</f>
        <v>7.62</v>
      </c>
      <c r="F78" s="6">
        <f>IFERROR(__xludf.DUMMYFUNCTION("""COMPUTED_VALUE"""),2.493056675E9)</f>
        <v>2493056675</v>
      </c>
    </row>
    <row r="79">
      <c r="A79" s="7">
        <f>IFERROR(__xludf.DUMMYFUNCTION("""COMPUTED_VALUE"""),45744.64583333333)</f>
        <v>45744.64583</v>
      </c>
      <c r="B79" s="6">
        <f>IFERROR(__xludf.DUMMYFUNCTION("""COMPUTED_VALUE"""),7.72)</f>
        <v>7.72</v>
      </c>
      <c r="C79" s="6">
        <f>IFERROR(__xludf.DUMMYFUNCTION("""COMPUTED_VALUE"""),7.74)</f>
        <v>7.74</v>
      </c>
      <c r="D79" s="6">
        <f>IFERROR(__xludf.DUMMYFUNCTION("""COMPUTED_VALUE"""),6.77)</f>
        <v>6.77</v>
      </c>
      <c r="E79" s="6">
        <f>IFERROR(__xludf.DUMMYFUNCTION("""COMPUTED_VALUE"""),6.8)</f>
        <v>6.8</v>
      </c>
      <c r="F79" s="6">
        <f>IFERROR(__xludf.DUMMYFUNCTION("""COMPUTED_VALUE"""),3.337005126E9)</f>
        <v>3337005126</v>
      </c>
    </row>
    <row r="80">
      <c r="A80" s="7">
        <f>IFERROR(__xludf.DUMMYFUNCTION("""COMPUTED_VALUE"""),45751.64583333333)</f>
        <v>45751.64583</v>
      </c>
      <c r="B80" s="6">
        <f>IFERROR(__xludf.DUMMYFUNCTION("""COMPUTED_VALUE"""),7.48)</f>
        <v>7.48</v>
      </c>
      <c r="C80" s="6">
        <f>IFERROR(__xludf.DUMMYFUNCTION("""COMPUTED_VALUE"""),8.56)</f>
        <v>8.56</v>
      </c>
      <c r="D80" s="6">
        <f>IFERROR(__xludf.DUMMYFUNCTION("""COMPUTED_VALUE"""),7.48)</f>
        <v>7.48</v>
      </c>
      <c r="E80" s="6">
        <f>IFERROR(__xludf.DUMMYFUNCTION("""COMPUTED_VALUE"""),7.91)</f>
        <v>7.91</v>
      </c>
      <c r="F80" s="6">
        <f>IFERROR(__xludf.DUMMYFUNCTION("""COMPUTED_VALUE"""),1.883328395E9)</f>
        <v>1883328395</v>
      </c>
    </row>
    <row r="81">
      <c r="A81" s="7">
        <f>IFERROR(__xludf.DUMMYFUNCTION("""COMPUTED_VALUE"""),45758.64583333333)</f>
        <v>45758.64583</v>
      </c>
      <c r="B81" s="6">
        <f>IFERROR(__xludf.DUMMYFUNCTION("""COMPUTED_VALUE"""),7.17)</f>
        <v>7.17</v>
      </c>
      <c r="C81" s="6">
        <f>IFERROR(__xludf.DUMMYFUNCTION("""COMPUTED_VALUE"""),7.6)</f>
        <v>7.6</v>
      </c>
      <c r="D81" s="6">
        <f>IFERROR(__xludf.DUMMYFUNCTION("""COMPUTED_VALUE"""),7.01)</f>
        <v>7.01</v>
      </c>
      <c r="E81" s="6">
        <f>IFERROR(__xludf.DUMMYFUNCTION("""COMPUTED_VALUE"""),7.17)</f>
        <v>7.17</v>
      </c>
      <c r="F81" s="6">
        <f>IFERROR(__xludf.DUMMYFUNCTION("""COMPUTED_VALUE"""),2.418639244E9)</f>
        <v>2418639244</v>
      </c>
    </row>
    <row r="82">
      <c r="A82" s="7">
        <f>IFERROR(__xludf.DUMMYFUNCTION("""COMPUTED_VALUE"""),45764.64583333333)</f>
        <v>45764.64583</v>
      </c>
      <c r="B82" s="6">
        <f>IFERROR(__xludf.DUMMYFUNCTION("""COMPUTED_VALUE"""),7.27)</f>
        <v>7.27</v>
      </c>
      <c r="C82" s="6">
        <f>IFERROR(__xludf.DUMMYFUNCTION("""COMPUTED_VALUE"""),7.43)</f>
        <v>7.43</v>
      </c>
      <c r="D82" s="6">
        <f>IFERROR(__xludf.DUMMYFUNCTION("""COMPUTED_VALUE"""),7.18)</f>
        <v>7.18</v>
      </c>
      <c r="E82" s="6">
        <f>IFERROR(__xludf.DUMMYFUNCTION("""COMPUTED_VALUE"""),7.31)</f>
        <v>7.31</v>
      </c>
      <c r="F82" s="6">
        <f>IFERROR(__xludf.DUMMYFUNCTION("""COMPUTED_VALUE"""),1.38030622E9)</f>
        <v>1380306220</v>
      </c>
    </row>
    <row r="83">
      <c r="A83" s="7">
        <f>IFERROR(__xludf.DUMMYFUNCTION("""COMPUTED_VALUE"""),45772.64583333333)</f>
        <v>45772.64583</v>
      </c>
      <c r="B83" s="6">
        <f>IFERROR(__xludf.DUMMYFUNCTION("""COMPUTED_VALUE"""),7.31)</f>
        <v>7.31</v>
      </c>
      <c r="C83" s="6">
        <f>IFERROR(__xludf.DUMMYFUNCTION("""COMPUTED_VALUE"""),8.21)</f>
        <v>8.21</v>
      </c>
      <c r="D83" s="6">
        <f>IFERROR(__xludf.DUMMYFUNCTION("""COMPUTED_VALUE"""),7.3)</f>
        <v>7.3</v>
      </c>
      <c r="E83" s="6">
        <f>IFERROR(__xludf.DUMMYFUNCTION("""COMPUTED_VALUE"""),7.47)</f>
        <v>7.47</v>
      </c>
      <c r="F83" s="6">
        <f>IFERROR(__xludf.DUMMYFUNCTION("""COMPUTED_VALUE"""),3.32307274E9)</f>
        <v>3323072740</v>
      </c>
    </row>
    <row r="84">
      <c r="A84" s="7">
        <f>IFERROR(__xludf.DUMMYFUNCTION("""COMPUTED_VALUE"""),45779.64583333333)</f>
        <v>45779.64583</v>
      </c>
      <c r="B84" s="6">
        <f>IFERROR(__xludf.DUMMYFUNCTION("""COMPUTED_VALUE"""),7.5)</f>
        <v>7.5</v>
      </c>
      <c r="C84" s="6">
        <f>IFERROR(__xludf.DUMMYFUNCTION("""COMPUTED_VALUE"""),7.57)</f>
        <v>7.57</v>
      </c>
      <c r="D84" s="6">
        <f>IFERROR(__xludf.DUMMYFUNCTION("""COMPUTED_VALUE"""),7.03)</f>
        <v>7.03</v>
      </c>
      <c r="E84" s="6">
        <f>IFERROR(__xludf.DUMMYFUNCTION("""COMPUTED_VALUE"""),7.05)</f>
        <v>7.05</v>
      </c>
      <c r="F84" s="6">
        <f>IFERROR(__xludf.DUMMYFUNCTION("""COMPUTED_VALUE"""),1.499515961E9)</f>
        <v>1499515961</v>
      </c>
    </row>
    <row r="85">
      <c r="A85" s="7">
        <f>IFERROR(__xludf.DUMMYFUNCTION("""COMPUTED_VALUE"""),45786.64583333333)</f>
        <v>45786.64583</v>
      </c>
      <c r="B85" s="6">
        <f>IFERROR(__xludf.DUMMYFUNCTION("""COMPUTED_VALUE"""),7.08)</f>
        <v>7.08</v>
      </c>
      <c r="C85" s="6">
        <f>IFERROR(__xludf.DUMMYFUNCTION("""COMPUTED_VALUE"""),7.19)</f>
        <v>7.19</v>
      </c>
      <c r="D85" s="6">
        <f>IFERROR(__xludf.DUMMYFUNCTION("""COMPUTED_VALUE"""),6.47)</f>
        <v>6.47</v>
      </c>
      <c r="E85" s="6">
        <f>IFERROR(__xludf.DUMMYFUNCTION("""COMPUTED_VALUE"""),6.7)</f>
        <v>6.7</v>
      </c>
      <c r="F85" s="6">
        <f>IFERROR(__xludf.DUMMYFUNCTION("""COMPUTED_VALUE"""),2.007433775E9)</f>
        <v>2007433775</v>
      </c>
    </row>
    <row r="86">
      <c r="A86" s="7">
        <f>IFERROR(__xludf.DUMMYFUNCTION("""COMPUTED_VALUE"""),45793.64583333333)</f>
        <v>45793.64583</v>
      </c>
      <c r="B86" s="6">
        <f>IFERROR(__xludf.DUMMYFUNCTION("""COMPUTED_VALUE"""),7.06)</f>
        <v>7.06</v>
      </c>
      <c r="C86" s="6">
        <f>IFERROR(__xludf.DUMMYFUNCTION("""COMPUTED_VALUE"""),7.55)</f>
        <v>7.55</v>
      </c>
      <c r="D86" s="6">
        <f>IFERROR(__xludf.DUMMYFUNCTION("""COMPUTED_VALUE"""),6.87)</f>
        <v>6.87</v>
      </c>
      <c r="E86" s="6">
        <f>IFERROR(__xludf.DUMMYFUNCTION("""COMPUTED_VALUE"""),7.37)</f>
        <v>7.37</v>
      </c>
      <c r="F86" s="6">
        <f>IFERROR(__xludf.DUMMYFUNCTION("""COMPUTED_VALUE"""),2.564456496E9)</f>
        <v>2564456496</v>
      </c>
    </row>
    <row r="87">
      <c r="A87" s="7">
        <f>IFERROR(__xludf.DUMMYFUNCTION("""COMPUTED_VALUE"""),45800.64583333333)</f>
        <v>45800.64583</v>
      </c>
      <c r="B87" s="6">
        <f>IFERROR(__xludf.DUMMYFUNCTION("""COMPUTED_VALUE"""),7.19)</f>
        <v>7.19</v>
      </c>
      <c r="C87" s="6">
        <f>IFERROR(__xludf.DUMMYFUNCTION("""COMPUTED_VALUE"""),7.21)</f>
        <v>7.21</v>
      </c>
      <c r="D87" s="6">
        <f>IFERROR(__xludf.DUMMYFUNCTION("""COMPUTED_VALUE"""),6.46)</f>
        <v>6.46</v>
      </c>
      <c r="E87" s="6">
        <f>IFERROR(__xludf.DUMMYFUNCTION("""COMPUTED_VALUE"""),6.76)</f>
        <v>6.76</v>
      </c>
      <c r="F87" s="6">
        <f>IFERROR(__xludf.DUMMYFUNCTION("""COMPUTED_VALUE"""),2.689584583E9)</f>
        <v>2689584583</v>
      </c>
    </row>
    <row r="88">
      <c r="A88" s="7">
        <f>IFERROR(__xludf.DUMMYFUNCTION("""COMPUTED_VALUE"""),45807.64583333333)</f>
        <v>45807.64583</v>
      </c>
      <c r="B88" s="6">
        <f>IFERROR(__xludf.DUMMYFUNCTION("""COMPUTED_VALUE"""),6.76)</f>
        <v>6.76</v>
      </c>
      <c r="C88" s="6">
        <f>IFERROR(__xludf.DUMMYFUNCTION("""COMPUTED_VALUE"""),7.24)</f>
        <v>7.24</v>
      </c>
      <c r="D88" s="6">
        <f>IFERROR(__xludf.DUMMYFUNCTION("""COMPUTED_VALUE"""),6.73)</f>
        <v>6.73</v>
      </c>
      <c r="E88" s="6">
        <f>IFERROR(__xludf.DUMMYFUNCTION("""COMPUTED_VALUE"""),6.92)</f>
        <v>6.92</v>
      </c>
      <c r="F88" s="6">
        <f>IFERROR(__xludf.DUMMYFUNCTION("""COMPUTED_VALUE"""),2.675263605E9)</f>
        <v>2675263605</v>
      </c>
    </row>
    <row r="89">
      <c r="A89" s="7">
        <f>IFERROR(__xludf.DUMMYFUNCTION("""COMPUTED_VALUE"""),45814.64583333333)</f>
        <v>45814.64583</v>
      </c>
      <c r="B89" s="6">
        <f>IFERROR(__xludf.DUMMYFUNCTION("""COMPUTED_VALUE"""),6.93)</f>
        <v>6.93</v>
      </c>
      <c r="C89" s="6">
        <f>IFERROR(__xludf.DUMMYFUNCTION("""COMPUTED_VALUE"""),7.12)</f>
        <v>7.12</v>
      </c>
      <c r="D89" s="6">
        <f>IFERROR(__xludf.DUMMYFUNCTION("""COMPUTED_VALUE"""),6.65)</f>
        <v>6.65</v>
      </c>
      <c r="E89" s="6">
        <f>IFERROR(__xludf.DUMMYFUNCTION("""COMPUTED_VALUE"""),6.92)</f>
        <v>6.92</v>
      </c>
      <c r="F89" s="6">
        <f>IFERROR(__xludf.DUMMYFUNCTION("""COMPUTED_VALUE"""),2.404745864E9)</f>
        <v>2404745864</v>
      </c>
    </row>
    <row r="90">
      <c r="A90" s="7">
        <f>IFERROR(__xludf.DUMMYFUNCTION("""COMPUTED_VALUE"""),45821.64583333333)</f>
        <v>45821.64583</v>
      </c>
      <c r="B90" s="6">
        <f>IFERROR(__xludf.DUMMYFUNCTION("""COMPUTED_VALUE"""),6.92)</f>
        <v>6.92</v>
      </c>
      <c r="C90" s="6">
        <f>IFERROR(__xludf.DUMMYFUNCTION("""COMPUTED_VALUE"""),7.17)</f>
        <v>7.17</v>
      </c>
      <c r="D90" s="6">
        <f>IFERROR(__xludf.DUMMYFUNCTION("""COMPUTED_VALUE"""),6.6)</f>
        <v>6.6</v>
      </c>
      <c r="E90" s="6">
        <f>IFERROR(__xludf.DUMMYFUNCTION("""COMPUTED_VALUE"""),6.67)</f>
        <v>6.67</v>
      </c>
      <c r="F90" s="6">
        <f>IFERROR(__xludf.DUMMYFUNCTION("""COMPUTED_VALUE"""),2.395595724E9)</f>
        <v>2395595724</v>
      </c>
    </row>
    <row r="91">
      <c r="A91" s="7">
        <f>IFERROR(__xludf.DUMMYFUNCTION("""COMPUTED_VALUE"""),45828.64583333333)</f>
        <v>45828.64583</v>
      </c>
      <c r="B91" s="6">
        <f>IFERROR(__xludf.DUMMYFUNCTION("""COMPUTED_VALUE"""),6.67)</f>
        <v>6.67</v>
      </c>
      <c r="C91" s="6">
        <f>IFERROR(__xludf.DUMMYFUNCTION("""COMPUTED_VALUE"""),6.77)</f>
        <v>6.77</v>
      </c>
      <c r="D91" s="6">
        <f>IFERROR(__xludf.DUMMYFUNCTION("""COMPUTED_VALUE"""),6.29)</f>
        <v>6.29</v>
      </c>
      <c r="E91" s="6">
        <f>IFERROR(__xludf.DUMMYFUNCTION("""COMPUTED_VALUE"""),6.56)</f>
        <v>6.56</v>
      </c>
      <c r="F91" s="6">
        <f>IFERROR(__xludf.DUMMYFUNCTION("""COMPUTED_VALUE"""),2.254542606E9)</f>
        <v>2254542606</v>
      </c>
    </row>
    <row r="92">
      <c r="A92" s="7">
        <f>IFERROR(__xludf.DUMMYFUNCTION("""COMPUTED_VALUE"""),45835.64583333333)</f>
        <v>45835.64583</v>
      </c>
      <c r="B92" s="6">
        <f>IFERROR(__xludf.DUMMYFUNCTION("""COMPUTED_VALUE"""),6.5)</f>
        <v>6.5</v>
      </c>
      <c r="C92" s="6">
        <f>IFERROR(__xludf.DUMMYFUNCTION("""COMPUTED_VALUE"""),7.55)</f>
        <v>7.55</v>
      </c>
      <c r="D92" s="6">
        <f>IFERROR(__xludf.DUMMYFUNCTION("""COMPUTED_VALUE"""),6.43)</f>
        <v>6.43</v>
      </c>
      <c r="E92" s="6">
        <f>IFERROR(__xludf.DUMMYFUNCTION("""COMPUTED_VALUE"""),7.38)</f>
        <v>7.38</v>
      </c>
      <c r="F92" s="6">
        <f>IFERROR(__xludf.DUMMYFUNCTION("""COMPUTED_VALUE"""),4.139491408E9)</f>
        <v>4139491408</v>
      </c>
    </row>
    <row r="93">
      <c r="A93" s="7">
        <f>IFERROR(__xludf.DUMMYFUNCTION("""COMPUTED_VALUE"""),45842.64583333333)</f>
        <v>45842.64583</v>
      </c>
      <c r="B93" s="6">
        <f>IFERROR(__xludf.DUMMYFUNCTION("""COMPUTED_VALUE"""),7.4)</f>
        <v>7.4</v>
      </c>
      <c r="C93" s="6">
        <f>IFERROR(__xludf.DUMMYFUNCTION("""COMPUTED_VALUE"""),7.77)</f>
        <v>7.77</v>
      </c>
      <c r="D93" s="6">
        <f>IFERROR(__xludf.DUMMYFUNCTION("""COMPUTED_VALUE"""),7.32)</f>
        <v>7.32</v>
      </c>
      <c r="E93" s="6">
        <f>IFERROR(__xludf.DUMMYFUNCTION("""COMPUTED_VALUE"""),7.36)</f>
        <v>7.36</v>
      </c>
      <c r="F93" s="6">
        <f>IFERROR(__xludf.DUMMYFUNCTION("""COMPUTED_VALUE"""),3.05061673E9)</f>
        <v>3050616730</v>
      </c>
    </row>
    <row r="94">
      <c r="A94" s="7">
        <f>IFERROR(__xludf.DUMMYFUNCTION("""COMPUTED_VALUE"""),45849.64583333333)</f>
        <v>45849.64583</v>
      </c>
      <c r="B94" s="6">
        <f>IFERROR(__xludf.DUMMYFUNCTION("""COMPUTED_VALUE"""),7.3)</f>
        <v>7.3</v>
      </c>
      <c r="C94" s="6">
        <f>IFERROR(__xludf.DUMMYFUNCTION("""COMPUTED_VALUE"""),7.43)</f>
        <v>7.43</v>
      </c>
      <c r="D94" s="6">
        <f>IFERROR(__xludf.DUMMYFUNCTION("""COMPUTED_VALUE"""),7.12)</f>
        <v>7.12</v>
      </c>
      <c r="E94" s="6">
        <f>IFERROR(__xludf.DUMMYFUNCTION("""COMPUTED_VALUE"""),7.17)</f>
        <v>7.17</v>
      </c>
      <c r="F94" s="6">
        <f>IFERROR(__xludf.DUMMYFUNCTION("""COMPUTED_VALUE"""),1.753302184E9)</f>
        <v>1753302184</v>
      </c>
    </row>
    <row r="95">
      <c r="A95" s="7">
        <f>IFERROR(__xludf.DUMMYFUNCTION("""COMPUTED_VALUE"""),45856.64583333333)</f>
        <v>45856.64583</v>
      </c>
      <c r="B95" s="6">
        <f>IFERROR(__xludf.DUMMYFUNCTION("""COMPUTED_VALUE"""),7.17)</f>
        <v>7.17</v>
      </c>
      <c r="C95" s="6">
        <f>IFERROR(__xludf.DUMMYFUNCTION("""COMPUTED_VALUE"""),7.94)</f>
        <v>7.94</v>
      </c>
      <c r="D95" s="6">
        <f>IFERROR(__xludf.DUMMYFUNCTION("""COMPUTED_VALUE"""),7.13)</f>
        <v>7.13</v>
      </c>
      <c r="E95" s="6">
        <f>IFERROR(__xludf.DUMMYFUNCTION("""COMPUTED_VALUE"""),7.72)</f>
        <v>7.72</v>
      </c>
      <c r="F95" s="6">
        <f>IFERROR(__xludf.DUMMYFUNCTION("""COMPUTED_VALUE"""),2.542141983E9)</f>
        <v>2542141983</v>
      </c>
    </row>
    <row r="96">
      <c r="A96" s="7">
        <f>IFERROR(__xludf.DUMMYFUNCTION("""COMPUTED_VALUE"""),45863.64583333333)</f>
        <v>45863.64583</v>
      </c>
      <c r="B96" s="6">
        <f>IFERROR(__xludf.DUMMYFUNCTION("""COMPUTED_VALUE"""),7.69)</f>
        <v>7.69</v>
      </c>
      <c r="C96" s="6">
        <f>IFERROR(__xludf.DUMMYFUNCTION("""COMPUTED_VALUE"""),7.73)</f>
        <v>7.73</v>
      </c>
      <c r="D96" s="6">
        <f>IFERROR(__xludf.DUMMYFUNCTION("""COMPUTED_VALUE"""),7.17)</f>
        <v>7.17</v>
      </c>
      <c r="E96" s="6">
        <f>IFERROR(__xludf.DUMMYFUNCTION("""COMPUTED_VALUE"""),7.2)</f>
        <v>7.2</v>
      </c>
      <c r="F96" s="6">
        <f>IFERROR(__xludf.DUMMYFUNCTION("""COMPUTED_VALUE"""),1.349305625E9)</f>
        <v>1349305625</v>
      </c>
    </row>
    <row r="97">
      <c r="A97" s="7">
        <f>IFERROR(__xludf.DUMMYFUNCTION("""COMPUTED_VALUE"""),45870.64583333333)</f>
        <v>45870.64583</v>
      </c>
      <c r="B97" s="6">
        <f>IFERROR(__xludf.DUMMYFUNCTION("""COMPUTED_VALUE"""),7.24)</f>
        <v>7.24</v>
      </c>
      <c r="C97" s="6">
        <f>IFERROR(__xludf.DUMMYFUNCTION("""COMPUTED_VALUE"""),7.47)</f>
        <v>7.47</v>
      </c>
      <c r="D97" s="6">
        <f>IFERROR(__xludf.DUMMYFUNCTION("""COMPUTED_VALUE"""),6.55)</f>
        <v>6.55</v>
      </c>
      <c r="E97" s="6">
        <f>IFERROR(__xludf.DUMMYFUNCTION("""COMPUTED_VALUE"""),6.6)</f>
        <v>6.6</v>
      </c>
      <c r="F97" s="6">
        <f>IFERROR(__xludf.DUMMYFUNCTION("""COMPUTED_VALUE"""),1.840988947E9)</f>
        <v>1840988947</v>
      </c>
    </row>
    <row r="98">
      <c r="A98" s="7">
        <f>IFERROR(__xludf.DUMMYFUNCTION("""COMPUTED_VALUE"""),45877.64583333333)</f>
        <v>45877.64583</v>
      </c>
      <c r="B98" s="6">
        <f>IFERROR(__xludf.DUMMYFUNCTION("""COMPUTED_VALUE"""),6.77)</f>
        <v>6.77</v>
      </c>
      <c r="C98" s="6">
        <f>IFERROR(__xludf.DUMMYFUNCTION("""COMPUTED_VALUE"""),7.01)</f>
        <v>7.01</v>
      </c>
      <c r="D98" s="6">
        <f>IFERROR(__xludf.DUMMYFUNCTION("""COMPUTED_VALUE"""),6.48)</f>
        <v>6.48</v>
      </c>
      <c r="E98" s="6">
        <f>IFERROR(__xludf.DUMMYFUNCTION("""COMPUTED_VALUE"""),6.51)</f>
        <v>6.51</v>
      </c>
      <c r="F98" s="6">
        <f>IFERROR(__xludf.DUMMYFUNCTION("""COMPUTED_VALUE"""),1.81214699E9)</f>
        <v>1812146990</v>
      </c>
    </row>
    <row r="99">
      <c r="A99" s="7">
        <f>IFERROR(__xludf.DUMMYFUNCTION("""COMPUTED_VALUE"""),45883.64583333333)</f>
        <v>45883.64583</v>
      </c>
      <c r="B99" s="6">
        <f>IFERROR(__xludf.DUMMYFUNCTION("""COMPUTED_VALUE"""),6.59)</f>
        <v>6.59</v>
      </c>
      <c r="C99" s="6">
        <f>IFERROR(__xludf.DUMMYFUNCTION("""COMPUTED_VALUE"""),6.64)</f>
        <v>6.64</v>
      </c>
      <c r="D99" s="6">
        <f>IFERROR(__xludf.DUMMYFUNCTION("""COMPUTED_VALUE"""),6.12)</f>
        <v>6.12</v>
      </c>
      <c r="E99" s="6">
        <f>IFERROR(__xludf.DUMMYFUNCTION("""COMPUTED_VALUE"""),6.15)</f>
        <v>6.15</v>
      </c>
      <c r="F99" s="6">
        <f>IFERROR(__xludf.DUMMYFUNCTION("""COMPUTED_VALUE"""),1.645440574E9)</f>
        <v>1645440574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IFERROR(__xludf.DUMMYFUNCTION("""COMPUTED_VALUE"""),6.25)</f>
        <v>6.25</v>
      </c>
      <c r="C100" s="6">
        <f>IFERROR(__xludf.DUMMYFUNCTION("""COMPUTED_VALUE"""),7.31)</f>
        <v>7.31</v>
      </c>
      <c r="D100" s="6">
        <f>IFERROR(__xludf.DUMMYFUNCTION("""COMPUTED_VALUE"""),6.18)</f>
        <v>6.18</v>
      </c>
      <c r="E100" s="6">
        <f>IFERROR(__xludf.DUMMYFUNCTION("""COMPUTED_VALUE"""),7.07)</f>
        <v>7.07</v>
      </c>
      <c r="F100" s="6">
        <f>IFERROR(__xludf.DUMMYFUNCTION("""COMPUTED_VALUE"""),2.508573898E9)</f>
        <v>2508573898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IFERROR(__xludf.DUMMYFUNCTION("""COMPUTED_VALUE"""),7.07)</f>
        <v>7.07</v>
      </c>
      <c r="C101" s="6">
        <f>IFERROR(__xludf.DUMMYFUNCTION("""COMPUTED_VALUE"""),7.6)</f>
        <v>7.6</v>
      </c>
      <c r="D101" s="6">
        <f>IFERROR(__xludf.DUMMYFUNCTION("""COMPUTED_VALUE"""),6.6)</f>
        <v>6.6</v>
      </c>
      <c r="E101" s="6">
        <f>IFERROR(__xludf.DUMMYFUNCTION("""COMPUTED_VALUE"""),6.71)</f>
        <v>6.71</v>
      </c>
      <c r="F101" s="6">
        <f>IFERROR(__xludf.DUMMYFUNCTION("""COMPUTED_VALUE"""),2.339876392E9)</f>
        <v>2339876392</v>
      </c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IFERROR(__xludf.DUMMYFUNCTION("GOOGLEFINANCE(""NSE:IDFCFIRSTB"",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IFERROR(__xludf.DUMMYFUNCTION("""COMPUTED_VALUE"""),91.85)</f>
        <v>91.85</v>
      </c>
      <c r="C2" s="6">
        <f>IFERROR(__xludf.DUMMYFUNCTION("""COMPUTED_VALUE"""),95.8)</f>
        <v>95.8</v>
      </c>
      <c r="D2" s="6">
        <f>IFERROR(__xludf.DUMMYFUNCTION("""COMPUTED_VALUE"""),89.1)</f>
        <v>89.1</v>
      </c>
      <c r="E2" s="6">
        <f>IFERROR(__xludf.DUMMYFUNCTION("""COMPUTED_VALUE"""),93.4)</f>
        <v>93.4</v>
      </c>
      <c r="F2" s="6">
        <f>IFERROR(__xludf.DUMMYFUNCTION("""COMPUTED_VALUE"""),6.33335284E8)</f>
        <v>633335284</v>
      </c>
    </row>
    <row r="3">
      <c r="A3" s="7">
        <f>IFERROR(__xludf.DUMMYFUNCTION("""COMPUTED_VALUE"""),45177.64583333333)</f>
        <v>45177.64583</v>
      </c>
      <c r="B3" s="6">
        <f>IFERROR(__xludf.DUMMYFUNCTION("""COMPUTED_VALUE"""),95.0)</f>
        <v>95</v>
      </c>
      <c r="C3" s="6">
        <f>IFERROR(__xludf.DUMMYFUNCTION("""COMPUTED_VALUE"""),100.7)</f>
        <v>100.7</v>
      </c>
      <c r="D3" s="6">
        <f>IFERROR(__xludf.DUMMYFUNCTION("""COMPUTED_VALUE"""),94.6)</f>
        <v>94.6</v>
      </c>
      <c r="E3" s="6">
        <f>IFERROR(__xludf.DUMMYFUNCTION("""COMPUTED_VALUE"""),95.35)</f>
        <v>95.35</v>
      </c>
      <c r="F3" s="6">
        <f>IFERROR(__xludf.DUMMYFUNCTION("""COMPUTED_VALUE"""),2.52054037E8)</f>
        <v>252054037</v>
      </c>
    </row>
    <row r="4">
      <c r="A4" s="7">
        <f>IFERROR(__xludf.DUMMYFUNCTION("""COMPUTED_VALUE"""),45184.64583333333)</f>
        <v>45184.64583</v>
      </c>
      <c r="B4" s="6">
        <f>IFERROR(__xludf.DUMMYFUNCTION("""COMPUTED_VALUE"""),97.3)</f>
        <v>97.3</v>
      </c>
      <c r="C4" s="6">
        <f>IFERROR(__xludf.DUMMYFUNCTION("""COMPUTED_VALUE"""),98.0)</f>
        <v>98</v>
      </c>
      <c r="D4" s="6">
        <f>IFERROR(__xludf.DUMMYFUNCTION("""COMPUTED_VALUE"""),89.3)</f>
        <v>89.3</v>
      </c>
      <c r="E4" s="6">
        <f>IFERROR(__xludf.DUMMYFUNCTION("""COMPUTED_VALUE"""),94.55)</f>
        <v>94.55</v>
      </c>
      <c r="F4" s="6">
        <f>IFERROR(__xludf.DUMMYFUNCTION("""COMPUTED_VALUE"""),2.01989929E8)</f>
        <v>201989929</v>
      </c>
    </row>
    <row r="5">
      <c r="A5" s="7">
        <f>IFERROR(__xludf.DUMMYFUNCTION("""COMPUTED_VALUE"""),45191.64583333333)</f>
        <v>45191.64583</v>
      </c>
      <c r="B5" s="6">
        <f>IFERROR(__xludf.DUMMYFUNCTION("""COMPUTED_VALUE"""),94.5)</f>
        <v>94.5</v>
      </c>
      <c r="C5" s="6">
        <f>IFERROR(__xludf.DUMMYFUNCTION("""COMPUTED_VALUE"""),95.35)</f>
        <v>95.35</v>
      </c>
      <c r="D5" s="6">
        <f>IFERROR(__xludf.DUMMYFUNCTION("""COMPUTED_VALUE"""),92.4)</f>
        <v>92.4</v>
      </c>
      <c r="E5" s="6">
        <f>IFERROR(__xludf.DUMMYFUNCTION("""COMPUTED_VALUE"""),93.6)</f>
        <v>93.6</v>
      </c>
      <c r="F5" s="6">
        <f>IFERROR(__xludf.DUMMYFUNCTION("""COMPUTED_VALUE"""),1.15698723E8)</f>
        <v>115698723</v>
      </c>
    </row>
    <row r="6">
      <c r="A6" s="7">
        <f>IFERROR(__xludf.DUMMYFUNCTION("""COMPUTED_VALUE"""),45198.64583333333)</f>
        <v>45198.64583</v>
      </c>
      <c r="B6" s="6">
        <f>IFERROR(__xludf.DUMMYFUNCTION("""COMPUTED_VALUE"""),93.95)</f>
        <v>93.95</v>
      </c>
      <c r="C6" s="6">
        <f>IFERROR(__xludf.DUMMYFUNCTION("""COMPUTED_VALUE"""),98.4)</f>
        <v>98.4</v>
      </c>
      <c r="D6" s="6">
        <f>IFERROR(__xludf.DUMMYFUNCTION("""COMPUTED_VALUE"""),92.4)</f>
        <v>92.4</v>
      </c>
      <c r="E6" s="6">
        <f>IFERROR(__xludf.DUMMYFUNCTION("""COMPUTED_VALUE"""),95.5)</f>
        <v>95.5</v>
      </c>
      <c r="F6" s="6">
        <f>IFERROR(__xludf.DUMMYFUNCTION("""COMPUTED_VALUE"""),1.69776581E8)</f>
        <v>169776581</v>
      </c>
    </row>
    <row r="7">
      <c r="A7" s="7">
        <f>IFERROR(__xludf.DUMMYFUNCTION("""COMPUTED_VALUE"""),45205.64583333333)</f>
        <v>45205.64583</v>
      </c>
      <c r="B7" s="6">
        <f>IFERROR(__xludf.DUMMYFUNCTION("""COMPUTED_VALUE"""),95.65)</f>
        <v>95.65</v>
      </c>
      <c r="C7" s="6">
        <f>IFERROR(__xludf.DUMMYFUNCTION("""COMPUTED_VALUE"""),95.65)</f>
        <v>95.65</v>
      </c>
      <c r="D7" s="6">
        <f>IFERROR(__xludf.DUMMYFUNCTION("""COMPUTED_VALUE"""),90.7)</f>
        <v>90.7</v>
      </c>
      <c r="E7" s="6">
        <f>IFERROR(__xludf.DUMMYFUNCTION("""COMPUTED_VALUE"""),91.4)</f>
        <v>91.4</v>
      </c>
      <c r="F7" s="6">
        <f>IFERROR(__xludf.DUMMYFUNCTION("""COMPUTED_VALUE"""),1.11495128E8)</f>
        <v>111495128</v>
      </c>
    </row>
    <row r="8">
      <c r="A8" s="7">
        <f>IFERROR(__xludf.DUMMYFUNCTION("""COMPUTED_VALUE"""),45212.64583333333)</f>
        <v>45212.64583</v>
      </c>
      <c r="B8" s="6">
        <f>IFERROR(__xludf.DUMMYFUNCTION("""COMPUTED_VALUE"""),90.05)</f>
        <v>90.05</v>
      </c>
      <c r="C8" s="6">
        <f>IFERROR(__xludf.DUMMYFUNCTION("""COMPUTED_VALUE"""),93.35)</f>
        <v>93.35</v>
      </c>
      <c r="D8" s="6">
        <f>IFERROR(__xludf.DUMMYFUNCTION("""COMPUTED_VALUE"""),88.9)</f>
        <v>88.9</v>
      </c>
      <c r="E8" s="6">
        <f>IFERROR(__xludf.DUMMYFUNCTION("""COMPUTED_VALUE"""),90.25)</f>
        <v>90.25</v>
      </c>
      <c r="F8" s="6">
        <f>IFERROR(__xludf.DUMMYFUNCTION("""COMPUTED_VALUE"""),1.42085977E8)</f>
        <v>142085977</v>
      </c>
    </row>
    <row r="9">
      <c r="A9" s="7">
        <f>IFERROR(__xludf.DUMMYFUNCTION("""COMPUTED_VALUE"""),45219.64583333333)</f>
        <v>45219.64583</v>
      </c>
      <c r="B9" s="6">
        <f>IFERROR(__xludf.DUMMYFUNCTION("""COMPUTED_VALUE"""),90.45)</f>
        <v>90.45</v>
      </c>
      <c r="C9" s="6">
        <f>IFERROR(__xludf.DUMMYFUNCTION("""COMPUTED_VALUE"""),93.1)</f>
        <v>93.1</v>
      </c>
      <c r="D9" s="6">
        <f>IFERROR(__xludf.DUMMYFUNCTION("""COMPUTED_VALUE"""),88.4)</f>
        <v>88.4</v>
      </c>
      <c r="E9" s="6">
        <f>IFERROR(__xludf.DUMMYFUNCTION("""COMPUTED_VALUE"""),88.9)</f>
        <v>88.9</v>
      </c>
      <c r="F9" s="6">
        <f>IFERROR(__xludf.DUMMYFUNCTION("""COMPUTED_VALUE"""),1.10931299E8)</f>
        <v>110931299</v>
      </c>
    </row>
    <row r="10">
      <c r="A10" s="7">
        <f>IFERROR(__xludf.DUMMYFUNCTION("""COMPUTED_VALUE"""),45226.64583333333)</f>
        <v>45226.64583</v>
      </c>
      <c r="B10" s="6">
        <f>IFERROR(__xludf.DUMMYFUNCTION("""COMPUTED_VALUE"""),88.95)</f>
        <v>88.95</v>
      </c>
      <c r="C10" s="6">
        <f>IFERROR(__xludf.DUMMYFUNCTION("""COMPUTED_VALUE"""),89.85)</f>
        <v>89.85</v>
      </c>
      <c r="D10" s="6">
        <f>IFERROR(__xludf.DUMMYFUNCTION("""COMPUTED_VALUE"""),84.5)</f>
        <v>84.5</v>
      </c>
      <c r="E10" s="6">
        <f>IFERROR(__xludf.DUMMYFUNCTION("""COMPUTED_VALUE"""),86.05)</f>
        <v>86.05</v>
      </c>
      <c r="F10" s="6">
        <f>IFERROR(__xludf.DUMMYFUNCTION("""COMPUTED_VALUE"""),1.60720713E8)</f>
        <v>160720713</v>
      </c>
    </row>
    <row r="11">
      <c r="A11" s="7">
        <f>IFERROR(__xludf.DUMMYFUNCTION("""COMPUTED_VALUE"""),45233.64583333333)</f>
        <v>45233.64583</v>
      </c>
      <c r="B11" s="6">
        <f>IFERROR(__xludf.DUMMYFUNCTION("""COMPUTED_VALUE"""),86.9)</f>
        <v>86.9</v>
      </c>
      <c r="C11" s="6">
        <f>IFERROR(__xludf.DUMMYFUNCTION("""COMPUTED_VALUE"""),86.9)</f>
        <v>86.9</v>
      </c>
      <c r="D11" s="6">
        <f>IFERROR(__xludf.DUMMYFUNCTION("""COMPUTED_VALUE"""),80.8)</f>
        <v>80.8</v>
      </c>
      <c r="E11" s="6">
        <f>IFERROR(__xludf.DUMMYFUNCTION("""COMPUTED_VALUE"""),82.8)</f>
        <v>82.8</v>
      </c>
      <c r="F11" s="6">
        <f>IFERROR(__xludf.DUMMYFUNCTION("""COMPUTED_VALUE"""),1.66971632E8)</f>
        <v>166971632</v>
      </c>
    </row>
    <row r="12">
      <c r="A12" s="7">
        <f>IFERROR(__xludf.DUMMYFUNCTION("""COMPUTED_VALUE"""),45240.64583333333)</f>
        <v>45240.64583</v>
      </c>
      <c r="B12" s="6">
        <f>IFERROR(__xludf.DUMMYFUNCTION("""COMPUTED_VALUE"""),83.35)</f>
        <v>83.35</v>
      </c>
      <c r="C12" s="6">
        <f>IFERROR(__xludf.DUMMYFUNCTION("""COMPUTED_VALUE"""),85.55)</f>
        <v>85.55</v>
      </c>
      <c r="D12" s="6">
        <f>IFERROR(__xludf.DUMMYFUNCTION("""COMPUTED_VALUE"""),82.25)</f>
        <v>82.25</v>
      </c>
      <c r="E12" s="6">
        <f>IFERROR(__xludf.DUMMYFUNCTION("""COMPUTED_VALUE"""),85.35)</f>
        <v>85.35</v>
      </c>
      <c r="F12" s="6">
        <f>IFERROR(__xludf.DUMMYFUNCTION("""COMPUTED_VALUE"""),8.8138814E7)</f>
        <v>88138814</v>
      </c>
    </row>
    <row r="13">
      <c r="A13" s="7">
        <f>IFERROR(__xludf.DUMMYFUNCTION("""COMPUTED_VALUE"""),45247.64583333333)</f>
        <v>45247.64583</v>
      </c>
      <c r="B13" s="6">
        <f>IFERROR(__xludf.DUMMYFUNCTION("""COMPUTED_VALUE"""),86.7)</f>
        <v>86.7</v>
      </c>
      <c r="C13" s="6">
        <f>IFERROR(__xludf.DUMMYFUNCTION("""COMPUTED_VALUE"""),88.9)</f>
        <v>88.9</v>
      </c>
      <c r="D13" s="6">
        <f>IFERROR(__xludf.DUMMYFUNCTION("""COMPUTED_VALUE"""),84.7)</f>
        <v>84.7</v>
      </c>
      <c r="E13" s="6">
        <f>IFERROR(__xludf.DUMMYFUNCTION("""COMPUTED_VALUE"""),85.1)</f>
        <v>85.1</v>
      </c>
      <c r="F13" s="6">
        <f>IFERROR(__xludf.DUMMYFUNCTION("""COMPUTED_VALUE"""),1.37566231E8)</f>
        <v>137566231</v>
      </c>
    </row>
    <row r="14">
      <c r="A14" s="7">
        <f>IFERROR(__xludf.DUMMYFUNCTION("""COMPUTED_VALUE"""),45254.64583333333)</f>
        <v>45254.64583</v>
      </c>
      <c r="B14" s="6">
        <f>IFERROR(__xludf.DUMMYFUNCTION("""COMPUTED_VALUE"""),85.0)</f>
        <v>85</v>
      </c>
      <c r="C14" s="6">
        <f>IFERROR(__xludf.DUMMYFUNCTION("""COMPUTED_VALUE"""),85.5)</f>
        <v>85.5</v>
      </c>
      <c r="D14" s="6">
        <f>IFERROR(__xludf.DUMMYFUNCTION("""COMPUTED_VALUE"""),82.7)</f>
        <v>82.7</v>
      </c>
      <c r="E14" s="6">
        <f>IFERROR(__xludf.DUMMYFUNCTION("""COMPUTED_VALUE"""),84.3)</f>
        <v>84.3</v>
      </c>
      <c r="F14" s="6">
        <f>IFERROR(__xludf.DUMMYFUNCTION("""COMPUTED_VALUE"""),9.0670354E7)</f>
        <v>90670354</v>
      </c>
    </row>
    <row r="15">
      <c r="A15" s="7">
        <f>IFERROR(__xludf.DUMMYFUNCTION("""COMPUTED_VALUE"""),45261.64583333333)</f>
        <v>45261.64583</v>
      </c>
      <c r="B15" s="6">
        <f>IFERROR(__xludf.DUMMYFUNCTION("""COMPUTED_VALUE"""),84.3)</f>
        <v>84.3</v>
      </c>
      <c r="C15" s="6">
        <f>IFERROR(__xludf.DUMMYFUNCTION("""COMPUTED_VALUE"""),86.4)</f>
        <v>86.4</v>
      </c>
      <c r="D15" s="6">
        <f>IFERROR(__xludf.DUMMYFUNCTION("""COMPUTED_VALUE"""),84.1)</f>
        <v>84.1</v>
      </c>
      <c r="E15" s="6">
        <f>IFERROR(__xludf.DUMMYFUNCTION("""COMPUTED_VALUE"""),86.1)</f>
        <v>86.1</v>
      </c>
      <c r="F15" s="6">
        <f>IFERROR(__xludf.DUMMYFUNCTION("""COMPUTED_VALUE"""),1.3521779E8)</f>
        <v>135217790</v>
      </c>
    </row>
    <row r="16">
      <c r="A16" s="7">
        <f>IFERROR(__xludf.DUMMYFUNCTION("""COMPUTED_VALUE"""),45268.64583333333)</f>
        <v>45268.64583</v>
      </c>
      <c r="B16" s="6">
        <f>IFERROR(__xludf.DUMMYFUNCTION("""COMPUTED_VALUE"""),87.2)</f>
        <v>87.2</v>
      </c>
      <c r="C16" s="6">
        <f>IFERROR(__xludf.DUMMYFUNCTION("""COMPUTED_VALUE"""),91.05)</f>
        <v>91.05</v>
      </c>
      <c r="D16" s="6">
        <f>IFERROR(__xludf.DUMMYFUNCTION("""COMPUTED_VALUE"""),86.0)</f>
        <v>86</v>
      </c>
      <c r="E16" s="6">
        <f>IFERROR(__xludf.DUMMYFUNCTION("""COMPUTED_VALUE"""),88.05)</f>
        <v>88.05</v>
      </c>
      <c r="F16" s="6">
        <f>IFERROR(__xludf.DUMMYFUNCTION("""COMPUTED_VALUE"""),2.71814143E8)</f>
        <v>271814143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IFERROR(__xludf.DUMMYFUNCTION("""COMPUTED_VALUE"""),88.5)</f>
        <v>88.5</v>
      </c>
      <c r="C17" s="6">
        <f>IFERROR(__xludf.DUMMYFUNCTION("""COMPUTED_VALUE"""),90.25)</f>
        <v>90.25</v>
      </c>
      <c r="D17" s="6">
        <f>IFERROR(__xludf.DUMMYFUNCTION("""COMPUTED_VALUE"""),86.5)</f>
        <v>86.5</v>
      </c>
      <c r="E17" s="6">
        <f>IFERROR(__xludf.DUMMYFUNCTION("""COMPUTED_VALUE"""),90.0)</f>
        <v>90</v>
      </c>
      <c r="F17" s="6">
        <f>IFERROR(__xludf.DUMMYFUNCTION("""COMPUTED_VALUE"""),1.89580224E8)</f>
        <v>189580224</v>
      </c>
    </row>
    <row r="18">
      <c r="A18" s="7">
        <f>IFERROR(__xludf.DUMMYFUNCTION("""COMPUTED_VALUE"""),45282.64583333333)</f>
        <v>45282.64583</v>
      </c>
      <c r="B18" s="6">
        <f>IFERROR(__xludf.DUMMYFUNCTION("""COMPUTED_VALUE"""),90.45)</f>
        <v>90.45</v>
      </c>
      <c r="C18" s="6">
        <f>IFERROR(__xludf.DUMMYFUNCTION("""COMPUTED_VALUE"""),92.45)</f>
        <v>92.45</v>
      </c>
      <c r="D18" s="6">
        <f>IFERROR(__xludf.DUMMYFUNCTION("""COMPUTED_VALUE"""),85.95)</f>
        <v>85.95</v>
      </c>
      <c r="E18" s="6">
        <f>IFERROR(__xludf.DUMMYFUNCTION("""COMPUTED_VALUE"""),88.45)</f>
        <v>88.45</v>
      </c>
      <c r="F18" s="6">
        <f>IFERROR(__xludf.DUMMYFUNCTION("""COMPUTED_VALUE"""),1.80476654E8)</f>
        <v>180476654</v>
      </c>
    </row>
    <row r="19">
      <c r="A19" s="7">
        <f>IFERROR(__xludf.DUMMYFUNCTION("""COMPUTED_VALUE"""),45289.64583333333)</f>
        <v>45289.64583</v>
      </c>
      <c r="B19" s="6">
        <f>IFERROR(__xludf.DUMMYFUNCTION("""COMPUTED_VALUE"""),88.7)</f>
        <v>88.7</v>
      </c>
      <c r="C19" s="6">
        <f>IFERROR(__xludf.DUMMYFUNCTION("""COMPUTED_VALUE"""),89.9)</f>
        <v>89.9</v>
      </c>
      <c r="D19" s="6">
        <f>IFERROR(__xludf.DUMMYFUNCTION("""COMPUTED_VALUE"""),87.55)</f>
        <v>87.55</v>
      </c>
      <c r="E19" s="6">
        <f>IFERROR(__xludf.DUMMYFUNCTION("""COMPUTED_VALUE"""),88.9)</f>
        <v>88.9</v>
      </c>
      <c r="F19" s="6">
        <f>IFERROR(__xludf.DUMMYFUNCTION("""COMPUTED_VALUE"""),1.27863321E8)</f>
        <v>127863321</v>
      </c>
    </row>
    <row r="20">
      <c r="A20" s="7">
        <f>IFERROR(__xludf.DUMMYFUNCTION("""COMPUTED_VALUE"""),45296.64583333333)</f>
        <v>45296.64583</v>
      </c>
      <c r="B20" s="6">
        <f>IFERROR(__xludf.DUMMYFUNCTION("""COMPUTED_VALUE"""),88.8)</f>
        <v>88.8</v>
      </c>
      <c r="C20" s="6">
        <f>IFERROR(__xludf.DUMMYFUNCTION("""COMPUTED_VALUE"""),88.9)</f>
        <v>88.9</v>
      </c>
      <c r="D20" s="6">
        <f>IFERROR(__xludf.DUMMYFUNCTION("""COMPUTED_VALUE"""),84.55)</f>
        <v>84.55</v>
      </c>
      <c r="E20" s="6">
        <f>IFERROR(__xludf.DUMMYFUNCTION("""COMPUTED_VALUE"""),86.7)</f>
        <v>86.7</v>
      </c>
      <c r="F20" s="6">
        <f>IFERROR(__xludf.DUMMYFUNCTION("""COMPUTED_VALUE"""),1.42019213E8)</f>
        <v>142019213</v>
      </c>
    </row>
    <row r="21">
      <c r="A21" s="7">
        <f>IFERROR(__xludf.DUMMYFUNCTION("""COMPUTED_VALUE"""),45303.64583333333)</f>
        <v>45303.64583</v>
      </c>
      <c r="B21" s="6">
        <f>IFERROR(__xludf.DUMMYFUNCTION("""COMPUTED_VALUE"""),86.75)</f>
        <v>86.75</v>
      </c>
      <c r="C21" s="6">
        <f>IFERROR(__xludf.DUMMYFUNCTION("""COMPUTED_VALUE"""),87.95)</f>
        <v>87.95</v>
      </c>
      <c r="D21" s="6">
        <f>IFERROR(__xludf.DUMMYFUNCTION("""COMPUTED_VALUE"""),82.6)</f>
        <v>82.6</v>
      </c>
      <c r="E21" s="6">
        <f>IFERROR(__xludf.DUMMYFUNCTION("""COMPUTED_VALUE"""),87.15)</f>
        <v>87.15</v>
      </c>
      <c r="F21" s="6">
        <f>IFERROR(__xludf.DUMMYFUNCTION("""COMPUTED_VALUE"""),1.39197743E8)</f>
        <v>139197743</v>
      </c>
    </row>
    <row r="22">
      <c r="A22" s="7">
        <f>IFERROR(__xludf.DUMMYFUNCTION("""COMPUTED_VALUE"""),45316.64583333333)</f>
        <v>45316.64583</v>
      </c>
      <c r="B22" s="6">
        <f>IFERROR(__xludf.DUMMYFUNCTION("""COMPUTED_VALUE"""),85.2)</f>
        <v>85.2</v>
      </c>
      <c r="C22" s="6">
        <f>IFERROR(__xludf.DUMMYFUNCTION("""COMPUTED_VALUE"""),85.2)</f>
        <v>85.2</v>
      </c>
      <c r="D22" s="6">
        <f>IFERROR(__xludf.DUMMYFUNCTION("""COMPUTED_VALUE"""),78.9)</f>
        <v>78.9</v>
      </c>
      <c r="E22" s="6">
        <f>IFERROR(__xludf.DUMMYFUNCTION("""COMPUTED_VALUE"""),80.05)</f>
        <v>80.05</v>
      </c>
      <c r="F22" s="6">
        <f>IFERROR(__xludf.DUMMYFUNCTION("""COMPUTED_VALUE"""),2.61138016E8)</f>
        <v>261138016</v>
      </c>
    </row>
    <row r="23">
      <c r="A23" s="7">
        <f>IFERROR(__xludf.DUMMYFUNCTION("""COMPUTED_VALUE"""),45324.64583333333)</f>
        <v>45324.64583</v>
      </c>
      <c r="B23" s="6">
        <f>IFERROR(__xludf.DUMMYFUNCTION("""COMPUTED_VALUE"""),81.05)</f>
        <v>81.05</v>
      </c>
      <c r="C23" s="6">
        <f>IFERROR(__xludf.DUMMYFUNCTION("""COMPUTED_VALUE"""),84.65)</f>
        <v>84.65</v>
      </c>
      <c r="D23" s="6">
        <f>IFERROR(__xludf.DUMMYFUNCTION("""COMPUTED_VALUE"""),80.6)</f>
        <v>80.6</v>
      </c>
      <c r="E23" s="6">
        <f>IFERROR(__xludf.DUMMYFUNCTION("""COMPUTED_VALUE"""),82.55)</f>
        <v>82.55</v>
      </c>
      <c r="F23" s="6">
        <f>IFERROR(__xludf.DUMMYFUNCTION("""COMPUTED_VALUE"""),2.35781408E8)</f>
        <v>235781408</v>
      </c>
    </row>
    <row r="24">
      <c r="A24" s="7">
        <f>IFERROR(__xludf.DUMMYFUNCTION("""COMPUTED_VALUE"""),45331.64583333333)</f>
        <v>45331.64583</v>
      </c>
      <c r="B24" s="6">
        <f>IFERROR(__xludf.DUMMYFUNCTION("""COMPUTED_VALUE"""),83.2)</f>
        <v>83.2</v>
      </c>
      <c r="C24" s="6">
        <f>IFERROR(__xludf.DUMMYFUNCTION("""COMPUTED_VALUE"""),83.95)</f>
        <v>83.95</v>
      </c>
      <c r="D24" s="6">
        <f>IFERROR(__xludf.DUMMYFUNCTION("""COMPUTED_VALUE"""),79.5)</f>
        <v>79.5</v>
      </c>
      <c r="E24" s="6">
        <f>IFERROR(__xludf.DUMMYFUNCTION("""COMPUTED_VALUE"""),81.25)</f>
        <v>81.25</v>
      </c>
      <c r="F24" s="6">
        <f>IFERROR(__xludf.DUMMYFUNCTION("""COMPUTED_VALUE"""),1.61319389E8)</f>
        <v>161319389</v>
      </c>
    </row>
    <row r="25">
      <c r="A25" s="7">
        <f>IFERROR(__xludf.DUMMYFUNCTION("""COMPUTED_VALUE"""),45338.64583333333)</f>
        <v>45338.64583</v>
      </c>
      <c r="B25" s="6">
        <f>IFERROR(__xludf.DUMMYFUNCTION("""COMPUTED_VALUE"""),81.65)</f>
        <v>81.65</v>
      </c>
      <c r="C25" s="6">
        <f>IFERROR(__xludf.DUMMYFUNCTION("""COMPUTED_VALUE"""),83.6)</f>
        <v>83.6</v>
      </c>
      <c r="D25" s="6">
        <f>IFERROR(__xludf.DUMMYFUNCTION("""COMPUTED_VALUE"""),77.8)</f>
        <v>77.8</v>
      </c>
      <c r="E25" s="6">
        <f>IFERROR(__xludf.DUMMYFUNCTION("""COMPUTED_VALUE"""),82.85)</f>
        <v>82.85</v>
      </c>
      <c r="F25" s="6">
        <f>IFERROR(__xludf.DUMMYFUNCTION("""COMPUTED_VALUE"""),1.62422426E8)</f>
        <v>162422426</v>
      </c>
    </row>
    <row r="26">
      <c r="A26" s="7">
        <f>IFERROR(__xludf.DUMMYFUNCTION("""COMPUTED_VALUE"""),45345.64583333333)</f>
        <v>45345.64583</v>
      </c>
      <c r="B26" s="6">
        <f>IFERROR(__xludf.DUMMYFUNCTION("""COMPUTED_VALUE"""),83.0)</f>
        <v>83</v>
      </c>
      <c r="C26" s="6">
        <f>IFERROR(__xludf.DUMMYFUNCTION("""COMPUTED_VALUE"""),83.75)</f>
        <v>83.75</v>
      </c>
      <c r="D26" s="6">
        <f>IFERROR(__xludf.DUMMYFUNCTION("""COMPUTED_VALUE"""),80.15)</f>
        <v>80.15</v>
      </c>
      <c r="E26" s="6">
        <f>IFERROR(__xludf.DUMMYFUNCTION("""COMPUTED_VALUE"""),82.85)</f>
        <v>82.85</v>
      </c>
      <c r="F26" s="6">
        <f>IFERROR(__xludf.DUMMYFUNCTION("""COMPUTED_VALUE"""),1.10655884E8)</f>
        <v>110655884</v>
      </c>
    </row>
    <row r="27">
      <c r="A27" s="7">
        <f>IFERROR(__xludf.DUMMYFUNCTION("""COMPUTED_VALUE"""),45358.64583333333)</f>
        <v>45358.64583</v>
      </c>
      <c r="B27" s="6">
        <f>IFERROR(__xludf.DUMMYFUNCTION("""COMPUTED_VALUE"""),82.55)</f>
        <v>82.55</v>
      </c>
      <c r="C27" s="6">
        <f>IFERROR(__xludf.DUMMYFUNCTION("""COMPUTED_VALUE"""),82.85)</f>
        <v>82.85</v>
      </c>
      <c r="D27" s="6">
        <f>IFERROR(__xludf.DUMMYFUNCTION("""COMPUTED_VALUE"""),80.1)</f>
        <v>80.1</v>
      </c>
      <c r="E27" s="6">
        <f>IFERROR(__xludf.DUMMYFUNCTION("""COMPUTED_VALUE"""),80.8)</f>
        <v>80.8</v>
      </c>
      <c r="F27" s="6">
        <f>IFERROR(__xludf.DUMMYFUNCTION("""COMPUTED_VALUE"""),1.10924478E8)</f>
        <v>110924478</v>
      </c>
    </row>
    <row r="28">
      <c r="A28" s="7">
        <f>IFERROR(__xludf.DUMMYFUNCTION("""COMPUTED_VALUE"""),45366.64583333333)</f>
        <v>45366.64583</v>
      </c>
      <c r="B28" s="6">
        <f>IFERROR(__xludf.DUMMYFUNCTION("""COMPUTED_VALUE"""),81.1)</f>
        <v>81.1</v>
      </c>
      <c r="C28" s="6">
        <f>IFERROR(__xludf.DUMMYFUNCTION("""COMPUTED_VALUE"""),81.35)</f>
        <v>81.35</v>
      </c>
      <c r="D28" s="6">
        <f>IFERROR(__xludf.DUMMYFUNCTION("""COMPUTED_VALUE"""),76.1)</f>
        <v>76.1</v>
      </c>
      <c r="E28" s="6">
        <f>IFERROR(__xludf.DUMMYFUNCTION("""COMPUTED_VALUE"""),78.7)</f>
        <v>78.7</v>
      </c>
      <c r="F28" s="6">
        <f>IFERROR(__xludf.DUMMYFUNCTION("""COMPUTED_VALUE"""),1.55572999E8)</f>
        <v>155572999</v>
      </c>
    </row>
    <row r="29">
      <c r="A29" s="7">
        <f>IFERROR(__xludf.DUMMYFUNCTION("""COMPUTED_VALUE"""),45373.64583333333)</f>
        <v>45373.64583</v>
      </c>
      <c r="B29" s="6">
        <f>IFERROR(__xludf.DUMMYFUNCTION("""COMPUTED_VALUE"""),78.75)</f>
        <v>78.75</v>
      </c>
      <c r="C29" s="6">
        <f>IFERROR(__xludf.DUMMYFUNCTION("""COMPUTED_VALUE"""),79.4)</f>
        <v>79.4</v>
      </c>
      <c r="D29" s="6">
        <f>IFERROR(__xludf.DUMMYFUNCTION("""COMPUTED_VALUE"""),75.9)</f>
        <v>75.9</v>
      </c>
      <c r="E29" s="6">
        <f>IFERROR(__xludf.DUMMYFUNCTION("""COMPUTED_VALUE"""),78.05)</f>
        <v>78.05</v>
      </c>
      <c r="F29" s="6">
        <f>IFERROR(__xludf.DUMMYFUNCTION("""COMPUTED_VALUE"""),1.15766906E8)</f>
        <v>115766906</v>
      </c>
    </row>
    <row r="30">
      <c r="A30" s="7">
        <f>IFERROR(__xludf.DUMMYFUNCTION("""COMPUTED_VALUE"""),45379.64583333333)</f>
        <v>45379.64583</v>
      </c>
      <c r="B30" s="6">
        <f>IFERROR(__xludf.DUMMYFUNCTION("""COMPUTED_VALUE"""),78.05)</f>
        <v>78.05</v>
      </c>
      <c r="C30" s="6">
        <f>IFERROR(__xludf.DUMMYFUNCTION("""COMPUTED_VALUE"""),78.85)</f>
        <v>78.85</v>
      </c>
      <c r="D30" s="6">
        <f>IFERROR(__xludf.DUMMYFUNCTION("""COMPUTED_VALUE"""),75.05)</f>
        <v>75.05</v>
      </c>
      <c r="E30" s="6">
        <f>IFERROR(__xludf.DUMMYFUNCTION("""COMPUTED_VALUE"""),75.4)</f>
        <v>75.4</v>
      </c>
      <c r="F30" s="6">
        <f>IFERROR(__xludf.DUMMYFUNCTION("""COMPUTED_VALUE"""),2.77811179E8)</f>
        <v>277811179</v>
      </c>
    </row>
    <row r="31">
      <c r="A31" s="7">
        <f>IFERROR(__xludf.DUMMYFUNCTION("""COMPUTED_VALUE"""),45387.64583333333)</f>
        <v>45387.64583</v>
      </c>
      <c r="B31" s="6">
        <f>IFERROR(__xludf.DUMMYFUNCTION("""COMPUTED_VALUE"""),76.2)</f>
        <v>76.2</v>
      </c>
      <c r="C31" s="6">
        <f>IFERROR(__xludf.DUMMYFUNCTION("""COMPUTED_VALUE"""),80.95)</f>
        <v>80.95</v>
      </c>
      <c r="D31" s="6">
        <f>IFERROR(__xludf.DUMMYFUNCTION("""COMPUTED_VALUE"""),75.95)</f>
        <v>75.95</v>
      </c>
      <c r="E31" s="6">
        <f>IFERROR(__xludf.DUMMYFUNCTION("""COMPUTED_VALUE"""),80.65)</f>
        <v>80.65</v>
      </c>
      <c r="F31" s="6">
        <f>IFERROR(__xludf.DUMMYFUNCTION("""COMPUTED_VALUE"""),2.11939857E8)</f>
        <v>211939857</v>
      </c>
    </row>
    <row r="32">
      <c r="A32" s="7">
        <f>IFERROR(__xludf.DUMMYFUNCTION("""COMPUTED_VALUE"""),45394.64583333333)</f>
        <v>45394.64583</v>
      </c>
      <c r="B32" s="6">
        <f>IFERROR(__xludf.DUMMYFUNCTION("""COMPUTED_VALUE"""),82.3)</f>
        <v>82.3</v>
      </c>
      <c r="C32" s="6">
        <f>IFERROR(__xludf.DUMMYFUNCTION("""COMPUTED_VALUE"""),85.35)</f>
        <v>85.35</v>
      </c>
      <c r="D32" s="6">
        <f>IFERROR(__xludf.DUMMYFUNCTION("""COMPUTED_VALUE"""),81.45)</f>
        <v>81.45</v>
      </c>
      <c r="E32" s="6">
        <f>IFERROR(__xludf.DUMMYFUNCTION("""COMPUTED_VALUE"""),84.35)</f>
        <v>84.35</v>
      </c>
      <c r="F32" s="6">
        <f>IFERROR(__xludf.DUMMYFUNCTION("""COMPUTED_VALUE"""),2.15836076E8)</f>
        <v>215836076</v>
      </c>
    </row>
    <row r="33">
      <c r="A33" s="7">
        <f>IFERROR(__xludf.DUMMYFUNCTION("""COMPUTED_VALUE"""),45401.64583333333)</f>
        <v>45401.64583</v>
      </c>
      <c r="B33" s="6">
        <f>IFERROR(__xludf.DUMMYFUNCTION("""COMPUTED_VALUE"""),83.0)</f>
        <v>83</v>
      </c>
      <c r="C33" s="6">
        <f>IFERROR(__xludf.DUMMYFUNCTION("""COMPUTED_VALUE"""),84.6)</f>
        <v>84.6</v>
      </c>
      <c r="D33" s="6">
        <f>IFERROR(__xludf.DUMMYFUNCTION("""COMPUTED_VALUE"""),80.45)</f>
        <v>80.45</v>
      </c>
      <c r="E33" s="6">
        <f>IFERROR(__xludf.DUMMYFUNCTION("""COMPUTED_VALUE"""),81.85)</f>
        <v>81.85</v>
      </c>
      <c r="F33" s="6">
        <f>IFERROR(__xludf.DUMMYFUNCTION("""COMPUTED_VALUE"""),1.57831871E8)</f>
        <v>157831871</v>
      </c>
    </row>
    <row r="34">
      <c r="A34" s="7">
        <f>IFERROR(__xludf.DUMMYFUNCTION("""COMPUTED_VALUE"""),45408.64583333333)</f>
        <v>45408.64583</v>
      </c>
      <c r="B34" s="6">
        <f>IFERROR(__xludf.DUMMYFUNCTION("""COMPUTED_VALUE"""),82.7)</f>
        <v>82.7</v>
      </c>
      <c r="C34" s="6">
        <f>IFERROR(__xludf.DUMMYFUNCTION("""COMPUTED_VALUE"""),86.1)</f>
        <v>86.1</v>
      </c>
      <c r="D34" s="6">
        <f>IFERROR(__xludf.DUMMYFUNCTION("""COMPUTED_VALUE"""),82.45)</f>
        <v>82.45</v>
      </c>
      <c r="E34" s="6">
        <f>IFERROR(__xludf.DUMMYFUNCTION("""COMPUTED_VALUE"""),84.8)</f>
        <v>84.8</v>
      </c>
      <c r="F34" s="6">
        <f>IFERROR(__xludf.DUMMYFUNCTION("""COMPUTED_VALUE"""),1.67278158E8)</f>
        <v>167278158</v>
      </c>
    </row>
    <row r="35">
      <c r="A35" s="7">
        <f>IFERROR(__xludf.DUMMYFUNCTION("""COMPUTED_VALUE"""),45415.64583333333)</f>
        <v>45415.64583</v>
      </c>
      <c r="B35" s="6">
        <f>IFERROR(__xludf.DUMMYFUNCTION("""COMPUTED_VALUE"""),83.4)</f>
        <v>83.4</v>
      </c>
      <c r="C35" s="6">
        <f>IFERROR(__xludf.DUMMYFUNCTION("""COMPUTED_VALUE"""),83.5)</f>
        <v>83.5</v>
      </c>
      <c r="D35" s="6">
        <f>IFERROR(__xludf.DUMMYFUNCTION("""COMPUTED_VALUE"""),80.0)</f>
        <v>80</v>
      </c>
      <c r="E35" s="6">
        <f>IFERROR(__xludf.DUMMYFUNCTION("""COMPUTED_VALUE"""),80.9)</f>
        <v>80.9</v>
      </c>
      <c r="F35" s="6">
        <f>IFERROR(__xludf.DUMMYFUNCTION("""COMPUTED_VALUE"""),2.34457591E8)</f>
        <v>234457591</v>
      </c>
    </row>
    <row r="36">
      <c r="A36" s="7">
        <f>IFERROR(__xludf.DUMMYFUNCTION("""COMPUTED_VALUE"""),45422.64583333333)</f>
        <v>45422.64583</v>
      </c>
      <c r="B36" s="6">
        <f>IFERROR(__xludf.DUMMYFUNCTION("""COMPUTED_VALUE"""),81.3)</f>
        <v>81.3</v>
      </c>
      <c r="C36" s="6">
        <f>IFERROR(__xludf.DUMMYFUNCTION("""COMPUTED_VALUE"""),81.45)</f>
        <v>81.45</v>
      </c>
      <c r="D36" s="6">
        <f>IFERROR(__xludf.DUMMYFUNCTION("""COMPUTED_VALUE"""),75.5)</f>
        <v>75.5</v>
      </c>
      <c r="E36" s="6">
        <f>IFERROR(__xludf.DUMMYFUNCTION("""COMPUTED_VALUE"""),76.55)</f>
        <v>76.55</v>
      </c>
      <c r="F36" s="6">
        <f>IFERROR(__xludf.DUMMYFUNCTION("""COMPUTED_VALUE"""),2.09135075E8)</f>
        <v>209135075</v>
      </c>
    </row>
    <row r="37">
      <c r="A37" s="7">
        <f>IFERROR(__xludf.DUMMYFUNCTION("""COMPUTED_VALUE"""),45436.64583333333)</f>
        <v>45436.64583</v>
      </c>
      <c r="B37" s="6">
        <f>IFERROR(__xludf.DUMMYFUNCTION("""COMPUTED_VALUE"""),77.75)</f>
        <v>77.75</v>
      </c>
      <c r="C37" s="6">
        <f>IFERROR(__xludf.DUMMYFUNCTION("""COMPUTED_VALUE"""),78.9)</f>
        <v>78.9</v>
      </c>
      <c r="D37" s="6">
        <f>IFERROR(__xludf.DUMMYFUNCTION("""COMPUTED_VALUE"""),76.75)</f>
        <v>76.75</v>
      </c>
      <c r="E37" s="6">
        <f>IFERROR(__xludf.DUMMYFUNCTION("""COMPUTED_VALUE"""),77.7)</f>
        <v>77.7</v>
      </c>
      <c r="F37" s="6">
        <f>IFERROR(__xludf.DUMMYFUNCTION("""COMPUTED_VALUE"""),1.44557832E8)</f>
        <v>144557832</v>
      </c>
    </row>
    <row r="38">
      <c r="A38" s="7">
        <f>IFERROR(__xludf.DUMMYFUNCTION("""COMPUTED_VALUE"""),45443.64583333333)</f>
        <v>45443.64583</v>
      </c>
      <c r="B38" s="6">
        <f>IFERROR(__xludf.DUMMYFUNCTION("""COMPUTED_VALUE"""),78.05)</f>
        <v>78.05</v>
      </c>
      <c r="C38" s="6">
        <f>IFERROR(__xludf.DUMMYFUNCTION("""COMPUTED_VALUE"""),79.6)</f>
        <v>79.6</v>
      </c>
      <c r="D38" s="6">
        <f>IFERROR(__xludf.DUMMYFUNCTION("""COMPUTED_VALUE"""),76.1)</f>
        <v>76.1</v>
      </c>
      <c r="E38" s="6">
        <f>IFERROR(__xludf.DUMMYFUNCTION("""COMPUTED_VALUE"""),76.4)</f>
        <v>76.4</v>
      </c>
      <c r="F38" s="6">
        <f>IFERROR(__xludf.DUMMYFUNCTION("""COMPUTED_VALUE"""),1.9970314E8)</f>
        <v>199703140</v>
      </c>
    </row>
    <row r="39">
      <c r="A39" s="7">
        <f>IFERROR(__xludf.DUMMYFUNCTION("""COMPUTED_VALUE"""),45450.64583333333)</f>
        <v>45450.64583</v>
      </c>
      <c r="B39" s="6">
        <f>IFERROR(__xludf.DUMMYFUNCTION("""COMPUTED_VALUE"""),80.65)</f>
        <v>80.65</v>
      </c>
      <c r="C39" s="6">
        <f>IFERROR(__xludf.DUMMYFUNCTION("""COMPUTED_VALUE"""),80.65)</f>
        <v>80.65</v>
      </c>
      <c r="D39" s="6">
        <f>IFERROR(__xludf.DUMMYFUNCTION("""COMPUTED_VALUE"""),70.8)</f>
        <v>70.8</v>
      </c>
      <c r="E39" s="6">
        <f>IFERROR(__xludf.DUMMYFUNCTION("""COMPUTED_VALUE"""),77.7)</f>
        <v>77.7</v>
      </c>
      <c r="F39" s="6">
        <f>IFERROR(__xludf.DUMMYFUNCTION("""COMPUTED_VALUE"""),3.15937116E8)</f>
        <v>315937116</v>
      </c>
    </row>
    <row r="40">
      <c r="A40" s="7">
        <f>IFERROR(__xludf.DUMMYFUNCTION("""COMPUTED_VALUE"""),45457.64583333333)</f>
        <v>45457.64583</v>
      </c>
      <c r="B40" s="6">
        <f>IFERROR(__xludf.DUMMYFUNCTION("""COMPUTED_VALUE"""),78.25)</f>
        <v>78.25</v>
      </c>
      <c r="C40" s="6">
        <f>IFERROR(__xludf.DUMMYFUNCTION("""COMPUTED_VALUE"""),78.58)</f>
        <v>78.58</v>
      </c>
      <c r="D40" s="6">
        <f>IFERROR(__xludf.DUMMYFUNCTION("""COMPUTED_VALUE"""),77.02)</f>
        <v>77.02</v>
      </c>
      <c r="E40" s="6">
        <f>IFERROR(__xludf.DUMMYFUNCTION("""COMPUTED_VALUE"""),78.0)</f>
        <v>78</v>
      </c>
      <c r="F40" s="6">
        <f>IFERROR(__xludf.DUMMYFUNCTION("""COMPUTED_VALUE"""),1.45042337E8)</f>
        <v>145042337</v>
      </c>
    </row>
    <row r="41">
      <c r="A41" s="7">
        <f>IFERROR(__xludf.DUMMYFUNCTION("""COMPUTED_VALUE"""),45464.64583333333)</f>
        <v>45464.64583</v>
      </c>
      <c r="B41" s="6">
        <f>IFERROR(__xludf.DUMMYFUNCTION("""COMPUTED_VALUE"""),78.28)</f>
        <v>78.28</v>
      </c>
      <c r="C41" s="6">
        <f>IFERROR(__xludf.DUMMYFUNCTION("""COMPUTED_VALUE"""),84.5)</f>
        <v>84.5</v>
      </c>
      <c r="D41" s="6">
        <f>IFERROR(__xludf.DUMMYFUNCTION("""COMPUTED_VALUE"""),78.0)</f>
        <v>78</v>
      </c>
      <c r="E41" s="6">
        <f>IFERROR(__xludf.DUMMYFUNCTION("""COMPUTED_VALUE"""),83.47)</f>
        <v>83.47</v>
      </c>
      <c r="F41" s="6">
        <f>IFERROR(__xludf.DUMMYFUNCTION("""COMPUTED_VALUE"""),3.08203312E8)</f>
        <v>308203312</v>
      </c>
    </row>
    <row r="42">
      <c r="A42" s="7">
        <f>IFERROR(__xludf.DUMMYFUNCTION("""COMPUTED_VALUE"""),45471.64583333333)</f>
        <v>45471.64583</v>
      </c>
      <c r="B42" s="6">
        <f>IFERROR(__xludf.DUMMYFUNCTION("""COMPUTED_VALUE"""),83.35)</f>
        <v>83.35</v>
      </c>
      <c r="C42" s="6">
        <f>IFERROR(__xludf.DUMMYFUNCTION("""COMPUTED_VALUE"""),83.7)</f>
        <v>83.7</v>
      </c>
      <c r="D42" s="6">
        <f>IFERROR(__xludf.DUMMYFUNCTION("""COMPUTED_VALUE"""),81.7)</f>
        <v>81.7</v>
      </c>
      <c r="E42" s="6">
        <f>IFERROR(__xludf.DUMMYFUNCTION("""COMPUTED_VALUE"""),82.16)</f>
        <v>82.16</v>
      </c>
      <c r="F42" s="6">
        <f>IFERROR(__xludf.DUMMYFUNCTION("""COMPUTED_VALUE"""),1.58234458E8)</f>
        <v>158234458</v>
      </c>
    </row>
    <row r="43">
      <c r="A43" s="7">
        <f>IFERROR(__xludf.DUMMYFUNCTION("""COMPUTED_VALUE"""),45478.64583333333)</f>
        <v>45478.64583</v>
      </c>
      <c r="B43" s="6">
        <f>IFERROR(__xludf.DUMMYFUNCTION("""COMPUTED_VALUE"""),82.16)</f>
        <v>82.16</v>
      </c>
      <c r="C43" s="6">
        <f>IFERROR(__xludf.DUMMYFUNCTION("""COMPUTED_VALUE"""),82.2)</f>
        <v>82.2</v>
      </c>
      <c r="D43" s="6">
        <f>IFERROR(__xludf.DUMMYFUNCTION("""COMPUTED_VALUE"""),77.85)</f>
        <v>77.85</v>
      </c>
      <c r="E43" s="6">
        <f>IFERROR(__xludf.DUMMYFUNCTION("""COMPUTED_VALUE"""),81.19)</f>
        <v>81.19</v>
      </c>
      <c r="F43" s="6">
        <f>IFERROR(__xludf.DUMMYFUNCTION("""COMPUTED_VALUE"""),1.97627427E8)</f>
        <v>197627427</v>
      </c>
    </row>
    <row r="44">
      <c r="A44" s="7">
        <f>IFERROR(__xludf.DUMMYFUNCTION("""COMPUTED_VALUE"""),45485.64583333333)</f>
        <v>45485.64583</v>
      </c>
      <c r="B44" s="6">
        <f>IFERROR(__xludf.DUMMYFUNCTION("""COMPUTED_VALUE"""),81.18)</f>
        <v>81.18</v>
      </c>
      <c r="C44" s="6">
        <f>IFERROR(__xludf.DUMMYFUNCTION("""COMPUTED_VALUE"""),81.35)</f>
        <v>81.35</v>
      </c>
      <c r="D44" s="6">
        <f>IFERROR(__xludf.DUMMYFUNCTION("""COMPUTED_VALUE"""),77.61)</f>
        <v>77.61</v>
      </c>
      <c r="E44" s="6">
        <f>IFERROR(__xludf.DUMMYFUNCTION("""COMPUTED_VALUE"""),78.27)</f>
        <v>78.27</v>
      </c>
      <c r="F44" s="6">
        <f>IFERROR(__xludf.DUMMYFUNCTION("""COMPUTED_VALUE"""),1.22112384E8)</f>
        <v>122112384</v>
      </c>
    </row>
    <row r="45">
      <c r="A45" s="7">
        <f>IFERROR(__xludf.DUMMYFUNCTION("""COMPUTED_VALUE"""),45492.64583333333)</f>
        <v>45492.64583</v>
      </c>
      <c r="B45" s="6">
        <f>IFERROR(__xludf.DUMMYFUNCTION("""COMPUTED_VALUE"""),78.3)</f>
        <v>78.3</v>
      </c>
      <c r="C45" s="6">
        <f>IFERROR(__xludf.DUMMYFUNCTION("""COMPUTED_VALUE"""),78.8)</f>
        <v>78.8</v>
      </c>
      <c r="D45" s="6">
        <f>IFERROR(__xludf.DUMMYFUNCTION("""COMPUTED_VALUE"""),75.85)</f>
        <v>75.85</v>
      </c>
      <c r="E45" s="6">
        <f>IFERROR(__xludf.DUMMYFUNCTION("""COMPUTED_VALUE"""),76.02)</f>
        <v>76.02</v>
      </c>
      <c r="F45" s="6">
        <f>IFERROR(__xludf.DUMMYFUNCTION("""COMPUTED_VALUE"""),7.4564791E7)</f>
        <v>74564791</v>
      </c>
    </row>
    <row r="46">
      <c r="A46" s="7">
        <f>IFERROR(__xludf.DUMMYFUNCTION("""COMPUTED_VALUE"""),45499.64583333333)</f>
        <v>45499.64583</v>
      </c>
      <c r="B46" s="6">
        <f>IFERROR(__xludf.DUMMYFUNCTION("""COMPUTED_VALUE"""),75.94)</f>
        <v>75.94</v>
      </c>
      <c r="C46" s="6">
        <f>IFERROR(__xludf.DUMMYFUNCTION("""COMPUTED_VALUE"""),78.04)</f>
        <v>78.04</v>
      </c>
      <c r="D46" s="6">
        <f>IFERROR(__xludf.DUMMYFUNCTION("""COMPUTED_VALUE"""),72.4)</f>
        <v>72.4</v>
      </c>
      <c r="E46" s="6">
        <f>IFERROR(__xludf.DUMMYFUNCTION("""COMPUTED_VALUE"""),74.48)</f>
        <v>74.48</v>
      </c>
      <c r="F46" s="6">
        <f>IFERROR(__xludf.DUMMYFUNCTION("""COMPUTED_VALUE"""),1.86272494E8)</f>
        <v>186272494</v>
      </c>
    </row>
    <row r="47">
      <c r="A47" s="7">
        <f>IFERROR(__xludf.DUMMYFUNCTION("""COMPUTED_VALUE"""),45506.64583333333)</f>
        <v>45506.64583</v>
      </c>
      <c r="B47" s="6">
        <f>IFERROR(__xludf.DUMMYFUNCTION("""COMPUTED_VALUE"""),73.69)</f>
        <v>73.69</v>
      </c>
      <c r="C47" s="6">
        <f>IFERROR(__xludf.DUMMYFUNCTION("""COMPUTED_VALUE"""),76.46)</f>
        <v>76.46</v>
      </c>
      <c r="D47" s="6">
        <f>IFERROR(__xludf.DUMMYFUNCTION("""COMPUTED_VALUE"""),73.05)</f>
        <v>73.05</v>
      </c>
      <c r="E47" s="6">
        <f>IFERROR(__xludf.DUMMYFUNCTION("""COMPUTED_VALUE"""),74.31)</f>
        <v>74.31</v>
      </c>
      <c r="F47" s="6">
        <f>IFERROR(__xludf.DUMMYFUNCTION("""COMPUTED_VALUE"""),1.99811094E8)</f>
        <v>199811094</v>
      </c>
    </row>
    <row r="48">
      <c r="A48" s="7">
        <f>IFERROR(__xludf.DUMMYFUNCTION("""COMPUTED_VALUE"""),45513.64583333333)</f>
        <v>45513.64583</v>
      </c>
      <c r="B48" s="6">
        <f>IFERROR(__xludf.DUMMYFUNCTION("""COMPUTED_VALUE"""),72.99)</f>
        <v>72.99</v>
      </c>
      <c r="C48" s="6">
        <f>IFERROR(__xludf.DUMMYFUNCTION("""COMPUTED_VALUE"""),73.7)</f>
        <v>73.7</v>
      </c>
      <c r="D48" s="6">
        <f>IFERROR(__xludf.DUMMYFUNCTION("""COMPUTED_VALUE"""),71.56)</f>
        <v>71.56</v>
      </c>
      <c r="E48" s="6">
        <f>IFERROR(__xludf.DUMMYFUNCTION("""COMPUTED_VALUE"""),72.86)</f>
        <v>72.86</v>
      </c>
      <c r="F48" s="6">
        <f>IFERROR(__xludf.DUMMYFUNCTION("""COMPUTED_VALUE"""),1.37392398E8)</f>
        <v>137392398</v>
      </c>
    </row>
    <row r="49">
      <c r="A49" s="7">
        <f>IFERROR(__xludf.DUMMYFUNCTION("""COMPUTED_VALUE"""),45520.64583333333)</f>
        <v>45520.64583</v>
      </c>
      <c r="B49" s="6">
        <f>IFERROR(__xludf.DUMMYFUNCTION("""COMPUTED_VALUE"""),72.51)</f>
        <v>72.51</v>
      </c>
      <c r="C49" s="6">
        <f>IFERROR(__xludf.DUMMYFUNCTION("""COMPUTED_VALUE"""),72.78)</f>
        <v>72.78</v>
      </c>
      <c r="D49" s="6">
        <f>IFERROR(__xludf.DUMMYFUNCTION("""COMPUTED_VALUE"""),70.43)</f>
        <v>70.43</v>
      </c>
      <c r="E49" s="6">
        <f>IFERROR(__xludf.DUMMYFUNCTION("""COMPUTED_VALUE"""),71.96)</f>
        <v>71.96</v>
      </c>
      <c r="F49" s="6">
        <f>IFERROR(__xludf.DUMMYFUNCTION("""COMPUTED_VALUE"""),1.19738948E8)</f>
        <v>119738948</v>
      </c>
    </row>
    <row r="50">
      <c r="A50" s="7">
        <f>IFERROR(__xludf.DUMMYFUNCTION("""COMPUTED_VALUE"""),45527.64583333333)</f>
        <v>45527.64583</v>
      </c>
      <c r="B50" s="6">
        <f>IFERROR(__xludf.DUMMYFUNCTION("""COMPUTED_VALUE"""),72.0)</f>
        <v>72</v>
      </c>
      <c r="C50" s="6">
        <f>IFERROR(__xludf.DUMMYFUNCTION("""COMPUTED_VALUE"""),75.79)</f>
        <v>75.79</v>
      </c>
      <c r="D50" s="6">
        <f>IFERROR(__xludf.DUMMYFUNCTION("""COMPUTED_VALUE"""),71.6)</f>
        <v>71.6</v>
      </c>
      <c r="E50" s="6">
        <f>IFERROR(__xludf.DUMMYFUNCTION("""COMPUTED_VALUE"""),74.42)</f>
        <v>74.42</v>
      </c>
      <c r="F50" s="6">
        <f>IFERROR(__xludf.DUMMYFUNCTION("""COMPUTED_VALUE"""),1.39457021E8)</f>
        <v>139457021</v>
      </c>
    </row>
    <row r="51">
      <c r="A51" s="7">
        <f>IFERROR(__xludf.DUMMYFUNCTION("""COMPUTED_VALUE"""),45534.64583333333)</f>
        <v>45534.64583</v>
      </c>
      <c r="B51" s="6">
        <f>IFERROR(__xludf.DUMMYFUNCTION("""COMPUTED_VALUE"""),74.87)</f>
        <v>74.87</v>
      </c>
      <c r="C51" s="6">
        <f>IFERROR(__xludf.DUMMYFUNCTION("""COMPUTED_VALUE"""),75.05)</f>
        <v>75.05</v>
      </c>
      <c r="D51" s="6">
        <f>IFERROR(__xludf.DUMMYFUNCTION("""COMPUTED_VALUE"""),72.94)</f>
        <v>72.94</v>
      </c>
      <c r="E51" s="6">
        <f>IFERROR(__xludf.DUMMYFUNCTION("""COMPUTED_VALUE"""),73.84)</f>
        <v>73.84</v>
      </c>
      <c r="F51" s="6">
        <f>IFERROR(__xludf.DUMMYFUNCTION("""COMPUTED_VALUE"""),1.0621683E8)</f>
        <v>106216830</v>
      </c>
    </row>
    <row r="52">
      <c r="A52" s="7">
        <f>IFERROR(__xludf.DUMMYFUNCTION("""COMPUTED_VALUE"""),45541.64583333333)</f>
        <v>45541.64583</v>
      </c>
      <c r="B52" s="6">
        <f>IFERROR(__xludf.DUMMYFUNCTION("""COMPUTED_VALUE"""),73.65)</f>
        <v>73.65</v>
      </c>
      <c r="C52" s="6">
        <f>IFERROR(__xludf.DUMMYFUNCTION("""COMPUTED_VALUE"""),75.7)</f>
        <v>75.7</v>
      </c>
      <c r="D52" s="6">
        <f>IFERROR(__xludf.DUMMYFUNCTION("""COMPUTED_VALUE"""),73.0)</f>
        <v>73</v>
      </c>
      <c r="E52" s="6">
        <f>IFERROR(__xludf.DUMMYFUNCTION("""COMPUTED_VALUE"""),73.66)</f>
        <v>73.66</v>
      </c>
      <c r="F52" s="6">
        <f>IFERROR(__xludf.DUMMYFUNCTION("""COMPUTED_VALUE"""),1.25773472E8)</f>
        <v>125773472</v>
      </c>
    </row>
    <row r="53">
      <c r="A53" s="7">
        <f>IFERROR(__xludf.DUMMYFUNCTION("""COMPUTED_VALUE"""),45548.64583333333)</f>
        <v>45548.64583</v>
      </c>
      <c r="B53" s="6">
        <f>IFERROR(__xludf.DUMMYFUNCTION("""COMPUTED_VALUE"""),73.59)</f>
        <v>73.59</v>
      </c>
      <c r="C53" s="6">
        <f>IFERROR(__xludf.DUMMYFUNCTION("""COMPUTED_VALUE"""),74.18)</f>
        <v>74.18</v>
      </c>
      <c r="D53" s="6">
        <f>IFERROR(__xludf.DUMMYFUNCTION("""COMPUTED_VALUE"""),71.36)</f>
        <v>71.36</v>
      </c>
      <c r="E53" s="6">
        <f>IFERROR(__xludf.DUMMYFUNCTION("""COMPUTED_VALUE"""),73.42)</f>
        <v>73.42</v>
      </c>
      <c r="F53" s="6">
        <f>IFERROR(__xludf.DUMMYFUNCTION("""COMPUTED_VALUE"""),1.47102165E8)</f>
        <v>147102165</v>
      </c>
    </row>
    <row r="54">
      <c r="A54" s="7">
        <f>IFERROR(__xludf.DUMMYFUNCTION("""COMPUTED_VALUE"""),45555.64583333333)</f>
        <v>45555.64583</v>
      </c>
      <c r="B54" s="6">
        <f>IFERROR(__xludf.DUMMYFUNCTION("""COMPUTED_VALUE"""),73.64)</f>
        <v>73.64</v>
      </c>
      <c r="C54" s="6">
        <f>IFERROR(__xludf.DUMMYFUNCTION("""COMPUTED_VALUE"""),74.63)</f>
        <v>74.63</v>
      </c>
      <c r="D54" s="6">
        <f>IFERROR(__xludf.DUMMYFUNCTION("""COMPUTED_VALUE"""),71.16)</f>
        <v>71.16</v>
      </c>
      <c r="E54" s="6">
        <f>IFERROR(__xludf.DUMMYFUNCTION("""COMPUTED_VALUE"""),72.83)</f>
        <v>72.83</v>
      </c>
      <c r="F54" s="6">
        <f>IFERROR(__xludf.DUMMYFUNCTION("""COMPUTED_VALUE"""),1.75166705E8)</f>
        <v>175166705</v>
      </c>
    </row>
    <row r="55">
      <c r="A55" s="7">
        <f>IFERROR(__xludf.DUMMYFUNCTION("""COMPUTED_VALUE"""),45562.64583333333)</f>
        <v>45562.64583</v>
      </c>
      <c r="B55" s="6">
        <f>IFERROR(__xludf.DUMMYFUNCTION("""COMPUTED_VALUE"""),73.2)</f>
        <v>73.2</v>
      </c>
      <c r="C55" s="6">
        <f>IFERROR(__xludf.DUMMYFUNCTION("""COMPUTED_VALUE"""),74.9)</f>
        <v>74.9</v>
      </c>
      <c r="D55" s="6">
        <f>IFERROR(__xludf.DUMMYFUNCTION("""COMPUTED_VALUE"""),72.36)</f>
        <v>72.36</v>
      </c>
      <c r="E55" s="6">
        <f>IFERROR(__xludf.DUMMYFUNCTION("""COMPUTED_VALUE"""),74.19)</f>
        <v>74.19</v>
      </c>
      <c r="F55" s="6">
        <f>IFERROR(__xludf.DUMMYFUNCTION("""COMPUTED_VALUE"""),1.46317969E8)</f>
        <v>146317969</v>
      </c>
    </row>
    <row r="56">
      <c r="A56" s="7">
        <f>IFERROR(__xludf.DUMMYFUNCTION("""COMPUTED_VALUE"""),45569.64583333333)</f>
        <v>45569.64583</v>
      </c>
      <c r="B56" s="6">
        <f>IFERROR(__xludf.DUMMYFUNCTION("""COMPUTED_VALUE"""),75.0)</f>
        <v>75</v>
      </c>
      <c r="C56" s="6">
        <f>IFERROR(__xludf.DUMMYFUNCTION("""COMPUTED_VALUE"""),76.07)</f>
        <v>76.07</v>
      </c>
      <c r="D56" s="6">
        <f>IFERROR(__xludf.DUMMYFUNCTION("""COMPUTED_VALUE"""),71.25)</f>
        <v>71.25</v>
      </c>
      <c r="E56" s="6">
        <f>IFERROR(__xludf.DUMMYFUNCTION("""COMPUTED_VALUE"""),71.83)</f>
        <v>71.83</v>
      </c>
      <c r="F56" s="6">
        <f>IFERROR(__xludf.DUMMYFUNCTION("""COMPUTED_VALUE"""),1.27014212E8)</f>
        <v>127014212</v>
      </c>
    </row>
    <row r="57">
      <c r="A57" s="7">
        <f>IFERROR(__xludf.DUMMYFUNCTION("""COMPUTED_VALUE"""),45576.64583333333)</f>
        <v>45576.64583</v>
      </c>
      <c r="B57" s="6">
        <f>IFERROR(__xludf.DUMMYFUNCTION("""COMPUTED_VALUE"""),72.45)</f>
        <v>72.45</v>
      </c>
      <c r="C57" s="6">
        <f>IFERROR(__xludf.DUMMYFUNCTION("""COMPUTED_VALUE"""),73.74)</f>
        <v>73.74</v>
      </c>
      <c r="D57" s="6">
        <f>IFERROR(__xludf.DUMMYFUNCTION("""COMPUTED_VALUE"""),70.41)</f>
        <v>70.41</v>
      </c>
      <c r="E57" s="6">
        <f>IFERROR(__xludf.DUMMYFUNCTION("""COMPUTED_VALUE"""),72.37)</f>
        <v>72.37</v>
      </c>
      <c r="F57" s="6">
        <f>IFERROR(__xludf.DUMMYFUNCTION("""COMPUTED_VALUE"""),2.27591799E8)</f>
        <v>227591799</v>
      </c>
    </row>
    <row r="58">
      <c r="A58" s="7">
        <f>IFERROR(__xludf.DUMMYFUNCTION("""COMPUTED_VALUE"""),45583.64583333333)</f>
        <v>45583.64583</v>
      </c>
      <c r="B58" s="6">
        <f>IFERROR(__xludf.DUMMYFUNCTION("""COMPUTED_VALUE"""),72.68)</f>
        <v>72.68</v>
      </c>
      <c r="C58" s="6">
        <f>IFERROR(__xludf.DUMMYFUNCTION("""COMPUTED_VALUE"""),73.2)</f>
        <v>73.2</v>
      </c>
      <c r="D58" s="6">
        <f>IFERROR(__xludf.DUMMYFUNCTION("""COMPUTED_VALUE"""),71.0)</f>
        <v>71</v>
      </c>
      <c r="E58" s="6">
        <f>IFERROR(__xludf.DUMMYFUNCTION("""COMPUTED_VALUE"""),71.57)</f>
        <v>71.57</v>
      </c>
      <c r="F58" s="6">
        <f>IFERROR(__xludf.DUMMYFUNCTION("""COMPUTED_VALUE"""),7.8572971E7)</f>
        <v>78572971</v>
      </c>
    </row>
    <row r="59">
      <c r="A59" s="7">
        <f>IFERROR(__xludf.DUMMYFUNCTION("""COMPUTED_VALUE"""),45590.64583333333)</f>
        <v>45590.64583</v>
      </c>
      <c r="B59" s="6">
        <f>IFERROR(__xludf.DUMMYFUNCTION("""COMPUTED_VALUE"""),71.56)</f>
        <v>71.56</v>
      </c>
      <c r="C59" s="6">
        <f>IFERROR(__xludf.DUMMYFUNCTION("""COMPUTED_VALUE"""),72.03)</f>
        <v>72.03</v>
      </c>
      <c r="D59" s="6">
        <f>IFERROR(__xludf.DUMMYFUNCTION("""COMPUTED_VALUE"""),65.11)</f>
        <v>65.11</v>
      </c>
      <c r="E59" s="6">
        <f>IFERROR(__xludf.DUMMYFUNCTION("""COMPUTED_VALUE"""),65.5)</f>
        <v>65.5</v>
      </c>
      <c r="F59" s="6">
        <f>IFERROR(__xludf.DUMMYFUNCTION("""COMPUTED_VALUE"""),2.11007621E8)</f>
        <v>211007621</v>
      </c>
    </row>
    <row r="60">
      <c r="A60" s="7">
        <f>IFERROR(__xludf.DUMMYFUNCTION("""COMPUTED_VALUE"""),45604.64583333333)</f>
        <v>45604.64583</v>
      </c>
      <c r="B60" s="6">
        <f>IFERROR(__xludf.DUMMYFUNCTION("""COMPUTED_VALUE"""),67.49)</f>
        <v>67.49</v>
      </c>
      <c r="C60" s="6">
        <f>IFERROR(__xludf.DUMMYFUNCTION("""COMPUTED_VALUE"""),68.12)</f>
        <v>68.12</v>
      </c>
      <c r="D60" s="6">
        <f>IFERROR(__xludf.DUMMYFUNCTION("""COMPUTED_VALUE"""),65.31)</f>
        <v>65.31</v>
      </c>
      <c r="E60" s="6">
        <f>IFERROR(__xludf.DUMMYFUNCTION("""COMPUTED_VALUE"""),65.63)</f>
        <v>65.63</v>
      </c>
      <c r="F60" s="6">
        <f>IFERROR(__xludf.DUMMYFUNCTION("""COMPUTED_VALUE"""),1.66986574E8)</f>
        <v>166986574</v>
      </c>
    </row>
    <row r="61">
      <c r="A61" s="7">
        <f>IFERROR(__xludf.DUMMYFUNCTION("""COMPUTED_VALUE"""),45610.64583333333)</f>
        <v>45610.64583</v>
      </c>
      <c r="B61" s="6">
        <f>IFERROR(__xludf.DUMMYFUNCTION("""COMPUTED_VALUE"""),65.83)</f>
        <v>65.83</v>
      </c>
      <c r="C61" s="6">
        <f>IFERROR(__xludf.DUMMYFUNCTION("""COMPUTED_VALUE"""),67.19)</f>
        <v>67.19</v>
      </c>
      <c r="D61" s="6">
        <f>IFERROR(__xludf.DUMMYFUNCTION("""COMPUTED_VALUE"""),63.01)</f>
        <v>63.01</v>
      </c>
      <c r="E61" s="6">
        <f>IFERROR(__xludf.DUMMYFUNCTION("""COMPUTED_VALUE"""),63.41)</f>
        <v>63.41</v>
      </c>
      <c r="F61" s="6">
        <f>IFERROR(__xludf.DUMMYFUNCTION("""COMPUTED_VALUE"""),1.33983256E8)</f>
        <v>133983256</v>
      </c>
    </row>
    <row r="62">
      <c r="A62" s="7">
        <f>IFERROR(__xludf.DUMMYFUNCTION("""COMPUTED_VALUE"""),45618.64583333333)</f>
        <v>45618.64583</v>
      </c>
      <c r="B62" s="6">
        <f>IFERROR(__xludf.DUMMYFUNCTION("""COMPUTED_VALUE"""),63.98)</f>
        <v>63.98</v>
      </c>
      <c r="C62" s="6">
        <f>IFERROR(__xludf.DUMMYFUNCTION("""COMPUTED_VALUE"""),66.5)</f>
        <v>66.5</v>
      </c>
      <c r="D62" s="6">
        <f>IFERROR(__xludf.DUMMYFUNCTION("""COMPUTED_VALUE"""),62.4)</f>
        <v>62.4</v>
      </c>
      <c r="E62" s="6">
        <f>IFERROR(__xludf.DUMMYFUNCTION("""COMPUTED_VALUE"""),64.15)</f>
        <v>64.15</v>
      </c>
      <c r="F62" s="6">
        <f>IFERROR(__xludf.DUMMYFUNCTION("""COMPUTED_VALUE"""),1.02244565E8)</f>
        <v>102244565</v>
      </c>
    </row>
    <row r="63">
      <c r="A63" s="7">
        <f>IFERROR(__xludf.DUMMYFUNCTION("""COMPUTED_VALUE"""),45625.64583333333)</f>
        <v>45625.64583</v>
      </c>
      <c r="B63" s="6">
        <f>IFERROR(__xludf.DUMMYFUNCTION("""COMPUTED_VALUE"""),65.92)</f>
        <v>65.92</v>
      </c>
      <c r="C63" s="6">
        <f>IFERROR(__xludf.DUMMYFUNCTION("""COMPUTED_VALUE"""),66.14)</f>
        <v>66.14</v>
      </c>
      <c r="D63" s="6">
        <f>IFERROR(__xludf.DUMMYFUNCTION("""COMPUTED_VALUE"""),63.8)</f>
        <v>63.8</v>
      </c>
      <c r="E63" s="6">
        <f>IFERROR(__xludf.DUMMYFUNCTION("""COMPUTED_VALUE"""),64.08)</f>
        <v>64.08</v>
      </c>
      <c r="F63" s="6">
        <f>IFERROR(__xludf.DUMMYFUNCTION("""COMPUTED_VALUE"""),1.16615547E8)</f>
        <v>116615547</v>
      </c>
    </row>
    <row r="64">
      <c r="A64" s="7">
        <f>IFERROR(__xludf.DUMMYFUNCTION("""COMPUTED_VALUE"""),45632.64583333333)</f>
        <v>45632.64583</v>
      </c>
      <c r="B64" s="6">
        <f>IFERROR(__xludf.DUMMYFUNCTION("""COMPUTED_VALUE"""),64.08)</f>
        <v>64.08</v>
      </c>
      <c r="C64" s="6">
        <f>IFERROR(__xludf.DUMMYFUNCTION("""COMPUTED_VALUE"""),66.59)</f>
        <v>66.59</v>
      </c>
      <c r="D64" s="6">
        <f>IFERROR(__xludf.DUMMYFUNCTION("""COMPUTED_VALUE"""),63.82)</f>
        <v>63.82</v>
      </c>
      <c r="E64" s="6">
        <f>IFERROR(__xludf.DUMMYFUNCTION("""COMPUTED_VALUE"""),65.9)</f>
        <v>65.9</v>
      </c>
      <c r="F64" s="6">
        <f>IFERROR(__xludf.DUMMYFUNCTION("""COMPUTED_VALUE"""),9.2290401E7)</f>
        <v>92290401</v>
      </c>
    </row>
    <row r="65">
      <c r="A65" s="7">
        <f>IFERROR(__xludf.DUMMYFUNCTION("""COMPUTED_VALUE"""),45639.64583333333)</f>
        <v>45639.64583</v>
      </c>
      <c r="B65" s="6">
        <f>IFERROR(__xludf.DUMMYFUNCTION("""COMPUTED_VALUE"""),66.14)</f>
        <v>66.14</v>
      </c>
      <c r="C65" s="6">
        <f>IFERROR(__xludf.DUMMYFUNCTION("""COMPUTED_VALUE"""),66.36)</f>
        <v>66.36</v>
      </c>
      <c r="D65" s="6">
        <f>IFERROR(__xludf.DUMMYFUNCTION("""COMPUTED_VALUE"""),63.07)</f>
        <v>63.07</v>
      </c>
      <c r="E65" s="6">
        <f>IFERROR(__xludf.DUMMYFUNCTION("""COMPUTED_VALUE"""),64.23)</f>
        <v>64.23</v>
      </c>
      <c r="F65" s="6">
        <f>IFERROR(__xludf.DUMMYFUNCTION("""COMPUTED_VALUE"""),9.042428E7)</f>
        <v>90424280</v>
      </c>
    </row>
    <row r="66">
      <c r="A66" s="7">
        <f>IFERROR(__xludf.DUMMYFUNCTION("""COMPUTED_VALUE"""),45646.64583333333)</f>
        <v>45646.64583</v>
      </c>
      <c r="B66" s="6">
        <f>IFERROR(__xludf.DUMMYFUNCTION("""COMPUTED_VALUE"""),64.37)</f>
        <v>64.37</v>
      </c>
      <c r="C66" s="6">
        <f>IFERROR(__xludf.DUMMYFUNCTION("""COMPUTED_VALUE"""),65.69)</f>
        <v>65.69</v>
      </c>
      <c r="D66" s="6">
        <f>IFERROR(__xludf.DUMMYFUNCTION("""COMPUTED_VALUE"""),61.2)</f>
        <v>61.2</v>
      </c>
      <c r="E66" s="6">
        <f>IFERROR(__xludf.DUMMYFUNCTION("""COMPUTED_VALUE"""),61.68)</f>
        <v>61.68</v>
      </c>
      <c r="F66" s="6">
        <f>IFERROR(__xludf.DUMMYFUNCTION("""COMPUTED_VALUE"""),1.51462187E8)</f>
        <v>151462187</v>
      </c>
    </row>
    <row r="67">
      <c r="A67" s="7">
        <f>IFERROR(__xludf.DUMMYFUNCTION("""COMPUTED_VALUE"""),45653.64583333333)</f>
        <v>45653.64583</v>
      </c>
      <c r="B67" s="6">
        <f>IFERROR(__xludf.DUMMYFUNCTION("""COMPUTED_VALUE"""),62.7)</f>
        <v>62.7</v>
      </c>
      <c r="C67" s="6">
        <f>IFERROR(__xludf.DUMMYFUNCTION("""COMPUTED_VALUE"""),63.16)</f>
        <v>63.16</v>
      </c>
      <c r="D67" s="6">
        <f>IFERROR(__xludf.DUMMYFUNCTION("""COMPUTED_VALUE"""),61.57)</f>
        <v>61.57</v>
      </c>
      <c r="E67" s="6">
        <f>IFERROR(__xludf.DUMMYFUNCTION("""COMPUTED_VALUE"""),62.52)</f>
        <v>62.52</v>
      </c>
      <c r="F67" s="6">
        <f>IFERROR(__xludf.DUMMYFUNCTION("""COMPUTED_VALUE"""),8.0084449E7)</f>
        <v>80084449</v>
      </c>
    </row>
    <row r="68">
      <c r="A68" s="7">
        <f>IFERROR(__xludf.DUMMYFUNCTION("""COMPUTED_VALUE"""),45660.64583333333)</f>
        <v>45660.64583</v>
      </c>
      <c r="B68" s="6">
        <f>IFERROR(__xludf.DUMMYFUNCTION("""COMPUTED_VALUE"""),62.74)</f>
        <v>62.74</v>
      </c>
      <c r="C68" s="6">
        <f>IFERROR(__xludf.DUMMYFUNCTION("""COMPUTED_VALUE"""),65.84)</f>
        <v>65.84</v>
      </c>
      <c r="D68" s="6">
        <f>IFERROR(__xludf.DUMMYFUNCTION("""COMPUTED_VALUE"""),62.09)</f>
        <v>62.09</v>
      </c>
      <c r="E68" s="6">
        <f>IFERROR(__xludf.DUMMYFUNCTION("""COMPUTED_VALUE"""),65.08)</f>
        <v>65.08</v>
      </c>
      <c r="F68" s="6">
        <f>IFERROR(__xludf.DUMMYFUNCTION("""COMPUTED_VALUE"""),1.29063395E8)</f>
        <v>129063395</v>
      </c>
    </row>
    <row r="69">
      <c r="A69" s="7">
        <f>IFERROR(__xludf.DUMMYFUNCTION("""COMPUTED_VALUE"""),45667.64583333333)</f>
        <v>45667.64583</v>
      </c>
      <c r="B69" s="6">
        <f>IFERROR(__xludf.DUMMYFUNCTION("""COMPUTED_VALUE"""),66.01)</f>
        <v>66.01</v>
      </c>
      <c r="C69" s="6">
        <f>IFERROR(__xludf.DUMMYFUNCTION("""COMPUTED_VALUE"""),66.2)</f>
        <v>66.2</v>
      </c>
      <c r="D69" s="6">
        <f>IFERROR(__xludf.DUMMYFUNCTION("""COMPUTED_VALUE"""),60.26)</f>
        <v>60.26</v>
      </c>
      <c r="E69" s="6">
        <f>IFERROR(__xludf.DUMMYFUNCTION("""COMPUTED_VALUE"""),60.39)</f>
        <v>60.39</v>
      </c>
      <c r="F69" s="6">
        <f>IFERROR(__xludf.DUMMYFUNCTION("""COMPUTED_VALUE"""),1.00480438E8)</f>
        <v>100480438</v>
      </c>
    </row>
    <row r="70">
      <c r="A70" s="7">
        <f>IFERROR(__xludf.DUMMYFUNCTION("""COMPUTED_VALUE"""),45674.64583333333)</f>
        <v>45674.64583</v>
      </c>
      <c r="B70" s="6">
        <f>IFERROR(__xludf.DUMMYFUNCTION("""COMPUTED_VALUE"""),60.37)</f>
        <v>60.37</v>
      </c>
      <c r="C70" s="6">
        <f>IFERROR(__xludf.DUMMYFUNCTION("""COMPUTED_VALUE"""),63.38)</f>
        <v>63.38</v>
      </c>
      <c r="D70" s="6">
        <f>IFERROR(__xludf.DUMMYFUNCTION("""COMPUTED_VALUE"""),59.05)</f>
        <v>59.05</v>
      </c>
      <c r="E70" s="6">
        <f>IFERROR(__xludf.DUMMYFUNCTION("""COMPUTED_VALUE"""),62.56)</f>
        <v>62.56</v>
      </c>
      <c r="F70" s="6">
        <f>IFERROR(__xludf.DUMMYFUNCTION("""COMPUTED_VALUE"""),1.16168821E8)</f>
        <v>116168821</v>
      </c>
    </row>
    <row r="71">
      <c r="A71" s="7">
        <f>IFERROR(__xludf.DUMMYFUNCTION("""COMPUTED_VALUE"""),45681.64583333333)</f>
        <v>45681.64583</v>
      </c>
      <c r="B71" s="6">
        <f>IFERROR(__xludf.DUMMYFUNCTION("""COMPUTED_VALUE"""),63.0)</f>
        <v>63</v>
      </c>
      <c r="C71" s="6">
        <f>IFERROR(__xludf.DUMMYFUNCTION("""COMPUTED_VALUE"""),64.67)</f>
        <v>64.67</v>
      </c>
      <c r="D71" s="6">
        <f>IFERROR(__xludf.DUMMYFUNCTION("""COMPUTED_VALUE"""),61.62)</f>
        <v>61.62</v>
      </c>
      <c r="E71" s="6">
        <f>IFERROR(__xludf.DUMMYFUNCTION("""COMPUTED_VALUE"""),62.27)</f>
        <v>62.27</v>
      </c>
      <c r="F71" s="6">
        <f>IFERROR(__xludf.DUMMYFUNCTION("""COMPUTED_VALUE"""),9.9658568E7)</f>
        <v>99658568</v>
      </c>
    </row>
    <row r="72">
      <c r="A72" s="7">
        <f>IFERROR(__xludf.DUMMYFUNCTION("""COMPUTED_VALUE"""),45695.64583333333)</f>
        <v>45695.64583</v>
      </c>
      <c r="B72" s="6">
        <f>IFERROR(__xludf.DUMMYFUNCTION("""COMPUTED_VALUE"""),61.5)</f>
        <v>61.5</v>
      </c>
      <c r="C72" s="6">
        <f>IFERROR(__xludf.DUMMYFUNCTION("""COMPUTED_VALUE"""),64.5)</f>
        <v>64.5</v>
      </c>
      <c r="D72" s="6">
        <f>IFERROR(__xludf.DUMMYFUNCTION("""COMPUTED_VALUE"""),60.87)</f>
        <v>60.87</v>
      </c>
      <c r="E72" s="6">
        <f>IFERROR(__xludf.DUMMYFUNCTION("""COMPUTED_VALUE"""),64.09)</f>
        <v>64.09</v>
      </c>
      <c r="F72" s="6">
        <f>IFERROR(__xludf.DUMMYFUNCTION("""COMPUTED_VALUE"""),1.36909324E8)</f>
        <v>136909324</v>
      </c>
    </row>
    <row r="73">
      <c r="A73" s="7">
        <f>IFERROR(__xludf.DUMMYFUNCTION("""COMPUTED_VALUE"""),45702.64583333333)</f>
        <v>45702.64583</v>
      </c>
      <c r="B73" s="6">
        <f>IFERROR(__xludf.DUMMYFUNCTION("""COMPUTED_VALUE"""),64.09)</f>
        <v>64.09</v>
      </c>
      <c r="C73" s="6">
        <f>IFERROR(__xludf.DUMMYFUNCTION("""COMPUTED_VALUE"""),64.29)</f>
        <v>64.29</v>
      </c>
      <c r="D73" s="6">
        <f>IFERROR(__xludf.DUMMYFUNCTION("""COMPUTED_VALUE"""),59.88)</f>
        <v>59.88</v>
      </c>
      <c r="E73" s="6">
        <f>IFERROR(__xludf.DUMMYFUNCTION("""COMPUTED_VALUE"""),60.6)</f>
        <v>60.6</v>
      </c>
      <c r="F73" s="6">
        <f>IFERROR(__xludf.DUMMYFUNCTION("""COMPUTED_VALUE"""),9.7416029E7)</f>
        <v>97416029</v>
      </c>
    </row>
    <row r="74">
      <c r="A74" s="7">
        <f>IFERROR(__xludf.DUMMYFUNCTION("""COMPUTED_VALUE"""),45709.64583333333)</f>
        <v>45709.64583</v>
      </c>
      <c r="B74" s="6">
        <f>IFERROR(__xludf.DUMMYFUNCTION("""COMPUTED_VALUE"""),60.0)</f>
        <v>60</v>
      </c>
      <c r="C74" s="6">
        <f>IFERROR(__xludf.DUMMYFUNCTION("""COMPUTED_VALUE"""),61.85)</f>
        <v>61.85</v>
      </c>
      <c r="D74" s="6">
        <f>IFERROR(__xludf.DUMMYFUNCTION("""COMPUTED_VALUE"""),58.93)</f>
        <v>58.93</v>
      </c>
      <c r="E74" s="6">
        <f>IFERROR(__xludf.DUMMYFUNCTION("""COMPUTED_VALUE"""),60.63)</f>
        <v>60.63</v>
      </c>
      <c r="F74" s="6">
        <f>IFERROR(__xludf.DUMMYFUNCTION("""COMPUTED_VALUE"""),8.1988256E7)</f>
        <v>81988256</v>
      </c>
    </row>
    <row r="75">
      <c r="A75" s="7">
        <f>IFERROR(__xludf.DUMMYFUNCTION("""COMPUTED_VALUE"""),45716.64583333333)</f>
        <v>45716.64583</v>
      </c>
      <c r="B75" s="6">
        <f>IFERROR(__xludf.DUMMYFUNCTION("""COMPUTED_VALUE"""),60.01)</f>
        <v>60.01</v>
      </c>
      <c r="C75" s="6">
        <f>IFERROR(__xludf.DUMMYFUNCTION("""COMPUTED_VALUE"""),60.48)</f>
        <v>60.48</v>
      </c>
      <c r="D75" s="6">
        <f>IFERROR(__xludf.DUMMYFUNCTION("""COMPUTED_VALUE"""),57.1)</f>
        <v>57.1</v>
      </c>
      <c r="E75" s="6">
        <f>IFERROR(__xludf.DUMMYFUNCTION("""COMPUTED_VALUE"""),58.39)</f>
        <v>58.39</v>
      </c>
      <c r="F75" s="6">
        <f>IFERROR(__xludf.DUMMYFUNCTION("""COMPUTED_VALUE"""),1.17253254E8)</f>
        <v>117253254</v>
      </c>
    </row>
    <row r="76">
      <c r="A76" s="7">
        <f>IFERROR(__xludf.DUMMYFUNCTION("""COMPUTED_VALUE"""),45723.64583333333)</f>
        <v>45723.64583</v>
      </c>
      <c r="B76" s="6">
        <f>IFERROR(__xludf.DUMMYFUNCTION("""COMPUTED_VALUE"""),58.39)</f>
        <v>58.39</v>
      </c>
      <c r="C76" s="6">
        <f>IFERROR(__xludf.DUMMYFUNCTION("""COMPUTED_VALUE"""),58.84)</f>
        <v>58.84</v>
      </c>
      <c r="D76" s="6">
        <f>IFERROR(__xludf.DUMMYFUNCTION("""COMPUTED_VALUE"""),56.36)</f>
        <v>56.36</v>
      </c>
      <c r="E76" s="6">
        <f>IFERROR(__xludf.DUMMYFUNCTION("""COMPUTED_VALUE"""),57.34)</f>
        <v>57.34</v>
      </c>
      <c r="F76" s="6">
        <f>IFERROR(__xludf.DUMMYFUNCTION("""COMPUTED_VALUE"""),1.13344703E8)</f>
        <v>113344703</v>
      </c>
    </row>
    <row r="77">
      <c r="A77" s="7">
        <f>IFERROR(__xludf.DUMMYFUNCTION("""COMPUTED_VALUE"""),45729.64583333333)</f>
        <v>45729.64583</v>
      </c>
      <c r="B77" s="6">
        <f>IFERROR(__xludf.DUMMYFUNCTION("""COMPUTED_VALUE"""),57.3)</f>
        <v>57.3</v>
      </c>
      <c r="C77" s="6">
        <f>IFERROR(__xludf.DUMMYFUNCTION("""COMPUTED_VALUE"""),57.59)</f>
        <v>57.59</v>
      </c>
      <c r="D77" s="6">
        <f>IFERROR(__xludf.DUMMYFUNCTION("""COMPUTED_VALUE"""),53.25)</f>
        <v>53.25</v>
      </c>
      <c r="E77" s="6">
        <f>IFERROR(__xludf.DUMMYFUNCTION("""COMPUTED_VALUE"""),53.48)</f>
        <v>53.48</v>
      </c>
      <c r="F77" s="6">
        <f>IFERROR(__xludf.DUMMYFUNCTION("""COMPUTED_VALUE"""),1.21166558E8)</f>
        <v>121166558</v>
      </c>
    </row>
    <row r="78">
      <c r="A78" s="7">
        <f>IFERROR(__xludf.DUMMYFUNCTION("""COMPUTED_VALUE"""),45737.64583333333)</f>
        <v>45737.64583</v>
      </c>
      <c r="B78" s="6">
        <f>IFERROR(__xludf.DUMMYFUNCTION("""COMPUTED_VALUE"""),53.55)</f>
        <v>53.55</v>
      </c>
      <c r="C78" s="6">
        <f>IFERROR(__xludf.DUMMYFUNCTION("""COMPUTED_VALUE"""),56.65)</f>
        <v>56.65</v>
      </c>
      <c r="D78" s="6">
        <f>IFERROR(__xludf.DUMMYFUNCTION("""COMPUTED_VALUE"""),52.6)</f>
        <v>52.6</v>
      </c>
      <c r="E78" s="6">
        <f>IFERROR(__xludf.DUMMYFUNCTION("""COMPUTED_VALUE"""),56.29)</f>
        <v>56.29</v>
      </c>
      <c r="F78" s="6">
        <f>IFERROR(__xludf.DUMMYFUNCTION("""COMPUTED_VALUE"""),1.4111849E8)</f>
        <v>141118490</v>
      </c>
    </row>
    <row r="79">
      <c r="A79" s="7">
        <f>IFERROR(__xludf.DUMMYFUNCTION("""COMPUTED_VALUE"""),45744.64583333333)</f>
        <v>45744.64583</v>
      </c>
      <c r="B79" s="6">
        <f>IFERROR(__xludf.DUMMYFUNCTION("""COMPUTED_VALUE"""),56.6)</f>
        <v>56.6</v>
      </c>
      <c r="C79" s="6">
        <f>IFERROR(__xludf.DUMMYFUNCTION("""COMPUTED_VALUE"""),58.35)</f>
        <v>58.35</v>
      </c>
      <c r="D79" s="6">
        <f>IFERROR(__xludf.DUMMYFUNCTION("""COMPUTED_VALUE"""),54.63)</f>
        <v>54.63</v>
      </c>
      <c r="E79" s="6">
        <f>IFERROR(__xludf.DUMMYFUNCTION("""COMPUTED_VALUE"""),54.96)</f>
        <v>54.96</v>
      </c>
      <c r="F79" s="6">
        <f>IFERROR(__xludf.DUMMYFUNCTION("""COMPUTED_VALUE"""),2.67306897E8)</f>
        <v>267306897</v>
      </c>
    </row>
    <row r="80">
      <c r="A80" s="7">
        <f>IFERROR(__xludf.DUMMYFUNCTION("""COMPUTED_VALUE"""),45751.64583333333)</f>
        <v>45751.64583</v>
      </c>
      <c r="B80" s="6">
        <f>IFERROR(__xludf.DUMMYFUNCTION("""COMPUTED_VALUE"""),55.05)</f>
        <v>55.05</v>
      </c>
      <c r="C80" s="6">
        <f>IFERROR(__xludf.DUMMYFUNCTION("""COMPUTED_VALUE"""),60.9)</f>
        <v>60.9</v>
      </c>
      <c r="D80" s="6">
        <f>IFERROR(__xludf.DUMMYFUNCTION("""COMPUTED_VALUE"""),54.96)</f>
        <v>54.96</v>
      </c>
      <c r="E80" s="6">
        <f>IFERROR(__xludf.DUMMYFUNCTION("""COMPUTED_VALUE"""),57.81)</f>
        <v>57.81</v>
      </c>
      <c r="F80" s="6">
        <f>IFERROR(__xludf.DUMMYFUNCTION("""COMPUTED_VALUE"""),3.62607886E8)</f>
        <v>362607886</v>
      </c>
    </row>
    <row r="81">
      <c r="A81" s="7">
        <f>IFERROR(__xludf.DUMMYFUNCTION("""COMPUTED_VALUE"""),45758.64583333333)</f>
        <v>45758.64583</v>
      </c>
      <c r="B81" s="6">
        <f>IFERROR(__xludf.DUMMYFUNCTION("""COMPUTED_VALUE"""),53.25)</f>
        <v>53.25</v>
      </c>
      <c r="C81" s="6">
        <f>IFERROR(__xludf.DUMMYFUNCTION("""COMPUTED_VALUE"""),60.42)</f>
        <v>60.42</v>
      </c>
      <c r="D81" s="6">
        <f>IFERROR(__xludf.DUMMYFUNCTION("""COMPUTED_VALUE"""),52.46)</f>
        <v>52.46</v>
      </c>
      <c r="E81" s="6">
        <f>IFERROR(__xludf.DUMMYFUNCTION("""COMPUTED_VALUE"""),59.92)</f>
        <v>59.92</v>
      </c>
      <c r="F81" s="6">
        <f>IFERROR(__xludf.DUMMYFUNCTION("""COMPUTED_VALUE"""),1.73128593E8)</f>
        <v>173128593</v>
      </c>
    </row>
    <row r="82">
      <c r="A82" s="7">
        <f>IFERROR(__xludf.DUMMYFUNCTION("""COMPUTED_VALUE"""),45764.64583333333)</f>
        <v>45764.64583</v>
      </c>
      <c r="B82" s="6">
        <f>IFERROR(__xludf.DUMMYFUNCTION("""COMPUTED_VALUE"""),61.01)</f>
        <v>61.01</v>
      </c>
      <c r="C82" s="6">
        <f>IFERROR(__xludf.DUMMYFUNCTION("""COMPUTED_VALUE"""),64.05)</f>
        <v>64.05</v>
      </c>
      <c r="D82" s="6">
        <f>IFERROR(__xludf.DUMMYFUNCTION("""COMPUTED_VALUE"""),60.0)</f>
        <v>60</v>
      </c>
      <c r="E82" s="6">
        <f>IFERROR(__xludf.DUMMYFUNCTION("""COMPUTED_VALUE"""),63.0)</f>
        <v>63</v>
      </c>
      <c r="F82" s="6">
        <f>IFERROR(__xludf.DUMMYFUNCTION("""COMPUTED_VALUE"""),2.10405561E8)</f>
        <v>210405561</v>
      </c>
    </row>
    <row r="83">
      <c r="A83" s="7">
        <f>IFERROR(__xludf.DUMMYFUNCTION("""COMPUTED_VALUE"""),45772.64583333333)</f>
        <v>45772.64583</v>
      </c>
      <c r="B83" s="6">
        <f>IFERROR(__xludf.DUMMYFUNCTION("""COMPUTED_VALUE"""),63.85)</f>
        <v>63.85</v>
      </c>
      <c r="C83" s="6">
        <f>IFERROR(__xludf.DUMMYFUNCTION("""COMPUTED_VALUE"""),69.08)</f>
        <v>69.08</v>
      </c>
      <c r="D83" s="6">
        <f>IFERROR(__xludf.DUMMYFUNCTION("""COMPUTED_VALUE"""),63.6)</f>
        <v>63.6</v>
      </c>
      <c r="E83" s="6">
        <f>IFERROR(__xludf.DUMMYFUNCTION("""COMPUTED_VALUE"""),66.08)</f>
        <v>66.08</v>
      </c>
      <c r="F83" s="6">
        <f>IFERROR(__xludf.DUMMYFUNCTION("""COMPUTED_VALUE"""),3.16930485E8)</f>
        <v>316930485</v>
      </c>
    </row>
    <row r="84">
      <c r="A84" s="7">
        <f>IFERROR(__xludf.DUMMYFUNCTION("""COMPUTED_VALUE"""),45779.64583333333)</f>
        <v>45779.64583</v>
      </c>
      <c r="B84" s="6">
        <f>IFERROR(__xludf.DUMMYFUNCTION("""COMPUTED_VALUE"""),63.52)</f>
        <v>63.52</v>
      </c>
      <c r="C84" s="6">
        <f>IFERROR(__xludf.DUMMYFUNCTION("""COMPUTED_VALUE"""),67.55)</f>
        <v>67.55</v>
      </c>
      <c r="D84" s="6">
        <f>IFERROR(__xludf.DUMMYFUNCTION("""COMPUTED_VALUE"""),63.11)</f>
        <v>63.11</v>
      </c>
      <c r="E84" s="6">
        <f>IFERROR(__xludf.DUMMYFUNCTION("""COMPUTED_VALUE"""),66.08)</f>
        <v>66.08</v>
      </c>
      <c r="F84" s="6">
        <f>IFERROR(__xludf.DUMMYFUNCTION("""COMPUTED_VALUE"""),1.82872204E8)</f>
        <v>182872204</v>
      </c>
    </row>
    <row r="85">
      <c r="A85" s="7">
        <f>IFERROR(__xludf.DUMMYFUNCTION("""COMPUTED_VALUE"""),45786.64583333333)</f>
        <v>45786.64583</v>
      </c>
      <c r="B85" s="6">
        <f>IFERROR(__xludf.DUMMYFUNCTION("""COMPUTED_VALUE"""),66.39)</f>
        <v>66.39</v>
      </c>
      <c r="C85" s="6">
        <f>IFERROR(__xludf.DUMMYFUNCTION("""COMPUTED_VALUE"""),69.0)</f>
        <v>69</v>
      </c>
      <c r="D85" s="6">
        <f>IFERROR(__xludf.DUMMYFUNCTION("""COMPUTED_VALUE"""),63.95)</f>
        <v>63.95</v>
      </c>
      <c r="E85" s="6">
        <f>IFERROR(__xludf.DUMMYFUNCTION("""COMPUTED_VALUE"""),66.21)</f>
        <v>66.21</v>
      </c>
      <c r="F85" s="6">
        <f>IFERROR(__xludf.DUMMYFUNCTION("""COMPUTED_VALUE"""),1.99825379E8)</f>
        <v>199825379</v>
      </c>
    </row>
    <row r="86">
      <c r="A86" s="7">
        <f>IFERROR(__xludf.DUMMYFUNCTION("""COMPUTED_VALUE"""),45793.64583333333)</f>
        <v>45793.64583</v>
      </c>
      <c r="B86" s="6">
        <f>IFERROR(__xludf.DUMMYFUNCTION("""COMPUTED_VALUE"""),68.75)</f>
        <v>68.75</v>
      </c>
      <c r="C86" s="6">
        <f>IFERROR(__xludf.DUMMYFUNCTION("""COMPUTED_VALUE"""),70.17)</f>
        <v>70.17</v>
      </c>
      <c r="D86" s="6">
        <f>IFERROR(__xludf.DUMMYFUNCTION("""COMPUTED_VALUE"""),68.02)</f>
        <v>68.02</v>
      </c>
      <c r="E86" s="6">
        <f>IFERROR(__xludf.DUMMYFUNCTION("""COMPUTED_VALUE"""),69.26)</f>
        <v>69.26</v>
      </c>
      <c r="F86" s="6">
        <f>IFERROR(__xludf.DUMMYFUNCTION("""COMPUTED_VALUE"""),1.17930663E8)</f>
        <v>117930663</v>
      </c>
    </row>
    <row r="87">
      <c r="A87" s="7">
        <f>IFERROR(__xludf.DUMMYFUNCTION("""COMPUTED_VALUE"""),45800.64583333333)</f>
        <v>45800.64583</v>
      </c>
      <c r="B87" s="6">
        <f>IFERROR(__xludf.DUMMYFUNCTION("""COMPUTED_VALUE"""),69.2)</f>
        <v>69.2</v>
      </c>
      <c r="C87" s="6">
        <f>IFERROR(__xludf.DUMMYFUNCTION("""COMPUTED_VALUE"""),69.48)</f>
        <v>69.48</v>
      </c>
      <c r="D87" s="6">
        <f>IFERROR(__xludf.DUMMYFUNCTION("""COMPUTED_VALUE"""),65.75)</f>
        <v>65.75</v>
      </c>
      <c r="E87" s="6">
        <f>IFERROR(__xludf.DUMMYFUNCTION("""COMPUTED_VALUE"""),67.09)</f>
        <v>67.09</v>
      </c>
      <c r="F87" s="6">
        <f>IFERROR(__xludf.DUMMYFUNCTION("""COMPUTED_VALUE"""),8.1673729E7)</f>
        <v>81673729</v>
      </c>
    </row>
    <row r="88">
      <c r="A88" s="7">
        <f>IFERROR(__xludf.DUMMYFUNCTION("""COMPUTED_VALUE"""),45807.64583333333)</f>
        <v>45807.64583</v>
      </c>
      <c r="B88" s="6">
        <f>IFERROR(__xludf.DUMMYFUNCTION("""COMPUTED_VALUE"""),67.09)</f>
        <v>67.09</v>
      </c>
      <c r="C88" s="6">
        <f>IFERROR(__xludf.DUMMYFUNCTION("""COMPUTED_VALUE"""),68.7)</f>
        <v>68.7</v>
      </c>
      <c r="D88" s="6">
        <f>IFERROR(__xludf.DUMMYFUNCTION("""COMPUTED_VALUE"""),65.95)</f>
        <v>65.95</v>
      </c>
      <c r="E88" s="6">
        <f>IFERROR(__xludf.DUMMYFUNCTION("""COMPUTED_VALUE"""),67.97)</f>
        <v>67.97</v>
      </c>
      <c r="F88" s="6">
        <f>IFERROR(__xludf.DUMMYFUNCTION("""COMPUTED_VALUE"""),1.5790108E8)</f>
        <v>157901080</v>
      </c>
    </row>
    <row r="89">
      <c r="A89" s="7">
        <f>IFERROR(__xludf.DUMMYFUNCTION("""COMPUTED_VALUE"""),45814.64583333333)</f>
        <v>45814.64583</v>
      </c>
      <c r="B89" s="6">
        <f>IFERROR(__xludf.DUMMYFUNCTION("""COMPUTED_VALUE"""),67.97)</f>
        <v>67.97</v>
      </c>
      <c r="C89" s="6">
        <f>IFERROR(__xludf.DUMMYFUNCTION("""COMPUTED_VALUE"""),72.27)</f>
        <v>72.27</v>
      </c>
      <c r="D89" s="6">
        <f>IFERROR(__xludf.DUMMYFUNCTION("""COMPUTED_VALUE"""),66.44)</f>
        <v>66.44</v>
      </c>
      <c r="E89" s="6">
        <f>IFERROR(__xludf.DUMMYFUNCTION("""COMPUTED_VALUE"""),71.55)</f>
        <v>71.55</v>
      </c>
      <c r="F89" s="6">
        <f>IFERROR(__xludf.DUMMYFUNCTION("""COMPUTED_VALUE"""),2.25540705E8)</f>
        <v>225540705</v>
      </c>
    </row>
    <row r="90">
      <c r="A90" s="7">
        <f>IFERROR(__xludf.DUMMYFUNCTION("""COMPUTED_VALUE"""),45821.64583333333)</f>
        <v>45821.64583</v>
      </c>
      <c r="B90" s="6">
        <f>IFERROR(__xludf.DUMMYFUNCTION("""COMPUTED_VALUE"""),72.5)</f>
        <v>72.5</v>
      </c>
      <c r="C90" s="6">
        <f>IFERROR(__xludf.DUMMYFUNCTION("""COMPUTED_VALUE"""),73.09)</f>
        <v>73.09</v>
      </c>
      <c r="D90" s="6">
        <f>IFERROR(__xludf.DUMMYFUNCTION("""COMPUTED_VALUE"""),69.1)</f>
        <v>69.1</v>
      </c>
      <c r="E90" s="6">
        <f>IFERROR(__xludf.DUMMYFUNCTION("""COMPUTED_VALUE"""),70.44)</f>
        <v>70.44</v>
      </c>
      <c r="F90" s="6">
        <f>IFERROR(__xludf.DUMMYFUNCTION("""COMPUTED_VALUE"""),1.57100594E8)</f>
        <v>157100594</v>
      </c>
    </row>
    <row r="91">
      <c r="A91" s="7">
        <f>IFERROR(__xludf.DUMMYFUNCTION("""COMPUTED_VALUE"""),45828.64583333333)</f>
        <v>45828.64583</v>
      </c>
      <c r="B91" s="6">
        <f>IFERROR(__xludf.DUMMYFUNCTION("""COMPUTED_VALUE"""),70.0)</f>
        <v>70</v>
      </c>
      <c r="C91" s="6">
        <f>IFERROR(__xludf.DUMMYFUNCTION("""COMPUTED_VALUE"""),71.6)</f>
        <v>71.6</v>
      </c>
      <c r="D91" s="6">
        <f>IFERROR(__xludf.DUMMYFUNCTION("""COMPUTED_VALUE"""),69.22)</f>
        <v>69.22</v>
      </c>
      <c r="E91" s="6">
        <f>IFERROR(__xludf.DUMMYFUNCTION("""COMPUTED_VALUE"""),70.19)</f>
        <v>70.19</v>
      </c>
      <c r="F91" s="6">
        <f>IFERROR(__xludf.DUMMYFUNCTION("""COMPUTED_VALUE"""),1.01085291E8)</f>
        <v>101085291</v>
      </c>
    </row>
    <row r="92">
      <c r="A92" s="7">
        <f>IFERROR(__xludf.DUMMYFUNCTION("""COMPUTED_VALUE"""),45835.64583333333)</f>
        <v>45835.64583</v>
      </c>
      <c r="B92" s="6">
        <f>IFERROR(__xludf.DUMMYFUNCTION("""COMPUTED_VALUE"""),69.3)</f>
        <v>69.3</v>
      </c>
      <c r="C92" s="6">
        <f>IFERROR(__xludf.DUMMYFUNCTION("""COMPUTED_VALUE"""),73.16)</f>
        <v>73.16</v>
      </c>
      <c r="D92" s="6">
        <f>IFERROR(__xludf.DUMMYFUNCTION("""COMPUTED_VALUE"""),69.3)</f>
        <v>69.3</v>
      </c>
      <c r="E92" s="6">
        <f>IFERROR(__xludf.DUMMYFUNCTION("""COMPUTED_VALUE"""),72.36)</f>
        <v>72.36</v>
      </c>
      <c r="F92" s="6">
        <f>IFERROR(__xludf.DUMMYFUNCTION("""COMPUTED_VALUE"""),1.28392559E8)</f>
        <v>128392559</v>
      </c>
    </row>
    <row r="93">
      <c r="A93" s="7">
        <f>IFERROR(__xludf.DUMMYFUNCTION("""COMPUTED_VALUE"""),45842.64583333333)</f>
        <v>45842.64583</v>
      </c>
      <c r="B93" s="6">
        <f>IFERROR(__xludf.DUMMYFUNCTION("""COMPUTED_VALUE"""),72.38)</f>
        <v>72.38</v>
      </c>
      <c r="C93" s="6">
        <f>IFERROR(__xludf.DUMMYFUNCTION("""COMPUTED_VALUE"""),78.45)</f>
        <v>78.45</v>
      </c>
      <c r="D93" s="6">
        <f>IFERROR(__xludf.DUMMYFUNCTION("""COMPUTED_VALUE"""),72.21)</f>
        <v>72.21</v>
      </c>
      <c r="E93" s="6">
        <f>IFERROR(__xludf.DUMMYFUNCTION("""COMPUTED_VALUE"""),77.88)</f>
        <v>77.88</v>
      </c>
      <c r="F93" s="6">
        <f>IFERROR(__xludf.DUMMYFUNCTION("""COMPUTED_VALUE"""),2.49658538E8)</f>
        <v>249658538</v>
      </c>
    </row>
    <row r="94">
      <c r="A94" s="7">
        <f>IFERROR(__xludf.DUMMYFUNCTION("""COMPUTED_VALUE"""),45849.64583333333)</f>
        <v>45849.64583</v>
      </c>
      <c r="B94" s="6">
        <f>IFERROR(__xludf.DUMMYFUNCTION("""COMPUTED_VALUE"""),77.5)</f>
        <v>77.5</v>
      </c>
      <c r="C94" s="6">
        <f>IFERROR(__xludf.DUMMYFUNCTION("""COMPUTED_VALUE"""),78.3)</f>
        <v>78.3</v>
      </c>
      <c r="D94" s="6">
        <f>IFERROR(__xludf.DUMMYFUNCTION("""COMPUTED_VALUE"""),74.75)</f>
        <v>74.75</v>
      </c>
      <c r="E94" s="6">
        <f>IFERROR(__xludf.DUMMYFUNCTION("""COMPUTED_VALUE"""),75.23)</f>
        <v>75.23</v>
      </c>
      <c r="F94" s="6">
        <f>IFERROR(__xludf.DUMMYFUNCTION("""COMPUTED_VALUE"""),1.13332349E8)</f>
        <v>113332349</v>
      </c>
    </row>
    <row r="95">
      <c r="A95" s="7">
        <f>IFERROR(__xludf.DUMMYFUNCTION("""COMPUTED_VALUE"""),45856.64583333333)</f>
        <v>45856.64583</v>
      </c>
      <c r="B95" s="6">
        <f>IFERROR(__xludf.DUMMYFUNCTION("""COMPUTED_VALUE"""),75.2)</f>
        <v>75.2</v>
      </c>
      <c r="C95" s="6">
        <f>IFERROR(__xludf.DUMMYFUNCTION("""COMPUTED_VALUE"""),76.35)</f>
        <v>76.35</v>
      </c>
      <c r="D95" s="6">
        <f>IFERROR(__xludf.DUMMYFUNCTION("""COMPUTED_VALUE"""),72.6)</f>
        <v>72.6</v>
      </c>
      <c r="E95" s="6">
        <f>IFERROR(__xludf.DUMMYFUNCTION("""COMPUTED_VALUE"""),73.09)</f>
        <v>73.09</v>
      </c>
      <c r="F95" s="6">
        <f>IFERROR(__xludf.DUMMYFUNCTION("""COMPUTED_VALUE"""),1.16669688E8)</f>
        <v>116669688</v>
      </c>
    </row>
    <row r="96">
      <c r="A96" s="7">
        <f>IFERROR(__xludf.DUMMYFUNCTION("""COMPUTED_VALUE"""),45863.64583333333)</f>
        <v>45863.64583</v>
      </c>
      <c r="B96" s="6">
        <f>IFERROR(__xludf.DUMMYFUNCTION("""COMPUTED_VALUE"""),73.0)</f>
        <v>73</v>
      </c>
      <c r="C96" s="6">
        <f>IFERROR(__xludf.DUMMYFUNCTION("""COMPUTED_VALUE"""),74.35)</f>
        <v>74.35</v>
      </c>
      <c r="D96" s="6">
        <f>IFERROR(__xludf.DUMMYFUNCTION("""COMPUTED_VALUE"""),70.51)</f>
        <v>70.51</v>
      </c>
      <c r="E96" s="6">
        <f>IFERROR(__xludf.DUMMYFUNCTION("""COMPUTED_VALUE"""),70.7)</f>
        <v>70.7</v>
      </c>
      <c r="F96" s="6">
        <f>IFERROR(__xludf.DUMMYFUNCTION("""COMPUTED_VALUE"""),7.8564559E7)</f>
        <v>78564559</v>
      </c>
    </row>
    <row r="97">
      <c r="A97" s="7">
        <f>IFERROR(__xludf.DUMMYFUNCTION("""COMPUTED_VALUE"""),45870.64583333333)</f>
        <v>45870.64583</v>
      </c>
      <c r="B97" s="6">
        <f>IFERROR(__xludf.DUMMYFUNCTION("""COMPUTED_VALUE"""),69.89)</f>
        <v>69.89</v>
      </c>
      <c r="C97" s="6">
        <f>IFERROR(__xludf.DUMMYFUNCTION("""COMPUTED_VALUE"""),71.55)</f>
        <v>71.55</v>
      </c>
      <c r="D97" s="6">
        <f>IFERROR(__xludf.DUMMYFUNCTION("""COMPUTED_VALUE"""),67.46)</f>
        <v>67.46</v>
      </c>
      <c r="E97" s="6">
        <f>IFERROR(__xludf.DUMMYFUNCTION("""COMPUTED_VALUE"""),67.58)</f>
        <v>67.58</v>
      </c>
      <c r="F97" s="6">
        <f>IFERROR(__xludf.DUMMYFUNCTION("""COMPUTED_VALUE"""),1.05576444E8)</f>
        <v>105576444</v>
      </c>
    </row>
    <row r="98">
      <c r="A98" s="7">
        <f>IFERROR(__xludf.DUMMYFUNCTION("""COMPUTED_VALUE"""),45877.64583333333)</f>
        <v>45877.64583</v>
      </c>
      <c r="B98" s="6">
        <f>IFERROR(__xludf.DUMMYFUNCTION("""COMPUTED_VALUE"""),67.58)</f>
        <v>67.58</v>
      </c>
      <c r="C98" s="6">
        <f>IFERROR(__xludf.DUMMYFUNCTION("""COMPUTED_VALUE"""),70.37)</f>
        <v>70.37</v>
      </c>
      <c r="D98" s="6">
        <f>IFERROR(__xludf.DUMMYFUNCTION("""COMPUTED_VALUE"""),67.3)</f>
        <v>67.3</v>
      </c>
      <c r="E98" s="6">
        <f>IFERROR(__xludf.DUMMYFUNCTION("""COMPUTED_VALUE"""),69.11)</f>
        <v>69.11</v>
      </c>
      <c r="F98" s="6">
        <f>IFERROR(__xludf.DUMMYFUNCTION("""COMPUTED_VALUE"""),6.6562369E7)</f>
        <v>66562369</v>
      </c>
    </row>
    <row r="99">
      <c r="A99" s="7">
        <f>IFERROR(__xludf.DUMMYFUNCTION("""COMPUTED_VALUE"""),45883.64583333333)</f>
        <v>45883.64583</v>
      </c>
      <c r="B99" s="6">
        <f>IFERROR(__xludf.DUMMYFUNCTION("""COMPUTED_VALUE"""),69.11)</f>
        <v>69.11</v>
      </c>
      <c r="C99" s="6">
        <f>IFERROR(__xludf.DUMMYFUNCTION("""COMPUTED_VALUE"""),70.34)</f>
        <v>70.34</v>
      </c>
      <c r="D99" s="6">
        <f>IFERROR(__xludf.DUMMYFUNCTION("""COMPUTED_VALUE"""),68.56)</f>
        <v>68.56</v>
      </c>
      <c r="E99" s="6">
        <f>IFERROR(__xludf.DUMMYFUNCTION("""COMPUTED_VALUE"""),68.77)</f>
        <v>68.77</v>
      </c>
      <c r="F99" s="6">
        <f>IFERROR(__xludf.DUMMYFUNCTION("""COMPUTED_VALUE"""),4.9301182E7)</f>
        <v>49301182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IFERROR(__xludf.DUMMYFUNCTION("""COMPUTED_VALUE"""),68.84)</f>
        <v>68.84</v>
      </c>
      <c r="C100" s="6">
        <f>IFERROR(__xludf.DUMMYFUNCTION("""COMPUTED_VALUE"""),71.7)</f>
        <v>71.7</v>
      </c>
      <c r="D100" s="6">
        <f>IFERROR(__xludf.DUMMYFUNCTION("""COMPUTED_VALUE"""),68.83)</f>
        <v>68.83</v>
      </c>
      <c r="E100" s="6">
        <f>IFERROR(__xludf.DUMMYFUNCTION("""COMPUTED_VALUE"""),69.68)</f>
        <v>69.68</v>
      </c>
      <c r="F100" s="6">
        <f>IFERROR(__xludf.DUMMYFUNCTION("""COMPUTED_VALUE"""),7.8370585E7)</f>
        <v>78370585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IFERROR(__xludf.DUMMYFUNCTION("""COMPUTED_VALUE"""),69.6)</f>
        <v>69.6</v>
      </c>
      <c r="C101" s="6">
        <f>IFERROR(__xludf.DUMMYFUNCTION("""COMPUTED_VALUE"""),70.45)</f>
        <v>70.45</v>
      </c>
      <c r="D101" s="6">
        <f>IFERROR(__xludf.DUMMYFUNCTION("""COMPUTED_VALUE"""),68.55)</f>
        <v>68.55</v>
      </c>
      <c r="E101" s="6">
        <f>IFERROR(__xludf.DUMMYFUNCTION("""COMPUTED_VALUE"""),68.76)</f>
        <v>68.76</v>
      </c>
      <c r="F101" s="6">
        <f>IFERROR(__xludf.DUMMYFUNCTION("""COMPUTED_VALUE"""),2.42615359E8)</f>
        <v>242615359</v>
      </c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IFERROR(__xludf.DUMMYFUNCTION("GOOGLEFINANCE(""NSE:IGL"",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IFERROR(__xludf.DUMMYFUNCTION("""COMPUTED_VALUE"""),221.53)</f>
        <v>221.53</v>
      </c>
      <c r="C2" s="6">
        <f>IFERROR(__xludf.DUMMYFUNCTION("""COMPUTED_VALUE"""),237.43)</f>
        <v>237.43</v>
      </c>
      <c r="D2" s="6">
        <f>IFERROR(__xludf.DUMMYFUNCTION("""COMPUTED_VALUE"""),219.85)</f>
        <v>219.85</v>
      </c>
      <c r="E2" s="6">
        <f>IFERROR(__xludf.DUMMYFUNCTION("""COMPUTED_VALUE"""),233.53)</f>
        <v>233.53</v>
      </c>
      <c r="F2" s="6">
        <f>IFERROR(__xludf.DUMMYFUNCTION("""COMPUTED_VALUE"""),1.1103045E7)</f>
        <v>11103045</v>
      </c>
    </row>
    <row r="3">
      <c r="A3" s="7">
        <f>IFERROR(__xludf.DUMMYFUNCTION("""COMPUTED_VALUE"""),45177.64583333333)</f>
        <v>45177.64583</v>
      </c>
      <c r="B3" s="6">
        <f>IFERROR(__xludf.DUMMYFUNCTION("""COMPUTED_VALUE"""),233.53)</f>
        <v>233.53</v>
      </c>
      <c r="C3" s="6">
        <f>IFERROR(__xludf.DUMMYFUNCTION("""COMPUTED_VALUE"""),243.28)</f>
        <v>243.28</v>
      </c>
      <c r="D3" s="6">
        <f>IFERROR(__xludf.DUMMYFUNCTION("""COMPUTED_VALUE"""),227.98)</f>
        <v>227.98</v>
      </c>
      <c r="E3" s="6">
        <f>IFERROR(__xludf.DUMMYFUNCTION("""COMPUTED_VALUE"""),240.88)</f>
        <v>240.88</v>
      </c>
      <c r="F3" s="6">
        <f>IFERROR(__xludf.DUMMYFUNCTION("""COMPUTED_VALUE"""),1.1010951E7)</f>
        <v>11010951</v>
      </c>
    </row>
    <row r="4">
      <c r="A4" s="7">
        <f>IFERROR(__xludf.DUMMYFUNCTION("""COMPUTED_VALUE"""),45184.64583333333)</f>
        <v>45184.64583</v>
      </c>
      <c r="B4" s="6">
        <f>IFERROR(__xludf.DUMMYFUNCTION("""COMPUTED_VALUE"""),242.0)</f>
        <v>242</v>
      </c>
      <c r="C4" s="6">
        <f>IFERROR(__xludf.DUMMYFUNCTION("""COMPUTED_VALUE"""),242.43)</f>
        <v>242.43</v>
      </c>
      <c r="D4" s="6">
        <f>IFERROR(__xludf.DUMMYFUNCTION("""COMPUTED_VALUE"""),228.75)</f>
        <v>228.75</v>
      </c>
      <c r="E4" s="6">
        <f>IFERROR(__xludf.DUMMYFUNCTION("""COMPUTED_VALUE"""),236.7)</f>
        <v>236.7</v>
      </c>
      <c r="F4" s="6">
        <f>IFERROR(__xludf.DUMMYFUNCTION("""COMPUTED_VALUE"""),6457595.0)</f>
        <v>6457595</v>
      </c>
    </row>
    <row r="5">
      <c r="A5" s="7">
        <f>IFERROR(__xludf.DUMMYFUNCTION("""COMPUTED_VALUE"""),45191.64583333333)</f>
        <v>45191.64583</v>
      </c>
      <c r="B5" s="6">
        <f>IFERROR(__xludf.DUMMYFUNCTION("""COMPUTED_VALUE"""),236.75)</f>
        <v>236.75</v>
      </c>
      <c r="C5" s="6">
        <f>IFERROR(__xludf.DUMMYFUNCTION("""COMPUTED_VALUE"""),237.38)</f>
        <v>237.38</v>
      </c>
      <c r="D5" s="6">
        <f>IFERROR(__xludf.DUMMYFUNCTION("""COMPUTED_VALUE"""),226.3)</f>
        <v>226.3</v>
      </c>
      <c r="E5" s="6">
        <f>IFERROR(__xludf.DUMMYFUNCTION("""COMPUTED_VALUE"""),227.43)</f>
        <v>227.43</v>
      </c>
      <c r="F5" s="6">
        <f>IFERROR(__xludf.DUMMYFUNCTION("""COMPUTED_VALUE"""),2893312.0)</f>
        <v>2893312</v>
      </c>
    </row>
    <row r="6">
      <c r="A6" s="7">
        <f>IFERROR(__xludf.DUMMYFUNCTION("""COMPUTED_VALUE"""),45198.64583333333)</f>
        <v>45198.64583</v>
      </c>
      <c r="B6" s="6">
        <f>IFERROR(__xludf.DUMMYFUNCTION("""COMPUTED_VALUE"""),227.35)</f>
        <v>227.35</v>
      </c>
      <c r="C6" s="6">
        <f>IFERROR(__xludf.DUMMYFUNCTION("""COMPUTED_VALUE"""),229.55)</f>
        <v>229.55</v>
      </c>
      <c r="D6" s="6">
        <f>IFERROR(__xludf.DUMMYFUNCTION("""COMPUTED_VALUE"""),224.08)</f>
        <v>224.08</v>
      </c>
      <c r="E6" s="6">
        <f>IFERROR(__xludf.DUMMYFUNCTION("""COMPUTED_VALUE"""),227.43)</f>
        <v>227.43</v>
      </c>
      <c r="F6" s="6">
        <f>IFERROR(__xludf.DUMMYFUNCTION("""COMPUTED_VALUE"""),3760327.0)</f>
        <v>3760327</v>
      </c>
    </row>
    <row r="7">
      <c r="A7" s="7">
        <f>IFERROR(__xludf.DUMMYFUNCTION("""COMPUTED_VALUE"""),45205.64583333333)</f>
        <v>45205.64583</v>
      </c>
      <c r="B7" s="6">
        <f>IFERROR(__xludf.DUMMYFUNCTION("""COMPUTED_VALUE"""),227.6)</f>
        <v>227.6</v>
      </c>
      <c r="C7" s="6">
        <f>IFERROR(__xludf.DUMMYFUNCTION("""COMPUTED_VALUE"""),234.23)</f>
        <v>234.23</v>
      </c>
      <c r="D7" s="6">
        <f>IFERROR(__xludf.DUMMYFUNCTION("""COMPUTED_VALUE"""),225.78)</f>
        <v>225.78</v>
      </c>
      <c r="E7" s="6">
        <f>IFERROR(__xludf.DUMMYFUNCTION("""COMPUTED_VALUE"""),230.23)</f>
        <v>230.23</v>
      </c>
      <c r="F7" s="6">
        <f>IFERROR(__xludf.DUMMYFUNCTION("""COMPUTED_VALUE"""),6862247.0)</f>
        <v>6862247</v>
      </c>
    </row>
    <row r="8">
      <c r="A8" s="7">
        <f>IFERROR(__xludf.DUMMYFUNCTION("""COMPUTED_VALUE"""),45212.64583333333)</f>
        <v>45212.64583</v>
      </c>
      <c r="B8" s="6">
        <f>IFERROR(__xludf.DUMMYFUNCTION("""COMPUTED_VALUE"""),227.6)</f>
        <v>227.6</v>
      </c>
      <c r="C8" s="6">
        <f>IFERROR(__xludf.DUMMYFUNCTION("""COMPUTED_VALUE"""),239.95)</f>
        <v>239.95</v>
      </c>
      <c r="D8" s="6">
        <f>IFERROR(__xludf.DUMMYFUNCTION("""COMPUTED_VALUE"""),224.3)</f>
        <v>224.3</v>
      </c>
      <c r="E8" s="6">
        <f>IFERROR(__xludf.DUMMYFUNCTION("""COMPUTED_VALUE"""),236.1)</f>
        <v>236.1</v>
      </c>
      <c r="F8" s="6">
        <f>IFERROR(__xludf.DUMMYFUNCTION("""COMPUTED_VALUE"""),8255647.0)</f>
        <v>8255647</v>
      </c>
    </row>
    <row r="9">
      <c r="A9" s="7">
        <f>IFERROR(__xludf.DUMMYFUNCTION("""COMPUTED_VALUE"""),45219.64583333333)</f>
        <v>45219.64583</v>
      </c>
      <c r="B9" s="6">
        <f>IFERROR(__xludf.DUMMYFUNCTION("""COMPUTED_VALUE"""),236.1)</f>
        <v>236.1</v>
      </c>
      <c r="C9" s="6">
        <f>IFERROR(__xludf.DUMMYFUNCTION("""COMPUTED_VALUE"""),246.0)</f>
        <v>246</v>
      </c>
      <c r="D9" s="6">
        <f>IFERROR(__xludf.DUMMYFUNCTION("""COMPUTED_VALUE"""),200.45)</f>
        <v>200.45</v>
      </c>
      <c r="E9" s="6">
        <f>IFERROR(__xludf.DUMMYFUNCTION("""COMPUTED_VALUE"""),201.6)</f>
        <v>201.6</v>
      </c>
      <c r="F9" s="6">
        <f>IFERROR(__xludf.DUMMYFUNCTION("""COMPUTED_VALUE"""),3.1053507E7)</f>
        <v>31053507</v>
      </c>
    </row>
    <row r="10">
      <c r="A10" s="7">
        <f>IFERROR(__xludf.DUMMYFUNCTION("""COMPUTED_VALUE"""),45226.64583333333)</f>
        <v>45226.64583</v>
      </c>
      <c r="B10" s="6">
        <f>IFERROR(__xludf.DUMMYFUNCTION("""COMPUTED_VALUE"""),202.38)</f>
        <v>202.38</v>
      </c>
      <c r="C10" s="6">
        <f>IFERROR(__xludf.DUMMYFUNCTION("""COMPUTED_VALUE"""),204.23)</f>
        <v>204.23</v>
      </c>
      <c r="D10" s="6">
        <f>IFERROR(__xludf.DUMMYFUNCTION("""COMPUTED_VALUE"""),190.58)</f>
        <v>190.58</v>
      </c>
      <c r="E10" s="6">
        <f>IFERROR(__xludf.DUMMYFUNCTION("""COMPUTED_VALUE"""),191.1)</f>
        <v>191.1</v>
      </c>
      <c r="F10" s="6">
        <f>IFERROR(__xludf.DUMMYFUNCTION("""COMPUTED_VALUE"""),1.4146584E7)</f>
        <v>14146584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IFERROR(__xludf.DUMMYFUNCTION("""COMPUTED_VALUE"""),192.2)</f>
        <v>192.2</v>
      </c>
      <c r="C11" s="6">
        <f>IFERROR(__xludf.DUMMYFUNCTION("""COMPUTED_VALUE"""),201.75)</f>
        <v>201.75</v>
      </c>
      <c r="D11" s="6">
        <f>IFERROR(__xludf.DUMMYFUNCTION("""COMPUTED_VALUE"""),187.85)</f>
        <v>187.85</v>
      </c>
      <c r="E11" s="6">
        <f>IFERROR(__xludf.DUMMYFUNCTION("""COMPUTED_VALUE"""),200.3)</f>
        <v>200.3</v>
      </c>
      <c r="F11" s="6">
        <f>IFERROR(__xludf.DUMMYFUNCTION("""COMPUTED_VALUE"""),1.3776385E7)</f>
        <v>13776385</v>
      </c>
    </row>
    <row r="12">
      <c r="A12" s="7">
        <f>IFERROR(__xludf.DUMMYFUNCTION("""COMPUTED_VALUE"""),45240.64583333333)</f>
        <v>45240.64583</v>
      </c>
      <c r="B12" s="6">
        <f>IFERROR(__xludf.DUMMYFUNCTION("""COMPUTED_VALUE"""),201.28)</f>
        <v>201.28</v>
      </c>
      <c r="C12" s="6">
        <f>IFERROR(__xludf.DUMMYFUNCTION("""COMPUTED_VALUE"""),202.35)</f>
        <v>202.35</v>
      </c>
      <c r="D12" s="6">
        <f>IFERROR(__xludf.DUMMYFUNCTION("""COMPUTED_VALUE"""),195.3)</f>
        <v>195.3</v>
      </c>
      <c r="E12" s="6">
        <f>IFERROR(__xludf.DUMMYFUNCTION("""COMPUTED_VALUE"""),197.08)</f>
        <v>197.08</v>
      </c>
      <c r="F12" s="6">
        <f>IFERROR(__xludf.DUMMYFUNCTION("""COMPUTED_VALUE"""),9671713.0)</f>
        <v>9671713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IFERROR(__xludf.DUMMYFUNCTION("""COMPUTED_VALUE"""),198.85)</f>
        <v>198.85</v>
      </c>
      <c r="C13" s="6">
        <f>IFERROR(__xludf.DUMMYFUNCTION("""COMPUTED_VALUE"""),199.38)</f>
        <v>199.38</v>
      </c>
      <c r="D13" s="6">
        <f>IFERROR(__xludf.DUMMYFUNCTION("""COMPUTED_VALUE"""),192.08)</f>
        <v>192.08</v>
      </c>
      <c r="E13" s="6">
        <f>IFERROR(__xludf.DUMMYFUNCTION("""COMPUTED_VALUE"""),194.33)</f>
        <v>194.33</v>
      </c>
      <c r="F13" s="6">
        <f>IFERROR(__xludf.DUMMYFUNCTION("""COMPUTED_VALUE"""),1.3207141E7)</f>
        <v>13207141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IFERROR(__xludf.DUMMYFUNCTION("""COMPUTED_VALUE"""),195.48)</f>
        <v>195.48</v>
      </c>
      <c r="C14" s="6">
        <f>IFERROR(__xludf.DUMMYFUNCTION("""COMPUTED_VALUE"""),197.13)</f>
        <v>197.13</v>
      </c>
      <c r="D14" s="6">
        <f>IFERROR(__xludf.DUMMYFUNCTION("""COMPUTED_VALUE"""),191.33)</f>
        <v>191.33</v>
      </c>
      <c r="E14" s="6">
        <f>IFERROR(__xludf.DUMMYFUNCTION("""COMPUTED_VALUE"""),196.0)</f>
        <v>196</v>
      </c>
      <c r="F14" s="6">
        <f>IFERROR(__xludf.DUMMYFUNCTION("""COMPUTED_VALUE"""),9234199.0)</f>
        <v>9234199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IFERROR(__xludf.DUMMYFUNCTION("""COMPUTED_VALUE"""),196.5)</f>
        <v>196.5</v>
      </c>
      <c r="C15" s="6">
        <f>IFERROR(__xludf.DUMMYFUNCTION("""COMPUTED_VALUE"""),200.4)</f>
        <v>200.4</v>
      </c>
      <c r="D15" s="6">
        <f>IFERROR(__xludf.DUMMYFUNCTION("""COMPUTED_VALUE"""),192.5)</f>
        <v>192.5</v>
      </c>
      <c r="E15" s="6">
        <f>IFERROR(__xludf.DUMMYFUNCTION("""COMPUTED_VALUE"""),197.38)</f>
        <v>197.38</v>
      </c>
      <c r="F15" s="6">
        <f>IFERROR(__xludf.DUMMYFUNCTION("""COMPUTED_VALUE"""),9423605.0)</f>
        <v>9423605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IFERROR(__xludf.DUMMYFUNCTION("""COMPUTED_VALUE"""),199.0)</f>
        <v>199</v>
      </c>
      <c r="C16" s="6">
        <f>IFERROR(__xludf.DUMMYFUNCTION("""COMPUTED_VALUE"""),206.1)</f>
        <v>206.1</v>
      </c>
      <c r="D16" s="6">
        <f>IFERROR(__xludf.DUMMYFUNCTION("""COMPUTED_VALUE"""),197.3)</f>
        <v>197.3</v>
      </c>
      <c r="E16" s="6">
        <f>IFERROR(__xludf.DUMMYFUNCTION("""COMPUTED_VALUE"""),200.55)</f>
        <v>200.55</v>
      </c>
      <c r="F16" s="6">
        <f>IFERROR(__xludf.DUMMYFUNCTION("""COMPUTED_VALUE"""),1.2828707E7)</f>
        <v>12828707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IFERROR(__xludf.DUMMYFUNCTION("""COMPUTED_VALUE"""),201.9)</f>
        <v>201.9</v>
      </c>
      <c r="C17" s="6">
        <f>IFERROR(__xludf.DUMMYFUNCTION("""COMPUTED_VALUE"""),203.05)</f>
        <v>203.05</v>
      </c>
      <c r="D17" s="6">
        <f>IFERROR(__xludf.DUMMYFUNCTION("""COMPUTED_VALUE"""),196.53)</f>
        <v>196.53</v>
      </c>
      <c r="E17" s="6">
        <f>IFERROR(__xludf.DUMMYFUNCTION("""COMPUTED_VALUE"""),200.03)</f>
        <v>200.03</v>
      </c>
      <c r="F17" s="6">
        <f>IFERROR(__xludf.DUMMYFUNCTION("""COMPUTED_VALUE"""),1.1566952E7)</f>
        <v>11566952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IFERROR(__xludf.DUMMYFUNCTION("""COMPUTED_VALUE"""),200.95)</f>
        <v>200.95</v>
      </c>
      <c r="C18" s="6">
        <f>IFERROR(__xludf.DUMMYFUNCTION("""COMPUTED_VALUE"""),207.35)</f>
        <v>207.35</v>
      </c>
      <c r="D18" s="6">
        <f>IFERROR(__xludf.DUMMYFUNCTION("""COMPUTED_VALUE"""),196.58)</f>
        <v>196.58</v>
      </c>
      <c r="E18" s="6">
        <f>IFERROR(__xludf.DUMMYFUNCTION("""COMPUTED_VALUE"""),204.03)</f>
        <v>204.03</v>
      </c>
      <c r="F18" s="6">
        <f>IFERROR(__xludf.DUMMYFUNCTION("""COMPUTED_VALUE"""),1.2796947E7)</f>
        <v>12796947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IFERROR(__xludf.DUMMYFUNCTION("""COMPUTED_VALUE"""),204.33)</f>
        <v>204.33</v>
      </c>
      <c r="C19" s="6">
        <f>IFERROR(__xludf.DUMMYFUNCTION("""COMPUTED_VALUE"""),210.45)</f>
        <v>210.45</v>
      </c>
      <c r="D19" s="6">
        <f>IFERROR(__xludf.DUMMYFUNCTION("""COMPUTED_VALUE"""),204.08)</f>
        <v>204.08</v>
      </c>
      <c r="E19" s="6">
        <f>IFERROR(__xludf.DUMMYFUNCTION("""COMPUTED_VALUE"""),209.18)</f>
        <v>209.18</v>
      </c>
      <c r="F19" s="6">
        <f>IFERROR(__xludf.DUMMYFUNCTION("""COMPUTED_VALUE"""),9222859.0)</f>
        <v>9222859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IFERROR(__xludf.DUMMYFUNCTION("""COMPUTED_VALUE"""),210.2)</f>
        <v>210.2</v>
      </c>
      <c r="C20" s="6">
        <f>IFERROR(__xludf.DUMMYFUNCTION("""COMPUTED_VALUE"""),217.25)</f>
        <v>217.25</v>
      </c>
      <c r="D20" s="6">
        <f>IFERROR(__xludf.DUMMYFUNCTION("""COMPUTED_VALUE"""),208.03)</f>
        <v>208.03</v>
      </c>
      <c r="E20" s="6">
        <f>IFERROR(__xludf.DUMMYFUNCTION("""COMPUTED_VALUE"""),215.43)</f>
        <v>215.43</v>
      </c>
      <c r="F20" s="6">
        <f>IFERROR(__xludf.DUMMYFUNCTION("""COMPUTED_VALUE"""),1.126377E7)</f>
        <v>11263770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IFERROR(__xludf.DUMMYFUNCTION("""COMPUTED_VALUE"""),216.45)</f>
        <v>216.45</v>
      </c>
      <c r="C21" s="6">
        <f>IFERROR(__xludf.DUMMYFUNCTION("""COMPUTED_VALUE"""),216.45)</f>
        <v>216.45</v>
      </c>
      <c r="D21" s="6">
        <f>IFERROR(__xludf.DUMMYFUNCTION("""COMPUTED_VALUE"""),204.2)</f>
        <v>204.2</v>
      </c>
      <c r="E21" s="6">
        <f>IFERROR(__xludf.DUMMYFUNCTION("""COMPUTED_VALUE"""),213.9)</f>
        <v>213.9</v>
      </c>
      <c r="F21" s="6">
        <f>IFERROR(__xludf.DUMMYFUNCTION("""COMPUTED_VALUE"""),1.3199549E7)</f>
        <v>13199549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IFERROR(__xludf.DUMMYFUNCTION("""COMPUTED_VALUE"""),222.1)</f>
        <v>222.1</v>
      </c>
      <c r="C22" s="6">
        <f>IFERROR(__xludf.DUMMYFUNCTION("""COMPUTED_VALUE"""),223.9)</f>
        <v>223.9</v>
      </c>
      <c r="D22" s="6">
        <f>IFERROR(__xludf.DUMMYFUNCTION("""COMPUTED_VALUE"""),201.63)</f>
        <v>201.63</v>
      </c>
      <c r="E22" s="6">
        <f>IFERROR(__xludf.DUMMYFUNCTION("""COMPUTED_VALUE"""),202.58)</f>
        <v>202.58</v>
      </c>
      <c r="F22" s="6">
        <f>IFERROR(__xludf.DUMMYFUNCTION("""COMPUTED_VALUE"""),1.3285674E7)</f>
        <v>13285674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IFERROR(__xludf.DUMMYFUNCTION("""COMPUTED_VALUE"""),204.95)</f>
        <v>204.95</v>
      </c>
      <c r="C23" s="6">
        <f>IFERROR(__xludf.DUMMYFUNCTION("""COMPUTED_VALUE"""),223.75)</f>
        <v>223.75</v>
      </c>
      <c r="D23" s="6">
        <f>IFERROR(__xludf.DUMMYFUNCTION("""COMPUTED_VALUE"""),202.2)</f>
        <v>202.2</v>
      </c>
      <c r="E23" s="6">
        <f>IFERROR(__xludf.DUMMYFUNCTION("""COMPUTED_VALUE"""),222.58)</f>
        <v>222.58</v>
      </c>
      <c r="F23" s="6">
        <f>IFERROR(__xludf.DUMMYFUNCTION("""COMPUTED_VALUE"""),1.4707622E7)</f>
        <v>14707622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IFERROR(__xludf.DUMMYFUNCTION("""COMPUTED_VALUE"""),224.5)</f>
        <v>224.5</v>
      </c>
      <c r="C24" s="6">
        <f>IFERROR(__xludf.DUMMYFUNCTION("""COMPUTED_VALUE"""),229.5)</f>
        <v>229.5</v>
      </c>
      <c r="D24" s="6">
        <f>IFERROR(__xludf.DUMMYFUNCTION("""COMPUTED_VALUE"""),213.2)</f>
        <v>213.2</v>
      </c>
      <c r="E24" s="6">
        <f>IFERROR(__xludf.DUMMYFUNCTION("""COMPUTED_VALUE"""),219.98)</f>
        <v>219.98</v>
      </c>
      <c r="F24" s="6">
        <f>IFERROR(__xludf.DUMMYFUNCTION("""COMPUTED_VALUE"""),1.1412239E7)</f>
        <v>11412239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IFERROR(__xludf.DUMMYFUNCTION("""COMPUTED_VALUE"""),220.48)</f>
        <v>220.48</v>
      </c>
      <c r="C25" s="6">
        <f>IFERROR(__xludf.DUMMYFUNCTION("""COMPUTED_VALUE"""),225.95)</f>
        <v>225.95</v>
      </c>
      <c r="D25" s="6">
        <f>IFERROR(__xludf.DUMMYFUNCTION("""COMPUTED_VALUE"""),211.2)</f>
        <v>211.2</v>
      </c>
      <c r="E25" s="6">
        <f>IFERROR(__xludf.DUMMYFUNCTION("""COMPUTED_VALUE"""),219.95)</f>
        <v>219.95</v>
      </c>
      <c r="F25" s="6">
        <f>IFERROR(__xludf.DUMMYFUNCTION("""COMPUTED_VALUE"""),6898479.0)</f>
        <v>6898479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IFERROR(__xludf.DUMMYFUNCTION("""COMPUTED_VALUE"""),220.85)</f>
        <v>220.85</v>
      </c>
      <c r="C26" s="6">
        <f>IFERROR(__xludf.DUMMYFUNCTION("""COMPUTED_VALUE"""),222.33)</f>
        <v>222.33</v>
      </c>
      <c r="D26" s="6">
        <f>IFERROR(__xludf.DUMMYFUNCTION("""COMPUTED_VALUE"""),216.68)</f>
        <v>216.68</v>
      </c>
      <c r="E26" s="6">
        <f>IFERROR(__xludf.DUMMYFUNCTION("""COMPUTED_VALUE"""),218.9)</f>
        <v>218.9</v>
      </c>
      <c r="F26" s="6">
        <f>IFERROR(__xludf.DUMMYFUNCTION("""COMPUTED_VALUE"""),6322375.0)</f>
        <v>6322375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IFERROR(__xludf.DUMMYFUNCTION("""COMPUTED_VALUE"""),218.7)</f>
        <v>218.7</v>
      </c>
      <c r="C27" s="6">
        <f>IFERROR(__xludf.DUMMYFUNCTION("""COMPUTED_VALUE"""),230.0)</f>
        <v>230</v>
      </c>
      <c r="D27" s="6">
        <f>IFERROR(__xludf.DUMMYFUNCTION("""COMPUTED_VALUE"""),205.6)</f>
        <v>205.6</v>
      </c>
      <c r="E27" s="6">
        <f>IFERROR(__xludf.DUMMYFUNCTION("""COMPUTED_VALUE"""),215.05)</f>
        <v>215.05</v>
      </c>
      <c r="F27" s="6">
        <f>IFERROR(__xludf.DUMMYFUNCTION("""COMPUTED_VALUE"""),2.0308906E7)</f>
        <v>20308906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IFERROR(__xludf.DUMMYFUNCTION("""COMPUTED_VALUE"""),215.7)</f>
        <v>215.7</v>
      </c>
      <c r="C28" s="6">
        <f>IFERROR(__xludf.DUMMYFUNCTION("""COMPUTED_VALUE"""),218.98)</f>
        <v>218.98</v>
      </c>
      <c r="D28" s="6">
        <f>IFERROR(__xludf.DUMMYFUNCTION("""COMPUTED_VALUE"""),200.6)</f>
        <v>200.6</v>
      </c>
      <c r="E28" s="6">
        <f>IFERROR(__xludf.DUMMYFUNCTION("""COMPUTED_VALUE"""),206.28)</f>
        <v>206.28</v>
      </c>
      <c r="F28" s="6">
        <f>IFERROR(__xludf.DUMMYFUNCTION("""COMPUTED_VALUE"""),1.1033014E7)</f>
        <v>11033014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IFERROR(__xludf.DUMMYFUNCTION("""COMPUTED_VALUE"""),205.5)</f>
        <v>205.5</v>
      </c>
      <c r="C29" s="6">
        <f>IFERROR(__xludf.DUMMYFUNCTION("""COMPUTED_VALUE"""),208.23)</f>
        <v>208.23</v>
      </c>
      <c r="D29" s="6">
        <f>IFERROR(__xludf.DUMMYFUNCTION("""COMPUTED_VALUE"""),198.58)</f>
        <v>198.58</v>
      </c>
      <c r="E29" s="6">
        <f>IFERROR(__xludf.DUMMYFUNCTION("""COMPUTED_VALUE"""),206.38)</f>
        <v>206.38</v>
      </c>
      <c r="F29" s="6">
        <f>IFERROR(__xludf.DUMMYFUNCTION("""COMPUTED_VALUE"""),8422814.0)</f>
        <v>8422814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IFERROR(__xludf.DUMMYFUNCTION("""COMPUTED_VALUE"""),206.05)</f>
        <v>206.05</v>
      </c>
      <c r="C30" s="6">
        <f>IFERROR(__xludf.DUMMYFUNCTION("""COMPUTED_VALUE"""),216.48)</f>
        <v>216.48</v>
      </c>
      <c r="D30" s="6">
        <f>IFERROR(__xludf.DUMMYFUNCTION("""COMPUTED_VALUE"""),205.0)</f>
        <v>205</v>
      </c>
      <c r="E30" s="6">
        <f>IFERROR(__xludf.DUMMYFUNCTION("""COMPUTED_VALUE"""),215.4)</f>
        <v>215.4</v>
      </c>
      <c r="F30" s="6">
        <f>IFERROR(__xludf.DUMMYFUNCTION("""COMPUTED_VALUE"""),6446820.0)</f>
        <v>6446820</v>
      </c>
    </row>
    <row r="31">
      <c r="A31" s="7">
        <f>IFERROR(__xludf.DUMMYFUNCTION("""COMPUTED_VALUE"""),45387.64583333333)</f>
        <v>45387.64583</v>
      </c>
      <c r="B31" s="6">
        <f>IFERROR(__xludf.DUMMYFUNCTION("""COMPUTED_VALUE"""),215.45)</f>
        <v>215.45</v>
      </c>
      <c r="C31" s="6">
        <f>IFERROR(__xludf.DUMMYFUNCTION("""COMPUTED_VALUE"""),234.5)</f>
        <v>234.5</v>
      </c>
      <c r="D31" s="6">
        <f>IFERROR(__xludf.DUMMYFUNCTION("""COMPUTED_VALUE"""),215.45)</f>
        <v>215.45</v>
      </c>
      <c r="E31" s="6">
        <f>IFERROR(__xludf.DUMMYFUNCTION("""COMPUTED_VALUE"""),230.05)</f>
        <v>230.05</v>
      </c>
      <c r="F31" s="6">
        <f>IFERROR(__xludf.DUMMYFUNCTION("""COMPUTED_VALUE"""),2.0103602E7)</f>
        <v>20103602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IFERROR(__xludf.DUMMYFUNCTION("""COMPUTED_VALUE"""),230.95)</f>
        <v>230.95</v>
      </c>
      <c r="C32" s="6">
        <f>IFERROR(__xludf.DUMMYFUNCTION("""COMPUTED_VALUE"""),241.35)</f>
        <v>241.35</v>
      </c>
      <c r="D32" s="6">
        <f>IFERROR(__xludf.DUMMYFUNCTION("""COMPUTED_VALUE"""),229.05)</f>
        <v>229.05</v>
      </c>
      <c r="E32" s="6">
        <f>IFERROR(__xludf.DUMMYFUNCTION("""COMPUTED_VALUE"""),231.55)</f>
        <v>231.55</v>
      </c>
      <c r="F32" s="6">
        <f>IFERROR(__xludf.DUMMYFUNCTION("""COMPUTED_VALUE"""),1.38614E7)</f>
        <v>13861400</v>
      </c>
    </row>
    <row r="33">
      <c r="A33" s="7">
        <f>IFERROR(__xludf.DUMMYFUNCTION("""COMPUTED_VALUE"""),45401.64583333333)</f>
        <v>45401.64583</v>
      </c>
      <c r="B33" s="6">
        <f>IFERROR(__xludf.DUMMYFUNCTION("""COMPUTED_VALUE"""),227.5)</f>
        <v>227.5</v>
      </c>
      <c r="C33" s="6">
        <f>IFERROR(__xludf.DUMMYFUNCTION("""COMPUTED_VALUE"""),244.5)</f>
        <v>244.5</v>
      </c>
      <c r="D33" s="6">
        <f>IFERROR(__xludf.DUMMYFUNCTION("""COMPUTED_VALUE"""),216.08)</f>
        <v>216.08</v>
      </c>
      <c r="E33" s="6">
        <f>IFERROR(__xludf.DUMMYFUNCTION("""COMPUTED_VALUE"""),218.1)</f>
        <v>218.1</v>
      </c>
      <c r="F33" s="6">
        <f>IFERROR(__xludf.DUMMYFUNCTION("""COMPUTED_VALUE"""),2.4271367E7)</f>
        <v>24271367</v>
      </c>
    </row>
    <row r="34">
      <c r="A34" s="7">
        <f>IFERROR(__xludf.DUMMYFUNCTION("""COMPUTED_VALUE"""),45408.64583333333)</f>
        <v>45408.64583</v>
      </c>
      <c r="B34" s="6">
        <f>IFERROR(__xludf.DUMMYFUNCTION("""COMPUTED_VALUE"""),220.5)</f>
        <v>220.5</v>
      </c>
      <c r="C34" s="6">
        <f>IFERROR(__xludf.DUMMYFUNCTION("""COMPUTED_VALUE"""),231.83)</f>
        <v>231.83</v>
      </c>
      <c r="D34" s="6">
        <f>IFERROR(__xludf.DUMMYFUNCTION("""COMPUTED_VALUE"""),216.5)</f>
        <v>216.5</v>
      </c>
      <c r="E34" s="6">
        <f>IFERROR(__xludf.DUMMYFUNCTION("""COMPUTED_VALUE"""),230.03)</f>
        <v>230.03</v>
      </c>
      <c r="F34" s="6">
        <f>IFERROR(__xludf.DUMMYFUNCTION("""COMPUTED_VALUE"""),1.267411E7)</f>
        <v>12674110</v>
      </c>
    </row>
    <row r="35">
      <c r="A35" s="7">
        <f>IFERROR(__xludf.DUMMYFUNCTION("""COMPUTED_VALUE"""),45415.64583333333)</f>
        <v>45415.64583</v>
      </c>
      <c r="B35" s="6">
        <f>IFERROR(__xludf.DUMMYFUNCTION("""COMPUTED_VALUE"""),230.13)</f>
        <v>230.13</v>
      </c>
      <c r="C35" s="6">
        <f>IFERROR(__xludf.DUMMYFUNCTION("""COMPUTED_VALUE"""),238.88)</f>
        <v>238.88</v>
      </c>
      <c r="D35" s="6">
        <f>IFERROR(__xludf.DUMMYFUNCTION("""COMPUTED_VALUE"""),224.5)</f>
        <v>224.5</v>
      </c>
      <c r="E35" s="6">
        <f>IFERROR(__xludf.DUMMYFUNCTION("""COMPUTED_VALUE"""),227.6)</f>
        <v>227.6</v>
      </c>
      <c r="F35" s="6">
        <f>IFERROR(__xludf.DUMMYFUNCTION("""COMPUTED_VALUE"""),9756987.0)</f>
        <v>9756987</v>
      </c>
    </row>
    <row r="36">
      <c r="A36" s="7">
        <f>IFERROR(__xludf.DUMMYFUNCTION("""COMPUTED_VALUE"""),45422.64583333333)</f>
        <v>45422.64583</v>
      </c>
      <c r="B36" s="6">
        <f>IFERROR(__xludf.DUMMYFUNCTION("""COMPUTED_VALUE"""),229.0)</f>
        <v>229</v>
      </c>
      <c r="C36" s="6">
        <f>IFERROR(__xludf.DUMMYFUNCTION("""COMPUTED_VALUE"""),234.2)</f>
        <v>234.2</v>
      </c>
      <c r="D36" s="6">
        <f>IFERROR(__xludf.DUMMYFUNCTION("""COMPUTED_VALUE"""),214.35)</f>
        <v>214.35</v>
      </c>
      <c r="E36" s="6">
        <f>IFERROR(__xludf.DUMMYFUNCTION("""COMPUTED_VALUE"""),223.0)</f>
        <v>223</v>
      </c>
      <c r="F36" s="6">
        <f>IFERROR(__xludf.DUMMYFUNCTION("""COMPUTED_VALUE"""),2.9226243E7)</f>
        <v>29226243</v>
      </c>
    </row>
    <row r="37">
      <c r="A37" s="7">
        <f>IFERROR(__xludf.DUMMYFUNCTION("""COMPUTED_VALUE"""),45436.64583333333)</f>
        <v>45436.64583</v>
      </c>
      <c r="B37" s="6">
        <f>IFERROR(__xludf.DUMMYFUNCTION("""COMPUTED_VALUE"""),222.0)</f>
        <v>222</v>
      </c>
      <c r="C37" s="6">
        <f>IFERROR(__xludf.DUMMYFUNCTION("""COMPUTED_VALUE"""),232.95)</f>
        <v>232.95</v>
      </c>
      <c r="D37" s="6">
        <f>IFERROR(__xludf.DUMMYFUNCTION("""COMPUTED_VALUE"""),217.73)</f>
        <v>217.73</v>
      </c>
      <c r="E37" s="6">
        <f>IFERROR(__xludf.DUMMYFUNCTION("""COMPUTED_VALUE"""),230.38)</f>
        <v>230.38</v>
      </c>
      <c r="F37" s="6">
        <f>IFERROR(__xludf.DUMMYFUNCTION("""COMPUTED_VALUE"""),9703712.0)</f>
        <v>9703712</v>
      </c>
    </row>
    <row r="38">
      <c r="A38" s="7">
        <f>IFERROR(__xludf.DUMMYFUNCTION("""COMPUTED_VALUE"""),45443.64583333333)</f>
        <v>45443.64583</v>
      </c>
      <c r="B38" s="6">
        <f>IFERROR(__xludf.DUMMYFUNCTION("""COMPUTED_VALUE"""),230.48)</f>
        <v>230.48</v>
      </c>
      <c r="C38" s="6">
        <f>IFERROR(__xludf.DUMMYFUNCTION("""COMPUTED_VALUE"""),238.5)</f>
        <v>238.5</v>
      </c>
      <c r="D38" s="6">
        <f>IFERROR(__xludf.DUMMYFUNCTION("""COMPUTED_VALUE"""),216.85)</f>
        <v>216.85</v>
      </c>
      <c r="E38" s="6">
        <f>IFERROR(__xludf.DUMMYFUNCTION("""COMPUTED_VALUE"""),220.98)</f>
        <v>220.98</v>
      </c>
      <c r="F38" s="6">
        <f>IFERROR(__xludf.DUMMYFUNCTION("""COMPUTED_VALUE"""),5.6443518E7)</f>
        <v>56443518</v>
      </c>
    </row>
    <row r="39">
      <c r="A39" s="7">
        <f>IFERROR(__xludf.DUMMYFUNCTION("""COMPUTED_VALUE"""),45450.64583333333)</f>
        <v>45450.64583</v>
      </c>
      <c r="B39" s="6">
        <f>IFERROR(__xludf.DUMMYFUNCTION("""COMPUTED_VALUE"""),232.5)</f>
        <v>232.5</v>
      </c>
      <c r="C39" s="6">
        <f>IFERROR(__xludf.DUMMYFUNCTION("""COMPUTED_VALUE"""),237.0)</f>
        <v>237</v>
      </c>
      <c r="D39" s="6">
        <f>IFERROR(__xludf.DUMMYFUNCTION("""COMPUTED_VALUE"""),211.5)</f>
        <v>211.5</v>
      </c>
      <c r="E39" s="6">
        <f>IFERROR(__xludf.DUMMYFUNCTION("""COMPUTED_VALUE"""),233.5)</f>
        <v>233.5</v>
      </c>
      <c r="F39" s="6">
        <f>IFERROR(__xludf.DUMMYFUNCTION("""COMPUTED_VALUE"""),2.9163903E7)</f>
        <v>29163903</v>
      </c>
    </row>
    <row r="40">
      <c r="A40" s="7">
        <f>IFERROR(__xludf.DUMMYFUNCTION("""COMPUTED_VALUE"""),45457.64583333333)</f>
        <v>45457.64583</v>
      </c>
      <c r="B40" s="6">
        <f>IFERROR(__xludf.DUMMYFUNCTION("""COMPUTED_VALUE"""),236.98)</f>
        <v>236.98</v>
      </c>
      <c r="C40" s="6">
        <f>IFERROR(__xludf.DUMMYFUNCTION("""COMPUTED_VALUE"""),245.23)</f>
        <v>245.23</v>
      </c>
      <c r="D40" s="6">
        <f>IFERROR(__xludf.DUMMYFUNCTION("""COMPUTED_VALUE"""),231.65)</f>
        <v>231.65</v>
      </c>
      <c r="E40" s="6">
        <f>IFERROR(__xludf.DUMMYFUNCTION("""COMPUTED_VALUE"""),241.3)</f>
        <v>241.3</v>
      </c>
      <c r="F40" s="6">
        <f>IFERROR(__xludf.DUMMYFUNCTION("""COMPUTED_VALUE"""),2.0868815E7)</f>
        <v>20868815</v>
      </c>
    </row>
    <row r="41">
      <c r="A41" s="7">
        <f>IFERROR(__xludf.DUMMYFUNCTION("""COMPUTED_VALUE"""),45464.64583333333)</f>
        <v>45464.64583</v>
      </c>
      <c r="B41" s="6">
        <f>IFERROR(__xludf.DUMMYFUNCTION("""COMPUTED_VALUE"""),242.0)</f>
        <v>242</v>
      </c>
      <c r="C41" s="6">
        <f>IFERROR(__xludf.DUMMYFUNCTION("""COMPUTED_VALUE"""),242.35)</f>
        <v>242.35</v>
      </c>
      <c r="D41" s="6">
        <f>IFERROR(__xludf.DUMMYFUNCTION("""COMPUTED_VALUE"""),234.3)</f>
        <v>234.3</v>
      </c>
      <c r="E41" s="6">
        <f>IFERROR(__xludf.DUMMYFUNCTION("""COMPUTED_VALUE"""),235.55)</f>
        <v>235.55</v>
      </c>
      <c r="F41" s="6">
        <f>IFERROR(__xludf.DUMMYFUNCTION("""COMPUTED_VALUE"""),7854241.0)</f>
        <v>7854241</v>
      </c>
    </row>
    <row r="42">
      <c r="A42" s="7">
        <f>IFERROR(__xludf.DUMMYFUNCTION("""COMPUTED_VALUE"""),45471.64583333333)</f>
        <v>45471.64583</v>
      </c>
      <c r="B42" s="6">
        <f>IFERROR(__xludf.DUMMYFUNCTION("""COMPUTED_VALUE"""),237.5)</f>
        <v>237.5</v>
      </c>
      <c r="C42" s="6">
        <f>IFERROR(__xludf.DUMMYFUNCTION("""COMPUTED_VALUE"""),254.85)</f>
        <v>254.85</v>
      </c>
      <c r="D42" s="6">
        <f>IFERROR(__xludf.DUMMYFUNCTION("""COMPUTED_VALUE"""),235.03)</f>
        <v>235.03</v>
      </c>
      <c r="E42" s="6">
        <f>IFERROR(__xludf.DUMMYFUNCTION("""COMPUTED_VALUE"""),251.85)</f>
        <v>251.85</v>
      </c>
      <c r="F42" s="6">
        <f>IFERROR(__xludf.DUMMYFUNCTION("""COMPUTED_VALUE"""),1.8864557E7)</f>
        <v>18864557</v>
      </c>
    </row>
    <row r="43">
      <c r="A43" s="7">
        <f>IFERROR(__xludf.DUMMYFUNCTION("""COMPUTED_VALUE"""),45478.64583333333)</f>
        <v>45478.64583</v>
      </c>
      <c r="B43" s="6">
        <f>IFERROR(__xludf.DUMMYFUNCTION("""COMPUTED_VALUE"""),253.35)</f>
        <v>253.35</v>
      </c>
      <c r="C43" s="6">
        <f>IFERROR(__xludf.DUMMYFUNCTION("""COMPUTED_VALUE"""),268.75)</f>
        <v>268.75</v>
      </c>
      <c r="D43" s="6">
        <f>IFERROR(__xludf.DUMMYFUNCTION("""COMPUTED_VALUE"""),251.43)</f>
        <v>251.43</v>
      </c>
      <c r="E43" s="6">
        <f>IFERROR(__xludf.DUMMYFUNCTION("""COMPUTED_VALUE"""),261.15)</f>
        <v>261.15</v>
      </c>
      <c r="F43" s="6">
        <f>IFERROR(__xludf.DUMMYFUNCTION("""COMPUTED_VALUE"""),1.7182395E7)</f>
        <v>17182395</v>
      </c>
    </row>
    <row r="44">
      <c r="A44" s="7">
        <f>IFERROR(__xludf.DUMMYFUNCTION("""COMPUTED_VALUE"""),45485.64583333333)</f>
        <v>45485.64583</v>
      </c>
      <c r="B44" s="6">
        <f>IFERROR(__xludf.DUMMYFUNCTION("""COMPUTED_VALUE"""),262.98)</f>
        <v>262.98</v>
      </c>
      <c r="C44" s="6">
        <f>IFERROR(__xludf.DUMMYFUNCTION("""COMPUTED_VALUE"""),270.23)</f>
        <v>270.23</v>
      </c>
      <c r="D44" s="6">
        <f>IFERROR(__xludf.DUMMYFUNCTION("""COMPUTED_VALUE"""),258.43)</f>
        <v>258.43</v>
      </c>
      <c r="E44" s="6">
        <f>IFERROR(__xludf.DUMMYFUNCTION("""COMPUTED_VALUE"""),262.75)</f>
        <v>262.75</v>
      </c>
      <c r="F44" s="6">
        <f>IFERROR(__xludf.DUMMYFUNCTION("""COMPUTED_VALUE"""),1.0928015E7)</f>
        <v>10928015</v>
      </c>
    </row>
    <row r="45">
      <c r="A45" s="7">
        <f>IFERROR(__xludf.DUMMYFUNCTION("""COMPUTED_VALUE"""),45492.64583333333)</f>
        <v>45492.64583</v>
      </c>
      <c r="B45" s="6">
        <f>IFERROR(__xludf.DUMMYFUNCTION("""COMPUTED_VALUE"""),263.5)</f>
        <v>263.5</v>
      </c>
      <c r="C45" s="6">
        <f>IFERROR(__xludf.DUMMYFUNCTION("""COMPUTED_VALUE"""),275.45)</f>
        <v>275.45</v>
      </c>
      <c r="D45" s="6">
        <f>IFERROR(__xludf.DUMMYFUNCTION("""COMPUTED_VALUE"""),260.8)</f>
        <v>260.8</v>
      </c>
      <c r="E45" s="6">
        <f>IFERROR(__xludf.DUMMYFUNCTION("""COMPUTED_VALUE"""),264.43)</f>
        <v>264.43</v>
      </c>
      <c r="F45" s="6">
        <f>IFERROR(__xludf.DUMMYFUNCTION("""COMPUTED_VALUE"""),1.0626171E7)</f>
        <v>10626171</v>
      </c>
    </row>
    <row r="46">
      <c r="A46" s="7">
        <f>IFERROR(__xludf.DUMMYFUNCTION("""COMPUTED_VALUE"""),45499.64583333333)</f>
        <v>45499.64583</v>
      </c>
      <c r="B46" s="6">
        <f>IFERROR(__xludf.DUMMYFUNCTION("""COMPUTED_VALUE"""),263.98)</f>
        <v>263.98</v>
      </c>
      <c r="C46" s="6">
        <f>IFERROR(__xludf.DUMMYFUNCTION("""COMPUTED_VALUE"""),276.7)</f>
        <v>276.7</v>
      </c>
      <c r="D46" s="6">
        <f>IFERROR(__xludf.DUMMYFUNCTION("""COMPUTED_VALUE"""),258.15)</f>
        <v>258.15</v>
      </c>
      <c r="E46" s="6">
        <f>IFERROR(__xludf.DUMMYFUNCTION("""COMPUTED_VALUE"""),270.25)</f>
        <v>270.25</v>
      </c>
      <c r="F46" s="6">
        <f>IFERROR(__xludf.DUMMYFUNCTION("""COMPUTED_VALUE"""),1.172417E7)</f>
        <v>11724170</v>
      </c>
    </row>
    <row r="47">
      <c r="A47" s="7">
        <f>IFERROR(__xludf.DUMMYFUNCTION("""COMPUTED_VALUE"""),45506.64583333333)</f>
        <v>45506.64583</v>
      </c>
      <c r="B47" s="6">
        <f>IFERROR(__xludf.DUMMYFUNCTION("""COMPUTED_VALUE"""),272.5)</f>
        <v>272.5</v>
      </c>
      <c r="C47" s="6">
        <f>IFERROR(__xludf.DUMMYFUNCTION("""COMPUTED_VALUE"""),279.7)</f>
        <v>279.7</v>
      </c>
      <c r="D47" s="6">
        <f>IFERROR(__xludf.DUMMYFUNCTION("""COMPUTED_VALUE"""),265.5)</f>
        <v>265.5</v>
      </c>
      <c r="E47" s="6">
        <f>IFERROR(__xludf.DUMMYFUNCTION("""COMPUTED_VALUE"""),269.05)</f>
        <v>269.05</v>
      </c>
      <c r="F47" s="6">
        <f>IFERROR(__xludf.DUMMYFUNCTION("""COMPUTED_VALUE"""),6952228.0)</f>
        <v>6952228</v>
      </c>
    </row>
    <row r="48">
      <c r="A48" s="7">
        <f>IFERROR(__xludf.DUMMYFUNCTION("""COMPUTED_VALUE"""),45513.64583333333)</f>
        <v>45513.64583</v>
      </c>
      <c r="B48" s="6">
        <f>IFERROR(__xludf.DUMMYFUNCTION("""COMPUTED_VALUE"""),260.0)</f>
        <v>260</v>
      </c>
      <c r="C48" s="6">
        <f>IFERROR(__xludf.DUMMYFUNCTION("""COMPUTED_VALUE"""),274.5)</f>
        <v>274.5</v>
      </c>
      <c r="D48" s="6">
        <f>IFERROR(__xludf.DUMMYFUNCTION("""COMPUTED_VALUE"""),256.65)</f>
        <v>256.65</v>
      </c>
      <c r="E48" s="6">
        <f>IFERROR(__xludf.DUMMYFUNCTION("""COMPUTED_VALUE"""),268.7)</f>
        <v>268.7</v>
      </c>
      <c r="F48" s="6">
        <f>IFERROR(__xludf.DUMMYFUNCTION("""COMPUTED_VALUE"""),9487489.0)</f>
        <v>9487489</v>
      </c>
    </row>
    <row r="49">
      <c r="A49" s="7">
        <f>IFERROR(__xludf.DUMMYFUNCTION("""COMPUTED_VALUE"""),45520.64583333333)</f>
        <v>45520.64583</v>
      </c>
      <c r="B49" s="6">
        <f>IFERROR(__xludf.DUMMYFUNCTION("""COMPUTED_VALUE"""),268.52)</f>
        <v>268.52</v>
      </c>
      <c r="C49" s="6">
        <f>IFERROR(__xludf.DUMMYFUNCTION("""COMPUTED_VALUE"""),275.5)</f>
        <v>275.5</v>
      </c>
      <c r="D49" s="6">
        <f>IFERROR(__xludf.DUMMYFUNCTION("""COMPUTED_VALUE"""),266.75)</f>
        <v>266.75</v>
      </c>
      <c r="E49" s="6">
        <f>IFERROR(__xludf.DUMMYFUNCTION("""COMPUTED_VALUE"""),272.93)</f>
        <v>272.93</v>
      </c>
      <c r="F49" s="6">
        <f>IFERROR(__xludf.DUMMYFUNCTION("""COMPUTED_VALUE"""),3702684.0)</f>
        <v>3702684</v>
      </c>
    </row>
    <row r="50">
      <c r="A50" s="7">
        <f>IFERROR(__xludf.DUMMYFUNCTION("""COMPUTED_VALUE"""),45527.64583333333)</f>
        <v>45527.64583</v>
      </c>
      <c r="B50" s="6">
        <f>IFERROR(__xludf.DUMMYFUNCTION("""COMPUTED_VALUE"""),272.5)</f>
        <v>272.5</v>
      </c>
      <c r="C50" s="6">
        <f>IFERROR(__xludf.DUMMYFUNCTION("""COMPUTED_VALUE"""),277.5)</f>
        <v>277.5</v>
      </c>
      <c r="D50" s="6">
        <f>IFERROR(__xludf.DUMMYFUNCTION("""COMPUTED_VALUE"""),261.38)</f>
        <v>261.38</v>
      </c>
      <c r="E50" s="6">
        <f>IFERROR(__xludf.DUMMYFUNCTION("""COMPUTED_VALUE"""),262.02)</f>
        <v>262.02</v>
      </c>
      <c r="F50" s="6">
        <f>IFERROR(__xludf.DUMMYFUNCTION("""COMPUTED_VALUE"""),6072164.0)</f>
        <v>6072164</v>
      </c>
    </row>
    <row r="51">
      <c r="A51" s="7">
        <f>IFERROR(__xludf.DUMMYFUNCTION("""COMPUTED_VALUE"""),45534.64583333333)</f>
        <v>45534.64583</v>
      </c>
      <c r="B51" s="6">
        <f>IFERROR(__xludf.DUMMYFUNCTION("""COMPUTED_VALUE"""),264.0)</f>
        <v>264</v>
      </c>
      <c r="C51" s="6">
        <f>IFERROR(__xludf.DUMMYFUNCTION("""COMPUTED_VALUE"""),280.38)</f>
        <v>280.38</v>
      </c>
      <c r="D51" s="6">
        <f>IFERROR(__xludf.DUMMYFUNCTION("""COMPUTED_VALUE"""),259.98)</f>
        <v>259.98</v>
      </c>
      <c r="E51" s="6">
        <f>IFERROR(__xludf.DUMMYFUNCTION("""COMPUTED_VALUE"""),276.4)</f>
        <v>276.4</v>
      </c>
      <c r="F51" s="6">
        <f>IFERROR(__xludf.DUMMYFUNCTION("""COMPUTED_VALUE"""),9409783.0)</f>
        <v>9409783</v>
      </c>
    </row>
    <row r="52">
      <c r="A52" s="7">
        <f>IFERROR(__xludf.DUMMYFUNCTION("""COMPUTED_VALUE"""),45541.64583333333)</f>
        <v>45541.64583</v>
      </c>
      <c r="B52" s="6">
        <f>IFERROR(__xludf.DUMMYFUNCTION("""COMPUTED_VALUE"""),277.05)</f>
        <v>277.05</v>
      </c>
      <c r="C52" s="6">
        <f>IFERROR(__xludf.DUMMYFUNCTION("""COMPUTED_VALUE"""),285.18)</f>
        <v>285.18</v>
      </c>
      <c r="D52" s="6">
        <f>IFERROR(__xludf.DUMMYFUNCTION("""COMPUTED_VALUE"""),267.77)</f>
        <v>267.77</v>
      </c>
      <c r="E52" s="6">
        <f>IFERROR(__xludf.DUMMYFUNCTION("""COMPUTED_VALUE"""),271.18)</f>
        <v>271.18</v>
      </c>
      <c r="F52" s="6">
        <f>IFERROR(__xludf.DUMMYFUNCTION("""COMPUTED_VALUE"""),1.4206758E7)</f>
        <v>14206758</v>
      </c>
    </row>
    <row r="53">
      <c r="A53" s="7">
        <f>IFERROR(__xludf.DUMMYFUNCTION("""COMPUTED_VALUE"""),45548.64583333333)</f>
        <v>45548.64583</v>
      </c>
      <c r="B53" s="6">
        <f>IFERROR(__xludf.DUMMYFUNCTION("""COMPUTED_VALUE"""),269.27)</f>
        <v>269.27</v>
      </c>
      <c r="C53" s="6">
        <f>IFERROR(__xludf.DUMMYFUNCTION("""COMPUTED_VALUE"""),272.5)</f>
        <v>272.5</v>
      </c>
      <c r="D53" s="6">
        <f>IFERROR(__xludf.DUMMYFUNCTION("""COMPUTED_VALUE"""),258.02)</f>
        <v>258.02</v>
      </c>
      <c r="E53" s="6">
        <f>IFERROR(__xludf.DUMMYFUNCTION("""COMPUTED_VALUE"""),258.58)</f>
        <v>258.58</v>
      </c>
      <c r="F53" s="6">
        <f>IFERROR(__xludf.DUMMYFUNCTION("""COMPUTED_VALUE"""),4781949.0)</f>
        <v>4781949</v>
      </c>
    </row>
    <row r="54">
      <c r="A54" s="7">
        <f>IFERROR(__xludf.DUMMYFUNCTION("""COMPUTED_VALUE"""),45555.64583333333)</f>
        <v>45555.64583</v>
      </c>
      <c r="B54" s="6">
        <f>IFERROR(__xludf.DUMMYFUNCTION("""COMPUTED_VALUE"""),259.0)</f>
        <v>259</v>
      </c>
      <c r="C54" s="6">
        <f>IFERROR(__xludf.DUMMYFUNCTION("""COMPUTED_VALUE"""),281.38)</f>
        <v>281.38</v>
      </c>
      <c r="D54" s="6">
        <f>IFERROR(__xludf.DUMMYFUNCTION("""COMPUTED_VALUE"""),258.58)</f>
        <v>258.58</v>
      </c>
      <c r="E54" s="6">
        <f>IFERROR(__xludf.DUMMYFUNCTION("""COMPUTED_VALUE"""),269.45)</f>
        <v>269.45</v>
      </c>
      <c r="F54" s="6">
        <f>IFERROR(__xludf.DUMMYFUNCTION("""COMPUTED_VALUE"""),2.7970619E7)</f>
        <v>27970619</v>
      </c>
    </row>
    <row r="55">
      <c r="A55" s="7">
        <f>IFERROR(__xludf.DUMMYFUNCTION("""COMPUTED_VALUE"""),45562.64583333333)</f>
        <v>45562.64583</v>
      </c>
      <c r="B55" s="6">
        <f>IFERROR(__xludf.DUMMYFUNCTION("""COMPUTED_VALUE"""),269.27)</f>
        <v>269.27</v>
      </c>
      <c r="C55" s="6">
        <f>IFERROR(__xludf.DUMMYFUNCTION("""COMPUTED_VALUE"""),279.25)</f>
        <v>279.25</v>
      </c>
      <c r="D55" s="6">
        <f>IFERROR(__xludf.DUMMYFUNCTION("""COMPUTED_VALUE"""),267.0)</f>
        <v>267</v>
      </c>
      <c r="E55" s="6">
        <f>IFERROR(__xludf.DUMMYFUNCTION("""COMPUTED_VALUE"""),274.75)</f>
        <v>274.75</v>
      </c>
      <c r="F55" s="6">
        <f>IFERROR(__xludf.DUMMYFUNCTION("""COMPUTED_VALUE"""),8698991.0)</f>
        <v>8698991</v>
      </c>
    </row>
    <row r="56">
      <c r="A56" s="7">
        <f>IFERROR(__xludf.DUMMYFUNCTION("""COMPUTED_VALUE"""),45569.64583333333)</f>
        <v>45569.64583</v>
      </c>
      <c r="B56" s="6">
        <f>IFERROR(__xludf.DUMMYFUNCTION("""COMPUTED_VALUE"""),274.5)</f>
        <v>274.5</v>
      </c>
      <c r="C56" s="6">
        <f>IFERROR(__xludf.DUMMYFUNCTION("""COMPUTED_VALUE"""),284.77)</f>
        <v>284.77</v>
      </c>
      <c r="D56" s="6">
        <f>IFERROR(__xludf.DUMMYFUNCTION("""COMPUTED_VALUE"""),271.5)</f>
        <v>271.5</v>
      </c>
      <c r="E56" s="6">
        <f>IFERROR(__xludf.DUMMYFUNCTION("""COMPUTED_VALUE"""),274.68)</f>
        <v>274.68</v>
      </c>
      <c r="F56" s="6">
        <f>IFERROR(__xludf.DUMMYFUNCTION("""COMPUTED_VALUE"""),9789551.0)</f>
        <v>9789551</v>
      </c>
    </row>
    <row r="57">
      <c r="A57" s="7">
        <f>IFERROR(__xludf.DUMMYFUNCTION("""COMPUTED_VALUE"""),45576.64583333333)</f>
        <v>45576.64583</v>
      </c>
      <c r="B57" s="6">
        <f>IFERROR(__xludf.DUMMYFUNCTION("""COMPUTED_VALUE"""),276.5)</f>
        <v>276.5</v>
      </c>
      <c r="C57" s="6">
        <f>IFERROR(__xludf.DUMMYFUNCTION("""COMPUTED_VALUE"""),276.52)</f>
        <v>276.52</v>
      </c>
      <c r="D57" s="6">
        <f>IFERROR(__xludf.DUMMYFUNCTION("""COMPUTED_VALUE"""),264.95)</f>
        <v>264.95</v>
      </c>
      <c r="E57" s="6">
        <f>IFERROR(__xludf.DUMMYFUNCTION("""COMPUTED_VALUE"""),270.27)</f>
        <v>270.27</v>
      </c>
      <c r="F57" s="6">
        <f>IFERROR(__xludf.DUMMYFUNCTION("""COMPUTED_VALUE"""),1.0660224E7)</f>
        <v>10660224</v>
      </c>
    </row>
    <row r="58">
      <c r="A58" s="7">
        <f>IFERROR(__xludf.DUMMYFUNCTION("""COMPUTED_VALUE"""),45583.64583333333)</f>
        <v>45583.64583</v>
      </c>
      <c r="B58" s="6">
        <f>IFERROR(__xludf.DUMMYFUNCTION("""COMPUTED_VALUE"""),270.0)</f>
        <v>270</v>
      </c>
      <c r="C58" s="6">
        <f>IFERROR(__xludf.DUMMYFUNCTION("""COMPUTED_VALUE"""),270.0)</f>
        <v>270</v>
      </c>
      <c r="D58" s="6">
        <f>IFERROR(__xludf.DUMMYFUNCTION("""COMPUTED_VALUE"""),219.68)</f>
        <v>219.68</v>
      </c>
      <c r="E58" s="6">
        <f>IFERROR(__xludf.DUMMYFUNCTION("""COMPUTED_VALUE"""),225.85)</f>
        <v>225.85</v>
      </c>
      <c r="F58" s="6">
        <f>IFERROR(__xludf.DUMMYFUNCTION("""COMPUTED_VALUE"""),2.6020022E7)</f>
        <v>26020022</v>
      </c>
    </row>
    <row r="59">
      <c r="A59" s="7">
        <f>IFERROR(__xludf.DUMMYFUNCTION("""COMPUTED_VALUE"""),45590.64583333333)</f>
        <v>45590.64583</v>
      </c>
      <c r="B59" s="6">
        <f>IFERROR(__xludf.DUMMYFUNCTION("""COMPUTED_VALUE"""),227.8)</f>
        <v>227.8</v>
      </c>
      <c r="C59" s="6">
        <f>IFERROR(__xludf.DUMMYFUNCTION("""COMPUTED_VALUE"""),231.0)</f>
        <v>231</v>
      </c>
      <c r="D59" s="6">
        <f>IFERROR(__xludf.DUMMYFUNCTION("""COMPUTED_VALUE"""),204.95)</f>
        <v>204.95</v>
      </c>
      <c r="E59" s="6">
        <f>IFERROR(__xludf.DUMMYFUNCTION("""COMPUTED_VALUE"""),206.78)</f>
        <v>206.78</v>
      </c>
      <c r="F59" s="6">
        <f>IFERROR(__xludf.DUMMYFUNCTION("""COMPUTED_VALUE"""),1.1193488E7)</f>
        <v>11193488</v>
      </c>
    </row>
    <row r="60">
      <c r="A60" s="7">
        <f>IFERROR(__xludf.DUMMYFUNCTION("""COMPUTED_VALUE"""),45604.64583333333)</f>
        <v>45604.64583</v>
      </c>
      <c r="B60" s="6">
        <f>IFERROR(__xludf.DUMMYFUNCTION("""COMPUTED_VALUE"""),211.5)</f>
        <v>211.5</v>
      </c>
      <c r="C60" s="6">
        <f>IFERROR(__xludf.DUMMYFUNCTION("""COMPUTED_VALUE"""),222.6)</f>
        <v>222.6</v>
      </c>
      <c r="D60" s="6">
        <f>IFERROR(__xludf.DUMMYFUNCTION("""COMPUTED_VALUE"""),204.68)</f>
        <v>204.68</v>
      </c>
      <c r="E60" s="6">
        <f>IFERROR(__xludf.DUMMYFUNCTION("""COMPUTED_VALUE"""),221.18)</f>
        <v>221.18</v>
      </c>
      <c r="F60" s="6">
        <f>IFERROR(__xludf.DUMMYFUNCTION("""COMPUTED_VALUE"""),1.0549819E7)</f>
        <v>10549819</v>
      </c>
    </row>
    <row r="61">
      <c r="A61" s="7">
        <f>IFERROR(__xludf.DUMMYFUNCTION("""COMPUTED_VALUE"""),45610.64583333333)</f>
        <v>45610.64583</v>
      </c>
      <c r="B61" s="6">
        <f>IFERROR(__xludf.DUMMYFUNCTION("""COMPUTED_VALUE"""),221.08)</f>
        <v>221.08</v>
      </c>
      <c r="C61" s="6">
        <f>IFERROR(__xludf.DUMMYFUNCTION("""COMPUTED_VALUE"""),222.78)</f>
        <v>222.78</v>
      </c>
      <c r="D61" s="6">
        <f>IFERROR(__xludf.DUMMYFUNCTION("""COMPUTED_VALUE"""),201.8)</f>
        <v>201.8</v>
      </c>
      <c r="E61" s="6">
        <f>IFERROR(__xludf.DUMMYFUNCTION("""COMPUTED_VALUE"""),202.9)</f>
        <v>202.9</v>
      </c>
      <c r="F61" s="6">
        <f>IFERROR(__xludf.DUMMYFUNCTION("""COMPUTED_VALUE"""),1.4186623E7)</f>
        <v>14186623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IFERROR(__xludf.DUMMYFUNCTION("""COMPUTED_VALUE"""),185.0)</f>
        <v>185</v>
      </c>
      <c r="C62" s="6">
        <f>IFERROR(__xludf.DUMMYFUNCTION("""COMPUTED_VALUE"""),186.55)</f>
        <v>186.55</v>
      </c>
      <c r="D62" s="6">
        <f>IFERROR(__xludf.DUMMYFUNCTION("""COMPUTED_VALUE"""),153.05)</f>
        <v>153.05</v>
      </c>
      <c r="E62" s="6">
        <f>IFERROR(__xludf.DUMMYFUNCTION("""COMPUTED_VALUE"""),156.32)</f>
        <v>156.32</v>
      </c>
      <c r="F62" s="6">
        <f>IFERROR(__xludf.DUMMYFUNCTION("""COMPUTED_VALUE"""),8.1068177E7)</f>
        <v>81068177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IFERROR(__xludf.DUMMYFUNCTION("""COMPUTED_VALUE"""),159.55)</f>
        <v>159.55</v>
      </c>
      <c r="C63" s="6">
        <f>IFERROR(__xludf.DUMMYFUNCTION("""COMPUTED_VALUE"""),165.83)</f>
        <v>165.83</v>
      </c>
      <c r="D63" s="6">
        <f>IFERROR(__xludf.DUMMYFUNCTION("""COMPUTED_VALUE"""),156.73)</f>
        <v>156.73</v>
      </c>
      <c r="E63" s="6">
        <f>IFERROR(__xludf.DUMMYFUNCTION("""COMPUTED_VALUE"""),163.53)</f>
        <v>163.53</v>
      </c>
      <c r="F63" s="6">
        <f>IFERROR(__xludf.DUMMYFUNCTION("""COMPUTED_VALUE"""),2.2502278E7)</f>
        <v>22502278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IFERROR(__xludf.DUMMYFUNCTION("""COMPUTED_VALUE"""),165.0)</f>
        <v>165</v>
      </c>
      <c r="C64" s="6">
        <f>IFERROR(__xludf.DUMMYFUNCTION("""COMPUTED_VALUE"""),194.95)</f>
        <v>194.95</v>
      </c>
      <c r="D64" s="6">
        <f>IFERROR(__xludf.DUMMYFUNCTION("""COMPUTED_VALUE"""),163.15)</f>
        <v>163.15</v>
      </c>
      <c r="E64" s="6">
        <f>IFERROR(__xludf.DUMMYFUNCTION("""COMPUTED_VALUE"""),192.0)</f>
        <v>192</v>
      </c>
      <c r="F64" s="6">
        <f>IFERROR(__xludf.DUMMYFUNCTION("""COMPUTED_VALUE"""),5.066903E7)</f>
        <v>50669030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IFERROR(__xludf.DUMMYFUNCTION("""COMPUTED_VALUE"""),193.5)</f>
        <v>193.5</v>
      </c>
      <c r="C65" s="6">
        <f>IFERROR(__xludf.DUMMYFUNCTION("""COMPUTED_VALUE"""),197.6)</f>
        <v>197.6</v>
      </c>
      <c r="D65" s="6">
        <f>IFERROR(__xludf.DUMMYFUNCTION("""COMPUTED_VALUE"""),188.85)</f>
        <v>188.85</v>
      </c>
      <c r="E65" s="6">
        <f>IFERROR(__xludf.DUMMYFUNCTION("""COMPUTED_VALUE"""),196.1)</f>
        <v>196.1</v>
      </c>
      <c r="F65" s="6">
        <f>IFERROR(__xludf.DUMMYFUNCTION("""COMPUTED_VALUE"""),2.5388211E7)</f>
        <v>25388211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IFERROR(__xludf.DUMMYFUNCTION("""COMPUTED_VALUE"""),197.38)</f>
        <v>197.38</v>
      </c>
      <c r="C66" s="6">
        <f>IFERROR(__xludf.DUMMYFUNCTION("""COMPUTED_VALUE"""),200.95)</f>
        <v>200.95</v>
      </c>
      <c r="D66" s="6">
        <f>IFERROR(__xludf.DUMMYFUNCTION("""COMPUTED_VALUE"""),189.13)</f>
        <v>189.13</v>
      </c>
      <c r="E66" s="6">
        <f>IFERROR(__xludf.DUMMYFUNCTION("""COMPUTED_VALUE"""),194.15)</f>
        <v>194.15</v>
      </c>
      <c r="F66" s="6">
        <f>IFERROR(__xludf.DUMMYFUNCTION("""COMPUTED_VALUE"""),2.9353443E7)</f>
        <v>29353443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IFERROR(__xludf.DUMMYFUNCTION("""COMPUTED_VALUE"""),190.0)</f>
        <v>190</v>
      </c>
      <c r="C67" s="6">
        <f>IFERROR(__xludf.DUMMYFUNCTION("""COMPUTED_VALUE"""),203.48)</f>
        <v>203.48</v>
      </c>
      <c r="D67" s="6">
        <f>IFERROR(__xludf.DUMMYFUNCTION("""COMPUTED_VALUE"""),188.68)</f>
        <v>188.68</v>
      </c>
      <c r="E67" s="6">
        <f>IFERROR(__xludf.DUMMYFUNCTION("""COMPUTED_VALUE"""),195.05)</f>
        <v>195.05</v>
      </c>
      <c r="F67" s="6">
        <f>IFERROR(__xludf.DUMMYFUNCTION("""COMPUTED_VALUE"""),2.1781878E7)</f>
        <v>21781878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IFERROR(__xludf.DUMMYFUNCTION("""COMPUTED_VALUE"""),195.1)</f>
        <v>195.1</v>
      </c>
      <c r="C68" s="6">
        <f>IFERROR(__xludf.DUMMYFUNCTION("""COMPUTED_VALUE"""),226.7)</f>
        <v>226.7</v>
      </c>
      <c r="D68" s="6">
        <f>IFERROR(__xludf.DUMMYFUNCTION("""COMPUTED_VALUE"""),194.55)</f>
        <v>194.55</v>
      </c>
      <c r="E68" s="6">
        <f>IFERROR(__xludf.DUMMYFUNCTION("""COMPUTED_VALUE"""),220.68)</f>
        <v>220.68</v>
      </c>
      <c r="F68" s="6">
        <f>IFERROR(__xludf.DUMMYFUNCTION("""COMPUTED_VALUE"""),2.5094636E7)</f>
        <v>25094636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IFERROR(__xludf.DUMMYFUNCTION("""COMPUTED_VALUE"""),220.48)</f>
        <v>220.48</v>
      </c>
      <c r="C69" s="6">
        <f>IFERROR(__xludf.DUMMYFUNCTION("""COMPUTED_VALUE"""),221.25)</f>
        <v>221.25</v>
      </c>
      <c r="D69" s="6">
        <f>IFERROR(__xludf.DUMMYFUNCTION("""COMPUTED_VALUE"""),203.0)</f>
        <v>203</v>
      </c>
      <c r="E69" s="6">
        <f>IFERROR(__xludf.DUMMYFUNCTION("""COMPUTED_VALUE"""),206.4)</f>
        <v>206.4</v>
      </c>
      <c r="F69" s="6">
        <f>IFERROR(__xludf.DUMMYFUNCTION("""COMPUTED_VALUE"""),4.0746251E7)</f>
        <v>40746251</v>
      </c>
    </row>
    <row r="70">
      <c r="A70" s="7">
        <f>IFERROR(__xludf.DUMMYFUNCTION("""COMPUTED_VALUE"""),45674.64583333333)</f>
        <v>45674.64583</v>
      </c>
      <c r="B70" s="6">
        <f>IFERROR(__xludf.DUMMYFUNCTION("""COMPUTED_VALUE"""),204.05)</f>
        <v>204.05</v>
      </c>
      <c r="C70" s="6">
        <f>IFERROR(__xludf.DUMMYFUNCTION("""COMPUTED_VALUE"""),208.35)</f>
        <v>208.35</v>
      </c>
      <c r="D70" s="6">
        <f>IFERROR(__xludf.DUMMYFUNCTION("""COMPUTED_VALUE"""),198.3)</f>
        <v>198.3</v>
      </c>
      <c r="E70" s="6">
        <f>IFERROR(__xludf.DUMMYFUNCTION("""COMPUTED_VALUE"""),202.5)</f>
        <v>202.5</v>
      </c>
      <c r="F70" s="6">
        <f>IFERROR(__xludf.DUMMYFUNCTION("""COMPUTED_VALUE"""),1.5811196E7)</f>
        <v>15811196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IFERROR(__xludf.DUMMYFUNCTION("""COMPUTED_VALUE"""),202.5)</f>
        <v>202.5</v>
      </c>
      <c r="C71" s="6">
        <f>IFERROR(__xludf.DUMMYFUNCTION("""COMPUTED_VALUE"""),203.98)</f>
        <v>203.98</v>
      </c>
      <c r="D71" s="6">
        <f>IFERROR(__xludf.DUMMYFUNCTION("""COMPUTED_VALUE"""),189.03)</f>
        <v>189.03</v>
      </c>
      <c r="E71" s="6">
        <f>IFERROR(__xludf.DUMMYFUNCTION("""COMPUTED_VALUE"""),191.63)</f>
        <v>191.63</v>
      </c>
      <c r="F71" s="6">
        <f>IFERROR(__xludf.DUMMYFUNCTION("""COMPUTED_VALUE"""),1.09492E7)</f>
        <v>10949200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IFERROR(__xludf.DUMMYFUNCTION("""COMPUTED_VALUE"""),194.53)</f>
        <v>194.53</v>
      </c>
      <c r="C72" s="6">
        <f>IFERROR(__xludf.DUMMYFUNCTION("""COMPUTED_VALUE"""),209.53)</f>
        <v>209.53</v>
      </c>
      <c r="D72" s="6">
        <f>IFERROR(__xludf.DUMMYFUNCTION("""COMPUTED_VALUE"""),188.19)</f>
        <v>188.19</v>
      </c>
      <c r="E72" s="6">
        <f>IFERROR(__xludf.DUMMYFUNCTION("""COMPUTED_VALUE"""),198.9)</f>
        <v>198.9</v>
      </c>
      <c r="F72" s="6">
        <f>IFERROR(__xludf.DUMMYFUNCTION("""COMPUTED_VALUE"""),2.9641629E7)</f>
        <v>29641629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IFERROR(__xludf.DUMMYFUNCTION("""COMPUTED_VALUE"""),200.0)</f>
        <v>200</v>
      </c>
      <c r="C73" s="6">
        <f>IFERROR(__xludf.DUMMYFUNCTION("""COMPUTED_VALUE"""),201.0)</f>
        <v>201</v>
      </c>
      <c r="D73" s="6">
        <f>IFERROR(__xludf.DUMMYFUNCTION("""COMPUTED_VALUE"""),183.28)</f>
        <v>183.28</v>
      </c>
      <c r="E73" s="6">
        <f>IFERROR(__xludf.DUMMYFUNCTION("""COMPUTED_VALUE"""),185.67)</f>
        <v>185.67</v>
      </c>
      <c r="F73" s="6">
        <f>IFERROR(__xludf.DUMMYFUNCTION("""COMPUTED_VALUE"""),1.5360998E7)</f>
        <v>15360998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IFERROR(__xludf.DUMMYFUNCTION("""COMPUTED_VALUE"""),186.21)</f>
        <v>186.21</v>
      </c>
      <c r="C74" s="6">
        <f>IFERROR(__xludf.DUMMYFUNCTION("""COMPUTED_VALUE"""),206.61)</f>
        <v>206.61</v>
      </c>
      <c r="D74" s="6">
        <f>IFERROR(__xludf.DUMMYFUNCTION("""COMPUTED_VALUE"""),181.5)</f>
        <v>181.5</v>
      </c>
      <c r="E74" s="6">
        <f>IFERROR(__xludf.DUMMYFUNCTION("""COMPUTED_VALUE"""),201.4)</f>
        <v>201.4</v>
      </c>
      <c r="F74" s="6">
        <f>IFERROR(__xludf.DUMMYFUNCTION("""COMPUTED_VALUE"""),1.7365855E7)</f>
        <v>17365855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IFERROR(__xludf.DUMMYFUNCTION("""COMPUTED_VALUE"""),196.0)</f>
        <v>196</v>
      </c>
      <c r="C75" s="6">
        <f>IFERROR(__xludf.DUMMYFUNCTION("""COMPUTED_VALUE"""),200.44)</f>
        <v>200.44</v>
      </c>
      <c r="D75" s="6">
        <f>IFERROR(__xludf.DUMMYFUNCTION("""COMPUTED_VALUE"""),187.57)</f>
        <v>187.57</v>
      </c>
      <c r="E75" s="6">
        <f>IFERROR(__xludf.DUMMYFUNCTION("""COMPUTED_VALUE"""),189.48)</f>
        <v>189.48</v>
      </c>
      <c r="F75" s="6">
        <f>IFERROR(__xludf.DUMMYFUNCTION("""COMPUTED_VALUE"""),1.4252609E7)</f>
        <v>14252609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IFERROR(__xludf.DUMMYFUNCTION("""COMPUTED_VALUE"""),188.1)</f>
        <v>188.1</v>
      </c>
      <c r="C76" s="6">
        <f>IFERROR(__xludf.DUMMYFUNCTION("""COMPUTED_VALUE"""),191.5)</f>
        <v>191.5</v>
      </c>
      <c r="D76" s="6">
        <f>IFERROR(__xludf.DUMMYFUNCTION("""COMPUTED_VALUE"""),175.91)</f>
        <v>175.91</v>
      </c>
      <c r="E76" s="6">
        <f>IFERROR(__xludf.DUMMYFUNCTION("""COMPUTED_VALUE"""),188.49)</f>
        <v>188.49</v>
      </c>
      <c r="F76" s="6">
        <f>IFERROR(__xludf.DUMMYFUNCTION("""COMPUTED_VALUE"""),3.7403187E7)</f>
        <v>37403187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IFERROR(__xludf.DUMMYFUNCTION("""COMPUTED_VALUE"""),188.0)</f>
        <v>188</v>
      </c>
      <c r="C77" s="6">
        <f>IFERROR(__xludf.DUMMYFUNCTION("""COMPUTED_VALUE"""),190.73)</f>
        <v>190.73</v>
      </c>
      <c r="D77" s="6">
        <f>IFERROR(__xludf.DUMMYFUNCTION("""COMPUTED_VALUE"""),181.4)</f>
        <v>181.4</v>
      </c>
      <c r="E77" s="6">
        <f>IFERROR(__xludf.DUMMYFUNCTION("""COMPUTED_VALUE"""),184.88)</f>
        <v>184.88</v>
      </c>
      <c r="F77" s="6">
        <f>IFERROR(__xludf.DUMMYFUNCTION("""COMPUTED_VALUE"""),8028261.0)</f>
        <v>8028261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IFERROR(__xludf.DUMMYFUNCTION("""COMPUTED_VALUE"""),188.85)</f>
        <v>188.85</v>
      </c>
      <c r="C78" s="6">
        <f>IFERROR(__xludf.DUMMYFUNCTION("""COMPUTED_VALUE"""),201.64)</f>
        <v>201.64</v>
      </c>
      <c r="D78" s="6">
        <f>IFERROR(__xludf.DUMMYFUNCTION("""COMPUTED_VALUE"""),187.71)</f>
        <v>187.71</v>
      </c>
      <c r="E78" s="6">
        <f>IFERROR(__xludf.DUMMYFUNCTION("""COMPUTED_VALUE"""),198.14)</f>
        <v>198.14</v>
      </c>
      <c r="F78" s="6">
        <f>IFERROR(__xludf.DUMMYFUNCTION("""COMPUTED_VALUE"""),1.575861E7)</f>
        <v>15758610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IFERROR(__xludf.DUMMYFUNCTION("""COMPUTED_VALUE"""),202.5)</f>
        <v>202.5</v>
      </c>
      <c r="C79" s="6">
        <f>IFERROR(__xludf.DUMMYFUNCTION("""COMPUTED_VALUE"""),208.88)</f>
        <v>208.88</v>
      </c>
      <c r="D79" s="6">
        <f>IFERROR(__xludf.DUMMYFUNCTION("""COMPUTED_VALUE"""),193.47)</f>
        <v>193.47</v>
      </c>
      <c r="E79" s="6">
        <f>IFERROR(__xludf.DUMMYFUNCTION("""COMPUTED_VALUE"""),203.12)</f>
        <v>203.12</v>
      </c>
      <c r="F79" s="6">
        <f>IFERROR(__xludf.DUMMYFUNCTION("""COMPUTED_VALUE"""),2.0747117E7)</f>
        <v>20747117</v>
      </c>
    </row>
    <row r="80">
      <c r="A80" s="7">
        <f>IFERROR(__xludf.DUMMYFUNCTION("""COMPUTED_VALUE"""),45751.64583333333)</f>
        <v>45751.64583</v>
      </c>
      <c r="B80" s="6">
        <f>IFERROR(__xludf.DUMMYFUNCTION("""COMPUTED_VALUE"""),201.0)</f>
        <v>201</v>
      </c>
      <c r="C80" s="6">
        <f>IFERROR(__xludf.DUMMYFUNCTION("""COMPUTED_VALUE"""),209.65)</f>
        <v>209.65</v>
      </c>
      <c r="D80" s="6">
        <f>IFERROR(__xludf.DUMMYFUNCTION("""COMPUTED_VALUE"""),196.0)</f>
        <v>196</v>
      </c>
      <c r="E80" s="6">
        <f>IFERROR(__xludf.DUMMYFUNCTION("""COMPUTED_VALUE"""),198.06)</f>
        <v>198.06</v>
      </c>
      <c r="F80" s="6">
        <f>IFERROR(__xludf.DUMMYFUNCTION("""COMPUTED_VALUE"""),1.364451E7)</f>
        <v>13644510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IFERROR(__xludf.DUMMYFUNCTION("""COMPUTED_VALUE"""),183.0)</f>
        <v>183</v>
      </c>
      <c r="C81" s="6">
        <f>IFERROR(__xludf.DUMMYFUNCTION("""COMPUTED_VALUE"""),193.67)</f>
        <v>193.67</v>
      </c>
      <c r="D81" s="6">
        <f>IFERROR(__xludf.DUMMYFUNCTION("""COMPUTED_VALUE"""),172.15)</f>
        <v>172.15</v>
      </c>
      <c r="E81" s="6">
        <f>IFERROR(__xludf.DUMMYFUNCTION("""COMPUTED_VALUE"""),174.76)</f>
        <v>174.76</v>
      </c>
      <c r="F81" s="6">
        <f>IFERROR(__xludf.DUMMYFUNCTION("""COMPUTED_VALUE"""),2.7765175E7)</f>
        <v>27765175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IFERROR(__xludf.DUMMYFUNCTION("""COMPUTED_VALUE"""),175.84)</f>
        <v>175.84</v>
      </c>
      <c r="C82" s="6">
        <f>IFERROR(__xludf.DUMMYFUNCTION("""COMPUTED_VALUE"""),179.84)</f>
        <v>179.84</v>
      </c>
      <c r="D82" s="6">
        <f>IFERROR(__xludf.DUMMYFUNCTION("""COMPUTED_VALUE"""),172.0)</f>
        <v>172</v>
      </c>
      <c r="E82" s="6">
        <f>IFERROR(__xludf.DUMMYFUNCTION("""COMPUTED_VALUE"""),176.95)</f>
        <v>176.95</v>
      </c>
      <c r="F82" s="6">
        <f>IFERROR(__xludf.DUMMYFUNCTION("""COMPUTED_VALUE"""),1.8568478E7)</f>
        <v>18568478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IFERROR(__xludf.DUMMYFUNCTION("""COMPUTED_VALUE"""),179.89)</f>
        <v>179.89</v>
      </c>
      <c r="C83" s="6">
        <f>IFERROR(__xludf.DUMMYFUNCTION("""COMPUTED_VALUE"""),190.45)</f>
        <v>190.45</v>
      </c>
      <c r="D83" s="6">
        <f>IFERROR(__xludf.DUMMYFUNCTION("""COMPUTED_VALUE"""),177.5)</f>
        <v>177.5</v>
      </c>
      <c r="E83" s="6">
        <f>IFERROR(__xludf.DUMMYFUNCTION("""COMPUTED_VALUE"""),178.2)</f>
        <v>178.2</v>
      </c>
      <c r="F83" s="6">
        <f>IFERROR(__xludf.DUMMYFUNCTION("""COMPUTED_VALUE"""),2.3601516E7)</f>
        <v>23601516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IFERROR(__xludf.DUMMYFUNCTION("""COMPUTED_VALUE"""),180.59)</f>
        <v>180.59</v>
      </c>
      <c r="C84" s="6">
        <f>IFERROR(__xludf.DUMMYFUNCTION("""COMPUTED_VALUE"""),198.8)</f>
        <v>198.8</v>
      </c>
      <c r="D84" s="6">
        <f>IFERROR(__xludf.DUMMYFUNCTION("""COMPUTED_VALUE"""),178.5)</f>
        <v>178.5</v>
      </c>
      <c r="E84" s="6">
        <f>IFERROR(__xludf.DUMMYFUNCTION("""COMPUTED_VALUE"""),192.94)</f>
        <v>192.94</v>
      </c>
      <c r="F84" s="6">
        <f>IFERROR(__xludf.DUMMYFUNCTION("""COMPUTED_VALUE"""),4.4866591E7)</f>
        <v>44866591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IFERROR(__xludf.DUMMYFUNCTION("""COMPUTED_VALUE"""),194.1)</f>
        <v>194.1</v>
      </c>
      <c r="C85" s="6">
        <f>IFERROR(__xludf.DUMMYFUNCTION("""COMPUTED_VALUE"""),210.0)</f>
        <v>210</v>
      </c>
      <c r="D85" s="6">
        <f>IFERROR(__xludf.DUMMYFUNCTION("""COMPUTED_VALUE"""),193.9)</f>
        <v>193.9</v>
      </c>
      <c r="E85" s="6">
        <f>IFERROR(__xludf.DUMMYFUNCTION("""COMPUTED_VALUE"""),199.71)</f>
        <v>199.71</v>
      </c>
      <c r="F85" s="6">
        <f>IFERROR(__xludf.DUMMYFUNCTION("""COMPUTED_VALUE"""),2.9814693E7)</f>
        <v>29814693</v>
      </c>
    </row>
    <row r="86">
      <c r="A86" s="7">
        <f>IFERROR(__xludf.DUMMYFUNCTION("""COMPUTED_VALUE"""),45793.64583333333)</f>
        <v>45793.64583</v>
      </c>
      <c r="B86" s="6">
        <f>IFERROR(__xludf.DUMMYFUNCTION("""COMPUTED_VALUE"""),204.98)</f>
        <v>204.98</v>
      </c>
      <c r="C86" s="6">
        <f>IFERROR(__xludf.DUMMYFUNCTION("""COMPUTED_VALUE"""),210.9)</f>
        <v>210.9</v>
      </c>
      <c r="D86" s="6">
        <f>IFERROR(__xludf.DUMMYFUNCTION("""COMPUTED_VALUE"""),202.1)</f>
        <v>202.1</v>
      </c>
      <c r="E86" s="6">
        <f>IFERROR(__xludf.DUMMYFUNCTION("""COMPUTED_VALUE"""),209.2)</f>
        <v>209.2</v>
      </c>
      <c r="F86" s="6">
        <f>IFERROR(__xludf.DUMMYFUNCTION("""COMPUTED_VALUE"""),1.054748E7)</f>
        <v>10547480</v>
      </c>
    </row>
    <row r="87">
      <c r="A87" s="7">
        <f>IFERROR(__xludf.DUMMYFUNCTION("""COMPUTED_VALUE"""),45800.64583333333)</f>
        <v>45800.64583</v>
      </c>
      <c r="B87" s="6">
        <f>IFERROR(__xludf.DUMMYFUNCTION("""COMPUTED_VALUE"""),209.2)</f>
        <v>209.2</v>
      </c>
      <c r="C87" s="6">
        <f>IFERROR(__xludf.DUMMYFUNCTION("""COMPUTED_VALUE"""),216.19)</f>
        <v>216.19</v>
      </c>
      <c r="D87" s="6">
        <f>IFERROR(__xludf.DUMMYFUNCTION("""COMPUTED_VALUE"""),201.51)</f>
        <v>201.51</v>
      </c>
      <c r="E87" s="6">
        <f>IFERROR(__xludf.DUMMYFUNCTION("""COMPUTED_VALUE"""),205.83)</f>
        <v>205.83</v>
      </c>
      <c r="F87" s="6">
        <f>IFERROR(__xludf.DUMMYFUNCTION("""COMPUTED_VALUE"""),1.1561775E7)</f>
        <v>11561775</v>
      </c>
    </row>
    <row r="88">
      <c r="A88" s="7">
        <f>IFERROR(__xludf.DUMMYFUNCTION("""COMPUTED_VALUE"""),45807.64583333333)</f>
        <v>45807.64583</v>
      </c>
      <c r="B88" s="6">
        <f>IFERROR(__xludf.DUMMYFUNCTION("""COMPUTED_VALUE"""),207.0)</f>
        <v>207</v>
      </c>
      <c r="C88" s="6">
        <f>IFERROR(__xludf.DUMMYFUNCTION("""COMPUTED_VALUE"""),216.43)</f>
        <v>216.43</v>
      </c>
      <c r="D88" s="6">
        <f>IFERROR(__xludf.DUMMYFUNCTION("""COMPUTED_VALUE"""),203.5)</f>
        <v>203.5</v>
      </c>
      <c r="E88" s="6">
        <f>IFERROR(__xludf.DUMMYFUNCTION("""COMPUTED_VALUE"""),206.66)</f>
        <v>206.66</v>
      </c>
      <c r="F88" s="6">
        <f>IFERROR(__xludf.DUMMYFUNCTION("""COMPUTED_VALUE"""),1.654054E7)</f>
        <v>16540540</v>
      </c>
    </row>
    <row r="89">
      <c r="A89" s="7">
        <f>IFERROR(__xludf.DUMMYFUNCTION("""COMPUTED_VALUE"""),45814.64583333333)</f>
        <v>45814.64583</v>
      </c>
      <c r="B89" s="6">
        <f>IFERROR(__xludf.DUMMYFUNCTION("""COMPUTED_VALUE"""),207.85)</f>
        <v>207.85</v>
      </c>
      <c r="C89" s="6">
        <f>IFERROR(__xludf.DUMMYFUNCTION("""COMPUTED_VALUE"""),217.37)</f>
        <v>217.37</v>
      </c>
      <c r="D89" s="6">
        <f>IFERROR(__xludf.DUMMYFUNCTION("""COMPUTED_VALUE"""),202.1)</f>
        <v>202.1</v>
      </c>
      <c r="E89" s="6">
        <f>IFERROR(__xludf.DUMMYFUNCTION("""COMPUTED_VALUE"""),210.6)</f>
        <v>210.6</v>
      </c>
      <c r="F89" s="6">
        <f>IFERROR(__xludf.DUMMYFUNCTION("""COMPUTED_VALUE"""),2.0411459E7)</f>
        <v>20411459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IFERROR(__xludf.DUMMYFUNCTION("""COMPUTED_VALUE"""),211.0)</f>
        <v>211</v>
      </c>
      <c r="C90" s="6">
        <f>IFERROR(__xludf.DUMMYFUNCTION("""COMPUTED_VALUE"""),218.35)</f>
        <v>218.35</v>
      </c>
      <c r="D90" s="6">
        <f>IFERROR(__xludf.DUMMYFUNCTION("""COMPUTED_VALUE"""),193.12)</f>
        <v>193.12</v>
      </c>
      <c r="E90" s="6">
        <f>IFERROR(__xludf.DUMMYFUNCTION("""COMPUTED_VALUE"""),198.88)</f>
        <v>198.88</v>
      </c>
      <c r="F90" s="6">
        <f>IFERROR(__xludf.DUMMYFUNCTION("""COMPUTED_VALUE"""),2.6871274E7)</f>
        <v>26871274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IFERROR(__xludf.DUMMYFUNCTION("""COMPUTED_VALUE"""),198.79)</f>
        <v>198.79</v>
      </c>
      <c r="C91" s="6">
        <f>IFERROR(__xludf.DUMMYFUNCTION("""COMPUTED_VALUE"""),213.8)</f>
        <v>213.8</v>
      </c>
      <c r="D91" s="6">
        <f>IFERROR(__xludf.DUMMYFUNCTION("""COMPUTED_VALUE"""),198.13)</f>
        <v>198.13</v>
      </c>
      <c r="E91" s="6">
        <f>IFERROR(__xludf.DUMMYFUNCTION("""COMPUTED_VALUE"""),205.67)</f>
        <v>205.67</v>
      </c>
      <c r="F91" s="6">
        <f>IFERROR(__xludf.DUMMYFUNCTION("""COMPUTED_VALUE"""),4.1879332E7)</f>
        <v>41879332</v>
      </c>
    </row>
    <row r="92">
      <c r="A92" s="7">
        <f>IFERROR(__xludf.DUMMYFUNCTION("""COMPUTED_VALUE"""),45835.64583333333)</f>
        <v>45835.64583</v>
      </c>
      <c r="B92" s="6">
        <f>IFERROR(__xludf.DUMMYFUNCTION("""COMPUTED_VALUE"""),205.4)</f>
        <v>205.4</v>
      </c>
      <c r="C92" s="6">
        <f>IFERROR(__xludf.DUMMYFUNCTION("""COMPUTED_VALUE"""),216.7)</f>
        <v>216.7</v>
      </c>
      <c r="D92" s="6">
        <f>IFERROR(__xludf.DUMMYFUNCTION("""COMPUTED_VALUE"""),203.0)</f>
        <v>203</v>
      </c>
      <c r="E92" s="6">
        <f>IFERROR(__xludf.DUMMYFUNCTION("""COMPUTED_VALUE"""),214.13)</f>
        <v>214.13</v>
      </c>
      <c r="F92" s="6">
        <f>IFERROR(__xludf.DUMMYFUNCTION("""COMPUTED_VALUE"""),3.0459744E7)</f>
        <v>30459744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IFERROR(__xludf.DUMMYFUNCTION("""COMPUTED_VALUE"""),218.0)</f>
        <v>218</v>
      </c>
      <c r="C93" s="6">
        <f>IFERROR(__xludf.DUMMYFUNCTION("""COMPUTED_VALUE"""),229.0)</f>
        <v>229</v>
      </c>
      <c r="D93" s="6">
        <f>IFERROR(__xludf.DUMMYFUNCTION("""COMPUTED_VALUE"""),213.5)</f>
        <v>213.5</v>
      </c>
      <c r="E93" s="6">
        <f>IFERROR(__xludf.DUMMYFUNCTION("""COMPUTED_VALUE"""),226.1)</f>
        <v>226.1</v>
      </c>
      <c r="F93" s="6">
        <f>IFERROR(__xludf.DUMMYFUNCTION("""COMPUTED_VALUE"""),3.0822719E7)</f>
        <v>30822719</v>
      </c>
    </row>
    <row r="94">
      <c r="A94" s="7">
        <f>IFERROR(__xludf.DUMMYFUNCTION("""COMPUTED_VALUE"""),45849.64583333333)</f>
        <v>45849.64583</v>
      </c>
      <c r="B94" s="6">
        <f>IFERROR(__xludf.DUMMYFUNCTION("""COMPUTED_VALUE"""),227.0)</f>
        <v>227</v>
      </c>
      <c r="C94" s="6">
        <f>IFERROR(__xludf.DUMMYFUNCTION("""COMPUTED_VALUE"""),229.0)</f>
        <v>229</v>
      </c>
      <c r="D94" s="6">
        <f>IFERROR(__xludf.DUMMYFUNCTION("""COMPUTED_VALUE"""),217.15)</f>
        <v>217.15</v>
      </c>
      <c r="E94" s="6">
        <f>IFERROR(__xludf.DUMMYFUNCTION("""COMPUTED_VALUE"""),218.38)</f>
        <v>218.38</v>
      </c>
      <c r="F94" s="6">
        <f>IFERROR(__xludf.DUMMYFUNCTION("""COMPUTED_VALUE"""),1.1643529E7)</f>
        <v>11643529</v>
      </c>
    </row>
    <row r="95">
      <c r="A95" s="7">
        <f>IFERROR(__xludf.DUMMYFUNCTION("""COMPUTED_VALUE"""),45856.64583333333)</f>
        <v>45856.64583</v>
      </c>
      <c r="B95" s="6">
        <f>IFERROR(__xludf.DUMMYFUNCTION("""COMPUTED_VALUE"""),219.0)</f>
        <v>219</v>
      </c>
      <c r="C95" s="6">
        <f>IFERROR(__xludf.DUMMYFUNCTION("""COMPUTED_VALUE"""),222.21)</f>
        <v>222.21</v>
      </c>
      <c r="D95" s="6">
        <f>IFERROR(__xludf.DUMMYFUNCTION("""COMPUTED_VALUE"""),213.83)</f>
        <v>213.83</v>
      </c>
      <c r="E95" s="6">
        <f>IFERROR(__xludf.DUMMYFUNCTION("""COMPUTED_VALUE"""),215.07)</f>
        <v>215.07</v>
      </c>
      <c r="F95" s="6">
        <f>IFERROR(__xludf.DUMMYFUNCTION("""COMPUTED_VALUE"""),1.1726325E7)</f>
        <v>11726325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IFERROR(__xludf.DUMMYFUNCTION("""COMPUTED_VALUE"""),215.0)</f>
        <v>215</v>
      </c>
      <c r="C96" s="6">
        <f>IFERROR(__xludf.DUMMYFUNCTION("""COMPUTED_VALUE"""),217.43)</f>
        <v>217.43</v>
      </c>
      <c r="D96" s="6">
        <f>IFERROR(__xludf.DUMMYFUNCTION("""COMPUTED_VALUE"""),200.05)</f>
        <v>200.05</v>
      </c>
      <c r="E96" s="6">
        <f>IFERROR(__xludf.DUMMYFUNCTION("""COMPUTED_VALUE"""),201.02)</f>
        <v>201.02</v>
      </c>
      <c r="F96" s="6">
        <f>IFERROR(__xludf.DUMMYFUNCTION("""COMPUTED_VALUE"""),1.9097099E7)</f>
        <v>19097099</v>
      </c>
    </row>
    <row r="97">
      <c r="A97" s="7">
        <f>IFERROR(__xludf.DUMMYFUNCTION("""COMPUTED_VALUE"""),45870.64583333333)</f>
        <v>45870.64583</v>
      </c>
      <c r="B97" s="6">
        <f>IFERROR(__xludf.DUMMYFUNCTION("""COMPUTED_VALUE"""),201.03)</f>
        <v>201.03</v>
      </c>
      <c r="C97" s="6">
        <f>IFERROR(__xludf.DUMMYFUNCTION("""COMPUTED_VALUE"""),211.41)</f>
        <v>211.41</v>
      </c>
      <c r="D97" s="6">
        <f>IFERROR(__xludf.DUMMYFUNCTION("""COMPUTED_VALUE"""),199.2)</f>
        <v>199.2</v>
      </c>
      <c r="E97" s="6">
        <f>IFERROR(__xludf.DUMMYFUNCTION("""COMPUTED_VALUE"""),201.54)</f>
        <v>201.54</v>
      </c>
      <c r="F97" s="6">
        <f>IFERROR(__xludf.DUMMYFUNCTION("""COMPUTED_VALUE"""),2.2407416E7)</f>
        <v>22407416</v>
      </c>
    </row>
    <row r="98">
      <c r="A98" s="7">
        <f>IFERROR(__xludf.DUMMYFUNCTION("""COMPUTED_VALUE"""),45877.64583333333)</f>
        <v>45877.64583</v>
      </c>
      <c r="B98" s="6">
        <f>IFERROR(__xludf.DUMMYFUNCTION("""COMPUTED_VALUE"""),202.11)</f>
        <v>202.11</v>
      </c>
      <c r="C98" s="6">
        <f>IFERROR(__xludf.DUMMYFUNCTION("""COMPUTED_VALUE"""),207.6)</f>
        <v>207.6</v>
      </c>
      <c r="D98" s="6">
        <f>IFERROR(__xludf.DUMMYFUNCTION("""COMPUTED_VALUE"""),200.69)</f>
        <v>200.69</v>
      </c>
      <c r="E98" s="6">
        <f>IFERROR(__xludf.DUMMYFUNCTION("""COMPUTED_VALUE"""),202.17)</f>
        <v>202.17</v>
      </c>
      <c r="F98" s="6">
        <f>IFERROR(__xludf.DUMMYFUNCTION("""COMPUTED_VALUE"""),9348358.0)</f>
        <v>9348358</v>
      </c>
    </row>
    <row r="99">
      <c r="A99" s="7">
        <f>IFERROR(__xludf.DUMMYFUNCTION("""COMPUTED_VALUE"""),45883.64583333333)</f>
        <v>45883.64583</v>
      </c>
      <c r="B99" s="6">
        <f>IFERROR(__xludf.DUMMYFUNCTION("""COMPUTED_VALUE"""),202.17)</f>
        <v>202.17</v>
      </c>
      <c r="C99" s="6">
        <f>IFERROR(__xludf.DUMMYFUNCTION("""COMPUTED_VALUE"""),209.2)</f>
        <v>209.2</v>
      </c>
      <c r="D99" s="6">
        <f>IFERROR(__xludf.DUMMYFUNCTION("""COMPUTED_VALUE"""),200.28)</f>
        <v>200.28</v>
      </c>
      <c r="E99" s="6">
        <f>IFERROR(__xludf.DUMMYFUNCTION("""COMPUTED_VALUE"""),204.09)</f>
        <v>204.09</v>
      </c>
      <c r="F99" s="6">
        <f>IFERROR(__xludf.DUMMYFUNCTION("""COMPUTED_VALUE"""),6818563.0)</f>
        <v>6818563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IFERROR(__xludf.DUMMYFUNCTION("""COMPUTED_VALUE"""),205.14)</f>
        <v>205.14</v>
      </c>
      <c r="C100" s="6">
        <f>IFERROR(__xludf.DUMMYFUNCTION("""COMPUTED_VALUE"""),208.6)</f>
        <v>208.6</v>
      </c>
      <c r="D100" s="6">
        <f>IFERROR(__xludf.DUMMYFUNCTION("""COMPUTED_VALUE"""),202.4)</f>
        <v>202.4</v>
      </c>
      <c r="E100" s="6">
        <f>IFERROR(__xludf.DUMMYFUNCTION("""COMPUTED_VALUE"""),207.21)</f>
        <v>207.21</v>
      </c>
      <c r="F100" s="6">
        <f>IFERROR(__xludf.DUMMYFUNCTION("""COMPUTED_VALUE"""),1.0022948E7)</f>
        <v>10022948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IFERROR(__xludf.DUMMYFUNCTION("""COMPUTED_VALUE"""),207.0)</f>
        <v>207</v>
      </c>
      <c r="C101" s="6">
        <f>IFERROR(__xludf.DUMMYFUNCTION("""COMPUTED_VALUE"""),212.82)</f>
        <v>212.82</v>
      </c>
      <c r="D101" s="6">
        <f>IFERROR(__xludf.DUMMYFUNCTION("""COMPUTED_VALUE"""),206.64)</f>
        <v>206.64</v>
      </c>
      <c r="E101" s="6">
        <f>IFERROR(__xludf.DUMMYFUNCTION("""COMPUTED_VALUE"""),207.58)</f>
        <v>207.58</v>
      </c>
      <c r="F101" s="6">
        <f>IFERROR(__xludf.DUMMYFUNCTION("""COMPUTED_VALUE"""),5.1045207E7)</f>
        <v>51045207</v>
      </c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IFERROR(__xludf.DUMMYFUNCTION("GOOGLEFINANCE(""NSE:INDHOTEL"",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IFERROR(__xludf.DUMMYFUNCTION("""COMPUTED_VALUE"""),393.0)</f>
        <v>393</v>
      </c>
      <c r="C2" s="6">
        <f>IFERROR(__xludf.DUMMYFUNCTION("""COMPUTED_VALUE"""),427.5)</f>
        <v>427.5</v>
      </c>
      <c r="D2" s="6">
        <f>IFERROR(__xludf.DUMMYFUNCTION("""COMPUTED_VALUE"""),391.55)</f>
        <v>391.55</v>
      </c>
      <c r="E2" s="6">
        <f>IFERROR(__xludf.DUMMYFUNCTION("""COMPUTED_VALUE"""),424.25)</f>
        <v>424.25</v>
      </c>
      <c r="F2" s="6">
        <f>IFERROR(__xludf.DUMMYFUNCTION("""COMPUTED_VALUE"""),2.9047516E7)</f>
        <v>29047516</v>
      </c>
    </row>
    <row r="3">
      <c r="A3" s="7">
        <f>IFERROR(__xludf.DUMMYFUNCTION("""COMPUTED_VALUE"""),45177.64583333333)</f>
        <v>45177.64583</v>
      </c>
      <c r="B3" s="6">
        <f>IFERROR(__xludf.DUMMYFUNCTION("""COMPUTED_VALUE"""),424.5)</f>
        <v>424.5</v>
      </c>
      <c r="C3" s="6">
        <f>IFERROR(__xludf.DUMMYFUNCTION("""COMPUTED_VALUE"""),436.45)</f>
        <v>436.45</v>
      </c>
      <c r="D3" s="6">
        <f>IFERROR(__xludf.DUMMYFUNCTION("""COMPUTED_VALUE"""),418.1)</f>
        <v>418.1</v>
      </c>
      <c r="E3" s="6">
        <f>IFERROR(__xludf.DUMMYFUNCTION("""COMPUTED_VALUE"""),429.55)</f>
        <v>429.55</v>
      </c>
      <c r="F3" s="6">
        <f>IFERROR(__xludf.DUMMYFUNCTION("""COMPUTED_VALUE"""),1.6189926E7)</f>
        <v>16189926</v>
      </c>
    </row>
    <row r="4">
      <c r="A4" s="7">
        <f>IFERROR(__xludf.DUMMYFUNCTION("""COMPUTED_VALUE"""),45184.64583333333)</f>
        <v>45184.64583</v>
      </c>
      <c r="B4" s="6">
        <f>IFERROR(__xludf.DUMMYFUNCTION("""COMPUTED_VALUE"""),430.45)</f>
        <v>430.45</v>
      </c>
      <c r="C4" s="6">
        <f>IFERROR(__xludf.DUMMYFUNCTION("""COMPUTED_VALUE"""),433.75)</f>
        <v>433.75</v>
      </c>
      <c r="D4" s="6">
        <f>IFERROR(__xludf.DUMMYFUNCTION("""COMPUTED_VALUE"""),407.35)</f>
        <v>407.35</v>
      </c>
      <c r="E4" s="6">
        <f>IFERROR(__xludf.DUMMYFUNCTION("""COMPUTED_VALUE"""),416.65)</f>
        <v>416.65</v>
      </c>
      <c r="F4" s="6">
        <f>IFERROR(__xludf.DUMMYFUNCTION("""COMPUTED_VALUE"""),1.945845E7)</f>
        <v>19458450</v>
      </c>
    </row>
    <row r="5">
      <c r="A5" s="7">
        <f>IFERROR(__xludf.DUMMYFUNCTION("""COMPUTED_VALUE"""),45191.64583333333)</f>
        <v>45191.64583</v>
      </c>
      <c r="B5" s="6">
        <f>IFERROR(__xludf.DUMMYFUNCTION("""COMPUTED_VALUE"""),419.8)</f>
        <v>419.8</v>
      </c>
      <c r="C5" s="6">
        <f>IFERROR(__xludf.DUMMYFUNCTION("""COMPUTED_VALUE"""),421.55)</f>
        <v>421.55</v>
      </c>
      <c r="D5" s="6">
        <f>IFERROR(__xludf.DUMMYFUNCTION("""COMPUTED_VALUE"""),402.65)</f>
        <v>402.65</v>
      </c>
      <c r="E5" s="6">
        <f>IFERROR(__xludf.DUMMYFUNCTION("""COMPUTED_VALUE"""),406.25)</f>
        <v>406.25</v>
      </c>
      <c r="F5" s="6">
        <f>IFERROR(__xludf.DUMMYFUNCTION("""COMPUTED_VALUE"""),9090620.0)</f>
        <v>9090620</v>
      </c>
    </row>
    <row r="6">
      <c r="A6" s="7">
        <f>IFERROR(__xludf.DUMMYFUNCTION("""COMPUTED_VALUE"""),45198.64583333333)</f>
        <v>45198.64583</v>
      </c>
      <c r="B6" s="6">
        <f>IFERROR(__xludf.DUMMYFUNCTION("""COMPUTED_VALUE"""),406.25)</f>
        <v>406.25</v>
      </c>
      <c r="C6" s="6">
        <f>IFERROR(__xludf.DUMMYFUNCTION("""COMPUTED_VALUE"""),414.9)</f>
        <v>414.9</v>
      </c>
      <c r="D6" s="6">
        <f>IFERROR(__xludf.DUMMYFUNCTION("""COMPUTED_VALUE"""),400.45)</f>
        <v>400.45</v>
      </c>
      <c r="E6" s="6">
        <f>IFERROR(__xludf.DUMMYFUNCTION("""COMPUTED_VALUE"""),411.1)</f>
        <v>411.1</v>
      </c>
      <c r="F6" s="6">
        <f>IFERROR(__xludf.DUMMYFUNCTION("""COMPUTED_VALUE"""),1.2971163E7)</f>
        <v>12971163</v>
      </c>
    </row>
    <row r="7">
      <c r="A7" s="7">
        <f>IFERROR(__xludf.DUMMYFUNCTION("""COMPUTED_VALUE"""),45205.64583333333)</f>
        <v>45205.64583</v>
      </c>
      <c r="B7" s="6">
        <f>IFERROR(__xludf.DUMMYFUNCTION("""COMPUTED_VALUE"""),412.0)</f>
        <v>412</v>
      </c>
      <c r="C7" s="6">
        <f>IFERROR(__xludf.DUMMYFUNCTION("""COMPUTED_VALUE"""),424.75)</f>
        <v>424.75</v>
      </c>
      <c r="D7" s="6">
        <f>IFERROR(__xludf.DUMMYFUNCTION("""COMPUTED_VALUE"""),401.6)</f>
        <v>401.6</v>
      </c>
      <c r="E7" s="6">
        <f>IFERROR(__xludf.DUMMYFUNCTION("""COMPUTED_VALUE"""),422.95)</f>
        <v>422.95</v>
      </c>
      <c r="F7" s="6">
        <f>IFERROR(__xludf.DUMMYFUNCTION("""COMPUTED_VALUE"""),1.191157E7)</f>
        <v>11911570</v>
      </c>
    </row>
    <row r="8">
      <c r="A8" s="7">
        <f>IFERROR(__xludf.DUMMYFUNCTION("""COMPUTED_VALUE"""),45212.64583333333)</f>
        <v>45212.64583</v>
      </c>
      <c r="B8" s="6">
        <f>IFERROR(__xludf.DUMMYFUNCTION("""COMPUTED_VALUE"""),420.0)</f>
        <v>420</v>
      </c>
      <c r="C8" s="6">
        <f>IFERROR(__xludf.DUMMYFUNCTION("""COMPUTED_VALUE"""),422.9)</f>
        <v>422.9</v>
      </c>
      <c r="D8" s="6">
        <f>IFERROR(__xludf.DUMMYFUNCTION("""COMPUTED_VALUE"""),411.2)</f>
        <v>411.2</v>
      </c>
      <c r="E8" s="6">
        <f>IFERROR(__xludf.DUMMYFUNCTION("""COMPUTED_VALUE"""),414.75)</f>
        <v>414.75</v>
      </c>
      <c r="F8" s="6">
        <f>IFERROR(__xludf.DUMMYFUNCTION("""COMPUTED_VALUE"""),1.1498798E7)</f>
        <v>11498798</v>
      </c>
    </row>
    <row r="9">
      <c r="A9" s="7">
        <f>IFERROR(__xludf.DUMMYFUNCTION("""COMPUTED_VALUE"""),45219.64583333333)</f>
        <v>45219.64583</v>
      </c>
      <c r="B9" s="6">
        <f>IFERROR(__xludf.DUMMYFUNCTION("""COMPUTED_VALUE"""),414.0)</f>
        <v>414</v>
      </c>
      <c r="C9" s="6">
        <f>IFERROR(__xludf.DUMMYFUNCTION("""COMPUTED_VALUE"""),423.45)</f>
        <v>423.45</v>
      </c>
      <c r="D9" s="6">
        <f>IFERROR(__xludf.DUMMYFUNCTION("""COMPUTED_VALUE"""),403.6)</f>
        <v>403.6</v>
      </c>
      <c r="E9" s="6">
        <f>IFERROR(__xludf.DUMMYFUNCTION("""COMPUTED_VALUE"""),404.95)</f>
        <v>404.95</v>
      </c>
      <c r="F9" s="6">
        <f>IFERROR(__xludf.DUMMYFUNCTION("""COMPUTED_VALUE"""),1.2003019E7)</f>
        <v>12003019</v>
      </c>
    </row>
    <row r="10">
      <c r="A10" s="7">
        <f>IFERROR(__xludf.DUMMYFUNCTION("""COMPUTED_VALUE"""),45226.64583333333)</f>
        <v>45226.64583</v>
      </c>
      <c r="B10" s="6">
        <f>IFERROR(__xludf.DUMMYFUNCTION("""COMPUTED_VALUE"""),406.0)</f>
        <v>406</v>
      </c>
      <c r="C10" s="6">
        <f>IFERROR(__xludf.DUMMYFUNCTION("""COMPUTED_VALUE"""),408.0)</f>
        <v>408</v>
      </c>
      <c r="D10" s="6">
        <f>IFERROR(__xludf.DUMMYFUNCTION("""COMPUTED_VALUE"""),371.6)</f>
        <v>371.6</v>
      </c>
      <c r="E10" s="6">
        <f>IFERROR(__xludf.DUMMYFUNCTION("""COMPUTED_VALUE"""),374.55)</f>
        <v>374.55</v>
      </c>
      <c r="F10" s="6">
        <f>IFERROR(__xludf.DUMMYFUNCTION("""COMPUTED_VALUE"""),2.4473124E7)</f>
        <v>24473124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IFERROR(__xludf.DUMMYFUNCTION("""COMPUTED_VALUE"""),377.8)</f>
        <v>377.8</v>
      </c>
      <c r="C11" s="6">
        <f>IFERROR(__xludf.DUMMYFUNCTION("""COMPUTED_VALUE"""),393.7)</f>
        <v>393.7</v>
      </c>
      <c r="D11" s="6">
        <f>IFERROR(__xludf.DUMMYFUNCTION("""COMPUTED_VALUE"""),372.65)</f>
        <v>372.65</v>
      </c>
      <c r="E11" s="6">
        <f>IFERROR(__xludf.DUMMYFUNCTION("""COMPUTED_VALUE"""),392.9)</f>
        <v>392.9</v>
      </c>
      <c r="F11" s="6">
        <f>IFERROR(__xludf.DUMMYFUNCTION("""COMPUTED_VALUE"""),1.3456891E7)</f>
        <v>13456891</v>
      </c>
    </row>
    <row r="12">
      <c r="A12" s="7">
        <f>IFERROR(__xludf.DUMMYFUNCTION("""COMPUTED_VALUE"""),45240.64583333333)</f>
        <v>45240.64583</v>
      </c>
      <c r="B12" s="6">
        <f>IFERROR(__xludf.DUMMYFUNCTION("""COMPUTED_VALUE"""),393.8)</f>
        <v>393.8</v>
      </c>
      <c r="C12" s="6">
        <f>IFERROR(__xludf.DUMMYFUNCTION("""COMPUTED_VALUE"""),410.1)</f>
        <v>410.1</v>
      </c>
      <c r="D12" s="6">
        <f>IFERROR(__xludf.DUMMYFUNCTION("""COMPUTED_VALUE"""),393.25)</f>
        <v>393.25</v>
      </c>
      <c r="E12" s="6">
        <f>IFERROR(__xludf.DUMMYFUNCTION("""COMPUTED_VALUE"""),409.45)</f>
        <v>409.45</v>
      </c>
      <c r="F12" s="6">
        <f>IFERROR(__xludf.DUMMYFUNCTION("""COMPUTED_VALUE"""),1.1711246E7)</f>
        <v>11711246</v>
      </c>
    </row>
    <row r="13">
      <c r="A13" s="7">
        <f>IFERROR(__xludf.DUMMYFUNCTION("""COMPUTED_VALUE"""),45247.64583333333)</f>
        <v>45247.64583</v>
      </c>
      <c r="B13" s="6">
        <f>IFERROR(__xludf.DUMMYFUNCTION("""COMPUTED_VALUE"""),413.5)</f>
        <v>413.5</v>
      </c>
      <c r="C13" s="6">
        <f>IFERROR(__xludf.DUMMYFUNCTION("""COMPUTED_VALUE"""),415.45)</f>
        <v>415.45</v>
      </c>
      <c r="D13" s="6">
        <f>IFERROR(__xludf.DUMMYFUNCTION("""COMPUTED_VALUE"""),406.2)</f>
        <v>406.2</v>
      </c>
      <c r="E13" s="6">
        <f>IFERROR(__xludf.DUMMYFUNCTION("""COMPUTED_VALUE"""),411.2)</f>
        <v>411.2</v>
      </c>
      <c r="F13" s="6">
        <f>IFERROR(__xludf.DUMMYFUNCTION("""COMPUTED_VALUE"""),8637065.0)</f>
        <v>8637065</v>
      </c>
    </row>
    <row r="14">
      <c r="A14" s="7">
        <f>IFERROR(__xludf.DUMMYFUNCTION("""COMPUTED_VALUE"""),45254.64583333333)</f>
        <v>45254.64583</v>
      </c>
      <c r="B14" s="6">
        <f>IFERROR(__xludf.DUMMYFUNCTION("""COMPUTED_VALUE"""),416.05)</f>
        <v>416.05</v>
      </c>
      <c r="C14" s="6">
        <f>IFERROR(__xludf.DUMMYFUNCTION("""COMPUTED_VALUE"""),422.6)</f>
        <v>422.6</v>
      </c>
      <c r="D14" s="6">
        <f>IFERROR(__xludf.DUMMYFUNCTION("""COMPUTED_VALUE"""),412.25)</f>
        <v>412.25</v>
      </c>
      <c r="E14" s="6">
        <f>IFERROR(__xludf.DUMMYFUNCTION("""COMPUTED_VALUE"""),420.5)</f>
        <v>420.5</v>
      </c>
      <c r="F14" s="6">
        <f>IFERROR(__xludf.DUMMYFUNCTION("""COMPUTED_VALUE"""),1.255052E7)</f>
        <v>12550520</v>
      </c>
    </row>
    <row r="15">
      <c r="A15" s="7">
        <f>IFERROR(__xludf.DUMMYFUNCTION("""COMPUTED_VALUE"""),45261.64583333333)</f>
        <v>45261.64583</v>
      </c>
      <c r="B15" s="6">
        <f>IFERROR(__xludf.DUMMYFUNCTION("""COMPUTED_VALUE"""),422.0)</f>
        <v>422</v>
      </c>
      <c r="C15" s="6">
        <f>IFERROR(__xludf.DUMMYFUNCTION("""COMPUTED_VALUE"""),429.9)</f>
        <v>429.9</v>
      </c>
      <c r="D15" s="6">
        <f>IFERROR(__xludf.DUMMYFUNCTION("""COMPUTED_VALUE"""),418.0)</f>
        <v>418</v>
      </c>
      <c r="E15" s="6">
        <f>IFERROR(__xludf.DUMMYFUNCTION("""COMPUTED_VALUE"""),426.4)</f>
        <v>426.4</v>
      </c>
      <c r="F15" s="6">
        <f>IFERROR(__xludf.DUMMYFUNCTION("""COMPUTED_VALUE"""),1.1447334E7)</f>
        <v>11447334</v>
      </c>
    </row>
    <row r="16">
      <c r="A16" s="7">
        <f>IFERROR(__xludf.DUMMYFUNCTION("""COMPUTED_VALUE"""),45268.64583333333)</f>
        <v>45268.64583</v>
      </c>
      <c r="B16" s="6">
        <f>IFERROR(__xludf.DUMMYFUNCTION("""COMPUTED_VALUE"""),430.0)</f>
        <v>430</v>
      </c>
      <c r="C16" s="6">
        <f>IFERROR(__xludf.DUMMYFUNCTION("""COMPUTED_VALUE"""),442.4)</f>
        <v>442.4</v>
      </c>
      <c r="D16" s="6">
        <f>IFERROR(__xludf.DUMMYFUNCTION("""COMPUTED_VALUE"""),427.55)</f>
        <v>427.55</v>
      </c>
      <c r="E16" s="6">
        <f>IFERROR(__xludf.DUMMYFUNCTION("""COMPUTED_VALUE"""),435.5)</f>
        <v>435.5</v>
      </c>
      <c r="F16" s="6">
        <f>IFERROR(__xludf.DUMMYFUNCTION("""COMPUTED_VALUE"""),1.0363435E7)</f>
        <v>10363435</v>
      </c>
    </row>
    <row r="17">
      <c r="A17" s="7">
        <f>IFERROR(__xludf.DUMMYFUNCTION("""COMPUTED_VALUE"""),45275.64583333333)</f>
        <v>45275.64583</v>
      </c>
      <c r="B17" s="6">
        <f>IFERROR(__xludf.DUMMYFUNCTION("""COMPUTED_VALUE"""),435.5)</f>
        <v>435.5</v>
      </c>
      <c r="C17" s="6">
        <f>IFERROR(__xludf.DUMMYFUNCTION("""COMPUTED_VALUE"""),445.85)</f>
        <v>445.85</v>
      </c>
      <c r="D17" s="6">
        <f>IFERROR(__xludf.DUMMYFUNCTION("""COMPUTED_VALUE"""),431.65)</f>
        <v>431.65</v>
      </c>
      <c r="E17" s="6">
        <f>IFERROR(__xludf.DUMMYFUNCTION("""COMPUTED_VALUE"""),439.65)</f>
        <v>439.65</v>
      </c>
      <c r="F17" s="6">
        <f>IFERROR(__xludf.DUMMYFUNCTION("""COMPUTED_VALUE"""),1.0720419E7)</f>
        <v>10720419</v>
      </c>
    </row>
    <row r="18">
      <c r="A18" s="7">
        <f>IFERROR(__xludf.DUMMYFUNCTION("""COMPUTED_VALUE"""),45282.64583333333)</f>
        <v>45282.64583</v>
      </c>
      <c r="B18" s="6">
        <f>IFERROR(__xludf.DUMMYFUNCTION("""COMPUTED_VALUE"""),439.6)</f>
        <v>439.6</v>
      </c>
      <c r="C18" s="6">
        <f>IFERROR(__xludf.DUMMYFUNCTION("""COMPUTED_VALUE"""),450.0)</f>
        <v>450</v>
      </c>
      <c r="D18" s="6">
        <f>IFERROR(__xludf.DUMMYFUNCTION("""COMPUTED_VALUE"""),416.9)</f>
        <v>416.9</v>
      </c>
      <c r="E18" s="6">
        <f>IFERROR(__xludf.DUMMYFUNCTION("""COMPUTED_VALUE"""),439.2)</f>
        <v>439.2</v>
      </c>
      <c r="F18" s="6">
        <f>IFERROR(__xludf.DUMMYFUNCTION("""COMPUTED_VALUE"""),1.3619077E7)</f>
        <v>13619077</v>
      </c>
    </row>
    <row r="19">
      <c r="A19" s="7">
        <f>IFERROR(__xludf.DUMMYFUNCTION("""COMPUTED_VALUE"""),45289.64583333333)</f>
        <v>45289.64583</v>
      </c>
      <c r="B19" s="6">
        <f>IFERROR(__xludf.DUMMYFUNCTION("""COMPUTED_VALUE"""),440.45)</f>
        <v>440.45</v>
      </c>
      <c r="C19" s="6">
        <f>IFERROR(__xludf.DUMMYFUNCTION("""COMPUTED_VALUE"""),443.6)</f>
        <v>443.6</v>
      </c>
      <c r="D19" s="6">
        <f>IFERROR(__xludf.DUMMYFUNCTION("""COMPUTED_VALUE"""),431.1)</f>
        <v>431.1</v>
      </c>
      <c r="E19" s="6">
        <f>IFERROR(__xludf.DUMMYFUNCTION("""COMPUTED_VALUE"""),438.35)</f>
        <v>438.35</v>
      </c>
      <c r="F19" s="6">
        <f>IFERROR(__xludf.DUMMYFUNCTION("""COMPUTED_VALUE"""),1.1514647E7)</f>
        <v>11514647</v>
      </c>
    </row>
    <row r="20">
      <c r="A20" s="7">
        <f>IFERROR(__xludf.DUMMYFUNCTION("""COMPUTED_VALUE"""),45296.64583333333)</f>
        <v>45296.64583</v>
      </c>
      <c r="B20" s="6">
        <f>IFERROR(__xludf.DUMMYFUNCTION("""COMPUTED_VALUE"""),440.0)</f>
        <v>440</v>
      </c>
      <c r="C20" s="6">
        <f>IFERROR(__xludf.DUMMYFUNCTION("""COMPUTED_VALUE"""),467.0)</f>
        <v>467</v>
      </c>
      <c r="D20" s="6">
        <f>IFERROR(__xludf.DUMMYFUNCTION("""COMPUTED_VALUE"""),429.25)</f>
        <v>429.25</v>
      </c>
      <c r="E20" s="6">
        <f>IFERROR(__xludf.DUMMYFUNCTION("""COMPUTED_VALUE"""),456.05)</f>
        <v>456.05</v>
      </c>
      <c r="F20" s="6">
        <f>IFERROR(__xludf.DUMMYFUNCTION("""COMPUTED_VALUE"""),1.7261693E7)</f>
        <v>17261693</v>
      </c>
    </row>
    <row r="21">
      <c r="A21" s="7">
        <f>IFERROR(__xludf.DUMMYFUNCTION("""COMPUTED_VALUE"""),45303.64583333333)</f>
        <v>45303.64583</v>
      </c>
      <c r="B21" s="6">
        <f>IFERROR(__xludf.DUMMYFUNCTION("""COMPUTED_VALUE"""),461.45)</f>
        <v>461.45</v>
      </c>
      <c r="C21" s="6">
        <f>IFERROR(__xludf.DUMMYFUNCTION("""COMPUTED_VALUE"""),464.0)</f>
        <v>464</v>
      </c>
      <c r="D21" s="6">
        <f>IFERROR(__xludf.DUMMYFUNCTION("""COMPUTED_VALUE"""),450.0)</f>
        <v>450</v>
      </c>
      <c r="E21" s="6">
        <f>IFERROR(__xludf.DUMMYFUNCTION("""COMPUTED_VALUE"""),461.55)</f>
        <v>461.55</v>
      </c>
      <c r="F21" s="6">
        <f>IFERROR(__xludf.DUMMYFUNCTION("""COMPUTED_VALUE"""),8692597.0)</f>
        <v>8692597</v>
      </c>
    </row>
    <row r="22">
      <c r="A22" s="7">
        <f>IFERROR(__xludf.DUMMYFUNCTION("""COMPUTED_VALUE"""),45316.64583333333)</f>
        <v>45316.64583</v>
      </c>
      <c r="B22" s="6">
        <f>IFERROR(__xludf.DUMMYFUNCTION("""COMPUTED_VALUE"""),485.0)</f>
        <v>485</v>
      </c>
      <c r="C22" s="6">
        <f>IFERROR(__xludf.DUMMYFUNCTION("""COMPUTED_VALUE"""),486.0)</f>
        <v>486</v>
      </c>
      <c r="D22" s="6">
        <f>IFERROR(__xludf.DUMMYFUNCTION("""COMPUTED_VALUE"""),466.0)</f>
        <v>466</v>
      </c>
      <c r="E22" s="6">
        <f>IFERROR(__xludf.DUMMYFUNCTION("""COMPUTED_VALUE"""),473.6)</f>
        <v>473.6</v>
      </c>
      <c r="F22" s="6">
        <f>IFERROR(__xludf.DUMMYFUNCTION("""COMPUTED_VALUE"""),8651182.0)</f>
        <v>8651182</v>
      </c>
    </row>
    <row r="23">
      <c r="A23" s="7">
        <f>IFERROR(__xludf.DUMMYFUNCTION("""COMPUTED_VALUE"""),45324.64583333333)</f>
        <v>45324.64583</v>
      </c>
      <c r="B23" s="6">
        <f>IFERROR(__xludf.DUMMYFUNCTION("""COMPUTED_VALUE"""),473.6)</f>
        <v>473.6</v>
      </c>
      <c r="C23" s="6">
        <f>IFERROR(__xludf.DUMMYFUNCTION("""COMPUTED_VALUE"""),515.95)</f>
        <v>515.95</v>
      </c>
      <c r="D23" s="6">
        <f>IFERROR(__xludf.DUMMYFUNCTION("""COMPUTED_VALUE"""),473.6)</f>
        <v>473.6</v>
      </c>
      <c r="E23" s="6">
        <f>IFERROR(__xludf.DUMMYFUNCTION("""COMPUTED_VALUE"""),500.0)</f>
        <v>500</v>
      </c>
      <c r="F23" s="6">
        <f>IFERROR(__xludf.DUMMYFUNCTION("""COMPUTED_VALUE"""),2.5657722E7)</f>
        <v>25657722</v>
      </c>
    </row>
    <row r="24">
      <c r="A24" s="7">
        <f>IFERROR(__xludf.DUMMYFUNCTION("""COMPUTED_VALUE"""),45331.64583333333)</f>
        <v>45331.64583</v>
      </c>
      <c r="B24" s="6">
        <f>IFERROR(__xludf.DUMMYFUNCTION("""COMPUTED_VALUE"""),505.0)</f>
        <v>505</v>
      </c>
      <c r="C24" s="6">
        <f>IFERROR(__xludf.DUMMYFUNCTION("""COMPUTED_VALUE"""),537.0)</f>
        <v>537</v>
      </c>
      <c r="D24" s="6">
        <f>IFERROR(__xludf.DUMMYFUNCTION("""COMPUTED_VALUE"""),500.35)</f>
        <v>500.35</v>
      </c>
      <c r="E24" s="6">
        <f>IFERROR(__xludf.DUMMYFUNCTION("""COMPUTED_VALUE"""),532.95)</f>
        <v>532.95</v>
      </c>
      <c r="F24" s="6">
        <f>IFERROR(__xludf.DUMMYFUNCTION("""COMPUTED_VALUE"""),1.9745325E7)</f>
        <v>19745325</v>
      </c>
    </row>
    <row r="25">
      <c r="A25" s="7">
        <f>IFERROR(__xludf.DUMMYFUNCTION("""COMPUTED_VALUE"""),45338.64583333333)</f>
        <v>45338.64583</v>
      </c>
      <c r="B25" s="6">
        <f>IFERROR(__xludf.DUMMYFUNCTION("""COMPUTED_VALUE"""),535.55)</f>
        <v>535.55</v>
      </c>
      <c r="C25" s="6">
        <f>IFERROR(__xludf.DUMMYFUNCTION("""COMPUTED_VALUE"""),540.9)</f>
        <v>540.9</v>
      </c>
      <c r="D25" s="6">
        <f>IFERROR(__xludf.DUMMYFUNCTION("""COMPUTED_VALUE"""),515.0)</f>
        <v>515</v>
      </c>
      <c r="E25" s="6">
        <f>IFERROR(__xludf.DUMMYFUNCTION("""COMPUTED_VALUE"""),537.55)</f>
        <v>537.55</v>
      </c>
      <c r="F25" s="6">
        <f>IFERROR(__xludf.DUMMYFUNCTION("""COMPUTED_VALUE"""),1.4367849E7)</f>
        <v>14367849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IFERROR(__xludf.DUMMYFUNCTION("""COMPUTED_VALUE"""),538.5)</f>
        <v>538.5</v>
      </c>
      <c r="C26" s="6">
        <f>IFERROR(__xludf.DUMMYFUNCTION("""COMPUTED_VALUE"""),602.75)</f>
        <v>602.75</v>
      </c>
      <c r="D26" s="6">
        <f>IFERROR(__xludf.DUMMYFUNCTION("""COMPUTED_VALUE"""),535.1)</f>
        <v>535.1</v>
      </c>
      <c r="E26" s="6">
        <f>IFERROR(__xludf.DUMMYFUNCTION("""COMPUTED_VALUE"""),594.5)</f>
        <v>594.5</v>
      </c>
      <c r="F26" s="6">
        <f>IFERROR(__xludf.DUMMYFUNCTION("""COMPUTED_VALUE"""),2.2771148E7)</f>
        <v>22771148</v>
      </c>
    </row>
    <row r="27">
      <c r="A27" s="7">
        <f>IFERROR(__xludf.DUMMYFUNCTION("""COMPUTED_VALUE"""),45358.64583333333)</f>
        <v>45358.64583</v>
      </c>
      <c r="B27" s="6">
        <f>IFERROR(__xludf.DUMMYFUNCTION("""COMPUTED_VALUE"""),589.0)</f>
        <v>589</v>
      </c>
      <c r="C27" s="6">
        <f>IFERROR(__xludf.DUMMYFUNCTION("""COMPUTED_VALUE"""),594.8)</f>
        <v>594.8</v>
      </c>
      <c r="D27" s="6">
        <f>IFERROR(__xludf.DUMMYFUNCTION("""COMPUTED_VALUE"""),565.1)</f>
        <v>565.1</v>
      </c>
      <c r="E27" s="6">
        <f>IFERROR(__xludf.DUMMYFUNCTION("""COMPUTED_VALUE"""),587.7)</f>
        <v>587.7</v>
      </c>
      <c r="F27" s="6">
        <f>IFERROR(__xludf.DUMMYFUNCTION("""COMPUTED_VALUE"""),1.4375249E7)</f>
        <v>14375249</v>
      </c>
    </row>
    <row r="28">
      <c r="A28" s="7">
        <f>IFERROR(__xludf.DUMMYFUNCTION("""COMPUTED_VALUE"""),45366.64583333333)</f>
        <v>45366.64583</v>
      </c>
      <c r="B28" s="6">
        <f>IFERROR(__xludf.DUMMYFUNCTION("""COMPUTED_VALUE"""),582.0)</f>
        <v>582</v>
      </c>
      <c r="C28" s="6">
        <f>IFERROR(__xludf.DUMMYFUNCTION("""COMPUTED_VALUE"""),588.15)</f>
        <v>588.15</v>
      </c>
      <c r="D28" s="6">
        <f>IFERROR(__xludf.DUMMYFUNCTION("""COMPUTED_VALUE"""),531.05)</f>
        <v>531.05</v>
      </c>
      <c r="E28" s="6">
        <f>IFERROR(__xludf.DUMMYFUNCTION("""COMPUTED_VALUE"""),562.3)</f>
        <v>562.3</v>
      </c>
      <c r="F28" s="6">
        <f>IFERROR(__xludf.DUMMYFUNCTION("""COMPUTED_VALUE"""),1.816446E7)</f>
        <v>18164460</v>
      </c>
    </row>
    <row r="29">
      <c r="A29" s="7">
        <f>IFERROR(__xludf.DUMMYFUNCTION("""COMPUTED_VALUE"""),45373.64583333333)</f>
        <v>45373.64583</v>
      </c>
      <c r="B29" s="6">
        <f>IFERROR(__xludf.DUMMYFUNCTION("""COMPUTED_VALUE"""),562.5)</f>
        <v>562.5</v>
      </c>
      <c r="C29" s="6">
        <f>IFERROR(__xludf.DUMMYFUNCTION("""COMPUTED_VALUE"""),564.95)</f>
        <v>564.95</v>
      </c>
      <c r="D29" s="6">
        <f>IFERROR(__xludf.DUMMYFUNCTION("""COMPUTED_VALUE"""),541.05)</f>
        <v>541.05</v>
      </c>
      <c r="E29" s="6">
        <f>IFERROR(__xludf.DUMMYFUNCTION("""COMPUTED_VALUE"""),557.05)</f>
        <v>557.05</v>
      </c>
      <c r="F29" s="6">
        <f>IFERROR(__xludf.DUMMYFUNCTION("""COMPUTED_VALUE"""),1.1021394E7)</f>
        <v>11021394</v>
      </c>
    </row>
    <row r="30">
      <c r="A30" s="7">
        <f>IFERROR(__xludf.DUMMYFUNCTION("""COMPUTED_VALUE"""),45379.64583333333)</f>
        <v>45379.64583</v>
      </c>
      <c r="B30" s="6">
        <f>IFERROR(__xludf.DUMMYFUNCTION("""COMPUTED_VALUE"""),549.05)</f>
        <v>549.05</v>
      </c>
      <c r="C30" s="6">
        <f>IFERROR(__xludf.DUMMYFUNCTION("""COMPUTED_VALUE"""),595.55)</f>
        <v>595.55</v>
      </c>
      <c r="D30" s="6">
        <f>IFERROR(__xludf.DUMMYFUNCTION("""COMPUTED_VALUE"""),549.05)</f>
        <v>549.05</v>
      </c>
      <c r="E30" s="6">
        <f>IFERROR(__xludf.DUMMYFUNCTION("""COMPUTED_VALUE"""),591.15)</f>
        <v>591.15</v>
      </c>
      <c r="F30" s="6">
        <f>IFERROR(__xludf.DUMMYFUNCTION("""COMPUTED_VALUE"""),1.269124E7)</f>
        <v>12691240</v>
      </c>
    </row>
    <row r="31">
      <c r="A31" s="7">
        <f>IFERROR(__xludf.DUMMYFUNCTION("""COMPUTED_VALUE"""),45387.64583333333)</f>
        <v>45387.64583</v>
      </c>
      <c r="B31" s="6">
        <f>IFERROR(__xludf.DUMMYFUNCTION("""COMPUTED_VALUE"""),600.0)</f>
        <v>600</v>
      </c>
      <c r="C31" s="6">
        <f>IFERROR(__xludf.DUMMYFUNCTION("""COMPUTED_VALUE"""),622.5)</f>
        <v>622.5</v>
      </c>
      <c r="D31" s="6">
        <f>IFERROR(__xludf.DUMMYFUNCTION("""COMPUTED_VALUE"""),594.25)</f>
        <v>594.25</v>
      </c>
      <c r="E31" s="6">
        <f>IFERROR(__xludf.DUMMYFUNCTION("""COMPUTED_VALUE"""),613.3)</f>
        <v>613.3</v>
      </c>
      <c r="F31" s="6">
        <f>IFERROR(__xludf.DUMMYFUNCTION("""COMPUTED_VALUE"""),1.6791499E7)</f>
        <v>16791499</v>
      </c>
    </row>
    <row r="32">
      <c r="A32" s="7">
        <f>IFERROR(__xludf.DUMMYFUNCTION("""COMPUTED_VALUE"""),45394.64583333333)</f>
        <v>45394.64583</v>
      </c>
      <c r="B32" s="6">
        <f>IFERROR(__xludf.DUMMYFUNCTION("""COMPUTED_VALUE"""),618.0)</f>
        <v>618</v>
      </c>
      <c r="C32" s="6">
        <f>IFERROR(__xludf.DUMMYFUNCTION("""COMPUTED_VALUE"""),618.95)</f>
        <v>618.95</v>
      </c>
      <c r="D32" s="6">
        <f>IFERROR(__xludf.DUMMYFUNCTION("""COMPUTED_VALUE"""),566.8)</f>
        <v>566.8</v>
      </c>
      <c r="E32" s="6">
        <f>IFERROR(__xludf.DUMMYFUNCTION("""COMPUTED_VALUE"""),607.45)</f>
        <v>607.45</v>
      </c>
      <c r="F32" s="6">
        <f>IFERROR(__xludf.DUMMYFUNCTION("""COMPUTED_VALUE"""),1.4995217E7)</f>
        <v>14995217</v>
      </c>
    </row>
    <row r="33">
      <c r="A33" s="7">
        <f>IFERROR(__xludf.DUMMYFUNCTION("""COMPUTED_VALUE"""),45401.64583333333)</f>
        <v>45401.64583</v>
      </c>
      <c r="B33" s="6">
        <f>IFERROR(__xludf.DUMMYFUNCTION("""COMPUTED_VALUE"""),600.0)</f>
        <v>600</v>
      </c>
      <c r="C33" s="6">
        <f>IFERROR(__xludf.DUMMYFUNCTION("""COMPUTED_VALUE"""),607.9)</f>
        <v>607.9</v>
      </c>
      <c r="D33" s="6">
        <f>IFERROR(__xludf.DUMMYFUNCTION("""COMPUTED_VALUE"""),579.25)</f>
        <v>579.25</v>
      </c>
      <c r="E33" s="6">
        <f>IFERROR(__xludf.DUMMYFUNCTION("""COMPUTED_VALUE"""),597.05)</f>
        <v>597.05</v>
      </c>
      <c r="F33" s="6">
        <f>IFERROR(__xludf.DUMMYFUNCTION("""COMPUTED_VALUE"""),1.3537927E7)</f>
        <v>13537927</v>
      </c>
    </row>
    <row r="34">
      <c r="A34" s="7">
        <f>IFERROR(__xludf.DUMMYFUNCTION("""COMPUTED_VALUE"""),45408.64583333333)</f>
        <v>45408.64583</v>
      </c>
      <c r="B34" s="6">
        <f>IFERROR(__xludf.DUMMYFUNCTION("""COMPUTED_VALUE"""),604.3)</f>
        <v>604.3</v>
      </c>
      <c r="C34" s="6">
        <f>IFERROR(__xludf.DUMMYFUNCTION("""COMPUTED_VALUE"""),615.5)</f>
        <v>615.5</v>
      </c>
      <c r="D34" s="6">
        <f>IFERROR(__xludf.DUMMYFUNCTION("""COMPUTED_VALUE"""),560.35)</f>
        <v>560.35</v>
      </c>
      <c r="E34" s="6">
        <f>IFERROR(__xludf.DUMMYFUNCTION("""COMPUTED_VALUE"""),568.95)</f>
        <v>568.95</v>
      </c>
      <c r="F34" s="6">
        <f>IFERROR(__xludf.DUMMYFUNCTION("""COMPUTED_VALUE"""),2.7173278E7)</f>
        <v>27173278</v>
      </c>
    </row>
    <row r="35">
      <c r="A35" s="7">
        <f>IFERROR(__xludf.DUMMYFUNCTION("""COMPUTED_VALUE"""),45415.64583333333)</f>
        <v>45415.64583</v>
      </c>
      <c r="B35" s="6">
        <f>IFERROR(__xludf.DUMMYFUNCTION("""COMPUTED_VALUE"""),575.0)</f>
        <v>575</v>
      </c>
      <c r="C35" s="6">
        <f>IFERROR(__xludf.DUMMYFUNCTION("""COMPUTED_VALUE"""),591.2)</f>
        <v>591.2</v>
      </c>
      <c r="D35" s="6">
        <f>IFERROR(__xludf.DUMMYFUNCTION("""COMPUTED_VALUE"""),565.15)</f>
        <v>565.15</v>
      </c>
      <c r="E35" s="6">
        <f>IFERROR(__xludf.DUMMYFUNCTION("""COMPUTED_VALUE"""),570.6)</f>
        <v>570.6</v>
      </c>
      <c r="F35" s="6">
        <f>IFERROR(__xludf.DUMMYFUNCTION("""COMPUTED_VALUE"""),1.4849382E7)</f>
        <v>14849382</v>
      </c>
    </row>
    <row r="36">
      <c r="A36" s="7">
        <f>IFERROR(__xludf.DUMMYFUNCTION("""COMPUTED_VALUE"""),45422.64583333333)</f>
        <v>45422.64583</v>
      </c>
      <c r="B36" s="6">
        <f>IFERROR(__xludf.DUMMYFUNCTION("""COMPUTED_VALUE"""),573.4)</f>
        <v>573.4</v>
      </c>
      <c r="C36" s="6">
        <f>IFERROR(__xludf.DUMMYFUNCTION("""COMPUTED_VALUE"""),584.9)</f>
        <v>584.9</v>
      </c>
      <c r="D36" s="6">
        <f>IFERROR(__xludf.DUMMYFUNCTION("""COMPUTED_VALUE"""),538.1)</f>
        <v>538.1</v>
      </c>
      <c r="E36" s="6">
        <f>IFERROR(__xludf.DUMMYFUNCTION("""COMPUTED_VALUE"""),543.55)</f>
        <v>543.55</v>
      </c>
      <c r="F36" s="6">
        <f>IFERROR(__xludf.DUMMYFUNCTION("""COMPUTED_VALUE"""),1.3758999E7)</f>
        <v>13758999</v>
      </c>
    </row>
    <row r="37">
      <c r="A37" s="7">
        <f>IFERROR(__xludf.DUMMYFUNCTION("""COMPUTED_VALUE"""),45436.64583333333)</f>
        <v>45436.64583</v>
      </c>
      <c r="B37" s="6">
        <f>IFERROR(__xludf.DUMMYFUNCTION("""COMPUTED_VALUE"""),570.75)</f>
        <v>570.75</v>
      </c>
      <c r="C37" s="6">
        <f>IFERROR(__xludf.DUMMYFUNCTION("""COMPUTED_VALUE"""),576.7)</f>
        <v>576.7</v>
      </c>
      <c r="D37" s="6">
        <f>IFERROR(__xludf.DUMMYFUNCTION("""COMPUTED_VALUE"""),561.6)</f>
        <v>561.6</v>
      </c>
      <c r="E37" s="6">
        <f>IFERROR(__xludf.DUMMYFUNCTION("""COMPUTED_VALUE"""),569.85)</f>
        <v>569.85</v>
      </c>
      <c r="F37" s="6">
        <f>IFERROR(__xludf.DUMMYFUNCTION("""COMPUTED_VALUE"""),8128902.0)</f>
        <v>8128902</v>
      </c>
    </row>
    <row r="38">
      <c r="A38" s="7">
        <f>IFERROR(__xludf.DUMMYFUNCTION("""COMPUTED_VALUE"""),45443.64583333333)</f>
        <v>45443.64583</v>
      </c>
      <c r="B38" s="6">
        <f>IFERROR(__xludf.DUMMYFUNCTION("""COMPUTED_VALUE"""),573.5)</f>
        <v>573.5</v>
      </c>
      <c r="C38" s="6">
        <f>IFERROR(__xludf.DUMMYFUNCTION("""COMPUTED_VALUE"""),586.5)</f>
        <v>586.5</v>
      </c>
      <c r="D38" s="6">
        <f>IFERROR(__xludf.DUMMYFUNCTION("""COMPUTED_VALUE"""),547.0)</f>
        <v>547</v>
      </c>
      <c r="E38" s="6">
        <f>IFERROR(__xludf.DUMMYFUNCTION("""COMPUTED_VALUE"""),557.4)</f>
        <v>557.4</v>
      </c>
      <c r="F38" s="6">
        <f>IFERROR(__xludf.DUMMYFUNCTION("""COMPUTED_VALUE"""),2.8031691E7)</f>
        <v>28031691</v>
      </c>
    </row>
    <row r="39">
      <c r="A39" s="7">
        <f>IFERROR(__xludf.DUMMYFUNCTION("""COMPUTED_VALUE"""),45450.64583333333)</f>
        <v>45450.64583</v>
      </c>
      <c r="B39" s="6">
        <f>IFERROR(__xludf.DUMMYFUNCTION("""COMPUTED_VALUE"""),577.0)</f>
        <v>577</v>
      </c>
      <c r="C39" s="6">
        <f>IFERROR(__xludf.DUMMYFUNCTION("""COMPUTED_VALUE"""),593.45)</f>
        <v>593.45</v>
      </c>
      <c r="D39" s="6">
        <f>IFERROR(__xludf.DUMMYFUNCTION("""COMPUTED_VALUE"""),506.45)</f>
        <v>506.45</v>
      </c>
      <c r="E39" s="6">
        <f>IFERROR(__xludf.DUMMYFUNCTION("""COMPUTED_VALUE"""),585.1)</f>
        <v>585.1</v>
      </c>
      <c r="F39" s="6">
        <f>IFERROR(__xludf.DUMMYFUNCTION("""COMPUTED_VALUE"""),2.9162245E7)</f>
        <v>29162245</v>
      </c>
    </row>
    <row r="40">
      <c r="A40" s="7">
        <f>IFERROR(__xludf.DUMMYFUNCTION("""COMPUTED_VALUE"""),45457.64583333333)</f>
        <v>45457.64583</v>
      </c>
      <c r="B40" s="6">
        <f>IFERROR(__xludf.DUMMYFUNCTION("""COMPUTED_VALUE"""),591.0)</f>
        <v>591</v>
      </c>
      <c r="C40" s="6">
        <f>IFERROR(__xludf.DUMMYFUNCTION("""COMPUTED_VALUE"""),615.6)</f>
        <v>615.6</v>
      </c>
      <c r="D40" s="6">
        <f>IFERROR(__xludf.DUMMYFUNCTION("""COMPUTED_VALUE"""),576.25)</f>
        <v>576.25</v>
      </c>
      <c r="E40" s="6">
        <f>IFERROR(__xludf.DUMMYFUNCTION("""COMPUTED_VALUE"""),613.85)</f>
        <v>613.85</v>
      </c>
      <c r="F40" s="6">
        <f>IFERROR(__xludf.DUMMYFUNCTION("""COMPUTED_VALUE"""),2.8702803E7)</f>
        <v>28702803</v>
      </c>
    </row>
    <row r="41">
      <c r="A41" s="7">
        <f>IFERROR(__xludf.DUMMYFUNCTION("""COMPUTED_VALUE"""),45464.64583333333)</f>
        <v>45464.64583</v>
      </c>
      <c r="B41" s="6">
        <f>IFERROR(__xludf.DUMMYFUNCTION("""COMPUTED_VALUE"""),616.95)</f>
        <v>616.95</v>
      </c>
      <c r="C41" s="6">
        <f>IFERROR(__xludf.DUMMYFUNCTION("""COMPUTED_VALUE"""),648.0)</f>
        <v>648</v>
      </c>
      <c r="D41" s="6">
        <f>IFERROR(__xludf.DUMMYFUNCTION("""COMPUTED_VALUE"""),610.75)</f>
        <v>610.75</v>
      </c>
      <c r="E41" s="6">
        <f>IFERROR(__xludf.DUMMYFUNCTION("""COMPUTED_VALUE"""),637.5)</f>
        <v>637.5</v>
      </c>
      <c r="F41" s="6">
        <f>IFERROR(__xludf.DUMMYFUNCTION("""COMPUTED_VALUE"""),2.1624579E7)</f>
        <v>21624579</v>
      </c>
    </row>
    <row r="42">
      <c r="A42" s="7">
        <f>IFERROR(__xludf.DUMMYFUNCTION("""COMPUTED_VALUE"""),45471.64583333333)</f>
        <v>45471.64583</v>
      </c>
      <c r="B42" s="6">
        <f>IFERROR(__xludf.DUMMYFUNCTION("""COMPUTED_VALUE"""),639.0)</f>
        <v>639</v>
      </c>
      <c r="C42" s="6">
        <f>IFERROR(__xludf.DUMMYFUNCTION("""COMPUTED_VALUE"""),662.95)</f>
        <v>662.95</v>
      </c>
      <c r="D42" s="6">
        <f>IFERROR(__xludf.DUMMYFUNCTION("""COMPUTED_VALUE"""),614.25)</f>
        <v>614.25</v>
      </c>
      <c r="E42" s="6">
        <f>IFERROR(__xludf.DUMMYFUNCTION("""COMPUTED_VALUE"""),625.05)</f>
        <v>625.05</v>
      </c>
      <c r="F42" s="6">
        <f>IFERROR(__xludf.DUMMYFUNCTION("""COMPUTED_VALUE"""),2.640207E7)</f>
        <v>26402070</v>
      </c>
    </row>
    <row r="43">
      <c r="A43" s="7">
        <f>IFERROR(__xludf.DUMMYFUNCTION("""COMPUTED_VALUE"""),45478.64583333333)</f>
        <v>45478.64583</v>
      </c>
      <c r="B43" s="6">
        <f>IFERROR(__xludf.DUMMYFUNCTION("""COMPUTED_VALUE"""),625.1)</f>
        <v>625.1</v>
      </c>
      <c r="C43" s="6">
        <f>IFERROR(__xludf.DUMMYFUNCTION("""COMPUTED_VALUE"""),626.0)</f>
        <v>626</v>
      </c>
      <c r="D43" s="6">
        <f>IFERROR(__xludf.DUMMYFUNCTION("""COMPUTED_VALUE"""),595.0)</f>
        <v>595</v>
      </c>
      <c r="E43" s="6">
        <f>IFERROR(__xludf.DUMMYFUNCTION("""COMPUTED_VALUE"""),614.5)</f>
        <v>614.5</v>
      </c>
      <c r="F43" s="6">
        <f>IFERROR(__xludf.DUMMYFUNCTION("""COMPUTED_VALUE"""),1.6468899E7)</f>
        <v>16468899</v>
      </c>
    </row>
    <row r="44">
      <c r="A44" s="7">
        <f>IFERROR(__xludf.DUMMYFUNCTION("""COMPUTED_VALUE"""),45485.64583333333)</f>
        <v>45485.64583</v>
      </c>
      <c r="B44" s="6">
        <f>IFERROR(__xludf.DUMMYFUNCTION("""COMPUTED_VALUE"""),615.0)</f>
        <v>615</v>
      </c>
      <c r="C44" s="6">
        <f>IFERROR(__xludf.DUMMYFUNCTION("""COMPUTED_VALUE"""),624.95)</f>
        <v>624.95</v>
      </c>
      <c r="D44" s="6">
        <f>IFERROR(__xludf.DUMMYFUNCTION("""COMPUTED_VALUE"""),592.3)</f>
        <v>592.3</v>
      </c>
      <c r="E44" s="6">
        <f>IFERROR(__xludf.DUMMYFUNCTION("""COMPUTED_VALUE"""),594.05)</f>
        <v>594.05</v>
      </c>
      <c r="F44" s="6">
        <f>IFERROR(__xludf.DUMMYFUNCTION("""COMPUTED_VALUE"""),1.406689E7)</f>
        <v>14066890</v>
      </c>
    </row>
    <row r="45">
      <c r="A45" s="7">
        <f>IFERROR(__xludf.DUMMYFUNCTION("""COMPUTED_VALUE"""),45492.64583333333)</f>
        <v>45492.64583</v>
      </c>
      <c r="B45" s="6">
        <f>IFERROR(__xludf.DUMMYFUNCTION("""COMPUTED_VALUE"""),593.0)</f>
        <v>593</v>
      </c>
      <c r="C45" s="6">
        <f>IFERROR(__xludf.DUMMYFUNCTION("""COMPUTED_VALUE"""),595.55)</f>
        <v>595.55</v>
      </c>
      <c r="D45" s="6">
        <f>IFERROR(__xludf.DUMMYFUNCTION("""COMPUTED_VALUE"""),571.05)</f>
        <v>571.05</v>
      </c>
      <c r="E45" s="6">
        <f>IFERROR(__xludf.DUMMYFUNCTION("""COMPUTED_VALUE"""),577.9)</f>
        <v>577.9</v>
      </c>
      <c r="F45" s="6">
        <f>IFERROR(__xludf.DUMMYFUNCTION("""COMPUTED_VALUE"""),1.2672602E7)</f>
        <v>12672602</v>
      </c>
    </row>
    <row r="46">
      <c r="A46" s="7">
        <f>IFERROR(__xludf.DUMMYFUNCTION("""COMPUTED_VALUE"""),45499.64583333333)</f>
        <v>45499.64583</v>
      </c>
      <c r="B46" s="6">
        <f>IFERROR(__xludf.DUMMYFUNCTION("""COMPUTED_VALUE"""),573.1)</f>
        <v>573.1</v>
      </c>
      <c r="C46" s="6">
        <f>IFERROR(__xludf.DUMMYFUNCTION("""COMPUTED_VALUE"""),649.0)</f>
        <v>649</v>
      </c>
      <c r="D46" s="6">
        <f>IFERROR(__xludf.DUMMYFUNCTION("""COMPUTED_VALUE"""),573.1)</f>
        <v>573.1</v>
      </c>
      <c r="E46" s="6">
        <f>IFERROR(__xludf.DUMMYFUNCTION("""COMPUTED_VALUE"""),647.0)</f>
        <v>647</v>
      </c>
      <c r="F46" s="6">
        <f>IFERROR(__xludf.DUMMYFUNCTION("""COMPUTED_VALUE"""),4.757516E7)</f>
        <v>47575160</v>
      </c>
    </row>
    <row r="47">
      <c r="A47" s="7">
        <f>IFERROR(__xludf.DUMMYFUNCTION("""COMPUTED_VALUE"""),45506.64583333333)</f>
        <v>45506.64583</v>
      </c>
      <c r="B47" s="6">
        <f>IFERROR(__xludf.DUMMYFUNCTION("""COMPUTED_VALUE"""),651.45)</f>
        <v>651.45</v>
      </c>
      <c r="C47" s="6">
        <f>IFERROR(__xludf.DUMMYFUNCTION("""COMPUTED_VALUE"""),653.8)</f>
        <v>653.8</v>
      </c>
      <c r="D47" s="6">
        <f>IFERROR(__xludf.DUMMYFUNCTION("""COMPUTED_VALUE"""),623.05)</f>
        <v>623.05</v>
      </c>
      <c r="E47" s="6">
        <f>IFERROR(__xludf.DUMMYFUNCTION("""COMPUTED_VALUE"""),628.8)</f>
        <v>628.8</v>
      </c>
      <c r="F47" s="6">
        <f>IFERROR(__xludf.DUMMYFUNCTION("""COMPUTED_VALUE"""),1.3042132E7)</f>
        <v>13042132</v>
      </c>
    </row>
    <row r="48">
      <c r="A48" s="7">
        <f>IFERROR(__xludf.DUMMYFUNCTION("""COMPUTED_VALUE"""),45513.64583333333)</f>
        <v>45513.64583</v>
      </c>
      <c r="B48" s="6">
        <f>IFERROR(__xludf.DUMMYFUNCTION("""COMPUTED_VALUE"""),611.2)</f>
        <v>611.2</v>
      </c>
      <c r="C48" s="6">
        <f>IFERROR(__xludf.DUMMYFUNCTION("""COMPUTED_VALUE"""),629.4)</f>
        <v>629.4</v>
      </c>
      <c r="D48" s="6">
        <f>IFERROR(__xludf.DUMMYFUNCTION("""COMPUTED_VALUE"""),595.0)</f>
        <v>595</v>
      </c>
      <c r="E48" s="6">
        <f>IFERROR(__xludf.DUMMYFUNCTION("""COMPUTED_VALUE"""),618.45)</f>
        <v>618.45</v>
      </c>
      <c r="F48" s="6">
        <f>IFERROR(__xludf.DUMMYFUNCTION("""COMPUTED_VALUE"""),1.4602757E7)</f>
        <v>14602757</v>
      </c>
    </row>
    <row r="49">
      <c r="A49" s="7">
        <f>IFERROR(__xludf.DUMMYFUNCTION("""COMPUTED_VALUE"""),45520.64583333333)</f>
        <v>45520.64583</v>
      </c>
      <c r="B49" s="6">
        <f>IFERROR(__xludf.DUMMYFUNCTION("""COMPUTED_VALUE"""),614.35)</f>
        <v>614.35</v>
      </c>
      <c r="C49" s="6">
        <f>IFERROR(__xludf.DUMMYFUNCTION("""COMPUTED_VALUE"""),625.6)</f>
        <v>625.6</v>
      </c>
      <c r="D49" s="6">
        <f>IFERROR(__xludf.DUMMYFUNCTION("""COMPUTED_VALUE"""),599.55)</f>
        <v>599.55</v>
      </c>
      <c r="E49" s="6">
        <f>IFERROR(__xludf.DUMMYFUNCTION("""COMPUTED_VALUE"""),623.2)</f>
        <v>623.2</v>
      </c>
      <c r="F49" s="6">
        <f>IFERROR(__xludf.DUMMYFUNCTION("""COMPUTED_VALUE"""),8834703.0)</f>
        <v>8834703</v>
      </c>
    </row>
    <row r="50">
      <c r="A50" s="7">
        <f>IFERROR(__xludf.DUMMYFUNCTION("""COMPUTED_VALUE"""),45527.64583333333)</f>
        <v>45527.64583</v>
      </c>
      <c r="B50" s="6">
        <f>IFERROR(__xludf.DUMMYFUNCTION("""COMPUTED_VALUE"""),627.9)</f>
        <v>627.9</v>
      </c>
      <c r="C50" s="6">
        <f>IFERROR(__xludf.DUMMYFUNCTION("""COMPUTED_VALUE"""),649.0)</f>
        <v>649</v>
      </c>
      <c r="D50" s="6">
        <f>IFERROR(__xludf.DUMMYFUNCTION("""COMPUTED_VALUE"""),607.6)</f>
        <v>607.6</v>
      </c>
      <c r="E50" s="6">
        <f>IFERROR(__xludf.DUMMYFUNCTION("""COMPUTED_VALUE"""),641.9)</f>
        <v>641.9</v>
      </c>
      <c r="F50" s="6">
        <f>IFERROR(__xludf.DUMMYFUNCTION("""COMPUTED_VALUE"""),1.6804688E7)</f>
        <v>16804688</v>
      </c>
    </row>
    <row r="51">
      <c r="A51" s="7">
        <f>IFERROR(__xludf.DUMMYFUNCTION("""COMPUTED_VALUE"""),45534.64583333333)</f>
        <v>45534.64583</v>
      </c>
      <c r="B51" s="6">
        <f>IFERROR(__xludf.DUMMYFUNCTION("""COMPUTED_VALUE"""),643.8)</f>
        <v>643.8</v>
      </c>
      <c r="C51" s="6">
        <f>IFERROR(__xludf.DUMMYFUNCTION("""COMPUTED_VALUE"""),671.7)</f>
        <v>671.7</v>
      </c>
      <c r="D51" s="6">
        <f>IFERROR(__xludf.DUMMYFUNCTION("""COMPUTED_VALUE"""),641.45)</f>
        <v>641.45</v>
      </c>
      <c r="E51" s="6">
        <f>IFERROR(__xludf.DUMMYFUNCTION("""COMPUTED_VALUE"""),647.5)</f>
        <v>647.5</v>
      </c>
      <c r="F51" s="6">
        <f>IFERROR(__xludf.DUMMYFUNCTION("""COMPUTED_VALUE"""),2.3938554E7)</f>
        <v>23938554</v>
      </c>
    </row>
    <row r="52">
      <c r="A52" s="7">
        <f>IFERROR(__xludf.DUMMYFUNCTION("""COMPUTED_VALUE"""),45541.64583333333)</f>
        <v>45541.64583</v>
      </c>
      <c r="B52" s="6">
        <f>IFERROR(__xludf.DUMMYFUNCTION("""COMPUTED_VALUE"""),650.1)</f>
        <v>650.1</v>
      </c>
      <c r="C52" s="6">
        <f>IFERROR(__xludf.DUMMYFUNCTION("""COMPUTED_VALUE"""),673.5)</f>
        <v>673.5</v>
      </c>
      <c r="D52" s="6">
        <f>IFERROR(__xludf.DUMMYFUNCTION("""COMPUTED_VALUE"""),647.1)</f>
        <v>647.1</v>
      </c>
      <c r="E52" s="6">
        <f>IFERROR(__xludf.DUMMYFUNCTION("""COMPUTED_VALUE"""),657.25)</f>
        <v>657.25</v>
      </c>
      <c r="F52" s="6">
        <f>IFERROR(__xludf.DUMMYFUNCTION("""COMPUTED_VALUE"""),1.4200194E7)</f>
        <v>14200194</v>
      </c>
    </row>
    <row r="53">
      <c r="A53" s="7">
        <f>IFERROR(__xludf.DUMMYFUNCTION("""COMPUTED_VALUE"""),45548.64583333333)</f>
        <v>45548.64583</v>
      </c>
      <c r="B53" s="6">
        <f>IFERROR(__xludf.DUMMYFUNCTION("""COMPUTED_VALUE"""),653.0)</f>
        <v>653</v>
      </c>
      <c r="C53" s="6">
        <f>IFERROR(__xludf.DUMMYFUNCTION("""COMPUTED_VALUE"""),703.75)</f>
        <v>703.75</v>
      </c>
      <c r="D53" s="6">
        <f>IFERROR(__xludf.DUMMYFUNCTION("""COMPUTED_VALUE"""),651.3)</f>
        <v>651.3</v>
      </c>
      <c r="E53" s="6">
        <f>IFERROR(__xludf.DUMMYFUNCTION("""COMPUTED_VALUE"""),689.05)</f>
        <v>689.05</v>
      </c>
      <c r="F53" s="6">
        <f>IFERROR(__xludf.DUMMYFUNCTION("""COMPUTED_VALUE"""),2.0228192E7)</f>
        <v>20228192</v>
      </c>
    </row>
    <row r="54">
      <c r="A54" s="7">
        <f>IFERROR(__xludf.DUMMYFUNCTION("""COMPUTED_VALUE"""),45555.64583333333)</f>
        <v>45555.64583</v>
      </c>
      <c r="B54" s="6">
        <f>IFERROR(__xludf.DUMMYFUNCTION("""COMPUTED_VALUE"""),691.25)</f>
        <v>691.25</v>
      </c>
      <c r="C54" s="6">
        <f>IFERROR(__xludf.DUMMYFUNCTION("""COMPUTED_VALUE"""),707.0)</f>
        <v>707</v>
      </c>
      <c r="D54" s="6">
        <f>IFERROR(__xludf.DUMMYFUNCTION("""COMPUTED_VALUE"""),670.8)</f>
        <v>670.8</v>
      </c>
      <c r="E54" s="6">
        <f>IFERROR(__xludf.DUMMYFUNCTION("""COMPUTED_VALUE"""),702.75)</f>
        <v>702.75</v>
      </c>
      <c r="F54" s="6">
        <f>IFERROR(__xludf.DUMMYFUNCTION("""COMPUTED_VALUE"""),7755451.0)</f>
        <v>7755451</v>
      </c>
    </row>
    <row r="55">
      <c r="A55" s="7">
        <f>IFERROR(__xludf.DUMMYFUNCTION("""COMPUTED_VALUE"""),45562.64583333333)</f>
        <v>45562.64583</v>
      </c>
      <c r="B55" s="6">
        <f>IFERROR(__xludf.DUMMYFUNCTION("""COMPUTED_VALUE"""),705.0)</f>
        <v>705</v>
      </c>
      <c r="C55" s="6">
        <f>IFERROR(__xludf.DUMMYFUNCTION("""COMPUTED_VALUE"""),720.45)</f>
        <v>720.45</v>
      </c>
      <c r="D55" s="6">
        <f>IFERROR(__xludf.DUMMYFUNCTION("""COMPUTED_VALUE"""),698.35)</f>
        <v>698.35</v>
      </c>
      <c r="E55" s="6">
        <f>IFERROR(__xludf.DUMMYFUNCTION("""COMPUTED_VALUE"""),710.3)</f>
        <v>710.3</v>
      </c>
      <c r="F55" s="6">
        <f>IFERROR(__xludf.DUMMYFUNCTION("""COMPUTED_VALUE"""),1.2440504E7)</f>
        <v>12440504</v>
      </c>
    </row>
    <row r="56">
      <c r="A56" s="7">
        <f>IFERROR(__xludf.DUMMYFUNCTION("""COMPUTED_VALUE"""),45569.64583333333)</f>
        <v>45569.64583</v>
      </c>
      <c r="B56" s="6">
        <f>IFERROR(__xludf.DUMMYFUNCTION("""COMPUTED_VALUE"""),698.0)</f>
        <v>698</v>
      </c>
      <c r="C56" s="6">
        <f>IFERROR(__xludf.DUMMYFUNCTION("""COMPUTED_VALUE"""),708.15)</f>
        <v>708.15</v>
      </c>
      <c r="D56" s="6">
        <f>IFERROR(__xludf.DUMMYFUNCTION("""COMPUTED_VALUE"""),657.0)</f>
        <v>657</v>
      </c>
      <c r="E56" s="6">
        <f>IFERROR(__xludf.DUMMYFUNCTION("""COMPUTED_VALUE"""),661.45)</f>
        <v>661.45</v>
      </c>
      <c r="F56" s="6">
        <f>IFERROR(__xludf.DUMMYFUNCTION("""COMPUTED_VALUE"""),1.3316132E7)</f>
        <v>13316132</v>
      </c>
    </row>
    <row r="57">
      <c r="A57" s="7">
        <f>IFERROR(__xludf.DUMMYFUNCTION("""COMPUTED_VALUE"""),45576.64583333333)</f>
        <v>45576.64583</v>
      </c>
      <c r="B57" s="6">
        <f>IFERROR(__xludf.DUMMYFUNCTION("""COMPUTED_VALUE"""),668.0)</f>
        <v>668</v>
      </c>
      <c r="C57" s="6">
        <f>IFERROR(__xludf.DUMMYFUNCTION("""COMPUTED_VALUE"""),715.4)</f>
        <v>715.4</v>
      </c>
      <c r="D57" s="6">
        <f>IFERROR(__xludf.DUMMYFUNCTION("""COMPUTED_VALUE"""),645.9)</f>
        <v>645.9</v>
      </c>
      <c r="E57" s="6">
        <f>IFERROR(__xludf.DUMMYFUNCTION("""COMPUTED_VALUE"""),708.55)</f>
        <v>708.55</v>
      </c>
      <c r="F57" s="6">
        <f>IFERROR(__xludf.DUMMYFUNCTION("""COMPUTED_VALUE"""),1.510015E7)</f>
        <v>15100150</v>
      </c>
    </row>
    <row r="58">
      <c r="A58" s="7">
        <f>IFERROR(__xludf.DUMMYFUNCTION("""COMPUTED_VALUE"""),45583.64583333333)</f>
        <v>45583.64583</v>
      </c>
      <c r="B58" s="6">
        <f>IFERROR(__xludf.DUMMYFUNCTION("""COMPUTED_VALUE"""),710.0)</f>
        <v>710</v>
      </c>
      <c r="C58" s="6">
        <f>IFERROR(__xludf.DUMMYFUNCTION("""COMPUTED_VALUE"""),714.6)</f>
        <v>714.6</v>
      </c>
      <c r="D58" s="6">
        <f>IFERROR(__xludf.DUMMYFUNCTION("""COMPUTED_VALUE"""),679.7)</f>
        <v>679.7</v>
      </c>
      <c r="E58" s="6">
        <f>IFERROR(__xludf.DUMMYFUNCTION("""COMPUTED_VALUE"""),686.7)</f>
        <v>686.7</v>
      </c>
      <c r="F58" s="6">
        <f>IFERROR(__xludf.DUMMYFUNCTION("""COMPUTED_VALUE"""),9266801.0)</f>
        <v>9266801</v>
      </c>
    </row>
    <row r="59">
      <c r="A59" s="7">
        <f>IFERROR(__xludf.DUMMYFUNCTION("""COMPUTED_VALUE"""),45590.64583333333)</f>
        <v>45590.64583</v>
      </c>
      <c r="B59" s="6">
        <f>IFERROR(__xludf.DUMMYFUNCTION("""COMPUTED_VALUE"""),692.0)</f>
        <v>692</v>
      </c>
      <c r="C59" s="6">
        <f>IFERROR(__xludf.DUMMYFUNCTION("""COMPUTED_VALUE"""),714.5)</f>
        <v>714.5</v>
      </c>
      <c r="D59" s="6">
        <f>IFERROR(__xludf.DUMMYFUNCTION("""COMPUTED_VALUE"""),649.0)</f>
        <v>649</v>
      </c>
      <c r="E59" s="6">
        <f>IFERROR(__xludf.DUMMYFUNCTION("""COMPUTED_VALUE"""),691.25)</f>
        <v>691.25</v>
      </c>
      <c r="F59" s="6">
        <f>IFERROR(__xludf.DUMMYFUNCTION("""COMPUTED_VALUE"""),2.0168784E7)</f>
        <v>20168784</v>
      </c>
    </row>
    <row r="60">
      <c r="A60" s="7">
        <f>IFERROR(__xludf.DUMMYFUNCTION("""COMPUTED_VALUE"""),45604.64583333333)</f>
        <v>45604.64583</v>
      </c>
      <c r="B60" s="6">
        <f>IFERROR(__xludf.DUMMYFUNCTION("""COMPUTED_VALUE"""),689.0)</f>
        <v>689</v>
      </c>
      <c r="C60" s="6">
        <f>IFERROR(__xludf.DUMMYFUNCTION("""COMPUTED_VALUE"""),742.85)</f>
        <v>742.85</v>
      </c>
      <c r="D60" s="6">
        <f>IFERROR(__xludf.DUMMYFUNCTION("""COMPUTED_VALUE"""),650.9)</f>
        <v>650.9</v>
      </c>
      <c r="E60" s="6">
        <f>IFERROR(__xludf.DUMMYFUNCTION("""COMPUTED_VALUE"""),732.9)</f>
        <v>732.9</v>
      </c>
      <c r="F60" s="6">
        <f>IFERROR(__xludf.DUMMYFUNCTION("""COMPUTED_VALUE"""),3.8056899E7)</f>
        <v>38056899</v>
      </c>
    </row>
    <row r="61">
      <c r="A61" s="7">
        <f>IFERROR(__xludf.DUMMYFUNCTION("""COMPUTED_VALUE"""),45610.64583333333)</f>
        <v>45610.64583</v>
      </c>
      <c r="B61" s="6">
        <f>IFERROR(__xludf.DUMMYFUNCTION("""COMPUTED_VALUE"""),737.95)</f>
        <v>737.95</v>
      </c>
      <c r="C61" s="6">
        <f>IFERROR(__xludf.DUMMYFUNCTION("""COMPUTED_VALUE"""),748.4)</f>
        <v>748.4</v>
      </c>
      <c r="D61" s="6">
        <f>IFERROR(__xludf.DUMMYFUNCTION("""COMPUTED_VALUE"""),709.65)</f>
        <v>709.65</v>
      </c>
      <c r="E61" s="6">
        <f>IFERROR(__xludf.DUMMYFUNCTION("""COMPUTED_VALUE"""),741.35)</f>
        <v>741.35</v>
      </c>
      <c r="F61" s="6">
        <f>IFERROR(__xludf.DUMMYFUNCTION("""COMPUTED_VALUE"""),2.0695247E7)</f>
        <v>20695247</v>
      </c>
    </row>
    <row r="62">
      <c r="A62" s="7">
        <f>IFERROR(__xludf.DUMMYFUNCTION("""COMPUTED_VALUE"""),45618.64583333333)</f>
        <v>45618.64583</v>
      </c>
      <c r="B62" s="6">
        <f>IFERROR(__xludf.DUMMYFUNCTION("""COMPUTED_VALUE"""),742.1)</f>
        <v>742.1</v>
      </c>
      <c r="C62" s="6">
        <f>IFERROR(__xludf.DUMMYFUNCTION("""COMPUTED_VALUE"""),801.1)</f>
        <v>801.1</v>
      </c>
      <c r="D62" s="6">
        <f>IFERROR(__xludf.DUMMYFUNCTION("""COMPUTED_VALUE"""),732.9)</f>
        <v>732.9</v>
      </c>
      <c r="E62" s="6">
        <f>IFERROR(__xludf.DUMMYFUNCTION("""COMPUTED_VALUE"""),799.05)</f>
        <v>799.05</v>
      </c>
      <c r="F62" s="6">
        <f>IFERROR(__xludf.DUMMYFUNCTION("""COMPUTED_VALUE"""),2.8791047E7)</f>
        <v>28791047</v>
      </c>
    </row>
    <row r="63">
      <c r="A63" s="7">
        <f>IFERROR(__xludf.DUMMYFUNCTION("""COMPUTED_VALUE"""),45625.64583333333)</f>
        <v>45625.64583</v>
      </c>
      <c r="B63" s="6">
        <f>IFERROR(__xludf.DUMMYFUNCTION("""COMPUTED_VALUE"""),809.25)</f>
        <v>809.25</v>
      </c>
      <c r="C63" s="6">
        <f>IFERROR(__xludf.DUMMYFUNCTION("""COMPUTED_VALUE"""),809.9)</f>
        <v>809.9</v>
      </c>
      <c r="D63" s="6">
        <f>IFERROR(__xludf.DUMMYFUNCTION("""COMPUTED_VALUE"""),775.5)</f>
        <v>775.5</v>
      </c>
      <c r="E63" s="6">
        <f>IFERROR(__xludf.DUMMYFUNCTION("""COMPUTED_VALUE"""),793.35)</f>
        <v>793.35</v>
      </c>
      <c r="F63" s="6">
        <f>IFERROR(__xludf.DUMMYFUNCTION("""COMPUTED_VALUE"""),2.4134544E7)</f>
        <v>24134544</v>
      </c>
    </row>
    <row r="64">
      <c r="A64" s="7">
        <f>IFERROR(__xludf.DUMMYFUNCTION("""COMPUTED_VALUE"""),45632.64583333333)</f>
        <v>45632.64583</v>
      </c>
      <c r="B64" s="6">
        <f>IFERROR(__xludf.DUMMYFUNCTION("""COMPUTED_VALUE"""),795.0)</f>
        <v>795</v>
      </c>
      <c r="C64" s="6">
        <f>IFERROR(__xludf.DUMMYFUNCTION("""COMPUTED_VALUE"""),831.8)</f>
        <v>831.8</v>
      </c>
      <c r="D64" s="6">
        <f>IFERROR(__xludf.DUMMYFUNCTION("""COMPUTED_VALUE"""),790.85)</f>
        <v>790.85</v>
      </c>
      <c r="E64" s="6">
        <f>IFERROR(__xludf.DUMMYFUNCTION("""COMPUTED_VALUE"""),826.65)</f>
        <v>826.65</v>
      </c>
      <c r="F64" s="6">
        <f>IFERROR(__xludf.DUMMYFUNCTION("""COMPUTED_VALUE"""),1.4866673E7)</f>
        <v>14866673</v>
      </c>
    </row>
    <row r="65">
      <c r="A65" s="7">
        <f>IFERROR(__xludf.DUMMYFUNCTION("""COMPUTED_VALUE"""),45639.64583333333)</f>
        <v>45639.64583</v>
      </c>
      <c r="B65" s="6">
        <f>IFERROR(__xludf.DUMMYFUNCTION("""COMPUTED_VALUE"""),827.0)</f>
        <v>827</v>
      </c>
      <c r="C65" s="6">
        <f>IFERROR(__xludf.DUMMYFUNCTION("""COMPUTED_VALUE"""),857.15)</f>
        <v>857.15</v>
      </c>
      <c r="D65" s="6">
        <f>IFERROR(__xludf.DUMMYFUNCTION("""COMPUTED_VALUE"""),825.1)</f>
        <v>825.1</v>
      </c>
      <c r="E65" s="6">
        <f>IFERROR(__xludf.DUMMYFUNCTION("""COMPUTED_VALUE"""),855.6)</f>
        <v>855.6</v>
      </c>
      <c r="F65" s="6">
        <f>IFERROR(__xludf.DUMMYFUNCTION("""COMPUTED_VALUE"""),1.2689953E7)</f>
        <v>12689953</v>
      </c>
    </row>
    <row r="66">
      <c r="A66" s="7">
        <f>IFERROR(__xludf.DUMMYFUNCTION("""COMPUTED_VALUE"""),45646.64583333333)</f>
        <v>45646.64583</v>
      </c>
      <c r="B66" s="6">
        <f>IFERROR(__xludf.DUMMYFUNCTION("""COMPUTED_VALUE"""),856.8)</f>
        <v>856.8</v>
      </c>
      <c r="C66" s="6">
        <f>IFERROR(__xludf.DUMMYFUNCTION("""COMPUTED_VALUE"""),886.2)</f>
        <v>886.2</v>
      </c>
      <c r="D66" s="6">
        <f>IFERROR(__xludf.DUMMYFUNCTION("""COMPUTED_VALUE"""),851.4)</f>
        <v>851.4</v>
      </c>
      <c r="E66" s="6">
        <f>IFERROR(__xludf.DUMMYFUNCTION("""COMPUTED_VALUE"""),854.1)</f>
        <v>854.1</v>
      </c>
      <c r="F66" s="6">
        <f>IFERROR(__xludf.DUMMYFUNCTION("""COMPUTED_VALUE"""),1.4508147E7)</f>
        <v>14508147</v>
      </c>
    </row>
    <row r="67">
      <c r="A67" s="7">
        <f>IFERROR(__xludf.DUMMYFUNCTION("""COMPUTED_VALUE"""),45653.64583333333)</f>
        <v>45653.64583</v>
      </c>
      <c r="B67" s="6">
        <f>IFERROR(__xludf.DUMMYFUNCTION("""COMPUTED_VALUE"""),857.0)</f>
        <v>857</v>
      </c>
      <c r="C67" s="6">
        <f>IFERROR(__xludf.DUMMYFUNCTION("""COMPUTED_VALUE"""),873.1)</f>
        <v>873.1</v>
      </c>
      <c r="D67" s="6">
        <f>IFERROR(__xludf.DUMMYFUNCTION("""COMPUTED_VALUE"""),848.5)</f>
        <v>848.5</v>
      </c>
      <c r="E67" s="6">
        <f>IFERROR(__xludf.DUMMYFUNCTION("""COMPUTED_VALUE"""),860.6)</f>
        <v>860.6</v>
      </c>
      <c r="F67" s="6">
        <f>IFERROR(__xludf.DUMMYFUNCTION("""COMPUTED_VALUE"""),8303193.0)</f>
        <v>8303193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IFERROR(__xludf.DUMMYFUNCTION("""COMPUTED_VALUE"""),860.6)</f>
        <v>860.6</v>
      </c>
      <c r="C68" s="6">
        <f>IFERROR(__xludf.DUMMYFUNCTION("""COMPUTED_VALUE"""),894.9)</f>
        <v>894.9</v>
      </c>
      <c r="D68" s="6">
        <f>IFERROR(__xludf.DUMMYFUNCTION("""COMPUTED_VALUE"""),856.0)</f>
        <v>856</v>
      </c>
      <c r="E68" s="6">
        <f>IFERROR(__xludf.DUMMYFUNCTION("""COMPUTED_VALUE"""),872.45)</f>
        <v>872.45</v>
      </c>
      <c r="F68" s="6">
        <f>IFERROR(__xludf.DUMMYFUNCTION("""COMPUTED_VALUE"""),2.8276334E7)</f>
        <v>28276334</v>
      </c>
    </row>
    <row r="69">
      <c r="A69" s="7">
        <f>IFERROR(__xludf.DUMMYFUNCTION("""COMPUTED_VALUE"""),45667.64583333333)</f>
        <v>45667.64583</v>
      </c>
      <c r="B69" s="6">
        <f>IFERROR(__xludf.DUMMYFUNCTION("""COMPUTED_VALUE"""),870.4)</f>
        <v>870.4</v>
      </c>
      <c r="C69" s="6">
        <f>IFERROR(__xludf.DUMMYFUNCTION("""COMPUTED_VALUE"""),876.45)</f>
        <v>876.45</v>
      </c>
      <c r="D69" s="6">
        <f>IFERROR(__xludf.DUMMYFUNCTION("""COMPUTED_VALUE"""),798.35)</f>
        <v>798.35</v>
      </c>
      <c r="E69" s="6">
        <f>IFERROR(__xludf.DUMMYFUNCTION("""COMPUTED_VALUE"""),805.9)</f>
        <v>805.9</v>
      </c>
      <c r="F69" s="6">
        <f>IFERROR(__xludf.DUMMYFUNCTION("""COMPUTED_VALUE"""),1.40998E7)</f>
        <v>14099800</v>
      </c>
    </row>
    <row r="70">
      <c r="A70" s="7">
        <f>IFERROR(__xludf.DUMMYFUNCTION("""COMPUTED_VALUE"""),45674.64583333333)</f>
        <v>45674.64583</v>
      </c>
      <c r="B70" s="6">
        <f>IFERROR(__xludf.DUMMYFUNCTION("""COMPUTED_VALUE"""),800.1)</f>
        <v>800.1</v>
      </c>
      <c r="C70" s="6">
        <f>IFERROR(__xludf.DUMMYFUNCTION("""COMPUTED_VALUE"""),822.9)</f>
        <v>822.9</v>
      </c>
      <c r="D70" s="6">
        <f>IFERROR(__xludf.DUMMYFUNCTION("""COMPUTED_VALUE"""),751.55)</f>
        <v>751.55</v>
      </c>
      <c r="E70" s="6">
        <f>IFERROR(__xludf.DUMMYFUNCTION("""COMPUTED_VALUE"""),813.35)</f>
        <v>813.35</v>
      </c>
      <c r="F70" s="6">
        <f>IFERROR(__xludf.DUMMYFUNCTION("""COMPUTED_VALUE"""),1.9850532E7)</f>
        <v>19850532</v>
      </c>
    </row>
    <row r="71">
      <c r="A71" s="7">
        <f>IFERROR(__xludf.DUMMYFUNCTION("""COMPUTED_VALUE"""),45681.64583333333)</f>
        <v>45681.64583</v>
      </c>
      <c r="B71" s="6">
        <f>IFERROR(__xludf.DUMMYFUNCTION("""COMPUTED_VALUE"""),826.65)</f>
        <v>826.65</v>
      </c>
      <c r="C71" s="6">
        <f>IFERROR(__xludf.DUMMYFUNCTION("""COMPUTED_VALUE"""),834.95)</f>
        <v>834.95</v>
      </c>
      <c r="D71" s="6">
        <f>IFERROR(__xludf.DUMMYFUNCTION("""COMPUTED_VALUE"""),751.5)</f>
        <v>751.5</v>
      </c>
      <c r="E71" s="6">
        <f>IFERROR(__xludf.DUMMYFUNCTION("""COMPUTED_VALUE"""),781.2)</f>
        <v>781.2</v>
      </c>
      <c r="F71" s="6">
        <f>IFERROR(__xludf.DUMMYFUNCTION("""COMPUTED_VALUE"""),2.6957296E7)</f>
        <v>26957296</v>
      </c>
    </row>
    <row r="72">
      <c r="A72" s="7">
        <f>IFERROR(__xludf.DUMMYFUNCTION("""COMPUTED_VALUE"""),45695.64583333333)</f>
        <v>45695.64583</v>
      </c>
      <c r="B72" s="6">
        <f>IFERROR(__xludf.DUMMYFUNCTION("""COMPUTED_VALUE"""),801.4)</f>
        <v>801.4</v>
      </c>
      <c r="C72" s="6">
        <f>IFERROR(__xludf.DUMMYFUNCTION("""COMPUTED_VALUE"""),836.0)</f>
        <v>836</v>
      </c>
      <c r="D72" s="6">
        <f>IFERROR(__xludf.DUMMYFUNCTION("""COMPUTED_VALUE"""),783.3)</f>
        <v>783.3</v>
      </c>
      <c r="E72" s="6">
        <f>IFERROR(__xludf.DUMMYFUNCTION("""COMPUTED_VALUE"""),791.8)</f>
        <v>791.8</v>
      </c>
      <c r="F72" s="6">
        <f>IFERROR(__xludf.DUMMYFUNCTION("""COMPUTED_VALUE"""),1.6065238E7)</f>
        <v>16065238</v>
      </c>
    </row>
    <row r="73">
      <c r="A73" s="7">
        <f>IFERROR(__xludf.DUMMYFUNCTION("""COMPUTED_VALUE"""),45702.64583333333)</f>
        <v>45702.64583</v>
      </c>
      <c r="B73" s="6">
        <f>IFERROR(__xludf.DUMMYFUNCTION("""COMPUTED_VALUE"""),794.95)</f>
        <v>794.95</v>
      </c>
      <c r="C73" s="6">
        <f>IFERROR(__xludf.DUMMYFUNCTION("""COMPUTED_VALUE"""),797.75)</f>
        <v>797.75</v>
      </c>
      <c r="D73" s="6">
        <f>IFERROR(__xludf.DUMMYFUNCTION("""COMPUTED_VALUE"""),700.8)</f>
        <v>700.8</v>
      </c>
      <c r="E73" s="6">
        <f>IFERROR(__xludf.DUMMYFUNCTION("""COMPUTED_VALUE"""),710.2)</f>
        <v>710.2</v>
      </c>
      <c r="F73" s="6">
        <f>IFERROR(__xludf.DUMMYFUNCTION("""COMPUTED_VALUE"""),1.0214645E7)</f>
        <v>10214645</v>
      </c>
    </row>
    <row r="74">
      <c r="A74" s="7">
        <f>IFERROR(__xludf.DUMMYFUNCTION("""COMPUTED_VALUE"""),45709.64583333333)</f>
        <v>45709.64583</v>
      </c>
      <c r="B74" s="6">
        <f>IFERROR(__xludf.DUMMYFUNCTION("""COMPUTED_VALUE"""),695.0)</f>
        <v>695</v>
      </c>
      <c r="C74" s="6">
        <f>IFERROR(__xludf.DUMMYFUNCTION("""COMPUTED_VALUE"""),779.4)</f>
        <v>779.4</v>
      </c>
      <c r="D74" s="6">
        <f>IFERROR(__xludf.DUMMYFUNCTION("""COMPUTED_VALUE"""),682.7)</f>
        <v>682.7</v>
      </c>
      <c r="E74" s="6">
        <f>IFERROR(__xludf.DUMMYFUNCTION("""COMPUTED_VALUE"""),757.55)</f>
        <v>757.55</v>
      </c>
      <c r="F74" s="6">
        <f>IFERROR(__xludf.DUMMYFUNCTION("""COMPUTED_VALUE"""),1.5079719E7)</f>
        <v>15079719</v>
      </c>
    </row>
    <row r="75">
      <c r="A75" s="7">
        <f>IFERROR(__xludf.DUMMYFUNCTION("""COMPUTED_VALUE"""),45716.64583333333)</f>
        <v>45716.64583</v>
      </c>
      <c r="B75" s="6">
        <f>IFERROR(__xludf.DUMMYFUNCTION("""COMPUTED_VALUE"""),745.0)</f>
        <v>745</v>
      </c>
      <c r="C75" s="6">
        <f>IFERROR(__xludf.DUMMYFUNCTION("""COMPUTED_VALUE"""),749.95)</f>
        <v>749.95</v>
      </c>
      <c r="D75" s="6">
        <f>IFERROR(__xludf.DUMMYFUNCTION("""COMPUTED_VALUE"""),703.2)</f>
        <v>703.2</v>
      </c>
      <c r="E75" s="6">
        <f>IFERROR(__xludf.DUMMYFUNCTION("""COMPUTED_VALUE"""),716.1)</f>
        <v>716.1</v>
      </c>
      <c r="F75" s="6">
        <f>IFERROR(__xludf.DUMMYFUNCTION("""COMPUTED_VALUE"""),1.6265685E7)</f>
        <v>16265685</v>
      </c>
    </row>
    <row r="76">
      <c r="A76" s="7">
        <f>IFERROR(__xludf.DUMMYFUNCTION("""COMPUTED_VALUE"""),45723.64583333333)</f>
        <v>45723.64583</v>
      </c>
      <c r="B76" s="6">
        <f>IFERROR(__xludf.DUMMYFUNCTION("""COMPUTED_VALUE"""),716.5)</f>
        <v>716.5</v>
      </c>
      <c r="C76" s="6">
        <f>IFERROR(__xludf.DUMMYFUNCTION("""COMPUTED_VALUE"""),763.55)</f>
        <v>763.55</v>
      </c>
      <c r="D76" s="6">
        <f>IFERROR(__xludf.DUMMYFUNCTION("""COMPUTED_VALUE"""),708.25)</f>
        <v>708.25</v>
      </c>
      <c r="E76" s="6">
        <f>IFERROR(__xludf.DUMMYFUNCTION("""COMPUTED_VALUE"""),744.3)</f>
        <v>744.3</v>
      </c>
      <c r="F76" s="6">
        <f>IFERROR(__xludf.DUMMYFUNCTION("""COMPUTED_VALUE"""),1.4319167E7)</f>
        <v>14319167</v>
      </c>
    </row>
    <row r="77">
      <c r="A77" s="7">
        <f>IFERROR(__xludf.DUMMYFUNCTION("""COMPUTED_VALUE"""),45729.64583333333)</f>
        <v>45729.64583</v>
      </c>
      <c r="B77" s="6">
        <f>IFERROR(__xludf.DUMMYFUNCTION("""COMPUTED_VALUE"""),745.0)</f>
        <v>745</v>
      </c>
      <c r="C77" s="6">
        <f>IFERROR(__xludf.DUMMYFUNCTION("""COMPUTED_VALUE"""),765.0)</f>
        <v>765</v>
      </c>
      <c r="D77" s="6">
        <f>IFERROR(__xludf.DUMMYFUNCTION("""COMPUTED_VALUE"""),728.4)</f>
        <v>728.4</v>
      </c>
      <c r="E77" s="6">
        <f>IFERROR(__xludf.DUMMYFUNCTION("""COMPUTED_VALUE"""),750.45)</f>
        <v>750.45</v>
      </c>
      <c r="F77" s="6">
        <f>IFERROR(__xludf.DUMMYFUNCTION("""COMPUTED_VALUE"""),8460324.0)</f>
        <v>8460324</v>
      </c>
    </row>
    <row r="78">
      <c r="A78" s="7">
        <f>IFERROR(__xludf.DUMMYFUNCTION("""COMPUTED_VALUE"""),45737.64583333333)</f>
        <v>45737.64583</v>
      </c>
      <c r="B78" s="6">
        <f>IFERROR(__xludf.DUMMYFUNCTION("""COMPUTED_VALUE"""),752.5)</f>
        <v>752.5</v>
      </c>
      <c r="C78" s="6">
        <f>IFERROR(__xludf.DUMMYFUNCTION("""COMPUTED_VALUE"""),831.85)</f>
        <v>831.85</v>
      </c>
      <c r="D78" s="6">
        <f>IFERROR(__xludf.DUMMYFUNCTION("""COMPUTED_VALUE"""),740.25)</f>
        <v>740.25</v>
      </c>
      <c r="E78" s="6">
        <f>IFERROR(__xludf.DUMMYFUNCTION("""COMPUTED_VALUE"""),824.7)</f>
        <v>824.7</v>
      </c>
      <c r="F78" s="6">
        <f>IFERROR(__xludf.DUMMYFUNCTION("""COMPUTED_VALUE"""),1.8976544E7)</f>
        <v>18976544</v>
      </c>
    </row>
    <row r="79">
      <c r="A79" s="7">
        <f>IFERROR(__xludf.DUMMYFUNCTION("""COMPUTED_VALUE"""),45744.64583333333)</f>
        <v>45744.64583</v>
      </c>
      <c r="B79" s="6">
        <f>IFERROR(__xludf.DUMMYFUNCTION("""COMPUTED_VALUE"""),829.75)</f>
        <v>829.75</v>
      </c>
      <c r="C79" s="6">
        <f>IFERROR(__xludf.DUMMYFUNCTION("""COMPUTED_VALUE"""),858.0)</f>
        <v>858</v>
      </c>
      <c r="D79" s="6">
        <f>IFERROR(__xludf.DUMMYFUNCTION("""COMPUTED_VALUE"""),783.35)</f>
        <v>783.35</v>
      </c>
      <c r="E79" s="6">
        <f>IFERROR(__xludf.DUMMYFUNCTION("""COMPUTED_VALUE"""),787.55)</f>
        <v>787.55</v>
      </c>
      <c r="F79" s="6">
        <f>IFERROR(__xludf.DUMMYFUNCTION("""COMPUTED_VALUE"""),3.9020698E7)</f>
        <v>39020698</v>
      </c>
    </row>
    <row r="80">
      <c r="A80" s="7">
        <f>IFERROR(__xludf.DUMMYFUNCTION("""COMPUTED_VALUE"""),45751.64583333333)</f>
        <v>45751.64583</v>
      </c>
      <c r="B80" s="6">
        <f>IFERROR(__xludf.DUMMYFUNCTION("""COMPUTED_VALUE"""),794.05)</f>
        <v>794.05</v>
      </c>
      <c r="C80" s="6">
        <f>IFERROR(__xludf.DUMMYFUNCTION("""COMPUTED_VALUE"""),837.9)</f>
        <v>837.9</v>
      </c>
      <c r="D80" s="6">
        <f>IFERROR(__xludf.DUMMYFUNCTION("""COMPUTED_VALUE"""),781.95)</f>
        <v>781.95</v>
      </c>
      <c r="E80" s="6">
        <f>IFERROR(__xludf.DUMMYFUNCTION("""COMPUTED_VALUE"""),799.35)</f>
        <v>799.35</v>
      </c>
      <c r="F80" s="6">
        <f>IFERROR(__xludf.DUMMYFUNCTION("""COMPUTED_VALUE"""),1.2669856E7)</f>
        <v>12669856</v>
      </c>
    </row>
    <row r="81">
      <c r="A81" s="7">
        <f>IFERROR(__xludf.DUMMYFUNCTION("""COMPUTED_VALUE"""),45758.64583333333)</f>
        <v>45758.64583</v>
      </c>
      <c r="B81" s="6">
        <f>IFERROR(__xludf.DUMMYFUNCTION("""COMPUTED_VALUE"""),744.0)</f>
        <v>744</v>
      </c>
      <c r="C81" s="6">
        <f>IFERROR(__xludf.DUMMYFUNCTION("""COMPUTED_VALUE"""),799.95)</f>
        <v>799.95</v>
      </c>
      <c r="D81" s="6">
        <f>IFERROR(__xludf.DUMMYFUNCTION("""COMPUTED_VALUE"""),735.0)</f>
        <v>735</v>
      </c>
      <c r="E81" s="6">
        <f>IFERROR(__xludf.DUMMYFUNCTION("""COMPUTED_VALUE"""),788.6)</f>
        <v>788.6</v>
      </c>
      <c r="F81" s="6">
        <f>IFERROR(__xludf.DUMMYFUNCTION("""COMPUTED_VALUE"""),1.8174978E7)</f>
        <v>18174978</v>
      </c>
    </row>
    <row r="82">
      <c r="A82" s="7">
        <f>IFERROR(__xludf.DUMMYFUNCTION("""COMPUTED_VALUE"""),45764.64583333333)</f>
        <v>45764.64583</v>
      </c>
      <c r="B82" s="6">
        <f>IFERROR(__xludf.DUMMYFUNCTION("""COMPUTED_VALUE"""),823.0)</f>
        <v>823</v>
      </c>
      <c r="C82" s="6">
        <f>IFERROR(__xludf.DUMMYFUNCTION("""COMPUTED_VALUE"""),846.7)</f>
        <v>846.7</v>
      </c>
      <c r="D82" s="6">
        <f>IFERROR(__xludf.DUMMYFUNCTION("""COMPUTED_VALUE"""),802.85)</f>
        <v>802.85</v>
      </c>
      <c r="E82" s="6">
        <f>IFERROR(__xludf.DUMMYFUNCTION("""COMPUTED_VALUE"""),841.2)</f>
        <v>841.2</v>
      </c>
      <c r="F82" s="6">
        <f>IFERROR(__xludf.DUMMYFUNCTION("""COMPUTED_VALUE"""),1.1888776E7)</f>
        <v>11888776</v>
      </c>
    </row>
    <row r="83">
      <c r="A83" s="7">
        <f>IFERROR(__xludf.DUMMYFUNCTION("""COMPUTED_VALUE"""),45772.64583333333)</f>
        <v>45772.64583</v>
      </c>
      <c r="B83" s="6">
        <f>IFERROR(__xludf.DUMMYFUNCTION("""COMPUTED_VALUE"""),842.0)</f>
        <v>842</v>
      </c>
      <c r="C83" s="6">
        <f>IFERROR(__xludf.DUMMYFUNCTION("""COMPUTED_VALUE"""),853.35)</f>
        <v>853.35</v>
      </c>
      <c r="D83" s="6">
        <f>IFERROR(__xludf.DUMMYFUNCTION("""COMPUTED_VALUE"""),770.0)</f>
        <v>770</v>
      </c>
      <c r="E83" s="6">
        <f>IFERROR(__xludf.DUMMYFUNCTION("""COMPUTED_VALUE"""),786.35)</f>
        <v>786.35</v>
      </c>
      <c r="F83" s="6">
        <f>IFERROR(__xludf.DUMMYFUNCTION("""COMPUTED_VALUE"""),2.2528475E7)</f>
        <v>22528475</v>
      </c>
    </row>
    <row r="84">
      <c r="A84" s="7">
        <f>IFERROR(__xludf.DUMMYFUNCTION("""COMPUTED_VALUE"""),45779.64583333333)</f>
        <v>45779.64583</v>
      </c>
      <c r="B84" s="6">
        <f>IFERROR(__xludf.DUMMYFUNCTION("""COMPUTED_VALUE"""),781.1)</f>
        <v>781.1</v>
      </c>
      <c r="C84" s="6">
        <f>IFERROR(__xludf.DUMMYFUNCTION("""COMPUTED_VALUE"""),818.75)</f>
        <v>818.75</v>
      </c>
      <c r="D84" s="6">
        <f>IFERROR(__xludf.DUMMYFUNCTION("""COMPUTED_VALUE"""),780.1)</f>
        <v>780.1</v>
      </c>
      <c r="E84" s="6">
        <f>IFERROR(__xludf.DUMMYFUNCTION("""COMPUTED_VALUE"""),800.5)</f>
        <v>800.5</v>
      </c>
      <c r="F84" s="6">
        <f>IFERROR(__xludf.DUMMYFUNCTION("""COMPUTED_VALUE"""),1.3779693E7)</f>
        <v>13779693</v>
      </c>
    </row>
    <row r="85">
      <c r="A85" s="7">
        <f>IFERROR(__xludf.DUMMYFUNCTION("""COMPUTED_VALUE"""),45786.64583333333)</f>
        <v>45786.64583</v>
      </c>
      <c r="B85" s="6">
        <f>IFERROR(__xludf.DUMMYFUNCTION("""COMPUTED_VALUE"""),809.9)</f>
        <v>809.9</v>
      </c>
      <c r="C85" s="6">
        <f>IFERROR(__xludf.DUMMYFUNCTION("""COMPUTED_VALUE"""),821.65)</f>
        <v>821.65</v>
      </c>
      <c r="D85" s="6">
        <f>IFERROR(__xludf.DUMMYFUNCTION("""COMPUTED_VALUE"""),699.0)</f>
        <v>699</v>
      </c>
      <c r="E85" s="6">
        <f>IFERROR(__xludf.DUMMYFUNCTION("""COMPUTED_VALUE"""),718.75)</f>
        <v>718.75</v>
      </c>
      <c r="F85" s="6">
        <f>IFERROR(__xludf.DUMMYFUNCTION("""COMPUTED_VALUE"""),4.4278427E7)</f>
        <v>44278427</v>
      </c>
    </row>
    <row r="86">
      <c r="A86" s="7">
        <f>IFERROR(__xludf.DUMMYFUNCTION("""COMPUTED_VALUE"""),45793.64583333333)</f>
        <v>45793.64583</v>
      </c>
      <c r="B86" s="6">
        <f>IFERROR(__xludf.DUMMYFUNCTION("""COMPUTED_VALUE"""),762.0)</f>
        <v>762</v>
      </c>
      <c r="C86" s="6">
        <f>IFERROR(__xludf.DUMMYFUNCTION("""COMPUTED_VALUE"""),779.0)</f>
        <v>779</v>
      </c>
      <c r="D86" s="6">
        <f>IFERROR(__xludf.DUMMYFUNCTION("""COMPUTED_VALUE"""),748.05)</f>
        <v>748.05</v>
      </c>
      <c r="E86" s="6">
        <f>IFERROR(__xludf.DUMMYFUNCTION("""COMPUTED_VALUE"""),766.35)</f>
        <v>766.35</v>
      </c>
      <c r="F86" s="6">
        <f>IFERROR(__xludf.DUMMYFUNCTION("""COMPUTED_VALUE"""),2.646904E7)</f>
        <v>26469040</v>
      </c>
    </row>
    <row r="87">
      <c r="A87" s="7">
        <f>IFERROR(__xludf.DUMMYFUNCTION("""COMPUTED_VALUE"""),45800.64583333333)</f>
        <v>45800.64583</v>
      </c>
      <c r="B87" s="6">
        <f>IFERROR(__xludf.DUMMYFUNCTION("""COMPUTED_VALUE"""),770.0)</f>
        <v>770</v>
      </c>
      <c r="C87" s="6">
        <f>IFERROR(__xludf.DUMMYFUNCTION("""COMPUTED_VALUE"""),781.75)</f>
        <v>781.75</v>
      </c>
      <c r="D87" s="6">
        <f>IFERROR(__xludf.DUMMYFUNCTION("""COMPUTED_VALUE"""),744.5)</f>
        <v>744.5</v>
      </c>
      <c r="E87" s="6">
        <f>IFERROR(__xludf.DUMMYFUNCTION("""COMPUTED_VALUE"""),770.45)</f>
        <v>770.45</v>
      </c>
      <c r="F87" s="6">
        <f>IFERROR(__xludf.DUMMYFUNCTION("""COMPUTED_VALUE"""),1.9400587E7)</f>
        <v>19400587</v>
      </c>
    </row>
    <row r="88">
      <c r="A88" s="7">
        <f>IFERROR(__xludf.DUMMYFUNCTION("""COMPUTED_VALUE"""),45807.64583333333)</f>
        <v>45807.64583</v>
      </c>
      <c r="B88" s="6">
        <f>IFERROR(__xludf.DUMMYFUNCTION("""COMPUTED_VALUE"""),771.0)</f>
        <v>771</v>
      </c>
      <c r="C88" s="6">
        <f>IFERROR(__xludf.DUMMYFUNCTION("""COMPUTED_VALUE"""),781.4)</f>
        <v>781.4</v>
      </c>
      <c r="D88" s="6">
        <f>IFERROR(__xludf.DUMMYFUNCTION("""COMPUTED_VALUE"""),758.65)</f>
        <v>758.65</v>
      </c>
      <c r="E88" s="6">
        <f>IFERROR(__xludf.DUMMYFUNCTION("""COMPUTED_VALUE"""),769.85)</f>
        <v>769.85</v>
      </c>
      <c r="F88" s="6">
        <f>IFERROR(__xludf.DUMMYFUNCTION("""COMPUTED_VALUE"""),1.4566516E7)</f>
        <v>14566516</v>
      </c>
    </row>
    <row r="89">
      <c r="A89" s="7">
        <f>IFERROR(__xludf.DUMMYFUNCTION("""COMPUTED_VALUE"""),45814.64583333333)</f>
        <v>45814.64583</v>
      </c>
      <c r="B89" s="6">
        <f>IFERROR(__xludf.DUMMYFUNCTION("""COMPUTED_VALUE"""),772.0)</f>
        <v>772</v>
      </c>
      <c r="C89" s="6">
        <f>IFERROR(__xludf.DUMMYFUNCTION("""COMPUTED_VALUE"""),791.45)</f>
        <v>791.45</v>
      </c>
      <c r="D89" s="6">
        <f>IFERROR(__xludf.DUMMYFUNCTION("""COMPUTED_VALUE"""),759.05)</f>
        <v>759.05</v>
      </c>
      <c r="E89" s="6">
        <f>IFERROR(__xludf.DUMMYFUNCTION("""COMPUTED_VALUE"""),776.85)</f>
        <v>776.85</v>
      </c>
      <c r="F89" s="6">
        <f>IFERROR(__xludf.DUMMYFUNCTION("""COMPUTED_VALUE"""),1.7878559E7)</f>
        <v>17878559</v>
      </c>
    </row>
    <row r="90">
      <c r="A90" s="7">
        <f>IFERROR(__xludf.DUMMYFUNCTION("""COMPUTED_VALUE"""),45821.64583333333)</f>
        <v>45821.64583</v>
      </c>
      <c r="B90" s="6">
        <f>IFERROR(__xludf.DUMMYFUNCTION("""COMPUTED_VALUE"""),779.7)</f>
        <v>779.7</v>
      </c>
      <c r="C90" s="6">
        <f>IFERROR(__xludf.DUMMYFUNCTION("""COMPUTED_VALUE"""),785.9)</f>
        <v>785.9</v>
      </c>
      <c r="D90" s="6">
        <f>IFERROR(__xludf.DUMMYFUNCTION("""COMPUTED_VALUE"""),726.95)</f>
        <v>726.95</v>
      </c>
      <c r="E90" s="6">
        <f>IFERROR(__xludf.DUMMYFUNCTION("""COMPUTED_VALUE"""),735.15)</f>
        <v>735.15</v>
      </c>
      <c r="F90" s="6">
        <f>IFERROR(__xludf.DUMMYFUNCTION("""COMPUTED_VALUE"""),1.4726645E7)</f>
        <v>14726645</v>
      </c>
    </row>
    <row r="91">
      <c r="A91" s="7">
        <f>IFERROR(__xludf.DUMMYFUNCTION("""COMPUTED_VALUE"""),45828.64583333333)</f>
        <v>45828.64583</v>
      </c>
      <c r="B91" s="6">
        <f>IFERROR(__xludf.DUMMYFUNCTION("""COMPUTED_VALUE"""),742.0)</f>
        <v>742</v>
      </c>
      <c r="C91" s="6">
        <f>IFERROR(__xludf.DUMMYFUNCTION("""COMPUTED_VALUE"""),769.25)</f>
        <v>769.25</v>
      </c>
      <c r="D91" s="6">
        <f>IFERROR(__xludf.DUMMYFUNCTION("""COMPUTED_VALUE"""),735.1)</f>
        <v>735.1</v>
      </c>
      <c r="E91" s="6">
        <f>IFERROR(__xludf.DUMMYFUNCTION("""COMPUTED_VALUE"""),765.65)</f>
        <v>765.65</v>
      </c>
      <c r="F91" s="6">
        <f>IFERROR(__xludf.DUMMYFUNCTION("""COMPUTED_VALUE"""),1.5263523E7)</f>
        <v>15263523</v>
      </c>
    </row>
    <row r="92">
      <c r="A92" s="7">
        <f>IFERROR(__xludf.DUMMYFUNCTION("""COMPUTED_VALUE"""),45835.64583333333)</f>
        <v>45835.64583</v>
      </c>
      <c r="B92" s="6">
        <f>IFERROR(__xludf.DUMMYFUNCTION("""COMPUTED_VALUE"""),758.0)</f>
        <v>758</v>
      </c>
      <c r="C92" s="6">
        <f>IFERROR(__xludf.DUMMYFUNCTION("""COMPUTED_VALUE"""),786.9)</f>
        <v>786.9</v>
      </c>
      <c r="D92" s="6">
        <f>IFERROR(__xludf.DUMMYFUNCTION("""COMPUTED_VALUE"""),756.05)</f>
        <v>756.05</v>
      </c>
      <c r="E92" s="6">
        <f>IFERROR(__xludf.DUMMYFUNCTION("""COMPUTED_VALUE"""),767.4)</f>
        <v>767.4</v>
      </c>
      <c r="F92" s="6">
        <f>IFERROR(__xludf.DUMMYFUNCTION("""COMPUTED_VALUE"""),2.3486984E7)</f>
        <v>23486984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IFERROR(__xludf.DUMMYFUNCTION("""COMPUTED_VALUE"""),768.9)</f>
        <v>768.9</v>
      </c>
      <c r="C93" s="6">
        <f>IFERROR(__xludf.DUMMYFUNCTION("""COMPUTED_VALUE"""),769.85)</f>
        <v>769.85</v>
      </c>
      <c r="D93" s="6">
        <f>IFERROR(__xludf.DUMMYFUNCTION("""COMPUTED_VALUE"""),742.05)</f>
        <v>742.05</v>
      </c>
      <c r="E93" s="6">
        <f>IFERROR(__xludf.DUMMYFUNCTION("""COMPUTED_VALUE"""),747.55)</f>
        <v>747.55</v>
      </c>
      <c r="F93" s="6">
        <f>IFERROR(__xludf.DUMMYFUNCTION("""COMPUTED_VALUE"""),1.8183068E7)</f>
        <v>18183068</v>
      </c>
    </row>
    <row r="94">
      <c r="A94" s="7">
        <f>IFERROR(__xludf.DUMMYFUNCTION("""COMPUTED_VALUE"""),45849.64583333333)</f>
        <v>45849.64583</v>
      </c>
      <c r="B94" s="6">
        <f>IFERROR(__xludf.DUMMYFUNCTION("""COMPUTED_VALUE"""),747.55)</f>
        <v>747.55</v>
      </c>
      <c r="C94" s="6">
        <f>IFERROR(__xludf.DUMMYFUNCTION("""COMPUTED_VALUE"""),753.9)</f>
        <v>753.9</v>
      </c>
      <c r="D94" s="6">
        <f>IFERROR(__xludf.DUMMYFUNCTION("""COMPUTED_VALUE"""),734.0)</f>
        <v>734</v>
      </c>
      <c r="E94" s="6">
        <f>IFERROR(__xludf.DUMMYFUNCTION("""COMPUTED_VALUE"""),735.2)</f>
        <v>735.2</v>
      </c>
      <c r="F94" s="6">
        <f>IFERROR(__xludf.DUMMYFUNCTION("""COMPUTED_VALUE"""),1.2383932E7)</f>
        <v>12383932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IFERROR(__xludf.DUMMYFUNCTION("""COMPUTED_VALUE"""),735.0)</f>
        <v>735</v>
      </c>
      <c r="C95" s="6">
        <f>IFERROR(__xludf.DUMMYFUNCTION("""COMPUTED_VALUE"""),769.2)</f>
        <v>769.2</v>
      </c>
      <c r="D95" s="6">
        <f>IFERROR(__xludf.DUMMYFUNCTION("""COMPUTED_VALUE"""),724.75)</f>
        <v>724.75</v>
      </c>
      <c r="E95" s="6">
        <f>IFERROR(__xludf.DUMMYFUNCTION("""COMPUTED_VALUE"""),766.2)</f>
        <v>766.2</v>
      </c>
      <c r="F95" s="6">
        <f>IFERROR(__xludf.DUMMYFUNCTION("""COMPUTED_VALUE"""),1.9865666E7)</f>
        <v>19865666</v>
      </c>
    </row>
    <row r="96">
      <c r="A96" s="7">
        <f>IFERROR(__xludf.DUMMYFUNCTION("""COMPUTED_VALUE"""),45863.64583333333)</f>
        <v>45863.64583</v>
      </c>
      <c r="B96" s="6">
        <f>IFERROR(__xludf.DUMMYFUNCTION("""COMPUTED_VALUE"""),766.2)</f>
        <v>766.2</v>
      </c>
      <c r="C96" s="6">
        <f>IFERROR(__xludf.DUMMYFUNCTION("""COMPUTED_VALUE"""),777.4)</f>
        <v>777.4</v>
      </c>
      <c r="D96" s="6">
        <f>IFERROR(__xludf.DUMMYFUNCTION("""COMPUTED_VALUE"""),739.35)</f>
        <v>739.35</v>
      </c>
      <c r="E96" s="6">
        <f>IFERROR(__xludf.DUMMYFUNCTION("""COMPUTED_VALUE"""),746.15)</f>
        <v>746.15</v>
      </c>
      <c r="F96" s="6">
        <f>IFERROR(__xludf.DUMMYFUNCTION("""COMPUTED_VALUE"""),1.2397241E7)</f>
        <v>12397241</v>
      </c>
    </row>
    <row r="97">
      <c r="A97" s="7">
        <f>IFERROR(__xludf.DUMMYFUNCTION("""COMPUTED_VALUE"""),45870.64583333333)</f>
        <v>45870.64583</v>
      </c>
      <c r="B97" s="6">
        <f>IFERROR(__xludf.DUMMYFUNCTION("""COMPUTED_VALUE"""),743.0)</f>
        <v>743</v>
      </c>
      <c r="C97" s="6">
        <f>IFERROR(__xludf.DUMMYFUNCTION("""COMPUTED_VALUE"""),755.5)</f>
        <v>755.5</v>
      </c>
      <c r="D97" s="6">
        <f>IFERROR(__xludf.DUMMYFUNCTION("""COMPUTED_VALUE"""),736.1)</f>
        <v>736.1</v>
      </c>
      <c r="E97" s="6">
        <f>IFERROR(__xludf.DUMMYFUNCTION("""COMPUTED_VALUE"""),741.15)</f>
        <v>741.15</v>
      </c>
      <c r="F97" s="6">
        <f>IFERROR(__xludf.DUMMYFUNCTION("""COMPUTED_VALUE"""),1.1007967E7)</f>
        <v>11007967</v>
      </c>
    </row>
    <row r="98">
      <c r="A98" s="7">
        <f>IFERROR(__xludf.DUMMYFUNCTION("""COMPUTED_VALUE"""),45877.64583333333)</f>
        <v>45877.64583</v>
      </c>
      <c r="B98" s="6">
        <f>IFERROR(__xludf.DUMMYFUNCTION("""COMPUTED_VALUE"""),742.3)</f>
        <v>742.3</v>
      </c>
      <c r="C98" s="6">
        <f>IFERROR(__xludf.DUMMYFUNCTION("""COMPUTED_VALUE"""),755.45)</f>
        <v>755.45</v>
      </c>
      <c r="D98" s="6">
        <f>IFERROR(__xludf.DUMMYFUNCTION("""COMPUTED_VALUE"""),732.8)</f>
        <v>732.8</v>
      </c>
      <c r="E98" s="6">
        <f>IFERROR(__xludf.DUMMYFUNCTION("""COMPUTED_VALUE"""),735.75)</f>
        <v>735.75</v>
      </c>
      <c r="F98" s="6">
        <f>IFERROR(__xludf.DUMMYFUNCTION("""COMPUTED_VALUE"""),1.0320244E7)</f>
        <v>10320244</v>
      </c>
    </row>
    <row r="99">
      <c r="A99" s="7">
        <f>IFERROR(__xludf.DUMMYFUNCTION("""COMPUTED_VALUE"""),45883.64583333333)</f>
        <v>45883.64583</v>
      </c>
      <c r="B99" s="6">
        <f>IFERROR(__xludf.DUMMYFUNCTION("""COMPUTED_VALUE"""),736.0)</f>
        <v>736</v>
      </c>
      <c r="C99" s="6">
        <f>IFERROR(__xludf.DUMMYFUNCTION("""COMPUTED_VALUE"""),776.9)</f>
        <v>776.9</v>
      </c>
      <c r="D99" s="6">
        <f>IFERROR(__xludf.DUMMYFUNCTION("""COMPUTED_VALUE"""),735.1)</f>
        <v>735.1</v>
      </c>
      <c r="E99" s="6">
        <f>IFERROR(__xludf.DUMMYFUNCTION("""COMPUTED_VALUE"""),774.35)</f>
        <v>774.35</v>
      </c>
      <c r="F99" s="6">
        <f>IFERROR(__xludf.DUMMYFUNCTION("""COMPUTED_VALUE"""),8707481.0)</f>
        <v>8707481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IFERROR(__xludf.DUMMYFUNCTION("""COMPUTED_VALUE"""),780.0)</f>
        <v>780</v>
      </c>
      <c r="C100" s="6">
        <f>IFERROR(__xludf.DUMMYFUNCTION("""COMPUTED_VALUE"""),811.95)</f>
        <v>811.95</v>
      </c>
      <c r="D100" s="6">
        <f>IFERROR(__xludf.DUMMYFUNCTION("""COMPUTED_VALUE"""),766.05)</f>
        <v>766.05</v>
      </c>
      <c r="E100" s="6">
        <f>IFERROR(__xludf.DUMMYFUNCTION("""COMPUTED_VALUE"""),788.85)</f>
        <v>788.85</v>
      </c>
      <c r="F100" s="6">
        <f>IFERROR(__xludf.DUMMYFUNCTION("""COMPUTED_VALUE"""),1.9173706E7)</f>
        <v>19173706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IFERROR(__xludf.DUMMYFUNCTION("""COMPUTED_VALUE"""),791.0)</f>
        <v>791</v>
      </c>
      <c r="C101" s="6">
        <f>IFERROR(__xludf.DUMMYFUNCTION("""COMPUTED_VALUE"""),795.65)</f>
        <v>795.65</v>
      </c>
      <c r="D101" s="6">
        <f>IFERROR(__xludf.DUMMYFUNCTION("""COMPUTED_VALUE"""),765.1)</f>
        <v>765.1</v>
      </c>
      <c r="E101" s="6">
        <f>IFERROR(__xludf.DUMMYFUNCTION("""COMPUTED_VALUE"""),769.05)</f>
        <v>769.05</v>
      </c>
      <c r="F101" s="6">
        <f>IFERROR(__xludf.DUMMYFUNCTION("""COMPUTED_VALUE"""),2.725654E7)</f>
        <v>27256540</v>
      </c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IFERROR(__xludf.DUMMYFUNCTION("GOOGLEFINANCE(""NSE:INDIANB"",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IFERROR(__xludf.DUMMYFUNCTION("""COMPUTED_VALUE"""),396.95)</f>
        <v>396.95</v>
      </c>
      <c r="C2" s="6">
        <f>IFERROR(__xludf.DUMMYFUNCTION("""COMPUTED_VALUE"""),409.9)</f>
        <v>409.9</v>
      </c>
      <c r="D2" s="6">
        <f>IFERROR(__xludf.DUMMYFUNCTION("""COMPUTED_VALUE"""),374.5)</f>
        <v>374.5</v>
      </c>
      <c r="E2" s="6">
        <f>IFERROR(__xludf.DUMMYFUNCTION("""COMPUTED_VALUE"""),377.1)</f>
        <v>377.1</v>
      </c>
      <c r="F2" s="6">
        <f>IFERROR(__xludf.DUMMYFUNCTION("""COMPUTED_VALUE"""),6968217.0)</f>
        <v>6968217</v>
      </c>
    </row>
    <row r="3">
      <c r="A3" s="7">
        <f>IFERROR(__xludf.DUMMYFUNCTION("""COMPUTED_VALUE"""),45177.64583333333)</f>
        <v>45177.64583</v>
      </c>
      <c r="B3" s="6">
        <f>IFERROR(__xludf.DUMMYFUNCTION("""COMPUTED_VALUE"""),378.15)</f>
        <v>378.15</v>
      </c>
      <c r="C3" s="6">
        <f>IFERROR(__xludf.DUMMYFUNCTION("""COMPUTED_VALUE"""),394.75)</f>
        <v>394.75</v>
      </c>
      <c r="D3" s="6">
        <f>IFERROR(__xludf.DUMMYFUNCTION("""COMPUTED_VALUE"""),378.15)</f>
        <v>378.15</v>
      </c>
      <c r="E3" s="6">
        <f>IFERROR(__xludf.DUMMYFUNCTION("""COMPUTED_VALUE"""),389.15)</f>
        <v>389.15</v>
      </c>
      <c r="F3" s="6">
        <f>IFERROR(__xludf.DUMMYFUNCTION("""COMPUTED_VALUE"""),4451194.0)</f>
        <v>4451194</v>
      </c>
    </row>
    <row r="4">
      <c r="A4" s="7">
        <f>IFERROR(__xludf.DUMMYFUNCTION("""COMPUTED_VALUE"""),45184.64583333333)</f>
        <v>45184.64583</v>
      </c>
      <c r="B4" s="6">
        <f>IFERROR(__xludf.DUMMYFUNCTION("""COMPUTED_VALUE"""),390.0)</f>
        <v>390</v>
      </c>
      <c r="C4" s="6">
        <f>IFERROR(__xludf.DUMMYFUNCTION("""COMPUTED_VALUE"""),409.5)</f>
        <v>409.5</v>
      </c>
      <c r="D4" s="6">
        <f>IFERROR(__xludf.DUMMYFUNCTION("""COMPUTED_VALUE"""),380.2)</f>
        <v>380.2</v>
      </c>
      <c r="E4" s="6">
        <f>IFERROR(__xludf.DUMMYFUNCTION("""COMPUTED_VALUE"""),397.7)</f>
        <v>397.7</v>
      </c>
      <c r="F4" s="6">
        <f>IFERROR(__xludf.DUMMYFUNCTION("""COMPUTED_VALUE"""),1.0130469E7)</f>
        <v>10130469</v>
      </c>
    </row>
    <row r="5">
      <c r="A5" s="7">
        <f>IFERROR(__xludf.DUMMYFUNCTION("""COMPUTED_VALUE"""),45191.64583333333)</f>
        <v>45191.64583</v>
      </c>
      <c r="B5" s="6">
        <f>IFERROR(__xludf.DUMMYFUNCTION("""COMPUTED_VALUE"""),398.7)</f>
        <v>398.7</v>
      </c>
      <c r="C5" s="6">
        <f>IFERROR(__xludf.DUMMYFUNCTION("""COMPUTED_VALUE"""),434.15)</f>
        <v>434.15</v>
      </c>
      <c r="D5" s="6">
        <f>IFERROR(__xludf.DUMMYFUNCTION("""COMPUTED_VALUE"""),397.05)</f>
        <v>397.05</v>
      </c>
      <c r="E5" s="6">
        <f>IFERROR(__xludf.DUMMYFUNCTION("""COMPUTED_VALUE"""),420.85)</f>
        <v>420.85</v>
      </c>
      <c r="F5" s="6">
        <f>IFERROR(__xludf.DUMMYFUNCTION("""COMPUTED_VALUE"""),2.3434449E7)</f>
        <v>23434449</v>
      </c>
    </row>
    <row r="6">
      <c r="A6" s="7">
        <f>IFERROR(__xludf.DUMMYFUNCTION("""COMPUTED_VALUE"""),45198.64583333333)</f>
        <v>45198.64583</v>
      </c>
      <c r="B6" s="6">
        <f>IFERROR(__xludf.DUMMYFUNCTION("""COMPUTED_VALUE"""),424.0)</f>
        <v>424</v>
      </c>
      <c r="C6" s="6">
        <f>IFERROR(__xludf.DUMMYFUNCTION("""COMPUTED_VALUE"""),446.5)</f>
        <v>446.5</v>
      </c>
      <c r="D6" s="6">
        <f>IFERROR(__xludf.DUMMYFUNCTION("""COMPUTED_VALUE"""),404.3)</f>
        <v>404.3</v>
      </c>
      <c r="E6" s="6">
        <f>IFERROR(__xludf.DUMMYFUNCTION("""COMPUTED_VALUE"""),423.55)</f>
        <v>423.55</v>
      </c>
      <c r="F6" s="6">
        <f>IFERROR(__xludf.DUMMYFUNCTION("""COMPUTED_VALUE"""),1.8172241E7)</f>
        <v>18172241</v>
      </c>
    </row>
    <row r="7">
      <c r="A7" s="7">
        <f>IFERROR(__xludf.DUMMYFUNCTION("""COMPUTED_VALUE"""),45205.64583333333)</f>
        <v>45205.64583</v>
      </c>
      <c r="B7" s="6">
        <f>IFERROR(__xludf.DUMMYFUNCTION("""COMPUTED_VALUE"""),421.15)</f>
        <v>421.15</v>
      </c>
      <c r="C7" s="6">
        <f>IFERROR(__xludf.DUMMYFUNCTION("""COMPUTED_VALUE"""),445.1)</f>
        <v>445.1</v>
      </c>
      <c r="D7" s="6">
        <f>IFERROR(__xludf.DUMMYFUNCTION("""COMPUTED_VALUE"""),421.15)</f>
        <v>421.15</v>
      </c>
      <c r="E7" s="6">
        <f>IFERROR(__xludf.DUMMYFUNCTION("""COMPUTED_VALUE"""),426.05)</f>
        <v>426.05</v>
      </c>
      <c r="F7" s="6">
        <f>IFERROR(__xludf.DUMMYFUNCTION("""COMPUTED_VALUE"""),8017475.0)</f>
        <v>8017475</v>
      </c>
    </row>
    <row r="8">
      <c r="A8" s="7">
        <f>IFERROR(__xludf.DUMMYFUNCTION("""COMPUTED_VALUE"""),45212.64583333333)</f>
        <v>45212.64583</v>
      </c>
      <c r="B8" s="6">
        <f>IFERROR(__xludf.DUMMYFUNCTION("""COMPUTED_VALUE"""),420.0)</f>
        <v>420</v>
      </c>
      <c r="C8" s="6">
        <f>IFERROR(__xludf.DUMMYFUNCTION("""COMPUTED_VALUE"""),431.15)</f>
        <v>431.15</v>
      </c>
      <c r="D8" s="6">
        <f>IFERROR(__xludf.DUMMYFUNCTION("""COMPUTED_VALUE"""),402.0)</f>
        <v>402</v>
      </c>
      <c r="E8" s="6">
        <f>IFERROR(__xludf.DUMMYFUNCTION("""COMPUTED_VALUE"""),418.4)</f>
        <v>418.4</v>
      </c>
      <c r="F8" s="6">
        <f>IFERROR(__xludf.DUMMYFUNCTION("""COMPUTED_VALUE"""),6558659.0)</f>
        <v>6558659</v>
      </c>
    </row>
    <row r="9">
      <c r="A9" s="7">
        <f>IFERROR(__xludf.DUMMYFUNCTION("""COMPUTED_VALUE"""),45219.64583333333)</f>
        <v>45219.64583</v>
      </c>
      <c r="B9" s="6">
        <f>IFERROR(__xludf.DUMMYFUNCTION("""COMPUTED_VALUE"""),421.3)</f>
        <v>421.3</v>
      </c>
      <c r="C9" s="6">
        <f>IFERROR(__xludf.DUMMYFUNCTION("""COMPUTED_VALUE"""),436.0)</f>
        <v>436</v>
      </c>
      <c r="D9" s="6">
        <f>IFERROR(__xludf.DUMMYFUNCTION("""COMPUTED_VALUE"""),410.75)</f>
        <v>410.75</v>
      </c>
      <c r="E9" s="6">
        <f>IFERROR(__xludf.DUMMYFUNCTION("""COMPUTED_VALUE"""),424.15)</f>
        <v>424.15</v>
      </c>
      <c r="F9" s="6">
        <f>IFERROR(__xludf.DUMMYFUNCTION("""COMPUTED_VALUE"""),6626108.0)</f>
        <v>6626108</v>
      </c>
    </row>
    <row r="10">
      <c r="A10" s="7">
        <f>IFERROR(__xludf.DUMMYFUNCTION("""COMPUTED_VALUE"""),45226.64583333333)</f>
        <v>45226.64583</v>
      </c>
      <c r="B10" s="6">
        <f>IFERROR(__xludf.DUMMYFUNCTION("""COMPUTED_VALUE"""),424.3)</f>
        <v>424.3</v>
      </c>
      <c r="C10" s="6">
        <f>IFERROR(__xludf.DUMMYFUNCTION("""COMPUTED_VALUE"""),425.3)</f>
        <v>425.3</v>
      </c>
      <c r="D10" s="6">
        <f>IFERROR(__xludf.DUMMYFUNCTION("""COMPUTED_VALUE"""),396.4)</f>
        <v>396.4</v>
      </c>
      <c r="E10" s="6">
        <f>IFERROR(__xludf.DUMMYFUNCTION("""COMPUTED_VALUE"""),414.75)</f>
        <v>414.75</v>
      </c>
      <c r="F10" s="6">
        <f>IFERROR(__xludf.DUMMYFUNCTION("""COMPUTED_VALUE"""),6097548.0)</f>
        <v>6097548</v>
      </c>
    </row>
    <row r="11">
      <c r="A11" s="7">
        <f>IFERROR(__xludf.DUMMYFUNCTION("""COMPUTED_VALUE"""),45233.64583333333)</f>
        <v>45233.64583</v>
      </c>
      <c r="B11" s="6">
        <f>IFERROR(__xludf.DUMMYFUNCTION("""COMPUTED_VALUE"""),416.9)</f>
        <v>416.9</v>
      </c>
      <c r="C11" s="6">
        <f>IFERROR(__xludf.DUMMYFUNCTION("""COMPUTED_VALUE"""),438.9)</f>
        <v>438.9</v>
      </c>
      <c r="D11" s="6">
        <f>IFERROR(__xludf.DUMMYFUNCTION("""COMPUTED_VALUE"""),408.05)</f>
        <v>408.05</v>
      </c>
      <c r="E11" s="6">
        <f>IFERROR(__xludf.DUMMYFUNCTION("""COMPUTED_VALUE"""),430.4)</f>
        <v>430.4</v>
      </c>
      <c r="F11" s="6">
        <f>IFERROR(__xludf.DUMMYFUNCTION("""COMPUTED_VALUE"""),5597711.0)</f>
        <v>5597711</v>
      </c>
    </row>
    <row r="12">
      <c r="A12" s="7">
        <f>IFERROR(__xludf.DUMMYFUNCTION("""COMPUTED_VALUE"""),45240.64583333333)</f>
        <v>45240.64583</v>
      </c>
      <c r="B12" s="6">
        <f>IFERROR(__xludf.DUMMYFUNCTION("""COMPUTED_VALUE"""),433.35)</f>
        <v>433.35</v>
      </c>
      <c r="C12" s="6">
        <f>IFERROR(__xludf.DUMMYFUNCTION("""COMPUTED_VALUE"""),434.5)</f>
        <v>434.5</v>
      </c>
      <c r="D12" s="6">
        <f>IFERROR(__xludf.DUMMYFUNCTION("""COMPUTED_VALUE"""),414.7)</f>
        <v>414.7</v>
      </c>
      <c r="E12" s="6">
        <f>IFERROR(__xludf.DUMMYFUNCTION("""COMPUTED_VALUE"""),416.05)</f>
        <v>416.05</v>
      </c>
      <c r="F12" s="6">
        <f>IFERROR(__xludf.DUMMYFUNCTION("""COMPUTED_VALUE"""),3241288.0)</f>
        <v>3241288</v>
      </c>
    </row>
    <row r="13">
      <c r="A13" s="7">
        <f>IFERROR(__xludf.DUMMYFUNCTION("""COMPUTED_VALUE"""),45247.64583333333)</f>
        <v>45247.64583</v>
      </c>
      <c r="B13" s="6">
        <f>IFERROR(__xludf.DUMMYFUNCTION("""COMPUTED_VALUE"""),419.3)</f>
        <v>419.3</v>
      </c>
      <c r="C13" s="6">
        <f>IFERROR(__xludf.DUMMYFUNCTION("""COMPUTED_VALUE"""),463.0)</f>
        <v>463</v>
      </c>
      <c r="D13" s="6">
        <f>IFERROR(__xludf.DUMMYFUNCTION("""COMPUTED_VALUE"""),417.0)</f>
        <v>417</v>
      </c>
      <c r="E13" s="6">
        <f>IFERROR(__xludf.DUMMYFUNCTION("""COMPUTED_VALUE"""),431.6)</f>
        <v>431.6</v>
      </c>
      <c r="F13" s="6">
        <f>IFERROR(__xludf.DUMMYFUNCTION("""COMPUTED_VALUE"""),8307259.0)</f>
        <v>8307259</v>
      </c>
    </row>
    <row r="14">
      <c r="A14" s="7">
        <f>IFERROR(__xludf.DUMMYFUNCTION("""COMPUTED_VALUE"""),45254.64583333333)</f>
        <v>45254.64583</v>
      </c>
      <c r="B14" s="6">
        <f>IFERROR(__xludf.DUMMYFUNCTION("""COMPUTED_VALUE"""),432.9)</f>
        <v>432.9</v>
      </c>
      <c r="C14" s="6">
        <f>IFERROR(__xludf.DUMMYFUNCTION("""COMPUTED_VALUE"""),434.8)</f>
        <v>434.8</v>
      </c>
      <c r="D14" s="6">
        <f>IFERROR(__xludf.DUMMYFUNCTION("""COMPUTED_VALUE"""),407.0)</f>
        <v>407</v>
      </c>
      <c r="E14" s="6">
        <f>IFERROR(__xludf.DUMMYFUNCTION("""COMPUTED_VALUE"""),408.2)</f>
        <v>408.2</v>
      </c>
      <c r="F14" s="6">
        <f>IFERROR(__xludf.DUMMYFUNCTION("""COMPUTED_VALUE"""),3683482.0)</f>
        <v>3683482</v>
      </c>
    </row>
    <row r="15">
      <c r="A15" s="7">
        <f>IFERROR(__xludf.DUMMYFUNCTION("""COMPUTED_VALUE"""),45261.64583333333)</f>
        <v>45261.64583</v>
      </c>
      <c r="B15" s="6">
        <f>IFERROR(__xludf.DUMMYFUNCTION("""COMPUTED_VALUE"""),410.5)</f>
        <v>410.5</v>
      </c>
      <c r="C15" s="6">
        <f>IFERROR(__xludf.DUMMYFUNCTION("""COMPUTED_VALUE"""),423.25)</f>
        <v>423.25</v>
      </c>
      <c r="D15" s="6">
        <f>IFERROR(__xludf.DUMMYFUNCTION("""COMPUTED_VALUE"""),390.9)</f>
        <v>390.9</v>
      </c>
      <c r="E15" s="6">
        <f>IFERROR(__xludf.DUMMYFUNCTION("""COMPUTED_VALUE"""),401.15)</f>
        <v>401.15</v>
      </c>
      <c r="F15" s="6">
        <f>IFERROR(__xludf.DUMMYFUNCTION("""COMPUTED_VALUE"""),1.777083E7)</f>
        <v>17770830</v>
      </c>
    </row>
    <row r="16">
      <c r="A16" s="7">
        <f>IFERROR(__xludf.DUMMYFUNCTION("""COMPUTED_VALUE"""),45268.64583333333)</f>
        <v>45268.64583</v>
      </c>
      <c r="B16" s="6">
        <f>IFERROR(__xludf.DUMMYFUNCTION("""COMPUTED_VALUE"""),409.65)</f>
        <v>409.65</v>
      </c>
      <c r="C16" s="6">
        <f>IFERROR(__xludf.DUMMYFUNCTION("""COMPUTED_VALUE"""),438.0)</f>
        <v>438</v>
      </c>
      <c r="D16" s="6">
        <f>IFERROR(__xludf.DUMMYFUNCTION("""COMPUTED_VALUE"""),406.5)</f>
        <v>406.5</v>
      </c>
      <c r="E16" s="6">
        <f>IFERROR(__xludf.DUMMYFUNCTION("""COMPUTED_VALUE"""),428.25)</f>
        <v>428.25</v>
      </c>
      <c r="F16" s="6">
        <f>IFERROR(__xludf.DUMMYFUNCTION("""COMPUTED_VALUE"""),1.1535347E7)</f>
        <v>11535347</v>
      </c>
    </row>
    <row r="17">
      <c r="A17" s="7">
        <f>IFERROR(__xludf.DUMMYFUNCTION("""COMPUTED_VALUE"""),45275.64583333333)</f>
        <v>45275.64583</v>
      </c>
      <c r="B17" s="6">
        <f>IFERROR(__xludf.DUMMYFUNCTION("""COMPUTED_VALUE"""),430.4)</f>
        <v>430.4</v>
      </c>
      <c r="C17" s="6">
        <f>IFERROR(__xludf.DUMMYFUNCTION("""COMPUTED_VALUE"""),458.0)</f>
        <v>458</v>
      </c>
      <c r="D17" s="6">
        <f>IFERROR(__xludf.DUMMYFUNCTION("""COMPUTED_VALUE"""),426.4)</f>
        <v>426.4</v>
      </c>
      <c r="E17" s="6">
        <f>IFERROR(__xludf.DUMMYFUNCTION("""COMPUTED_VALUE"""),453.9)</f>
        <v>453.9</v>
      </c>
      <c r="F17" s="6">
        <f>IFERROR(__xludf.DUMMYFUNCTION("""COMPUTED_VALUE"""),1.7723183E7)</f>
        <v>17723183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IFERROR(__xludf.DUMMYFUNCTION("""COMPUTED_VALUE"""),453.85)</f>
        <v>453.85</v>
      </c>
      <c r="C18" s="6">
        <f>IFERROR(__xludf.DUMMYFUNCTION("""COMPUTED_VALUE"""),453.85)</f>
        <v>453.85</v>
      </c>
      <c r="D18" s="6">
        <f>IFERROR(__xludf.DUMMYFUNCTION("""COMPUTED_VALUE"""),391.0)</f>
        <v>391</v>
      </c>
      <c r="E18" s="6">
        <f>IFERROR(__xludf.DUMMYFUNCTION("""COMPUTED_VALUE"""),412.2)</f>
        <v>412.2</v>
      </c>
      <c r="F18" s="6">
        <f>IFERROR(__xludf.DUMMYFUNCTION("""COMPUTED_VALUE"""),3.9511395E7)</f>
        <v>39511395</v>
      </c>
    </row>
    <row r="19">
      <c r="A19" s="7">
        <f>IFERROR(__xludf.DUMMYFUNCTION("""COMPUTED_VALUE"""),45289.64583333333)</f>
        <v>45289.64583</v>
      </c>
      <c r="B19" s="6">
        <f>IFERROR(__xludf.DUMMYFUNCTION("""COMPUTED_VALUE"""),417.0)</f>
        <v>417</v>
      </c>
      <c r="C19" s="6">
        <f>IFERROR(__xludf.DUMMYFUNCTION("""COMPUTED_VALUE"""),425.0)</f>
        <v>425</v>
      </c>
      <c r="D19" s="6">
        <f>IFERROR(__xludf.DUMMYFUNCTION("""COMPUTED_VALUE"""),408.0)</f>
        <v>408</v>
      </c>
      <c r="E19" s="6">
        <f>IFERROR(__xludf.DUMMYFUNCTION("""COMPUTED_VALUE"""),420.9)</f>
        <v>420.9</v>
      </c>
      <c r="F19" s="6">
        <f>IFERROR(__xludf.DUMMYFUNCTION("""COMPUTED_VALUE"""),1.4174355E7)</f>
        <v>14174355</v>
      </c>
    </row>
    <row r="20">
      <c r="A20" s="7">
        <f>IFERROR(__xludf.DUMMYFUNCTION("""COMPUTED_VALUE"""),45296.64583333333)</f>
        <v>45296.64583</v>
      </c>
      <c r="B20" s="6">
        <f>IFERROR(__xludf.DUMMYFUNCTION("""COMPUTED_VALUE"""),422.0)</f>
        <v>422</v>
      </c>
      <c r="C20" s="6">
        <f>IFERROR(__xludf.DUMMYFUNCTION("""COMPUTED_VALUE"""),441.95)</f>
        <v>441.95</v>
      </c>
      <c r="D20" s="6">
        <f>IFERROR(__xludf.DUMMYFUNCTION("""COMPUTED_VALUE"""),408.6)</f>
        <v>408.6</v>
      </c>
      <c r="E20" s="6">
        <f>IFERROR(__xludf.DUMMYFUNCTION("""COMPUTED_VALUE"""),434.4)</f>
        <v>434.4</v>
      </c>
      <c r="F20" s="6">
        <f>IFERROR(__xludf.DUMMYFUNCTION("""COMPUTED_VALUE"""),1.6324358E7)</f>
        <v>16324358</v>
      </c>
    </row>
    <row r="21">
      <c r="A21" s="7">
        <f>IFERROR(__xludf.DUMMYFUNCTION("""COMPUTED_VALUE"""),45303.64583333333)</f>
        <v>45303.64583</v>
      </c>
      <c r="B21" s="6">
        <f>IFERROR(__xludf.DUMMYFUNCTION("""COMPUTED_VALUE"""),436.0)</f>
        <v>436</v>
      </c>
      <c r="C21" s="6">
        <f>IFERROR(__xludf.DUMMYFUNCTION("""COMPUTED_VALUE"""),436.0)</f>
        <v>436</v>
      </c>
      <c r="D21" s="6">
        <f>IFERROR(__xludf.DUMMYFUNCTION("""COMPUTED_VALUE"""),418.2)</f>
        <v>418.2</v>
      </c>
      <c r="E21" s="6">
        <f>IFERROR(__xludf.DUMMYFUNCTION("""COMPUTED_VALUE"""),433.65)</f>
        <v>433.65</v>
      </c>
      <c r="F21" s="6">
        <f>IFERROR(__xludf.DUMMYFUNCTION("""COMPUTED_VALUE"""),7436721.0)</f>
        <v>7436721</v>
      </c>
    </row>
    <row r="22">
      <c r="A22" s="7">
        <f>IFERROR(__xludf.DUMMYFUNCTION("""COMPUTED_VALUE"""),45316.64583333333)</f>
        <v>45316.64583</v>
      </c>
      <c r="B22" s="6">
        <f>IFERROR(__xludf.DUMMYFUNCTION("""COMPUTED_VALUE"""),460.0)</f>
        <v>460</v>
      </c>
      <c r="C22" s="6">
        <f>IFERROR(__xludf.DUMMYFUNCTION("""COMPUTED_VALUE"""),479.0)</f>
        <v>479</v>
      </c>
      <c r="D22" s="6">
        <f>IFERROR(__xludf.DUMMYFUNCTION("""COMPUTED_VALUE"""),431.5)</f>
        <v>431.5</v>
      </c>
      <c r="E22" s="6">
        <f>IFERROR(__xludf.DUMMYFUNCTION("""COMPUTED_VALUE"""),460.6)</f>
        <v>460.6</v>
      </c>
      <c r="F22" s="6">
        <f>IFERROR(__xludf.DUMMYFUNCTION("""COMPUTED_VALUE"""),1.895234E7)</f>
        <v>18952340</v>
      </c>
    </row>
    <row r="23">
      <c r="A23" s="7">
        <f>IFERROR(__xludf.DUMMYFUNCTION("""COMPUTED_VALUE"""),45324.64583333333)</f>
        <v>45324.64583</v>
      </c>
      <c r="B23" s="6">
        <f>IFERROR(__xludf.DUMMYFUNCTION("""COMPUTED_VALUE"""),462.9)</f>
        <v>462.9</v>
      </c>
      <c r="C23" s="6">
        <f>IFERROR(__xludf.DUMMYFUNCTION("""COMPUTED_VALUE"""),553.95)</f>
        <v>553.95</v>
      </c>
      <c r="D23" s="6">
        <f>IFERROR(__xludf.DUMMYFUNCTION("""COMPUTED_VALUE"""),455.55)</f>
        <v>455.55</v>
      </c>
      <c r="E23" s="6">
        <f>IFERROR(__xludf.DUMMYFUNCTION("""COMPUTED_VALUE"""),545.95)</f>
        <v>545.95</v>
      </c>
      <c r="F23" s="6">
        <f>IFERROR(__xludf.DUMMYFUNCTION("""COMPUTED_VALUE"""),2.3484783E7)</f>
        <v>23484783</v>
      </c>
    </row>
    <row r="24">
      <c r="A24" s="7">
        <f>IFERROR(__xludf.DUMMYFUNCTION("""COMPUTED_VALUE"""),45331.64583333333)</f>
        <v>45331.64583</v>
      </c>
      <c r="B24" s="6">
        <f>IFERROR(__xludf.DUMMYFUNCTION("""COMPUTED_VALUE"""),550.0)</f>
        <v>550</v>
      </c>
      <c r="C24" s="6">
        <f>IFERROR(__xludf.DUMMYFUNCTION("""COMPUTED_VALUE"""),573.75)</f>
        <v>573.75</v>
      </c>
      <c r="D24" s="6">
        <f>IFERROR(__xludf.DUMMYFUNCTION("""COMPUTED_VALUE"""),521.25)</f>
        <v>521.25</v>
      </c>
      <c r="E24" s="6">
        <f>IFERROR(__xludf.DUMMYFUNCTION("""COMPUTED_VALUE"""),531.65)</f>
        <v>531.65</v>
      </c>
      <c r="F24" s="6">
        <f>IFERROR(__xludf.DUMMYFUNCTION("""COMPUTED_VALUE"""),1.6123987E7)</f>
        <v>16123987</v>
      </c>
    </row>
    <row r="25">
      <c r="A25" s="7">
        <f>IFERROR(__xludf.DUMMYFUNCTION("""COMPUTED_VALUE"""),45338.64583333333)</f>
        <v>45338.64583</v>
      </c>
      <c r="B25" s="6">
        <f>IFERROR(__xludf.DUMMYFUNCTION("""COMPUTED_VALUE"""),533.95)</f>
        <v>533.95</v>
      </c>
      <c r="C25" s="6">
        <f>IFERROR(__xludf.DUMMYFUNCTION("""COMPUTED_VALUE"""),543.6)</f>
        <v>543.6</v>
      </c>
      <c r="D25" s="6">
        <f>IFERROR(__xludf.DUMMYFUNCTION("""COMPUTED_VALUE"""),483.1)</f>
        <v>483.1</v>
      </c>
      <c r="E25" s="6">
        <f>IFERROR(__xludf.DUMMYFUNCTION("""COMPUTED_VALUE"""),517.75)</f>
        <v>517.75</v>
      </c>
      <c r="F25" s="6">
        <f>IFERROR(__xludf.DUMMYFUNCTION("""COMPUTED_VALUE"""),1.5329271E7)</f>
        <v>15329271</v>
      </c>
    </row>
    <row r="26">
      <c r="A26" s="7">
        <f>IFERROR(__xludf.DUMMYFUNCTION("""COMPUTED_VALUE"""),45345.64583333333)</f>
        <v>45345.64583</v>
      </c>
      <c r="B26" s="6">
        <f>IFERROR(__xludf.DUMMYFUNCTION("""COMPUTED_VALUE"""),524.95)</f>
        <v>524.95</v>
      </c>
      <c r="C26" s="6">
        <f>IFERROR(__xludf.DUMMYFUNCTION("""COMPUTED_VALUE"""),552.0)</f>
        <v>552</v>
      </c>
      <c r="D26" s="6">
        <f>IFERROR(__xludf.DUMMYFUNCTION("""COMPUTED_VALUE"""),521.5)</f>
        <v>521.5</v>
      </c>
      <c r="E26" s="6">
        <f>IFERROR(__xludf.DUMMYFUNCTION("""COMPUTED_VALUE"""),525.25)</f>
        <v>525.25</v>
      </c>
      <c r="F26" s="6">
        <f>IFERROR(__xludf.DUMMYFUNCTION("""COMPUTED_VALUE"""),1.1347874E7)</f>
        <v>11347874</v>
      </c>
    </row>
    <row r="27">
      <c r="A27" s="7">
        <f>IFERROR(__xludf.DUMMYFUNCTION("""COMPUTED_VALUE"""),45358.64583333333)</f>
        <v>45358.64583</v>
      </c>
      <c r="B27" s="6">
        <f>IFERROR(__xludf.DUMMYFUNCTION("""COMPUTED_VALUE"""),532.0)</f>
        <v>532</v>
      </c>
      <c r="C27" s="6">
        <f>IFERROR(__xludf.DUMMYFUNCTION("""COMPUTED_VALUE"""),550.0)</f>
        <v>550</v>
      </c>
      <c r="D27" s="6">
        <f>IFERROR(__xludf.DUMMYFUNCTION("""COMPUTED_VALUE"""),517.05)</f>
        <v>517.05</v>
      </c>
      <c r="E27" s="6">
        <f>IFERROR(__xludf.DUMMYFUNCTION("""COMPUTED_VALUE"""),545.45)</f>
        <v>545.45</v>
      </c>
      <c r="F27" s="6">
        <f>IFERROR(__xludf.DUMMYFUNCTION("""COMPUTED_VALUE"""),9809838.0)</f>
        <v>9809838</v>
      </c>
    </row>
    <row r="28">
      <c r="A28" s="7">
        <f>IFERROR(__xludf.DUMMYFUNCTION("""COMPUTED_VALUE"""),45366.64583333333)</f>
        <v>45366.64583</v>
      </c>
      <c r="B28" s="6">
        <f>IFERROR(__xludf.DUMMYFUNCTION("""COMPUTED_VALUE"""),551.65)</f>
        <v>551.65</v>
      </c>
      <c r="C28" s="6">
        <f>IFERROR(__xludf.DUMMYFUNCTION("""COMPUTED_VALUE"""),562.85)</f>
        <v>562.85</v>
      </c>
      <c r="D28" s="6">
        <f>IFERROR(__xludf.DUMMYFUNCTION("""COMPUTED_VALUE"""),488.3)</f>
        <v>488.3</v>
      </c>
      <c r="E28" s="6">
        <f>IFERROR(__xludf.DUMMYFUNCTION("""COMPUTED_VALUE"""),509.3)</f>
        <v>509.3</v>
      </c>
      <c r="F28" s="6">
        <f>IFERROR(__xludf.DUMMYFUNCTION("""COMPUTED_VALUE"""),1.9857469E7)</f>
        <v>19857469</v>
      </c>
    </row>
    <row r="29">
      <c r="A29" s="7">
        <f>IFERROR(__xludf.DUMMYFUNCTION("""COMPUTED_VALUE"""),45373.64583333333)</f>
        <v>45373.64583</v>
      </c>
      <c r="B29" s="6">
        <f>IFERROR(__xludf.DUMMYFUNCTION("""COMPUTED_VALUE"""),510.6)</f>
        <v>510.6</v>
      </c>
      <c r="C29" s="6">
        <f>IFERROR(__xludf.DUMMYFUNCTION("""COMPUTED_VALUE"""),510.6)</f>
        <v>510.6</v>
      </c>
      <c r="D29" s="6">
        <f>IFERROR(__xludf.DUMMYFUNCTION("""COMPUTED_VALUE"""),467.3)</f>
        <v>467.3</v>
      </c>
      <c r="E29" s="6">
        <f>IFERROR(__xludf.DUMMYFUNCTION("""COMPUTED_VALUE"""),489.45)</f>
        <v>489.45</v>
      </c>
      <c r="F29" s="6">
        <f>IFERROR(__xludf.DUMMYFUNCTION("""COMPUTED_VALUE"""),9392647.0)</f>
        <v>9392647</v>
      </c>
    </row>
    <row r="30">
      <c r="A30" s="7">
        <f>IFERROR(__xludf.DUMMYFUNCTION("""COMPUTED_VALUE"""),45379.64583333333)</f>
        <v>45379.64583</v>
      </c>
      <c r="B30" s="6">
        <f>IFERROR(__xludf.DUMMYFUNCTION("""COMPUTED_VALUE"""),490.25)</f>
        <v>490.25</v>
      </c>
      <c r="C30" s="6">
        <f>IFERROR(__xludf.DUMMYFUNCTION("""COMPUTED_VALUE"""),531.25)</f>
        <v>531.25</v>
      </c>
      <c r="D30" s="6">
        <f>IFERROR(__xludf.DUMMYFUNCTION("""COMPUTED_VALUE"""),489.9)</f>
        <v>489.9</v>
      </c>
      <c r="E30" s="6">
        <f>IFERROR(__xludf.DUMMYFUNCTION("""COMPUTED_VALUE"""),520.7)</f>
        <v>520.7</v>
      </c>
      <c r="F30" s="6">
        <f>IFERROR(__xludf.DUMMYFUNCTION("""COMPUTED_VALUE"""),8676187.0)</f>
        <v>8676187</v>
      </c>
    </row>
    <row r="31">
      <c r="A31" s="7">
        <f>IFERROR(__xludf.DUMMYFUNCTION("""COMPUTED_VALUE"""),45387.64583333333)</f>
        <v>45387.64583</v>
      </c>
      <c r="B31" s="6">
        <f>IFERROR(__xludf.DUMMYFUNCTION("""COMPUTED_VALUE"""),521.0)</f>
        <v>521</v>
      </c>
      <c r="C31" s="6">
        <f>IFERROR(__xludf.DUMMYFUNCTION("""COMPUTED_VALUE"""),550.0)</f>
        <v>550</v>
      </c>
      <c r="D31" s="6">
        <f>IFERROR(__xludf.DUMMYFUNCTION("""COMPUTED_VALUE"""),520.5)</f>
        <v>520.5</v>
      </c>
      <c r="E31" s="6">
        <f>IFERROR(__xludf.DUMMYFUNCTION("""COMPUTED_VALUE"""),534.95)</f>
        <v>534.95</v>
      </c>
      <c r="F31" s="6">
        <f>IFERROR(__xludf.DUMMYFUNCTION("""COMPUTED_VALUE"""),1.1247128E7)</f>
        <v>11247128</v>
      </c>
    </row>
    <row r="32">
      <c r="A32" s="7">
        <f>IFERROR(__xludf.DUMMYFUNCTION("""COMPUTED_VALUE"""),45394.64583333333)</f>
        <v>45394.64583</v>
      </c>
      <c r="B32" s="6">
        <f>IFERROR(__xludf.DUMMYFUNCTION("""COMPUTED_VALUE"""),540.0)</f>
        <v>540</v>
      </c>
      <c r="C32" s="6">
        <f>IFERROR(__xludf.DUMMYFUNCTION("""COMPUTED_VALUE"""),545.4)</f>
        <v>545.4</v>
      </c>
      <c r="D32" s="6">
        <f>IFERROR(__xludf.DUMMYFUNCTION("""COMPUTED_VALUE"""),520.2)</f>
        <v>520.2</v>
      </c>
      <c r="E32" s="6">
        <f>IFERROR(__xludf.DUMMYFUNCTION("""COMPUTED_VALUE"""),526.55)</f>
        <v>526.55</v>
      </c>
      <c r="F32" s="6">
        <f>IFERROR(__xludf.DUMMYFUNCTION("""COMPUTED_VALUE"""),4291951.0)</f>
        <v>4291951</v>
      </c>
    </row>
    <row r="33">
      <c r="A33" s="7">
        <f>IFERROR(__xludf.DUMMYFUNCTION("""COMPUTED_VALUE"""),45401.64583333333)</f>
        <v>45401.64583</v>
      </c>
      <c r="B33" s="6">
        <f>IFERROR(__xludf.DUMMYFUNCTION("""COMPUTED_VALUE"""),518.0)</f>
        <v>518</v>
      </c>
      <c r="C33" s="6">
        <f>IFERROR(__xludf.DUMMYFUNCTION("""COMPUTED_VALUE"""),528.3)</f>
        <v>528.3</v>
      </c>
      <c r="D33" s="6">
        <f>IFERROR(__xludf.DUMMYFUNCTION("""COMPUTED_VALUE"""),500.4)</f>
        <v>500.4</v>
      </c>
      <c r="E33" s="6">
        <f>IFERROR(__xludf.DUMMYFUNCTION("""COMPUTED_VALUE"""),512.15)</f>
        <v>512.15</v>
      </c>
      <c r="F33" s="6">
        <f>IFERROR(__xludf.DUMMYFUNCTION("""COMPUTED_VALUE"""),5022551.0)</f>
        <v>5022551</v>
      </c>
    </row>
    <row r="34">
      <c r="A34" s="7">
        <f>IFERROR(__xludf.DUMMYFUNCTION("""COMPUTED_VALUE"""),45408.64583333333)</f>
        <v>45408.64583</v>
      </c>
      <c r="B34" s="6">
        <f>IFERROR(__xludf.DUMMYFUNCTION("""COMPUTED_VALUE"""),519.8)</f>
        <v>519.8</v>
      </c>
      <c r="C34" s="6">
        <f>IFERROR(__xludf.DUMMYFUNCTION("""COMPUTED_VALUE"""),532.95)</f>
        <v>532.95</v>
      </c>
      <c r="D34" s="6">
        <f>IFERROR(__xludf.DUMMYFUNCTION("""COMPUTED_VALUE"""),506.3)</f>
        <v>506.3</v>
      </c>
      <c r="E34" s="6">
        <f>IFERROR(__xludf.DUMMYFUNCTION("""COMPUTED_VALUE"""),526.55)</f>
        <v>526.55</v>
      </c>
      <c r="F34" s="6">
        <f>IFERROR(__xludf.DUMMYFUNCTION("""COMPUTED_VALUE"""),7052641.0)</f>
        <v>7052641</v>
      </c>
    </row>
    <row r="35">
      <c r="A35" s="7">
        <f>IFERROR(__xludf.DUMMYFUNCTION("""COMPUTED_VALUE"""),45415.64583333333)</f>
        <v>45415.64583</v>
      </c>
      <c r="B35" s="6">
        <f>IFERROR(__xludf.DUMMYFUNCTION("""COMPUTED_VALUE"""),528.95)</f>
        <v>528.95</v>
      </c>
      <c r="C35" s="6">
        <f>IFERROR(__xludf.DUMMYFUNCTION("""COMPUTED_VALUE"""),565.75)</f>
        <v>565.75</v>
      </c>
      <c r="D35" s="6">
        <f>IFERROR(__xludf.DUMMYFUNCTION("""COMPUTED_VALUE"""),528.3)</f>
        <v>528.3</v>
      </c>
      <c r="E35" s="6">
        <f>IFERROR(__xludf.DUMMYFUNCTION("""COMPUTED_VALUE"""),544.0)</f>
        <v>544</v>
      </c>
      <c r="F35" s="6">
        <f>IFERROR(__xludf.DUMMYFUNCTION("""COMPUTED_VALUE"""),9283961.0)</f>
        <v>9283961</v>
      </c>
    </row>
    <row r="36">
      <c r="A36" s="7">
        <f>IFERROR(__xludf.DUMMYFUNCTION("""COMPUTED_VALUE"""),45422.64583333333)</f>
        <v>45422.64583</v>
      </c>
      <c r="B36" s="6">
        <f>IFERROR(__xludf.DUMMYFUNCTION("""COMPUTED_VALUE"""),549.5)</f>
        <v>549.5</v>
      </c>
      <c r="C36" s="6">
        <f>IFERROR(__xludf.DUMMYFUNCTION("""COMPUTED_VALUE"""),551.3)</f>
        <v>551.3</v>
      </c>
      <c r="D36" s="6">
        <f>IFERROR(__xludf.DUMMYFUNCTION("""COMPUTED_VALUE"""),509.1)</f>
        <v>509.1</v>
      </c>
      <c r="E36" s="6">
        <f>IFERROR(__xludf.DUMMYFUNCTION("""COMPUTED_VALUE"""),514.3)</f>
        <v>514.3</v>
      </c>
      <c r="F36" s="6">
        <f>IFERROR(__xludf.DUMMYFUNCTION("""COMPUTED_VALUE"""),1.6307062E7)</f>
        <v>16307062</v>
      </c>
    </row>
    <row r="37">
      <c r="A37" s="7">
        <f>IFERROR(__xludf.DUMMYFUNCTION("""COMPUTED_VALUE"""),45436.64583333333)</f>
        <v>45436.64583</v>
      </c>
      <c r="B37" s="6">
        <f>IFERROR(__xludf.DUMMYFUNCTION("""COMPUTED_VALUE"""),536.1)</f>
        <v>536.1</v>
      </c>
      <c r="C37" s="6">
        <f>IFERROR(__xludf.DUMMYFUNCTION("""COMPUTED_VALUE"""),596.0)</f>
        <v>596</v>
      </c>
      <c r="D37" s="6">
        <f>IFERROR(__xludf.DUMMYFUNCTION("""COMPUTED_VALUE"""),534.0)</f>
        <v>534</v>
      </c>
      <c r="E37" s="6">
        <f>IFERROR(__xludf.DUMMYFUNCTION("""COMPUTED_VALUE"""),571.6)</f>
        <v>571.6</v>
      </c>
      <c r="F37" s="6">
        <f>IFERROR(__xludf.DUMMYFUNCTION("""COMPUTED_VALUE"""),1.2689716E7)</f>
        <v>12689716</v>
      </c>
    </row>
    <row r="38">
      <c r="A38" s="7">
        <f>IFERROR(__xludf.DUMMYFUNCTION("""COMPUTED_VALUE"""),45443.64583333333)</f>
        <v>45443.64583</v>
      </c>
      <c r="B38" s="6">
        <f>IFERROR(__xludf.DUMMYFUNCTION("""COMPUTED_VALUE"""),572.8)</f>
        <v>572.8</v>
      </c>
      <c r="C38" s="6">
        <f>IFERROR(__xludf.DUMMYFUNCTION("""COMPUTED_VALUE"""),596.9)</f>
        <v>596.9</v>
      </c>
      <c r="D38" s="6">
        <f>IFERROR(__xludf.DUMMYFUNCTION("""COMPUTED_VALUE"""),557.1)</f>
        <v>557.1</v>
      </c>
      <c r="E38" s="6">
        <f>IFERROR(__xludf.DUMMYFUNCTION("""COMPUTED_VALUE"""),567.5)</f>
        <v>567.5</v>
      </c>
      <c r="F38" s="6">
        <f>IFERROR(__xludf.DUMMYFUNCTION("""COMPUTED_VALUE"""),1.2736137E7)</f>
        <v>12736137</v>
      </c>
    </row>
    <row r="39">
      <c r="A39" s="7">
        <f>IFERROR(__xludf.DUMMYFUNCTION("""COMPUTED_VALUE"""),45450.64583333333)</f>
        <v>45450.64583</v>
      </c>
      <c r="B39" s="6">
        <f>IFERROR(__xludf.DUMMYFUNCTION("""COMPUTED_VALUE"""),629.9)</f>
        <v>629.9</v>
      </c>
      <c r="C39" s="6">
        <f>IFERROR(__xludf.DUMMYFUNCTION("""COMPUTED_VALUE"""),632.7)</f>
        <v>632.7</v>
      </c>
      <c r="D39" s="6">
        <f>IFERROR(__xludf.DUMMYFUNCTION("""COMPUTED_VALUE"""),481.45)</f>
        <v>481.45</v>
      </c>
      <c r="E39" s="6">
        <f>IFERROR(__xludf.DUMMYFUNCTION("""COMPUTED_VALUE"""),534.7)</f>
        <v>534.7</v>
      </c>
      <c r="F39" s="6">
        <f>IFERROR(__xludf.DUMMYFUNCTION("""COMPUTED_VALUE"""),3.4356854E7)</f>
        <v>34356854</v>
      </c>
    </row>
    <row r="40">
      <c r="A40" s="7">
        <f>IFERROR(__xludf.DUMMYFUNCTION("""COMPUTED_VALUE"""),45457.64583333333)</f>
        <v>45457.64583</v>
      </c>
      <c r="B40" s="6">
        <f>IFERROR(__xludf.DUMMYFUNCTION("""COMPUTED_VALUE"""),536.2)</f>
        <v>536.2</v>
      </c>
      <c r="C40" s="6">
        <f>IFERROR(__xludf.DUMMYFUNCTION("""COMPUTED_VALUE"""),544.8)</f>
        <v>544.8</v>
      </c>
      <c r="D40" s="6">
        <f>IFERROR(__xludf.DUMMYFUNCTION("""COMPUTED_VALUE"""),529.45)</f>
        <v>529.45</v>
      </c>
      <c r="E40" s="6">
        <f>IFERROR(__xludf.DUMMYFUNCTION("""COMPUTED_VALUE"""),540.7)</f>
        <v>540.7</v>
      </c>
      <c r="F40" s="6">
        <f>IFERROR(__xludf.DUMMYFUNCTION("""COMPUTED_VALUE"""),7871673.0)</f>
        <v>7871673</v>
      </c>
    </row>
    <row r="41">
      <c r="A41" s="7">
        <f>IFERROR(__xludf.DUMMYFUNCTION("""COMPUTED_VALUE"""),45464.64583333333)</f>
        <v>45464.64583</v>
      </c>
      <c r="B41" s="6">
        <f>IFERROR(__xludf.DUMMYFUNCTION("""COMPUTED_VALUE"""),543.0)</f>
        <v>543</v>
      </c>
      <c r="C41" s="6">
        <f>IFERROR(__xludf.DUMMYFUNCTION("""COMPUTED_VALUE"""),550.9)</f>
        <v>550.9</v>
      </c>
      <c r="D41" s="6">
        <f>IFERROR(__xludf.DUMMYFUNCTION("""COMPUTED_VALUE"""),531.65)</f>
        <v>531.65</v>
      </c>
      <c r="E41" s="6">
        <f>IFERROR(__xludf.DUMMYFUNCTION("""COMPUTED_VALUE"""),547.7)</f>
        <v>547.7</v>
      </c>
      <c r="F41" s="6">
        <f>IFERROR(__xludf.DUMMYFUNCTION("""COMPUTED_VALUE"""),5498560.0)</f>
        <v>5498560</v>
      </c>
    </row>
    <row r="42">
      <c r="A42" s="7">
        <f>IFERROR(__xludf.DUMMYFUNCTION("""COMPUTED_VALUE"""),45471.64583333333)</f>
        <v>45471.64583</v>
      </c>
      <c r="B42" s="6">
        <f>IFERROR(__xludf.DUMMYFUNCTION("""COMPUTED_VALUE"""),540.5)</f>
        <v>540.5</v>
      </c>
      <c r="C42" s="6">
        <f>IFERROR(__xludf.DUMMYFUNCTION("""COMPUTED_VALUE"""),555.0)</f>
        <v>555</v>
      </c>
      <c r="D42" s="6">
        <f>IFERROR(__xludf.DUMMYFUNCTION("""COMPUTED_VALUE"""),530.5)</f>
        <v>530.5</v>
      </c>
      <c r="E42" s="6">
        <f>IFERROR(__xludf.DUMMYFUNCTION("""COMPUTED_VALUE"""),545.5)</f>
        <v>545.5</v>
      </c>
      <c r="F42" s="6">
        <f>IFERROR(__xludf.DUMMYFUNCTION("""COMPUTED_VALUE"""),7229186.0)</f>
        <v>7229186</v>
      </c>
    </row>
    <row r="43">
      <c r="A43" s="7">
        <f>IFERROR(__xludf.DUMMYFUNCTION("""COMPUTED_VALUE"""),45478.64583333333)</f>
        <v>45478.64583</v>
      </c>
      <c r="B43" s="6">
        <f>IFERROR(__xludf.DUMMYFUNCTION("""COMPUTED_VALUE"""),545.5)</f>
        <v>545.5</v>
      </c>
      <c r="C43" s="6">
        <f>IFERROR(__xludf.DUMMYFUNCTION("""COMPUTED_VALUE"""),549.0)</f>
        <v>549</v>
      </c>
      <c r="D43" s="6">
        <f>IFERROR(__xludf.DUMMYFUNCTION("""COMPUTED_VALUE"""),530.1)</f>
        <v>530.1</v>
      </c>
      <c r="E43" s="6">
        <f>IFERROR(__xludf.DUMMYFUNCTION("""COMPUTED_VALUE"""),538.85)</f>
        <v>538.85</v>
      </c>
      <c r="F43" s="6">
        <f>IFERROR(__xludf.DUMMYFUNCTION("""COMPUTED_VALUE"""),4095054.0)</f>
        <v>4095054</v>
      </c>
    </row>
    <row r="44">
      <c r="A44" s="7">
        <f>IFERROR(__xludf.DUMMYFUNCTION("""COMPUTED_VALUE"""),45485.64583333333)</f>
        <v>45485.64583</v>
      </c>
      <c r="B44" s="6">
        <f>IFERROR(__xludf.DUMMYFUNCTION("""COMPUTED_VALUE"""),538.85)</f>
        <v>538.85</v>
      </c>
      <c r="C44" s="6">
        <f>IFERROR(__xludf.DUMMYFUNCTION("""COMPUTED_VALUE"""),560.0)</f>
        <v>560</v>
      </c>
      <c r="D44" s="6">
        <f>IFERROR(__xludf.DUMMYFUNCTION("""COMPUTED_VALUE"""),524.8)</f>
        <v>524.8</v>
      </c>
      <c r="E44" s="6">
        <f>IFERROR(__xludf.DUMMYFUNCTION("""COMPUTED_VALUE"""),558.75)</f>
        <v>558.75</v>
      </c>
      <c r="F44" s="6">
        <f>IFERROR(__xludf.DUMMYFUNCTION("""COMPUTED_VALUE"""),7889794.0)</f>
        <v>7889794</v>
      </c>
    </row>
    <row r="45">
      <c r="A45" s="7">
        <f>IFERROR(__xludf.DUMMYFUNCTION("""COMPUTED_VALUE"""),45492.64583333333)</f>
        <v>45492.64583</v>
      </c>
      <c r="B45" s="6">
        <f>IFERROR(__xludf.DUMMYFUNCTION("""COMPUTED_VALUE"""),569.0)</f>
        <v>569</v>
      </c>
      <c r="C45" s="6">
        <f>IFERROR(__xludf.DUMMYFUNCTION("""COMPUTED_VALUE"""),597.0)</f>
        <v>597</v>
      </c>
      <c r="D45" s="6">
        <f>IFERROR(__xludf.DUMMYFUNCTION("""COMPUTED_VALUE"""),554.1)</f>
        <v>554.1</v>
      </c>
      <c r="E45" s="6">
        <f>IFERROR(__xludf.DUMMYFUNCTION("""COMPUTED_VALUE"""),561.15)</f>
        <v>561.15</v>
      </c>
      <c r="F45" s="6">
        <f>IFERROR(__xludf.DUMMYFUNCTION("""COMPUTED_VALUE"""),9944414.0)</f>
        <v>9944414</v>
      </c>
    </row>
    <row r="46">
      <c r="A46" s="7">
        <f>IFERROR(__xludf.DUMMYFUNCTION("""COMPUTED_VALUE"""),45499.64583333333)</f>
        <v>45499.64583</v>
      </c>
      <c r="B46" s="6">
        <f>IFERROR(__xludf.DUMMYFUNCTION("""COMPUTED_VALUE"""),560.05)</f>
        <v>560.05</v>
      </c>
      <c r="C46" s="6">
        <f>IFERROR(__xludf.DUMMYFUNCTION("""COMPUTED_VALUE"""),585.0)</f>
        <v>585</v>
      </c>
      <c r="D46" s="6">
        <f>IFERROR(__xludf.DUMMYFUNCTION("""COMPUTED_VALUE"""),546.75)</f>
        <v>546.75</v>
      </c>
      <c r="E46" s="6">
        <f>IFERROR(__xludf.DUMMYFUNCTION("""COMPUTED_VALUE"""),581.45)</f>
        <v>581.45</v>
      </c>
      <c r="F46" s="6">
        <f>IFERROR(__xludf.DUMMYFUNCTION("""COMPUTED_VALUE"""),7594803.0)</f>
        <v>7594803</v>
      </c>
    </row>
    <row r="47">
      <c r="A47" s="7">
        <f>IFERROR(__xludf.DUMMYFUNCTION("""COMPUTED_VALUE"""),45506.64583333333)</f>
        <v>45506.64583</v>
      </c>
      <c r="B47" s="6">
        <f>IFERROR(__xludf.DUMMYFUNCTION("""COMPUTED_VALUE"""),589.0)</f>
        <v>589</v>
      </c>
      <c r="C47" s="6">
        <f>IFERROR(__xludf.DUMMYFUNCTION("""COMPUTED_VALUE"""),613.2)</f>
        <v>613.2</v>
      </c>
      <c r="D47" s="6">
        <f>IFERROR(__xludf.DUMMYFUNCTION("""COMPUTED_VALUE"""),581.5)</f>
        <v>581.5</v>
      </c>
      <c r="E47" s="6">
        <f>IFERROR(__xludf.DUMMYFUNCTION("""COMPUTED_VALUE"""),595.95)</f>
        <v>595.95</v>
      </c>
      <c r="F47" s="6">
        <f>IFERROR(__xludf.DUMMYFUNCTION("""COMPUTED_VALUE"""),9859303.0)</f>
        <v>9859303</v>
      </c>
    </row>
    <row r="48">
      <c r="A48" s="7">
        <f>IFERROR(__xludf.DUMMYFUNCTION("""COMPUTED_VALUE"""),45513.64583333333)</f>
        <v>45513.64583</v>
      </c>
      <c r="B48" s="6">
        <f>IFERROR(__xludf.DUMMYFUNCTION("""COMPUTED_VALUE"""),578.9)</f>
        <v>578.9</v>
      </c>
      <c r="C48" s="6">
        <f>IFERROR(__xludf.DUMMYFUNCTION("""COMPUTED_VALUE"""),588.35)</f>
        <v>588.35</v>
      </c>
      <c r="D48" s="6">
        <f>IFERROR(__xludf.DUMMYFUNCTION("""COMPUTED_VALUE"""),553.0)</f>
        <v>553</v>
      </c>
      <c r="E48" s="6">
        <f>IFERROR(__xludf.DUMMYFUNCTION("""COMPUTED_VALUE"""),577.75)</f>
        <v>577.75</v>
      </c>
      <c r="F48" s="6">
        <f>IFERROR(__xludf.DUMMYFUNCTION("""COMPUTED_VALUE"""),7959883.0)</f>
        <v>7959883</v>
      </c>
    </row>
    <row r="49">
      <c r="A49" s="7">
        <f>IFERROR(__xludf.DUMMYFUNCTION("""COMPUTED_VALUE"""),45520.64583333333)</f>
        <v>45520.64583</v>
      </c>
      <c r="B49" s="6">
        <f>IFERROR(__xludf.DUMMYFUNCTION("""COMPUTED_VALUE"""),576.95)</f>
        <v>576.95</v>
      </c>
      <c r="C49" s="6">
        <f>IFERROR(__xludf.DUMMYFUNCTION("""COMPUTED_VALUE"""),581.6)</f>
        <v>581.6</v>
      </c>
      <c r="D49" s="6">
        <f>IFERROR(__xludf.DUMMYFUNCTION("""COMPUTED_VALUE"""),531.05)</f>
        <v>531.05</v>
      </c>
      <c r="E49" s="6">
        <f>IFERROR(__xludf.DUMMYFUNCTION("""COMPUTED_VALUE"""),550.15)</f>
        <v>550.15</v>
      </c>
      <c r="F49" s="6">
        <f>IFERROR(__xludf.DUMMYFUNCTION("""COMPUTED_VALUE"""),5310068.0)</f>
        <v>5310068</v>
      </c>
    </row>
    <row r="50">
      <c r="A50" s="7">
        <f>IFERROR(__xludf.DUMMYFUNCTION("""COMPUTED_VALUE"""),45527.64583333333)</f>
        <v>45527.64583</v>
      </c>
      <c r="B50" s="6">
        <f>IFERROR(__xludf.DUMMYFUNCTION("""COMPUTED_VALUE"""),554.5)</f>
        <v>554.5</v>
      </c>
      <c r="C50" s="6">
        <f>IFERROR(__xludf.DUMMYFUNCTION("""COMPUTED_VALUE"""),565.0)</f>
        <v>565</v>
      </c>
      <c r="D50" s="6">
        <f>IFERROR(__xludf.DUMMYFUNCTION("""COMPUTED_VALUE"""),546.95)</f>
        <v>546.95</v>
      </c>
      <c r="E50" s="6">
        <f>IFERROR(__xludf.DUMMYFUNCTION("""COMPUTED_VALUE"""),548.35)</f>
        <v>548.35</v>
      </c>
      <c r="F50" s="6">
        <f>IFERROR(__xludf.DUMMYFUNCTION("""COMPUTED_VALUE"""),4888664.0)</f>
        <v>4888664</v>
      </c>
    </row>
    <row r="51">
      <c r="A51" s="7">
        <f>IFERROR(__xludf.DUMMYFUNCTION("""COMPUTED_VALUE"""),45534.64583333333)</f>
        <v>45534.64583</v>
      </c>
      <c r="B51" s="6">
        <f>IFERROR(__xludf.DUMMYFUNCTION("""COMPUTED_VALUE"""),553.35)</f>
        <v>553.35</v>
      </c>
      <c r="C51" s="6">
        <f>IFERROR(__xludf.DUMMYFUNCTION("""COMPUTED_VALUE"""),576.0)</f>
        <v>576</v>
      </c>
      <c r="D51" s="6">
        <f>IFERROR(__xludf.DUMMYFUNCTION("""COMPUTED_VALUE"""),544.0)</f>
        <v>544</v>
      </c>
      <c r="E51" s="6">
        <f>IFERROR(__xludf.DUMMYFUNCTION("""COMPUTED_VALUE"""),567.3)</f>
        <v>567.3</v>
      </c>
      <c r="F51" s="6">
        <f>IFERROR(__xludf.DUMMYFUNCTION("""COMPUTED_VALUE"""),6839235.0)</f>
        <v>6839235</v>
      </c>
    </row>
    <row r="52">
      <c r="A52" s="7">
        <f>IFERROR(__xludf.DUMMYFUNCTION("""COMPUTED_VALUE"""),45541.64583333333)</f>
        <v>45541.64583</v>
      </c>
      <c r="B52" s="6">
        <f>IFERROR(__xludf.DUMMYFUNCTION("""COMPUTED_VALUE"""),565.3)</f>
        <v>565.3</v>
      </c>
      <c r="C52" s="6">
        <f>IFERROR(__xludf.DUMMYFUNCTION("""COMPUTED_VALUE"""),574.3)</f>
        <v>574.3</v>
      </c>
      <c r="D52" s="6">
        <f>IFERROR(__xludf.DUMMYFUNCTION("""COMPUTED_VALUE"""),519.55)</f>
        <v>519.55</v>
      </c>
      <c r="E52" s="6">
        <f>IFERROR(__xludf.DUMMYFUNCTION("""COMPUTED_VALUE"""),523.45)</f>
        <v>523.45</v>
      </c>
      <c r="F52" s="6">
        <f>IFERROR(__xludf.DUMMYFUNCTION("""COMPUTED_VALUE"""),1.3997087E7)</f>
        <v>13997087</v>
      </c>
    </row>
    <row r="53">
      <c r="A53" s="7">
        <f>IFERROR(__xludf.DUMMYFUNCTION("""COMPUTED_VALUE"""),45548.64583333333)</f>
        <v>45548.64583</v>
      </c>
      <c r="B53" s="6">
        <f>IFERROR(__xludf.DUMMYFUNCTION("""COMPUTED_VALUE"""),526.0)</f>
        <v>526</v>
      </c>
      <c r="C53" s="6">
        <f>IFERROR(__xludf.DUMMYFUNCTION("""COMPUTED_VALUE"""),528.0)</f>
        <v>528</v>
      </c>
      <c r="D53" s="6">
        <f>IFERROR(__xludf.DUMMYFUNCTION("""COMPUTED_VALUE"""),506.8)</f>
        <v>506.8</v>
      </c>
      <c r="E53" s="6">
        <f>IFERROR(__xludf.DUMMYFUNCTION("""COMPUTED_VALUE"""),520.05)</f>
        <v>520.05</v>
      </c>
      <c r="F53" s="6">
        <f>IFERROR(__xludf.DUMMYFUNCTION("""COMPUTED_VALUE"""),8522117.0)</f>
        <v>8522117</v>
      </c>
    </row>
    <row r="54">
      <c r="A54" s="7">
        <f>IFERROR(__xludf.DUMMYFUNCTION("""COMPUTED_VALUE"""),45555.64583333333)</f>
        <v>45555.64583</v>
      </c>
      <c r="B54" s="6">
        <f>IFERROR(__xludf.DUMMYFUNCTION("""COMPUTED_VALUE"""),525.65)</f>
        <v>525.65</v>
      </c>
      <c r="C54" s="6">
        <f>IFERROR(__xludf.DUMMYFUNCTION("""COMPUTED_VALUE"""),525.65)</f>
        <v>525.65</v>
      </c>
      <c r="D54" s="6">
        <f>IFERROR(__xludf.DUMMYFUNCTION("""COMPUTED_VALUE"""),504.15)</f>
        <v>504.15</v>
      </c>
      <c r="E54" s="6">
        <f>IFERROR(__xludf.DUMMYFUNCTION("""COMPUTED_VALUE"""),509.5)</f>
        <v>509.5</v>
      </c>
      <c r="F54" s="6">
        <f>IFERROR(__xludf.DUMMYFUNCTION("""COMPUTED_VALUE"""),8116592.0)</f>
        <v>8116592</v>
      </c>
    </row>
    <row r="55">
      <c r="A55" s="7">
        <f>IFERROR(__xludf.DUMMYFUNCTION("""COMPUTED_VALUE"""),45562.64583333333)</f>
        <v>45562.64583</v>
      </c>
      <c r="B55" s="6">
        <f>IFERROR(__xludf.DUMMYFUNCTION("""COMPUTED_VALUE"""),510.0)</f>
        <v>510</v>
      </c>
      <c r="C55" s="6">
        <f>IFERROR(__xludf.DUMMYFUNCTION("""COMPUTED_VALUE"""),541.8)</f>
        <v>541.8</v>
      </c>
      <c r="D55" s="6">
        <f>IFERROR(__xludf.DUMMYFUNCTION("""COMPUTED_VALUE"""),510.0)</f>
        <v>510</v>
      </c>
      <c r="E55" s="6">
        <f>IFERROR(__xludf.DUMMYFUNCTION("""COMPUTED_VALUE"""),539.45)</f>
        <v>539.45</v>
      </c>
      <c r="F55" s="6">
        <f>IFERROR(__xludf.DUMMYFUNCTION("""COMPUTED_VALUE"""),9111550.0)</f>
        <v>9111550</v>
      </c>
    </row>
    <row r="56">
      <c r="A56" s="7">
        <f>IFERROR(__xludf.DUMMYFUNCTION("""COMPUTED_VALUE"""),45569.64583333333)</f>
        <v>45569.64583</v>
      </c>
      <c r="B56" s="6">
        <f>IFERROR(__xludf.DUMMYFUNCTION("""COMPUTED_VALUE"""),536.5)</f>
        <v>536.5</v>
      </c>
      <c r="C56" s="6">
        <f>IFERROR(__xludf.DUMMYFUNCTION("""COMPUTED_VALUE"""),538.95)</f>
        <v>538.95</v>
      </c>
      <c r="D56" s="6">
        <f>IFERROR(__xludf.DUMMYFUNCTION("""COMPUTED_VALUE"""),507.5)</f>
        <v>507.5</v>
      </c>
      <c r="E56" s="6">
        <f>IFERROR(__xludf.DUMMYFUNCTION("""COMPUTED_VALUE"""),523.35)</f>
        <v>523.35</v>
      </c>
      <c r="F56" s="6">
        <f>IFERROR(__xludf.DUMMYFUNCTION("""COMPUTED_VALUE"""),6528739.0)</f>
        <v>6528739</v>
      </c>
    </row>
    <row r="57">
      <c r="A57" s="7">
        <f>IFERROR(__xludf.DUMMYFUNCTION("""COMPUTED_VALUE"""),45576.64583333333)</f>
        <v>45576.64583</v>
      </c>
      <c r="B57" s="6">
        <f>IFERROR(__xludf.DUMMYFUNCTION("""COMPUTED_VALUE"""),531.1)</f>
        <v>531.1</v>
      </c>
      <c r="C57" s="6">
        <f>IFERROR(__xludf.DUMMYFUNCTION("""COMPUTED_VALUE"""),534.45)</f>
        <v>534.45</v>
      </c>
      <c r="D57" s="6">
        <f>IFERROR(__xludf.DUMMYFUNCTION("""COMPUTED_VALUE"""),510.4)</f>
        <v>510.4</v>
      </c>
      <c r="E57" s="6">
        <f>IFERROR(__xludf.DUMMYFUNCTION("""COMPUTED_VALUE"""),524.55)</f>
        <v>524.55</v>
      </c>
      <c r="F57" s="6">
        <f>IFERROR(__xludf.DUMMYFUNCTION("""COMPUTED_VALUE"""),3873116.0)</f>
        <v>3873116</v>
      </c>
    </row>
    <row r="58">
      <c r="A58" s="7">
        <f>IFERROR(__xludf.DUMMYFUNCTION("""COMPUTED_VALUE"""),45583.64583333333)</f>
        <v>45583.64583</v>
      </c>
      <c r="B58" s="6">
        <f>IFERROR(__xludf.DUMMYFUNCTION("""COMPUTED_VALUE"""),525.05)</f>
        <v>525.05</v>
      </c>
      <c r="C58" s="6">
        <f>IFERROR(__xludf.DUMMYFUNCTION("""COMPUTED_VALUE"""),530.9)</f>
        <v>530.9</v>
      </c>
      <c r="D58" s="6">
        <f>IFERROR(__xludf.DUMMYFUNCTION("""COMPUTED_VALUE"""),507.4)</f>
        <v>507.4</v>
      </c>
      <c r="E58" s="6">
        <f>IFERROR(__xludf.DUMMYFUNCTION("""COMPUTED_VALUE"""),518.65)</f>
        <v>518.65</v>
      </c>
      <c r="F58" s="6">
        <f>IFERROR(__xludf.DUMMYFUNCTION("""COMPUTED_VALUE"""),4251718.0)</f>
        <v>4251718</v>
      </c>
    </row>
    <row r="59">
      <c r="A59" s="7">
        <f>IFERROR(__xludf.DUMMYFUNCTION("""COMPUTED_VALUE"""),45590.64583333333)</f>
        <v>45590.64583</v>
      </c>
      <c r="B59" s="6">
        <f>IFERROR(__xludf.DUMMYFUNCTION("""COMPUTED_VALUE"""),521.0)</f>
        <v>521</v>
      </c>
      <c r="C59" s="6">
        <f>IFERROR(__xludf.DUMMYFUNCTION("""COMPUTED_VALUE"""),527.95)</f>
        <v>527.95</v>
      </c>
      <c r="D59" s="6">
        <f>IFERROR(__xludf.DUMMYFUNCTION("""COMPUTED_VALUE"""),487.35)</f>
        <v>487.35</v>
      </c>
      <c r="E59" s="6">
        <f>IFERROR(__xludf.DUMMYFUNCTION("""COMPUTED_VALUE"""),498.5)</f>
        <v>498.5</v>
      </c>
      <c r="F59" s="6">
        <f>IFERROR(__xludf.DUMMYFUNCTION("""COMPUTED_VALUE"""),4959899.0)</f>
        <v>4959899</v>
      </c>
    </row>
    <row r="60">
      <c r="A60" s="7">
        <f>IFERROR(__xludf.DUMMYFUNCTION("""COMPUTED_VALUE"""),45604.64583333333)</f>
        <v>45604.64583</v>
      </c>
      <c r="B60" s="6">
        <f>IFERROR(__xludf.DUMMYFUNCTION("""COMPUTED_VALUE"""),589.45)</f>
        <v>589.45</v>
      </c>
      <c r="C60" s="6">
        <f>IFERROR(__xludf.DUMMYFUNCTION("""COMPUTED_VALUE"""),596.85)</f>
        <v>596.85</v>
      </c>
      <c r="D60" s="6">
        <f>IFERROR(__xludf.DUMMYFUNCTION("""COMPUTED_VALUE"""),556.35)</f>
        <v>556.35</v>
      </c>
      <c r="E60" s="6">
        <f>IFERROR(__xludf.DUMMYFUNCTION("""COMPUTED_VALUE"""),561.0)</f>
        <v>561</v>
      </c>
      <c r="F60" s="6">
        <f>IFERROR(__xludf.DUMMYFUNCTION("""COMPUTED_VALUE"""),6983072.0)</f>
        <v>6983072</v>
      </c>
    </row>
    <row r="61">
      <c r="A61" s="7">
        <f>IFERROR(__xludf.DUMMYFUNCTION("""COMPUTED_VALUE"""),45610.64583333333)</f>
        <v>45610.64583</v>
      </c>
      <c r="B61" s="6">
        <f>IFERROR(__xludf.DUMMYFUNCTION("""COMPUTED_VALUE"""),550.05)</f>
        <v>550.05</v>
      </c>
      <c r="C61" s="6">
        <f>IFERROR(__xludf.DUMMYFUNCTION("""COMPUTED_VALUE"""),574.0)</f>
        <v>574</v>
      </c>
      <c r="D61" s="6">
        <f>IFERROR(__xludf.DUMMYFUNCTION("""COMPUTED_VALUE"""),533.05)</f>
        <v>533.05</v>
      </c>
      <c r="E61" s="6">
        <f>IFERROR(__xludf.DUMMYFUNCTION("""COMPUTED_VALUE"""),536.95)</f>
        <v>536.95</v>
      </c>
      <c r="F61" s="6">
        <f>IFERROR(__xludf.DUMMYFUNCTION("""COMPUTED_VALUE"""),2213458.0)</f>
        <v>2213458</v>
      </c>
    </row>
    <row r="62">
      <c r="A62" s="7">
        <f>IFERROR(__xludf.DUMMYFUNCTION("""COMPUTED_VALUE"""),45618.64583333333)</f>
        <v>45618.64583</v>
      </c>
      <c r="B62" s="6">
        <f>IFERROR(__xludf.DUMMYFUNCTION("""COMPUTED_VALUE"""),539.0)</f>
        <v>539</v>
      </c>
      <c r="C62" s="6">
        <f>IFERROR(__xludf.DUMMYFUNCTION("""COMPUTED_VALUE"""),539.75)</f>
        <v>539.75</v>
      </c>
      <c r="D62" s="6">
        <f>IFERROR(__xludf.DUMMYFUNCTION("""COMPUTED_VALUE"""),504.5)</f>
        <v>504.5</v>
      </c>
      <c r="E62" s="6">
        <f>IFERROR(__xludf.DUMMYFUNCTION("""COMPUTED_VALUE"""),531.6)</f>
        <v>531.6</v>
      </c>
      <c r="F62" s="6">
        <f>IFERROR(__xludf.DUMMYFUNCTION("""COMPUTED_VALUE"""),5934075.0)</f>
        <v>5934075</v>
      </c>
    </row>
    <row r="63">
      <c r="A63" s="7">
        <f>IFERROR(__xludf.DUMMYFUNCTION("""COMPUTED_VALUE"""),45625.64583333333)</f>
        <v>45625.64583</v>
      </c>
      <c r="B63" s="6">
        <f>IFERROR(__xludf.DUMMYFUNCTION("""COMPUTED_VALUE"""),539.0)</f>
        <v>539</v>
      </c>
      <c r="C63" s="6">
        <f>IFERROR(__xludf.DUMMYFUNCTION("""COMPUTED_VALUE"""),598.0)</f>
        <v>598</v>
      </c>
      <c r="D63" s="6">
        <f>IFERROR(__xludf.DUMMYFUNCTION("""COMPUTED_VALUE"""),539.0)</f>
        <v>539</v>
      </c>
      <c r="E63" s="6">
        <f>IFERROR(__xludf.DUMMYFUNCTION("""COMPUTED_VALUE"""),574.3)</f>
        <v>574.3</v>
      </c>
      <c r="F63" s="6">
        <f>IFERROR(__xludf.DUMMYFUNCTION("""COMPUTED_VALUE"""),1.3293463E7)</f>
        <v>13293463</v>
      </c>
    </row>
    <row r="64">
      <c r="A64" s="7">
        <f>IFERROR(__xludf.DUMMYFUNCTION("""COMPUTED_VALUE"""),45632.64583333333)</f>
        <v>45632.64583</v>
      </c>
      <c r="B64" s="6">
        <f>IFERROR(__xludf.DUMMYFUNCTION("""COMPUTED_VALUE"""),567.0)</f>
        <v>567</v>
      </c>
      <c r="C64" s="6">
        <f>IFERROR(__xludf.DUMMYFUNCTION("""COMPUTED_VALUE"""),615.15)</f>
        <v>615.15</v>
      </c>
      <c r="D64" s="6">
        <f>IFERROR(__xludf.DUMMYFUNCTION("""COMPUTED_VALUE"""),563.35)</f>
        <v>563.35</v>
      </c>
      <c r="E64" s="6">
        <f>IFERROR(__xludf.DUMMYFUNCTION("""COMPUTED_VALUE"""),594.4)</f>
        <v>594.4</v>
      </c>
      <c r="F64" s="6">
        <f>IFERROR(__xludf.DUMMYFUNCTION("""COMPUTED_VALUE"""),1.2519086E7)</f>
        <v>12519086</v>
      </c>
    </row>
    <row r="65">
      <c r="A65" s="7">
        <f>IFERROR(__xludf.DUMMYFUNCTION("""COMPUTED_VALUE"""),45639.64583333333)</f>
        <v>45639.64583</v>
      </c>
      <c r="B65" s="6">
        <f>IFERROR(__xludf.DUMMYFUNCTION("""COMPUTED_VALUE"""),594.4)</f>
        <v>594.4</v>
      </c>
      <c r="C65" s="6">
        <f>IFERROR(__xludf.DUMMYFUNCTION("""COMPUTED_VALUE"""),603.9)</f>
        <v>603.9</v>
      </c>
      <c r="D65" s="6">
        <f>IFERROR(__xludf.DUMMYFUNCTION("""COMPUTED_VALUE"""),558.05)</f>
        <v>558.05</v>
      </c>
      <c r="E65" s="6">
        <f>IFERROR(__xludf.DUMMYFUNCTION("""COMPUTED_VALUE"""),572.85)</f>
        <v>572.85</v>
      </c>
      <c r="F65" s="6">
        <f>IFERROR(__xludf.DUMMYFUNCTION("""COMPUTED_VALUE"""),6445567.0)</f>
        <v>6445567</v>
      </c>
    </row>
    <row r="66">
      <c r="A66" s="7">
        <f>IFERROR(__xludf.DUMMYFUNCTION("""COMPUTED_VALUE"""),45646.64583333333)</f>
        <v>45646.64583</v>
      </c>
      <c r="B66" s="6">
        <f>IFERROR(__xludf.DUMMYFUNCTION("""COMPUTED_VALUE"""),572.85)</f>
        <v>572.85</v>
      </c>
      <c r="C66" s="6">
        <f>IFERROR(__xludf.DUMMYFUNCTION("""COMPUTED_VALUE"""),590.2)</f>
        <v>590.2</v>
      </c>
      <c r="D66" s="6">
        <f>IFERROR(__xludf.DUMMYFUNCTION("""COMPUTED_VALUE"""),535.2)</f>
        <v>535.2</v>
      </c>
      <c r="E66" s="6">
        <f>IFERROR(__xludf.DUMMYFUNCTION("""COMPUTED_VALUE"""),537.15)</f>
        <v>537.15</v>
      </c>
      <c r="F66" s="6">
        <f>IFERROR(__xludf.DUMMYFUNCTION("""COMPUTED_VALUE"""),5732400.0)</f>
        <v>5732400</v>
      </c>
    </row>
    <row r="67">
      <c r="A67" s="7">
        <f>IFERROR(__xludf.DUMMYFUNCTION("""COMPUTED_VALUE"""),45653.64583333333)</f>
        <v>45653.64583</v>
      </c>
      <c r="B67" s="6">
        <f>IFERROR(__xludf.DUMMYFUNCTION("""COMPUTED_VALUE"""),535.0)</f>
        <v>535</v>
      </c>
      <c r="C67" s="6">
        <f>IFERROR(__xludf.DUMMYFUNCTION("""COMPUTED_VALUE"""),553.0)</f>
        <v>553</v>
      </c>
      <c r="D67" s="6">
        <f>IFERROR(__xludf.DUMMYFUNCTION("""COMPUTED_VALUE"""),529.0)</f>
        <v>529</v>
      </c>
      <c r="E67" s="6">
        <f>IFERROR(__xludf.DUMMYFUNCTION("""COMPUTED_VALUE"""),547.2)</f>
        <v>547.2</v>
      </c>
      <c r="F67" s="6">
        <f>IFERROR(__xludf.DUMMYFUNCTION("""COMPUTED_VALUE"""),5420996.0)</f>
        <v>5420996</v>
      </c>
    </row>
    <row r="68">
      <c r="A68" s="7">
        <f>IFERROR(__xludf.DUMMYFUNCTION("""COMPUTED_VALUE"""),45660.64583333333)</f>
        <v>45660.64583</v>
      </c>
      <c r="B68" s="6">
        <f>IFERROR(__xludf.DUMMYFUNCTION("""COMPUTED_VALUE"""),546.75)</f>
        <v>546.75</v>
      </c>
      <c r="C68" s="6">
        <f>IFERROR(__xludf.DUMMYFUNCTION("""COMPUTED_VALUE"""),564.0)</f>
        <v>564</v>
      </c>
      <c r="D68" s="6">
        <f>IFERROR(__xludf.DUMMYFUNCTION("""COMPUTED_VALUE"""),511.7)</f>
        <v>511.7</v>
      </c>
      <c r="E68" s="6">
        <f>IFERROR(__xludf.DUMMYFUNCTION("""COMPUTED_VALUE"""),524.35)</f>
        <v>524.35</v>
      </c>
      <c r="F68" s="6">
        <f>IFERROR(__xludf.DUMMYFUNCTION("""COMPUTED_VALUE"""),1.2276247E7)</f>
        <v>12276247</v>
      </c>
    </row>
    <row r="69">
      <c r="A69" s="7">
        <f>IFERROR(__xludf.DUMMYFUNCTION("""COMPUTED_VALUE"""),45667.64583333333)</f>
        <v>45667.64583</v>
      </c>
      <c r="B69" s="6">
        <f>IFERROR(__xludf.DUMMYFUNCTION("""COMPUTED_VALUE"""),518.75)</f>
        <v>518.75</v>
      </c>
      <c r="C69" s="6">
        <f>IFERROR(__xludf.DUMMYFUNCTION("""COMPUTED_VALUE"""),520.8)</f>
        <v>520.8</v>
      </c>
      <c r="D69" s="6">
        <f>IFERROR(__xludf.DUMMYFUNCTION("""COMPUTED_VALUE"""),486.65)</f>
        <v>486.65</v>
      </c>
      <c r="E69" s="6">
        <f>IFERROR(__xludf.DUMMYFUNCTION("""COMPUTED_VALUE"""),492.4)</f>
        <v>492.4</v>
      </c>
      <c r="F69" s="6">
        <f>IFERROR(__xludf.DUMMYFUNCTION("""COMPUTED_VALUE"""),9226895.0)</f>
        <v>9226895</v>
      </c>
    </row>
    <row r="70">
      <c r="A70" s="7">
        <f>IFERROR(__xludf.DUMMYFUNCTION("""COMPUTED_VALUE"""),45674.64583333333)</f>
        <v>45674.64583</v>
      </c>
      <c r="B70" s="6">
        <f>IFERROR(__xludf.DUMMYFUNCTION("""COMPUTED_VALUE"""),492.0)</f>
        <v>492</v>
      </c>
      <c r="C70" s="6">
        <f>IFERROR(__xludf.DUMMYFUNCTION("""COMPUTED_VALUE"""),528.9)</f>
        <v>528.9</v>
      </c>
      <c r="D70" s="6">
        <f>IFERROR(__xludf.DUMMYFUNCTION("""COMPUTED_VALUE"""),473.9)</f>
        <v>473.9</v>
      </c>
      <c r="E70" s="6">
        <f>IFERROR(__xludf.DUMMYFUNCTION("""COMPUTED_VALUE"""),524.45)</f>
        <v>524.45</v>
      </c>
      <c r="F70" s="6">
        <f>IFERROR(__xludf.DUMMYFUNCTION("""COMPUTED_VALUE"""),8852684.0)</f>
        <v>8852684</v>
      </c>
    </row>
    <row r="71">
      <c r="A71" s="7">
        <f>IFERROR(__xludf.DUMMYFUNCTION("""COMPUTED_VALUE"""),45681.64583333333)</f>
        <v>45681.64583</v>
      </c>
      <c r="B71" s="6">
        <f>IFERROR(__xludf.DUMMYFUNCTION("""COMPUTED_VALUE"""),523.15)</f>
        <v>523.15</v>
      </c>
      <c r="C71" s="6">
        <f>IFERROR(__xludf.DUMMYFUNCTION("""COMPUTED_VALUE"""),535.75)</f>
        <v>535.75</v>
      </c>
      <c r="D71" s="6">
        <f>IFERROR(__xludf.DUMMYFUNCTION("""COMPUTED_VALUE"""),498.1)</f>
        <v>498.1</v>
      </c>
      <c r="E71" s="6">
        <f>IFERROR(__xludf.DUMMYFUNCTION("""COMPUTED_VALUE"""),501.25)</f>
        <v>501.25</v>
      </c>
      <c r="F71" s="6">
        <f>IFERROR(__xludf.DUMMYFUNCTION("""COMPUTED_VALUE"""),4161425.0)</f>
        <v>4161425</v>
      </c>
    </row>
    <row r="72">
      <c r="A72" s="7">
        <f>IFERROR(__xludf.DUMMYFUNCTION("""COMPUTED_VALUE"""),45695.64583333333)</f>
        <v>45695.64583</v>
      </c>
      <c r="B72" s="6">
        <f>IFERROR(__xludf.DUMMYFUNCTION("""COMPUTED_VALUE"""),537.45)</f>
        <v>537.45</v>
      </c>
      <c r="C72" s="6">
        <f>IFERROR(__xludf.DUMMYFUNCTION("""COMPUTED_VALUE"""),555.0)</f>
        <v>555</v>
      </c>
      <c r="D72" s="6">
        <f>IFERROR(__xludf.DUMMYFUNCTION("""COMPUTED_VALUE"""),511.5)</f>
        <v>511.5</v>
      </c>
      <c r="E72" s="6">
        <f>IFERROR(__xludf.DUMMYFUNCTION("""COMPUTED_VALUE"""),543.35)</f>
        <v>543.35</v>
      </c>
      <c r="F72" s="6">
        <f>IFERROR(__xludf.DUMMYFUNCTION("""COMPUTED_VALUE"""),8850746.0)</f>
        <v>8850746</v>
      </c>
    </row>
    <row r="73">
      <c r="A73" s="7">
        <f>IFERROR(__xludf.DUMMYFUNCTION("""COMPUTED_VALUE"""),45702.64583333333)</f>
        <v>45702.64583</v>
      </c>
      <c r="B73" s="6">
        <f>IFERROR(__xludf.DUMMYFUNCTION("""COMPUTED_VALUE"""),543.25)</f>
        <v>543.25</v>
      </c>
      <c r="C73" s="6">
        <f>IFERROR(__xludf.DUMMYFUNCTION("""COMPUTED_VALUE"""),543.25)</f>
        <v>543.25</v>
      </c>
      <c r="D73" s="6">
        <f>IFERROR(__xludf.DUMMYFUNCTION("""COMPUTED_VALUE"""),500.65)</f>
        <v>500.65</v>
      </c>
      <c r="E73" s="6">
        <f>IFERROR(__xludf.DUMMYFUNCTION("""COMPUTED_VALUE"""),508.45)</f>
        <v>508.45</v>
      </c>
      <c r="F73" s="6">
        <f>IFERROR(__xludf.DUMMYFUNCTION("""COMPUTED_VALUE"""),4638353.0)</f>
        <v>4638353</v>
      </c>
    </row>
    <row r="74">
      <c r="A74" s="7">
        <f>IFERROR(__xludf.DUMMYFUNCTION("""COMPUTED_VALUE"""),45709.64583333333)</f>
        <v>45709.64583</v>
      </c>
      <c r="B74" s="6">
        <f>IFERROR(__xludf.DUMMYFUNCTION("""COMPUTED_VALUE"""),509.95)</f>
        <v>509.95</v>
      </c>
      <c r="C74" s="6">
        <f>IFERROR(__xludf.DUMMYFUNCTION("""COMPUTED_VALUE"""),535.0)</f>
        <v>535</v>
      </c>
      <c r="D74" s="6">
        <f>IFERROR(__xludf.DUMMYFUNCTION("""COMPUTED_VALUE"""),496.8)</f>
        <v>496.8</v>
      </c>
      <c r="E74" s="6">
        <f>IFERROR(__xludf.DUMMYFUNCTION("""COMPUTED_VALUE"""),516.1)</f>
        <v>516.1</v>
      </c>
      <c r="F74" s="6">
        <f>IFERROR(__xludf.DUMMYFUNCTION("""COMPUTED_VALUE"""),4722805.0)</f>
        <v>4722805</v>
      </c>
    </row>
    <row r="75">
      <c r="A75" s="7">
        <f>IFERROR(__xludf.DUMMYFUNCTION("""COMPUTED_VALUE"""),45716.64583333333)</f>
        <v>45716.64583</v>
      </c>
      <c r="B75" s="6">
        <f>IFERROR(__xludf.DUMMYFUNCTION("""COMPUTED_VALUE"""),510.3)</f>
        <v>510.3</v>
      </c>
      <c r="C75" s="6">
        <f>IFERROR(__xludf.DUMMYFUNCTION("""COMPUTED_VALUE"""),530.15)</f>
        <v>530.15</v>
      </c>
      <c r="D75" s="6">
        <f>IFERROR(__xludf.DUMMYFUNCTION("""COMPUTED_VALUE"""),501.55)</f>
        <v>501.55</v>
      </c>
      <c r="E75" s="6">
        <f>IFERROR(__xludf.DUMMYFUNCTION("""COMPUTED_VALUE"""),510.8)</f>
        <v>510.8</v>
      </c>
      <c r="F75" s="6">
        <f>IFERROR(__xludf.DUMMYFUNCTION("""COMPUTED_VALUE"""),4663749.0)</f>
        <v>4663749</v>
      </c>
    </row>
    <row r="76">
      <c r="A76" s="7">
        <f>IFERROR(__xludf.DUMMYFUNCTION("""COMPUTED_VALUE"""),45723.64583333333)</f>
        <v>45723.64583</v>
      </c>
      <c r="B76" s="6">
        <f>IFERROR(__xludf.DUMMYFUNCTION("""COMPUTED_VALUE"""),508.0)</f>
        <v>508</v>
      </c>
      <c r="C76" s="6">
        <f>IFERROR(__xludf.DUMMYFUNCTION("""COMPUTED_VALUE"""),535.0)</f>
        <v>535</v>
      </c>
      <c r="D76" s="6">
        <f>IFERROR(__xludf.DUMMYFUNCTION("""COMPUTED_VALUE"""),491.05)</f>
        <v>491.05</v>
      </c>
      <c r="E76" s="6">
        <f>IFERROR(__xludf.DUMMYFUNCTION("""COMPUTED_VALUE"""),530.15)</f>
        <v>530.15</v>
      </c>
      <c r="F76" s="6">
        <f>IFERROR(__xludf.DUMMYFUNCTION("""COMPUTED_VALUE"""),5368057.0)</f>
        <v>5368057</v>
      </c>
    </row>
    <row r="77">
      <c r="A77" s="7">
        <f>IFERROR(__xludf.DUMMYFUNCTION("""COMPUTED_VALUE"""),45729.64583333333)</f>
        <v>45729.64583</v>
      </c>
      <c r="B77" s="6">
        <f>IFERROR(__xludf.DUMMYFUNCTION("""COMPUTED_VALUE"""),528.1)</f>
        <v>528.1</v>
      </c>
      <c r="C77" s="6">
        <f>IFERROR(__xludf.DUMMYFUNCTION("""COMPUTED_VALUE"""),533.0)</f>
        <v>533</v>
      </c>
      <c r="D77" s="6">
        <f>IFERROR(__xludf.DUMMYFUNCTION("""COMPUTED_VALUE"""),478.0)</f>
        <v>478</v>
      </c>
      <c r="E77" s="6">
        <f>IFERROR(__xludf.DUMMYFUNCTION("""COMPUTED_VALUE"""),490.4)</f>
        <v>490.4</v>
      </c>
      <c r="F77" s="6">
        <f>IFERROR(__xludf.DUMMYFUNCTION("""COMPUTED_VALUE"""),5558838.0)</f>
        <v>5558838</v>
      </c>
    </row>
    <row r="78">
      <c r="A78" s="7">
        <f>IFERROR(__xludf.DUMMYFUNCTION("""COMPUTED_VALUE"""),45737.64583333333)</f>
        <v>45737.64583</v>
      </c>
      <c r="B78" s="6">
        <f>IFERROR(__xludf.DUMMYFUNCTION("""COMPUTED_VALUE"""),493.0)</f>
        <v>493</v>
      </c>
      <c r="C78" s="6">
        <f>IFERROR(__xludf.DUMMYFUNCTION("""COMPUTED_VALUE"""),552.15)</f>
        <v>552.15</v>
      </c>
      <c r="D78" s="6">
        <f>IFERROR(__xludf.DUMMYFUNCTION("""COMPUTED_VALUE"""),492.25)</f>
        <v>492.25</v>
      </c>
      <c r="E78" s="6">
        <f>IFERROR(__xludf.DUMMYFUNCTION("""COMPUTED_VALUE"""),547.95)</f>
        <v>547.95</v>
      </c>
      <c r="F78" s="6">
        <f>IFERROR(__xludf.DUMMYFUNCTION("""COMPUTED_VALUE"""),5718714.0)</f>
        <v>5718714</v>
      </c>
    </row>
    <row r="79">
      <c r="A79" s="7">
        <f>IFERROR(__xludf.DUMMYFUNCTION("""COMPUTED_VALUE"""),45744.64583333333)</f>
        <v>45744.64583</v>
      </c>
      <c r="B79" s="6">
        <f>IFERROR(__xludf.DUMMYFUNCTION("""COMPUTED_VALUE"""),553.0)</f>
        <v>553</v>
      </c>
      <c r="C79" s="6">
        <f>IFERROR(__xludf.DUMMYFUNCTION("""COMPUTED_VALUE"""),558.0)</f>
        <v>558</v>
      </c>
      <c r="D79" s="6">
        <f>IFERROR(__xludf.DUMMYFUNCTION("""COMPUTED_VALUE"""),536.65)</f>
        <v>536.65</v>
      </c>
      <c r="E79" s="6">
        <f>IFERROR(__xludf.DUMMYFUNCTION("""COMPUTED_VALUE"""),541.3)</f>
        <v>541.3</v>
      </c>
      <c r="F79" s="6">
        <f>IFERROR(__xludf.DUMMYFUNCTION("""COMPUTED_VALUE"""),7210252.0)</f>
        <v>7210252</v>
      </c>
    </row>
    <row r="80">
      <c r="A80" s="7">
        <f>IFERROR(__xludf.DUMMYFUNCTION("""COMPUTED_VALUE"""),45751.64583333333)</f>
        <v>45751.64583</v>
      </c>
      <c r="B80" s="6">
        <f>IFERROR(__xludf.DUMMYFUNCTION("""COMPUTED_VALUE"""),539.85)</f>
        <v>539.85</v>
      </c>
      <c r="C80" s="6">
        <f>IFERROR(__xludf.DUMMYFUNCTION("""COMPUTED_VALUE"""),556.4)</f>
        <v>556.4</v>
      </c>
      <c r="D80" s="6">
        <f>IFERROR(__xludf.DUMMYFUNCTION("""COMPUTED_VALUE"""),520.15)</f>
        <v>520.15</v>
      </c>
      <c r="E80" s="6">
        <f>IFERROR(__xludf.DUMMYFUNCTION("""COMPUTED_VALUE"""),546.05)</f>
        <v>546.05</v>
      </c>
      <c r="F80" s="6">
        <f>IFERROR(__xludf.DUMMYFUNCTION("""COMPUTED_VALUE"""),6368349.0)</f>
        <v>6368349</v>
      </c>
    </row>
    <row r="81">
      <c r="A81" s="7">
        <f>IFERROR(__xludf.DUMMYFUNCTION("""COMPUTED_VALUE"""),45758.64583333333)</f>
        <v>45758.64583</v>
      </c>
      <c r="B81" s="6">
        <f>IFERROR(__xludf.DUMMYFUNCTION("""COMPUTED_VALUE"""),530.2)</f>
        <v>530.2</v>
      </c>
      <c r="C81" s="6">
        <f>IFERROR(__xludf.DUMMYFUNCTION("""COMPUTED_VALUE"""),551.7)</f>
        <v>551.7</v>
      </c>
      <c r="D81" s="6">
        <f>IFERROR(__xludf.DUMMYFUNCTION("""COMPUTED_VALUE"""),517.85)</f>
        <v>517.85</v>
      </c>
      <c r="E81" s="6">
        <f>IFERROR(__xludf.DUMMYFUNCTION("""COMPUTED_VALUE"""),535.8)</f>
        <v>535.8</v>
      </c>
      <c r="F81" s="6">
        <f>IFERROR(__xludf.DUMMYFUNCTION("""COMPUTED_VALUE"""),4473394.0)</f>
        <v>4473394</v>
      </c>
    </row>
    <row r="82">
      <c r="A82" s="7">
        <f>IFERROR(__xludf.DUMMYFUNCTION("""COMPUTED_VALUE"""),45764.64583333333)</f>
        <v>45764.64583</v>
      </c>
      <c r="B82" s="6">
        <f>IFERROR(__xludf.DUMMYFUNCTION("""COMPUTED_VALUE"""),542.1)</f>
        <v>542.1</v>
      </c>
      <c r="C82" s="6">
        <f>IFERROR(__xludf.DUMMYFUNCTION("""COMPUTED_VALUE"""),576.7)</f>
        <v>576.7</v>
      </c>
      <c r="D82" s="6">
        <f>IFERROR(__xludf.DUMMYFUNCTION("""COMPUTED_VALUE"""),534.2)</f>
        <v>534.2</v>
      </c>
      <c r="E82" s="6">
        <f>IFERROR(__xludf.DUMMYFUNCTION("""COMPUTED_VALUE"""),575.2)</f>
        <v>575.2</v>
      </c>
      <c r="F82" s="6">
        <f>IFERROR(__xludf.DUMMYFUNCTION("""COMPUTED_VALUE"""),7556800.0)</f>
        <v>7556800</v>
      </c>
    </row>
    <row r="83">
      <c r="A83" s="7">
        <f>IFERROR(__xludf.DUMMYFUNCTION("""COMPUTED_VALUE"""),45772.64583333333)</f>
        <v>45772.64583</v>
      </c>
      <c r="B83" s="6">
        <f>IFERROR(__xludf.DUMMYFUNCTION("""COMPUTED_VALUE"""),577.75)</f>
        <v>577.75</v>
      </c>
      <c r="C83" s="6">
        <f>IFERROR(__xludf.DUMMYFUNCTION("""COMPUTED_VALUE"""),594.8)</f>
        <v>594.8</v>
      </c>
      <c r="D83" s="6">
        <f>IFERROR(__xludf.DUMMYFUNCTION("""COMPUTED_VALUE"""),560.6)</f>
        <v>560.6</v>
      </c>
      <c r="E83" s="6">
        <f>IFERROR(__xludf.DUMMYFUNCTION("""COMPUTED_VALUE"""),569.2)</f>
        <v>569.2</v>
      </c>
      <c r="F83" s="6">
        <f>IFERROR(__xludf.DUMMYFUNCTION("""COMPUTED_VALUE"""),1.2208335E7)</f>
        <v>12208335</v>
      </c>
    </row>
    <row r="84">
      <c r="A84" s="7">
        <f>IFERROR(__xludf.DUMMYFUNCTION("""COMPUTED_VALUE"""),45779.64583333333)</f>
        <v>45779.64583</v>
      </c>
      <c r="B84" s="6">
        <f>IFERROR(__xludf.DUMMYFUNCTION("""COMPUTED_VALUE"""),570.0)</f>
        <v>570</v>
      </c>
      <c r="C84" s="6">
        <f>IFERROR(__xludf.DUMMYFUNCTION("""COMPUTED_VALUE"""),599.9)</f>
        <v>599.9</v>
      </c>
      <c r="D84" s="6">
        <f>IFERROR(__xludf.DUMMYFUNCTION("""COMPUTED_VALUE"""),551.7)</f>
        <v>551.7</v>
      </c>
      <c r="E84" s="6">
        <f>IFERROR(__xludf.DUMMYFUNCTION("""COMPUTED_VALUE"""),558.1)</f>
        <v>558.1</v>
      </c>
      <c r="F84" s="6">
        <f>IFERROR(__xludf.DUMMYFUNCTION("""COMPUTED_VALUE"""),7049183.0)</f>
        <v>7049183</v>
      </c>
    </row>
    <row r="85">
      <c r="A85" s="7">
        <f>IFERROR(__xludf.DUMMYFUNCTION("""COMPUTED_VALUE"""),45786.64583333333)</f>
        <v>45786.64583</v>
      </c>
      <c r="B85" s="6">
        <f>IFERROR(__xludf.DUMMYFUNCTION("""COMPUTED_VALUE"""),569.0)</f>
        <v>569</v>
      </c>
      <c r="C85" s="6">
        <f>IFERROR(__xludf.DUMMYFUNCTION("""COMPUTED_VALUE"""),584.35)</f>
        <v>584.35</v>
      </c>
      <c r="D85" s="6">
        <f>IFERROR(__xludf.DUMMYFUNCTION("""COMPUTED_VALUE"""),546.1)</f>
        <v>546.1</v>
      </c>
      <c r="E85" s="6">
        <f>IFERROR(__xludf.DUMMYFUNCTION("""COMPUTED_VALUE"""),552.05)</f>
        <v>552.05</v>
      </c>
      <c r="F85" s="6">
        <f>IFERROR(__xludf.DUMMYFUNCTION("""COMPUTED_VALUE"""),1.2580819E7)</f>
        <v>12580819</v>
      </c>
    </row>
    <row r="86">
      <c r="A86" s="7">
        <f>IFERROR(__xludf.DUMMYFUNCTION("""COMPUTED_VALUE"""),45793.64583333333)</f>
        <v>45793.64583</v>
      </c>
      <c r="B86" s="6">
        <f>IFERROR(__xludf.DUMMYFUNCTION("""COMPUTED_VALUE"""),573.0)</f>
        <v>573</v>
      </c>
      <c r="C86" s="6">
        <f>IFERROR(__xludf.DUMMYFUNCTION("""COMPUTED_VALUE"""),598.4)</f>
        <v>598.4</v>
      </c>
      <c r="D86" s="6">
        <f>IFERROR(__xludf.DUMMYFUNCTION("""COMPUTED_VALUE"""),563.0)</f>
        <v>563</v>
      </c>
      <c r="E86" s="6">
        <f>IFERROR(__xludf.DUMMYFUNCTION("""COMPUTED_VALUE"""),594.55)</f>
        <v>594.55</v>
      </c>
      <c r="F86" s="6">
        <f>IFERROR(__xludf.DUMMYFUNCTION("""COMPUTED_VALUE"""),1.0154871E7)</f>
        <v>10154871</v>
      </c>
    </row>
    <row r="87">
      <c r="A87" s="7">
        <f>IFERROR(__xludf.DUMMYFUNCTION("""COMPUTED_VALUE"""),45800.64583333333)</f>
        <v>45800.64583</v>
      </c>
      <c r="B87" s="6">
        <f>IFERROR(__xludf.DUMMYFUNCTION("""COMPUTED_VALUE"""),596.25)</f>
        <v>596.25</v>
      </c>
      <c r="C87" s="6">
        <f>IFERROR(__xludf.DUMMYFUNCTION("""COMPUTED_VALUE"""),619.0)</f>
        <v>619</v>
      </c>
      <c r="D87" s="6">
        <f>IFERROR(__xludf.DUMMYFUNCTION("""COMPUTED_VALUE"""),587.5)</f>
        <v>587.5</v>
      </c>
      <c r="E87" s="6">
        <f>IFERROR(__xludf.DUMMYFUNCTION("""COMPUTED_VALUE"""),594.1)</f>
        <v>594.1</v>
      </c>
      <c r="F87" s="6">
        <f>IFERROR(__xludf.DUMMYFUNCTION("""COMPUTED_VALUE"""),1.3585913E7)</f>
        <v>13585913</v>
      </c>
    </row>
    <row r="88">
      <c r="A88" s="7">
        <f>IFERROR(__xludf.DUMMYFUNCTION("""COMPUTED_VALUE"""),45807.64583333333)</f>
        <v>45807.64583</v>
      </c>
      <c r="B88" s="6">
        <f>IFERROR(__xludf.DUMMYFUNCTION("""COMPUTED_VALUE"""),595.0)</f>
        <v>595</v>
      </c>
      <c r="C88" s="6">
        <f>IFERROR(__xludf.DUMMYFUNCTION("""COMPUTED_VALUE"""),628.95)</f>
        <v>628.95</v>
      </c>
      <c r="D88" s="6">
        <f>IFERROR(__xludf.DUMMYFUNCTION("""COMPUTED_VALUE"""),586.25)</f>
        <v>586.25</v>
      </c>
      <c r="E88" s="6">
        <f>IFERROR(__xludf.DUMMYFUNCTION("""COMPUTED_VALUE"""),616.6)</f>
        <v>616.6</v>
      </c>
      <c r="F88" s="6">
        <f>IFERROR(__xludf.DUMMYFUNCTION("""COMPUTED_VALUE"""),9222720.0)</f>
        <v>9222720</v>
      </c>
    </row>
    <row r="89">
      <c r="A89" s="7">
        <f>IFERROR(__xludf.DUMMYFUNCTION("""COMPUTED_VALUE"""),45814.64583333333)</f>
        <v>45814.64583</v>
      </c>
      <c r="B89" s="6">
        <f>IFERROR(__xludf.DUMMYFUNCTION("""COMPUTED_VALUE"""),620.0)</f>
        <v>620</v>
      </c>
      <c r="C89" s="6">
        <f>IFERROR(__xludf.DUMMYFUNCTION("""COMPUTED_VALUE"""),658.5)</f>
        <v>658.5</v>
      </c>
      <c r="D89" s="6">
        <f>IFERROR(__xludf.DUMMYFUNCTION("""COMPUTED_VALUE"""),616.25)</f>
        <v>616.25</v>
      </c>
      <c r="E89" s="6">
        <f>IFERROR(__xludf.DUMMYFUNCTION("""COMPUTED_VALUE"""),634.05)</f>
        <v>634.05</v>
      </c>
      <c r="F89" s="6">
        <f>IFERROR(__xludf.DUMMYFUNCTION("""COMPUTED_VALUE"""),2.5513929E7)</f>
        <v>25513929</v>
      </c>
    </row>
    <row r="90">
      <c r="A90" s="7">
        <f>IFERROR(__xludf.DUMMYFUNCTION("""COMPUTED_VALUE"""),45821.64583333333)</f>
        <v>45821.64583</v>
      </c>
      <c r="B90" s="6">
        <f>IFERROR(__xludf.DUMMYFUNCTION("""COMPUTED_VALUE"""),643.0)</f>
        <v>643</v>
      </c>
      <c r="C90" s="6">
        <f>IFERROR(__xludf.DUMMYFUNCTION("""COMPUTED_VALUE"""),653.2)</f>
        <v>653.2</v>
      </c>
      <c r="D90" s="6">
        <f>IFERROR(__xludf.DUMMYFUNCTION("""COMPUTED_VALUE"""),606.0)</f>
        <v>606</v>
      </c>
      <c r="E90" s="6">
        <f>IFERROR(__xludf.DUMMYFUNCTION("""COMPUTED_VALUE"""),624.85)</f>
        <v>624.85</v>
      </c>
      <c r="F90" s="6">
        <f>IFERROR(__xludf.DUMMYFUNCTION("""COMPUTED_VALUE"""),2.1762791E7)</f>
        <v>21762791</v>
      </c>
    </row>
    <row r="91">
      <c r="A91" s="7">
        <f>IFERROR(__xludf.DUMMYFUNCTION("""COMPUTED_VALUE"""),45828.64583333333)</f>
        <v>45828.64583</v>
      </c>
      <c r="B91" s="6">
        <f>IFERROR(__xludf.DUMMYFUNCTION("""COMPUTED_VALUE"""),624.95)</f>
        <v>624.95</v>
      </c>
      <c r="C91" s="6">
        <f>IFERROR(__xludf.DUMMYFUNCTION("""COMPUTED_VALUE"""),642.0)</f>
        <v>642</v>
      </c>
      <c r="D91" s="6">
        <f>IFERROR(__xludf.DUMMYFUNCTION("""COMPUTED_VALUE"""),612.55)</f>
        <v>612.55</v>
      </c>
      <c r="E91" s="6">
        <f>IFERROR(__xludf.DUMMYFUNCTION("""COMPUTED_VALUE"""),615.65)</f>
        <v>615.65</v>
      </c>
      <c r="F91" s="6">
        <f>IFERROR(__xludf.DUMMYFUNCTION("""COMPUTED_VALUE"""),1.2938034E7)</f>
        <v>12938034</v>
      </c>
    </row>
    <row r="92">
      <c r="A92" s="7">
        <f>IFERROR(__xludf.DUMMYFUNCTION("""COMPUTED_VALUE"""),45835.64583333333)</f>
        <v>45835.64583</v>
      </c>
      <c r="B92" s="6">
        <f>IFERROR(__xludf.DUMMYFUNCTION("""COMPUTED_VALUE"""),614.0)</f>
        <v>614</v>
      </c>
      <c r="C92" s="6">
        <f>IFERROR(__xludf.DUMMYFUNCTION("""COMPUTED_VALUE"""),642.0)</f>
        <v>642</v>
      </c>
      <c r="D92" s="6">
        <f>IFERROR(__xludf.DUMMYFUNCTION("""COMPUTED_VALUE"""),611.5)</f>
        <v>611.5</v>
      </c>
      <c r="E92" s="6">
        <f>IFERROR(__xludf.DUMMYFUNCTION("""COMPUTED_VALUE"""),626.8)</f>
        <v>626.8</v>
      </c>
      <c r="F92" s="6">
        <f>IFERROR(__xludf.DUMMYFUNCTION("""COMPUTED_VALUE"""),1.0804948E7)</f>
        <v>10804948</v>
      </c>
    </row>
    <row r="93">
      <c r="A93" s="7">
        <f>IFERROR(__xludf.DUMMYFUNCTION("""COMPUTED_VALUE"""),45842.64583333333)</f>
        <v>45842.64583</v>
      </c>
      <c r="B93" s="6">
        <f>IFERROR(__xludf.DUMMYFUNCTION("""COMPUTED_VALUE"""),630.0)</f>
        <v>630</v>
      </c>
      <c r="C93" s="6">
        <f>IFERROR(__xludf.DUMMYFUNCTION("""COMPUTED_VALUE"""),657.95)</f>
        <v>657.95</v>
      </c>
      <c r="D93" s="6">
        <f>IFERROR(__xludf.DUMMYFUNCTION("""COMPUTED_VALUE"""),628.35)</f>
        <v>628.35</v>
      </c>
      <c r="E93" s="6">
        <f>IFERROR(__xludf.DUMMYFUNCTION("""COMPUTED_VALUE"""),650.5)</f>
        <v>650.5</v>
      </c>
      <c r="F93" s="6">
        <f>IFERROR(__xludf.DUMMYFUNCTION("""COMPUTED_VALUE"""),1.0162359E7)</f>
        <v>10162359</v>
      </c>
    </row>
    <row r="94">
      <c r="A94" s="7">
        <f>IFERROR(__xludf.DUMMYFUNCTION("""COMPUTED_VALUE"""),45849.64583333333)</f>
        <v>45849.64583</v>
      </c>
      <c r="B94" s="6">
        <f>IFERROR(__xludf.DUMMYFUNCTION("""COMPUTED_VALUE"""),650.0)</f>
        <v>650</v>
      </c>
      <c r="C94" s="6">
        <f>IFERROR(__xludf.DUMMYFUNCTION("""COMPUTED_VALUE"""),657.55)</f>
        <v>657.55</v>
      </c>
      <c r="D94" s="6">
        <f>IFERROR(__xludf.DUMMYFUNCTION("""COMPUTED_VALUE"""),620.55)</f>
        <v>620.55</v>
      </c>
      <c r="E94" s="6">
        <f>IFERROR(__xludf.DUMMYFUNCTION("""COMPUTED_VALUE"""),631.5)</f>
        <v>631.5</v>
      </c>
      <c r="F94" s="6">
        <f>IFERROR(__xludf.DUMMYFUNCTION("""COMPUTED_VALUE"""),5949543.0)</f>
        <v>5949543</v>
      </c>
    </row>
    <row r="95">
      <c r="A95" s="7">
        <f>IFERROR(__xludf.DUMMYFUNCTION("""COMPUTED_VALUE"""),45856.64583333333)</f>
        <v>45856.64583</v>
      </c>
      <c r="B95" s="6">
        <f>IFERROR(__xludf.DUMMYFUNCTION("""COMPUTED_VALUE"""),631.5)</f>
        <v>631.5</v>
      </c>
      <c r="C95" s="6">
        <f>IFERROR(__xludf.DUMMYFUNCTION("""COMPUTED_VALUE"""),649.9)</f>
        <v>649.9</v>
      </c>
      <c r="D95" s="6">
        <f>IFERROR(__xludf.DUMMYFUNCTION("""COMPUTED_VALUE"""),626.8)</f>
        <v>626.8</v>
      </c>
      <c r="E95" s="6">
        <f>IFERROR(__xludf.DUMMYFUNCTION("""COMPUTED_VALUE"""),631.65)</f>
        <v>631.65</v>
      </c>
      <c r="F95" s="6">
        <f>IFERROR(__xludf.DUMMYFUNCTION("""COMPUTED_VALUE"""),8821001.0)</f>
        <v>8821001</v>
      </c>
    </row>
    <row r="96">
      <c r="A96" s="7">
        <f>IFERROR(__xludf.DUMMYFUNCTION("""COMPUTED_VALUE"""),45863.64583333333)</f>
        <v>45863.64583</v>
      </c>
      <c r="B96" s="6">
        <f>IFERROR(__xludf.DUMMYFUNCTION("""COMPUTED_VALUE"""),631.8)</f>
        <v>631.8</v>
      </c>
      <c r="C96" s="6">
        <f>IFERROR(__xludf.DUMMYFUNCTION("""COMPUTED_VALUE"""),657.0)</f>
        <v>657</v>
      </c>
      <c r="D96" s="6">
        <f>IFERROR(__xludf.DUMMYFUNCTION("""COMPUTED_VALUE"""),622.1)</f>
        <v>622.1</v>
      </c>
      <c r="E96" s="6">
        <f>IFERROR(__xludf.DUMMYFUNCTION("""COMPUTED_VALUE"""),637.55)</f>
        <v>637.55</v>
      </c>
      <c r="F96" s="6">
        <f>IFERROR(__xludf.DUMMYFUNCTION("""COMPUTED_VALUE"""),1.201911E7)</f>
        <v>12019110</v>
      </c>
    </row>
    <row r="97">
      <c r="A97" s="7">
        <f>IFERROR(__xludf.DUMMYFUNCTION("""COMPUTED_VALUE"""),45870.64583333333)</f>
        <v>45870.64583</v>
      </c>
      <c r="B97" s="6">
        <f>IFERROR(__xludf.DUMMYFUNCTION("""COMPUTED_VALUE"""),637.3)</f>
        <v>637.3</v>
      </c>
      <c r="C97" s="6">
        <f>IFERROR(__xludf.DUMMYFUNCTION("""COMPUTED_VALUE"""),648.0)</f>
        <v>648</v>
      </c>
      <c r="D97" s="6">
        <f>IFERROR(__xludf.DUMMYFUNCTION("""COMPUTED_VALUE"""),606.0)</f>
        <v>606</v>
      </c>
      <c r="E97" s="6">
        <f>IFERROR(__xludf.DUMMYFUNCTION("""COMPUTED_VALUE"""),621.2)</f>
        <v>621.2</v>
      </c>
      <c r="F97" s="6">
        <f>IFERROR(__xludf.DUMMYFUNCTION("""COMPUTED_VALUE"""),8893441.0)</f>
        <v>8893441</v>
      </c>
    </row>
    <row r="98">
      <c r="A98" s="7">
        <f>IFERROR(__xludf.DUMMYFUNCTION("""COMPUTED_VALUE"""),45877.64583333333)</f>
        <v>45877.64583</v>
      </c>
      <c r="B98" s="6">
        <f>IFERROR(__xludf.DUMMYFUNCTION("""COMPUTED_VALUE"""),621.2)</f>
        <v>621.2</v>
      </c>
      <c r="C98" s="6">
        <f>IFERROR(__xludf.DUMMYFUNCTION("""COMPUTED_VALUE"""),655.9)</f>
        <v>655.9</v>
      </c>
      <c r="D98" s="6">
        <f>IFERROR(__xludf.DUMMYFUNCTION("""COMPUTED_VALUE"""),619.05)</f>
        <v>619.05</v>
      </c>
      <c r="E98" s="6">
        <f>IFERROR(__xludf.DUMMYFUNCTION("""COMPUTED_VALUE"""),650.85)</f>
        <v>650.85</v>
      </c>
      <c r="F98" s="6">
        <f>IFERROR(__xludf.DUMMYFUNCTION("""COMPUTED_VALUE"""),8196531.0)</f>
        <v>8196531</v>
      </c>
    </row>
    <row r="99">
      <c r="A99" s="7">
        <f>IFERROR(__xludf.DUMMYFUNCTION("""COMPUTED_VALUE"""),45883.64583333333)</f>
        <v>45883.64583</v>
      </c>
      <c r="B99" s="6">
        <f>IFERROR(__xludf.DUMMYFUNCTION("""COMPUTED_VALUE"""),650.85)</f>
        <v>650.85</v>
      </c>
      <c r="C99" s="6">
        <f>IFERROR(__xludf.DUMMYFUNCTION("""COMPUTED_VALUE"""),677.0)</f>
        <v>677</v>
      </c>
      <c r="D99" s="6">
        <f>IFERROR(__xludf.DUMMYFUNCTION("""COMPUTED_VALUE"""),650.0)</f>
        <v>650</v>
      </c>
      <c r="E99" s="6">
        <f>IFERROR(__xludf.DUMMYFUNCTION("""COMPUTED_VALUE"""),668.25)</f>
        <v>668.25</v>
      </c>
      <c r="F99" s="6">
        <f>IFERROR(__xludf.DUMMYFUNCTION("""COMPUTED_VALUE"""),5040499.0)</f>
        <v>5040499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IFERROR(__xludf.DUMMYFUNCTION("""COMPUTED_VALUE"""),673.8)</f>
        <v>673.8</v>
      </c>
      <c r="C100" s="6">
        <f>IFERROR(__xludf.DUMMYFUNCTION("""COMPUTED_VALUE"""),683.1)</f>
        <v>683.1</v>
      </c>
      <c r="D100" s="6">
        <f>IFERROR(__xludf.DUMMYFUNCTION("""COMPUTED_VALUE"""),666.15)</f>
        <v>666.15</v>
      </c>
      <c r="E100" s="6">
        <f>IFERROR(__xludf.DUMMYFUNCTION("""COMPUTED_VALUE"""),670.25)</f>
        <v>670.25</v>
      </c>
      <c r="F100" s="6">
        <f>IFERROR(__xludf.DUMMYFUNCTION("""COMPUTED_VALUE"""),4380089.0)</f>
        <v>4380089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IFERROR(__xludf.DUMMYFUNCTION("""COMPUTED_VALUE"""),670.25)</f>
        <v>670.25</v>
      </c>
      <c r="C101" s="6">
        <f>IFERROR(__xludf.DUMMYFUNCTION("""COMPUTED_VALUE"""),673.4)</f>
        <v>673.4</v>
      </c>
      <c r="D101" s="6">
        <f>IFERROR(__xludf.DUMMYFUNCTION("""COMPUTED_VALUE"""),654.0)</f>
        <v>654</v>
      </c>
      <c r="E101" s="6">
        <f>IFERROR(__xludf.DUMMYFUNCTION("""COMPUTED_VALUE"""),655.9)</f>
        <v>655.9</v>
      </c>
      <c r="F101" s="6">
        <f>IFERROR(__xludf.DUMMYFUNCTION("""COMPUTED_VALUE"""),6922150.0)</f>
        <v>6922150</v>
      </c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IFERROR(__xludf.DUMMYFUNCTION("GOOGLEFINANCE(""NSE:INDIGO"",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IFERROR(__xludf.DUMMYFUNCTION("""COMPUTED_VALUE"""),2479.1)</f>
        <v>2479.1</v>
      </c>
      <c r="C2" s="6">
        <f>IFERROR(__xludf.DUMMYFUNCTION("""COMPUTED_VALUE"""),2510.5)</f>
        <v>2510.5</v>
      </c>
      <c r="D2" s="6">
        <f>IFERROR(__xludf.DUMMYFUNCTION("""COMPUTED_VALUE"""),2403.0)</f>
        <v>2403</v>
      </c>
      <c r="E2" s="6">
        <f>IFERROR(__xludf.DUMMYFUNCTION("""COMPUTED_VALUE"""),2438.9)</f>
        <v>2438.9</v>
      </c>
      <c r="F2" s="6">
        <f>IFERROR(__xludf.DUMMYFUNCTION("""COMPUTED_VALUE"""),3710355.0)</f>
        <v>3710355</v>
      </c>
    </row>
    <row r="3">
      <c r="A3" s="7">
        <f>IFERROR(__xludf.DUMMYFUNCTION("""COMPUTED_VALUE"""),45177.64583333333)</f>
        <v>45177.64583</v>
      </c>
      <c r="B3" s="6">
        <f>IFERROR(__xludf.DUMMYFUNCTION("""COMPUTED_VALUE"""),2461.7)</f>
        <v>2461.7</v>
      </c>
      <c r="C3" s="6">
        <f>IFERROR(__xludf.DUMMYFUNCTION("""COMPUTED_VALUE"""),2509.0)</f>
        <v>2509</v>
      </c>
      <c r="D3" s="6">
        <f>IFERROR(__xludf.DUMMYFUNCTION("""COMPUTED_VALUE"""),2430.0)</f>
        <v>2430</v>
      </c>
      <c r="E3" s="6">
        <f>IFERROR(__xludf.DUMMYFUNCTION("""COMPUTED_VALUE"""),2473.5)</f>
        <v>2473.5</v>
      </c>
      <c r="F3" s="6">
        <f>IFERROR(__xludf.DUMMYFUNCTION("""COMPUTED_VALUE"""),3108105.0)</f>
        <v>3108105</v>
      </c>
    </row>
    <row r="4">
      <c r="A4" s="7">
        <f>IFERROR(__xludf.DUMMYFUNCTION("""COMPUTED_VALUE"""),45184.64583333333)</f>
        <v>45184.64583</v>
      </c>
      <c r="B4" s="6">
        <f>IFERROR(__xludf.DUMMYFUNCTION("""COMPUTED_VALUE"""),2490.0)</f>
        <v>2490</v>
      </c>
      <c r="C4" s="6">
        <f>IFERROR(__xludf.DUMMYFUNCTION("""COMPUTED_VALUE"""),2515.0)</f>
        <v>2515</v>
      </c>
      <c r="D4" s="6">
        <f>IFERROR(__xludf.DUMMYFUNCTION("""COMPUTED_VALUE"""),2383.0)</f>
        <v>2383</v>
      </c>
      <c r="E4" s="6">
        <f>IFERROR(__xludf.DUMMYFUNCTION("""COMPUTED_VALUE"""),2391.45)</f>
        <v>2391.45</v>
      </c>
      <c r="F4" s="6">
        <f>IFERROR(__xludf.DUMMYFUNCTION("""COMPUTED_VALUE"""),6609555.0)</f>
        <v>6609555</v>
      </c>
    </row>
    <row r="5">
      <c r="A5" s="7">
        <f>IFERROR(__xludf.DUMMYFUNCTION("""COMPUTED_VALUE"""),45191.64583333333)</f>
        <v>45191.64583</v>
      </c>
      <c r="B5" s="6">
        <f>IFERROR(__xludf.DUMMYFUNCTION("""COMPUTED_VALUE"""),2405.0)</f>
        <v>2405</v>
      </c>
      <c r="C5" s="6">
        <f>IFERROR(__xludf.DUMMYFUNCTION("""COMPUTED_VALUE"""),2419.6)</f>
        <v>2419.6</v>
      </c>
      <c r="D5" s="6">
        <f>IFERROR(__xludf.DUMMYFUNCTION("""COMPUTED_VALUE"""),2346.05)</f>
        <v>2346.05</v>
      </c>
      <c r="E5" s="6">
        <f>IFERROR(__xludf.DUMMYFUNCTION("""COMPUTED_VALUE"""),2355.55)</f>
        <v>2355.55</v>
      </c>
      <c r="F5" s="6">
        <f>IFERROR(__xludf.DUMMYFUNCTION("""COMPUTED_VALUE"""),3620604.0)</f>
        <v>3620604</v>
      </c>
    </row>
    <row r="6">
      <c r="A6" s="7">
        <f>IFERROR(__xludf.DUMMYFUNCTION("""COMPUTED_VALUE"""),45198.64583333333)</f>
        <v>45198.64583</v>
      </c>
      <c r="B6" s="6">
        <f>IFERROR(__xludf.DUMMYFUNCTION("""COMPUTED_VALUE"""),2360.0)</f>
        <v>2360</v>
      </c>
      <c r="C6" s="6">
        <f>IFERROR(__xludf.DUMMYFUNCTION("""COMPUTED_VALUE"""),2411.95)</f>
        <v>2411.95</v>
      </c>
      <c r="D6" s="6">
        <f>IFERROR(__xludf.DUMMYFUNCTION("""COMPUTED_VALUE"""),2333.35)</f>
        <v>2333.35</v>
      </c>
      <c r="E6" s="6">
        <f>IFERROR(__xludf.DUMMYFUNCTION("""COMPUTED_VALUE"""),2381.2)</f>
        <v>2381.2</v>
      </c>
      <c r="F6" s="6">
        <f>IFERROR(__xludf.DUMMYFUNCTION("""COMPUTED_VALUE"""),3368037.0)</f>
        <v>3368037</v>
      </c>
    </row>
    <row r="7">
      <c r="A7" s="7">
        <f>IFERROR(__xludf.DUMMYFUNCTION("""COMPUTED_VALUE"""),45205.64583333333)</f>
        <v>45205.64583</v>
      </c>
      <c r="B7" s="6">
        <f>IFERROR(__xludf.DUMMYFUNCTION("""COMPUTED_VALUE"""),2385.0)</f>
        <v>2385</v>
      </c>
      <c r="C7" s="6">
        <f>IFERROR(__xludf.DUMMYFUNCTION("""COMPUTED_VALUE"""),2568.95)</f>
        <v>2568.95</v>
      </c>
      <c r="D7" s="6">
        <f>IFERROR(__xludf.DUMMYFUNCTION("""COMPUTED_VALUE"""),2367.05)</f>
        <v>2367.05</v>
      </c>
      <c r="E7" s="6">
        <f>IFERROR(__xludf.DUMMYFUNCTION("""COMPUTED_VALUE"""),2535.5)</f>
        <v>2535.5</v>
      </c>
      <c r="F7" s="6">
        <f>IFERROR(__xludf.DUMMYFUNCTION("""COMPUTED_VALUE"""),4371699.0)</f>
        <v>4371699</v>
      </c>
    </row>
    <row r="8">
      <c r="A8" s="7">
        <f>IFERROR(__xludf.DUMMYFUNCTION("""COMPUTED_VALUE"""),45212.64583333333)</f>
        <v>45212.64583</v>
      </c>
      <c r="B8" s="6">
        <f>IFERROR(__xludf.DUMMYFUNCTION("""COMPUTED_VALUE"""),2498.05)</f>
        <v>2498.05</v>
      </c>
      <c r="C8" s="6">
        <f>IFERROR(__xludf.DUMMYFUNCTION("""COMPUTED_VALUE"""),2629.75)</f>
        <v>2629.75</v>
      </c>
      <c r="D8" s="6">
        <f>IFERROR(__xludf.DUMMYFUNCTION("""COMPUTED_VALUE"""),2440.3)</f>
        <v>2440.3</v>
      </c>
      <c r="E8" s="6">
        <f>IFERROR(__xludf.DUMMYFUNCTION("""COMPUTED_VALUE"""),2607.5)</f>
        <v>2607.5</v>
      </c>
      <c r="F8" s="6">
        <f>IFERROR(__xludf.DUMMYFUNCTION("""COMPUTED_VALUE"""),4322366.0)</f>
        <v>4322366</v>
      </c>
    </row>
    <row r="9">
      <c r="A9" s="7">
        <f>IFERROR(__xludf.DUMMYFUNCTION("""COMPUTED_VALUE"""),45219.64583333333)</f>
        <v>45219.64583</v>
      </c>
      <c r="B9" s="6">
        <f>IFERROR(__xludf.DUMMYFUNCTION("""COMPUTED_VALUE"""),2603.05)</f>
        <v>2603.05</v>
      </c>
      <c r="C9" s="6">
        <f>IFERROR(__xludf.DUMMYFUNCTION("""COMPUTED_VALUE"""),2608.85)</f>
        <v>2608.85</v>
      </c>
      <c r="D9" s="6">
        <f>IFERROR(__xludf.DUMMYFUNCTION("""COMPUTED_VALUE"""),2430.0)</f>
        <v>2430</v>
      </c>
      <c r="E9" s="6">
        <f>IFERROR(__xludf.DUMMYFUNCTION("""COMPUTED_VALUE"""),2439.05)</f>
        <v>2439.05</v>
      </c>
      <c r="F9" s="6">
        <f>IFERROR(__xludf.DUMMYFUNCTION("""COMPUTED_VALUE"""),3749524.0)</f>
        <v>3749524</v>
      </c>
    </row>
    <row r="10">
      <c r="A10" s="7">
        <f>IFERROR(__xludf.DUMMYFUNCTION("""COMPUTED_VALUE"""),45226.64583333333)</f>
        <v>45226.64583</v>
      </c>
      <c r="B10" s="6">
        <f>IFERROR(__xludf.DUMMYFUNCTION("""COMPUTED_VALUE"""),2445.0)</f>
        <v>2445</v>
      </c>
      <c r="C10" s="6">
        <f>IFERROR(__xludf.DUMMYFUNCTION("""COMPUTED_VALUE"""),2482.0)</f>
        <v>2482</v>
      </c>
      <c r="D10" s="6">
        <f>IFERROR(__xludf.DUMMYFUNCTION("""COMPUTED_VALUE"""),2388.85)</f>
        <v>2388.85</v>
      </c>
      <c r="E10" s="6">
        <f>IFERROR(__xludf.DUMMYFUNCTION("""COMPUTED_VALUE"""),2471.25)</f>
        <v>2471.25</v>
      </c>
      <c r="F10" s="6">
        <f>IFERROR(__xludf.DUMMYFUNCTION("""COMPUTED_VALUE"""),2929430.0)</f>
        <v>2929430</v>
      </c>
    </row>
    <row r="11">
      <c r="A11" s="7">
        <f>IFERROR(__xludf.DUMMYFUNCTION("""COMPUTED_VALUE"""),45233.64583333333)</f>
        <v>45233.64583</v>
      </c>
      <c r="B11" s="6">
        <f>IFERROR(__xludf.DUMMYFUNCTION("""COMPUTED_VALUE"""),2471.2)</f>
        <v>2471.2</v>
      </c>
      <c r="C11" s="6">
        <f>IFERROR(__xludf.DUMMYFUNCTION("""COMPUTED_VALUE"""),2540.0)</f>
        <v>2540</v>
      </c>
      <c r="D11" s="6">
        <f>IFERROR(__xludf.DUMMYFUNCTION("""COMPUTED_VALUE"""),2414.75)</f>
        <v>2414.75</v>
      </c>
      <c r="E11" s="6">
        <f>IFERROR(__xludf.DUMMYFUNCTION("""COMPUTED_VALUE"""),2509.2)</f>
        <v>2509.2</v>
      </c>
      <c r="F11" s="6">
        <f>IFERROR(__xludf.DUMMYFUNCTION("""COMPUTED_VALUE"""),2545465.0)</f>
        <v>2545465</v>
      </c>
    </row>
    <row r="12">
      <c r="A12" s="7">
        <f>IFERROR(__xludf.DUMMYFUNCTION("""COMPUTED_VALUE"""),45240.64583333333)</f>
        <v>45240.64583</v>
      </c>
      <c r="B12" s="6">
        <f>IFERROR(__xludf.DUMMYFUNCTION("""COMPUTED_VALUE"""),2499.95)</f>
        <v>2499.95</v>
      </c>
      <c r="C12" s="6">
        <f>IFERROR(__xludf.DUMMYFUNCTION("""COMPUTED_VALUE"""),2608.95)</f>
        <v>2608.95</v>
      </c>
      <c r="D12" s="6">
        <f>IFERROR(__xludf.DUMMYFUNCTION("""COMPUTED_VALUE"""),2486.25)</f>
        <v>2486.25</v>
      </c>
      <c r="E12" s="6">
        <f>IFERROR(__xludf.DUMMYFUNCTION("""COMPUTED_VALUE"""),2501.75)</f>
        <v>2501.75</v>
      </c>
      <c r="F12" s="6">
        <f>IFERROR(__xludf.DUMMYFUNCTION("""COMPUTED_VALUE"""),4126556.0)</f>
        <v>4126556</v>
      </c>
    </row>
    <row r="13">
      <c r="A13" s="7">
        <f>IFERROR(__xludf.DUMMYFUNCTION("""COMPUTED_VALUE"""),45247.64583333333)</f>
        <v>45247.64583</v>
      </c>
      <c r="B13" s="6">
        <f>IFERROR(__xludf.DUMMYFUNCTION("""COMPUTED_VALUE"""),2534.5)</f>
        <v>2534.5</v>
      </c>
      <c r="C13" s="6">
        <f>IFERROR(__xludf.DUMMYFUNCTION("""COMPUTED_VALUE"""),2660.0)</f>
        <v>2660</v>
      </c>
      <c r="D13" s="6">
        <f>IFERROR(__xludf.DUMMYFUNCTION("""COMPUTED_VALUE"""),2500.0)</f>
        <v>2500</v>
      </c>
      <c r="E13" s="6">
        <f>IFERROR(__xludf.DUMMYFUNCTION("""COMPUTED_VALUE"""),2606.55)</f>
        <v>2606.55</v>
      </c>
      <c r="F13" s="6">
        <f>IFERROR(__xludf.DUMMYFUNCTION("""COMPUTED_VALUE"""),2976980.0)</f>
        <v>2976980</v>
      </c>
    </row>
    <row r="14">
      <c r="A14" s="7">
        <f>IFERROR(__xludf.DUMMYFUNCTION("""COMPUTED_VALUE"""),45254.64583333333)</f>
        <v>45254.64583</v>
      </c>
      <c r="B14" s="6">
        <f>IFERROR(__xludf.DUMMYFUNCTION("""COMPUTED_VALUE"""),2612.0)</f>
        <v>2612</v>
      </c>
      <c r="C14" s="6">
        <f>IFERROR(__xludf.DUMMYFUNCTION("""COMPUTED_VALUE"""),2660.75)</f>
        <v>2660.75</v>
      </c>
      <c r="D14" s="6">
        <f>IFERROR(__xludf.DUMMYFUNCTION("""COMPUTED_VALUE"""),2562.3)</f>
        <v>2562.3</v>
      </c>
      <c r="E14" s="6">
        <f>IFERROR(__xludf.DUMMYFUNCTION("""COMPUTED_VALUE"""),2568.35)</f>
        <v>2568.35</v>
      </c>
      <c r="F14" s="6">
        <f>IFERROR(__xludf.DUMMYFUNCTION("""COMPUTED_VALUE"""),2313338.0)</f>
        <v>2313338</v>
      </c>
    </row>
    <row r="15">
      <c r="A15" s="7">
        <f>IFERROR(__xludf.DUMMYFUNCTION("""COMPUTED_VALUE"""),45261.64583333333)</f>
        <v>45261.64583</v>
      </c>
      <c r="B15" s="6">
        <f>IFERROR(__xludf.DUMMYFUNCTION("""COMPUTED_VALUE"""),2588.3)</f>
        <v>2588.3</v>
      </c>
      <c r="C15" s="6">
        <f>IFERROR(__xludf.DUMMYFUNCTION("""COMPUTED_VALUE"""),2754.95)</f>
        <v>2754.95</v>
      </c>
      <c r="D15" s="6">
        <f>IFERROR(__xludf.DUMMYFUNCTION("""COMPUTED_VALUE"""),2575.0)</f>
        <v>2575</v>
      </c>
      <c r="E15" s="6">
        <f>IFERROR(__xludf.DUMMYFUNCTION("""COMPUTED_VALUE"""),2744.95)</f>
        <v>2744.95</v>
      </c>
      <c r="F15" s="6">
        <f>IFERROR(__xludf.DUMMYFUNCTION("""COMPUTED_VALUE"""),2690589.0)</f>
        <v>2690589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IFERROR(__xludf.DUMMYFUNCTION("""COMPUTED_VALUE"""),2795.0)</f>
        <v>2795</v>
      </c>
      <c r="C16" s="6">
        <f>IFERROR(__xludf.DUMMYFUNCTION("""COMPUTED_VALUE"""),2966.0)</f>
        <v>2966</v>
      </c>
      <c r="D16" s="6">
        <f>IFERROR(__xludf.DUMMYFUNCTION("""COMPUTED_VALUE"""),2780.8)</f>
        <v>2780.8</v>
      </c>
      <c r="E16" s="6">
        <f>IFERROR(__xludf.DUMMYFUNCTION("""COMPUTED_VALUE"""),2897.95)</f>
        <v>2897.95</v>
      </c>
      <c r="F16" s="6">
        <f>IFERROR(__xludf.DUMMYFUNCTION("""COMPUTED_VALUE"""),3656061.0)</f>
        <v>3656061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IFERROR(__xludf.DUMMYFUNCTION("""COMPUTED_VALUE"""),2917.0)</f>
        <v>2917</v>
      </c>
      <c r="C17" s="6">
        <f>IFERROR(__xludf.DUMMYFUNCTION("""COMPUTED_VALUE"""),3007.0)</f>
        <v>3007</v>
      </c>
      <c r="D17" s="6">
        <f>IFERROR(__xludf.DUMMYFUNCTION("""COMPUTED_VALUE"""),2898.0)</f>
        <v>2898</v>
      </c>
      <c r="E17" s="6">
        <f>IFERROR(__xludf.DUMMYFUNCTION("""COMPUTED_VALUE"""),2914.4)</f>
        <v>2914.4</v>
      </c>
      <c r="F17" s="6">
        <f>IFERROR(__xludf.DUMMYFUNCTION("""COMPUTED_VALUE"""),5485107.0)</f>
        <v>5485107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IFERROR(__xludf.DUMMYFUNCTION("""COMPUTED_VALUE"""),2927.0)</f>
        <v>2927</v>
      </c>
      <c r="C18" s="6">
        <f>IFERROR(__xludf.DUMMYFUNCTION("""COMPUTED_VALUE"""),3009.0)</f>
        <v>3009</v>
      </c>
      <c r="D18" s="6">
        <f>IFERROR(__xludf.DUMMYFUNCTION("""COMPUTED_VALUE"""),2819.55)</f>
        <v>2819.55</v>
      </c>
      <c r="E18" s="6">
        <f>IFERROR(__xludf.DUMMYFUNCTION("""COMPUTED_VALUE"""),2871.4)</f>
        <v>2871.4</v>
      </c>
      <c r="F18" s="6">
        <f>IFERROR(__xludf.DUMMYFUNCTION("""COMPUTED_VALUE"""),3262195.0)</f>
        <v>3262195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IFERROR(__xludf.DUMMYFUNCTION("""COMPUTED_VALUE"""),2881.0)</f>
        <v>2881</v>
      </c>
      <c r="C19" s="6">
        <f>IFERROR(__xludf.DUMMYFUNCTION("""COMPUTED_VALUE"""),2975.0)</f>
        <v>2975</v>
      </c>
      <c r="D19" s="6">
        <f>IFERROR(__xludf.DUMMYFUNCTION("""COMPUTED_VALUE"""),2864.0)</f>
        <v>2864</v>
      </c>
      <c r="E19" s="6">
        <f>IFERROR(__xludf.DUMMYFUNCTION("""COMPUTED_VALUE"""),2967.1)</f>
        <v>2967.1</v>
      </c>
      <c r="F19" s="6">
        <f>IFERROR(__xludf.DUMMYFUNCTION("""COMPUTED_VALUE"""),2820079.0)</f>
        <v>2820079</v>
      </c>
    </row>
    <row r="20">
      <c r="A20" s="7">
        <f>IFERROR(__xludf.DUMMYFUNCTION("""COMPUTED_VALUE"""),45296.64583333333)</f>
        <v>45296.64583</v>
      </c>
      <c r="B20" s="6">
        <f>IFERROR(__xludf.DUMMYFUNCTION("""COMPUTED_VALUE"""),3000.0)</f>
        <v>3000</v>
      </c>
      <c r="C20" s="6">
        <f>IFERROR(__xludf.DUMMYFUNCTION("""COMPUTED_VALUE"""),3049.95)</f>
        <v>3049.95</v>
      </c>
      <c r="D20" s="6">
        <f>IFERROR(__xludf.DUMMYFUNCTION("""COMPUTED_VALUE"""),2918.6)</f>
        <v>2918.6</v>
      </c>
      <c r="E20" s="6">
        <f>IFERROR(__xludf.DUMMYFUNCTION("""COMPUTED_VALUE"""),2954.95)</f>
        <v>2954.95</v>
      </c>
      <c r="F20" s="6">
        <f>IFERROR(__xludf.DUMMYFUNCTION("""COMPUTED_VALUE"""),2843632.0)</f>
        <v>2843632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IFERROR(__xludf.DUMMYFUNCTION("""COMPUTED_VALUE"""),2970.0)</f>
        <v>2970</v>
      </c>
      <c r="C21" s="6">
        <f>IFERROR(__xludf.DUMMYFUNCTION("""COMPUTED_VALUE"""),3094.8)</f>
        <v>3094.8</v>
      </c>
      <c r="D21" s="6">
        <f>IFERROR(__xludf.DUMMYFUNCTION("""COMPUTED_VALUE"""),2942.75)</f>
        <v>2942.75</v>
      </c>
      <c r="E21" s="6">
        <f>IFERROR(__xludf.DUMMYFUNCTION("""COMPUTED_VALUE"""),3072.6)</f>
        <v>3072.6</v>
      </c>
      <c r="F21" s="6">
        <f>IFERROR(__xludf.DUMMYFUNCTION("""COMPUTED_VALUE"""),3597784.0)</f>
        <v>3597784</v>
      </c>
    </row>
    <row r="22">
      <c r="A22" s="7">
        <f>IFERROR(__xludf.DUMMYFUNCTION("""COMPUTED_VALUE"""),45316.64583333333)</f>
        <v>45316.64583</v>
      </c>
      <c r="B22" s="6">
        <f>IFERROR(__xludf.DUMMYFUNCTION("""COMPUTED_VALUE"""),3068.0)</f>
        <v>3068</v>
      </c>
      <c r="C22" s="6">
        <f>IFERROR(__xludf.DUMMYFUNCTION("""COMPUTED_VALUE"""),3068.0)</f>
        <v>3068</v>
      </c>
      <c r="D22" s="6">
        <f>IFERROR(__xludf.DUMMYFUNCTION("""COMPUTED_VALUE"""),2847.0)</f>
        <v>2847</v>
      </c>
      <c r="E22" s="6">
        <f>IFERROR(__xludf.DUMMYFUNCTION("""COMPUTED_VALUE"""),2863.05)</f>
        <v>2863.05</v>
      </c>
      <c r="F22" s="6">
        <f>IFERROR(__xludf.DUMMYFUNCTION("""COMPUTED_VALUE"""),3402064.0)</f>
        <v>3402064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IFERROR(__xludf.DUMMYFUNCTION("""COMPUTED_VALUE"""),2889.9)</f>
        <v>2889.9</v>
      </c>
      <c r="C23" s="6">
        <f>IFERROR(__xludf.DUMMYFUNCTION("""COMPUTED_VALUE"""),3150.0)</f>
        <v>3150</v>
      </c>
      <c r="D23" s="6">
        <f>IFERROR(__xludf.DUMMYFUNCTION("""COMPUTED_VALUE"""),2851.75)</f>
        <v>2851.75</v>
      </c>
      <c r="E23" s="6">
        <f>IFERROR(__xludf.DUMMYFUNCTION("""COMPUTED_VALUE"""),3127.1)</f>
        <v>3127.1</v>
      </c>
      <c r="F23" s="6">
        <f>IFERROR(__xludf.DUMMYFUNCTION("""COMPUTED_VALUE"""),7079268.0)</f>
        <v>7079268</v>
      </c>
    </row>
    <row r="24">
      <c r="A24" s="7">
        <f>IFERROR(__xludf.DUMMYFUNCTION("""COMPUTED_VALUE"""),45331.64583333333)</f>
        <v>45331.64583</v>
      </c>
      <c r="B24" s="6">
        <f>IFERROR(__xludf.DUMMYFUNCTION("""COMPUTED_VALUE"""),3225.05)</f>
        <v>3225.05</v>
      </c>
      <c r="C24" s="6">
        <f>IFERROR(__xludf.DUMMYFUNCTION("""COMPUTED_VALUE"""),3300.0)</f>
        <v>3300</v>
      </c>
      <c r="D24" s="6">
        <f>IFERROR(__xludf.DUMMYFUNCTION("""COMPUTED_VALUE"""),2984.2)</f>
        <v>2984.2</v>
      </c>
      <c r="E24" s="6">
        <f>IFERROR(__xludf.DUMMYFUNCTION("""COMPUTED_VALUE"""),3105.95)</f>
        <v>3105.95</v>
      </c>
      <c r="F24" s="6">
        <f>IFERROR(__xludf.DUMMYFUNCTION("""COMPUTED_VALUE"""),7503555.0)</f>
        <v>7503555</v>
      </c>
    </row>
    <row r="25">
      <c r="A25" s="7">
        <f>IFERROR(__xludf.DUMMYFUNCTION("""COMPUTED_VALUE"""),45338.64583333333)</f>
        <v>45338.64583</v>
      </c>
      <c r="B25" s="6">
        <f>IFERROR(__xludf.DUMMYFUNCTION("""COMPUTED_VALUE"""),3123.0)</f>
        <v>3123</v>
      </c>
      <c r="C25" s="6">
        <f>IFERROR(__xludf.DUMMYFUNCTION("""COMPUTED_VALUE"""),3130.55)</f>
        <v>3130.55</v>
      </c>
      <c r="D25" s="6">
        <f>IFERROR(__xludf.DUMMYFUNCTION("""COMPUTED_VALUE"""),3006.05)</f>
        <v>3006.05</v>
      </c>
      <c r="E25" s="6">
        <f>IFERROR(__xludf.DUMMYFUNCTION("""COMPUTED_VALUE"""),3045.3)</f>
        <v>3045.3</v>
      </c>
      <c r="F25" s="6">
        <f>IFERROR(__xludf.DUMMYFUNCTION("""COMPUTED_VALUE"""),2444355.0)</f>
        <v>2444355</v>
      </c>
    </row>
    <row r="26">
      <c r="A26" s="7">
        <f>IFERROR(__xludf.DUMMYFUNCTION("""COMPUTED_VALUE"""),45345.64583333333)</f>
        <v>45345.64583</v>
      </c>
      <c r="B26" s="6">
        <f>IFERROR(__xludf.DUMMYFUNCTION("""COMPUTED_VALUE"""),3062.0)</f>
        <v>3062</v>
      </c>
      <c r="C26" s="6">
        <f>IFERROR(__xludf.DUMMYFUNCTION("""COMPUTED_VALUE"""),3215.35)</f>
        <v>3215.35</v>
      </c>
      <c r="D26" s="6">
        <f>IFERROR(__xludf.DUMMYFUNCTION("""COMPUTED_VALUE"""),3040.25)</f>
        <v>3040.25</v>
      </c>
      <c r="E26" s="6">
        <f>IFERROR(__xludf.DUMMYFUNCTION("""COMPUTED_VALUE"""),3179.0)</f>
        <v>3179</v>
      </c>
      <c r="F26" s="6">
        <f>IFERROR(__xludf.DUMMYFUNCTION("""COMPUTED_VALUE"""),3045007.0)</f>
        <v>3045007</v>
      </c>
    </row>
    <row r="27">
      <c r="A27" s="7">
        <f>IFERROR(__xludf.DUMMYFUNCTION("""COMPUTED_VALUE"""),45358.64583333333)</f>
        <v>45358.64583</v>
      </c>
      <c r="B27" s="6">
        <f>IFERROR(__xludf.DUMMYFUNCTION("""COMPUTED_VALUE"""),3174.0)</f>
        <v>3174</v>
      </c>
      <c r="C27" s="6">
        <f>IFERROR(__xludf.DUMMYFUNCTION("""COMPUTED_VALUE"""),3215.0)</f>
        <v>3215</v>
      </c>
      <c r="D27" s="6">
        <f>IFERROR(__xludf.DUMMYFUNCTION("""COMPUTED_VALUE"""),3026.0)</f>
        <v>3026</v>
      </c>
      <c r="E27" s="6">
        <f>IFERROR(__xludf.DUMMYFUNCTION("""COMPUTED_VALUE"""),3105.7)</f>
        <v>3105.7</v>
      </c>
      <c r="F27" s="6">
        <f>IFERROR(__xludf.DUMMYFUNCTION("""COMPUTED_VALUE"""),2334318.0)</f>
        <v>2334318</v>
      </c>
    </row>
    <row r="28">
      <c r="A28" s="7">
        <f>IFERROR(__xludf.DUMMYFUNCTION("""COMPUTED_VALUE"""),45366.64583333333)</f>
        <v>45366.64583</v>
      </c>
      <c r="B28" s="6">
        <f>IFERROR(__xludf.DUMMYFUNCTION("""COMPUTED_VALUE"""),3033.05)</f>
        <v>3033.05</v>
      </c>
      <c r="C28" s="6">
        <f>IFERROR(__xludf.DUMMYFUNCTION("""COMPUTED_VALUE"""),3317.0)</f>
        <v>3317</v>
      </c>
      <c r="D28" s="6">
        <f>IFERROR(__xludf.DUMMYFUNCTION("""COMPUTED_VALUE"""),3020.0)</f>
        <v>3020</v>
      </c>
      <c r="E28" s="6">
        <f>IFERROR(__xludf.DUMMYFUNCTION("""COMPUTED_VALUE"""),3203.1)</f>
        <v>3203.1</v>
      </c>
      <c r="F28" s="6">
        <f>IFERROR(__xludf.DUMMYFUNCTION("""COMPUTED_VALUE"""),1.8088252E7)</f>
        <v>18088252</v>
      </c>
    </row>
    <row r="29">
      <c r="A29" s="7">
        <f>IFERROR(__xludf.DUMMYFUNCTION("""COMPUTED_VALUE"""),45373.64583333333)</f>
        <v>45373.64583</v>
      </c>
      <c r="B29" s="6">
        <f>IFERROR(__xludf.DUMMYFUNCTION("""COMPUTED_VALUE"""),3200.0)</f>
        <v>3200</v>
      </c>
      <c r="C29" s="6">
        <f>IFERROR(__xludf.DUMMYFUNCTION("""COMPUTED_VALUE"""),3342.0)</f>
        <v>3342</v>
      </c>
      <c r="D29" s="6">
        <f>IFERROR(__xludf.DUMMYFUNCTION("""COMPUTED_VALUE"""),3160.0)</f>
        <v>3160</v>
      </c>
      <c r="E29" s="6">
        <f>IFERROR(__xludf.DUMMYFUNCTION("""COMPUTED_VALUE"""),3286.8)</f>
        <v>3286.8</v>
      </c>
      <c r="F29" s="6">
        <f>IFERROR(__xludf.DUMMYFUNCTION("""COMPUTED_VALUE"""),6836834.0)</f>
        <v>6836834</v>
      </c>
    </row>
    <row r="30">
      <c r="A30" s="7">
        <f>IFERROR(__xludf.DUMMYFUNCTION("""COMPUTED_VALUE"""),45379.64583333333)</f>
        <v>45379.64583</v>
      </c>
      <c r="B30" s="6">
        <f>IFERROR(__xludf.DUMMYFUNCTION("""COMPUTED_VALUE"""),3324.0)</f>
        <v>3324</v>
      </c>
      <c r="C30" s="6">
        <f>IFERROR(__xludf.DUMMYFUNCTION("""COMPUTED_VALUE"""),3573.8)</f>
        <v>3573.8</v>
      </c>
      <c r="D30" s="6">
        <f>IFERROR(__xludf.DUMMYFUNCTION("""COMPUTED_VALUE"""),3302.35)</f>
        <v>3302.35</v>
      </c>
      <c r="E30" s="6">
        <f>IFERROR(__xludf.DUMMYFUNCTION("""COMPUTED_VALUE"""),3548.65)</f>
        <v>3548.65</v>
      </c>
      <c r="F30" s="6">
        <f>IFERROR(__xludf.DUMMYFUNCTION("""COMPUTED_VALUE"""),4813290.0)</f>
        <v>4813290</v>
      </c>
    </row>
    <row r="31">
      <c r="A31" s="7">
        <f>IFERROR(__xludf.DUMMYFUNCTION("""COMPUTED_VALUE"""),45387.64583333333)</f>
        <v>45387.64583</v>
      </c>
      <c r="B31" s="6">
        <f>IFERROR(__xludf.DUMMYFUNCTION("""COMPUTED_VALUE"""),3569.95)</f>
        <v>3569.95</v>
      </c>
      <c r="C31" s="6">
        <f>IFERROR(__xludf.DUMMYFUNCTION("""COMPUTED_VALUE"""),3645.0)</f>
        <v>3645</v>
      </c>
      <c r="D31" s="6">
        <f>IFERROR(__xludf.DUMMYFUNCTION("""COMPUTED_VALUE"""),3460.0)</f>
        <v>3460</v>
      </c>
      <c r="E31" s="6">
        <f>IFERROR(__xludf.DUMMYFUNCTION("""COMPUTED_VALUE"""),3499.55)</f>
        <v>3499.55</v>
      </c>
      <c r="F31" s="6">
        <f>IFERROR(__xludf.DUMMYFUNCTION("""COMPUTED_VALUE"""),4016509.0)</f>
        <v>4016509</v>
      </c>
    </row>
    <row r="32">
      <c r="A32" s="7">
        <f>IFERROR(__xludf.DUMMYFUNCTION("""COMPUTED_VALUE"""),45394.64583333333)</f>
        <v>45394.64583</v>
      </c>
      <c r="B32" s="6">
        <f>IFERROR(__xludf.DUMMYFUNCTION("""COMPUTED_VALUE"""),3548.0)</f>
        <v>3548</v>
      </c>
      <c r="C32" s="6">
        <f>IFERROR(__xludf.DUMMYFUNCTION("""COMPUTED_VALUE"""),3830.45)</f>
        <v>3830.45</v>
      </c>
      <c r="D32" s="6">
        <f>IFERROR(__xludf.DUMMYFUNCTION("""COMPUTED_VALUE"""),3504.9)</f>
        <v>3504.9</v>
      </c>
      <c r="E32" s="6">
        <f>IFERROR(__xludf.DUMMYFUNCTION("""COMPUTED_VALUE"""),3693.25)</f>
        <v>3693.25</v>
      </c>
      <c r="F32" s="6">
        <f>IFERROR(__xludf.DUMMYFUNCTION("""COMPUTED_VALUE"""),6904591.0)</f>
        <v>6904591</v>
      </c>
    </row>
    <row r="33">
      <c r="A33" s="7">
        <f>IFERROR(__xludf.DUMMYFUNCTION("""COMPUTED_VALUE"""),45401.64583333333)</f>
        <v>45401.64583</v>
      </c>
      <c r="B33" s="6">
        <f>IFERROR(__xludf.DUMMYFUNCTION("""COMPUTED_VALUE"""),3670.3)</f>
        <v>3670.3</v>
      </c>
      <c r="C33" s="6">
        <f>IFERROR(__xludf.DUMMYFUNCTION("""COMPUTED_VALUE"""),3693.25)</f>
        <v>3693.25</v>
      </c>
      <c r="D33" s="6">
        <f>IFERROR(__xludf.DUMMYFUNCTION("""COMPUTED_VALUE"""),3441.05)</f>
        <v>3441.05</v>
      </c>
      <c r="E33" s="6">
        <f>IFERROR(__xludf.DUMMYFUNCTION("""COMPUTED_VALUE"""),3560.2)</f>
        <v>3560.2</v>
      </c>
      <c r="F33" s="6">
        <f>IFERROR(__xludf.DUMMYFUNCTION("""COMPUTED_VALUE"""),4676114.0)</f>
        <v>4676114</v>
      </c>
    </row>
    <row r="34">
      <c r="A34" s="7">
        <f>IFERROR(__xludf.DUMMYFUNCTION("""COMPUTED_VALUE"""),45408.64583333333)</f>
        <v>45408.64583</v>
      </c>
      <c r="B34" s="6">
        <f>IFERROR(__xludf.DUMMYFUNCTION("""COMPUTED_VALUE"""),3620.05)</f>
        <v>3620.05</v>
      </c>
      <c r="C34" s="6">
        <f>IFERROR(__xludf.DUMMYFUNCTION("""COMPUTED_VALUE"""),3972.0)</f>
        <v>3972</v>
      </c>
      <c r="D34" s="6">
        <f>IFERROR(__xludf.DUMMYFUNCTION("""COMPUTED_VALUE"""),3616.9)</f>
        <v>3616.9</v>
      </c>
      <c r="E34" s="6">
        <f>IFERROR(__xludf.DUMMYFUNCTION("""COMPUTED_VALUE"""),3935.35)</f>
        <v>3935.35</v>
      </c>
      <c r="F34" s="6">
        <f>IFERROR(__xludf.DUMMYFUNCTION("""COMPUTED_VALUE"""),4778018.0)</f>
        <v>4778018</v>
      </c>
    </row>
    <row r="35">
      <c r="A35" s="7">
        <f>IFERROR(__xludf.DUMMYFUNCTION("""COMPUTED_VALUE"""),45415.64583333333)</f>
        <v>45415.64583</v>
      </c>
      <c r="B35" s="6">
        <f>IFERROR(__xludf.DUMMYFUNCTION("""COMPUTED_VALUE"""),4001.0)</f>
        <v>4001</v>
      </c>
      <c r="C35" s="6">
        <f>IFERROR(__xludf.DUMMYFUNCTION("""COMPUTED_VALUE"""),4179.1)</f>
        <v>4179.1</v>
      </c>
      <c r="D35" s="6">
        <f>IFERROR(__xludf.DUMMYFUNCTION("""COMPUTED_VALUE"""),3875.0)</f>
        <v>3875</v>
      </c>
      <c r="E35" s="6">
        <f>IFERROR(__xludf.DUMMYFUNCTION("""COMPUTED_VALUE"""),4019.25)</f>
        <v>4019.25</v>
      </c>
      <c r="F35" s="6">
        <f>IFERROR(__xludf.DUMMYFUNCTION("""COMPUTED_VALUE"""),4077966.0)</f>
        <v>4077966</v>
      </c>
    </row>
    <row r="36">
      <c r="A36" s="7">
        <f>IFERROR(__xludf.DUMMYFUNCTION("""COMPUTED_VALUE"""),45422.64583333333)</f>
        <v>45422.64583</v>
      </c>
      <c r="B36" s="6">
        <f>IFERROR(__xludf.DUMMYFUNCTION("""COMPUTED_VALUE"""),4050.95)</f>
        <v>4050.95</v>
      </c>
      <c r="C36" s="6">
        <f>IFERROR(__xludf.DUMMYFUNCTION("""COMPUTED_VALUE"""),4124.35)</f>
        <v>4124.35</v>
      </c>
      <c r="D36" s="6">
        <f>IFERROR(__xludf.DUMMYFUNCTION("""COMPUTED_VALUE"""),3915.55)</f>
        <v>3915.55</v>
      </c>
      <c r="E36" s="6">
        <f>IFERROR(__xludf.DUMMYFUNCTION("""COMPUTED_VALUE"""),4019.2)</f>
        <v>4019.2</v>
      </c>
      <c r="F36" s="6">
        <f>IFERROR(__xludf.DUMMYFUNCTION("""COMPUTED_VALUE"""),3706912.0)</f>
        <v>3706912</v>
      </c>
    </row>
    <row r="37">
      <c r="A37" s="7">
        <f>IFERROR(__xludf.DUMMYFUNCTION("""COMPUTED_VALUE"""),45436.64583333333)</f>
        <v>45436.64583</v>
      </c>
      <c r="B37" s="6">
        <f>IFERROR(__xludf.DUMMYFUNCTION("""COMPUTED_VALUE"""),4342.45)</f>
        <v>4342.45</v>
      </c>
      <c r="C37" s="6">
        <f>IFERROR(__xludf.DUMMYFUNCTION("""COMPUTED_VALUE"""),4529.0)</f>
        <v>4529</v>
      </c>
      <c r="D37" s="6">
        <f>IFERROR(__xludf.DUMMYFUNCTION("""COMPUTED_VALUE"""),4242.0)</f>
        <v>4242</v>
      </c>
      <c r="E37" s="6">
        <f>IFERROR(__xludf.DUMMYFUNCTION("""COMPUTED_VALUE"""),4256.5)</f>
        <v>4256.5</v>
      </c>
      <c r="F37" s="6">
        <f>IFERROR(__xludf.DUMMYFUNCTION("""COMPUTED_VALUE"""),7362977.0)</f>
        <v>7362977</v>
      </c>
    </row>
    <row r="38">
      <c r="A38" s="7">
        <f>IFERROR(__xludf.DUMMYFUNCTION("""COMPUTED_VALUE"""),45443.64583333333)</f>
        <v>45443.64583</v>
      </c>
      <c r="B38" s="6">
        <f>IFERROR(__xludf.DUMMYFUNCTION("""COMPUTED_VALUE"""),4260.0)</f>
        <v>4260</v>
      </c>
      <c r="C38" s="6">
        <f>IFERROR(__xludf.DUMMYFUNCTION("""COMPUTED_VALUE"""),4298.0)</f>
        <v>4298</v>
      </c>
      <c r="D38" s="6">
        <f>IFERROR(__xludf.DUMMYFUNCTION("""COMPUTED_VALUE"""),4005.3)</f>
        <v>4005.3</v>
      </c>
      <c r="E38" s="6">
        <f>IFERROR(__xludf.DUMMYFUNCTION("""COMPUTED_VALUE"""),4189.05)</f>
        <v>4189.05</v>
      </c>
      <c r="F38" s="6">
        <f>IFERROR(__xludf.DUMMYFUNCTION("""COMPUTED_VALUE"""),7513461.0)</f>
        <v>7513461</v>
      </c>
    </row>
    <row r="39">
      <c r="A39" s="7">
        <f>IFERROR(__xludf.DUMMYFUNCTION("""COMPUTED_VALUE"""),45450.64583333333)</f>
        <v>45450.64583</v>
      </c>
      <c r="B39" s="6">
        <f>IFERROR(__xludf.DUMMYFUNCTION("""COMPUTED_VALUE"""),4324.0)</f>
        <v>4324</v>
      </c>
      <c r="C39" s="6">
        <f>IFERROR(__xludf.DUMMYFUNCTION("""COMPUTED_VALUE"""),4411.0)</f>
        <v>4411</v>
      </c>
      <c r="D39" s="6">
        <f>IFERROR(__xludf.DUMMYFUNCTION("""COMPUTED_VALUE"""),3868.25)</f>
        <v>3868.25</v>
      </c>
      <c r="E39" s="6">
        <f>IFERROR(__xludf.DUMMYFUNCTION("""COMPUTED_VALUE"""),4373.2)</f>
        <v>4373.2</v>
      </c>
      <c r="F39" s="6">
        <f>IFERROR(__xludf.DUMMYFUNCTION("""COMPUTED_VALUE"""),7635858.0)</f>
        <v>7635858</v>
      </c>
    </row>
    <row r="40">
      <c r="A40" s="7">
        <f>IFERROR(__xludf.DUMMYFUNCTION("""COMPUTED_VALUE"""),45457.64583333333)</f>
        <v>45457.64583</v>
      </c>
      <c r="B40" s="6">
        <f>IFERROR(__xludf.DUMMYFUNCTION("""COMPUTED_VALUE"""),4398.0)</f>
        <v>4398</v>
      </c>
      <c r="C40" s="6">
        <f>IFERROR(__xludf.DUMMYFUNCTION("""COMPUTED_VALUE"""),4609.8)</f>
        <v>4609.8</v>
      </c>
      <c r="D40" s="6">
        <f>IFERROR(__xludf.DUMMYFUNCTION("""COMPUTED_VALUE"""),4230.0)</f>
        <v>4230</v>
      </c>
      <c r="E40" s="6">
        <f>IFERROR(__xludf.DUMMYFUNCTION("""COMPUTED_VALUE"""),4270.4)</f>
        <v>4270.4</v>
      </c>
      <c r="F40" s="6">
        <f>IFERROR(__xludf.DUMMYFUNCTION("""COMPUTED_VALUE"""),1.4644739E7)</f>
        <v>14644739</v>
      </c>
    </row>
    <row r="41">
      <c r="A41" s="7">
        <f>IFERROR(__xludf.DUMMYFUNCTION("""COMPUTED_VALUE"""),45464.64583333333)</f>
        <v>45464.64583</v>
      </c>
      <c r="B41" s="6">
        <f>IFERROR(__xludf.DUMMYFUNCTION("""COMPUTED_VALUE"""),4300.0)</f>
        <v>4300</v>
      </c>
      <c r="C41" s="6">
        <f>IFERROR(__xludf.DUMMYFUNCTION("""COMPUTED_VALUE"""),4328.8)</f>
        <v>4328.8</v>
      </c>
      <c r="D41" s="6">
        <f>IFERROR(__xludf.DUMMYFUNCTION("""COMPUTED_VALUE"""),4186.0)</f>
        <v>4186</v>
      </c>
      <c r="E41" s="6">
        <f>IFERROR(__xludf.DUMMYFUNCTION("""COMPUTED_VALUE"""),4310.15)</f>
        <v>4310.15</v>
      </c>
      <c r="F41" s="6">
        <f>IFERROR(__xludf.DUMMYFUNCTION("""COMPUTED_VALUE"""),5694605.0)</f>
        <v>5694605</v>
      </c>
    </row>
    <row r="42">
      <c r="A42" s="7">
        <f>IFERROR(__xludf.DUMMYFUNCTION("""COMPUTED_VALUE"""),45471.64583333333)</f>
        <v>45471.64583</v>
      </c>
      <c r="B42" s="6">
        <f>IFERROR(__xludf.DUMMYFUNCTION("""COMPUTED_VALUE"""),4302.25)</f>
        <v>4302.25</v>
      </c>
      <c r="C42" s="6">
        <f>IFERROR(__xludf.DUMMYFUNCTION("""COMPUTED_VALUE"""),4346.65)</f>
        <v>4346.65</v>
      </c>
      <c r="D42" s="6">
        <f>IFERROR(__xludf.DUMMYFUNCTION("""COMPUTED_VALUE"""),4150.0)</f>
        <v>4150</v>
      </c>
      <c r="E42" s="6">
        <f>IFERROR(__xludf.DUMMYFUNCTION("""COMPUTED_VALUE"""),4228.25)</f>
        <v>4228.25</v>
      </c>
      <c r="F42" s="6">
        <f>IFERROR(__xludf.DUMMYFUNCTION("""COMPUTED_VALUE"""),5505950.0)</f>
        <v>5505950</v>
      </c>
    </row>
    <row r="43">
      <c r="A43" s="7">
        <f>IFERROR(__xludf.DUMMYFUNCTION("""COMPUTED_VALUE"""),45478.64583333333)</f>
        <v>45478.64583</v>
      </c>
      <c r="B43" s="6">
        <f>IFERROR(__xludf.DUMMYFUNCTION("""COMPUTED_VALUE"""),4276.35)</f>
        <v>4276.35</v>
      </c>
      <c r="C43" s="6">
        <f>IFERROR(__xludf.DUMMYFUNCTION("""COMPUTED_VALUE"""),4345.0)</f>
        <v>4345</v>
      </c>
      <c r="D43" s="6">
        <f>IFERROR(__xludf.DUMMYFUNCTION("""COMPUTED_VALUE"""),4212.65)</f>
        <v>4212.65</v>
      </c>
      <c r="E43" s="6">
        <f>IFERROR(__xludf.DUMMYFUNCTION("""COMPUTED_VALUE"""),4322.9)</f>
        <v>4322.9</v>
      </c>
      <c r="F43" s="6">
        <f>IFERROR(__xludf.DUMMYFUNCTION("""COMPUTED_VALUE"""),4676442.0)</f>
        <v>4676442</v>
      </c>
    </row>
    <row r="44">
      <c r="A44" s="7">
        <f>IFERROR(__xludf.DUMMYFUNCTION("""COMPUTED_VALUE"""),45485.64583333333)</f>
        <v>45485.64583</v>
      </c>
      <c r="B44" s="6">
        <f>IFERROR(__xludf.DUMMYFUNCTION("""COMPUTED_VALUE"""),4323.55)</f>
        <v>4323.55</v>
      </c>
      <c r="C44" s="6">
        <f>IFERROR(__xludf.DUMMYFUNCTION("""COMPUTED_VALUE"""),4368.9)</f>
        <v>4368.9</v>
      </c>
      <c r="D44" s="6">
        <f>IFERROR(__xludf.DUMMYFUNCTION("""COMPUTED_VALUE"""),4165.4)</f>
        <v>4165.4</v>
      </c>
      <c r="E44" s="6">
        <f>IFERROR(__xludf.DUMMYFUNCTION("""COMPUTED_VALUE"""),4331.65)</f>
        <v>4331.65</v>
      </c>
      <c r="F44" s="6">
        <f>IFERROR(__xludf.DUMMYFUNCTION("""COMPUTED_VALUE"""),3145483.0)</f>
        <v>3145483</v>
      </c>
    </row>
    <row r="45">
      <c r="A45" s="7">
        <f>IFERROR(__xludf.DUMMYFUNCTION("""COMPUTED_VALUE"""),45492.64583333333)</f>
        <v>45492.64583</v>
      </c>
      <c r="B45" s="6">
        <f>IFERROR(__xludf.DUMMYFUNCTION("""COMPUTED_VALUE"""),4333.0)</f>
        <v>4333</v>
      </c>
      <c r="C45" s="6">
        <f>IFERROR(__xludf.DUMMYFUNCTION("""COMPUTED_VALUE"""),4452.3)</f>
        <v>4452.3</v>
      </c>
      <c r="D45" s="6">
        <f>IFERROR(__xludf.DUMMYFUNCTION("""COMPUTED_VALUE"""),4250.2)</f>
        <v>4250.2</v>
      </c>
      <c r="E45" s="6">
        <f>IFERROR(__xludf.DUMMYFUNCTION("""COMPUTED_VALUE"""),4281.4)</f>
        <v>4281.4</v>
      </c>
      <c r="F45" s="6">
        <f>IFERROR(__xludf.DUMMYFUNCTION("""COMPUTED_VALUE"""),3856260.0)</f>
        <v>3856260</v>
      </c>
    </row>
    <row r="46">
      <c r="A46" s="7">
        <f>IFERROR(__xludf.DUMMYFUNCTION("""COMPUTED_VALUE"""),45499.64583333333)</f>
        <v>45499.64583</v>
      </c>
      <c r="B46" s="6">
        <f>IFERROR(__xludf.DUMMYFUNCTION("""COMPUTED_VALUE"""),4288.8)</f>
        <v>4288.8</v>
      </c>
      <c r="C46" s="6">
        <f>IFERROR(__xludf.DUMMYFUNCTION("""COMPUTED_VALUE"""),4510.0)</f>
        <v>4510</v>
      </c>
      <c r="D46" s="6">
        <f>IFERROR(__xludf.DUMMYFUNCTION("""COMPUTED_VALUE"""),4171.05)</f>
        <v>4171.05</v>
      </c>
      <c r="E46" s="6">
        <f>IFERROR(__xludf.DUMMYFUNCTION("""COMPUTED_VALUE"""),4493.4)</f>
        <v>4493.4</v>
      </c>
      <c r="F46" s="6">
        <f>IFERROR(__xludf.DUMMYFUNCTION("""COMPUTED_VALUE"""),4116919.0)</f>
        <v>4116919</v>
      </c>
    </row>
    <row r="47">
      <c r="A47" s="7">
        <f>IFERROR(__xludf.DUMMYFUNCTION("""COMPUTED_VALUE"""),45506.64583333333)</f>
        <v>45506.64583</v>
      </c>
      <c r="B47" s="6">
        <f>IFERROR(__xludf.DUMMYFUNCTION("""COMPUTED_VALUE"""),4478.0)</f>
        <v>4478</v>
      </c>
      <c r="C47" s="6">
        <f>IFERROR(__xludf.DUMMYFUNCTION("""COMPUTED_VALUE"""),4527.85)</f>
        <v>4527.85</v>
      </c>
      <c r="D47" s="6">
        <f>IFERROR(__xludf.DUMMYFUNCTION("""COMPUTED_VALUE"""),4273.2)</f>
        <v>4273.2</v>
      </c>
      <c r="E47" s="6">
        <f>IFERROR(__xludf.DUMMYFUNCTION("""COMPUTED_VALUE"""),4312.5)</f>
        <v>4312.5</v>
      </c>
      <c r="F47" s="6">
        <f>IFERROR(__xludf.DUMMYFUNCTION("""COMPUTED_VALUE"""),5196762.0)</f>
        <v>5196762</v>
      </c>
    </row>
    <row r="48">
      <c r="A48" s="7">
        <f>IFERROR(__xludf.DUMMYFUNCTION("""COMPUTED_VALUE"""),45513.64583333333)</f>
        <v>45513.64583</v>
      </c>
      <c r="B48" s="6">
        <f>IFERROR(__xludf.DUMMYFUNCTION("""COMPUTED_VALUE"""),4280.0)</f>
        <v>4280</v>
      </c>
      <c r="C48" s="6">
        <f>IFERROR(__xludf.DUMMYFUNCTION("""COMPUTED_VALUE"""),4348.0)</f>
        <v>4348</v>
      </c>
      <c r="D48" s="6">
        <f>IFERROR(__xludf.DUMMYFUNCTION("""COMPUTED_VALUE"""),4162.95)</f>
        <v>4162.95</v>
      </c>
      <c r="E48" s="6">
        <f>IFERROR(__xludf.DUMMYFUNCTION("""COMPUTED_VALUE"""),4290.2)</f>
        <v>4290.2</v>
      </c>
      <c r="F48" s="6">
        <f>IFERROR(__xludf.DUMMYFUNCTION("""COMPUTED_VALUE"""),3251954.0)</f>
        <v>3251954</v>
      </c>
    </row>
    <row r="49">
      <c r="A49" s="7">
        <f>IFERROR(__xludf.DUMMYFUNCTION("""COMPUTED_VALUE"""),45520.64583333333)</f>
        <v>45520.64583</v>
      </c>
      <c r="B49" s="6">
        <f>IFERROR(__xludf.DUMMYFUNCTION("""COMPUTED_VALUE"""),4270.0)</f>
        <v>4270</v>
      </c>
      <c r="C49" s="6">
        <f>IFERROR(__xludf.DUMMYFUNCTION("""COMPUTED_VALUE"""),4319.85)</f>
        <v>4319.85</v>
      </c>
      <c r="D49" s="6">
        <f>IFERROR(__xludf.DUMMYFUNCTION("""COMPUTED_VALUE"""),4197.2)</f>
        <v>4197.2</v>
      </c>
      <c r="E49" s="6">
        <f>IFERROR(__xludf.DUMMYFUNCTION("""COMPUTED_VALUE"""),4277.7)</f>
        <v>4277.7</v>
      </c>
      <c r="F49" s="6">
        <f>IFERROR(__xludf.DUMMYFUNCTION("""COMPUTED_VALUE"""),3599228.0)</f>
        <v>3599228</v>
      </c>
    </row>
    <row r="50">
      <c r="A50" s="7">
        <f>IFERROR(__xludf.DUMMYFUNCTION("""COMPUTED_VALUE"""),45527.64583333333)</f>
        <v>45527.64583</v>
      </c>
      <c r="B50" s="6">
        <f>IFERROR(__xludf.DUMMYFUNCTION("""COMPUTED_VALUE"""),4299.8)</f>
        <v>4299.8</v>
      </c>
      <c r="C50" s="6">
        <f>IFERROR(__xludf.DUMMYFUNCTION("""COMPUTED_VALUE"""),4722.0)</f>
        <v>4722</v>
      </c>
      <c r="D50" s="6">
        <f>IFERROR(__xludf.DUMMYFUNCTION("""COMPUTED_VALUE"""),4206.15)</f>
        <v>4206.15</v>
      </c>
      <c r="E50" s="6">
        <f>IFERROR(__xludf.DUMMYFUNCTION("""COMPUTED_VALUE"""),4710.45)</f>
        <v>4710.45</v>
      </c>
      <c r="F50" s="6">
        <f>IFERROR(__xludf.DUMMYFUNCTION("""COMPUTED_VALUE"""),8684699.0)</f>
        <v>8684699</v>
      </c>
    </row>
    <row r="51">
      <c r="A51" s="7">
        <f>IFERROR(__xludf.DUMMYFUNCTION("""COMPUTED_VALUE"""),45534.64583333333)</f>
        <v>45534.64583</v>
      </c>
      <c r="B51" s="6">
        <f>IFERROR(__xludf.DUMMYFUNCTION("""COMPUTED_VALUE"""),4718.0)</f>
        <v>4718</v>
      </c>
      <c r="C51" s="6">
        <f>IFERROR(__xludf.DUMMYFUNCTION("""COMPUTED_VALUE"""),4943.8)</f>
        <v>4943.8</v>
      </c>
      <c r="D51" s="6">
        <f>IFERROR(__xludf.DUMMYFUNCTION("""COMPUTED_VALUE"""),4602.2)</f>
        <v>4602.2</v>
      </c>
      <c r="E51" s="6">
        <f>IFERROR(__xludf.DUMMYFUNCTION("""COMPUTED_VALUE"""),4830.0)</f>
        <v>4830</v>
      </c>
      <c r="F51" s="6">
        <f>IFERROR(__xludf.DUMMYFUNCTION("""COMPUTED_VALUE"""),1.3233727E7)</f>
        <v>13233727</v>
      </c>
    </row>
    <row r="52">
      <c r="A52" s="7">
        <f>IFERROR(__xludf.DUMMYFUNCTION("""COMPUTED_VALUE"""),45541.64583333333)</f>
        <v>45541.64583</v>
      </c>
      <c r="B52" s="6">
        <f>IFERROR(__xludf.DUMMYFUNCTION("""COMPUTED_VALUE"""),4894.7)</f>
        <v>4894.7</v>
      </c>
      <c r="C52" s="6">
        <f>IFERROR(__xludf.DUMMYFUNCTION("""COMPUTED_VALUE"""),4908.45)</f>
        <v>4908.45</v>
      </c>
      <c r="D52" s="6">
        <f>IFERROR(__xludf.DUMMYFUNCTION("""COMPUTED_VALUE"""),4760.0)</f>
        <v>4760</v>
      </c>
      <c r="E52" s="6">
        <f>IFERROR(__xludf.DUMMYFUNCTION("""COMPUTED_VALUE"""),4783.7)</f>
        <v>4783.7</v>
      </c>
      <c r="F52" s="6">
        <f>IFERROR(__xludf.DUMMYFUNCTION("""COMPUTED_VALUE"""),6207630.0)</f>
        <v>6207630</v>
      </c>
    </row>
    <row r="53">
      <c r="A53" s="7">
        <f>IFERROR(__xludf.DUMMYFUNCTION("""COMPUTED_VALUE"""),45548.64583333333)</f>
        <v>45548.64583</v>
      </c>
      <c r="B53" s="6">
        <f>IFERROR(__xludf.DUMMYFUNCTION("""COMPUTED_VALUE"""),4780.0)</f>
        <v>4780</v>
      </c>
      <c r="C53" s="6">
        <f>IFERROR(__xludf.DUMMYFUNCTION("""COMPUTED_VALUE"""),5035.0)</f>
        <v>5035</v>
      </c>
      <c r="D53" s="6">
        <f>IFERROR(__xludf.DUMMYFUNCTION("""COMPUTED_VALUE"""),4718.4)</f>
        <v>4718.4</v>
      </c>
      <c r="E53" s="6">
        <f>IFERROR(__xludf.DUMMYFUNCTION("""COMPUTED_VALUE"""),4942.35)</f>
        <v>4942.35</v>
      </c>
      <c r="F53" s="6">
        <f>IFERROR(__xludf.DUMMYFUNCTION("""COMPUTED_VALUE"""),5720997.0)</f>
        <v>5720997</v>
      </c>
    </row>
    <row r="54">
      <c r="A54" s="7">
        <f>IFERROR(__xludf.DUMMYFUNCTION("""COMPUTED_VALUE"""),45555.64583333333)</f>
        <v>45555.64583</v>
      </c>
      <c r="B54" s="6">
        <f>IFERROR(__xludf.DUMMYFUNCTION("""COMPUTED_VALUE"""),4980.0)</f>
        <v>4980</v>
      </c>
      <c r="C54" s="6">
        <f>IFERROR(__xludf.DUMMYFUNCTION("""COMPUTED_VALUE"""),4993.0)</f>
        <v>4993</v>
      </c>
      <c r="D54" s="6">
        <f>IFERROR(__xludf.DUMMYFUNCTION("""COMPUTED_VALUE"""),4782.0)</f>
        <v>4782</v>
      </c>
      <c r="E54" s="6">
        <f>IFERROR(__xludf.DUMMYFUNCTION("""COMPUTED_VALUE"""),4903.65)</f>
        <v>4903.65</v>
      </c>
      <c r="F54" s="6">
        <f>IFERROR(__xludf.DUMMYFUNCTION("""COMPUTED_VALUE"""),3879929.0)</f>
        <v>3879929</v>
      </c>
    </row>
    <row r="55">
      <c r="A55" s="7">
        <f>IFERROR(__xludf.DUMMYFUNCTION("""COMPUTED_VALUE"""),45562.64583333333)</f>
        <v>45562.64583</v>
      </c>
      <c r="B55" s="6">
        <f>IFERROR(__xludf.DUMMYFUNCTION("""COMPUTED_VALUE"""),4934.9)</f>
        <v>4934.9</v>
      </c>
      <c r="C55" s="6">
        <f>IFERROR(__xludf.DUMMYFUNCTION("""COMPUTED_VALUE"""),4957.0)</f>
        <v>4957</v>
      </c>
      <c r="D55" s="6">
        <f>IFERROR(__xludf.DUMMYFUNCTION("""COMPUTED_VALUE"""),4757.6)</f>
        <v>4757.6</v>
      </c>
      <c r="E55" s="6">
        <f>IFERROR(__xludf.DUMMYFUNCTION("""COMPUTED_VALUE"""),4945.7)</f>
        <v>4945.7</v>
      </c>
      <c r="F55" s="6">
        <f>IFERROR(__xludf.DUMMYFUNCTION("""COMPUTED_VALUE"""),4312971.0)</f>
        <v>4312971</v>
      </c>
    </row>
    <row r="56">
      <c r="A56" s="7">
        <f>IFERROR(__xludf.DUMMYFUNCTION("""COMPUTED_VALUE"""),45569.64583333333)</f>
        <v>45569.64583</v>
      </c>
      <c r="B56" s="6">
        <f>IFERROR(__xludf.DUMMYFUNCTION("""COMPUTED_VALUE"""),4902.0)</f>
        <v>4902</v>
      </c>
      <c r="C56" s="6">
        <f>IFERROR(__xludf.DUMMYFUNCTION("""COMPUTED_VALUE"""),4960.0)</f>
        <v>4960</v>
      </c>
      <c r="D56" s="6">
        <f>IFERROR(__xludf.DUMMYFUNCTION("""COMPUTED_VALUE"""),4590.05)</f>
        <v>4590.05</v>
      </c>
      <c r="E56" s="6">
        <f>IFERROR(__xludf.DUMMYFUNCTION("""COMPUTED_VALUE"""),4609.35)</f>
        <v>4609.35</v>
      </c>
      <c r="F56" s="6">
        <f>IFERROR(__xludf.DUMMYFUNCTION("""COMPUTED_VALUE"""),4701728.0)</f>
        <v>4701728</v>
      </c>
    </row>
    <row r="57">
      <c r="A57" s="7">
        <f>IFERROR(__xludf.DUMMYFUNCTION("""COMPUTED_VALUE"""),45576.64583333333)</f>
        <v>45576.64583</v>
      </c>
      <c r="B57" s="6">
        <f>IFERROR(__xludf.DUMMYFUNCTION("""COMPUTED_VALUE"""),4605.0)</f>
        <v>4605</v>
      </c>
      <c r="C57" s="6">
        <f>IFERROR(__xludf.DUMMYFUNCTION("""COMPUTED_VALUE"""),4789.15)</f>
        <v>4789.15</v>
      </c>
      <c r="D57" s="6">
        <f>IFERROR(__xludf.DUMMYFUNCTION("""COMPUTED_VALUE"""),4430.3)</f>
        <v>4430.3</v>
      </c>
      <c r="E57" s="6">
        <f>IFERROR(__xludf.DUMMYFUNCTION("""COMPUTED_VALUE"""),4693.45)</f>
        <v>4693.45</v>
      </c>
      <c r="F57" s="6">
        <f>IFERROR(__xludf.DUMMYFUNCTION("""COMPUTED_VALUE"""),4740341.0)</f>
        <v>4740341</v>
      </c>
    </row>
    <row r="58">
      <c r="A58" s="7">
        <f>IFERROR(__xludf.DUMMYFUNCTION("""COMPUTED_VALUE"""),45583.64583333333)</f>
        <v>45583.64583</v>
      </c>
      <c r="B58" s="6">
        <f>IFERROR(__xludf.DUMMYFUNCTION("""COMPUTED_VALUE"""),4703.0)</f>
        <v>4703</v>
      </c>
      <c r="C58" s="6">
        <f>IFERROR(__xludf.DUMMYFUNCTION("""COMPUTED_VALUE"""),4788.0)</f>
        <v>4788</v>
      </c>
      <c r="D58" s="6">
        <f>IFERROR(__xludf.DUMMYFUNCTION("""COMPUTED_VALUE"""),4573.6)</f>
        <v>4573.6</v>
      </c>
      <c r="E58" s="6">
        <f>IFERROR(__xludf.DUMMYFUNCTION("""COMPUTED_VALUE"""),4663.05)</f>
        <v>4663.05</v>
      </c>
      <c r="F58" s="6">
        <f>IFERROR(__xludf.DUMMYFUNCTION("""COMPUTED_VALUE"""),5142812.0)</f>
        <v>5142812</v>
      </c>
    </row>
    <row r="59">
      <c r="A59" s="7">
        <f>IFERROR(__xludf.DUMMYFUNCTION("""COMPUTED_VALUE"""),45590.64583333333)</f>
        <v>45590.64583</v>
      </c>
      <c r="B59" s="6">
        <f>IFERROR(__xludf.DUMMYFUNCTION("""COMPUTED_VALUE"""),4701.0)</f>
        <v>4701</v>
      </c>
      <c r="C59" s="6">
        <f>IFERROR(__xludf.DUMMYFUNCTION("""COMPUTED_VALUE"""),4707.15)</f>
        <v>4707.15</v>
      </c>
      <c r="D59" s="6">
        <f>IFERROR(__xludf.DUMMYFUNCTION("""COMPUTED_VALUE"""),4315.0)</f>
        <v>4315</v>
      </c>
      <c r="E59" s="6">
        <f>IFERROR(__xludf.DUMMYFUNCTION("""COMPUTED_VALUE"""),4366.1)</f>
        <v>4366.1</v>
      </c>
      <c r="F59" s="6">
        <f>IFERROR(__xludf.DUMMYFUNCTION("""COMPUTED_VALUE"""),4101831.0)</f>
        <v>4101831</v>
      </c>
    </row>
    <row r="60">
      <c r="A60" s="7">
        <f>IFERROR(__xludf.DUMMYFUNCTION("""COMPUTED_VALUE"""),45604.64583333333)</f>
        <v>45604.64583</v>
      </c>
      <c r="B60" s="6">
        <f>IFERROR(__xludf.DUMMYFUNCTION("""COMPUTED_VALUE"""),4069.55)</f>
        <v>4069.55</v>
      </c>
      <c r="C60" s="6">
        <f>IFERROR(__xludf.DUMMYFUNCTION("""COMPUTED_VALUE"""),4090.5)</f>
        <v>4090.5</v>
      </c>
      <c r="D60" s="6">
        <f>IFERROR(__xludf.DUMMYFUNCTION("""COMPUTED_VALUE"""),3874.0)</f>
        <v>3874</v>
      </c>
      <c r="E60" s="6">
        <f>IFERROR(__xludf.DUMMYFUNCTION("""COMPUTED_VALUE"""),4002.95)</f>
        <v>4002.95</v>
      </c>
      <c r="F60" s="6">
        <f>IFERROR(__xludf.DUMMYFUNCTION("""COMPUTED_VALUE"""),4572623.0)</f>
        <v>4572623</v>
      </c>
    </row>
    <row r="61">
      <c r="A61" s="7">
        <f>IFERROR(__xludf.DUMMYFUNCTION("""COMPUTED_VALUE"""),45610.64583333333)</f>
        <v>45610.64583</v>
      </c>
      <c r="B61" s="6">
        <f>IFERROR(__xludf.DUMMYFUNCTION("""COMPUTED_VALUE"""),4003.0)</f>
        <v>4003</v>
      </c>
      <c r="C61" s="6">
        <f>IFERROR(__xludf.DUMMYFUNCTION("""COMPUTED_VALUE"""),4047.7)</f>
        <v>4047.7</v>
      </c>
      <c r="D61" s="6">
        <f>IFERROR(__xludf.DUMMYFUNCTION("""COMPUTED_VALUE"""),3830.0)</f>
        <v>3830</v>
      </c>
      <c r="E61" s="6">
        <f>IFERROR(__xludf.DUMMYFUNCTION("""COMPUTED_VALUE"""),3891.2)</f>
        <v>3891.2</v>
      </c>
      <c r="F61" s="6">
        <f>IFERROR(__xludf.DUMMYFUNCTION("""COMPUTED_VALUE"""),2329876.0)</f>
        <v>2329876</v>
      </c>
    </row>
    <row r="62">
      <c r="A62" s="7">
        <f>IFERROR(__xludf.DUMMYFUNCTION("""COMPUTED_VALUE"""),45618.64583333333)</f>
        <v>45618.64583</v>
      </c>
      <c r="B62" s="6">
        <f>IFERROR(__xludf.DUMMYFUNCTION("""COMPUTED_VALUE"""),3950.0)</f>
        <v>3950</v>
      </c>
      <c r="C62" s="6">
        <f>IFERROR(__xludf.DUMMYFUNCTION("""COMPUTED_VALUE"""),4153.85)</f>
        <v>4153.85</v>
      </c>
      <c r="D62" s="6">
        <f>IFERROR(__xludf.DUMMYFUNCTION("""COMPUTED_VALUE"""),3907.05)</f>
        <v>3907.05</v>
      </c>
      <c r="E62" s="6">
        <f>IFERROR(__xludf.DUMMYFUNCTION("""COMPUTED_VALUE"""),4142.65)</f>
        <v>4142.65</v>
      </c>
      <c r="F62" s="6">
        <f>IFERROR(__xludf.DUMMYFUNCTION("""COMPUTED_VALUE"""),3362826.0)</f>
        <v>3362826</v>
      </c>
    </row>
    <row r="63">
      <c r="A63" s="7">
        <f>IFERROR(__xludf.DUMMYFUNCTION("""COMPUTED_VALUE"""),45625.64583333333)</f>
        <v>45625.64583</v>
      </c>
      <c r="B63" s="6">
        <f>IFERROR(__xludf.DUMMYFUNCTION("""COMPUTED_VALUE"""),4204.0)</f>
        <v>4204</v>
      </c>
      <c r="C63" s="6">
        <f>IFERROR(__xludf.DUMMYFUNCTION("""COMPUTED_VALUE"""),4400.0)</f>
        <v>4400</v>
      </c>
      <c r="D63" s="6">
        <f>IFERROR(__xludf.DUMMYFUNCTION("""COMPUTED_VALUE"""),4155.0)</f>
        <v>4155</v>
      </c>
      <c r="E63" s="6">
        <f>IFERROR(__xludf.DUMMYFUNCTION("""COMPUTED_VALUE"""),4378.9)</f>
        <v>4378.9</v>
      </c>
      <c r="F63" s="6">
        <f>IFERROR(__xludf.DUMMYFUNCTION("""COMPUTED_VALUE"""),4835685.0)</f>
        <v>4835685</v>
      </c>
    </row>
    <row r="64">
      <c r="A64" s="7">
        <f>IFERROR(__xludf.DUMMYFUNCTION("""COMPUTED_VALUE"""),45632.64583333333)</f>
        <v>45632.64583</v>
      </c>
      <c r="B64" s="6">
        <f>IFERROR(__xludf.DUMMYFUNCTION("""COMPUTED_VALUE"""),4382.5)</f>
        <v>4382.5</v>
      </c>
      <c r="C64" s="6">
        <f>IFERROR(__xludf.DUMMYFUNCTION("""COMPUTED_VALUE"""),4505.0)</f>
        <v>4505</v>
      </c>
      <c r="D64" s="6">
        <f>IFERROR(__xludf.DUMMYFUNCTION("""COMPUTED_VALUE"""),4315.5)</f>
        <v>4315.5</v>
      </c>
      <c r="E64" s="6">
        <f>IFERROR(__xludf.DUMMYFUNCTION("""COMPUTED_VALUE"""),4469.2)</f>
        <v>4469.2</v>
      </c>
      <c r="F64" s="6">
        <f>IFERROR(__xludf.DUMMYFUNCTION("""COMPUTED_VALUE"""),3184824.0)</f>
        <v>3184824</v>
      </c>
    </row>
    <row r="65">
      <c r="A65" s="7">
        <f>IFERROR(__xludf.DUMMYFUNCTION("""COMPUTED_VALUE"""),45639.64583333333)</f>
        <v>45639.64583</v>
      </c>
      <c r="B65" s="6">
        <f>IFERROR(__xludf.DUMMYFUNCTION("""COMPUTED_VALUE"""),4470.5)</f>
        <v>4470.5</v>
      </c>
      <c r="C65" s="6">
        <f>IFERROR(__xludf.DUMMYFUNCTION("""COMPUTED_VALUE"""),4509.0)</f>
        <v>4509</v>
      </c>
      <c r="D65" s="6">
        <f>IFERROR(__xludf.DUMMYFUNCTION("""COMPUTED_VALUE"""),4380.0)</f>
        <v>4380</v>
      </c>
      <c r="E65" s="6">
        <f>IFERROR(__xludf.DUMMYFUNCTION("""COMPUTED_VALUE"""),4432.9)</f>
        <v>4432.9</v>
      </c>
      <c r="F65" s="6">
        <f>IFERROR(__xludf.DUMMYFUNCTION("""COMPUTED_VALUE"""),2783413.0)</f>
        <v>2783413</v>
      </c>
    </row>
    <row r="66">
      <c r="A66" s="7">
        <f>IFERROR(__xludf.DUMMYFUNCTION("""COMPUTED_VALUE"""),45646.64583333333)</f>
        <v>45646.64583</v>
      </c>
      <c r="B66" s="6">
        <f>IFERROR(__xludf.DUMMYFUNCTION("""COMPUTED_VALUE"""),4434.1)</f>
        <v>4434.1</v>
      </c>
      <c r="C66" s="6">
        <f>IFERROR(__xludf.DUMMYFUNCTION("""COMPUTED_VALUE"""),4488.0)</f>
        <v>4488</v>
      </c>
      <c r="D66" s="6">
        <f>IFERROR(__xludf.DUMMYFUNCTION("""COMPUTED_VALUE"""),4193.35)</f>
        <v>4193.35</v>
      </c>
      <c r="E66" s="6">
        <f>IFERROR(__xludf.DUMMYFUNCTION("""COMPUTED_VALUE"""),4395.6)</f>
        <v>4395.6</v>
      </c>
      <c r="F66" s="6">
        <f>IFERROR(__xludf.DUMMYFUNCTION("""COMPUTED_VALUE"""),2914297.0)</f>
        <v>2914297</v>
      </c>
    </row>
    <row r="67">
      <c r="A67" s="7">
        <f>IFERROR(__xludf.DUMMYFUNCTION("""COMPUTED_VALUE"""),45653.64583333333)</f>
        <v>45653.64583</v>
      </c>
      <c r="B67" s="6">
        <f>IFERROR(__xludf.DUMMYFUNCTION("""COMPUTED_VALUE"""),4468.95)</f>
        <v>4468.95</v>
      </c>
      <c r="C67" s="6">
        <f>IFERROR(__xludf.DUMMYFUNCTION("""COMPUTED_VALUE"""),4740.0)</f>
        <v>4740</v>
      </c>
      <c r="D67" s="6">
        <f>IFERROR(__xludf.DUMMYFUNCTION("""COMPUTED_VALUE"""),4425.15)</f>
        <v>4425.15</v>
      </c>
      <c r="E67" s="6">
        <f>IFERROR(__xludf.DUMMYFUNCTION("""COMPUTED_VALUE"""),4681.95)</f>
        <v>4681.95</v>
      </c>
      <c r="F67" s="6">
        <f>IFERROR(__xludf.DUMMYFUNCTION("""COMPUTED_VALUE"""),4140166.0)</f>
        <v>4140166</v>
      </c>
    </row>
    <row r="68">
      <c r="A68" s="7">
        <f>IFERROR(__xludf.DUMMYFUNCTION("""COMPUTED_VALUE"""),45660.64583333333)</f>
        <v>45660.64583</v>
      </c>
      <c r="B68" s="6">
        <f>IFERROR(__xludf.DUMMYFUNCTION("""COMPUTED_VALUE"""),4678.85)</f>
        <v>4678.85</v>
      </c>
      <c r="C68" s="6">
        <f>IFERROR(__xludf.DUMMYFUNCTION("""COMPUTED_VALUE"""),4678.85)</f>
        <v>4678.85</v>
      </c>
      <c r="D68" s="6">
        <f>IFERROR(__xludf.DUMMYFUNCTION("""COMPUTED_VALUE"""),4440.0)</f>
        <v>4440</v>
      </c>
      <c r="E68" s="6">
        <f>IFERROR(__xludf.DUMMYFUNCTION("""COMPUTED_VALUE"""),4466.2)</f>
        <v>4466.2</v>
      </c>
      <c r="F68" s="6">
        <f>IFERROR(__xludf.DUMMYFUNCTION("""COMPUTED_VALUE"""),3810794.0)</f>
        <v>3810794</v>
      </c>
    </row>
    <row r="69">
      <c r="A69" s="7">
        <f>IFERROR(__xludf.DUMMYFUNCTION("""COMPUTED_VALUE"""),45667.64583333333)</f>
        <v>45667.64583</v>
      </c>
      <c r="B69" s="6">
        <f>IFERROR(__xludf.DUMMYFUNCTION("""COMPUTED_VALUE"""),4466.0)</f>
        <v>4466</v>
      </c>
      <c r="C69" s="6">
        <f>IFERROR(__xludf.DUMMYFUNCTION("""COMPUTED_VALUE"""),4483.9)</f>
        <v>4483.9</v>
      </c>
      <c r="D69" s="6">
        <f>IFERROR(__xludf.DUMMYFUNCTION("""COMPUTED_VALUE"""),4195.25)</f>
        <v>4195.25</v>
      </c>
      <c r="E69" s="6">
        <f>IFERROR(__xludf.DUMMYFUNCTION("""COMPUTED_VALUE"""),4228.8)</f>
        <v>4228.8</v>
      </c>
      <c r="F69" s="6">
        <f>IFERROR(__xludf.DUMMYFUNCTION("""COMPUTED_VALUE"""),3429071.0)</f>
        <v>3429071</v>
      </c>
    </row>
    <row r="70">
      <c r="A70" s="7">
        <f>IFERROR(__xludf.DUMMYFUNCTION("""COMPUTED_VALUE"""),45674.64583333333)</f>
        <v>45674.64583</v>
      </c>
      <c r="B70" s="6">
        <f>IFERROR(__xludf.DUMMYFUNCTION("""COMPUTED_VALUE"""),4100.0)</f>
        <v>4100</v>
      </c>
      <c r="C70" s="6">
        <f>IFERROR(__xludf.DUMMYFUNCTION("""COMPUTED_VALUE"""),4153.7)</f>
        <v>4153.7</v>
      </c>
      <c r="D70" s="6">
        <f>IFERROR(__xludf.DUMMYFUNCTION("""COMPUTED_VALUE"""),3950.0)</f>
        <v>3950</v>
      </c>
      <c r="E70" s="6">
        <f>IFERROR(__xludf.DUMMYFUNCTION("""COMPUTED_VALUE"""),4090.2)</f>
        <v>4090.2</v>
      </c>
      <c r="F70" s="6">
        <f>IFERROR(__xludf.DUMMYFUNCTION("""COMPUTED_VALUE"""),4964889.0)</f>
        <v>4964889</v>
      </c>
    </row>
    <row r="71">
      <c r="A71" s="7">
        <f>IFERROR(__xludf.DUMMYFUNCTION("""COMPUTED_VALUE"""),45681.64583333333)</f>
        <v>45681.64583</v>
      </c>
      <c r="B71" s="6">
        <f>IFERROR(__xludf.DUMMYFUNCTION("""COMPUTED_VALUE"""),4117.0)</f>
        <v>4117</v>
      </c>
      <c r="C71" s="6">
        <f>IFERROR(__xludf.DUMMYFUNCTION("""COMPUTED_VALUE"""),4269.8)</f>
        <v>4269.8</v>
      </c>
      <c r="D71" s="6">
        <f>IFERROR(__xludf.DUMMYFUNCTION("""COMPUTED_VALUE"""),3945.0)</f>
        <v>3945</v>
      </c>
      <c r="E71" s="6">
        <f>IFERROR(__xludf.DUMMYFUNCTION("""COMPUTED_VALUE"""),4161.8)</f>
        <v>4161.8</v>
      </c>
      <c r="F71" s="6">
        <f>IFERROR(__xludf.DUMMYFUNCTION("""COMPUTED_VALUE"""),5702424.0)</f>
        <v>5702424</v>
      </c>
    </row>
    <row r="72">
      <c r="A72" s="7">
        <f>IFERROR(__xludf.DUMMYFUNCTION("""COMPUTED_VALUE"""),45695.64583333333)</f>
        <v>45695.64583</v>
      </c>
      <c r="B72" s="6">
        <f>IFERROR(__xludf.DUMMYFUNCTION("""COMPUTED_VALUE"""),4482.95)</f>
        <v>4482.95</v>
      </c>
      <c r="C72" s="6">
        <f>IFERROR(__xludf.DUMMYFUNCTION("""COMPUTED_VALUE"""),4505.0)</f>
        <v>4505</v>
      </c>
      <c r="D72" s="6">
        <f>IFERROR(__xludf.DUMMYFUNCTION("""COMPUTED_VALUE"""),4292.9)</f>
        <v>4292.9</v>
      </c>
      <c r="E72" s="6">
        <f>IFERROR(__xludf.DUMMYFUNCTION("""COMPUTED_VALUE"""),4364.55)</f>
        <v>4364.55</v>
      </c>
      <c r="F72" s="6">
        <f>IFERROR(__xludf.DUMMYFUNCTION("""COMPUTED_VALUE"""),3863892.0)</f>
        <v>3863892</v>
      </c>
    </row>
    <row r="73">
      <c r="A73" s="7">
        <f>IFERROR(__xludf.DUMMYFUNCTION("""COMPUTED_VALUE"""),45702.64583333333)</f>
        <v>45702.64583</v>
      </c>
      <c r="B73" s="6">
        <f>IFERROR(__xludf.DUMMYFUNCTION("""COMPUTED_VALUE"""),4364.6)</f>
        <v>4364.6</v>
      </c>
      <c r="C73" s="6">
        <f>IFERROR(__xludf.DUMMYFUNCTION("""COMPUTED_VALUE"""),4400.0)</f>
        <v>4400</v>
      </c>
      <c r="D73" s="6">
        <f>IFERROR(__xludf.DUMMYFUNCTION("""COMPUTED_VALUE"""),4200.0)</f>
        <v>4200</v>
      </c>
      <c r="E73" s="6">
        <f>IFERROR(__xludf.DUMMYFUNCTION("""COMPUTED_VALUE"""),4223.3)</f>
        <v>4223.3</v>
      </c>
      <c r="F73" s="6">
        <f>IFERROR(__xludf.DUMMYFUNCTION("""COMPUTED_VALUE"""),4370116.0)</f>
        <v>4370116</v>
      </c>
    </row>
    <row r="74">
      <c r="A74" s="7">
        <f>IFERROR(__xludf.DUMMYFUNCTION("""COMPUTED_VALUE"""),45709.64583333333)</f>
        <v>45709.64583</v>
      </c>
      <c r="B74" s="6">
        <f>IFERROR(__xludf.DUMMYFUNCTION("""COMPUTED_VALUE"""),4176.0)</f>
        <v>4176</v>
      </c>
      <c r="C74" s="6">
        <f>IFERROR(__xludf.DUMMYFUNCTION("""COMPUTED_VALUE"""),4545.0)</f>
        <v>4545</v>
      </c>
      <c r="D74" s="6">
        <f>IFERROR(__xludf.DUMMYFUNCTION("""COMPUTED_VALUE"""),4157.85)</f>
        <v>4157.85</v>
      </c>
      <c r="E74" s="6">
        <f>IFERROR(__xludf.DUMMYFUNCTION("""COMPUTED_VALUE"""),4510.75)</f>
        <v>4510.75</v>
      </c>
      <c r="F74" s="6">
        <f>IFERROR(__xludf.DUMMYFUNCTION("""COMPUTED_VALUE"""),2893241.0)</f>
        <v>2893241</v>
      </c>
    </row>
    <row r="75">
      <c r="A75" s="7">
        <f>IFERROR(__xludf.DUMMYFUNCTION("""COMPUTED_VALUE"""),45716.64583333333)</f>
        <v>45716.64583</v>
      </c>
      <c r="B75" s="6">
        <f>IFERROR(__xludf.DUMMYFUNCTION("""COMPUTED_VALUE"""),4502.0)</f>
        <v>4502</v>
      </c>
      <c r="C75" s="6">
        <f>IFERROR(__xludf.DUMMYFUNCTION("""COMPUTED_VALUE"""),4574.0)</f>
        <v>4574</v>
      </c>
      <c r="D75" s="6">
        <f>IFERROR(__xludf.DUMMYFUNCTION("""COMPUTED_VALUE"""),4403.3)</f>
        <v>4403.3</v>
      </c>
      <c r="E75" s="6">
        <f>IFERROR(__xludf.DUMMYFUNCTION("""COMPUTED_VALUE"""),4477.3)</f>
        <v>4477.3</v>
      </c>
      <c r="F75" s="6">
        <f>IFERROR(__xludf.DUMMYFUNCTION("""COMPUTED_VALUE"""),4004778.0)</f>
        <v>4004778</v>
      </c>
    </row>
    <row r="76">
      <c r="A76" s="7">
        <f>IFERROR(__xludf.DUMMYFUNCTION("""COMPUTED_VALUE"""),45723.64583333333)</f>
        <v>45723.64583</v>
      </c>
      <c r="B76" s="6">
        <f>IFERROR(__xludf.DUMMYFUNCTION("""COMPUTED_VALUE"""),4478.95)</f>
        <v>4478.95</v>
      </c>
      <c r="C76" s="6">
        <f>IFERROR(__xludf.DUMMYFUNCTION("""COMPUTED_VALUE"""),4815.65)</f>
        <v>4815.65</v>
      </c>
      <c r="D76" s="6">
        <f>IFERROR(__xludf.DUMMYFUNCTION("""COMPUTED_VALUE"""),4267.55)</f>
        <v>4267.55</v>
      </c>
      <c r="E76" s="6">
        <f>IFERROR(__xludf.DUMMYFUNCTION("""COMPUTED_VALUE"""),4657.55)</f>
        <v>4657.55</v>
      </c>
      <c r="F76" s="6">
        <f>IFERROR(__xludf.DUMMYFUNCTION("""COMPUTED_VALUE"""),5206546.0)</f>
        <v>5206546</v>
      </c>
    </row>
    <row r="77">
      <c r="A77" s="7">
        <f>IFERROR(__xludf.DUMMYFUNCTION("""COMPUTED_VALUE"""),45729.64583333333)</f>
        <v>45729.64583</v>
      </c>
      <c r="B77" s="6">
        <f>IFERROR(__xludf.DUMMYFUNCTION("""COMPUTED_VALUE"""),4666.0)</f>
        <v>4666</v>
      </c>
      <c r="C77" s="6">
        <f>IFERROR(__xludf.DUMMYFUNCTION("""COMPUTED_VALUE"""),4744.55)</f>
        <v>4744.55</v>
      </c>
      <c r="D77" s="6">
        <f>IFERROR(__xludf.DUMMYFUNCTION("""COMPUTED_VALUE"""),4567.8)</f>
        <v>4567.8</v>
      </c>
      <c r="E77" s="6">
        <f>IFERROR(__xludf.DUMMYFUNCTION("""COMPUTED_VALUE"""),4700.85)</f>
        <v>4700.85</v>
      </c>
      <c r="F77" s="6">
        <f>IFERROR(__xludf.DUMMYFUNCTION("""COMPUTED_VALUE"""),3024216.0)</f>
        <v>3024216</v>
      </c>
    </row>
    <row r="78">
      <c r="A78" s="7">
        <f>IFERROR(__xludf.DUMMYFUNCTION("""COMPUTED_VALUE"""),45737.64583333333)</f>
        <v>45737.64583</v>
      </c>
      <c r="B78" s="6">
        <f>IFERROR(__xludf.DUMMYFUNCTION("""COMPUTED_VALUE"""),4792.45)</f>
        <v>4792.45</v>
      </c>
      <c r="C78" s="6">
        <f>IFERROR(__xludf.DUMMYFUNCTION("""COMPUTED_VALUE"""),5190.35)</f>
        <v>5190.35</v>
      </c>
      <c r="D78" s="6">
        <f>IFERROR(__xludf.DUMMYFUNCTION("""COMPUTED_VALUE"""),4717.25)</f>
        <v>4717.25</v>
      </c>
      <c r="E78" s="6">
        <f>IFERROR(__xludf.DUMMYFUNCTION("""COMPUTED_VALUE"""),5044.05)</f>
        <v>5044.05</v>
      </c>
      <c r="F78" s="6">
        <f>IFERROR(__xludf.DUMMYFUNCTION("""COMPUTED_VALUE"""),5606165.0)</f>
        <v>5606165</v>
      </c>
    </row>
    <row r="79">
      <c r="A79" s="7">
        <f>IFERROR(__xludf.DUMMYFUNCTION("""COMPUTED_VALUE"""),45744.64583333333)</f>
        <v>45744.64583</v>
      </c>
      <c r="B79" s="6">
        <f>IFERROR(__xludf.DUMMYFUNCTION("""COMPUTED_VALUE"""),5055.3)</f>
        <v>5055.3</v>
      </c>
      <c r="C79" s="6">
        <f>IFERROR(__xludf.DUMMYFUNCTION("""COMPUTED_VALUE"""),5176.8)</f>
        <v>5176.8</v>
      </c>
      <c r="D79" s="6">
        <f>IFERROR(__xludf.DUMMYFUNCTION("""COMPUTED_VALUE"""),4956.3)</f>
        <v>4956.3</v>
      </c>
      <c r="E79" s="6">
        <f>IFERROR(__xludf.DUMMYFUNCTION("""COMPUTED_VALUE"""),5115.35)</f>
        <v>5115.35</v>
      </c>
      <c r="F79" s="6">
        <f>IFERROR(__xludf.DUMMYFUNCTION("""COMPUTED_VALUE"""),4212596.0)</f>
        <v>4212596</v>
      </c>
    </row>
    <row r="80">
      <c r="A80" s="7">
        <f>IFERROR(__xludf.DUMMYFUNCTION("""COMPUTED_VALUE"""),45751.64583333333)</f>
        <v>45751.64583</v>
      </c>
      <c r="B80" s="6">
        <f>IFERROR(__xludf.DUMMYFUNCTION("""COMPUTED_VALUE"""),5100.0)</f>
        <v>5100</v>
      </c>
      <c r="C80" s="6">
        <f>IFERROR(__xludf.DUMMYFUNCTION("""COMPUTED_VALUE"""),5150.0)</f>
        <v>5150</v>
      </c>
      <c r="D80" s="6">
        <f>IFERROR(__xludf.DUMMYFUNCTION("""COMPUTED_VALUE"""),4966.9)</f>
        <v>4966.9</v>
      </c>
      <c r="E80" s="6">
        <f>IFERROR(__xludf.DUMMYFUNCTION("""COMPUTED_VALUE"""),5098.9)</f>
        <v>5098.9</v>
      </c>
      <c r="F80" s="6">
        <f>IFERROR(__xludf.DUMMYFUNCTION("""COMPUTED_VALUE"""),3575820.0)</f>
        <v>3575820</v>
      </c>
    </row>
    <row r="81">
      <c r="A81" s="7">
        <f>IFERROR(__xludf.DUMMYFUNCTION("""COMPUTED_VALUE"""),45758.64583333333)</f>
        <v>45758.64583</v>
      </c>
      <c r="B81" s="6">
        <f>IFERROR(__xludf.DUMMYFUNCTION("""COMPUTED_VALUE"""),4750.0)</f>
        <v>4750</v>
      </c>
      <c r="C81" s="6">
        <f>IFERROR(__xludf.DUMMYFUNCTION("""COMPUTED_VALUE"""),5265.0)</f>
        <v>5265</v>
      </c>
      <c r="D81" s="6">
        <f>IFERROR(__xludf.DUMMYFUNCTION("""COMPUTED_VALUE"""),4634.6)</f>
        <v>4634.6</v>
      </c>
      <c r="E81" s="6">
        <f>IFERROR(__xludf.DUMMYFUNCTION("""COMPUTED_VALUE"""),5151.1)</f>
        <v>5151.1</v>
      </c>
      <c r="F81" s="6">
        <f>IFERROR(__xludf.DUMMYFUNCTION("""COMPUTED_VALUE"""),5280141.0)</f>
        <v>5280141</v>
      </c>
    </row>
    <row r="82">
      <c r="A82" s="7">
        <f>IFERROR(__xludf.DUMMYFUNCTION("""COMPUTED_VALUE"""),45764.64583333333)</f>
        <v>45764.64583</v>
      </c>
      <c r="B82" s="6">
        <f>IFERROR(__xludf.DUMMYFUNCTION("""COMPUTED_VALUE"""),5320.0)</f>
        <v>5320</v>
      </c>
      <c r="C82" s="6">
        <f>IFERROR(__xludf.DUMMYFUNCTION("""COMPUTED_VALUE"""),5400.0)</f>
        <v>5400</v>
      </c>
      <c r="D82" s="6">
        <f>IFERROR(__xludf.DUMMYFUNCTION("""COMPUTED_VALUE"""),5178.5)</f>
        <v>5178.5</v>
      </c>
      <c r="E82" s="6">
        <f>IFERROR(__xludf.DUMMYFUNCTION("""COMPUTED_VALUE"""),5366.0)</f>
        <v>5366</v>
      </c>
      <c r="F82" s="6">
        <f>IFERROR(__xludf.DUMMYFUNCTION("""COMPUTED_VALUE"""),3751962.0)</f>
        <v>3751962</v>
      </c>
    </row>
    <row r="83">
      <c r="A83" s="7">
        <f>IFERROR(__xludf.DUMMYFUNCTION("""COMPUTED_VALUE"""),45772.64583333333)</f>
        <v>45772.64583</v>
      </c>
      <c r="B83" s="6">
        <f>IFERROR(__xludf.DUMMYFUNCTION("""COMPUTED_VALUE"""),5394.0)</f>
        <v>5394</v>
      </c>
      <c r="C83" s="6">
        <f>IFERROR(__xludf.DUMMYFUNCTION("""COMPUTED_VALUE"""),5649.0)</f>
        <v>5649</v>
      </c>
      <c r="D83" s="6">
        <f>IFERROR(__xludf.DUMMYFUNCTION("""COMPUTED_VALUE"""),5193.0)</f>
        <v>5193</v>
      </c>
      <c r="E83" s="6">
        <f>IFERROR(__xludf.DUMMYFUNCTION("""COMPUTED_VALUE"""),5313.5)</f>
        <v>5313.5</v>
      </c>
      <c r="F83" s="6">
        <f>IFERROR(__xludf.DUMMYFUNCTION("""COMPUTED_VALUE"""),6110833.0)</f>
        <v>6110833</v>
      </c>
    </row>
    <row r="84">
      <c r="A84" s="7">
        <f>IFERROR(__xludf.DUMMYFUNCTION("""COMPUTED_VALUE"""),45779.64583333333)</f>
        <v>45779.64583</v>
      </c>
      <c r="B84" s="6">
        <f>IFERROR(__xludf.DUMMYFUNCTION("""COMPUTED_VALUE"""),5254.0)</f>
        <v>5254</v>
      </c>
      <c r="C84" s="6">
        <f>IFERROR(__xludf.DUMMYFUNCTION("""COMPUTED_VALUE"""),5446.5)</f>
        <v>5446.5</v>
      </c>
      <c r="D84" s="6">
        <f>IFERROR(__xludf.DUMMYFUNCTION("""COMPUTED_VALUE"""),5206.5)</f>
        <v>5206.5</v>
      </c>
      <c r="E84" s="6">
        <f>IFERROR(__xludf.DUMMYFUNCTION("""COMPUTED_VALUE"""),5344.5)</f>
        <v>5344.5</v>
      </c>
      <c r="F84" s="6">
        <f>IFERROR(__xludf.DUMMYFUNCTION("""COMPUTED_VALUE"""),3365580.0)</f>
        <v>3365580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IFERROR(__xludf.DUMMYFUNCTION("""COMPUTED_VALUE"""),5420.0)</f>
        <v>5420</v>
      </c>
      <c r="C85" s="6">
        <f>IFERROR(__xludf.DUMMYFUNCTION("""COMPUTED_VALUE"""),5592.0)</f>
        <v>5592</v>
      </c>
      <c r="D85" s="6">
        <f>IFERROR(__xludf.DUMMYFUNCTION("""COMPUTED_VALUE"""),4891.5)</f>
        <v>4891.5</v>
      </c>
      <c r="E85" s="6">
        <f>IFERROR(__xludf.DUMMYFUNCTION("""COMPUTED_VALUE"""),5101.0)</f>
        <v>5101</v>
      </c>
      <c r="F85" s="6">
        <f>IFERROR(__xludf.DUMMYFUNCTION("""COMPUTED_VALUE"""),7357552.0)</f>
        <v>7357552</v>
      </c>
    </row>
    <row r="86">
      <c r="A86" s="7">
        <f>IFERROR(__xludf.DUMMYFUNCTION("""COMPUTED_VALUE"""),45793.64583333333)</f>
        <v>45793.64583</v>
      </c>
      <c r="B86" s="6">
        <f>IFERROR(__xludf.DUMMYFUNCTION("""COMPUTED_VALUE"""),5421.5)</f>
        <v>5421.5</v>
      </c>
      <c r="C86" s="6">
        <f>IFERROR(__xludf.DUMMYFUNCTION("""COMPUTED_VALUE"""),5633.0)</f>
        <v>5633</v>
      </c>
      <c r="D86" s="6">
        <f>IFERROR(__xludf.DUMMYFUNCTION("""COMPUTED_VALUE"""),5410.0)</f>
        <v>5410</v>
      </c>
      <c r="E86" s="6">
        <f>IFERROR(__xludf.DUMMYFUNCTION("""COMPUTED_VALUE"""),5562.5)</f>
        <v>5562.5</v>
      </c>
      <c r="F86" s="6">
        <f>IFERROR(__xludf.DUMMYFUNCTION("""COMPUTED_VALUE"""),5426568.0)</f>
        <v>5426568</v>
      </c>
    </row>
    <row r="87">
      <c r="A87" s="7">
        <f>IFERROR(__xludf.DUMMYFUNCTION("""COMPUTED_VALUE"""),45800.64583333333)</f>
        <v>45800.64583</v>
      </c>
      <c r="B87" s="6">
        <f>IFERROR(__xludf.DUMMYFUNCTION("""COMPUTED_VALUE"""),5560.0)</f>
        <v>5560</v>
      </c>
      <c r="C87" s="6">
        <f>IFERROR(__xludf.DUMMYFUNCTION("""COMPUTED_VALUE"""),5665.5)</f>
        <v>5665.5</v>
      </c>
      <c r="D87" s="6">
        <f>IFERROR(__xludf.DUMMYFUNCTION("""COMPUTED_VALUE"""),5329.5)</f>
        <v>5329.5</v>
      </c>
      <c r="E87" s="6">
        <f>IFERROR(__xludf.DUMMYFUNCTION("""COMPUTED_VALUE"""),5521.0)</f>
        <v>5521</v>
      </c>
      <c r="F87" s="6">
        <f>IFERROR(__xludf.DUMMYFUNCTION("""COMPUTED_VALUE"""),5034149.0)</f>
        <v>5034149</v>
      </c>
    </row>
    <row r="88">
      <c r="A88" s="7">
        <f>IFERROR(__xludf.DUMMYFUNCTION("""COMPUTED_VALUE"""),45807.64583333333)</f>
        <v>45807.64583</v>
      </c>
      <c r="B88" s="6">
        <f>IFERROR(__xludf.DUMMYFUNCTION("""COMPUTED_VALUE"""),5530.0)</f>
        <v>5530</v>
      </c>
      <c r="C88" s="6">
        <f>IFERROR(__xludf.DUMMYFUNCTION("""COMPUTED_VALUE"""),5562.0)</f>
        <v>5562</v>
      </c>
      <c r="D88" s="6">
        <f>IFERROR(__xludf.DUMMYFUNCTION("""COMPUTED_VALUE"""),5230.5)</f>
        <v>5230.5</v>
      </c>
      <c r="E88" s="6">
        <f>IFERROR(__xludf.DUMMYFUNCTION("""COMPUTED_VALUE"""),5330.0)</f>
        <v>5330</v>
      </c>
      <c r="F88" s="6">
        <f>IFERROR(__xludf.DUMMYFUNCTION("""COMPUTED_VALUE"""),3.3858291E7)</f>
        <v>33858291</v>
      </c>
    </row>
    <row r="89">
      <c r="A89" s="7">
        <f>IFERROR(__xludf.DUMMYFUNCTION("""COMPUTED_VALUE"""),45814.64583333333)</f>
        <v>45814.64583</v>
      </c>
      <c r="B89" s="6">
        <f>IFERROR(__xludf.DUMMYFUNCTION("""COMPUTED_VALUE"""),5350.0)</f>
        <v>5350</v>
      </c>
      <c r="C89" s="6">
        <f>IFERROR(__xludf.DUMMYFUNCTION("""COMPUTED_VALUE"""),5506.0)</f>
        <v>5506</v>
      </c>
      <c r="D89" s="6">
        <f>IFERROR(__xludf.DUMMYFUNCTION("""COMPUTED_VALUE"""),5280.0)</f>
        <v>5280</v>
      </c>
      <c r="E89" s="6">
        <f>IFERROR(__xludf.DUMMYFUNCTION("""COMPUTED_VALUE"""),5480.5)</f>
        <v>5480.5</v>
      </c>
      <c r="F89" s="6">
        <f>IFERROR(__xludf.DUMMYFUNCTION("""COMPUTED_VALUE"""),4911839.0)</f>
        <v>4911839</v>
      </c>
    </row>
    <row r="90">
      <c r="A90" s="7">
        <f>IFERROR(__xludf.DUMMYFUNCTION("""COMPUTED_VALUE"""),45821.64583333333)</f>
        <v>45821.64583</v>
      </c>
      <c r="B90" s="6">
        <f>IFERROR(__xludf.DUMMYFUNCTION("""COMPUTED_VALUE"""),5510.0)</f>
        <v>5510</v>
      </c>
      <c r="C90" s="6">
        <f>IFERROR(__xludf.DUMMYFUNCTION("""COMPUTED_VALUE"""),5729.0)</f>
        <v>5729</v>
      </c>
      <c r="D90" s="6">
        <f>IFERROR(__xludf.DUMMYFUNCTION("""COMPUTED_VALUE"""),5176.0)</f>
        <v>5176</v>
      </c>
      <c r="E90" s="6">
        <f>IFERROR(__xludf.DUMMYFUNCTION("""COMPUTED_VALUE"""),5262.0)</f>
        <v>5262</v>
      </c>
      <c r="F90" s="6">
        <f>IFERROR(__xludf.DUMMYFUNCTION("""COMPUTED_VALUE"""),8512809.0)</f>
        <v>8512809</v>
      </c>
    </row>
    <row r="91">
      <c r="A91" s="7">
        <f>IFERROR(__xludf.DUMMYFUNCTION("""COMPUTED_VALUE"""),45828.64583333333)</f>
        <v>45828.64583</v>
      </c>
      <c r="B91" s="6">
        <f>IFERROR(__xludf.DUMMYFUNCTION("""COMPUTED_VALUE"""),5280.0)</f>
        <v>5280</v>
      </c>
      <c r="C91" s="6">
        <f>IFERROR(__xludf.DUMMYFUNCTION("""COMPUTED_VALUE"""),5408.0)</f>
        <v>5408</v>
      </c>
      <c r="D91" s="6">
        <f>IFERROR(__xludf.DUMMYFUNCTION("""COMPUTED_VALUE"""),5233.0)</f>
        <v>5233</v>
      </c>
      <c r="E91" s="6">
        <f>IFERROR(__xludf.DUMMYFUNCTION("""COMPUTED_VALUE"""),5390.0)</f>
        <v>5390</v>
      </c>
      <c r="F91" s="6">
        <f>IFERROR(__xludf.DUMMYFUNCTION("""COMPUTED_VALUE"""),4473188.0)</f>
        <v>4473188</v>
      </c>
    </row>
    <row r="92">
      <c r="A92" s="7">
        <f>IFERROR(__xludf.DUMMYFUNCTION("""COMPUTED_VALUE"""),45835.64583333333)</f>
        <v>45835.64583</v>
      </c>
      <c r="B92" s="6">
        <f>IFERROR(__xludf.DUMMYFUNCTION("""COMPUTED_VALUE"""),5319.0)</f>
        <v>5319</v>
      </c>
      <c r="C92" s="6">
        <f>IFERROR(__xludf.DUMMYFUNCTION("""COMPUTED_VALUE"""),5843.5)</f>
        <v>5843.5</v>
      </c>
      <c r="D92" s="6">
        <f>IFERROR(__xludf.DUMMYFUNCTION("""COMPUTED_VALUE"""),5315.0)</f>
        <v>5315</v>
      </c>
      <c r="E92" s="6">
        <f>IFERROR(__xludf.DUMMYFUNCTION("""COMPUTED_VALUE"""),5816.0)</f>
        <v>5816</v>
      </c>
      <c r="F92" s="6">
        <f>IFERROR(__xludf.DUMMYFUNCTION("""COMPUTED_VALUE"""),7461544.0)</f>
        <v>7461544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IFERROR(__xludf.DUMMYFUNCTION("""COMPUTED_VALUE"""),5840.0)</f>
        <v>5840</v>
      </c>
      <c r="C93" s="6">
        <f>IFERROR(__xludf.DUMMYFUNCTION("""COMPUTED_VALUE"""),6018.0)</f>
        <v>6018</v>
      </c>
      <c r="D93" s="6">
        <f>IFERROR(__xludf.DUMMYFUNCTION("""COMPUTED_VALUE"""),5737.5)</f>
        <v>5737.5</v>
      </c>
      <c r="E93" s="6">
        <f>IFERROR(__xludf.DUMMYFUNCTION("""COMPUTED_VALUE"""),5753.0)</f>
        <v>5753</v>
      </c>
      <c r="F93" s="6">
        <f>IFERROR(__xludf.DUMMYFUNCTION("""COMPUTED_VALUE"""),6561195.0)</f>
        <v>6561195</v>
      </c>
    </row>
    <row r="94">
      <c r="A94" s="7">
        <f>IFERROR(__xludf.DUMMYFUNCTION("""COMPUTED_VALUE"""),45849.64583333333)</f>
        <v>45849.64583</v>
      </c>
      <c r="B94" s="6">
        <f>IFERROR(__xludf.DUMMYFUNCTION("""COMPUTED_VALUE"""),5756.5)</f>
        <v>5756.5</v>
      </c>
      <c r="C94" s="6">
        <f>IFERROR(__xludf.DUMMYFUNCTION("""COMPUTED_VALUE"""),5939.0)</f>
        <v>5939</v>
      </c>
      <c r="D94" s="6">
        <f>IFERROR(__xludf.DUMMYFUNCTION("""COMPUTED_VALUE"""),5731.0)</f>
        <v>5731</v>
      </c>
      <c r="E94" s="6">
        <f>IFERROR(__xludf.DUMMYFUNCTION("""COMPUTED_VALUE"""),5917.5)</f>
        <v>5917.5</v>
      </c>
      <c r="F94" s="6">
        <f>IFERROR(__xludf.DUMMYFUNCTION("""COMPUTED_VALUE"""),4601499.0)</f>
        <v>4601499</v>
      </c>
    </row>
    <row r="95">
      <c r="A95" s="7">
        <f>IFERROR(__xludf.DUMMYFUNCTION("""COMPUTED_VALUE"""),45856.64583333333)</f>
        <v>45856.64583</v>
      </c>
      <c r="B95" s="6">
        <f>IFERROR(__xludf.DUMMYFUNCTION("""COMPUTED_VALUE"""),5917.0)</f>
        <v>5917</v>
      </c>
      <c r="C95" s="6">
        <f>IFERROR(__xludf.DUMMYFUNCTION("""COMPUTED_VALUE"""),5964.5)</f>
        <v>5964.5</v>
      </c>
      <c r="D95" s="6">
        <f>IFERROR(__xludf.DUMMYFUNCTION("""COMPUTED_VALUE"""),5770.0)</f>
        <v>5770</v>
      </c>
      <c r="E95" s="6">
        <f>IFERROR(__xludf.DUMMYFUNCTION("""COMPUTED_VALUE"""),5861.0)</f>
        <v>5861</v>
      </c>
      <c r="F95" s="6">
        <f>IFERROR(__xludf.DUMMYFUNCTION("""COMPUTED_VALUE"""),4750974.0)</f>
        <v>4750974</v>
      </c>
    </row>
    <row r="96">
      <c r="A96" s="7">
        <f>IFERROR(__xludf.DUMMYFUNCTION("""COMPUTED_VALUE"""),45863.64583333333)</f>
        <v>45863.64583</v>
      </c>
      <c r="B96" s="6">
        <f>IFERROR(__xludf.DUMMYFUNCTION("""COMPUTED_VALUE"""),5900.0)</f>
        <v>5900</v>
      </c>
      <c r="C96" s="6">
        <f>IFERROR(__xludf.DUMMYFUNCTION("""COMPUTED_VALUE"""),5959.5)</f>
        <v>5959.5</v>
      </c>
      <c r="D96" s="6">
        <f>IFERROR(__xludf.DUMMYFUNCTION("""COMPUTED_VALUE"""),5760.5)</f>
        <v>5760.5</v>
      </c>
      <c r="E96" s="6">
        <f>IFERROR(__xludf.DUMMYFUNCTION("""COMPUTED_VALUE"""),5803.0)</f>
        <v>5803</v>
      </c>
      <c r="F96" s="6">
        <f>IFERROR(__xludf.DUMMYFUNCTION("""COMPUTED_VALUE"""),2812223.0)</f>
        <v>2812223</v>
      </c>
    </row>
    <row r="97">
      <c r="A97" s="7">
        <f>IFERROR(__xludf.DUMMYFUNCTION("""COMPUTED_VALUE"""),45870.64583333333)</f>
        <v>45870.64583</v>
      </c>
      <c r="B97" s="6">
        <f>IFERROR(__xludf.DUMMYFUNCTION("""COMPUTED_VALUE"""),5771.0)</f>
        <v>5771</v>
      </c>
      <c r="C97" s="6">
        <f>IFERROR(__xludf.DUMMYFUNCTION("""COMPUTED_VALUE"""),5930.5)</f>
        <v>5930.5</v>
      </c>
      <c r="D97" s="6">
        <f>IFERROR(__xludf.DUMMYFUNCTION("""COMPUTED_VALUE"""),5606.5)</f>
        <v>5606.5</v>
      </c>
      <c r="E97" s="6">
        <f>IFERROR(__xludf.DUMMYFUNCTION("""COMPUTED_VALUE"""),5788.5)</f>
        <v>5788.5</v>
      </c>
      <c r="F97" s="6">
        <f>IFERROR(__xludf.DUMMYFUNCTION("""COMPUTED_VALUE"""),5453729.0)</f>
        <v>5453729</v>
      </c>
    </row>
    <row r="98">
      <c r="A98" s="7">
        <f>IFERROR(__xludf.DUMMYFUNCTION("""COMPUTED_VALUE"""),45877.64583333333)</f>
        <v>45877.64583</v>
      </c>
      <c r="B98" s="6">
        <f>IFERROR(__xludf.DUMMYFUNCTION("""COMPUTED_VALUE"""),5800.0)</f>
        <v>5800</v>
      </c>
      <c r="C98" s="6">
        <f>IFERROR(__xludf.DUMMYFUNCTION("""COMPUTED_VALUE"""),5916.0)</f>
        <v>5916</v>
      </c>
      <c r="D98" s="6">
        <f>IFERROR(__xludf.DUMMYFUNCTION("""COMPUTED_VALUE"""),5706.0)</f>
        <v>5706</v>
      </c>
      <c r="E98" s="6">
        <f>IFERROR(__xludf.DUMMYFUNCTION("""COMPUTED_VALUE"""),5769.5)</f>
        <v>5769.5</v>
      </c>
      <c r="F98" s="6">
        <f>IFERROR(__xludf.DUMMYFUNCTION("""COMPUTED_VALUE"""),3285011.0)</f>
        <v>3285011</v>
      </c>
    </row>
    <row r="99">
      <c r="A99" s="7">
        <f>IFERROR(__xludf.DUMMYFUNCTION("""COMPUTED_VALUE"""),45883.64583333333)</f>
        <v>45883.64583</v>
      </c>
      <c r="B99" s="6">
        <f>IFERROR(__xludf.DUMMYFUNCTION("""COMPUTED_VALUE"""),5742.0)</f>
        <v>5742</v>
      </c>
      <c r="C99" s="6">
        <f>IFERROR(__xludf.DUMMYFUNCTION("""COMPUTED_VALUE"""),6055.0)</f>
        <v>6055</v>
      </c>
      <c r="D99" s="6">
        <f>IFERROR(__xludf.DUMMYFUNCTION("""COMPUTED_VALUE"""),5734.5)</f>
        <v>5734.5</v>
      </c>
      <c r="E99" s="6">
        <f>IFERROR(__xludf.DUMMYFUNCTION("""COMPUTED_VALUE"""),6002.5)</f>
        <v>6002.5</v>
      </c>
      <c r="F99" s="6">
        <f>IFERROR(__xludf.DUMMYFUNCTION("""COMPUTED_VALUE"""),2961104.0)</f>
        <v>2961104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IFERROR(__xludf.DUMMYFUNCTION("""COMPUTED_VALUE"""),6009.0)</f>
        <v>6009</v>
      </c>
      <c r="C100" s="6">
        <f>IFERROR(__xludf.DUMMYFUNCTION("""COMPUTED_VALUE"""),6232.5)</f>
        <v>6232.5</v>
      </c>
      <c r="D100" s="6">
        <f>IFERROR(__xludf.DUMMYFUNCTION("""COMPUTED_VALUE"""),6009.0)</f>
        <v>6009</v>
      </c>
      <c r="E100" s="6">
        <f>IFERROR(__xludf.DUMMYFUNCTION("""COMPUTED_VALUE"""),6086.5)</f>
        <v>6086.5</v>
      </c>
      <c r="F100" s="6">
        <f>IFERROR(__xludf.DUMMYFUNCTION("""COMPUTED_VALUE"""),3435618.0)</f>
        <v>3435618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IFERROR(__xludf.DUMMYFUNCTION("""COMPUTED_VALUE"""),6149.5)</f>
        <v>6149.5</v>
      </c>
      <c r="C101" s="6">
        <f>IFERROR(__xludf.DUMMYFUNCTION("""COMPUTED_VALUE"""),6149.5)</f>
        <v>6149.5</v>
      </c>
      <c r="D101" s="6">
        <f>IFERROR(__xludf.DUMMYFUNCTION("""COMPUTED_VALUE"""),6017.0)</f>
        <v>6017</v>
      </c>
      <c r="E101" s="6">
        <f>IFERROR(__xludf.DUMMYFUNCTION("""COMPUTED_VALUE"""),6050.0)</f>
        <v>6050</v>
      </c>
      <c r="F101" s="6">
        <f>IFERROR(__xludf.DUMMYFUNCTION("""COMPUTED_VALUE"""),9906771.0)</f>
        <v>9906771</v>
      </c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IFERROR(__xludf.DUMMYFUNCTION("GOOGLEFINANCE(""NSE:INDUSINDBK"",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IFERROR(__xludf.DUMMYFUNCTION("""COMPUTED_VALUE"""),1400.0)</f>
        <v>1400</v>
      </c>
      <c r="C2" s="6">
        <f>IFERROR(__xludf.DUMMYFUNCTION("""COMPUTED_VALUE"""),1423.6)</f>
        <v>1423.6</v>
      </c>
      <c r="D2" s="6">
        <f>IFERROR(__xludf.DUMMYFUNCTION("""COMPUTED_VALUE"""),1363.25)</f>
        <v>1363.25</v>
      </c>
      <c r="E2" s="6">
        <f>IFERROR(__xludf.DUMMYFUNCTION("""COMPUTED_VALUE"""),1416.55)</f>
        <v>1416.55</v>
      </c>
      <c r="F2" s="6">
        <f>IFERROR(__xludf.DUMMYFUNCTION("""COMPUTED_VALUE"""),1.1302463E7)</f>
        <v>11302463</v>
      </c>
    </row>
    <row r="3">
      <c r="A3" s="7">
        <f>IFERROR(__xludf.DUMMYFUNCTION("""COMPUTED_VALUE"""),45177.64583333333)</f>
        <v>45177.64583</v>
      </c>
      <c r="B3" s="6">
        <f>IFERROR(__xludf.DUMMYFUNCTION("""COMPUTED_VALUE"""),1423.85)</f>
        <v>1423.85</v>
      </c>
      <c r="C3" s="6">
        <f>IFERROR(__xludf.DUMMYFUNCTION("""COMPUTED_VALUE"""),1459.95)</f>
        <v>1459.95</v>
      </c>
      <c r="D3" s="6">
        <f>IFERROR(__xludf.DUMMYFUNCTION("""COMPUTED_VALUE"""),1396.45)</f>
        <v>1396.45</v>
      </c>
      <c r="E3" s="6">
        <f>IFERROR(__xludf.DUMMYFUNCTION("""COMPUTED_VALUE"""),1448.85)</f>
        <v>1448.85</v>
      </c>
      <c r="F3" s="6">
        <f>IFERROR(__xludf.DUMMYFUNCTION("""COMPUTED_VALUE"""),1.1656087E7)</f>
        <v>11656087</v>
      </c>
    </row>
    <row r="4">
      <c r="A4" s="7">
        <f>IFERROR(__xludf.DUMMYFUNCTION("""COMPUTED_VALUE"""),45184.64583333333)</f>
        <v>45184.64583</v>
      </c>
      <c r="B4" s="6">
        <f>IFERROR(__xludf.DUMMYFUNCTION("""COMPUTED_VALUE"""),1449.05)</f>
        <v>1449.05</v>
      </c>
      <c r="C4" s="6">
        <f>IFERROR(__xludf.DUMMYFUNCTION("""COMPUTED_VALUE"""),1467.85)</f>
        <v>1467.85</v>
      </c>
      <c r="D4" s="6">
        <f>IFERROR(__xludf.DUMMYFUNCTION("""COMPUTED_VALUE"""),1416.05)</f>
        <v>1416.05</v>
      </c>
      <c r="E4" s="6">
        <f>IFERROR(__xludf.DUMMYFUNCTION("""COMPUTED_VALUE"""),1450.0)</f>
        <v>1450</v>
      </c>
      <c r="F4" s="6">
        <f>IFERROR(__xludf.DUMMYFUNCTION("""COMPUTED_VALUE"""),1.2522046E7)</f>
        <v>12522046</v>
      </c>
    </row>
    <row r="5">
      <c r="A5" s="7">
        <f>IFERROR(__xludf.DUMMYFUNCTION("""COMPUTED_VALUE"""),45191.64583333333)</f>
        <v>45191.64583</v>
      </c>
      <c r="B5" s="6">
        <f>IFERROR(__xludf.DUMMYFUNCTION("""COMPUTED_VALUE"""),1454.0)</f>
        <v>1454</v>
      </c>
      <c r="C5" s="6">
        <f>IFERROR(__xludf.DUMMYFUNCTION("""COMPUTED_VALUE"""),1475.65)</f>
        <v>1475.65</v>
      </c>
      <c r="D5" s="6">
        <f>IFERROR(__xludf.DUMMYFUNCTION("""COMPUTED_VALUE"""),1406.35)</f>
        <v>1406.35</v>
      </c>
      <c r="E5" s="6">
        <f>IFERROR(__xludf.DUMMYFUNCTION("""COMPUTED_VALUE"""),1452.9)</f>
        <v>1452.9</v>
      </c>
      <c r="F5" s="6">
        <f>IFERROR(__xludf.DUMMYFUNCTION("""COMPUTED_VALUE"""),1.4099036E7)</f>
        <v>14099036</v>
      </c>
    </row>
    <row r="6">
      <c r="A6" s="7">
        <f>IFERROR(__xludf.DUMMYFUNCTION("""COMPUTED_VALUE"""),45198.64583333333)</f>
        <v>45198.64583</v>
      </c>
      <c r="B6" s="6">
        <f>IFERROR(__xludf.DUMMYFUNCTION("""COMPUTED_VALUE"""),1451.5)</f>
        <v>1451.5</v>
      </c>
      <c r="C6" s="6">
        <f>IFERROR(__xludf.DUMMYFUNCTION("""COMPUTED_VALUE"""),1454.55)</f>
        <v>1454.55</v>
      </c>
      <c r="D6" s="6">
        <f>IFERROR(__xludf.DUMMYFUNCTION("""COMPUTED_VALUE"""),1399.3)</f>
        <v>1399.3</v>
      </c>
      <c r="E6" s="6">
        <f>IFERROR(__xludf.DUMMYFUNCTION("""COMPUTED_VALUE"""),1428.85)</f>
        <v>1428.85</v>
      </c>
      <c r="F6" s="6">
        <f>IFERROR(__xludf.DUMMYFUNCTION("""COMPUTED_VALUE"""),1.7051821E7)</f>
        <v>17051821</v>
      </c>
    </row>
    <row r="7">
      <c r="A7" s="7">
        <f>IFERROR(__xludf.DUMMYFUNCTION("""COMPUTED_VALUE"""),45205.64583333333)</f>
        <v>45205.64583</v>
      </c>
      <c r="B7" s="6">
        <f>IFERROR(__xludf.DUMMYFUNCTION("""COMPUTED_VALUE"""),1432.0)</f>
        <v>1432</v>
      </c>
      <c r="C7" s="6">
        <f>IFERROR(__xludf.DUMMYFUNCTION("""COMPUTED_VALUE"""),1438.4)</f>
        <v>1438.4</v>
      </c>
      <c r="D7" s="6">
        <f>IFERROR(__xludf.DUMMYFUNCTION("""COMPUTED_VALUE"""),1386.2)</f>
        <v>1386.2</v>
      </c>
      <c r="E7" s="6">
        <f>IFERROR(__xludf.DUMMYFUNCTION("""COMPUTED_VALUE"""),1434.8)</f>
        <v>1434.8</v>
      </c>
      <c r="F7" s="6">
        <f>IFERROR(__xludf.DUMMYFUNCTION("""COMPUTED_VALUE"""),9235480.0)</f>
        <v>9235480</v>
      </c>
    </row>
    <row r="8">
      <c r="A8" s="7">
        <f>IFERROR(__xludf.DUMMYFUNCTION("""COMPUTED_VALUE"""),45212.64583333333)</f>
        <v>45212.64583</v>
      </c>
      <c r="B8" s="6">
        <f>IFERROR(__xludf.DUMMYFUNCTION("""COMPUTED_VALUE"""),1420.1)</f>
        <v>1420.1</v>
      </c>
      <c r="C8" s="6">
        <f>IFERROR(__xludf.DUMMYFUNCTION("""COMPUTED_VALUE"""),1466.3)</f>
        <v>1466.3</v>
      </c>
      <c r="D8" s="6">
        <f>IFERROR(__xludf.DUMMYFUNCTION("""COMPUTED_VALUE"""),1410.0)</f>
        <v>1410</v>
      </c>
      <c r="E8" s="6">
        <f>IFERROR(__xludf.DUMMYFUNCTION("""COMPUTED_VALUE"""),1463.7)</f>
        <v>1463.7</v>
      </c>
      <c r="F8" s="6">
        <f>IFERROR(__xludf.DUMMYFUNCTION("""COMPUTED_VALUE"""),1.18938E7)</f>
        <v>11893800</v>
      </c>
    </row>
    <row r="9">
      <c r="A9" s="7">
        <f>IFERROR(__xludf.DUMMYFUNCTION("""COMPUTED_VALUE"""),45219.64583333333)</f>
        <v>45219.64583</v>
      </c>
      <c r="B9" s="6">
        <f>IFERROR(__xludf.DUMMYFUNCTION("""COMPUTED_VALUE"""),1462.85)</f>
        <v>1462.85</v>
      </c>
      <c r="C9" s="6">
        <f>IFERROR(__xludf.DUMMYFUNCTION("""COMPUTED_VALUE"""),1471.8)</f>
        <v>1471.8</v>
      </c>
      <c r="D9" s="6">
        <f>IFERROR(__xludf.DUMMYFUNCTION("""COMPUTED_VALUE"""),1415.6)</f>
        <v>1415.6</v>
      </c>
      <c r="E9" s="6">
        <f>IFERROR(__xludf.DUMMYFUNCTION("""COMPUTED_VALUE"""),1469.1)</f>
        <v>1469.1</v>
      </c>
      <c r="F9" s="6">
        <f>IFERROR(__xludf.DUMMYFUNCTION("""COMPUTED_VALUE"""),2.543903E7)</f>
        <v>25439030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IFERROR(__xludf.DUMMYFUNCTION("""COMPUTED_VALUE"""),1469.0)</f>
        <v>1469</v>
      </c>
      <c r="C10" s="6">
        <f>IFERROR(__xludf.DUMMYFUNCTION("""COMPUTED_VALUE"""),1469.75)</f>
        <v>1469.75</v>
      </c>
      <c r="D10" s="6">
        <f>IFERROR(__xludf.DUMMYFUNCTION("""COMPUTED_VALUE"""),1393.65)</f>
        <v>1393.65</v>
      </c>
      <c r="E10" s="6">
        <f>IFERROR(__xludf.DUMMYFUNCTION("""COMPUTED_VALUE"""),1441.3)</f>
        <v>1441.3</v>
      </c>
      <c r="F10" s="6">
        <f>IFERROR(__xludf.DUMMYFUNCTION("""COMPUTED_VALUE"""),1.3984073E7)</f>
        <v>13984073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IFERROR(__xludf.DUMMYFUNCTION("""COMPUTED_VALUE"""),1440.0)</f>
        <v>1440</v>
      </c>
      <c r="C11" s="6">
        <f>IFERROR(__xludf.DUMMYFUNCTION("""COMPUTED_VALUE"""),1479.95)</f>
        <v>1479.95</v>
      </c>
      <c r="D11" s="6">
        <f>IFERROR(__xludf.DUMMYFUNCTION("""COMPUTED_VALUE"""),1427.15)</f>
        <v>1427.15</v>
      </c>
      <c r="E11" s="6">
        <f>IFERROR(__xludf.DUMMYFUNCTION("""COMPUTED_VALUE"""),1450.25)</f>
        <v>1450.25</v>
      </c>
      <c r="F11" s="6">
        <f>IFERROR(__xludf.DUMMYFUNCTION("""COMPUTED_VALUE"""),1.3944588E7)</f>
        <v>13944588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IFERROR(__xludf.DUMMYFUNCTION("""COMPUTED_VALUE"""),1463.0)</f>
        <v>1463</v>
      </c>
      <c r="C12" s="6">
        <f>IFERROR(__xludf.DUMMYFUNCTION("""COMPUTED_VALUE"""),1516.3)</f>
        <v>1516.3</v>
      </c>
      <c r="D12" s="6">
        <f>IFERROR(__xludf.DUMMYFUNCTION("""COMPUTED_VALUE"""),1456.0)</f>
        <v>1456</v>
      </c>
      <c r="E12" s="6">
        <f>IFERROR(__xludf.DUMMYFUNCTION("""COMPUTED_VALUE"""),1498.8)</f>
        <v>1498.8</v>
      </c>
      <c r="F12" s="6">
        <f>IFERROR(__xludf.DUMMYFUNCTION("""COMPUTED_VALUE"""),1.3586987E7)</f>
        <v>13586987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IFERROR(__xludf.DUMMYFUNCTION("""COMPUTED_VALUE"""),1503.55)</f>
        <v>1503.55</v>
      </c>
      <c r="C13" s="6">
        <f>IFERROR(__xludf.DUMMYFUNCTION("""COMPUTED_VALUE"""),1538.5)</f>
        <v>1538.5</v>
      </c>
      <c r="D13" s="6">
        <f>IFERROR(__xludf.DUMMYFUNCTION("""COMPUTED_VALUE"""),1485.55)</f>
        <v>1485.55</v>
      </c>
      <c r="E13" s="6">
        <f>IFERROR(__xludf.DUMMYFUNCTION("""COMPUTED_VALUE"""),1498.45)</f>
        <v>1498.45</v>
      </c>
      <c r="F13" s="6">
        <f>IFERROR(__xludf.DUMMYFUNCTION("""COMPUTED_VALUE"""),1.5376656E7)</f>
        <v>15376656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IFERROR(__xludf.DUMMYFUNCTION("""COMPUTED_VALUE"""),1498.9)</f>
        <v>1498.9</v>
      </c>
      <c r="C14" s="6">
        <f>IFERROR(__xludf.DUMMYFUNCTION("""COMPUTED_VALUE"""),1509.45)</f>
        <v>1509.45</v>
      </c>
      <c r="D14" s="6">
        <f>IFERROR(__xludf.DUMMYFUNCTION("""COMPUTED_VALUE"""),1458.95)</f>
        <v>1458.95</v>
      </c>
      <c r="E14" s="6">
        <f>IFERROR(__xludf.DUMMYFUNCTION("""COMPUTED_VALUE"""),1476.2)</f>
        <v>1476.2</v>
      </c>
      <c r="F14" s="6">
        <f>IFERROR(__xludf.DUMMYFUNCTION("""COMPUTED_VALUE"""),1.434692E7)</f>
        <v>14346920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IFERROR(__xludf.DUMMYFUNCTION("""COMPUTED_VALUE"""),1480.0)</f>
        <v>1480</v>
      </c>
      <c r="C15" s="6">
        <f>IFERROR(__xludf.DUMMYFUNCTION("""COMPUTED_VALUE"""),1500.0)</f>
        <v>1500</v>
      </c>
      <c r="D15" s="6">
        <f>IFERROR(__xludf.DUMMYFUNCTION("""COMPUTED_VALUE"""),1450.05)</f>
        <v>1450.05</v>
      </c>
      <c r="E15" s="6">
        <f>IFERROR(__xludf.DUMMYFUNCTION("""COMPUTED_VALUE"""),1461.05)</f>
        <v>1461.05</v>
      </c>
      <c r="F15" s="6">
        <f>IFERROR(__xludf.DUMMYFUNCTION("""COMPUTED_VALUE"""),5.7395487E7)</f>
        <v>57395487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IFERROR(__xludf.DUMMYFUNCTION("""COMPUTED_VALUE"""),1490.0)</f>
        <v>1490</v>
      </c>
      <c r="C16" s="6">
        <f>IFERROR(__xludf.DUMMYFUNCTION("""COMPUTED_VALUE"""),1525.5)</f>
        <v>1525.5</v>
      </c>
      <c r="D16" s="6">
        <f>IFERROR(__xludf.DUMMYFUNCTION("""COMPUTED_VALUE"""),1473.45)</f>
        <v>1473.45</v>
      </c>
      <c r="E16" s="6">
        <f>IFERROR(__xludf.DUMMYFUNCTION("""COMPUTED_VALUE"""),1508.95)</f>
        <v>1508.95</v>
      </c>
      <c r="F16" s="6">
        <f>IFERROR(__xludf.DUMMYFUNCTION("""COMPUTED_VALUE"""),1.5617714E7)</f>
        <v>15617714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IFERROR(__xludf.DUMMYFUNCTION("""COMPUTED_VALUE"""),1512.8)</f>
        <v>1512.8</v>
      </c>
      <c r="C17" s="6">
        <f>IFERROR(__xludf.DUMMYFUNCTION("""COMPUTED_VALUE"""),1578.0)</f>
        <v>1578</v>
      </c>
      <c r="D17" s="6">
        <f>IFERROR(__xludf.DUMMYFUNCTION("""COMPUTED_VALUE"""),1489.95)</f>
        <v>1489.95</v>
      </c>
      <c r="E17" s="6">
        <f>IFERROR(__xludf.DUMMYFUNCTION("""COMPUTED_VALUE"""),1570.8)</f>
        <v>1570.8</v>
      </c>
      <c r="F17" s="6">
        <f>IFERROR(__xludf.DUMMYFUNCTION("""COMPUTED_VALUE"""),1.3285275E7)</f>
        <v>13285275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IFERROR(__xludf.DUMMYFUNCTION("""COMPUTED_VALUE"""),1570.0)</f>
        <v>1570</v>
      </c>
      <c r="C18" s="6">
        <f>IFERROR(__xludf.DUMMYFUNCTION("""COMPUTED_VALUE"""),1591.1)</f>
        <v>1591.1</v>
      </c>
      <c r="D18" s="6">
        <f>IFERROR(__xludf.DUMMYFUNCTION("""COMPUTED_VALUE"""),1527.55)</f>
        <v>1527.55</v>
      </c>
      <c r="E18" s="6">
        <f>IFERROR(__xludf.DUMMYFUNCTION("""COMPUTED_VALUE"""),1562.35)</f>
        <v>1562.35</v>
      </c>
      <c r="F18" s="6">
        <f>IFERROR(__xludf.DUMMYFUNCTION("""COMPUTED_VALUE"""),1.1483678E7)</f>
        <v>11483678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IFERROR(__xludf.DUMMYFUNCTION("""COMPUTED_VALUE"""),1562.95)</f>
        <v>1562.95</v>
      </c>
      <c r="C19" s="6">
        <f>IFERROR(__xludf.DUMMYFUNCTION("""COMPUTED_VALUE"""),1618.9)</f>
        <v>1618.9</v>
      </c>
      <c r="D19" s="6">
        <f>IFERROR(__xludf.DUMMYFUNCTION("""COMPUTED_VALUE"""),1557.0)</f>
        <v>1557</v>
      </c>
      <c r="E19" s="6">
        <f>IFERROR(__xludf.DUMMYFUNCTION("""COMPUTED_VALUE"""),1598.95)</f>
        <v>1598.95</v>
      </c>
      <c r="F19" s="6">
        <f>IFERROR(__xludf.DUMMYFUNCTION("""COMPUTED_VALUE"""),7939527.0)</f>
        <v>7939527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IFERROR(__xludf.DUMMYFUNCTION("""COMPUTED_VALUE"""),1598.95)</f>
        <v>1598.95</v>
      </c>
      <c r="C20" s="6">
        <f>IFERROR(__xludf.DUMMYFUNCTION("""COMPUTED_VALUE"""),1655.0)</f>
        <v>1655</v>
      </c>
      <c r="D20" s="6">
        <f>IFERROR(__xludf.DUMMYFUNCTION("""COMPUTED_VALUE"""),1558.0)</f>
        <v>1558</v>
      </c>
      <c r="E20" s="6">
        <f>IFERROR(__xludf.DUMMYFUNCTION("""COMPUTED_VALUE"""),1643.2)</f>
        <v>1643.2</v>
      </c>
      <c r="F20" s="6">
        <f>IFERROR(__xludf.DUMMYFUNCTION("""COMPUTED_VALUE"""),1.1754012E7)</f>
        <v>11754012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IFERROR(__xludf.DUMMYFUNCTION("""COMPUTED_VALUE"""),1633.0)</f>
        <v>1633</v>
      </c>
      <c r="C21" s="6">
        <f>IFERROR(__xludf.DUMMYFUNCTION("""COMPUTED_VALUE"""),1677.85)</f>
        <v>1677.85</v>
      </c>
      <c r="D21" s="6">
        <f>IFERROR(__xludf.DUMMYFUNCTION("""COMPUTED_VALUE"""),1620.0)</f>
        <v>1620</v>
      </c>
      <c r="E21" s="6">
        <f>IFERROR(__xludf.DUMMYFUNCTION("""COMPUTED_VALUE"""),1674.0)</f>
        <v>1674</v>
      </c>
      <c r="F21" s="6">
        <f>IFERROR(__xludf.DUMMYFUNCTION("""COMPUTED_VALUE"""),9116321.0)</f>
        <v>9116321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IFERROR(__xludf.DUMMYFUNCTION("""COMPUTED_VALUE"""),1535.0)</f>
        <v>1535</v>
      </c>
      <c r="C22" s="6">
        <f>IFERROR(__xludf.DUMMYFUNCTION("""COMPUTED_VALUE"""),1547.9)</f>
        <v>1547.9</v>
      </c>
      <c r="D22" s="6">
        <f>IFERROR(__xludf.DUMMYFUNCTION("""COMPUTED_VALUE"""),1428.05)</f>
        <v>1428.05</v>
      </c>
      <c r="E22" s="6">
        <f>IFERROR(__xludf.DUMMYFUNCTION("""COMPUTED_VALUE"""),1512.0)</f>
        <v>1512</v>
      </c>
      <c r="F22" s="6">
        <f>IFERROR(__xludf.DUMMYFUNCTION("""COMPUTED_VALUE"""),2.7371179E7)</f>
        <v>27371179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IFERROR(__xludf.DUMMYFUNCTION("""COMPUTED_VALUE"""),1523.0)</f>
        <v>1523</v>
      </c>
      <c r="C23" s="6">
        <f>IFERROR(__xludf.DUMMYFUNCTION("""COMPUTED_VALUE"""),1564.85)</f>
        <v>1564.85</v>
      </c>
      <c r="D23" s="6">
        <f>IFERROR(__xludf.DUMMYFUNCTION("""COMPUTED_VALUE"""),1507.15)</f>
        <v>1507.15</v>
      </c>
      <c r="E23" s="6">
        <f>IFERROR(__xludf.DUMMYFUNCTION("""COMPUTED_VALUE"""),1533.75)</f>
        <v>1533.75</v>
      </c>
      <c r="F23" s="6">
        <f>IFERROR(__xludf.DUMMYFUNCTION("""COMPUTED_VALUE"""),1.4442695E7)</f>
        <v>14442695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IFERROR(__xludf.DUMMYFUNCTION("""COMPUTED_VALUE"""),1532.75)</f>
        <v>1532.75</v>
      </c>
      <c r="C24" s="6">
        <f>IFERROR(__xludf.DUMMYFUNCTION("""COMPUTED_VALUE"""),1550.45)</f>
        <v>1550.45</v>
      </c>
      <c r="D24" s="6">
        <f>IFERROR(__xludf.DUMMYFUNCTION("""COMPUTED_VALUE"""),1462.65)</f>
        <v>1462.65</v>
      </c>
      <c r="E24" s="6">
        <f>IFERROR(__xludf.DUMMYFUNCTION("""COMPUTED_VALUE"""),1486.25)</f>
        <v>1486.25</v>
      </c>
      <c r="F24" s="6">
        <f>IFERROR(__xludf.DUMMYFUNCTION("""COMPUTED_VALUE"""),1.5322614E7)</f>
        <v>15322614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IFERROR(__xludf.DUMMYFUNCTION("""COMPUTED_VALUE"""),1488.2)</f>
        <v>1488.2</v>
      </c>
      <c r="C25" s="6">
        <f>IFERROR(__xludf.DUMMYFUNCTION("""COMPUTED_VALUE"""),1506.5)</f>
        <v>1506.5</v>
      </c>
      <c r="D25" s="6">
        <f>IFERROR(__xludf.DUMMYFUNCTION("""COMPUTED_VALUE"""),1430.65)</f>
        <v>1430.65</v>
      </c>
      <c r="E25" s="6">
        <f>IFERROR(__xludf.DUMMYFUNCTION("""COMPUTED_VALUE"""),1493.65)</f>
        <v>1493.65</v>
      </c>
      <c r="F25" s="6">
        <f>IFERROR(__xludf.DUMMYFUNCTION("""COMPUTED_VALUE"""),1.5382423E7)</f>
        <v>15382423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IFERROR(__xludf.DUMMYFUNCTION("""COMPUTED_VALUE"""),1499.9)</f>
        <v>1499.9</v>
      </c>
      <c r="C26" s="6">
        <f>IFERROR(__xludf.DUMMYFUNCTION("""COMPUTED_VALUE"""),1526.8)</f>
        <v>1526.8</v>
      </c>
      <c r="D26" s="6">
        <f>IFERROR(__xludf.DUMMYFUNCTION("""COMPUTED_VALUE"""),1463.5)</f>
        <v>1463.5</v>
      </c>
      <c r="E26" s="6">
        <f>IFERROR(__xludf.DUMMYFUNCTION("""COMPUTED_VALUE"""),1480.3)</f>
        <v>1480.3</v>
      </c>
      <c r="F26" s="6">
        <f>IFERROR(__xludf.DUMMYFUNCTION("""COMPUTED_VALUE"""),1.6386157E7)</f>
        <v>16386157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IFERROR(__xludf.DUMMYFUNCTION("""COMPUTED_VALUE"""),1529.95)</f>
        <v>1529.95</v>
      </c>
      <c r="C27" s="6">
        <f>IFERROR(__xludf.DUMMYFUNCTION("""COMPUTED_VALUE"""),1571.5)</f>
        <v>1571.5</v>
      </c>
      <c r="D27" s="6">
        <f>IFERROR(__xludf.DUMMYFUNCTION("""COMPUTED_VALUE"""),1520.35)</f>
        <v>1520.35</v>
      </c>
      <c r="E27" s="6">
        <f>IFERROR(__xludf.DUMMYFUNCTION("""COMPUTED_VALUE"""),1563.75)</f>
        <v>1563.75</v>
      </c>
      <c r="F27" s="6">
        <f>IFERROR(__xludf.DUMMYFUNCTION("""COMPUTED_VALUE"""),1.3132313E7)</f>
        <v>13132313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IFERROR(__xludf.DUMMYFUNCTION("""COMPUTED_VALUE"""),1566.1)</f>
        <v>1566.1</v>
      </c>
      <c r="C28" s="6">
        <f>IFERROR(__xludf.DUMMYFUNCTION("""COMPUTED_VALUE"""),1568.75)</f>
        <v>1568.75</v>
      </c>
      <c r="D28" s="6">
        <f>IFERROR(__xludf.DUMMYFUNCTION("""COMPUTED_VALUE"""),1456.7)</f>
        <v>1456.7</v>
      </c>
      <c r="E28" s="6">
        <f>IFERROR(__xludf.DUMMYFUNCTION("""COMPUTED_VALUE"""),1484.35)</f>
        <v>1484.35</v>
      </c>
      <c r="F28" s="6">
        <f>IFERROR(__xludf.DUMMYFUNCTION("""COMPUTED_VALUE"""),1.4415667E7)</f>
        <v>14415667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IFERROR(__xludf.DUMMYFUNCTION("""COMPUTED_VALUE"""),1487.25)</f>
        <v>1487.25</v>
      </c>
      <c r="C29" s="6">
        <f>IFERROR(__xludf.DUMMYFUNCTION("""COMPUTED_VALUE"""),1520.35)</f>
        <v>1520.35</v>
      </c>
      <c r="D29" s="6">
        <f>IFERROR(__xludf.DUMMYFUNCTION("""COMPUTED_VALUE"""),1422.7)</f>
        <v>1422.7</v>
      </c>
      <c r="E29" s="6">
        <f>IFERROR(__xludf.DUMMYFUNCTION("""COMPUTED_VALUE"""),1512.1)</f>
        <v>1512.1</v>
      </c>
      <c r="F29" s="6">
        <f>IFERROR(__xludf.DUMMYFUNCTION("""COMPUTED_VALUE"""),2.0206061E7)</f>
        <v>20206061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IFERROR(__xludf.DUMMYFUNCTION("""COMPUTED_VALUE"""),1512.1)</f>
        <v>1512.1</v>
      </c>
      <c r="C30" s="6">
        <f>IFERROR(__xludf.DUMMYFUNCTION("""COMPUTED_VALUE"""),1564.5)</f>
        <v>1564.5</v>
      </c>
      <c r="D30" s="6">
        <f>IFERROR(__xludf.DUMMYFUNCTION("""COMPUTED_VALUE"""),1502.2)</f>
        <v>1502.2</v>
      </c>
      <c r="E30" s="6">
        <f>IFERROR(__xludf.DUMMYFUNCTION("""COMPUTED_VALUE"""),1553.0)</f>
        <v>1553</v>
      </c>
      <c r="F30" s="6">
        <f>IFERROR(__xludf.DUMMYFUNCTION("""COMPUTED_VALUE"""),2.1419267E7)</f>
        <v>21419267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IFERROR(__xludf.DUMMYFUNCTION("""COMPUTED_VALUE"""),1553.0)</f>
        <v>1553</v>
      </c>
      <c r="C31" s="6">
        <f>IFERROR(__xludf.DUMMYFUNCTION("""COMPUTED_VALUE"""),1572.75)</f>
        <v>1572.75</v>
      </c>
      <c r="D31" s="6">
        <f>IFERROR(__xludf.DUMMYFUNCTION("""COMPUTED_VALUE"""),1511.2)</f>
        <v>1511.2</v>
      </c>
      <c r="E31" s="6">
        <f>IFERROR(__xludf.DUMMYFUNCTION("""COMPUTED_VALUE"""),1552.4)</f>
        <v>1552.4</v>
      </c>
      <c r="F31" s="6">
        <f>IFERROR(__xludf.DUMMYFUNCTION("""COMPUTED_VALUE"""),1.7570486E7)</f>
        <v>17570486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IFERROR(__xludf.DUMMYFUNCTION("""COMPUTED_VALUE"""),1560.0)</f>
        <v>1560</v>
      </c>
      <c r="C32" s="6">
        <f>IFERROR(__xludf.DUMMYFUNCTION("""COMPUTED_VALUE"""),1576.35)</f>
        <v>1576.35</v>
      </c>
      <c r="D32" s="6">
        <f>IFERROR(__xludf.DUMMYFUNCTION("""COMPUTED_VALUE"""),1541.0)</f>
        <v>1541</v>
      </c>
      <c r="E32" s="6">
        <f>IFERROR(__xludf.DUMMYFUNCTION("""COMPUTED_VALUE"""),1555.65)</f>
        <v>1555.65</v>
      </c>
      <c r="F32" s="6">
        <f>IFERROR(__xludf.DUMMYFUNCTION("""COMPUTED_VALUE"""),7826757.0)</f>
        <v>7826757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IFERROR(__xludf.DUMMYFUNCTION("""COMPUTED_VALUE"""),1544.95)</f>
        <v>1544.95</v>
      </c>
      <c r="C33" s="6">
        <f>IFERROR(__xludf.DUMMYFUNCTION("""COMPUTED_VALUE"""),1557.9)</f>
        <v>1557.9</v>
      </c>
      <c r="D33" s="6">
        <f>IFERROR(__xludf.DUMMYFUNCTION("""COMPUTED_VALUE"""),1444.4)</f>
        <v>1444.4</v>
      </c>
      <c r="E33" s="6">
        <f>IFERROR(__xludf.DUMMYFUNCTION("""COMPUTED_VALUE"""),1482.05)</f>
        <v>1482.05</v>
      </c>
      <c r="F33" s="6">
        <f>IFERROR(__xludf.DUMMYFUNCTION("""COMPUTED_VALUE"""),1.3678165E7)</f>
        <v>13678165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IFERROR(__xludf.DUMMYFUNCTION("""COMPUTED_VALUE"""),1494.0)</f>
        <v>1494</v>
      </c>
      <c r="C34" s="6">
        <f>IFERROR(__xludf.DUMMYFUNCTION("""COMPUTED_VALUE"""),1519.0)</f>
        <v>1519</v>
      </c>
      <c r="D34" s="6">
        <f>IFERROR(__xludf.DUMMYFUNCTION("""COMPUTED_VALUE"""),1443.3)</f>
        <v>1443.3</v>
      </c>
      <c r="E34" s="6">
        <f>IFERROR(__xludf.DUMMYFUNCTION("""COMPUTED_VALUE"""),1446.4)</f>
        <v>1446.4</v>
      </c>
      <c r="F34" s="6">
        <f>IFERROR(__xludf.DUMMYFUNCTION("""COMPUTED_VALUE"""),1.6892043E7)</f>
        <v>16892043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IFERROR(__xludf.DUMMYFUNCTION("""COMPUTED_VALUE"""),1458.75)</f>
        <v>1458.75</v>
      </c>
      <c r="C35" s="6">
        <f>IFERROR(__xludf.DUMMYFUNCTION("""COMPUTED_VALUE"""),1537.0)</f>
        <v>1537</v>
      </c>
      <c r="D35" s="6">
        <f>IFERROR(__xludf.DUMMYFUNCTION("""COMPUTED_VALUE"""),1450.1)</f>
        <v>1450.1</v>
      </c>
      <c r="E35" s="6">
        <f>IFERROR(__xludf.DUMMYFUNCTION("""COMPUTED_VALUE"""),1483.7)</f>
        <v>1483.7</v>
      </c>
      <c r="F35" s="6">
        <f>IFERROR(__xludf.DUMMYFUNCTION("""COMPUTED_VALUE"""),1.6430728E7)</f>
        <v>16430728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IFERROR(__xludf.DUMMYFUNCTION("""COMPUTED_VALUE"""),1495.7)</f>
        <v>1495.7</v>
      </c>
      <c r="C36" s="6">
        <f>IFERROR(__xludf.DUMMYFUNCTION("""COMPUTED_VALUE"""),1510.0)</f>
        <v>1510</v>
      </c>
      <c r="D36" s="6">
        <f>IFERROR(__xludf.DUMMYFUNCTION("""COMPUTED_VALUE"""),1393.45)</f>
        <v>1393.45</v>
      </c>
      <c r="E36" s="6">
        <f>IFERROR(__xludf.DUMMYFUNCTION("""COMPUTED_VALUE"""),1410.15)</f>
        <v>1410.15</v>
      </c>
      <c r="F36" s="6">
        <f>IFERROR(__xludf.DUMMYFUNCTION("""COMPUTED_VALUE"""),1.4610592E7)</f>
        <v>14610592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IFERROR(__xludf.DUMMYFUNCTION("""COMPUTED_VALUE"""),1420.0)</f>
        <v>1420</v>
      </c>
      <c r="C37" s="6">
        <f>IFERROR(__xludf.DUMMYFUNCTION("""COMPUTED_VALUE"""),1451.0)</f>
        <v>1451</v>
      </c>
      <c r="D37" s="6">
        <f>IFERROR(__xludf.DUMMYFUNCTION("""COMPUTED_VALUE"""),1391.85)</f>
        <v>1391.85</v>
      </c>
      <c r="E37" s="6">
        <f>IFERROR(__xludf.DUMMYFUNCTION("""COMPUTED_VALUE"""),1441.8)</f>
        <v>1441.8</v>
      </c>
      <c r="F37" s="6">
        <f>IFERROR(__xludf.DUMMYFUNCTION("""COMPUTED_VALUE"""),1.8349143E7)</f>
        <v>18349143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IFERROR(__xludf.DUMMYFUNCTION("""COMPUTED_VALUE"""),1447.85)</f>
        <v>1447.85</v>
      </c>
      <c r="C38" s="6">
        <f>IFERROR(__xludf.DUMMYFUNCTION("""COMPUTED_VALUE"""),1478.8)</f>
        <v>1478.8</v>
      </c>
      <c r="D38" s="6">
        <f>IFERROR(__xludf.DUMMYFUNCTION("""COMPUTED_VALUE"""),1439.15)</f>
        <v>1439.15</v>
      </c>
      <c r="E38" s="6">
        <f>IFERROR(__xludf.DUMMYFUNCTION("""COMPUTED_VALUE"""),1461.85)</f>
        <v>1461.85</v>
      </c>
      <c r="F38" s="6">
        <f>IFERROR(__xludf.DUMMYFUNCTION("""COMPUTED_VALUE"""),1.6981026E7)</f>
        <v>16981026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IFERROR(__xludf.DUMMYFUNCTION("""COMPUTED_VALUE"""),1514.95)</f>
        <v>1514.95</v>
      </c>
      <c r="C39" s="6">
        <f>IFERROR(__xludf.DUMMYFUNCTION("""COMPUTED_VALUE"""),1534.9)</f>
        <v>1534.9</v>
      </c>
      <c r="D39" s="6">
        <f>IFERROR(__xludf.DUMMYFUNCTION("""COMPUTED_VALUE"""),1363.55)</f>
        <v>1363.55</v>
      </c>
      <c r="E39" s="6">
        <f>IFERROR(__xludf.DUMMYFUNCTION("""COMPUTED_VALUE"""),1492.1)</f>
        <v>1492.1</v>
      </c>
      <c r="F39" s="6">
        <f>IFERROR(__xludf.DUMMYFUNCTION("""COMPUTED_VALUE"""),3.443584E7)</f>
        <v>34435840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IFERROR(__xludf.DUMMYFUNCTION("""COMPUTED_VALUE"""),1498.5)</f>
        <v>1498.5</v>
      </c>
      <c r="C40" s="6">
        <f>IFERROR(__xludf.DUMMYFUNCTION("""COMPUTED_VALUE"""),1515.9)</f>
        <v>1515.9</v>
      </c>
      <c r="D40" s="6">
        <f>IFERROR(__xludf.DUMMYFUNCTION("""COMPUTED_VALUE"""),1473.0)</f>
        <v>1473</v>
      </c>
      <c r="E40" s="6">
        <f>IFERROR(__xludf.DUMMYFUNCTION("""COMPUTED_VALUE"""),1502.35)</f>
        <v>1502.35</v>
      </c>
      <c r="F40" s="6">
        <f>IFERROR(__xludf.DUMMYFUNCTION("""COMPUTED_VALUE"""),1.4727005E7)</f>
        <v>14727005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IFERROR(__xludf.DUMMYFUNCTION("""COMPUTED_VALUE"""),1514.0)</f>
        <v>1514</v>
      </c>
      <c r="C41" s="6">
        <f>IFERROR(__xludf.DUMMYFUNCTION("""COMPUTED_VALUE"""),1550.0)</f>
        <v>1550</v>
      </c>
      <c r="D41" s="6">
        <f>IFERROR(__xludf.DUMMYFUNCTION("""COMPUTED_VALUE"""),1499.1)</f>
        <v>1499.1</v>
      </c>
      <c r="E41" s="6">
        <f>IFERROR(__xludf.DUMMYFUNCTION("""COMPUTED_VALUE"""),1527.15)</f>
        <v>1527.15</v>
      </c>
      <c r="F41" s="6">
        <f>IFERROR(__xludf.DUMMYFUNCTION("""COMPUTED_VALUE"""),2.2653379E7)</f>
        <v>22653379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IFERROR(__xludf.DUMMYFUNCTION("""COMPUTED_VALUE"""),1507.15)</f>
        <v>1507.15</v>
      </c>
      <c r="C42" s="6">
        <f>IFERROR(__xludf.DUMMYFUNCTION("""COMPUTED_VALUE"""),1521.0)</f>
        <v>1521</v>
      </c>
      <c r="D42" s="6">
        <f>IFERROR(__xludf.DUMMYFUNCTION("""COMPUTED_VALUE"""),1460.5)</f>
        <v>1460.5</v>
      </c>
      <c r="E42" s="6">
        <f>IFERROR(__xludf.DUMMYFUNCTION("""COMPUTED_VALUE"""),1464.5)</f>
        <v>1464.5</v>
      </c>
      <c r="F42" s="6">
        <f>IFERROR(__xludf.DUMMYFUNCTION("""COMPUTED_VALUE"""),2.511571E7)</f>
        <v>25115710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IFERROR(__xludf.DUMMYFUNCTION("""COMPUTED_VALUE"""),1468.95)</f>
        <v>1468.95</v>
      </c>
      <c r="C43" s="6">
        <f>IFERROR(__xludf.DUMMYFUNCTION("""COMPUTED_VALUE"""),1469.0)</f>
        <v>1469</v>
      </c>
      <c r="D43" s="6">
        <f>IFERROR(__xludf.DUMMYFUNCTION("""COMPUTED_VALUE"""),1420.65)</f>
        <v>1420.65</v>
      </c>
      <c r="E43" s="6">
        <f>IFERROR(__xludf.DUMMYFUNCTION("""COMPUTED_VALUE"""),1434.25)</f>
        <v>1434.25</v>
      </c>
      <c r="F43" s="6">
        <f>IFERROR(__xludf.DUMMYFUNCTION("""COMPUTED_VALUE"""),2.0944621E7)</f>
        <v>20944621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IFERROR(__xludf.DUMMYFUNCTION("""COMPUTED_VALUE"""),1428.0)</f>
        <v>1428</v>
      </c>
      <c r="C44" s="6">
        <f>IFERROR(__xludf.DUMMYFUNCTION("""COMPUTED_VALUE"""),1450.95)</f>
        <v>1450.95</v>
      </c>
      <c r="D44" s="6">
        <f>IFERROR(__xludf.DUMMYFUNCTION("""COMPUTED_VALUE"""),1415.05)</f>
        <v>1415.05</v>
      </c>
      <c r="E44" s="6">
        <f>IFERROR(__xludf.DUMMYFUNCTION("""COMPUTED_VALUE"""),1434.55)</f>
        <v>1434.55</v>
      </c>
      <c r="F44" s="6">
        <f>IFERROR(__xludf.DUMMYFUNCTION("""COMPUTED_VALUE"""),1.5634172E7)</f>
        <v>15634172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IFERROR(__xludf.DUMMYFUNCTION("""COMPUTED_VALUE"""),1438.5)</f>
        <v>1438.5</v>
      </c>
      <c r="C45" s="6">
        <f>IFERROR(__xludf.DUMMYFUNCTION("""COMPUTED_VALUE"""),1460.85)</f>
        <v>1460.85</v>
      </c>
      <c r="D45" s="6">
        <f>IFERROR(__xludf.DUMMYFUNCTION("""COMPUTED_VALUE"""),1429.0)</f>
        <v>1429</v>
      </c>
      <c r="E45" s="6">
        <f>IFERROR(__xludf.DUMMYFUNCTION("""COMPUTED_VALUE"""),1432.45)</f>
        <v>1432.45</v>
      </c>
      <c r="F45" s="6">
        <f>IFERROR(__xludf.DUMMYFUNCTION("""COMPUTED_VALUE"""),1.3186099E7)</f>
        <v>13186099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IFERROR(__xludf.DUMMYFUNCTION("""COMPUTED_VALUE"""),1428.0)</f>
        <v>1428</v>
      </c>
      <c r="C46" s="6">
        <f>IFERROR(__xludf.DUMMYFUNCTION("""COMPUTED_VALUE"""),1429.95)</f>
        <v>1429.95</v>
      </c>
      <c r="D46" s="6">
        <f>IFERROR(__xludf.DUMMYFUNCTION("""COMPUTED_VALUE"""),1359.05)</f>
        <v>1359.05</v>
      </c>
      <c r="E46" s="6">
        <f>IFERROR(__xludf.DUMMYFUNCTION("""COMPUTED_VALUE"""),1403.9)</f>
        <v>1403.9</v>
      </c>
      <c r="F46" s="6">
        <f>IFERROR(__xludf.DUMMYFUNCTION("""COMPUTED_VALUE"""),1.8731157E7)</f>
        <v>18731157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IFERROR(__xludf.DUMMYFUNCTION("""COMPUTED_VALUE"""),1415.0)</f>
        <v>1415</v>
      </c>
      <c r="C47" s="6">
        <f>IFERROR(__xludf.DUMMYFUNCTION("""COMPUTED_VALUE"""),1444.95)</f>
        <v>1444.95</v>
      </c>
      <c r="D47" s="6">
        <f>IFERROR(__xludf.DUMMYFUNCTION("""COMPUTED_VALUE"""),1392.7)</f>
        <v>1392.7</v>
      </c>
      <c r="E47" s="6">
        <f>IFERROR(__xludf.DUMMYFUNCTION("""COMPUTED_VALUE"""),1404.3)</f>
        <v>1404.3</v>
      </c>
      <c r="F47" s="6">
        <f>IFERROR(__xludf.DUMMYFUNCTION("""COMPUTED_VALUE"""),1.9382625E7)</f>
        <v>19382625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IFERROR(__xludf.DUMMYFUNCTION("""COMPUTED_VALUE"""),1388.0)</f>
        <v>1388</v>
      </c>
      <c r="C48" s="6">
        <f>IFERROR(__xludf.DUMMYFUNCTION("""COMPUTED_VALUE"""),1407.3)</f>
        <v>1407.3</v>
      </c>
      <c r="D48" s="6">
        <f>IFERROR(__xludf.DUMMYFUNCTION("""COMPUTED_VALUE"""),1329.2)</f>
        <v>1329.2</v>
      </c>
      <c r="E48" s="6">
        <f>IFERROR(__xludf.DUMMYFUNCTION("""COMPUTED_VALUE"""),1349.8)</f>
        <v>1349.8</v>
      </c>
      <c r="F48" s="6">
        <f>IFERROR(__xludf.DUMMYFUNCTION("""COMPUTED_VALUE"""),2.3438774E7)</f>
        <v>23438774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IFERROR(__xludf.DUMMYFUNCTION("""COMPUTED_VALUE"""),1349.8)</f>
        <v>1349.8</v>
      </c>
      <c r="C49" s="6">
        <f>IFERROR(__xludf.DUMMYFUNCTION("""COMPUTED_VALUE"""),1371.65)</f>
        <v>1371.65</v>
      </c>
      <c r="D49" s="6">
        <f>IFERROR(__xludf.DUMMYFUNCTION("""COMPUTED_VALUE"""),1335.95)</f>
        <v>1335.95</v>
      </c>
      <c r="E49" s="6">
        <f>IFERROR(__xludf.DUMMYFUNCTION("""COMPUTED_VALUE"""),1364.15)</f>
        <v>1364.15</v>
      </c>
      <c r="F49" s="6">
        <f>IFERROR(__xludf.DUMMYFUNCTION("""COMPUTED_VALUE"""),1.8666692E7)</f>
        <v>18666692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IFERROR(__xludf.DUMMYFUNCTION("""COMPUTED_VALUE"""),1370.05)</f>
        <v>1370.05</v>
      </c>
      <c r="C50" s="6">
        <f>IFERROR(__xludf.DUMMYFUNCTION("""COMPUTED_VALUE"""),1395.95)</f>
        <v>1395.95</v>
      </c>
      <c r="D50" s="6">
        <f>IFERROR(__xludf.DUMMYFUNCTION("""COMPUTED_VALUE"""),1345.55)</f>
        <v>1345.55</v>
      </c>
      <c r="E50" s="6">
        <f>IFERROR(__xludf.DUMMYFUNCTION("""COMPUTED_VALUE"""),1388.55)</f>
        <v>1388.55</v>
      </c>
      <c r="F50" s="6">
        <f>IFERROR(__xludf.DUMMYFUNCTION("""COMPUTED_VALUE"""),2.2607399E7)</f>
        <v>22607399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IFERROR(__xludf.DUMMYFUNCTION("""COMPUTED_VALUE"""),1395.3)</f>
        <v>1395.3</v>
      </c>
      <c r="C51" s="6">
        <f>IFERROR(__xludf.DUMMYFUNCTION("""COMPUTED_VALUE"""),1430.0)</f>
        <v>1430</v>
      </c>
      <c r="D51" s="6">
        <f>IFERROR(__xludf.DUMMYFUNCTION("""COMPUTED_VALUE"""),1377.55)</f>
        <v>1377.55</v>
      </c>
      <c r="E51" s="6">
        <f>IFERROR(__xludf.DUMMYFUNCTION("""COMPUTED_VALUE"""),1425.25)</f>
        <v>1425.25</v>
      </c>
      <c r="F51" s="6">
        <f>IFERROR(__xludf.DUMMYFUNCTION("""COMPUTED_VALUE"""),1.6350854E7)</f>
        <v>16350854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IFERROR(__xludf.DUMMYFUNCTION("""COMPUTED_VALUE"""),1425.25)</f>
        <v>1425.25</v>
      </c>
      <c r="C52" s="6">
        <f>IFERROR(__xludf.DUMMYFUNCTION("""COMPUTED_VALUE"""),1451.9)</f>
        <v>1451.9</v>
      </c>
      <c r="D52" s="6">
        <f>IFERROR(__xludf.DUMMYFUNCTION("""COMPUTED_VALUE"""),1401.5)</f>
        <v>1401.5</v>
      </c>
      <c r="E52" s="6">
        <f>IFERROR(__xludf.DUMMYFUNCTION("""COMPUTED_VALUE"""),1409.35)</f>
        <v>1409.35</v>
      </c>
      <c r="F52" s="6">
        <f>IFERROR(__xludf.DUMMYFUNCTION("""COMPUTED_VALUE"""),1.5331099E7)</f>
        <v>15331099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IFERROR(__xludf.DUMMYFUNCTION("""COMPUTED_VALUE"""),1409.35)</f>
        <v>1409.35</v>
      </c>
      <c r="C53" s="6">
        <f>IFERROR(__xludf.DUMMYFUNCTION("""COMPUTED_VALUE"""),1470.95)</f>
        <v>1470.95</v>
      </c>
      <c r="D53" s="6">
        <f>IFERROR(__xludf.DUMMYFUNCTION("""COMPUTED_VALUE"""),1400.1)</f>
        <v>1400.1</v>
      </c>
      <c r="E53" s="6">
        <f>IFERROR(__xludf.DUMMYFUNCTION("""COMPUTED_VALUE"""),1464.05)</f>
        <v>1464.05</v>
      </c>
      <c r="F53" s="6">
        <f>IFERROR(__xludf.DUMMYFUNCTION("""COMPUTED_VALUE"""),1.2275742E7)</f>
        <v>12275742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IFERROR(__xludf.DUMMYFUNCTION("""COMPUTED_VALUE"""),1469.95)</f>
        <v>1469.95</v>
      </c>
      <c r="C54" s="6">
        <f>IFERROR(__xludf.DUMMYFUNCTION("""COMPUTED_VALUE"""),1498.0)</f>
        <v>1498</v>
      </c>
      <c r="D54" s="6">
        <f>IFERROR(__xludf.DUMMYFUNCTION("""COMPUTED_VALUE"""),1461.1)</f>
        <v>1461.1</v>
      </c>
      <c r="E54" s="6">
        <f>IFERROR(__xludf.DUMMYFUNCTION("""COMPUTED_VALUE"""),1480.2)</f>
        <v>1480.2</v>
      </c>
      <c r="F54" s="6">
        <f>IFERROR(__xludf.DUMMYFUNCTION("""COMPUTED_VALUE"""),1.6525697E7)</f>
        <v>16525697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IFERROR(__xludf.DUMMYFUNCTION("""COMPUTED_VALUE"""),1490.2)</f>
        <v>1490.2</v>
      </c>
      <c r="C55" s="6">
        <f>IFERROR(__xludf.DUMMYFUNCTION("""COMPUTED_VALUE"""),1490.85)</f>
        <v>1490.85</v>
      </c>
      <c r="D55" s="6">
        <f>IFERROR(__xludf.DUMMYFUNCTION("""COMPUTED_VALUE"""),1432.25)</f>
        <v>1432.25</v>
      </c>
      <c r="E55" s="6">
        <f>IFERROR(__xludf.DUMMYFUNCTION("""COMPUTED_VALUE"""),1462.7)</f>
        <v>1462.7</v>
      </c>
      <c r="F55" s="6">
        <f>IFERROR(__xludf.DUMMYFUNCTION("""COMPUTED_VALUE"""),1.9613685E7)</f>
        <v>19613685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IFERROR(__xludf.DUMMYFUNCTION("""COMPUTED_VALUE"""),1467.0)</f>
        <v>1467</v>
      </c>
      <c r="C56" s="6">
        <f>IFERROR(__xludf.DUMMYFUNCTION("""COMPUTED_VALUE"""),1474.8)</f>
        <v>1474.8</v>
      </c>
      <c r="D56" s="6">
        <f>IFERROR(__xludf.DUMMYFUNCTION("""COMPUTED_VALUE"""),1380.85)</f>
        <v>1380.85</v>
      </c>
      <c r="E56" s="6">
        <f>IFERROR(__xludf.DUMMYFUNCTION("""COMPUTED_VALUE"""),1382.85)</f>
        <v>1382.85</v>
      </c>
      <c r="F56" s="6">
        <f>IFERROR(__xludf.DUMMYFUNCTION("""COMPUTED_VALUE"""),1.0526786E7)</f>
        <v>10526786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IFERROR(__xludf.DUMMYFUNCTION("""COMPUTED_VALUE"""),1388.0)</f>
        <v>1388</v>
      </c>
      <c r="C57" s="6">
        <f>IFERROR(__xludf.DUMMYFUNCTION("""COMPUTED_VALUE"""),1394.05)</f>
        <v>1394.05</v>
      </c>
      <c r="D57" s="6">
        <f>IFERROR(__xludf.DUMMYFUNCTION("""COMPUTED_VALUE"""),1335.55)</f>
        <v>1335.55</v>
      </c>
      <c r="E57" s="6">
        <f>IFERROR(__xludf.DUMMYFUNCTION("""COMPUTED_VALUE"""),1347.6)</f>
        <v>1347.6</v>
      </c>
      <c r="F57" s="6">
        <f>IFERROR(__xludf.DUMMYFUNCTION("""COMPUTED_VALUE"""),1.600726E7)</f>
        <v>16007260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IFERROR(__xludf.DUMMYFUNCTION("""COMPUTED_VALUE"""),1354.6)</f>
        <v>1354.6</v>
      </c>
      <c r="C58" s="6">
        <f>IFERROR(__xludf.DUMMYFUNCTION("""COMPUTED_VALUE"""),1374.45)</f>
        <v>1374.45</v>
      </c>
      <c r="D58" s="6">
        <f>IFERROR(__xludf.DUMMYFUNCTION("""COMPUTED_VALUE"""),1331.0)</f>
        <v>1331</v>
      </c>
      <c r="E58" s="6">
        <f>IFERROR(__xludf.DUMMYFUNCTION("""COMPUTED_VALUE"""),1347.25)</f>
        <v>1347.25</v>
      </c>
      <c r="F58" s="6">
        <f>IFERROR(__xludf.DUMMYFUNCTION("""COMPUTED_VALUE"""),1.1313509E7)</f>
        <v>11313509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IFERROR(__xludf.DUMMYFUNCTION("""COMPUTED_VALUE"""),1352.05)</f>
        <v>1352.05</v>
      </c>
      <c r="C59" s="6">
        <f>IFERROR(__xludf.DUMMYFUNCTION("""COMPUTED_VALUE"""),1353.95)</f>
        <v>1353.95</v>
      </c>
      <c r="D59" s="6">
        <f>IFERROR(__xludf.DUMMYFUNCTION("""COMPUTED_VALUE"""),1025.5)</f>
        <v>1025.5</v>
      </c>
      <c r="E59" s="6">
        <f>IFERROR(__xludf.DUMMYFUNCTION("""COMPUTED_VALUE"""),1041.6)</f>
        <v>1041.6</v>
      </c>
      <c r="F59" s="6">
        <f>IFERROR(__xludf.DUMMYFUNCTION("""COMPUTED_VALUE"""),7.428313E7)</f>
        <v>74283130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IFERROR(__xludf.DUMMYFUNCTION("""COMPUTED_VALUE"""),1067.0)</f>
        <v>1067</v>
      </c>
      <c r="C60" s="6">
        <f>IFERROR(__xludf.DUMMYFUNCTION("""COMPUTED_VALUE"""),1098.6)</f>
        <v>1098.6</v>
      </c>
      <c r="D60" s="6">
        <f>IFERROR(__xludf.DUMMYFUNCTION("""COMPUTED_VALUE"""),1048.05)</f>
        <v>1048.05</v>
      </c>
      <c r="E60" s="6">
        <f>IFERROR(__xludf.DUMMYFUNCTION("""COMPUTED_VALUE"""),1053.8)</f>
        <v>1053.8</v>
      </c>
      <c r="F60" s="6">
        <f>IFERROR(__xludf.DUMMYFUNCTION("""COMPUTED_VALUE"""),2.4147534E7)</f>
        <v>24147534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IFERROR(__xludf.DUMMYFUNCTION("""COMPUTED_VALUE"""),1053.0)</f>
        <v>1053</v>
      </c>
      <c r="C61" s="6">
        <f>IFERROR(__xludf.DUMMYFUNCTION("""COMPUTED_VALUE"""),1067.8)</f>
        <v>1067.8</v>
      </c>
      <c r="D61" s="6">
        <f>IFERROR(__xludf.DUMMYFUNCTION("""COMPUTED_VALUE"""),1015.0)</f>
        <v>1015</v>
      </c>
      <c r="E61" s="6">
        <f>IFERROR(__xludf.DUMMYFUNCTION("""COMPUTED_VALUE"""),1017.15)</f>
        <v>1017.15</v>
      </c>
      <c r="F61" s="6">
        <f>IFERROR(__xludf.DUMMYFUNCTION("""COMPUTED_VALUE"""),1.4567475E7)</f>
        <v>14567475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IFERROR(__xludf.DUMMYFUNCTION("""COMPUTED_VALUE"""),1015.5)</f>
        <v>1015.5</v>
      </c>
      <c r="C62" s="6">
        <f>IFERROR(__xludf.DUMMYFUNCTION("""COMPUTED_VALUE"""),1032.0)</f>
        <v>1032</v>
      </c>
      <c r="D62" s="6">
        <f>IFERROR(__xludf.DUMMYFUNCTION("""COMPUTED_VALUE"""),966.4)</f>
        <v>966.4</v>
      </c>
      <c r="E62" s="6">
        <f>IFERROR(__xludf.DUMMYFUNCTION("""COMPUTED_VALUE"""),998.2)</f>
        <v>998.2</v>
      </c>
      <c r="F62" s="6">
        <f>IFERROR(__xludf.DUMMYFUNCTION("""COMPUTED_VALUE"""),2.1779701E7)</f>
        <v>21779701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IFERROR(__xludf.DUMMYFUNCTION("""COMPUTED_VALUE"""),1020.0)</f>
        <v>1020</v>
      </c>
      <c r="C63" s="6">
        <f>IFERROR(__xludf.DUMMYFUNCTION("""COMPUTED_VALUE"""),1022.05)</f>
        <v>1022.05</v>
      </c>
      <c r="D63" s="6">
        <f>IFERROR(__xludf.DUMMYFUNCTION("""COMPUTED_VALUE"""),987.3)</f>
        <v>987.3</v>
      </c>
      <c r="E63" s="6">
        <f>IFERROR(__xludf.DUMMYFUNCTION("""COMPUTED_VALUE"""),995.85)</f>
        <v>995.85</v>
      </c>
      <c r="F63" s="6">
        <f>IFERROR(__xludf.DUMMYFUNCTION("""COMPUTED_VALUE"""),2.3318576E7)</f>
        <v>23318576</v>
      </c>
    </row>
    <row r="64">
      <c r="A64" s="7">
        <f>IFERROR(__xludf.DUMMYFUNCTION("""COMPUTED_VALUE"""),45632.64583333333)</f>
        <v>45632.64583</v>
      </c>
      <c r="B64" s="6">
        <f>IFERROR(__xludf.DUMMYFUNCTION("""COMPUTED_VALUE"""),990.05)</f>
        <v>990.05</v>
      </c>
      <c r="C64" s="6">
        <f>IFERROR(__xludf.DUMMYFUNCTION("""COMPUTED_VALUE"""),1011.5)</f>
        <v>1011.5</v>
      </c>
      <c r="D64" s="6">
        <f>IFERROR(__xludf.DUMMYFUNCTION("""COMPUTED_VALUE"""),979.0)</f>
        <v>979</v>
      </c>
      <c r="E64" s="6">
        <f>IFERROR(__xludf.DUMMYFUNCTION("""COMPUTED_VALUE"""),990.35)</f>
        <v>990.35</v>
      </c>
      <c r="F64" s="6">
        <f>IFERROR(__xludf.DUMMYFUNCTION("""COMPUTED_VALUE"""),2.5403915E7)</f>
        <v>25403915</v>
      </c>
    </row>
    <row r="65">
      <c r="A65" s="7">
        <f>IFERROR(__xludf.DUMMYFUNCTION("""COMPUTED_VALUE"""),45639.64583333333)</f>
        <v>45639.64583</v>
      </c>
      <c r="B65" s="6">
        <f>IFERROR(__xludf.DUMMYFUNCTION("""COMPUTED_VALUE"""),992.8)</f>
        <v>992.8</v>
      </c>
      <c r="C65" s="6">
        <f>IFERROR(__xludf.DUMMYFUNCTION("""COMPUTED_VALUE"""),1005.5)</f>
        <v>1005.5</v>
      </c>
      <c r="D65" s="6">
        <f>IFERROR(__xludf.DUMMYFUNCTION("""COMPUTED_VALUE"""),965.55)</f>
        <v>965.55</v>
      </c>
      <c r="E65" s="6">
        <f>IFERROR(__xludf.DUMMYFUNCTION("""COMPUTED_VALUE"""),986.65)</f>
        <v>986.65</v>
      </c>
      <c r="F65" s="6">
        <f>IFERROR(__xludf.DUMMYFUNCTION("""COMPUTED_VALUE"""),2.3534734E7)</f>
        <v>23534734</v>
      </c>
    </row>
    <row r="66">
      <c r="A66" s="7">
        <f>IFERROR(__xludf.DUMMYFUNCTION("""COMPUTED_VALUE"""),45646.64583333333)</f>
        <v>45646.64583</v>
      </c>
      <c r="B66" s="6">
        <f>IFERROR(__xludf.DUMMYFUNCTION("""COMPUTED_VALUE"""),987.9)</f>
        <v>987.9</v>
      </c>
      <c r="C66" s="6">
        <f>IFERROR(__xludf.DUMMYFUNCTION("""COMPUTED_VALUE"""),1007.95)</f>
        <v>1007.95</v>
      </c>
      <c r="D66" s="6">
        <f>IFERROR(__xludf.DUMMYFUNCTION("""COMPUTED_VALUE"""),926.45)</f>
        <v>926.45</v>
      </c>
      <c r="E66" s="6">
        <f>IFERROR(__xludf.DUMMYFUNCTION("""COMPUTED_VALUE"""),929.45)</f>
        <v>929.45</v>
      </c>
      <c r="F66" s="6">
        <f>IFERROR(__xludf.DUMMYFUNCTION("""COMPUTED_VALUE"""),1.7442362E7)</f>
        <v>17442362</v>
      </c>
    </row>
    <row r="67">
      <c r="A67" s="7">
        <f>IFERROR(__xludf.DUMMYFUNCTION("""COMPUTED_VALUE"""),45653.64583333333)</f>
        <v>45653.64583</v>
      </c>
      <c r="B67" s="6">
        <f>IFERROR(__xludf.DUMMYFUNCTION("""COMPUTED_VALUE"""),938.95)</f>
        <v>938.95</v>
      </c>
      <c r="C67" s="6">
        <f>IFERROR(__xludf.DUMMYFUNCTION("""COMPUTED_VALUE"""),971.1)</f>
        <v>971.1</v>
      </c>
      <c r="D67" s="6">
        <f>IFERROR(__xludf.DUMMYFUNCTION("""COMPUTED_VALUE"""),928.25)</f>
        <v>928.25</v>
      </c>
      <c r="E67" s="6">
        <f>IFERROR(__xludf.DUMMYFUNCTION("""COMPUTED_VALUE"""),953.4)</f>
        <v>953.4</v>
      </c>
      <c r="F67" s="6">
        <f>IFERROR(__xludf.DUMMYFUNCTION("""COMPUTED_VALUE"""),1.9668066E7)</f>
        <v>19668066</v>
      </c>
    </row>
    <row r="68">
      <c r="A68" s="7">
        <f>IFERROR(__xludf.DUMMYFUNCTION("""COMPUTED_VALUE"""),45660.64583333333)</f>
        <v>45660.64583</v>
      </c>
      <c r="B68" s="6">
        <f>IFERROR(__xludf.DUMMYFUNCTION("""COMPUTED_VALUE"""),953.3)</f>
        <v>953.3</v>
      </c>
      <c r="C68" s="6">
        <f>IFERROR(__xludf.DUMMYFUNCTION("""COMPUTED_VALUE"""),1025.4)</f>
        <v>1025.4</v>
      </c>
      <c r="D68" s="6">
        <f>IFERROR(__xludf.DUMMYFUNCTION("""COMPUTED_VALUE"""),948.85)</f>
        <v>948.85</v>
      </c>
      <c r="E68" s="6">
        <f>IFERROR(__xludf.DUMMYFUNCTION("""COMPUTED_VALUE"""),997.9)</f>
        <v>997.9</v>
      </c>
      <c r="F68" s="6">
        <f>IFERROR(__xludf.DUMMYFUNCTION("""COMPUTED_VALUE"""),2.4338895E7)</f>
        <v>24338895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IFERROR(__xludf.DUMMYFUNCTION("""COMPUTED_VALUE"""),1004.95)</f>
        <v>1004.95</v>
      </c>
      <c r="C69" s="6">
        <f>IFERROR(__xludf.DUMMYFUNCTION("""COMPUTED_VALUE"""),1004.95)</f>
        <v>1004.95</v>
      </c>
      <c r="D69" s="6">
        <f>IFERROR(__xludf.DUMMYFUNCTION("""COMPUTED_VALUE"""),933.05)</f>
        <v>933.05</v>
      </c>
      <c r="E69" s="6">
        <f>IFERROR(__xludf.DUMMYFUNCTION("""COMPUTED_VALUE"""),937.6)</f>
        <v>937.6</v>
      </c>
      <c r="F69" s="6">
        <f>IFERROR(__xludf.DUMMYFUNCTION("""COMPUTED_VALUE"""),1.9479472E7)</f>
        <v>19479472</v>
      </c>
    </row>
    <row r="70">
      <c r="A70" s="7">
        <f>IFERROR(__xludf.DUMMYFUNCTION("""COMPUTED_VALUE"""),45674.64583333333)</f>
        <v>45674.64583</v>
      </c>
      <c r="B70" s="6">
        <f>IFERROR(__xludf.DUMMYFUNCTION("""COMPUTED_VALUE"""),936.9)</f>
        <v>936.9</v>
      </c>
      <c r="C70" s="6">
        <f>IFERROR(__xludf.DUMMYFUNCTION("""COMPUTED_VALUE"""),990.65)</f>
        <v>990.65</v>
      </c>
      <c r="D70" s="6">
        <f>IFERROR(__xludf.DUMMYFUNCTION("""COMPUTED_VALUE"""),934.5)</f>
        <v>934.5</v>
      </c>
      <c r="E70" s="6">
        <f>IFERROR(__xludf.DUMMYFUNCTION("""COMPUTED_VALUE"""),970.95)</f>
        <v>970.95</v>
      </c>
      <c r="F70" s="6">
        <f>IFERROR(__xludf.DUMMYFUNCTION("""COMPUTED_VALUE"""),2.513745E7)</f>
        <v>25137450</v>
      </c>
    </row>
    <row r="71">
      <c r="A71" s="7">
        <f>IFERROR(__xludf.DUMMYFUNCTION("""COMPUTED_VALUE"""),45681.64583333333)</f>
        <v>45681.64583</v>
      </c>
      <c r="B71" s="6">
        <f>IFERROR(__xludf.DUMMYFUNCTION("""COMPUTED_VALUE"""),966.2)</f>
        <v>966.2</v>
      </c>
      <c r="C71" s="6">
        <f>IFERROR(__xludf.DUMMYFUNCTION("""COMPUTED_VALUE"""),988.55)</f>
        <v>988.55</v>
      </c>
      <c r="D71" s="6">
        <f>IFERROR(__xludf.DUMMYFUNCTION("""COMPUTED_VALUE"""),948.1)</f>
        <v>948.1</v>
      </c>
      <c r="E71" s="6">
        <f>IFERROR(__xludf.DUMMYFUNCTION("""COMPUTED_VALUE"""),950.8)</f>
        <v>950.8</v>
      </c>
      <c r="F71" s="6">
        <f>IFERROR(__xludf.DUMMYFUNCTION("""COMPUTED_VALUE"""),1.6792562E7)</f>
        <v>16792562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IFERROR(__xludf.DUMMYFUNCTION("""COMPUTED_VALUE"""),994.0)</f>
        <v>994</v>
      </c>
      <c r="C72" s="6">
        <f>IFERROR(__xludf.DUMMYFUNCTION("""COMPUTED_VALUE"""),1086.55)</f>
        <v>1086.55</v>
      </c>
      <c r="D72" s="6">
        <f>IFERROR(__xludf.DUMMYFUNCTION("""COMPUTED_VALUE"""),990.1)</f>
        <v>990.1</v>
      </c>
      <c r="E72" s="6">
        <f>IFERROR(__xludf.DUMMYFUNCTION("""COMPUTED_VALUE"""),1079.1)</f>
        <v>1079.1</v>
      </c>
      <c r="F72" s="6">
        <f>IFERROR(__xludf.DUMMYFUNCTION("""COMPUTED_VALUE"""),2.6381676E7)</f>
        <v>26381676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IFERROR(__xludf.DUMMYFUNCTION("""COMPUTED_VALUE"""),1076.0)</f>
        <v>1076</v>
      </c>
      <c r="C73" s="6">
        <f>IFERROR(__xludf.DUMMYFUNCTION("""COMPUTED_VALUE"""),1082.0)</f>
        <v>1082</v>
      </c>
      <c r="D73" s="6">
        <f>IFERROR(__xludf.DUMMYFUNCTION("""COMPUTED_VALUE"""),1018.2)</f>
        <v>1018.2</v>
      </c>
      <c r="E73" s="6">
        <f>IFERROR(__xludf.DUMMYFUNCTION("""COMPUTED_VALUE"""),1024.4)</f>
        <v>1024.4</v>
      </c>
      <c r="F73" s="6">
        <f>IFERROR(__xludf.DUMMYFUNCTION("""COMPUTED_VALUE"""),2.1940255E7)</f>
        <v>21940255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IFERROR(__xludf.DUMMYFUNCTION("""COMPUTED_VALUE"""),1024.4)</f>
        <v>1024.4</v>
      </c>
      <c r="C74" s="6">
        <f>IFERROR(__xludf.DUMMYFUNCTION("""COMPUTED_VALUE"""),1055.8)</f>
        <v>1055.8</v>
      </c>
      <c r="D74" s="6">
        <f>IFERROR(__xludf.DUMMYFUNCTION("""COMPUTED_VALUE"""),1013.1)</f>
        <v>1013.1</v>
      </c>
      <c r="E74" s="6">
        <f>IFERROR(__xludf.DUMMYFUNCTION("""COMPUTED_VALUE"""),1043.75)</f>
        <v>1043.75</v>
      </c>
      <c r="F74" s="6">
        <f>IFERROR(__xludf.DUMMYFUNCTION("""COMPUTED_VALUE"""),1.2290287E7)</f>
        <v>12290287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IFERROR(__xludf.DUMMYFUNCTION("""COMPUTED_VALUE"""),1030.1)</f>
        <v>1030.1</v>
      </c>
      <c r="C75" s="6">
        <f>IFERROR(__xludf.DUMMYFUNCTION("""COMPUTED_VALUE"""),1063.3)</f>
        <v>1063.3</v>
      </c>
      <c r="D75" s="6">
        <f>IFERROR(__xludf.DUMMYFUNCTION("""COMPUTED_VALUE"""),970.1)</f>
        <v>970.1</v>
      </c>
      <c r="E75" s="6">
        <f>IFERROR(__xludf.DUMMYFUNCTION("""COMPUTED_VALUE"""),990.1)</f>
        <v>990.1</v>
      </c>
      <c r="F75" s="6">
        <f>IFERROR(__xludf.DUMMYFUNCTION("""COMPUTED_VALUE"""),6.8321317E7)</f>
        <v>68321317</v>
      </c>
    </row>
    <row r="76">
      <c r="A76" s="7">
        <f>IFERROR(__xludf.DUMMYFUNCTION("""COMPUTED_VALUE"""),45723.64583333333)</f>
        <v>45723.64583</v>
      </c>
      <c r="B76" s="6">
        <f>IFERROR(__xludf.DUMMYFUNCTION("""COMPUTED_VALUE"""),978.95)</f>
        <v>978.95</v>
      </c>
      <c r="C76" s="6">
        <f>IFERROR(__xludf.DUMMYFUNCTION("""COMPUTED_VALUE"""),1003.6)</f>
        <v>1003.6</v>
      </c>
      <c r="D76" s="6">
        <f>IFERROR(__xludf.DUMMYFUNCTION("""COMPUTED_VALUE"""),932.3)</f>
        <v>932.3</v>
      </c>
      <c r="E76" s="6">
        <f>IFERROR(__xludf.DUMMYFUNCTION("""COMPUTED_VALUE"""),936.75)</f>
        <v>936.75</v>
      </c>
      <c r="F76" s="6">
        <f>IFERROR(__xludf.DUMMYFUNCTION("""COMPUTED_VALUE"""),2.5038702E7)</f>
        <v>25038702</v>
      </c>
    </row>
    <row r="77">
      <c r="A77" s="7">
        <f>IFERROR(__xludf.DUMMYFUNCTION("""COMPUTED_VALUE"""),45729.64583333333)</f>
        <v>45729.64583</v>
      </c>
      <c r="B77" s="6">
        <f>IFERROR(__xludf.DUMMYFUNCTION("""COMPUTED_VALUE"""),895.0)</f>
        <v>895</v>
      </c>
      <c r="C77" s="6">
        <f>IFERROR(__xludf.DUMMYFUNCTION("""COMPUTED_VALUE"""),913.35)</f>
        <v>913.35</v>
      </c>
      <c r="D77" s="6">
        <f>IFERROR(__xludf.DUMMYFUNCTION("""COMPUTED_VALUE"""),606.0)</f>
        <v>606</v>
      </c>
      <c r="E77" s="6">
        <f>IFERROR(__xludf.DUMMYFUNCTION("""COMPUTED_VALUE"""),672.35)</f>
        <v>672.35</v>
      </c>
      <c r="F77" s="6">
        <f>IFERROR(__xludf.DUMMYFUNCTION("""COMPUTED_VALUE"""),2.5736473E8)</f>
        <v>257364730</v>
      </c>
    </row>
    <row r="78">
      <c r="A78" s="7">
        <f>IFERROR(__xludf.DUMMYFUNCTION("""COMPUTED_VALUE"""),45737.64583333333)</f>
        <v>45737.64583</v>
      </c>
      <c r="B78" s="6">
        <f>IFERROR(__xludf.DUMMYFUNCTION("""COMPUTED_VALUE"""),705.0)</f>
        <v>705</v>
      </c>
      <c r="C78" s="6">
        <f>IFERROR(__xludf.DUMMYFUNCTION("""COMPUTED_VALUE"""),701.0)</f>
        <v>701</v>
      </c>
      <c r="D78" s="6">
        <f>IFERROR(__xludf.DUMMYFUNCTION("""COMPUTED_VALUE"""),0.0)</f>
        <v>0</v>
      </c>
      <c r="E78" s="6">
        <f>IFERROR(__xludf.DUMMYFUNCTION("""COMPUTED_VALUE"""),686.9)</f>
        <v>686.9</v>
      </c>
      <c r="F78" s="6">
        <f>IFERROR(__xludf.DUMMYFUNCTION("""COMPUTED_VALUE"""),4.6422097E7)</f>
        <v>46422097</v>
      </c>
    </row>
    <row r="79">
      <c r="A79" s="7">
        <f>IFERROR(__xludf.DUMMYFUNCTION("""COMPUTED_VALUE"""),45744.64583333333)</f>
        <v>45744.64583</v>
      </c>
      <c r="B79" s="6">
        <f>IFERROR(__xludf.DUMMYFUNCTION("""COMPUTED_VALUE"""),692.0)</f>
        <v>692</v>
      </c>
      <c r="C79" s="6">
        <f>IFERROR(__xludf.DUMMYFUNCTION("""COMPUTED_VALUE"""),693.75)</f>
        <v>693.75</v>
      </c>
      <c r="D79" s="6">
        <f>IFERROR(__xludf.DUMMYFUNCTION("""COMPUTED_VALUE"""),633.6)</f>
        <v>633.6</v>
      </c>
      <c r="E79" s="6">
        <f>IFERROR(__xludf.DUMMYFUNCTION("""COMPUTED_VALUE"""),649.85)</f>
        <v>649.85</v>
      </c>
      <c r="F79" s="6">
        <f>IFERROR(__xludf.DUMMYFUNCTION("""COMPUTED_VALUE"""),8.7169177E7)</f>
        <v>87169177</v>
      </c>
    </row>
    <row r="80">
      <c r="A80" s="7">
        <f>IFERROR(__xludf.DUMMYFUNCTION("""COMPUTED_VALUE"""),45751.64583333333)</f>
        <v>45751.64583</v>
      </c>
      <c r="B80" s="6">
        <f>IFERROR(__xludf.DUMMYFUNCTION("""COMPUTED_VALUE"""),649.0)</f>
        <v>649</v>
      </c>
      <c r="C80" s="6">
        <f>IFERROR(__xludf.DUMMYFUNCTION("""COMPUTED_VALUE"""),714.7)</f>
        <v>714.7</v>
      </c>
      <c r="D80" s="6">
        <f>IFERROR(__xludf.DUMMYFUNCTION("""COMPUTED_VALUE"""),646.85)</f>
        <v>646.85</v>
      </c>
      <c r="E80" s="6">
        <f>IFERROR(__xludf.DUMMYFUNCTION("""COMPUTED_VALUE"""),682.0)</f>
        <v>682</v>
      </c>
      <c r="F80" s="6">
        <f>IFERROR(__xludf.DUMMYFUNCTION("""COMPUTED_VALUE"""),4.5614188E7)</f>
        <v>45614188</v>
      </c>
    </row>
    <row r="81">
      <c r="A81" s="7">
        <f>IFERROR(__xludf.DUMMYFUNCTION("""COMPUTED_VALUE"""),45758.64583333333)</f>
        <v>45758.64583</v>
      </c>
      <c r="B81" s="6">
        <f>IFERROR(__xludf.DUMMYFUNCTION("""COMPUTED_VALUE"""),637.0)</f>
        <v>637</v>
      </c>
      <c r="C81" s="6">
        <f>IFERROR(__xludf.DUMMYFUNCTION("""COMPUTED_VALUE"""),695.9)</f>
        <v>695.9</v>
      </c>
      <c r="D81" s="6">
        <f>IFERROR(__xludf.DUMMYFUNCTION("""COMPUTED_VALUE"""),637.0)</f>
        <v>637</v>
      </c>
      <c r="E81" s="6">
        <f>IFERROR(__xludf.DUMMYFUNCTION("""COMPUTED_VALUE"""),689.5)</f>
        <v>689.5</v>
      </c>
      <c r="F81" s="6">
        <f>IFERROR(__xludf.DUMMYFUNCTION("""COMPUTED_VALUE"""),2.4285632E7)</f>
        <v>24285632</v>
      </c>
    </row>
    <row r="82">
      <c r="A82" s="7">
        <f>IFERROR(__xludf.DUMMYFUNCTION("""COMPUTED_VALUE"""),45764.64583333333)</f>
        <v>45764.64583</v>
      </c>
      <c r="B82" s="6">
        <f>IFERROR(__xludf.DUMMYFUNCTION("""COMPUTED_VALUE"""),705.0)</f>
        <v>705</v>
      </c>
      <c r="C82" s="6">
        <f>IFERROR(__xludf.DUMMYFUNCTION("""COMPUTED_VALUE"""),801.0)</f>
        <v>801</v>
      </c>
      <c r="D82" s="6">
        <f>IFERROR(__xludf.DUMMYFUNCTION("""COMPUTED_VALUE"""),693.05)</f>
        <v>693.05</v>
      </c>
      <c r="E82" s="6">
        <f>IFERROR(__xludf.DUMMYFUNCTION("""COMPUTED_VALUE"""),794.7)</f>
        <v>794.7</v>
      </c>
      <c r="F82" s="6">
        <f>IFERROR(__xludf.DUMMYFUNCTION("""COMPUTED_VALUE"""),5.7692224E7)</f>
        <v>57692224</v>
      </c>
    </row>
    <row r="83">
      <c r="A83" s="7">
        <f>IFERROR(__xludf.DUMMYFUNCTION("""COMPUTED_VALUE"""),45772.64583333333)</f>
        <v>45772.64583</v>
      </c>
      <c r="B83" s="6">
        <f>IFERROR(__xludf.DUMMYFUNCTION("""COMPUTED_VALUE"""),802.0)</f>
        <v>802</v>
      </c>
      <c r="C83" s="6">
        <f>IFERROR(__xludf.DUMMYFUNCTION("""COMPUTED_VALUE"""),841.9)</f>
        <v>841.9</v>
      </c>
      <c r="D83" s="6">
        <f>IFERROR(__xludf.DUMMYFUNCTION("""COMPUTED_VALUE"""),775.4)</f>
        <v>775.4</v>
      </c>
      <c r="E83" s="6">
        <f>IFERROR(__xludf.DUMMYFUNCTION("""COMPUTED_VALUE"""),822.35)</f>
        <v>822.35</v>
      </c>
      <c r="F83" s="6">
        <f>IFERROR(__xludf.DUMMYFUNCTION("""COMPUTED_VALUE"""),8.6297963E7)</f>
        <v>86297963</v>
      </c>
    </row>
    <row r="84">
      <c r="A84" s="7">
        <f>IFERROR(__xludf.DUMMYFUNCTION("""COMPUTED_VALUE"""),45779.64583333333)</f>
        <v>45779.64583</v>
      </c>
      <c r="B84" s="6">
        <f>IFERROR(__xludf.DUMMYFUNCTION("""COMPUTED_VALUE"""),828.0)</f>
        <v>828</v>
      </c>
      <c r="C84" s="6">
        <f>IFERROR(__xludf.DUMMYFUNCTION("""COMPUTED_VALUE"""),863.5)</f>
        <v>863.5</v>
      </c>
      <c r="D84" s="6">
        <f>IFERROR(__xludf.DUMMYFUNCTION("""COMPUTED_VALUE"""),810.05)</f>
        <v>810.05</v>
      </c>
      <c r="E84" s="6">
        <f>IFERROR(__xludf.DUMMYFUNCTION("""COMPUTED_VALUE"""),853.0)</f>
        <v>853</v>
      </c>
      <c r="F84" s="6">
        <f>IFERROR(__xludf.DUMMYFUNCTION("""COMPUTED_VALUE"""),4.3786829E7)</f>
        <v>43786829</v>
      </c>
    </row>
    <row r="85">
      <c r="A85" s="7">
        <f>IFERROR(__xludf.DUMMYFUNCTION("""COMPUTED_VALUE"""),45786.64583333333)</f>
        <v>45786.64583</v>
      </c>
      <c r="B85" s="6">
        <f>IFERROR(__xludf.DUMMYFUNCTION("""COMPUTED_VALUE"""),855.0)</f>
        <v>855</v>
      </c>
      <c r="C85" s="6">
        <f>IFERROR(__xludf.DUMMYFUNCTION("""COMPUTED_VALUE"""),862.0)</f>
        <v>862</v>
      </c>
      <c r="D85" s="6">
        <f>IFERROR(__xludf.DUMMYFUNCTION("""COMPUTED_VALUE"""),805.5)</f>
        <v>805.5</v>
      </c>
      <c r="E85" s="6">
        <f>IFERROR(__xludf.DUMMYFUNCTION("""COMPUTED_VALUE"""),818.2)</f>
        <v>818.2</v>
      </c>
      <c r="F85" s="6">
        <f>IFERROR(__xludf.DUMMYFUNCTION("""COMPUTED_VALUE"""),4.5713948E7)</f>
        <v>45713948</v>
      </c>
    </row>
    <row r="86">
      <c r="A86" s="7">
        <f>IFERROR(__xludf.DUMMYFUNCTION("""COMPUTED_VALUE"""),45793.64583333333)</f>
        <v>45793.64583</v>
      </c>
      <c r="B86" s="6">
        <f>IFERROR(__xludf.DUMMYFUNCTION("""COMPUTED_VALUE"""),835.0)</f>
        <v>835</v>
      </c>
      <c r="C86" s="6">
        <f>IFERROR(__xludf.DUMMYFUNCTION("""COMPUTED_VALUE"""),838.0)</f>
        <v>838</v>
      </c>
      <c r="D86" s="6">
        <f>IFERROR(__xludf.DUMMYFUNCTION("""COMPUTED_VALUE"""),750.0)</f>
        <v>750</v>
      </c>
      <c r="E86" s="6">
        <f>IFERROR(__xludf.DUMMYFUNCTION("""COMPUTED_VALUE"""),780.2)</f>
        <v>780.2</v>
      </c>
      <c r="F86" s="6">
        <f>IFERROR(__xludf.DUMMYFUNCTION("""COMPUTED_VALUE"""),6.9105516E7)</f>
        <v>69105516</v>
      </c>
    </row>
    <row r="87">
      <c r="A87" s="7">
        <f>IFERROR(__xludf.DUMMYFUNCTION("""COMPUTED_VALUE"""),45800.64583333333)</f>
        <v>45800.64583</v>
      </c>
      <c r="B87" s="6">
        <f>IFERROR(__xludf.DUMMYFUNCTION("""COMPUTED_VALUE"""),779.9)</f>
        <v>779.9</v>
      </c>
      <c r="C87" s="6">
        <f>IFERROR(__xludf.DUMMYFUNCTION("""COMPUTED_VALUE"""),799.7)</f>
        <v>799.7</v>
      </c>
      <c r="D87" s="6">
        <f>IFERROR(__xludf.DUMMYFUNCTION("""COMPUTED_VALUE"""),725.8)</f>
        <v>725.8</v>
      </c>
      <c r="E87" s="6">
        <f>IFERROR(__xludf.DUMMYFUNCTION("""COMPUTED_VALUE"""),793.4)</f>
        <v>793.4</v>
      </c>
      <c r="F87" s="6">
        <f>IFERROR(__xludf.DUMMYFUNCTION("""COMPUTED_VALUE"""),7.4703615E7)</f>
        <v>74703615</v>
      </c>
    </row>
    <row r="88">
      <c r="A88" s="7">
        <f>IFERROR(__xludf.DUMMYFUNCTION("""COMPUTED_VALUE"""),45807.64583333333)</f>
        <v>45807.64583</v>
      </c>
      <c r="B88" s="6">
        <f>IFERROR(__xludf.DUMMYFUNCTION("""COMPUTED_VALUE"""),793.35)</f>
        <v>793.35</v>
      </c>
      <c r="C88" s="6">
        <f>IFERROR(__xludf.DUMMYFUNCTION("""COMPUTED_VALUE"""),827.6)</f>
        <v>827.6</v>
      </c>
      <c r="D88" s="6">
        <f>IFERROR(__xludf.DUMMYFUNCTION("""COMPUTED_VALUE"""),790.75)</f>
        <v>790.75</v>
      </c>
      <c r="E88" s="6">
        <f>IFERROR(__xludf.DUMMYFUNCTION("""COMPUTED_VALUE"""),816.95)</f>
        <v>816.95</v>
      </c>
      <c r="F88" s="6">
        <f>IFERROR(__xludf.DUMMYFUNCTION("""COMPUTED_VALUE"""),3.5458589E7)</f>
        <v>35458589</v>
      </c>
    </row>
    <row r="89">
      <c r="A89" s="7">
        <f>IFERROR(__xludf.DUMMYFUNCTION("""COMPUTED_VALUE"""),45814.64583333333)</f>
        <v>45814.64583</v>
      </c>
      <c r="B89" s="6">
        <f>IFERROR(__xludf.DUMMYFUNCTION("""COMPUTED_VALUE"""),815.0)</f>
        <v>815</v>
      </c>
      <c r="C89" s="6">
        <f>IFERROR(__xludf.DUMMYFUNCTION("""COMPUTED_VALUE"""),845.85)</f>
        <v>845.85</v>
      </c>
      <c r="D89" s="6">
        <f>IFERROR(__xludf.DUMMYFUNCTION("""COMPUTED_VALUE"""),798.15)</f>
        <v>798.15</v>
      </c>
      <c r="E89" s="6">
        <f>IFERROR(__xludf.DUMMYFUNCTION("""COMPUTED_VALUE"""),822.85)</f>
        <v>822.85</v>
      </c>
      <c r="F89" s="6">
        <f>IFERROR(__xludf.DUMMYFUNCTION("""COMPUTED_VALUE"""),2.5495881E7)</f>
        <v>25495881</v>
      </c>
    </row>
    <row r="90">
      <c r="A90" s="7">
        <f>IFERROR(__xludf.DUMMYFUNCTION("""COMPUTED_VALUE"""),45821.64583333333)</f>
        <v>45821.64583</v>
      </c>
      <c r="B90" s="6">
        <f>IFERROR(__xludf.DUMMYFUNCTION("""COMPUTED_VALUE"""),831.25)</f>
        <v>831.25</v>
      </c>
      <c r="C90" s="6">
        <f>IFERROR(__xludf.DUMMYFUNCTION("""COMPUTED_VALUE"""),857.35)</f>
        <v>857.35</v>
      </c>
      <c r="D90" s="6">
        <f>IFERROR(__xludf.DUMMYFUNCTION("""COMPUTED_VALUE"""),813.05)</f>
        <v>813.05</v>
      </c>
      <c r="E90" s="6">
        <f>IFERROR(__xludf.DUMMYFUNCTION("""COMPUTED_VALUE"""),816.85)</f>
        <v>816.85</v>
      </c>
      <c r="F90" s="6">
        <f>IFERROR(__xludf.DUMMYFUNCTION("""COMPUTED_VALUE"""),2.5322697E7)</f>
        <v>25322697</v>
      </c>
    </row>
    <row r="91">
      <c r="A91" s="7">
        <f>IFERROR(__xludf.DUMMYFUNCTION("""COMPUTED_VALUE"""),45828.64583333333)</f>
        <v>45828.64583</v>
      </c>
      <c r="B91" s="6">
        <f>IFERROR(__xludf.DUMMYFUNCTION("""COMPUTED_VALUE"""),817.05)</f>
        <v>817.05</v>
      </c>
      <c r="C91" s="6">
        <f>IFERROR(__xludf.DUMMYFUNCTION("""COMPUTED_VALUE"""),855.5)</f>
        <v>855.5</v>
      </c>
      <c r="D91" s="6">
        <f>IFERROR(__xludf.DUMMYFUNCTION("""COMPUTED_VALUE"""),806.05)</f>
        <v>806.05</v>
      </c>
      <c r="E91" s="6">
        <f>IFERROR(__xludf.DUMMYFUNCTION("""COMPUTED_VALUE"""),840.25)</f>
        <v>840.25</v>
      </c>
      <c r="F91" s="6">
        <f>IFERROR(__xludf.DUMMYFUNCTION("""COMPUTED_VALUE"""),5.0782067E7)</f>
        <v>50782067</v>
      </c>
    </row>
    <row r="92">
      <c r="A92" s="7">
        <f>IFERROR(__xludf.DUMMYFUNCTION("""COMPUTED_VALUE"""),45835.64583333333)</f>
        <v>45835.64583</v>
      </c>
      <c r="B92" s="6">
        <f>IFERROR(__xludf.DUMMYFUNCTION("""COMPUTED_VALUE"""),835.2)</f>
        <v>835.2</v>
      </c>
      <c r="C92" s="6">
        <f>IFERROR(__xludf.DUMMYFUNCTION("""COMPUTED_VALUE"""),881.0)</f>
        <v>881</v>
      </c>
      <c r="D92" s="6">
        <f>IFERROR(__xludf.DUMMYFUNCTION("""COMPUTED_VALUE"""),823.8)</f>
        <v>823.8</v>
      </c>
      <c r="E92" s="6">
        <f>IFERROR(__xludf.DUMMYFUNCTION("""COMPUTED_VALUE"""),857.7)</f>
        <v>857.7</v>
      </c>
      <c r="F92" s="6">
        <f>IFERROR(__xludf.DUMMYFUNCTION("""COMPUTED_VALUE"""),3.0720503E7)</f>
        <v>30720503</v>
      </c>
    </row>
    <row r="93">
      <c r="A93" s="7">
        <f>IFERROR(__xludf.DUMMYFUNCTION("""COMPUTED_VALUE"""),45842.64583333333)</f>
        <v>45842.64583</v>
      </c>
      <c r="B93" s="6">
        <f>IFERROR(__xludf.DUMMYFUNCTION("""COMPUTED_VALUE"""),864.75)</f>
        <v>864.75</v>
      </c>
      <c r="C93" s="6">
        <f>IFERROR(__xludf.DUMMYFUNCTION("""COMPUTED_VALUE"""),892.8)</f>
        <v>892.8</v>
      </c>
      <c r="D93" s="6">
        <f>IFERROR(__xludf.DUMMYFUNCTION("""COMPUTED_VALUE"""),845.55)</f>
        <v>845.55</v>
      </c>
      <c r="E93" s="6">
        <f>IFERROR(__xludf.DUMMYFUNCTION("""COMPUTED_VALUE"""),856.25)</f>
        <v>856.25</v>
      </c>
      <c r="F93" s="6">
        <f>IFERROR(__xludf.DUMMYFUNCTION("""COMPUTED_VALUE"""),2.6779662E7)</f>
        <v>26779662</v>
      </c>
    </row>
    <row r="94">
      <c r="A94" s="7">
        <f>IFERROR(__xludf.DUMMYFUNCTION("""COMPUTED_VALUE"""),45849.64583333333)</f>
        <v>45849.64583</v>
      </c>
      <c r="B94" s="6">
        <f>IFERROR(__xludf.DUMMYFUNCTION("""COMPUTED_VALUE"""),847.0)</f>
        <v>847</v>
      </c>
      <c r="C94" s="6">
        <f>IFERROR(__xludf.DUMMYFUNCTION("""COMPUTED_VALUE"""),867.7)</f>
        <v>867.7</v>
      </c>
      <c r="D94" s="6">
        <f>IFERROR(__xludf.DUMMYFUNCTION("""COMPUTED_VALUE"""),839.55)</f>
        <v>839.55</v>
      </c>
      <c r="E94" s="6">
        <f>IFERROR(__xludf.DUMMYFUNCTION("""COMPUTED_VALUE"""),858.85)</f>
        <v>858.85</v>
      </c>
      <c r="F94" s="6">
        <f>IFERROR(__xludf.DUMMYFUNCTION("""COMPUTED_VALUE"""),1.4455957E7)</f>
        <v>14455957</v>
      </c>
    </row>
    <row r="95">
      <c r="A95" s="7">
        <f>IFERROR(__xludf.DUMMYFUNCTION("""COMPUTED_VALUE"""),45856.64583333333)</f>
        <v>45856.64583</v>
      </c>
      <c r="B95" s="6">
        <f>IFERROR(__xludf.DUMMYFUNCTION("""COMPUTED_VALUE"""),858.8)</f>
        <v>858.8</v>
      </c>
      <c r="C95" s="6">
        <f>IFERROR(__xludf.DUMMYFUNCTION("""COMPUTED_VALUE"""),890.9)</f>
        <v>890.9</v>
      </c>
      <c r="D95" s="6">
        <f>IFERROR(__xludf.DUMMYFUNCTION("""COMPUTED_VALUE"""),857.45)</f>
        <v>857.45</v>
      </c>
      <c r="E95" s="6">
        <f>IFERROR(__xludf.DUMMYFUNCTION("""COMPUTED_VALUE"""),870.05)</f>
        <v>870.05</v>
      </c>
      <c r="F95" s="6">
        <f>IFERROR(__xludf.DUMMYFUNCTION("""COMPUTED_VALUE"""),1.6809798E7)</f>
        <v>16809798</v>
      </c>
    </row>
    <row r="96">
      <c r="A96" s="7">
        <f>IFERROR(__xludf.DUMMYFUNCTION("""COMPUTED_VALUE"""),45863.64583333333)</f>
        <v>45863.64583</v>
      </c>
      <c r="B96" s="6">
        <f>IFERROR(__xludf.DUMMYFUNCTION("""COMPUTED_VALUE"""),870.05)</f>
        <v>870.05</v>
      </c>
      <c r="C96" s="6">
        <f>IFERROR(__xludf.DUMMYFUNCTION("""COMPUTED_VALUE"""),884.65)</f>
        <v>884.65</v>
      </c>
      <c r="D96" s="6">
        <f>IFERROR(__xludf.DUMMYFUNCTION("""COMPUTED_VALUE"""),821.4)</f>
        <v>821.4</v>
      </c>
      <c r="E96" s="6">
        <f>IFERROR(__xludf.DUMMYFUNCTION("""COMPUTED_VALUE"""),823.7)</f>
        <v>823.7</v>
      </c>
      <c r="F96" s="6">
        <f>IFERROR(__xludf.DUMMYFUNCTION("""COMPUTED_VALUE"""),2.1888772E7)</f>
        <v>21888772</v>
      </c>
    </row>
    <row r="97">
      <c r="A97" s="7">
        <f>IFERROR(__xludf.DUMMYFUNCTION("""COMPUTED_VALUE"""),45870.64583333333)</f>
        <v>45870.64583</v>
      </c>
      <c r="B97" s="6">
        <f>IFERROR(__xludf.DUMMYFUNCTION("""COMPUTED_VALUE"""),825.0)</f>
        <v>825</v>
      </c>
      <c r="C97" s="6">
        <f>IFERROR(__xludf.DUMMYFUNCTION("""COMPUTED_VALUE"""),828.75)</f>
        <v>828.75</v>
      </c>
      <c r="D97" s="6">
        <f>IFERROR(__xludf.DUMMYFUNCTION("""COMPUTED_VALUE"""),779.7)</f>
        <v>779.7</v>
      </c>
      <c r="E97" s="6">
        <f>IFERROR(__xludf.DUMMYFUNCTION("""COMPUTED_VALUE"""),783.7)</f>
        <v>783.7</v>
      </c>
      <c r="F97" s="6">
        <f>IFERROR(__xludf.DUMMYFUNCTION("""COMPUTED_VALUE"""),3.5127396E7)</f>
        <v>35127396</v>
      </c>
    </row>
    <row r="98">
      <c r="A98" s="7">
        <f>IFERROR(__xludf.DUMMYFUNCTION("""COMPUTED_VALUE"""),45877.64583333333)</f>
        <v>45877.64583</v>
      </c>
      <c r="B98" s="6">
        <f>IFERROR(__xludf.DUMMYFUNCTION("""COMPUTED_VALUE"""),783.0)</f>
        <v>783</v>
      </c>
      <c r="C98" s="6">
        <f>IFERROR(__xludf.DUMMYFUNCTION("""COMPUTED_VALUE"""),848.7)</f>
        <v>848.7</v>
      </c>
      <c r="D98" s="6">
        <f>IFERROR(__xludf.DUMMYFUNCTION("""COMPUTED_VALUE"""),779.0)</f>
        <v>779</v>
      </c>
      <c r="E98" s="6">
        <f>IFERROR(__xludf.DUMMYFUNCTION("""COMPUTED_VALUE"""),782.45)</f>
        <v>782.45</v>
      </c>
      <c r="F98" s="6">
        <f>IFERROR(__xludf.DUMMYFUNCTION("""COMPUTED_VALUE"""),3.2257447E7)</f>
        <v>32257447</v>
      </c>
    </row>
    <row r="99">
      <c r="A99" s="7">
        <f>IFERROR(__xludf.DUMMYFUNCTION("""COMPUTED_VALUE"""),45883.64583333333)</f>
        <v>45883.64583</v>
      </c>
      <c r="B99" s="6">
        <f>IFERROR(__xludf.DUMMYFUNCTION("""COMPUTED_VALUE"""),784.5)</f>
        <v>784.5</v>
      </c>
      <c r="C99" s="6">
        <f>IFERROR(__xludf.DUMMYFUNCTION("""COMPUTED_VALUE"""),791.35)</f>
        <v>791.35</v>
      </c>
      <c r="D99" s="6">
        <f>IFERROR(__xludf.DUMMYFUNCTION("""COMPUTED_VALUE"""),765.7)</f>
        <v>765.7</v>
      </c>
      <c r="E99" s="6">
        <f>IFERROR(__xludf.DUMMYFUNCTION("""COMPUTED_VALUE"""),769.75)</f>
        <v>769.75</v>
      </c>
      <c r="F99" s="6">
        <f>IFERROR(__xludf.DUMMYFUNCTION("""COMPUTED_VALUE"""),9065529.0)</f>
        <v>9065529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IFERROR(__xludf.DUMMYFUNCTION("""COMPUTED_VALUE"""),777.5)</f>
        <v>777.5</v>
      </c>
      <c r="C100" s="6">
        <f>IFERROR(__xludf.DUMMYFUNCTION("""COMPUTED_VALUE"""),795.9)</f>
        <v>795.9</v>
      </c>
      <c r="D100" s="6">
        <f>IFERROR(__xludf.DUMMYFUNCTION("""COMPUTED_VALUE"""),758.75)</f>
        <v>758.75</v>
      </c>
      <c r="E100" s="6">
        <f>IFERROR(__xludf.DUMMYFUNCTION("""COMPUTED_VALUE"""),760.1)</f>
        <v>760.1</v>
      </c>
      <c r="F100" s="6">
        <f>IFERROR(__xludf.DUMMYFUNCTION("""COMPUTED_VALUE"""),1.3977325E7)</f>
        <v>13977325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IFERROR(__xludf.DUMMYFUNCTION("""COMPUTED_VALUE"""),767.95)</f>
        <v>767.95</v>
      </c>
      <c r="C101" s="6">
        <f>IFERROR(__xludf.DUMMYFUNCTION("""COMPUTED_VALUE"""),775.0)</f>
        <v>775</v>
      </c>
      <c r="D101" s="6">
        <f>IFERROR(__xludf.DUMMYFUNCTION("""COMPUTED_VALUE"""),754.15)</f>
        <v>754.15</v>
      </c>
      <c r="E101" s="6">
        <f>IFERROR(__xludf.DUMMYFUNCTION("""COMPUTED_VALUE"""),756.4)</f>
        <v>756.4</v>
      </c>
      <c r="F101" s="6">
        <f>IFERROR(__xludf.DUMMYFUNCTION("""COMPUTED_VALUE"""),4.6714717E7)</f>
        <v>46714717</v>
      </c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IFERROR(__xludf.DUMMYFUNCTION("GOOGLEFINANCE(""NSE:INDUSTOWER"",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IFERROR(__xludf.DUMMYFUNCTION("""COMPUTED_VALUE"""),169.0)</f>
        <v>169</v>
      </c>
      <c r="C2" s="6">
        <f>IFERROR(__xludf.DUMMYFUNCTION("""COMPUTED_VALUE"""),183.85)</f>
        <v>183.85</v>
      </c>
      <c r="D2" s="6">
        <f>IFERROR(__xludf.DUMMYFUNCTION("""COMPUTED_VALUE"""),166.35)</f>
        <v>166.35</v>
      </c>
      <c r="E2" s="6">
        <f>IFERROR(__xludf.DUMMYFUNCTION("""COMPUTED_VALUE"""),181.7)</f>
        <v>181.7</v>
      </c>
      <c r="F2" s="6">
        <f>IFERROR(__xludf.DUMMYFUNCTION("""COMPUTED_VALUE"""),5.7847844E7)</f>
        <v>57847844</v>
      </c>
    </row>
    <row r="3">
      <c r="A3" s="7">
        <f>IFERROR(__xludf.DUMMYFUNCTION("""COMPUTED_VALUE"""),45177.64583333333)</f>
        <v>45177.64583</v>
      </c>
      <c r="B3" s="6">
        <f>IFERROR(__xludf.DUMMYFUNCTION("""COMPUTED_VALUE"""),182.85)</f>
        <v>182.85</v>
      </c>
      <c r="C3" s="6">
        <f>IFERROR(__xludf.DUMMYFUNCTION("""COMPUTED_VALUE"""),191.5)</f>
        <v>191.5</v>
      </c>
      <c r="D3" s="6">
        <f>IFERROR(__xludf.DUMMYFUNCTION("""COMPUTED_VALUE"""),175.5)</f>
        <v>175.5</v>
      </c>
      <c r="E3" s="6">
        <f>IFERROR(__xludf.DUMMYFUNCTION("""COMPUTED_VALUE"""),188.0)</f>
        <v>188</v>
      </c>
      <c r="F3" s="6">
        <f>IFERROR(__xludf.DUMMYFUNCTION("""COMPUTED_VALUE"""),4.5467001E7)</f>
        <v>45467001</v>
      </c>
    </row>
    <row r="4">
      <c r="A4" s="7">
        <f>IFERROR(__xludf.DUMMYFUNCTION("""COMPUTED_VALUE"""),45184.64583333333)</f>
        <v>45184.64583</v>
      </c>
      <c r="B4" s="6">
        <f>IFERROR(__xludf.DUMMYFUNCTION("""COMPUTED_VALUE"""),188.95)</f>
        <v>188.95</v>
      </c>
      <c r="C4" s="6">
        <f>IFERROR(__xludf.DUMMYFUNCTION("""COMPUTED_VALUE"""),194.95)</f>
        <v>194.95</v>
      </c>
      <c r="D4" s="6">
        <f>IFERROR(__xludf.DUMMYFUNCTION("""COMPUTED_VALUE"""),179.45)</f>
        <v>179.45</v>
      </c>
      <c r="E4" s="6">
        <f>IFERROR(__xludf.DUMMYFUNCTION("""COMPUTED_VALUE"""),188.25)</f>
        <v>188.25</v>
      </c>
      <c r="F4" s="6">
        <f>IFERROR(__xludf.DUMMYFUNCTION("""COMPUTED_VALUE"""),8.0153905E7)</f>
        <v>80153905</v>
      </c>
    </row>
    <row r="5">
      <c r="A5" s="7">
        <f>IFERROR(__xludf.DUMMYFUNCTION("""COMPUTED_VALUE"""),45191.64583333333)</f>
        <v>45191.64583</v>
      </c>
      <c r="B5" s="6">
        <f>IFERROR(__xludf.DUMMYFUNCTION("""COMPUTED_VALUE"""),193.1)</f>
        <v>193.1</v>
      </c>
      <c r="C5" s="6">
        <f>IFERROR(__xludf.DUMMYFUNCTION("""COMPUTED_VALUE"""),195.2)</f>
        <v>195.2</v>
      </c>
      <c r="D5" s="6">
        <f>IFERROR(__xludf.DUMMYFUNCTION("""COMPUTED_VALUE"""),176.35)</f>
        <v>176.35</v>
      </c>
      <c r="E5" s="6">
        <f>IFERROR(__xludf.DUMMYFUNCTION("""COMPUTED_VALUE"""),183.4)</f>
        <v>183.4</v>
      </c>
      <c r="F5" s="6">
        <f>IFERROR(__xludf.DUMMYFUNCTION("""COMPUTED_VALUE"""),4.6790911E7)</f>
        <v>46790911</v>
      </c>
    </row>
    <row r="6">
      <c r="A6" s="7">
        <f>IFERROR(__xludf.DUMMYFUNCTION("""COMPUTED_VALUE"""),45198.64583333333)</f>
        <v>45198.64583</v>
      </c>
      <c r="B6" s="6">
        <f>IFERROR(__xludf.DUMMYFUNCTION("""COMPUTED_VALUE"""),183.65)</f>
        <v>183.65</v>
      </c>
      <c r="C6" s="6">
        <f>IFERROR(__xludf.DUMMYFUNCTION("""COMPUTED_VALUE"""),197.15)</f>
        <v>197.15</v>
      </c>
      <c r="D6" s="6">
        <f>IFERROR(__xludf.DUMMYFUNCTION("""COMPUTED_VALUE"""),182.2)</f>
        <v>182.2</v>
      </c>
      <c r="E6" s="6">
        <f>IFERROR(__xludf.DUMMYFUNCTION("""COMPUTED_VALUE"""),191.7)</f>
        <v>191.7</v>
      </c>
      <c r="F6" s="6">
        <f>IFERROR(__xludf.DUMMYFUNCTION("""COMPUTED_VALUE"""),5.8569123E7)</f>
        <v>58569123</v>
      </c>
    </row>
    <row r="7">
      <c r="A7" s="7">
        <f>IFERROR(__xludf.DUMMYFUNCTION("""COMPUTED_VALUE"""),45205.64583333333)</f>
        <v>45205.64583</v>
      </c>
      <c r="B7" s="6">
        <f>IFERROR(__xludf.DUMMYFUNCTION("""COMPUTED_VALUE"""),192.9)</f>
        <v>192.9</v>
      </c>
      <c r="C7" s="6">
        <f>IFERROR(__xludf.DUMMYFUNCTION("""COMPUTED_VALUE"""),193.2)</f>
        <v>193.2</v>
      </c>
      <c r="D7" s="6">
        <f>IFERROR(__xludf.DUMMYFUNCTION("""COMPUTED_VALUE"""),180.4)</f>
        <v>180.4</v>
      </c>
      <c r="E7" s="6">
        <f>IFERROR(__xludf.DUMMYFUNCTION("""COMPUTED_VALUE"""),180.8)</f>
        <v>180.8</v>
      </c>
      <c r="F7" s="6">
        <f>IFERROR(__xludf.DUMMYFUNCTION("""COMPUTED_VALUE"""),2.0966678E7)</f>
        <v>20966678</v>
      </c>
    </row>
    <row r="8">
      <c r="A8" s="7">
        <f>IFERROR(__xludf.DUMMYFUNCTION("""COMPUTED_VALUE"""),45212.64583333333)</f>
        <v>45212.64583</v>
      </c>
      <c r="B8" s="6">
        <f>IFERROR(__xludf.DUMMYFUNCTION("""COMPUTED_VALUE"""),180.1)</f>
        <v>180.1</v>
      </c>
      <c r="C8" s="6">
        <f>IFERROR(__xludf.DUMMYFUNCTION("""COMPUTED_VALUE"""),198.15)</f>
        <v>198.15</v>
      </c>
      <c r="D8" s="6">
        <f>IFERROR(__xludf.DUMMYFUNCTION("""COMPUTED_VALUE"""),177.0)</f>
        <v>177</v>
      </c>
      <c r="E8" s="6">
        <f>IFERROR(__xludf.DUMMYFUNCTION("""COMPUTED_VALUE"""),191.3)</f>
        <v>191.3</v>
      </c>
      <c r="F8" s="6">
        <f>IFERROR(__xludf.DUMMYFUNCTION("""COMPUTED_VALUE"""),5.4128278E7)</f>
        <v>54128278</v>
      </c>
    </row>
    <row r="9">
      <c r="A9" s="7">
        <f>IFERROR(__xludf.DUMMYFUNCTION("""COMPUTED_VALUE"""),45219.64583333333)</f>
        <v>45219.64583</v>
      </c>
      <c r="B9" s="6">
        <f>IFERROR(__xludf.DUMMYFUNCTION("""COMPUTED_VALUE"""),191.35)</f>
        <v>191.35</v>
      </c>
      <c r="C9" s="6">
        <f>IFERROR(__xludf.DUMMYFUNCTION("""COMPUTED_VALUE"""),194.3)</f>
        <v>194.3</v>
      </c>
      <c r="D9" s="6">
        <f>IFERROR(__xludf.DUMMYFUNCTION("""COMPUTED_VALUE"""),183.05)</f>
        <v>183.05</v>
      </c>
      <c r="E9" s="6">
        <f>IFERROR(__xludf.DUMMYFUNCTION("""COMPUTED_VALUE"""),184.15)</f>
        <v>184.15</v>
      </c>
      <c r="F9" s="6">
        <f>IFERROR(__xludf.DUMMYFUNCTION("""COMPUTED_VALUE"""),3.0023508E7)</f>
        <v>30023508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IFERROR(__xludf.DUMMYFUNCTION("""COMPUTED_VALUE"""),185.0)</f>
        <v>185</v>
      </c>
      <c r="C10" s="6">
        <f>IFERROR(__xludf.DUMMYFUNCTION("""COMPUTED_VALUE"""),185.0)</f>
        <v>185</v>
      </c>
      <c r="D10" s="6">
        <f>IFERROR(__xludf.DUMMYFUNCTION("""COMPUTED_VALUE"""),166.7)</f>
        <v>166.7</v>
      </c>
      <c r="E10" s="6">
        <f>IFERROR(__xludf.DUMMYFUNCTION("""COMPUTED_VALUE"""),168.6)</f>
        <v>168.6</v>
      </c>
      <c r="F10" s="6">
        <f>IFERROR(__xludf.DUMMYFUNCTION("""COMPUTED_VALUE"""),2.9965732E7)</f>
        <v>29965732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IFERROR(__xludf.DUMMYFUNCTION("""COMPUTED_VALUE"""),169.05)</f>
        <v>169.05</v>
      </c>
      <c r="C11" s="6">
        <f>IFERROR(__xludf.DUMMYFUNCTION("""COMPUTED_VALUE"""),193.0)</f>
        <v>193</v>
      </c>
      <c r="D11" s="6">
        <f>IFERROR(__xludf.DUMMYFUNCTION("""COMPUTED_VALUE"""),167.0)</f>
        <v>167</v>
      </c>
      <c r="E11" s="6">
        <f>IFERROR(__xludf.DUMMYFUNCTION("""COMPUTED_VALUE"""),188.35)</f>
        <v>188.35</v>
      </c>
      <c r="F11" s="6">
        <f>IFERROR(__xludf.DUMMYFUNCTION("""COMPUTED_VALUE"""),6.6922562E7)</f>
        <v>66922562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IFERROR(__xludf.DUMMYFUNCTION("""COMPUTED_VALUE"""),189.1)</f>
        <v>189.1</v>
      </c>
      <c r="C12" s="6">
        <f>IFERROR(__xludf.DUMMYFUNCTION("""COMPUTED_VALUE"""),190.0)</f>
        <v>190</v>
      </c>
      <c r="D12" s="6">
        <f>IFERROR(__xludf.DUMMYFUNCTION("""COMPUTED_VALUE"""),182.15)</f>
        <v>182.15</v>
      </c>
      <c r="E12" s="6">
        <f>IFERROR(__xludf.DUMMYFUNCTION("""COMPUTED_VALUE"""),183.4)</f>
        <v>183.4</v>
      </c>
      <c r="F12" s="6">
        <f>IFERROR(__xludf.DUMMYFUNCTION("""COMPUTED_VALUE"""),1.7522146E7)</f>
        <v>17522146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IFERROR(__xludf.DUMMYFUNCTION("""COMPUTED_VALUE"""),185.25)</f>
        <v>185.25</v>
      </c>
      <c r="C13" s="6">
        <f>IFERROR(__xludf.DUMMYFUNCTION("""COMPUTED_VALUE"""),192.95)</f>
        <v>192.95</v>
      </c>
      <c r="D13" s="6">
        <f>IFERROR(__xludf.DUMMYFUNCTION("""COMPUTED_VALUE"""),184.05)</f>
        <v>184.05</v>
      </c>
      <c r="E13" s="6">
        <f>IFERROR(__xludf.DUMMYFUNCTION("""COMPUTED_VALUE"""),186.6)</f>
        <v>186.6</v>
      </c>
      <c r="F13" s="6">
        <f>IFERROR(__xludf.DUMMYFUNCTION("""COMPUTED_VALUE"""),1.8326572E7)</f>
        <v>18326572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IFERROR(__xludf.DUMMYFUNCTION("""COMPUTED_VALUE"""),186.65)</f>
        <v>186.65</v>
      </c>
      <c r="C14" s="6">
        <f>IFERROR(__xludf.DUMMYFUNCTION("""COMPUTED_VALUE"""),193.95)</f>
        <v>193.95</v>
      </c>
      <c r="D14" s="6">
        <f>IFERROR(__xludf.DUMMYFUNCTION("""COMPUTED_VALUE"""),184.25)</f>
        <v>184.25</v>
      </c>
      <c r="E14" s="6">
        <f>IFERROR(__xludf.DUMMYFUNCTION("""COMPUTED_VALUE"""),185.6)</f>
        <v>185.6</v>
      </c>
      <c r="F14" s="6">
        <f>IFERROR(__xludf.DUMMYFUNCTION("""COMPUTED_VALUE"""),2.431939E7)</f>
        <v>24319390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IFERROR(__xludf.DUMMYFUNCTION("""COMPUTED_VALUE"""),185.0)</f>
        <v>185</v>
      </c>
      <c r="C15" s="6">
        <f>IFERROR(__xludf.DUMMYFUNCTION("""COMPUTED_VALUE"""),189.25)</f>
        <v>189.25</v>
      </c>
      <c r="D15" s="6">
        <f>IFERROR(__xludf.DUMMYFUNCTION("""COMPUTED_VALUE"""),183.0)</f>
        <v>183</v>
      </c>
      <c r="E15" s="6">
        <f>IFERROR(__xludf.DUMMYFUNCTION("""COMPUTED_VALUE"""),187.65)</f>
        <v>187.65</v>
      </c>
      <c r="F15" s="6">
        <f>IFERROR(__xludf.DUMMYFUNCTION("""COMPUTED_VALUE"""),1.8960195E7)</f>
        <v>18960195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IFERROR(__xludf.DUMMYFUNCTION("""COMPUTED_VALUE"""),189.1)</f>
        <v>189.1</v>
      </c>
      <c r="C16" s="6">
        <f>IFERROR(__xludf.DUMMYFUNCTION("""COMPUTED_VALUE"""),196.35)</f>
        <v>196.35</v>
      </c>
      <c r="D16" s="6">
        <f>IFERROR(__xludf.DUMMYFUNCTION("""COMPUTED_VALUE"""),184.3)</f>
        <v>184.3</v>
      </c>
      <c r="E16" s="6">
        <f>IFERROR(__xludf.DUMMYFUNCTION("""COMPUTED_VALUE"""),190.45)</f>
        <v>190.45</v>
      </c>
      <c r="F16" s="6">
        <f>IFERROR(__xludf.DUMMYFUNCTION("""COMPUTED_VALUE"""),3.0790006E7)</f>
        <v>30790006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IFERROR(__xludf.DUMMYFUNCTION("""COMPUTED_VALUE"""),191.5)</f>
        <v>191.5</v>
      </c>
      <c r="C17" s="6">
        <f>IFERROR(__xludf.DUMMYFUNCTION("""COMPUTED_VALUE"""),203.0)</f>
        <v>203</v>
      </c>
      <c r="D17" s="6">
        <f>IFERROR(__xludf.DUMMYFUNCTION("""COMPUTED_VALUE"""),187.05)</f>
        <v>187.05</v>
      </c>
      <c r="E17" s="6">
        <f>IFERROR(__xludf.DUMMYFUNCTION("""COMPUTED_VALUE"""),197.65)</f>
        <v>197.65</v>
      </c>
      <c r="F17" s="6">
        <f>IFERROR(__xludf.DUMMYFUNCTION("""COMPUTED_VALUE"""),4.5833332E7)</f>
        <v>45833332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IFERROR(__xludf.DUMMYFUNCTION("""COMPUTED_VALUE"""),200.0)</f>
        <v>200</v>
      </c>
      <c r="C18" s="6">
        <f>IFERROR(__xludf.DUMMYFUNCTION("""COMPUTED_VALUE"""),201.8)</f>
        <v>201.8</v>
      </c>
      <c r="D18" s="6">
        <f>IFERROR(__xludf.DUMMYFUNCTION("""COMPUTED_VALUE"""),176.55)</f>
        <v>176.55</v>
      </c>
      <c r="E18" s="6">
        <f>IFERROR(__xludf.DUMMYFUNCTION("""COMPUTED_VALUE"""),185.8)</f>
        <v>185.8</v>
      </c>
      <c r="F18" s="6">
        <f>IFERROR(__xludf.DUMMYFUNCTION("""COMPUTED_VALUE"""),6.9806097E7)</f>
        <v>69806097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IFERROR(__xludf.DUMMYFUNCTION("""COMPUTED_VALUE"""),185.8)</f>
        <v>185.8</v>
      </c>
      <c r="C19" s="6">
        <f>IFERROR(__xludf.DUMMYFUNCTION("""COMPUTED_VALUE"""),201.65)</f>
        <v>201.65</v>
      </c>
      <c r="D19" s="6">
        <f>IFERROR(__xludf.DUMMYFUNCTION("""COMPUTED_VALUE"""),182.5)</f>
        <v>182.5</v>
      </c>
      <c r="E19" s="6">
        <f>IFERROR(__xludf.DUMMYFUNCTION("""COMPUTED_VALUE"""),199.05)</f>
        <v>199.05</v>
      </c>
      <c r="F19" s="6">
        <f>IFERROR(__xludf.DUMMYFUNCTION("""COMPUTED_VALUE"""),6.8484065E7)</f>
        <v>68484065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IFERROR(__xludf.DUMMYFUNCTION("""COMPUTED_VALUE"""),198.1)</f>
        <v>198.1</v>
      </c>
      <c r="C20" s="6">
        <f>IFERROR(__xludf.DUMMYFUNCTION("""COMPUTED_VALUE"""),229.95)</f>
        <v>229.95</v>
      </c>
      <c r="D20" s="6">
        <f>IFERROR(__xludf.DUMMYFUNCTION("""COMPUTED_VALUE"""),195.5)</f>
        <v>195.5</v>
      </c>
      <c r="E20" s="6">
        <f>IFERROR(__xludf.DUMMYFUNCTION("""COMPUTED_VALUE"""),222.15)</f>
        <v>222.15</v>
      </c>
      <c r="F20" s="6">
        <f>IFERROR(__xludf.DUMMYFUNCTION("""COMPUTED_VALUE"""),1.24223547E8)</f>
        <v>124223547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IFERROR(__xludf.DUMMYFUNCTION("""COMPUTED_VALUE"""),222.55)</f>
        <v>222.55</v>
      </c>
      <c r="C21" s="6">
        <f>IFERROR(__xludf.DUMMYFUNCTION("""COMPUTED_VALUE"""),223.2)</f>
        <v>223.2</v>
      </c>
      <c r="D21" s="6">
        <f>IFERROR(__xludf.DUMMYFUNCTION("""COMPUTED_VALUE"""),209.8)</f>
        <v>209.8</v>
      </c>
      <c r="E21" s="6">
        <f>IFERROR(__xludf.DUMMYFUNCTION("""COMPUTED_VALUE"""),216.4)</f>
        <v>216.4</v>
      </c>
      <c r="F21" s="6">
        <f>IFERROR(__xludf.DUMMYFUNCTION("""COMPUTED_VALUE"""),7.1338772E7)</f>
        <v>71338772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IFERROR(__xludf.DUMMYFUNCTION("""COMPUTED_VALUE"""),216.2)</f>
        <v>216.2</v>
      </c>
      <c r="C22" s="6">
        <f>IFERROR(__xludf.DUMMYFUNCTION("""COMPUTED_VALUE"""),236.0)</f>
        <v>236</v>
      </c>
      <c r="D22" s="6">
        <f>IFERROR(__xludf.DUMMYFUNCTION("""COMPUTED_VALUE"""),215.8)</f>
        <v>215.8</v>
      </c>
      <c r="E22" s="6">
        <f>IFERROR(__xludf.DUMMYFUNCTION("""COMPUTED_VALUE"""),225.45)</f>
        <v>225.45</v>
      </c>
      <c r="F22" s="6">
        <f>IFERROR(__xludf.DUMMYFUNCTION("""COMPUTED_VALUE"""),7.7153743E7)</f>
        <v>77153743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IFERROR(__xludf.DUMMYFUNCTION("""COMPUTED_VALUE"""),227.0)</f>
        <v>227</v>
      </c>
      <c r="C23" s="6">
        <f>IFERROR(__xludf.DUMMYFUNCTION("""COMPUTED_VALUE"""),234.85)</f>
        <v>234.85</v>
      </c>
      <c r="D23" s="6">
        <f>IFERROR(__xludf.DUMMYFUNCTION("""COMPUTED_VALUE"""),210.8)</f>
        <v>210.8</v>
      </c>
      <c r="E23" s="6">
        <f>IFERROR(__xludf.DUMMYFUNCTION("""COMPUTED_VALUE"""),216.15)</f>
        <v>216.15</v>
      </c>
      <c r="F23" s="6">
        <f>IFERROR(__xludf.DUMMYFUNCTION("""COMPUTED_VALUE"""),2.38332965E8)</f>
        <v>238332965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IFERROR(__xludf.DUMMYFUNCTION("""COMPUTED_VALUE"""),216.5)</f>
        <v>216.5</v>
      </c>
      <c r="C24" s="6">
        <f>IFERROR(__xludf.DUMMYFUNCTION("""COMPUTED_VALUE"""),230.4)</f>
        <v>230.4</v>
      </c>
      <c r="D24" s="6">
        <f>IFERROR(__xludf.DUMMYFUNCTION("""COMPUTED_VALUE"""),213.15)</f>
        <v>213.15</v>
      </c>
      <c r="E24" s="6">
        <f>IFERROR(__xludf.DUMMYFUNCTION("""COMPUTED_VALUE"""),226.15)</f>
        <v>226.15</v>
      </c>
      <c r="F24" s="6">
        <f>IFERROR(__xludf.DUMMYFUNCTION("""COMPUTED_VALUE"""),1.07845236E8)</f>
        <v>107845236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IFERROR(__xludf.DUMMYFUNCTION("""COMPUTED_VALUE"""),226.4)</f>
        <v>226.4</v>
      </c>
      <c r="C25" s="6">
        <f>IFERROR(__xludf.DUMMYFUNCTION("""COMPUTED_VALUE"""),226.4)</f>
        <v>226.4</v>
      </c>
      <c r="D25" s="6">
        <f>IFERROR(__xludf.DUMMYFUNCTION("""COMPUTED_VALUE"""),206.35)</f>
        <v>206.35</v>
      </c>
      <c r="E25" s="6">
        <f>IFERROR(__xludf.DUMMYFUNCTION("""COMPUTED_VALUE"""),220.55)</f>
        <v>220.55</v>
      </c>
      <c r="F25" s="6">
        <f>IFERROR(__xludf.DUMMYFUNCTION("""COMPUTED_VALUE"""),6.7558949E7)</f>
        <v>67558949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IFERROR(__xludf.DUMMYFUNCTION("""COMPUTED_VALUE"""),222.05)</f>
        <v>222.05</v>
      </c>
      <c r="C26" s="6">
        <f>IFERROR(__xludf.DUMMYFUNCTION("""COMPUTED_VALUE"""),245.5)</f>
        <v>245.5</v>
      </c>
      <c r="D26" s="6">
        <f>IFERROR(__xludf.DUMMYFUNCTION("""COMPUTED_VALUE"""),216.9)</f>
        <v>216.9</v>
      </c>
      <c r="E26" s="6">
        <f>IFERROR(__xludf.DUMMYFUNCTION("""COMPUTED_VALUE"""),241.15)</f>
        <v>241.15</v>
      </c>
      <c r="F26" s="6">
        <f>IFERROR(__xludf.DUMMYFUNCTION("""COMPUTED_VALUE"""),1.25524754E8)</f>
        <v>125524754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IFERROR(__xludf.DUMMYFUNCTION("""COMPUTED_VALUE"""),265.55)</f>
        <v>265.55</v>
      </c>
      <c r="C27" s="6">
        <f>IFERROR(__xludf.DUMMYFUNCTION("""COMPUTED_VALUE"""),271.35)</f>
        <v>271.35</v>
      </c>
      <c r="D27" s="6">
        <f>IFERROR(__xludf.DUMMYFUNCTION("""COMPUTED_VALUE"""),246.0)</f>
        <v>246</v>
      </c>
      <c r="E27" s="6">
        <f>IFERROR(__xludf.DUMMYFUNCTION("""COMPUTED_VALUE"""),255.4)</f>
        <v>255.4</v>
      </c>
      <c r="F27" s="6">
        <f>IFERROR(__xludf.DUMMYFUNCTION("""COMPUTED_VALUE"""),6.2766914E7)</f>
        <v>62766914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IFERROR(__xludf.DUMMYFUNCTION("""COMPUTED_VALUE"""),254.0)</f>
        <v>254</v>
      </c>
      <c r="C28" s="6">
        <f>IFERROR(__xludf.DUMMYFUNCTION("""COMPUTED_VALUE"""),255.2)</f>
        <v>255.2</v>
      </c>
      <c r="D28" s="6">
        <f>IFERROR(__xludf.DUMMYFUNCTION("""COMPUTED_VALUE"""),227.25)</f>
        <v>227.25</v>
      </c>
      <c r="E28" s="6">
        <f>IFERROR(__xludf.DUMMYFUNCTION("""COMPUTED_VALUE"""),248.35)</f>
        <v>248.35</v>
      </c>
      <c r="F28" s="6">
        <f>IFERROR(__xludf.DUMMYFUNCTION("""COMPUTED_VALUE"""),6.3517164E7)</f>
        <v>63517164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IFERROR(__xludf.DUMMYFUNCTION("""COMPUTED_VALUE"""),249.8)</f>
        <v>249.8</v>
      </c>
      <c r="C29" s="6">
        <f>IFERROR(__xludf.DUMMYFUNCTION("""COMPUTED_VALUE"""),275.2)</f>
        <v>275.2</v>
      </c>
      <c r="D29" s="6">
        <f>IFERROR(__xludf.DUMMYFUNCTION("""COMPUTED_VALUE"""),234.0)</f>
        <v>234</v>
      </c>
      <c r="E29" s="6">
        <f>IFERROR(__xludf.DUMMYFUNCTION("""COMPUTED_VALUE"""),271.3)</f>
        <v>271.3</v>
      </c>
      <c r="F29" s="6">
        <f>IFERROR(__xludf.DUMMYFUNCTION("""COMPUTED_VALUE"""),1.09078222E8)</f>
        <v>109078222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IFERROR(__xludf.DUMMYFUNCTION("""COMPUTED_VALUE"""),279.0)</f>
        <v>279</v>
      </c>
      <c r="C30" s="6">
        <f>IFERROR(__xludf.DUMMYFUNCTION("""COMPUTED_VALUE"""),292.75)</f>
        <v>292.75</v>
      </c>
      <c r="D30" s="6">
        <f>IFERROR(__xludf.DUMMYFUNCTION("""COMPUTED_VALUE"""),274.4)</f>
        <v>274.4</v>
      </c>
      <c r="E30" s="6">
        <f>IFERROR(__xludf.DUMMYFUNCTION("""COMPUTED_VALUE"""),291.15)</f>
        <v>291.15</v>
      </c>
      <c r="F30" s="6">
        <f>IFERROR(__xludf.DUMMYFUNCTION("""COMPUTED_VALUE"""),8.7684491E7)</f>
        <v>87684491</v>
      </c>
    </row>
    <row r="31">
      <c r="A31" s="7">
        <f>IFERROR(__xludf.DUMMYFUNCTION("""COMPUTED_VALUE"""),45387.64583333333)</f>
        <v>45387.64583</v>
      </c>
      <c r="B31" s="6">
        <f>IFERROR(__xludf.DUMMYFUNCTION("""COMPUTED_VALUE"""),294.9)</f>
        <v>294.9</v>
      </c>
      <c r="C31" s="6">
        <f>IFERROR(__xludf.DUMMYFUNCTION("""COMPUTED_VALUE"""),321.55)</f>
        <v>321.55</v>
      </c>
      <c r="D31" s="6">
        <f>IFERROR(__xludf.DUMMYFUNCTION("""COMPUTED_VALUE"""),292.15)</f>
        <v>292.15</v>
      </c>
      <c r="E31" s="6">
        <f>IFERROR(__xludf.DUMMYFUNCTION("""COMPUTED_VALUE"""),314.0)</f>
        <v>314</v>
      </c>
      <c r="F31" s="6">
        <f>IFERROR(__xludf.DUMMYFUNCTION("""COMPUTED_VALUE"""),1.16145045E8)</f>
        <v>116145045</v>
      </c>
    </row>
    <row r="32">
      <c r="A32" s="7">
        <f>IFERROR(__xludf.DUMMYFUNCTION("""COMPUTED_VALUE"""),45394.64583333333)</f>
        <v>45394.64583</v>
      </c>
      <c r="B32" s="6">
        <f>IFERROR(__xludf.DUMMYFUNCTION("""COMPUTED_VALUE"""),316.5)</f>
        <v>316.5</v>
      </c>
      <c r="C32" s="6">
        <f>IFERROR(__xludf.DUMMYFUNCTION("""COMPUTED_VALUE"""),336.0)</f>
        <v>336</v>
      </c>
      <c r="D32" s="6">
        <f>IFERROR(__xludf.DUMMYFUNCTION("""COMPUTED_VALUE"""),315.95)</f>
        <v>315.95</v>
      </c>
      <c r="E32" s="6">
        <f>IFERROR(__xludf.DUMMYFUNCTION("""COMPUTED_VALUE"""),328.05)</f>
        <v>328.05</v>
      </c>
      <c r="F32" s="6">
        <f>IFERROR(__xludf.DUMMYFUNCTION("""COMPUTED_VALUE"""),8.0593417E7)</f>
        <v>80593417</v>
      </c>
    </row>
    <row r="33">
      <c r="A33" s="7">
        <f>IFERROR(__xludf.DUMMYFUNCTION("""COMPUTED_VALUE"""),45401.64583333333)</f>
        <v>45401.64583</v>
      </c>
      <c r="B33" s="6">
        <f>IFERROR(__xludf.DUMMYFUNCTION("""COMPUTED_VALUE"""),322.35)</f>
        <v>322.35</v>
      </c>
      <c r="C33" s="6">
        <f>IFERROR(__xludf.DUMMYFUNCTION("""COMPUTED_VALUE"""),359.5)</f>
        <v>359.5</v>
      </c>
      <c r="D33" s="6">
        <f>IFERROR(__xludf.DUMMYFUNCTION("""COMPUTED_VALUE"""),322.25)</f>
        <v>322.25</v>
      </c>
      <c r="E33" s="6">
        <f>IFERROR(__xludf.DUMMYFUNCTION("""COMPUTED_VALUE"""),351.4)</f>
        <v>351.4</v>
      </c>
      <c r="F33" s="6">
        <f>IFERROR(__xludf.DUMMYFUNCTION("""COMPUTED_VALUE"""),1.10803999E8)</f>
        <v>110803999</v>
      </c>
    </row>
    <row r="34">
      <c r="A34" s="7">
        <f>IFERROR(__xludf.DUMMYFUNCTION("""COMPUTED_VALUE"""),45408.64583333333)</f>
        <v>45408.64583</v>
      </c>
      <c r="B34" s="6">
        <f>IFERROR(__xludf.DUMMYFUNCTION("""COMPUTED_VALUE"""),352.0)</f>
        <v>352</v>
      </c>
      <c r="C34" s="6">
        <f>IFERROR(__xludf.DUMMYFUNCTION("""COMPUTED_VALUE"""),366.55)</f>
        <v>366.55</v>
      </c>
      <c r="D34" s="6">
        <f>IFERROR(__xludf.DUMMYFUNCTION("""COMPUTED_VALUE"""),341.65)</f>
        <v>341.65</v>
      </c>
      <c r="E34" s="6">
        <f>IFERROR(__xludf.DUMMYFUNCTION("""COMPUTED_VALUE"""),353.3)</f>
        <v>353.3</v>
      </c>
      <c r="F34" s="6">
        <f>IFERROR(__xludf.DUMMYFUNCTION("""COMPUTED_VALUE"""),9.3948188E7)</f>
        <v>93948188</v>
      </c>
    </row>
    <row r="35">
      <c r="A35" s="7">
        <f>IFERROR(__xludf.DUMMYFUNCTION("""COMPUTED_VALUE"""),45415.64583333333)</f>
        <v>45415.64583</v>
      </c>
      <c r="B35" s="6">
        <f>IFERROR(__xludf.DUMMYFUNCTION("""COMPUTED_VALUE"""),352.0)</f>
        <v>352</v>
      </c>
      <c r="C35" s="6">
        <f>IFERROR(__xludf.DUMMYFUNCTION("""COMPUTED_VALUE"""),363.6)</f>
        <v>363.6</v>
      </c>
      <c r="D35" s="6">
        <f>IFERROR(__xludf.DUMMYFUNCTION("""COMPUTED_VALUE"""),343.85)</f>
        <v>343.85</v>
      </c>
      <c r="E35" s="6">
        <f>IFERROR(__xludf.DUMMYFUNCTION("""COMPUTED_VALUE"""),350.95)</f>
        <v>350.95</v>
      </c>
      <c r="F35" s="6">
        <f>IFERROR(__xludf.DUMMYFUNCTION("""COMPUTED_VALUE"""),6.2696228E7)</f>
        <v>62696228</v>
      </c>
    </row>
    <row r="36">
      <c r="A36" s="7">
        <f>IFERROR(__xludf.DUMMYFUNCTION("""COMPUTED_VALUE"""),45422.64583333333)</f>
        <v>45422.64583</v>
      </c>
      <c r="B36" s="6">
        <f>IFERROR(__xludf.DUMMYFUNCTION("""COMPUTED_VALUE"""),353.8)</f>
        <v>353.8</v>
      </c>
      <c r="C36" s="6">
        <f>IFERROR(__xludf.DUMMYFUNCTION("""COMPUTED_VALUE"""),356.0)</f>
        <v>356</v>
      </c>
      <c r="D36" s="6">
        <f>IFERROR(__xludf.DUMMYFUNCTION("""COMPUTED_VALUE"""),322.65)</f>
        <v>322.65</v>
      </c>
      <c r="E36" s="6">
        <f>IFERROR(__xludf.DUMMYFUNCTION("""COMPUTED_VALUE"""),330.55)</f>
        <v>330.55</v>
      </c>
      <c r="F36" s="6">
        <f>IFERROR(__xludf.DUMMYFUNCTION("""COMPUTED_VALUE"""),4.3324089E7)</f>
        <v>43324089</v>
      </c>
    </row>
    <row r="37">
      <c r="A37" s="7">
        <f>IFERROR(__xludf.DUMMYFUNCTION("""COMPUTED_VALUE"""),45436.64583333333)</f>
        <v>45436.64583</v>
      </c>
      <c r="B37" s="6">
        <f>IFERROR(__xludf.DUMMYFUNCTION("""COMPUTED_VALUE"""),347.0)</f>
        <v>347</v>
      </c>
      <c r="C37" s="6">
        <f>IFERROR(__xludf.DUMMYFUNCTION("""COMPUTED_VALUE"""),356.45)</f>
        <v>356.45</v>
      </c>
      <c r="D37" s="6">
        <f>IFERROR(__xludf.DUMMYFUNCTION("""COMPUTED_VALUE"""),336.75)</f>
        <v>336.75</v>
      </c>
      <c r="E37" s="6">
        <f>IFERROR(__xludf.DUMMYFUNCTION("""COMPUTED_VALUE"""),346.7)</f>
        <v>346.7</v>
      </c>
      <c r="F37" s="6">
        <f>IFERROR(__xludf.DUMMYFUNCTION("""COMPUTED_VALUE"""),4.4737499E7)</f>
        <v>44737499</v>
      </c>
    </row>
    <row r="38">
      <c r="A38" s="7">
        <f>IFERROR(__xludf.DUMMYFUNCTION("""COMPUTED_VALUE"""),45443.64583333333)</f>
        <v>45443.64583</v>
      </c>
      <c r="B38" s="6">
        <f>IFERROR(__xludf.DUMMYFUNCTION("""COMPUTED_VALUE"""),347.0)</f>
        <v>347</v>
      </c>
      <c r="C38" s="6">
        <f>IFERROR(__xludf.DUMMYFUNCTION("""COMPUTED_VALUE"""),352.0)</f>
        <v>352</v>
      </c>
      <c r="D38" s="6">
        <f>IFERROR(__xludf.DUMMYFUNCTION("""COMPUTED_VALUE"""),338.7)</f>
        <v>338.7</v>
      </c>
      <c r="E38" s="6">
        <f>IFERROR(__xludf.DUMMYFUNCTION("""COMPUTED_VALUE"""),348.15)</f>
        <v>348.15</v>
      </c>
      <c r="F38" s="6">
        <f>IFERROR(__xludf.DUMMYFUNCTION("""COMPUTED_VALUE"""),1.46466943E8)</f>
        <v>146466943</v>
      </c>
    </row>
    <row r="39">
      <c r="A39" s="7">
        <f>IFERROR(__xludf.DUMMYFUNCTION("""COMPUTED_VALUE"""),45450.64583333333)</f>
        <v>45450.64583</v>
      </c>
      <c r="B39" s="6">
        <f>IFERROR(__xludf.DUMMYFUNCTION("""COMPUTED_VALUE"""),360.5)</f>
        <v>360.5</v>
      </c>
      <c r="C39" s="6">
        <f>IFERROR(__xludf.DUMMYFUNCTION("""COMPUTED_VALUE"""),369.9)</f>
        <v>369.9</v>
      </c>
      <c r="D39" s="6">
        <f>IFERROR(__xludf.DUMMYFUNCTION("""COMPUTED_VALUE"""),292.0)</f>
        <v>292</v>
      </c>
      <c r="E39" s="6">
        <f>IFERROR(__xludf.DUMMYFUNCTION("""COMPUTED_VALUE"""),347.15)</f>
        <v>347.15</v>
      </c>
      <c r="F39" s="6">
        <f>IFERROR(__xludf.DUMMYFUNCTION("""COMPUTED_VALUE"""),9.2070972E7)</f>
        <v>92070972</v>
      </c>
    </row>
    <row r="40">
      <c r="A40" s="7">
        <f>IFERROR(__xludf.DUMMYFUNCTION("""COMPUTED_VALUE"""),45457.64583333333)</f>
        <v>45457.64583</v>
      </c>
      <c r="B40" s="6">
        <f>IFERROR(__xludf.DUMMYFUNCTION("""COMPUTED_VALUE"""),347.15)</f>
        <v>347.15</v>
      </c>
      <c r="C40" s="6">
        <f>IFERROR(__xludf.DUMMYFUNCTION("""COMPUTED_VALUE"""),353.35)</f>
        <v>353.35</v>
      </c>
      <c r="D40" s="6">
        <f>IFERROR(__xludf.DUMMYFUNCTION("""COMPUTED_VALUE"""),337.0)</f>
        <v>337</v>
      </c>
      <c r="E40" s="6">
        <f>IFERROR(__xludf.DUMMYFUNCTION("""COMPUTED_VALUE"""),340.75)</f>
        <v>340.75</v>
      </c>
      <c r="F40" s="6">
        <f>IFERROR(__xludf.DUMMYFUNCTION("""COMPUTED_VALUE"""),4.2186904E7)</f>
        <v>42186904</v>
      </c>
    </row>
    <row r="41">
      <c r="A41" s="7">
        <f>IFERROR(__xludf.DUMMYFUNCTION("""COMPUTED_VALUE"""),45464.64583333333)</f>
        <v>45464.64583</v>
      </c>
      <c r="B41" s="6">
        <f>IFERROR(__xludf.DUMMYFUNCTION("""COMPUTED_VALUE"""),335.3)</f>
        <v>335.3</v>
      </c>
      <c r="C41" s="6">
        <f>IFERROR(__xludf.DUMMYFUNCTION("""COMPUTED_VALUE"""),347.55)</f>
        <v>347.55</v>
      </c>
      <c r="D41" s="6">
        <f>IFERROR(__xludf.DUMMYFUNCTION("""COMPUTED_VALUE"""),311.4)</f>
        <v>311.4</v>
      </c>
      <c r="E41" s="6">
        <f>IFERROR(__xludf.DUMMYFUNCTION("""COMPUTED_VALUE"""),336.45)</f>
        <v>336.45</v>
      </c>
      <c r="F41" s="6">
        <f>IFERROR(__xludf.DUMMYFUNCTION("""COMPUTED_VALUE"""),9.15560094E8)</f>
        <v>915560094</v>
      </c>
    </row>
    <row r="42">
      <c r="A42" s="7">
        <f>IFERROR(__xludf.DUMMYFUNCTION("""COMPUTED_VALUE"""),45471.64583333333)</f>
        <v>45471.64583</v>
      </c>
      <c r="B42" s="6">
        <f>IFERROR(__xludf.DUMMYFUNCTION("""COMPUTED_VALUE"""),338.95)</f>
        <v>338.95</v>
      </c>
      <c r="C42" s="6">
        <f>IFERROR(__xludf.DUMMYFUNCTION("""COMPUTED_VALUE"""),384.8)</f>
        <v>384.8</v>
      </c>
      <c r="D42" s="6">
        <f>IFERROR(__xludf.DUMMYFUNCTION("""COMPUTED_VALUE"""),331.25)</f>
        <v>331.25</v>
      </c>
      <c r="E42" s="6">
        <f>IFERROR(__xludf.DUMMYFUNCTION("""COMPUTED_VALUE"""),375.3)</f>
        <v>375.3</v>
      </c>
      <c r="F42" s="6">
        <f>IFERROR(__xludf.DUMMYFUNCTION("""COMPUTED_VALUE"""),2.34682756E8)</f>
        <v>234682756</v>
      </c>
    </row>
    <row r="43">
      <c r="A43" s="7">
        <f>IFERROR(__xludf.DUMMYFUNCTION("""COMPUTED_VALUE"""),45478.64583333333)</f>
        <v>45478.64583</v>
      </c>
      <c r="B43" s="6">
        <f>IFERROR(__xludf.DUMMYFUNCTION("""COMPUTED_VALUE"""),377.0)</f>
        <v>377</v>
      </c>
      <c r="C43" s="6">
        <f>IFERROR(__xludf.DUMMYFUNCTION("""COMPUTED_VALUE"""),408.4)</f>
        <v>408.4</v>
      </c>
      <c r="D43" s="6">
        <f>IFERROR(__xludf.DUMMYFUNCTION("""COMPUTED_VALUE"""),372.75)</f>
        <v>372.75</v>
      </c>
      <c r="E43" s="6">
        <f>IFERROR(__xludf.DUMMYFUNCTION("""COMPUTED_VALUE"""),395.65)</f>
        <v>395.65</v>
      </c>
      <c r="F43" s="6">
        <f>IFERROR(__xludf.DUMMYFUNCTION("""COMPUTED_VALUE"""),1.22828989E8)</f>
        <v>122828989</v>
      </c>
    </row>
    <row r="44">
      <c r="A44" s="7">
        <f>IFERROR(__xludf.DUMMYFUNCTION("""COMPUTED_VALUE"""),45485.64583333333)</f>
        <v>45485.64583</v>
      </c>
      <c r="B44" s="6">
        <f>IFERROR(__xludf.DUMMYFUNCTION("""COMPUTED_VALUE"""),396.0)</f>
        <v>396</v>
      </c>
      <c r="C44" s="6">
        <f>IFERROR(__xludf.DUMMYFUNCTION("""COMPUTED_VALUE"""),398.85)</f>
        <v>398.85</v>
      </c>
      <c r="D44" s="6">
        <f>IFERROR(__xludf.DUMMYFUNCTION("""COMPUTED_VALUE"""),373.55)</f>
        <v>373.55</v>
      </c>
      <c r="E44" s="6">
        <f>IFERROR(__xludf.DUMMYFUNCTION("""COMPUTED_VALUE"""),392.0)</f>
        <v>392</v>
      </c>
      <c r="F44" s="6">
        <f>IFERROR(__xludf.DUMMYFUNCTION("""COMPUTED_VALUE"""),7.0078542E7)</f>
        <v>70078542</v>
      </c>
    </row>
    <row r="45">
      <c r="A45" s="7">
        <f>IFERROR(__xludf.DUMMYFUNCTION("""COMPUTED_VALUE"""),45492.64583333333)</f>
        <v>45492.64583</v>
      </c>
      <c r="B45" s="6">
        <f>IFERROR(__xludf.DUMMYFUNCTION("""COMPUTED_VALUE"""),392.05)</f>
        <v>392.05</v>
      </c>
      <c r="C45" s="6">
        <f>IFERROR(__xludf.DUMMYFUNCTION("""COMPUTED_VALUE"""),424.7)</f>
        <v>424.7</v>
      </c>
      <c r="D45" s="6">
        <f>IFERROR(__xludf.DUMMYFUNCTION("""COMPUTED_VALUE"""),388.0)</f>
        <v>388</v>
      </c>
      <c r="E45" s="6">
        <f>IFERROR(__xludf.DUMMYFUNCTION("""COMPUTED_VALUE"""),409.5)</f>
        <v>409.5</v>
      </c>
      <c r="F45" s="6">
        <f>IFERROR(__xludf.DUMMYFUNCTION("""COMPUTED_VALUE"""),8.4567404E7)</f>
        <v>84567404</v>
      </c>
    </row>
    <row r="46">
      <c r="A46" s="7">
        <f>IFERROR(__xludf.DUMMYFUNCTION("""COMPUTED_VALUE"""),45499.64583333333)</f>
        <v>45499.64583</v>
      </c>
      <c r="B46" s="6">
        <f>IFERROR(__xludf.DUMMYFUNCTION("""COMPUTED_VALUE"""),409.6)</f>
        <v>409.6</v>
      </c>
      <c r="C46" s="6">
        <f>IFERROR(__xludf.DUMMYFUNCTION("""COMPUTED_VALUE"""),447.35)</f>
        <v>447.35</v>
      </c>
      <c r="D46" s="6">
        <f>IFERROR(__xludf.DUMMYFUNCTION("""COMPUTED_VALUE"""),403.65)</f>
        <v>403.65</v>
      </c>
      <c r="E46" s="6">
        <f>IFERROR(__xludf.DUMMYFUNCTION("""COMPUTED_VALUE"""),444.85)</f>
        <v>444.85</v>
      </c>
      <c r="F46" s="6">
        <f>IFERROR(__xludf.DUMMYFUNCTION("""COMPUTED_VALUE"""),1.53335008E8)</f>
        <v>153335008</v>
      </c>
    </row>
    <row r="47">
      <c r="A47" s="7">
        <f>IFERROR(__xludf.DUMMYFUNCTION("""COMPUTED_VALUE"""),45506.64583333333)</f>
        <v>45506.64583</v>
      </c>
      <c r="B47" s="6">
        <f>IFERROR(__xludf.DUMMYFUNCTION("""COMPUTED_VALUE"""),448.9)</f>
        <v>448.9</v>
      </c>
      <c r="C47" s="6">
        <f>IFERROR(__xludf.DUMMYFUNCTION("""COMPUTED_VALUE"""),453.3)</f>
        <v>453.3</v>
      </c>
      <c r="D47" s="6">
        <f>IFERROR(__xludf.DUMMYFUNCTION("""COMPUTED_VALUE"""),420.1)</f>
        <v>420.1</v>
      </c>
      <c r="E47" s="6">
        <f>IFERROR(__xludf.DUMMYFUNCTION("""COMPUTED_VALUE"""),421.1)</f>
        <v>421.1</v>
      </c>
      <c r="F47" s="6">
        <f>IFERROR(__xludf.DUMMYFUNCTION("""COMPUTED_VALUE"""),6.2697383E7)</f>
        <v>62697383</v>
      </c>
    </row>
    <row r="48">
      <c r="A48" s="7">
        <f>IFERROR(__xludf.DUMMYFUNCTION("""COMPUTED_VALUE"""),45513.64583333333)</f>
        <v>45513.64583</v>
      </c>
      <c r="B48" s="6">
        <f>IFERROR(__xludf.DUMMYFUNCTION("""COMPUTED_VALUE"""),417.9)</f>
        <v>417.9</v>
      </c>
      <c r="C48" s="6">
        <f>IFERROR(__xludf.DUMMYFUNCTION("""COMPUTED_VALUE"""),427.3)</f>
        <v>427.3</v>
      </c>
      <c r="D48" s="6">
        <f>IFERROR(__xludf.DUMMYFUNCTION("""COMPUTED_VALUE"""),407.0)</f>
        <v>407</v>
      </c>
      <c r="E48" s="6">
        <f>IFERROR(__xludf.DUMMYFUNCTION("""COMPUTED_VALUE"""),414.95)</f>
        <v>414.95</v>
      </c>
      <c r="F48" s="6">
        <f>IFERROR(__xludf.DUMMYFUNCTION("""COMPUTED_VALUE"""),6.0777723E7)</f>
        <v>60777723</v>
      </c>
    </row>
    <row r="49">
      <c r="A49" s="7">
        <f>IFERROR(__xludf.DUMMYFUNCTION("""COMPUTED_VALUE"""),45520.64583333333)</f>
        <v>45520.64583</v>
      </c>
      <c r="B49" s="6">
        <f>IFERROR(__xludf.DUMMYFUNCTION("""COMPUTED_VALUE"""),415.0)</f>
        <v>415</v>
      </c>
      <c r="C49" s="6">
        <f>IFERROR(__xludf.DUMMYFUNCTION("""COMPUTED_VALUE"""),421.0)</f>
        <v>421</v>
      </c>
      <c r="D49" s="6">
        <f>IFERROR(__xludf.DUMMYFUNCTION("""COMPUTED_VALUE"""),400.65)</f>
        <v>400.65</v>
      </c>
      <c r="E49" s="6">
        <f>IFERROR(__xludf.DUMMYFUNCTION("""COMPUTED_VALUE"""),411.8)</f>
        <v>411.8</v>
      </c>
      <c r="F49" s="6">
        <f>IFERROR(__xludf.DUMMYFUNCTION("""COMPUTED_VALUE"""),2.2729954E7)</f>
        <v>22729954</v>
      </c>
    </row>
    <row r="50">
      <c r="A50" s="7">
        <f>IFERROR(__xludf.DUMMYFUNCTION("""COMPUTED_VALUE"""),45527.64583333333)</f>
        <v>45527.64583</v>
      </c>
      <c r="B50" s="6">
        <f>IFERROR(__xludf.DUMMYFUNCTION("""COMPUTED_VALUE"""),413.7)</f>
        <v>413.7</v>
      </c>
      <c r="C50" s="6">
        <f>IFERROR(__xludf.DUMMYFUNCTION("""COMPUTED_VALUE"""),439.2)</f>
        <v>439.2</v>
      </c>
      <c r="D50" s="6">
        <f>IFERROR(__xludf.DUMMYFUNCTION("""COMPUTED_VALUE"""),412.1)</f>
        <v>412.1</v>
      </c>
      <c r="E50" s="6">
        <f>IFERROR(__xludf.DUMMYFUNCTION("""COMPUTED_VALUE"""),434.35)</f>
        <v>434.35</v>
      </c>
      <c r="F50" s="6">
        <f>IFERROR(__xludf.DUMMYFUNCTION("""COMPUTED_VALUE"""),3.8701295E7)</f>
        <v>38701295</v>
      </c>
    </row>
    <row r="51">
      <c r="A51" s="7">
        <f>IFERROR(__xludf.DUMMYFUNCTION("""COMPUTED_VALUE"""),45534.64583333333)</f>
        <v>45534.64583</v>
      </c>
      <c r="B51" s="6">
        <f>IFERROR(__xludf.DUMMYFUNCTION("""COMPUTED_VALUE"""),435.45)</f>
        <v>435.45</v>
      </c>
      <c r="C51" s="6">
        <f>IFERROR(__xludf.DUMMYFUNCTION("""COMPUTED_VALUE"""),460.35)</f>
        <v>460.35</v>
      </c>
      <c r="D51" s="6">
        <f>IFERROR(__xludf.DUMMYFUNCTION("""COMPUTED_VALUE"""),428.55)</f>
        <v>428.55</v>
      </c>
      <c r="E51" s="6">
        <f>IFERROR(__xludf.DUMMYFUNCTION("""COMPUTED_VALUE"""),458.5)</f>
        <v>458.5</v>
      </c>
      <c r="F51" s="6">
        <f>IFERROR(__xludf.DUMMYFUNCTION("""COMPUTED_VALUE"""),6.1526843E7)</f>
        <v>61526843</v>
      </c>
    </row>
    <row r="52">
      <c r="A52" s="7">
        <f>IFERROR(__xludf.DUMMYFUNCTION("""COMPUTED_VALUE"""),45541.64583333333)</f>
        <v>45541.64583</v>
      </c>
      <c r="B52" s="6">
        <f>IFERROR(__xludf.DUMMYFUNCTION("""COMPUTED_VALUE"""),460.0)</f>
        <v>460</v>
      </c>
      <c r="C52" s="6">
        <f>IFERROR(__xludf.DUMMYFUNCTION("""COMPUTED_VALUE"""),460.0)</f>
        <v>460</v>
      </c>
      <c r="D52" s="6">
        <f>IFERROR(__xludf.DUMMYFUNCTION("""COMPUTED_VALUE"""),414.0)</f>
        <v>414</v>
      </c>
      <c r="E52" s="6">
        <f>IFERROR(__xludf.DUMMYFUNCTION("""COMPUTED_VALUE"""),423.1)</f>
        <v>423.1</v>
      </c>
      <c r="F52" s="6">
        <f>IFERROR(__xludf.DUMMYFUNCTION("""COMPUTED_VALUE"""),5.6994489E7)</f>
        <v>56994489</v>
      </c>
    </row>
    <row r="53">
      <c r="A53" s="7">
        <f>IFERROR(__xludf.DUMMYFUNCTION("""COMPUTED_VALUE"""),45548.64583333333)</f>
        <v>45548.64583</v>
      </c>
      <c r="B53" s="6">
        <f>IFERROR(__xludf.DUMMYFUNCTION("""COMPUTED_VALUE"""),420.95)</f>
        <v>420.95</v>
      </c>
      <c r="C53" s="6">
        <f>IFERROR(__xludf.DUMMYFUNCTION("""COMPUTED_VALUE"""),438.65)</f>
        <v>438.65</v>
      </c>
      <c r="D53" s="6">
        <f>IFERROR(__xludf.DUMMYFUNCTION("""COMPUTED_VALUE"""),416.8)</f>
        <v>416.8</v>
      </c>
      <c r="E53" s="6">
        <f>IFERROR(__xludf.DUMMYFUNCTION("""COMPUTED_VALUE"""),428.45)</f>
        <v>428.45</v>
      </c>
      <c r="F53" s="6">
        <f>IFERROR(__xludf.DUMMYFUNCTION("""COMPUTED_VALUE"""),3.8287956E7)</f>
        <v>38287956</v>
      </c>
    </row>
    <row r="54">
      <c r="A54" s="7">
        <f>IFERROR(__xludf.DUMMYFUNCTION("""COMPUTED_VALUE"""),45555.64583333333)</f>
        <v>45555.64583</v>
      </c>
      <c r="B54" s="6">
        <f>IFERROR(__xludf.DUMMYFUNCTION("""COMPUTED_VALUE"""),428.45)</f>
        <v>428.45</v>
      </c>
      <c r="C54" s="6">
        <f>IFERROR(__xludf.DUMMYFUNCTION("""COMPUTED_VALUE"""),433.6)</f>
        <v>433.6</v>
      </c>
      <c r="D54" s="6">
        <f>IFERROR(__xludf.DUMMYFUNCTION("""COMPUTED_VALUE"""),366.35)</f>
        <v>366.35</v>
      </c>
      <c r="E54" s="6">
        <f>IFERROR(__xludf.DUMMYFUNCTION("""COMPUTED_VALUE"""),388.25)</f>
        <v>388.25</v>
      </c>
      <c r="F54" s="6">
        <f>IFERROR(__xludf.DUMMYFUNCTION("""COMPUTED_VALUE"""),1.41374472E8)</f>
        <v>141374472</v>
      </c>
    </row>
    <row r="55">
      <c r="A55" s="7">
        <f>IFERROR(__xludf.DUMMYFUNCTION("""COMPUTED_VALUE"""),45562.64583333333)</f>
        <v>45562.64583</v>
      </c>
      <c r="B55" s="6">
        <f>IFERROR(__xludf.DUMMYFUNCTION("""COMPUTED_VALUE"""),399.9)</f>
        <v>399.9</v>
      </c>
      <c r="C55" s="6">
        <f>IFERROR(__xludf.DUMMYFUNCTION("""COMPUTED_VALUE"""),412.6)</f>
        <v>412.6</v>
      </c>
      <c r="D55" s="6">
        <f>IFERROR(__xludf.DUMMYFUNCTION("""COMPUTED_VALUE"""),385.05)</f>
        <v>385.05</v>
      </c>
      <c r="E55" s="6">
        <f>IFERROR(__xludf.DUMMYFUNCTION("""COMPUTED_VALUE"""),392.4)</f>
        <v>392.4</v>
      </c>
      <c r="F55" s="6">
        <f>IFERROR(__xludf.DUMMYFUNCTION("""COMPUTED_VALUE"""),6.7509516E7)</f>
        <v>67509516</v>
      </c>
    </row>
    <row r="56">
      <c r="A56" s="7">
        <f>IFERROR(__xludf.DUMMYFUNCTION("""COMPUTED_VALUE"""),45569.64583333333)</f>
        <v>45569.64583</v>
      </c>
      <c r="B56" s="6">
        <f>IFERROR(__xludf.DUMMYFUNCTION("""COMPUTED_VALUE"""),391.65)</f>
        <v>391.65</v>
      </c>
      <c r="C56" s="6">
        <f>IFERROR(__xludf.DUMMYFUNCTION("""COMPUTED_VALUE"""),395.6)</f>
        <v>395.6</v>
      </c>
      <c r="D56" s="6">
        <f>IFERROR(__xludf.DUMMYFUNCTION("""COMPUTED_VALUE"""),369.45)</f>
        <v>369.45</v>
      </c>
      <c r="E56" s="6">
        <f>IFERROR(__xludf.DUMMYFUNCTION("""COMPUTED_VALUE"""),372.2)</f>
        <v>372.2</v>
      </c>
      <c r="F56" s="6">
        <f>IFERROR(__xludf.DUMMYFUNCTION("""COMPUTED_VALUE"""),3.6314088E7)</f>
        <v>36314088</v>
      </c>
    </row>
    <row r="57">
      <c r="A57" s="7">
        <f>IFERROR(__xludf.DUMMYFUNCTION("""COMPUTED_VALUE"""),45576.64583333333)</f>
        <v>45576.64583</v>
      </c>
      <c r="B57" s="6">
        <f>IFERROR(__xludf.DUMMYFUNCTION("""COMPUTED_VALUE"""),374.1)</f>
        <v>374.1</v>
      </c>
      <c r="C57" s="6">
        <f>IFERROR(__xludf.DUMMYFUNCTION("""COMPUTED_VALUE"""),383.25)</f>
        <v>383.25</v>
      </c>
      <c r="D57" s="6">
        <f>IFERROR(__xludf.DUMMYFUNCTION("""COMPUTED_VALUE"""),352.3)</f>
        <v>352.3</v>
      </c>
      <c r="E57" s="6">
        <f>IFERROR(__xludf.DUMMYFUNCTION("""COMPUTED_VALUE"""),378.5)</f>
        <v>378.5</v>
      </c>
      <c r="F57" s="6">
        <f>IFERROR(__xludf.DUMMYFUNCTION("""COMPUTED_VALUE"""),4.1067464E7)</f>
        <v>41067464</v>
      </c>
    </row>
    <row r="58">
      <c r="A58" s="7">
        <f>IFERROR(__xludf.DUMMYFUNCTION("""COMPUTED_VALUE"""),45583.64583333333)</f>
        <v>45583.64583</v>
      </c>
      <c r="B58" s="6">
        <f>IFERROR(__xludf.DUMMYFUNCTION("""COMPUTED_VALUE"""),380.4)</f>
        <v>380.4</v>
      </c>
      <c r="C58" s="6">
        <f>IFERROR(__xludf.DUMMYFUNCTION("""COMPUTED_VALUE"""),391.0)</f>
        <v>391</v>
      </c>
      <c r="D58" s="6">
        <f>IFERROR(__xludf.DUMMYFUNCTION("""COMPUTED_VALUE"""),378.2)</f>
        <v>378.2</v>
      </c>
      <c r="E58" s="6">
        <f>IFERROR(__xludf.DUMMYFUNCTION("""COMPUTED_VALUE"""),384.55)</f>
        <v>384.55</v>
      </c>
      <c r="F58" s="6">
        <f>IFERROR(__xludf.DUMMYFUNCTION("""COMPUTED_VALUE"""),2.097745E7)</f>
        <v>20977450</v>
      </c>
    </row>
    <row r="59">
      <c r="A59" s="7">
        <f>IFERROR(__xludf.DUMMYFUNCTION("""COMPUTED_VALUE"""),45590.64583333333)</f>
        <v>45590.64583</v>
      </c>
      <c r="B59" s="6">
        <f>IFERROR(__xludf.DUMMYFUNCTION("""COMPUTED_VALUE"""),384.0)</f>
        <v>384</v>
      </c>
      <c r="C59" s="6">
        <f>IFERROR(__xludf.DUMMYFUNCTION("""COMPUTED_VALUE"""),386.5)</f>
        <v>386.5</v>
      </c>
      <c r="D59" s="6">
        <f>IFERROR(__xludf.DUMMYFUNCTION("""COMPUTED_VALUE"""),330.1)</f>
        <v>330.1</v>
      </c>
      <c r="E59" s="6">
        <f>IFERROR(__xludf.DUMMYFUNCTION("""COMPUTED_VALUE"""),334.7)</f>
        <v>334.7</v>
      </c>
      <c r="F59" s="6">
        <f>IFERROR(__xludf.DUMMYFUNCTION("""COMPUTED_VALUE"""),4.638946E7)</f>
        <v>46389460</v>
      </c>
    </row>
    <row r="60">
      <c r="A60" s="7">
        <f>IFERROR(__xludf.DUMMYFUNCTION("""COMPUTED_VALUE"""),45604.64583333333)</f>
        <v>45604.64583</v>
      </c>
      <c r="B60" s="6">
        <f>IFERROR(__xludf.DUMMYFUNCTION("""COMPUTED_VALUE"""),346.85)</f>
        <v>346.85</v>
      </c>
      <c r="C60" s="6">
        <f>IFERROR(__xludf.DUMMYFUNCTION("""COMPUTED_VALUE"""),350.0)</f>
        <v>350</v>
      </c>
      <c r="D60" s="6">
        <f>IFERROR(__xludf.DUMMYFUNCTION("""COMPUTED_VALUE"""),324.25)</f>
        <v>324.25</v>
      </c>
      <c r="E60" s="6">
        <f>IFERROR(__xludf.DUMMYFUNCTION("""COMPUTED_VALUE"""),326.2)</f>
        <v>326.2</v>
      </c>
      <c r="F60" s="6">
        <f>IFERROR(__xludf.DUMMYFUNCTION("""COMPUTED_VALUE"""),3.2862558E7)</f>
        <v>32862558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IFERROR(__xludf.DUMMYFUNCTION("""COMPUTED_VALUE"""),318.05)</f>
        <v>318.05</v>
      </c>
      <c r="C61" s="6">
        <f>IFERROR(__xludf.DUMMYFUNCTION("""COMPUTED_VALUE"""),331.1)</f>
        <v>331.1</v>
      </c>
      <c r="D61" s="6">
        <f>IFERROR(__xludf.DUMMYFUNCTION("""COMPUTED_VALUE"""),315.5)</f>
        <v>315.5</v>
      </c>
      <c r="E61" s="6">
        <f>IFERROR(__xludf.DUMMYFUNCTION("""COMPUTED_VALUE"""),317.75)</f>
        <v>317.75</v>
      </c>
      <c r="F61" s="6">
        <f>IFERROR(__xludf.DUMMYFUNCTION("""COMPUTED_VALUE"""),2.5533867E7)</f>
        <v>25533867</v>
      </c>
    </row>
    <row r="62">
      <c r="A62" s="7">
        <f>IFERROR(__xludf.DUMMYFUNCTION("""COMPUTED_VALUE"""),45618.64583333333)</f>
        <v>45618.64583</v>
      </c>
      <c r="B62" s="6">
        <f>IFERROR(__xludf.DUMMYFUNCTION("""COMPUTED_VALUE"""),320.0)</f>
        <v>320</v>
      </c>
      <c r="C62" s="6">
        <f>IFERROR(__xludf.DUMMYFUNCTION("""COMPUTED_VALUE"""),340.0)</f>
        <v>340</v>
      </c>
      <c r="D62" s="6">
        <f>IFERROR(__xludf.DUMMYFUNCTION("""COMPUTED_VALUE"""),317.0)</f>
        <v>317</v>
      </c>
      <c r="E62" s="6">
        <f>IFERROR(__xludf.DUMMYFUNCTION("""COMPUTED_VALUE"""),330.1)</f>
        <v>330.1</v>
      </c>
      <c r="F62" s="6">
        <f>IFERROR(__xludf.DUMMYFUNCTION("""COMPUTED_VALUE"""),3.43956E7)</f>
        <v>34395600</v>
      </c>
    </row>
    <row r="63">
      <c r="A63" s="7">
        <f>IFERROR(__xludf.DUMMYFUNCTION("""COMPUTED_VALUE"""),45625.64583333333)</f>
        <v>45625.64583</v>
      </c>
      <c r="B63" s="6">
        <f>IFERROR(__xludf.DUMMYFUNCTION("""COMPUTED_VALUE"""),333.6)</f>
        <v>333.6</v>
      </c>
      <c r="C63" s="6">
        <f>IFERROR(__xludf.DUMMYFUNCTION("""COMPUTED_VALUE"""),355.85)</f>
        <v>355.85</v>
      </c>
      <c r="D63" s="6">
        <f>IFERROR(__xludf.DUMMYFUNCTION("""COMPUTED_VALUE"""),330.3)</f>
        <v>330.3</v>
      </c>
      <c r="E63" s="6">
        <f>IFERROR(__xludf.DUMMYFUNCTION("""COMPUTED_VALUE"""),349.35)</f>
        <v>349.35</v>
      </c>
      <c r="F63" s="6">
        <f>IFERROR(__xludf.DUMMYFUNCTION("""COMPUTED_VALUE"""),4.912462E7)</f>
        <v>49124620</v>
      </c>
    </row>
    <row r="64">
      <c r="A64" s="7">
        <f>IFERROR(__xludf.DUMMYFUNCTION("""COMPUTED_VALUE"""),45632.64583333333)</f>
        <v>45632.64583</v>
      </c>
      <c r="B64" s="6">
        <f>IFERROR(__xludf.DUMMYFUNCTION("""COMPUTED_VALUE"""),350.0)</f>
        <v>350</v>
      </c>
      <c r="C64" s="6">
        <f>IFERROR(__xludf.DUMMYFUNCTION("""COMPUTED_VALUE"""),375.0)</f>
        <v>375</v>
      </c>
      <c r="D64" s="6">
        <f>IFERROR(__xludf.DUMMYFUNCTION("""COMPUTED_VALUE"""),345.5)</f>
        <v>345.5</v>
      </c>
      <c r="E64" s="6">
        <f>IFERROR(__xludf.DUMMYFUNCTION("""COMPUTED_VALUE"""),364.65)</f>
        <v>364.65</v>
      </c>
      <c r="F64" s="6">
        <f>IFERROR(__xludf.DUMMYFUNCTION("""COMPUTED_VALUE"""),8.2379604E7)</f>
        <v>82379604</v>
      </c>
    </row>
    <row r="65">
      <c r="A65" s="7">
        <f>IFERROR(__xludf.DUMMYFUNCTION("""COMPUTED_VALUE"""),45639.64583333333)</f>
        <v>45639.64583</v>
      </c>
      <c r="B65" s="6">
        <f>IFERROR(__xludf.DUMMYFUNCTION("""COMPUTED_VALUE"""),364.75)</f>
        <v>364.75</v>
      </c>
      <c r="C65" s="6">
        <f>IFERROR(__xludf.DUMMYFUNCTION("""COMPUTED_VALUE"""),366.8)</f>
        <v>366.8</v>
      </c>
      <c r="D65" s="6">
        <f>IFERROR(__xludf.DUMMYFUNCTION("""COMPUTED_VALUE"""),335.35)</f>
        <v>335.35</v>
      </c>
      <c r="E65" s="6">
        <f>IFERROR(__xludf.DUMMYFUNCTION("""COMPUTED_VALUE"""),350.0)</f>
        <v>350</v>
      </c>
      <c r="F65" s="6">
        <f>IFERROR(__xludf.DUMMYFUNCTION("""COMPUTED_VALUE"""),5.7504056E7)</f>
        <v>57504056</v>
      </c>
    </row>
    <row r="66">
      <c r="A66" s="7">
        <f>IFERROR(__xludf.DUMMYFUNCTION("""COMPUTED_VALUE"""),45646.64583333333)</f>
        <v>45646.64583</v>
      </c>
      <c r="B66" s="6">
        <f>IFERROR(__xludf.DUMMYFUNCTION("""COMPUTED_VALUE"""),351.0)</f>
        <v>351</v>
      </c>
      <c r="C66" s="6">
        <f>IFERROR(__xludf.DUMMYFUNCTION("""COMPUTED_VALUE"""),359.3)</f>
        <v>359.3</v>
      </c>
      <c r="D66" s="6">
        <f>IFERROR(__xludf.DUMMYFUNCTION("""COMPUTED_VALUE"""),332.6)</f>
        <v>332.6</v>
      </c>
      <c r="E66" s="6">
        <f>IFERROR(__xludf.DUMMYFUNCTION("""COMPUTED_VALUE"""),337.1)</f>
        <v>337.1</v>
      </c>
      <c r="F66" s="6">
        <f>IFERROR(__xludf.DUMMYFUNCTION("""COMPUTED_VALUE"""),3.5706893E7)</f>
        <v>35706893</v>
      </c>
    </row>
    <row r="67">
      <c r="A67" s="7">
        <f>IFERROR(__xludf.DUMMYFUNCTION("""COMPUTED_VALUE"""),45653.64583333333)</f>
        <v>45653.64583</v>
      </c>
      <c r="B67" s="6">
        <f>IFERROR(__xludf.DUMMYFUNCTION("""COMPUTED_VALUE"""),339.0)</f>
        <v>339</v>
      </c>
      <c r="C67" s="6">
        <f>IFERROR(__xludf.DUMMYFUNCTION("""COMPUTED_VALUE"""),339.0)</f>
        <v>339</v>
      </c>
      <c r="D67" s="6">
        <f>IFERROR(__xludf.DUMMYFUNCTION("""COMPUTED_VALUE"""),327.15)</f>
        <v>327.15</v>
      </c>
      <c r="E67" s="6">
        <f>IFERROR(__xludf.DUMMYFUNCTION("""COMPUTED_VALUE"""),329.55)</f>
        <v>329.55</v>
      </c>
      <c r="F67" s="6">
        <f>IFERROR(__xludf.DUMMYFUNCTION("""COMPUTED_VALUE"""),1.9572138E7)</f>
        <v>19572138</v>
      </c>
    </row>
    <row r="68">
      <c r="A68" s="7">
        <f>IFERROR(__xludf.DUMMYFUNCTION("""COMPUTED_VALUE"""),45660.64583333333)</f>
        <v>45660.64583</v>
      </c>
      <c r="B68" s="6">
        <f>IFERROR(__xludf.DUMMYFUNCTION("""COMPUTED_VALUE"""),331.9)</f>
        <v>331.9</v>
      </c>
      <c r="C68" s="6">
        <f>IFERROR(__xludf.DUMMYFUNCTION("""COMPUTED_VALUE"""),352.5)</f>
        <v>352.5</v>
      </c>
      <c r="D68" s="6">
        <f>IFERROR(__xludf.DUMMYFUNCTION("""COMPUTED_VALUE"""),329.65)</f>
        <v>329.65</v>
      </c>
      <c r="E68" s="6">
        <f>IFERROR(__xludf.DUMMYFUNCTION("""COMPUTED_VALUE"""),344.0)</f>
        <v>344</v>
      </c>
      <c r="F68" s="6">
        <f>IFERROR(__xludf.DUMMYFUNCTION("""COMPUTED_VALUE"""),3.6188113E7)</f>
        <v>36188113</v>
      </c>
    </row>
    <row r="69">
      <c r="A69" s="7">
        <f>IFERROR(__xludf.DUMMYFUNCTION("""COMPUTED_VALUE"""),45667.64583333333)</f>
        <v>45667.64583</v>
      </c>
      <c r="B69" s="6">
        <f>IFERROR(__xludf.DUMMYFUNCTION("""COMPUTED_VALUE"""),345.8)</f>
        <v>345.8</v>
      </c>
      <c r="C69" s="6">
        <f>IFERROR(__xludf.DUMMYFUNCTION("""COMPUTED_VALUE"""),345.8)</f>
        <v>345.8</v>
      </c>
      <c r="D69" s="6">
        <f>IFERROR(__xludf.DUMMYFUNCTION("""COMPUTED_VALUE"""),319.45)</f>
        <v>319.45</v>
      </c>
      <c r="E69" s="6">
        <f>IFERROR(__xludf.DUMMYFUNCTION("""COMPUTED_VALUE"""),320.4)</f>
        <v>320.4</v>
      </c>
      <c r="F69" s="6">
        <f>IFERROR(__xludf.DUMMYFUNCTION("""COMPUTED_VALUE"""),3.0468887E7)</f>
        <v>30468887</v>
      </c>
    </row>
    <row r="70">
      <c r="A70" s="7">
        <f>IFERROR(__xludf.DUMMYFUNCTION("""COMPUTED_VALUE"""),45674.64583333333)</f>
        <v>45674.64583</v>
      </c>
      <c r="B70" s="6">
        <f>IFERROR(__xludf.DUMMYFUNCTION("""COMPUTED_VALUE"""),315.55)</f>
        <v>315.55</v>
      </c>
      <c r="C70" s="6">
        <f>IFERROR(__xludf.DUMMYFUNCTION("""COMPUTED_VALUE"""),365.0)</f>
        <v>365</v>
      </c>
      <c r="D70" s="6">
        <f>IFERROR(__xludf.DUMMYFUNCTION("""COMPUTED_VALUE"""),315.55)</f>
        <v>315.55</v>
      </c>
      <c r="E70" s="6">
        <f>IFERROR(__xludf.DUMMYFUNCTION("""COMPUTED_VALUE"""),362.7)</f>
        <v>362.7</v>
      </c>
      <c r="F70" s="6">
        <f>IFERROR(__xludf.DUMMYFUNCTION("""COMPUTED_VALUE"""),7.049571E7)</f>
        <v>70495710</v>
      </c>
    </row>
    <row r="71">
      <c r="A71" s="7">
        <f>IFERROR(__xludf.DUMMYFUNCTION("""COMPUTED_VALUE"""),45681.64583333333)</f>
        <v>45681.64583</v>
      </c>
      <c r="B71" s="6">
        <f>IFERROR(__xludf.DUMMYFUNCTION("""COMPUTED_VALUE"""),380.4)</f>
        <v>380.4</v>
      </c>
      <c r="C71" s="6">
        <f>IFERROR(__xludf.DUMMYFUNCTION("""COMPUTED_VALUE"""),390.45)</f>
        <v>390.45</v>
      </c>
      <c r="D71" s="6">
        <f>IFERROR(__xludf.DUMMYFUNCTION("""COMPUTED_VALUE"""),348.5)</f>
        <v>348.5</v>
      </c>
      <c r="E71" s="6">
        <f>IFERROR(__xludf.DUMMYFUNCTION("""COMPUTED_VALUE"""),367.95)</f>
        <v>367.95</v>
      </c>
      <c r="F71" s="6">
        <f>IFERROR(__xludf.DUMMYFUNCTION("""COMPUTED_VALUE"""),6.6534458E7)</f>
        <v>66534458</v>
      </c>
    </row>
    <row r="72">
      <c r="A72" s="7">
        <f>IFERROR(__xludf.DUMMYFUNCTION("""COMPUTED_VALUE"""),45695.64583333333)</f>
        <v>45695.64583</v>
      </c>
      <c r="B72" s="6">
        <f>IFERROR(__xludf.DUMMYFUNCTION("""COMPUTED_VALUE"""),347.1)</f>
        <v>347.1</v>
      </c>
      <c r="C72" s="6">
        <f>IFERROR(__xludf.DUMMYFUNCTION("""COMPUTED_VALUE"""),369.35)</f>
        <v>369.35</v>
      </c>
      <c r="D72" s="6">
        <f>IFERROR(__xludf.DUMMYFUNCTION("""COMPUTED_VALUE"""),338.7)</f>
        <v>338.7</v>
      </c>
      <c r="E72" s="6">
        <f>IFERROR(__xludf.DUMMYFUNCTION("""COMPUTED_VALUE"""),363.3)</f>
        <v>363.3</v>
      </c>
      <c r="F72" s="6">
        <f>IFERROR(__xludf.DUMMYFUNCTION("""COMPUTED_VALUE"""),3.5821563E7)</f>
        <v>35821563</v>
      </c>
    </row>
    <row r="73">
      <c r="A73" s="7">
        <f>IFERROR(__xludf.DUMMYFUNCTION("""COMPUTED_VALUE"""),45702.64583333333)</f>
        <v>45702.64583</v>
      </c>
      <c r="B73" s="6">
        <f>IFERROR(__xludf.DUMMYFUNCTION("""COMPUTED_VALUE"""),363.25)</f>
        <v>363.25</v>
      </c>
      <c r="C73" s="6">
        <f>IFERROR(__xludf.DUMMYFUNCTION("""COMPUTED_VALUE"""),364.8)</f>
        <v>364.8</v>
      </c>
      <c r="D73" s="6">
        <f>IFERROR(__xludf.DUMMYFUNCTION("""COMPUTED_VALUE"""),329.6)</f>
        <v>329.6</v>
      </c>
      <c r="E73" s="6">
        <f>IFERROR(__xludf.DUMMYFUNCTION("""COMPUTED_VALUE"""),335.5)</f>
        <v>335.5</v>
      </c>
      <c r="F73" s="6">
        <f>IFERROR(__xludf.DUMMYFUNCTION("""COMPUTED_VALUE"""),2.4431761E7)</f>
        <v>24431761</v>
      </c>
    </row>
    <row r="74">
      <c r="A74" s="7">
        <f>IFERROR(__xludf.DUMMYFUNCTION("""COMPUTED_VALUE"""),45709.64583333333)</f>
        <v>45709.64583</v>
      </c>
      <c r="B74" s="6">
        <f>IFERROR(__xludf.DUMMYFUNCTION("""COMPUTED_VALUE"""),334.25)</f>
        <v>334.25</v>
      </c>
      <c r="C74" s="6">
        <f>IFERROR(__xludf.DUMMYFUNCTION("""COMPUTED_VALUE"""),344.5)</f>
        <v>344.5</v>
      </c>
      <c r="D74" s="6">
        <f>IFERROR(__xludf.DUMMYFUNCTION("""COMPUTED_VALUE"""),326.75)</f>
        <v>326.75</v>
      </c>
      <c r="E74" s="6">
        <f>IFERROR(__xludf.DUMMYFUNCTION("""COMPUTED_VALUE"""),336.4)</f>
        <v>336.4</v>
      </c>
      <c r="F74" s="6">
        <f>IFERROR(__xludf.DUMMYFUNCTION("""COMPUTED_VALUE"""),2.5216397E7)</f>
        <v>25216397</v>
      </c>
    </row>
    <row r="75">
      <c r="A75" s="7">
        <f>IFERROR(__xludf.DUMMYFUNCTION("""COMPUTED_VALUE"""),45716.64583333333)</f>
        <v>45716.64583</v>
      </c>
      <c r="B75" s="6">
        <f>IFERROR(__xludf.DUMMYFUNCTION("""COMPUTED_VALUE"""),332.0)</f>
        <v>332</v>
      </c>
      <c r="C75" s="6">
        <f>IFERROR(__xludf.DUMMYFUNCTION("""COMPUTED_VALUE"""),339.9)</f>
        <v>339.9</v>
      </c>
      <c r="D75" s="6">
        <f>IFERROR(__xludf.DUMMYFUNCTION("""COMPUTED_VALUE"""),321.9)</f>
        <v>321.9</v>
      </c>
      <c r="E75" s="6">
        <f>IFERROR(__xludf.DUMMYFUNCTION("""COMPUTED_VALUE"""),323.35)</f>
        <v>323.35</v>
      </c>
      <c r="F75" s="6">
        <f>IFERROR(__xludf.DUMMYFUNCTION("""COMPUTED_VALUE"""),2.8201217E7)</f>
        <v>28201217</v>
      </c>
    </row>
    <row r="76">
      <c r="A76" s="7">
        <f>IFERROR(__xludf.DUMMYFUNCTION("""COMPUTED_VALUE"""),45723.64583333333)</f>
        <v>45723.64583</v>
      </c>
      <c r="B76" s="6">
        <f>IFERROR(__xludf.DUMMYFUNCTION("""COMPUTED_VALUE"""),325.0)</f>
        <v>325</v>
      </c>
      <c r="C76" s="6">
        <f>IFERROR(__xludf.DUMMYFUNCTION("""COMPUTED_VALUE"""),340.9)</f>
        <v>340.9</v>
      </c>
      <c r="D76" s="6">
        <f>IFERROR(__xludf.DUMMYFUNCTION("""COMPUTED_VALUE"""),312.75)</f>
        <v>312.75</v>
      </c>
      <c r="E76" s="6">
        <f>IFERROR(__xludf.DUMMYFUNCTION("""COMPUTED_VALUE"""),327.4)</f>
        <v>327.4</v>
      </c>
      <c r="F76" s="6">
        <f>IFERROR(__xludf.DUMMYFUNCTION("""COMPUTED_VALUE"""),2.303309E7)</f>
        <v>23033090</v>
      </c>
    </row>
    <row r="77">
      <c r="A77" s="7">
        <f>IFERROR(__xludf.DUMMYFUNCTION("""COMPUTED_VALUE"""),45729.64583333333)</f>
        <v>45729.64583</v>
      </c>
      <c r="B77" s="6">
        <f>IFERROR(__xludf.DUMMYFUNCTION("""COMPUTED_VALUE"""),329.05)</f>
        <v>329.05</v>
      </c>
      <c r="C77" s="6">
        <f>IFERROR(__xludf.DUMMYFUNCTION("""COMPUTED_VALUE"""),345.0)</f>
        <v>345</v>
      </c>
      <c r="D77" s="6">
        <f>IFERROR(__xludf.DUMMYFUNCTION("""COMPUTED_VALUE"""),314.7)</f>
        <v>314.7</v>
      </c>
      <c r="E77" s="6">
        <f>IFERROR(__xludf.DUMMYFUNCTION("""COMPUTED_VALUE"""),327.0)</f>
        <v>327</v>
      </c>
      <c r="F77" s="6">
        <f>IFERROR(__xludf.DUMMYFUNCTION("""COMPUTED_VALUE"""),3.4181789E7)</f>
        <v>34181789</v>
      </c>
    </row>
    <row r="78">
      <c r="A78" s="7">
        <f>IFERROR(__xludf.DUMMYFUNCTION("""COMPUTED_VALUE"""),45737.64583333333)</f>
        <v>45737.64583</v>
      </c>
      <c r="B78" s="6">
        <f>IFERROR(__xludf.DUMMYFUNCTION("""COMPUTED_VALUE"""),326.0)</f>
        <v>326</v>
      </c>
      <c r="C78" s="6">
        <f>IFERROR(__xludf.DUMMYFUNCTION("""COMPUTED_VALUE"""),350.0)</f>
        <v>350</v>
      </c>
      <c r="D78" s="6">
        <f>IFERROR(__xludf.DUMMYFUNCTION("""COMPUTED_VALUE"""),0.0)</f>
        <v>0</v>
      </c>
      <c r="E78" s="6">
        <f>IFERROR(__xludf.DUMMYFUNCTION("""COMPUTED_VALUE"""),348.85)</f>
        <v>348.85</v>
      </c>
      <c r="F78" s="6">
        <f>IFERROR(__xludf.DUMMYFUNCTION("""COMPUTED_VALUE"""),2.2202269E7)</f>
        <v>22202269</v>
      </c>
    </row>
    <row r="79">
      <c r="A79" s="7">
        <f>IFERROR(__xludf.DUMMYFUNCTION("""COMPUTED_VALUE"""),45744.64583333333)</f>
        <v>45744.64583</v>
      </c>
      <c r="B79" s="6">
        <f>IFERROR(__xludf.DUMMYFUNCTION("""COMPUTED_VALUE"""),355.0)</f>
        <v>355</v>
      </c>
      <c r="C79" s="6">
        <f>IFERROR(__xludf.DUMMYFUNCTION("""COMPUTED_VALUE"""),358.9)</f>
        <v>358.9</v>
      </c>
      <c r="D79" s="6">
        <f>IFERROR(__xludf.DUMMYFUNCTION("""COMPUTED_VALUE"""),332.0)</f>
        <v>332</v>
      </c>
      <c r="E79" s="6">
        <f>IFERROR(__xludf.DUMMYFUNCTION("""COMPUTED_VALUE"""),334.3)</f>
        <v>334.3</v>
      </c>
      <c r="F79" s="6">
        <f>IFERROR(__xludf.DUMMYFUNCTION("""COMPUTED_VALUE"""),2.3132659E7)</f>
        <v>23132659</v>
      </c>
    </row>
    <row r="80">
      <c r="A80" s="7">
        <f>IFERROR(__xludf.DUMMYFUNCTION("""COMPUTED_VALUE"""),45751.64583333333)</f>
        <v>45751.64583</v>
      </c>
      <c r="B80" s="6">
        <f>IFERROR(__xludf.DUMMYFUNCTION("""COMPUTED_VALUE"""),349.9)</f>
        <v>349.9</v>
      </c>
      <c r="C80" s="6">
        <f>IFERROR(__xludf.DUMMYFUNCTION("""COMPUTED_VALUE"""),368.0)</f>
        <v>368</v>
      </c>
      <c r="D80" s="6">
        <f>IFERROR(__xludf.DUMMYFUNCTION("""COMPUTED_VALUE"""),346.8)</f>
        <v>346.8</v>
      </c>
      <c r="E80" s="6">
        <f>IFERROR(__xludf.DUMMYFUNCTION("""COMPUTED_VALUE"""),360.5)</f>
        <v>360.5</v>
      </c>
      <c r="F80" s="6">
        <f>IFERROR(__xludf.DUMMYFUNCTION("""COMPUTED_VALUE"""),4.9735388E7)</f>
        <v>49735388</v>
      </c>
    </row>
    <row r="81">
      <c r="A81" s="7">
        <f>IFERROR(__xludf.DUMMYFUNCTION("""COMPUTED_VALUE"""),45758.64583333333)</f>
        <v>45758.64583</v>
      </c>
      <c r="B81" s="6">
        <f>IFERROR(__xludf.DUMMYFUNCTION("""COMPUTED_VALUE"""),340.0)</f>
        <v>340</v>
      </c>
      <c r="C81" s="6">
        <f>IFERROR(__xludf.DUMMYFUNCTION("""COMPUTED_VALUE"""),375.2)</f>
        <v>375.2</v>
      </c>
      <c r="D81" s="6">
        <f>IFERROR(__xludf.DUMMYFUNCTION("""COMPUTED_VALUE"""),336.15)</f>
        <v>336.15</v>
      </c>
      <c r="E81" s="6">
        <f>IFERROR(__xludf.DUMMYFUNCTION("""COMPUTED_VALUE"""),373.65)</f>
        <v>373.65</v>
      </c>
      <c r="F81" s="6">
        <f>IFERROR(__xludf.DUMMYFUNCTION("""COMPUTED_VALUE"""),3.7110387E7)</f>
        <v>37110387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IFERROR(__xludf.DUMMYFUNCTION("""COMPUTED_VALUE"""),380.8)</f>
        <v>380.8</v>
      </c>
      <c r="C82" s="6">
        <f>IFERROR(__xludf.DUMMYFUNCTION("""COMPUTED_VALUE"""),398.85)</f>
        <v>398.85</v>
      </c>
      <c r="D82" s="6">
        <f>IFERROR(__xludf.DUMMYFUNCTION("""COMPUTED_VALUE"""),374.25)</f>
        <v>374.25</v>
      </c>
      <c r="E82" s="6">
        <f>IFERROR(__xludf.DUMMYFUNCTION("""COMPUTED_VALUE"""),397.9)</f>
        <v>397.9</v>
      </c>
      <c r="F82" s="6">
        <f>IFERROR(__xludf.DUMMYFUNCTION("""COMPUTED_VALUE"""),2.6239658E7)</f>
        <v>26239658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IFERROR(__xludf.DUMMYFUNCTION("""COMPUTED_VALUE"""),398.35)</f>
        <v>398.35</v>
      </c>
      <c r="C83" s="6">
        <f>IFERROR(__xludf.DUMMYFUNCTION("""COMPUTED_VALUE"""),421.5)</f>
        <v>421.5</v>
      </c>
      <c r="D83" s="6">
        <f>IFERROR(__xludf.DUMMYFUNCTION("""COMPUTED_VALUE"""),390.3)</f>
        <v>390.3</v>
      </c>
      <c r="E83" s="6">
        <f>IFERROR(__xludf.DUMMYFUNCTION("""COMPUTED_VALUE"""),397.35)</f>
        <v>397.35</v>
      </c>
      <c r="F83" s="6">
        <f>IFERROR(__xludf.DUMMYFUNCTION("""COMPUTED_VALUE"""),3.9396756E7)</f>
        <v>39396756</v>
      </c>
    </row>
    <row r="84">
      <c r="A84" s="7">
        <f>IFERROR(__xludf.DUMMYFUNCTION("""COMPUTED_VALUE"""),45779.64583333333)</f>
        <v>45779.64583</v>
      </c>
      <c r="B84" s="6">
        <f>IFERROR(__xludf.DUMMYFUNCTION("""COMPUTED_VALUE"""),409.0)</f>
        <v>409</v>
      </c>
      <c r="C84" s="6">
        <f>IFERROR(__xludf.DUMMYFUNCTION("""COMPUTED_VALUE"""),413.8)</f>
        <v>413.8</v>
      </c>
      <c r="D84" s="6">
        <f>IFERROR(__xludf.DUMMYFUNCTION("""COMPUTED_VALUE"""),378.45)</f>
        <v>378.45</v>
      </c>
      <c r="E84" s="6">
        <f>IFERROR(__xludf.DUMMYFUNCTION("""COMPUTED_VALUE"""),379.3)</f>
        <v>379.3</v>
      </c>
      <c r="F84" s="6">
        <f>IFERROR(__xludf.DUMMYFUNCTION("""COMPUTED_VALUE"""),3.6579625E7)</f>
        <v>36579625</v>
      </c>
    </row>
    <row r="85">
      <c r="A85" s="7">
        <f>IFERROR(__xludf.DUMMYFUNCTION("""COMPUTED_VALUE"""),45786.64583333333)</f>
        <v>45786.64583</v>
      </c>
      <c r="B85" s="6">
        <f>IFERROR(__xludf.DUMMYFUNCTION("""COMPUTED_VALUE"""),380.4)</f>
        <v>380.4</v>
      </c>
      <c r="C85" s="6">
        <f>IFERROR(__xludf.DUMMYFUNCTION("""COMPUTED_VALUE"""),395.6)</f>
        <v>395.6</v>
      </c>
      <c r="D85" s="6">
        <f>IFERROR(__xludf.DUMMYFUNCTION("""COMPUTED_VALUE"""),376.55)</f>
        <v>376.55</v>
      </c>
      <c r="E85" s="6">
        <f>IFERROR(__xludf.DUMMYFUNCTION("""COMPUTED_VALUE"""),388.2)</f>
        <v>388.2</v>
      </c>
      <c r="F85" s="6">
        <f>IFERROR(__xludf.DUMMYFUNCTION("""COMPUTED_VALUE"""),3.4660991E7)</f>
        <v>34660991</v>
      </c>
    </row>
    <row r="86">
      <c r="A86" s="7">
        <f>IFERROR(__xludf.DUMMYFUNCTION("""COMPUTED_VALUE"""),45793.64583333333)</f>
        <v>45793.64583</v>
      </c>
      <c r="B86" s="6">
        <f>IFERROR(__xludf.DUMMYFUNCTION("""COMPUTED_VALUE"""),395.4)</f>
        <v>395.4</v>
      </c>
      <c r="C86" s="6">
        <f>IFERROR(__xludf.DUMMYFUNCTION("""COMPUTED_VALUE"""),407.35)</f>
        <v>407.35</v>
      </c>
      <c r="D86" s="6">
        <f>IFERROR(__xludf.DUMMYFUNCTION("""COMPUTED_VALUE"""),391.25)</f>
        <v>391.25</v>
      </c>
      <c r="E86" s="6">
        <f>IFERROR(__xludf.DUMMYFUNCTION("""COMPUTED_VALUE"""),400.45)</f>
        <v>400.45</v>
      </c>
      <c r="F86" s="6">
        <f>IFERROR(__xludf.DUMMYFUNCTION("""COMPUTED_VALUE"""),3.1375791E7)</f>
        <v>31375791</v>
      </c>
    </row>
    <row r="87">
      <c r="A87" s="7">
        <f>IFERROR(__xludf.DUMMYFUNCTION("""COMPUTED_VALUE"""),45800.64583333333)</f>
        <v>45800.64583</v>
      </c>
      <c r="B87" s="6">
        <f>IFERROR(__xludf.DUMMYFUNCTION("""COMPUTED_VALUE"""),402.25)</f>
        <v>402.25</v>
      </c>
      <c r="C87" s="6">
        <f>IFERROR(__xludf.DUMMYFUNCTION("""COMPUTED_VALUE"""),403.9)</f>
        <v>403.9</v>
      </c>
      <c r="D87" s="6">
        <f>IFERROR(__xludf.DUMMYFUNCTION("""COMPUTED_VALUE"""),381.3)</f>
        <v>381.3</v>
      </c>
      <c r="E87" s="6">
        <f>IFERROR(__xludf.DUMMYFUNCTION("""COMPUTED_VALUE"""),383.6)</f>
        <v>383.6</v>
      </c>
      <c r="F87" s="6">
        <f>IFERROR(__xludf.DUMMYFUNCTION("""COMPUTED_VALUE"""),3.7420368E7)</f>
        <v>37420368</v>
      </c>
    </row>
    <row r="88">
      <c r="A88" s="7">
        <f>IFERROR(__xludf.DUMMYFUNCTION("""COMPUTED_VALUE"""),45807.64583333333)</f>
        <v>45807.64583</v>
      </c>
      <c r="B88" s="6">
        <f>IFERROR(__xludf.DUMMYFUNCTION("""COMPUTED_VALUE"""),383.6)</f>
        <v>383.6</v>
      </c>
      <c r="C88" s="6">
        <f>IFERROR(__xludf.DUMMYFUNCTION("""COMPUTED_VALUE"""),398.95)</f>
        <v>398.95</v>
      </c>
      <c r="D88" s="6">
        <f>IFERROR(__xludf.DUMMYFUNCTION("""COMPUTED_VALUE"""),375.6)</f>
        <v>375.6</v>
      </c>
      <c r="E88" s="6">
        <f>IFERROR(__xludf.DUMMYFUNCTION("""COMPUTED_VALUE"""),384.15)</f>
        <v>384.15</v>
      </c>
      <c r="F88" s="6">
        <f>IFERROR(__xludf.DUMMYFUNCTION("""COMPUTED_VALUE"""),5.7884507E7)</f>
        <v>57884507</v>
      </c>
    </row>
    <row r="89">
      <c r="A89" s="7">
        <f>IFERROR(__xludf.DUMMYFUNCTION("""COMPUTED_VALUE"""),45814.64583333333)</f>
        <v>45814.64583</v>
      </c>
      <c r="B89" s="6">
        <f>IFERROR(__xludf.DUMMYFUNCTION("""COMPUTED_VALUE"""),382.25)</f>
        <v>382.25</v>
      </c>
      <c r="C89" s="6">
        <f>IFERROR(__xludf.DUMMYFUNCTION("""COMPUTED_VALUE"""),393.75)</f>
        <v>393.75</v>
      </c>
      <c r="D89" s="6">
        <f>IFERROR(__xludf.DUMMYFUNCTION("""COMPUTED_VALUE"""),378.3)</f>
        <v>378.3</v>
      </c>
      <c r="E89" s="6">
        <f>IFERROR(__xludf.DUMMYFUNCTION("""COMPUTED_VALUE"""),391.1)</f>
        <v>391.1</v>
      </c>
      <c r="F89" s="6">
        <f>IFERROR(__xludf.DUMMYFUNCTION("""COMPUTED_VALUE"""),2.7342804E7)</f>
        <v>27342804</v>
      </c>
    </row>
    <row r="90">
      <c r="A90" s="7">
        <f>IFERROR(__xludf.DUMMYFUNCTION("""COMPUTED_VALUE"""),45821.64583333333)</f>
        <v>45821.64583</v>
      </c>
      <c r="B90" s="6">
        <f>IFERROR(__xludf.DUMMYFUNCTION("""COMPUTED_VALUE"""),391.0)</f>
        <v>391</v>
      </c>
      <c r="C90" s="6">
        <f>IFERROR(__xludf.DUMMYFUNCTION("""COMPUTED_VALUE"""),401.4)</f>
        <v>401.4</v>
      </c>
      <c r="D90" s="6">
        <f>IFERROR(__xludf.DUMMYFUNCTION("""COMPUTED_VALUE"""),374.25)</f>
        <v>374.25</v>
      </c>
      <c r="E90" s="6">
        <f>IFERROR(__xludf.DUMMYFUNCTION("""COMPUTED_VALUE"""),380.35)</f>
        <v>380.35</v>
      </c>
      <c r="F90" s="6">
        <f>IFERROR(__xludf.DUMMYFUNCTION("""COMPUTED_VALUE"""),2.1757225E7)</f>
        <v>21757225</v>
      </c>
    </row>
    <row r="91">
      <c r="A91" s="7">
        <f>IFERROR(__xludf.DUMMYFUNCTION("""COMPUTED_VALUE"""),45828.64583333333)</f>
        <v>45828.64583</v>
      </c>
      <c r="B91" s="6">
        <f>IFERROR(__xludf.DUMMYFUNCTION("""COMPUTED_VALUE"""),380.35)</f>
        <v>380.35</v>
      </c>
      <c r="C91" s="6">
        <f>IFERROR(__xludf.DUMMYFUNCTION("""COMPUTED_VALUE"""),405.75)</f>
        <v>405.75</v>
      </c>
      <c r="D91" s="6">
        <f>IFERROR(__xludf.DUMMYFUNCTION("""COMPUTED_VALUE"""),377.4)</f>
        <v>377.4</v>
      </c>
      <c r="E91" s="6">
        <f>IFERROR(__xludf.DUMMYFUNCTION("""COMPUTED_VALUE"""),404.3)</f>
        <v>404.3</v>
      </c>
      <c r="F91" s="6">
        <f>IFERROR(__xludf.DUMMYFUNCTION("""COMPUTED_VALUE"""),3.2903121E7)</f>
        <v>32903121</v>
      </c>
    </row>
    <row r="92">
      <c r="A92" s="7">
        <f>IFERROR(__xludf.DUMMYFUNCTION("""COMPUTED_VALUE"""),45835.64583333333)</f>
        <v>45835.64583</v>
      </c>
      <c r="B92" s="6">
        <f>IFERROR(__xludf.DUMMYFUNCTION("""COMPUTED_VALUE"""),403.9)</f>
        <v>403.9</v>
      </c>
      <c r="C92" s="6">
        <f>IFERROR(__xludf.DUMMYFUNCTION("""COMPUTED_VALUE"""),421.9)</f>
        <v>421.9</v>
      </c>
      <c r="D92" s="6">
        <f>IFERROR(__xludf.DUMMYFUNCTION("""COMPUTED_VALUE"""),400.45)</f>
        <v>400.45</v>
      </c>
      <c r="E92" s="6">
        <f>IFERROR(__xludf.DUMMYFUNCTION("""COMPUTED_VALUE"""),412.2)</f>
        <v>412.2</v>
      </c>
      <c r="F92" s="6">
        <f>IFERROR(__xludf.DUMMYFUNCTION("""COMPUTED_VALUE"""),3.3206704E7)</f>
        <v>33206704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IFERROR(__xludf.DUMMYFUNCTION("""COMPUTED_VALUE"""),415.5)</f>
        <v>415.5</v>
      </c>
      <c r="C93" s="6">
        <f>IFERROR(__xludf.DUMMYFUNCTION("""COMPUTED_VALUE"""),430.0)</f>
        <v>430</v>
      </c>
      <c r="D93" s="6">
        <f>IFERROR(__xludf.DUMMYFUNCTION("""COMPUTED_VALUE"""),411.65)</f>
        <v>411.65</v>
      </c>
      <c r="E93" s="6">
        <f>IFERROR(__xludf.DUMMYFUNCTION("""COMPUTED_VALUE"""),424.95)</f>
        <v>424.95</v>
      </c>
      <c r="F93" s="6">
        <f>IFERROR(__xludf.DUMMYFUNCTION("""COMPUTED_VALUE"""),3.3681214E7)</f>
        <v>33681214</v>
      </c>
    </row>
    <row r="94">
      <c r="A94" s="7">
        <f>IFERROR(__xludf.DUMMYFUNCTION("""COMPUTED_VALUE"""),45849.64583333333)</f>
        <v>45849.64583</v>
      </c>
      <c r="B94" s="6">
        <f>IFERROR(__xludf.DUMMYFUNCTION("""COMPUTED_VALUE"""),422.7)</f>
        <v>422.7</v>
      </c>
      <c r="C94" s="6">
        <f>IFERROR(__xludf.DUMMYFUNCTION("""COMPUTED_VALUE"""),422.7)</f>
        <v>422.7</v>
      </c>
      <c r="D94" s="6">
        <f>IFERROR(__xludf.DUMMYFUNCTION("""COMPUTED_VALUE"""),394.6)</f>
        <v>394.6</v>
      </c>
      <c r="E94" s="6">
        <f>IFERROR(__xludf.DUMMYFUNCTION("""COMPUTED_VALUE"""),404.4)</f>
        <v>404.4</v>
      </c>
      <c r="F94" s="6">
        <f>IFERROR(__xludf.DUMMYFUNCTION("""COMPUTED_VALUE"""),2.6493433E7)</f>
        <v>26493433</v>
      </c>
    </row>
    <row r="95">
      <c r="A95" s="7">
        <f>IFERROR(__xludf.DUMMYFUNCTION("""COMPUTED_VALUE"""),45856.64583333333)</f>
        <v>45856.64583</v>
      </c>
      <c r="B95" s="6">
        <f>IFERROR(__xludf.DUMMYFUNCTION("""COMPUTED_VALUE"""),406.0)</f>
        <v>406</v>
      </c>
      <c r="C95" s="6">
        <f>IFERROR(__xludf.DUMMYFUNCTION("""COMPUTED_VALUE"""),409.8)</f>
        <v>409.8</v>
      </c>
      <c r="D95" s="6">
        <f>IFERROR(__xludf.DUMMYFUNCTION("""COMPUTED_VALUE"""),400.0)</f>
        <v>400</v>
      </c>
      <c r="E95" s="6">
        <f>IFERROR(__xludf.DUMMYFUNCTION("""COMPUTED_VALUE"""),403.4)</f>
        <v>403.4</v>
      </c>
      <c r="F95" s="6">
        <f>IFERROR(__xludf.DUMMYFUNCTION("""COMPUTED_VALUE"""),1.6850585E7)</f>
        <v>16850585</v>
      </c>
    </row>
    <row r="96">
      <c r="A96" s="7">
        <f>IFERROR(__xludf.DUMMYFUNCTION("""COMPUTED_VALUE"""),45863.64583333333)</f>
        <v>45863.64583</v>
      </c>
      <c r="B96" s="6">
        <f>IFERROR(__xludf.DUMMYFUNCTION("""COMPUTED_VALUE"""),398.6)</f>
        <v>398.6</v>
      </c>
      <c r="C96" s="6">
        <f>IFERROR(__xludf.DUMMYFUNCTION("""COMPUTED_VALUE"""),407.55)</f>
        <v>407.55</v>
      </c>
      <c r="D96" s="6">
        <f>IFERROR(__xludf.DUMMYFUNCTION("""COMPUTED_VALUE"""),391.2)</f>
        <v>391.2</v>
      </c>
      <c r="E96" s="6">
        <f>IFERROR(__xludf.DUMMYFUNCTION("""COMPUTED_VALUE"""),393.55)</f>
        <v>393.55</v>
      </c>
      <c r="F96" s="6">
        <f>IFERROR(__xludf.DUMMYFUNCTION("""COMPUTED_VALUE"""),2.2096793E7)</f>
        <v>22096793</v>
      </c>
    </row>
    <row r="97">
      <c r="A97" s="7">
        <f>IFERROR(__xludf.DUMMYFUNCTION("""COMPUTED_VALUE"""),45870.64583333333)</f>
        <v>45870.64583</v>
      </c>
      <c r="B97" s="6">
        <f>IFERROR(__xludf.DUMMYFUNCTION("""COMPUTED_VALUE"""),393.55)</f>
        <v>393.55</v>
      </c>
      <c r="C97" s="6">
        <f>IFERROR(__xludf.DUMMYFUNCTION("""COMPUTED_VALUE"""),397.7)</f>
        <v>397.7</v>
      </c>
      <c r="D97" s="6">
        <f>IFERROR(__xludf.DUMMYFUNCTION("""COMPUTED_VALUE"""),343.85)</f>
        <v>343.85</v>
      </c>
      <c r="E97" s="6">
        <f>IFERROR(__xludf.DUMMYFUNCTION("""COMPUTED_VALUE"""),345.1)</f>
        <v>345.1</v>
      </c>
      <c r="F97" s="6">
        <f>IFERROR(__xludf.DUMMYFUNCTION("""COMPUTED_VALUE"""),2.8387181E7)</f>
        <v>28387181</v>
      </c>
    </row>
    <row r="98">
      <c r="A98" s="7">
        <f>IFERROR(__xludf.DUMMYFUNCTION("""COMPUTED_VALUE"""),45877.64583333333)</f>
        <v>45877.64583</v>
      </c>
      <c r="B98" s="6">
        <f>IFERROR(__xludf.DUMMYFUNCTION("""COMPUTED_VALUE"""),346.0)</f>
        <v>346</v>
      </c>
      <c r="C98" s="6">
        <f>IFERROR(__xludf.DUMMYFUNCTION("""COMPUTED_VALUE"""),348.2)</f>
        <v>348.2</v>
      </c>
      <c r="D98" s="6">
        <f>IFERROR(__xludf.DUMMYFUNCTION("""COMPUTED_VALUE"""),330.5)</f>
        <v>330.5</v>
      </c>
      <c r="E98" s="6">
        <f>IFERROR(__xludf.DUMMYFUNCTION("""COMPUTED_VALUE"""),332.55)</f>
        <v>332.55</v>
      </c>
      <c r="F98" s="6">
        <f>IFERROR(__xludf.DUMMYFUNCTION("""COMPUTED_VALUE"""),5.2963202E7)</f>
        <v>52963202</v>
      </c>
    </row>
    <row r="99">
      <c r="A99" s="7">
        <f>IFERROR(__xludf.DUMMYFUNCTION("""COMPUTED_VALUE"""),45883.64583333333)</f>
        <v>45883.64583</v>
      </c>
      <c r="B99" s="6">
        <f>IFERROR(__xludf.DUMMYFUNCTION("""COMPUTED_VALUE"""),335.0)</f>
        <v>335</v>
      </c>
      <c r="C99" s="6">
        <f>IFERROR(__xludf.DUMMYFUNCTION("""COMPUTED_VALUE"""),343.4)</f>
        <v>343.4</v>
      </c>
      <c r="D99" s="6">
        <f>IFERROR(__xludf.DUMMYFUNCTION("""COMPUTED_VALUE"""),330.05)</f>
        <v>330.05</v>
      </c>
      <c r="E99" s="6">
        <f>IFERROR(__xludf.DUMMYFUNCTION("""COMPUTED_VALUE"""),333.0)</f>
        <v>333</v>
      </c>
      <c r="F99" s="6">
        <f>IFERROR(__xludf.DUMMYFUNCTION("""COMPUTED_VALUE"""),2.1405422E7)</f>
        <v>21405422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IFERROR(__xludf.DUMMYFUNCTION("""COMPUTED_VALUE"""),336.0)</f>
        <v>336</v>
      </c>
      <c r="C100" s="6">
        <f>IFERROR(__xludf.DUMMYFUNCTION("""COMPUTED_VALUE"""),359.8)</f>
        <v>359.8</v>
      </c>
      <c r="D100" s="6">
        <f>IFERROR(__xludf.DUMMYFUNCTION("""COMPUTED_VALUE"""),328.0)</f>
        <v>328</v>
      </c>
      <c r="E100" s="6">
        <f>IFERROR(__xludf.DUMMYFUNCTION("""COMPUTED_VALUE"""),353.55)</f>
        <v>353.55</v>
      </c>
      <c r="F100" s="6">
        <f>IFERROR(__xludf.DUMMYFUNCTION("""COMPUTED_VALUE"""),4.3663687E7)</f>
        <v>43663687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IFERROR(__xludf.DUMMYFUNCTION("""COMPUTED_VALUE"""),356.75)</f>
        <v>356.75</v>
      </c>
      <c r="C101" s="6">
        <f>IFERROR(__xludf.DUMMYFUNCTION("""COMPUTED_VALUE"""),357.7)</f>
        <v>357.7</v>
      </c>
      <c r="D101" s="6">
        <f>IFERROR(__xludf.DUMMYFUNCTION("""COMPUTED_VALUE"""),339.55)</f>
        <v>339.55</v>
      </c>
      <c r="E101" s="6">
        <f>IFERROR(__xludf.DUMMYFUNCTION("""COMPUTED_VALUE"""),342.55)</f>
        <v>342.55</v>
      </c>
      <c r="F101" s="6">
        <f>IFERROR(__xludf.DUMMYFUNCTION("""COMPUTED_VALUE"""),1.00804297E8)</f>
        <v>100804297</v>
      </c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IFERROR(__xludf.DUMMYFUNCTION("GOOGLEFINANCE(""NSE:INFY"",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IFERROR(__xludf.DUMMYFUNCTION("""COMPUTED_VALUE"""),1420.1)</f>
        <v>1420.1</v>
      </c>
      <c r="C2" s="6">
        <f>IFERROR(__xludf.DUMMYFUNCTION("""COMPUTED_VALUE"""),1446.0)</f>
        <v>1446</v>
      </c>
      <c r="D2" s="6">
        <f>IFERROR(__xludf.DUMMYFUNCTION("""COMPUTED_VALUE"""),1411.4)</f>
        <v>1411.4</v>
      </c>
      <c r="E2" s="6">
        <f>IFERROR(__xludf.DUMMYFUNCTION("""COMPUTED_VALUE"""),1443.85)</f>
        <v>1443.85</v>
      </c>
      <c r="F2" s="6">
        <f>IFERROR(__xludf.DUMMYFUNCTION("""COMPUTED_VALUE"""),2.2653663E7)</f>
        <v>22653663</v>
      </c>
    </row>
    <row r="3">
      <c r="A3" s="7">
        <f>IFERROR(__xludf.DUMMYFUNCTION("""COMPUTED_VALUE"""),45177.64583333333)</f>
        <v>45177.64583</v>
      </c>
      <c r="B3" s="6">
        <f>IFERROR(__xludf.DUMMYFUNCTION("""COMPUTED_VALUE"""),1443.0)</f>
        <v>1443</v>
      </c>
      <c r="C3" s="6">
        <f>IFERROR(__xludf.DUMMYFUNCTION("""COMPUTED_VALUE"""),1482.9)</f>
        <v>1482.9</v>
      </c>
      <c r="D3" s="6">
        <f>IFERROR(__xludf.DUMMYFUNCTION("""COMPUTED_VALUE"""),1434.7)</f>
        <v>1434.7</v>
      </c>
      <c r="E3" s="6">
        <f>IFERROR(__xludf.DUMMYFUNCTION("""COMPUTED_VALUE"""),1469.6)</f>
        <v>1469.6</v>
      </c>
      <c r="F3" s="6">
        <f>IFERROR(__xludf.DUMMYFUNCTION("""COMPUTED_VALUE"""),2.2719221E7)</f>
        <v>22719221</v>
      </c>
    </row>
    <row r="4">
      <c r="A4" s="7">
        <f>IFERROR(__xludf.DUMMYFUNCTION("""COMPUTED_VALUE"""),45184.64583333333)</f>
        <v>45184.64583</v>
      </c>
      <c r="B4" s="6">
        <f>IFERROR(__xludf.DUMMYFUNCTION("""COMPUTED_VALUE"""),1469.6)</f>
        <v>1469.6</v>
      </c>
      <c r="C4" s="6">
        <f>IFERROR(__xludf.DUMMYFUNCTION("""COMPUTED_VALUE"""),1518.4)</f>
        <v>1518.4</v>
      </c>
      <c r="D4" s="6">
        <f>IFERROR(__xludf.DUMMYFUNCTION("""COMPUTED_VALUE"""),1464.5)</f>
        <v>1464.5</v>
      </c>
      <c r="E4" s="6">
        <f>IFERROR(__xludf.DUMMYFUNCTION("""COMPUTED_VALUE"""),1511.6)</f>
        <v>1511.6</v>
      </c>
      <c r="F4" s="6">
        <f>IFERROR(__xludf.DUMMYFUNCTION("""COMPUTED_VALUE"""),3.0882102E7)</f>
        <v>30882102</v>
      </c>
    </row>
    <row r="5">
      <c r="A5" s="7">
        <f>IFERROR(__xludf.DUMMYFUNCTION("""COMPUTED_VALUE"""),45191.64583333333)</f>
        <v>45191.64583</v>
      </c>
      <c r="B5" s="6">
        <f>IFERROR(__xludf.DUMMYFUNCTION("""COMPUTED_VALUE"""),1504.9)</f>
        <v>1504.9</v>
      </c>
      <c r="C5" s="6">
        <f>IFERROR(__xludf.DUMMYFUNCTION("""COMPUTED_VALUE"""),1506.95)</f>
        <v>1506.95</v>
      </c>
      <c r="D5" s="6">
        <f>IFERROR(__xludf.DUMMYFUNCTION("""COMPUTED_VALUE"""),1476.0)</f>
        <v>1476</v>
      </c>
      <c r="E5" s="6">
        <f>IFERROR(__xludf.DUMMYFUNCTION("""COMPUTED_VALUE"""),1496.15)</f>
        <v>1496.15</v>
      </c>
      <c r="F5" s="6">
        <f>IFERROR(__xludf.DUMMYFUNCTION("""COMPUTED_VALUE"""),2.0396061E7)</f>
        <v>20396061</v>
      </c>
    </row>
    <row r="6">
      <c r="A6" s="7">
        <f>IFERROR(__xludf.DUMMYFUNCTION("""COMPUTED_VALUE"""),45198.64583333333)</f>
        <v>45198.64583</v>
      </c>
      <c r="B6" s="6">
        <f>IFERROR(__xludf.DUMMYFUNCTION("""COMPUTED_VALUE"""),1489.85)</f>
        <v>1489.85</v>
      </c>
      <c r="C6" s="6">
        <f>IFERROR(__xludf.DUMMYFUNCTION("""COMPUTED_VALUE"""),1489.85)</f>
        <v>1489.85</v>
      </c>
      <c r="D6" s="6">
        <f>IFERROR(__xludf.DUMMYFUNCTION("""COMPUTED_VALUE"""),1416.0)</f>
        <v>1416</v>
      </c>
      <c r="E6" s="6">
        <f>IFERROR(__xludf.DUMMYFUNCTION("""COMPUTED_VALUE"""),1435.45)</f>
        <v>1435.45</v>
      </c>
      <c r="F6" s="6">
        <f>IFERROR(__xludf.DUMMYFUNCTION("""COMPUTED_VALUE"""),2.3961547E7)</f>
        <v>23961547</v>
      </c>
    </row>
    <row r="7">
      <c r="A7" s="7">
        <f>IFERROR(__xludf.DUMMYFUNCTION("""COMPUTED_VALUE"""),45205.64583333333)</f>
        <v>45205.64583</v>
      </c>
      <c r="B7" s="6">
        <f>IFERROR(__xludf.DUMMYFUNCTION("""COMPUTED_VALUE"""),1436.05)</f>
        <v>1436.05</v>
      </c>
      <c r="C7" s="6">
        <f>IFERROR(__xludf.DUMMYFUNCTION("""COMPUTED_VALUE"""),1484.5)</f>
        <v>1484.5</v>
      </c>
      <c r="D7" s="6">
        <f>IFERROR(__xludf.DUMMYFUNCTION("""COMPUTED_VALUE"""),1418.2)</f>
        <v>1418.2</v>
      </c>
      <c r="E7" s="6">
        <f>IFERROR(__xludf.DUMMYFUNCTION("""COMPUTED_VALUE"""),1478.7)</f>
        <v>1478.7</v>
      </c>
      <c r="F7" s="6">
        <f>IFERROR(__xludf.DUMMYFUNCTION("""COMPUTED_VALUE"""),1.9675566E7)</f>
        <v>19675566</v>
      </c>
    </row>
    <row r="8">
      <c r="A8" s="7">
        <f>IFERROR(__xludf.DUMMYFUNCTION("""COMPUTED_VALUE"""),45212.64583333333)</f>
        <v>45212.64583</v>
      </c>
      <c r="B8" s="6">
        <f>IFERROR(__xludf.DUMMYFUNCTION("""COMPUTED_VALUE"""),1464.9)</f>
        <v>1464.9</v>
      </c>
      <c r="C8" s="6">
        <f>IFERROR(__xludf.DUMMYFUNCTION("""COMPUTED_VALUE"""),1518.25)</f>
        <v>1518.25</v>
      </c>
      <c r="D8" s="6">
        <f>IFERROR(__xludf.DUMMYFUNCTION("""COMPUTED_VALUE"""),1400.0)</f>
        <v>1400</v>
      </c>
      <c r="E8" s="6">
        <f>IFERROR(__xludf.DUMMYFUNCTION("""COMPUTED_VALUE"""),1431.15)</f>
        <v>1431.15</v>
      </c>
      <c r="F8" s="6">
        <f>IFERROR(__xludf.DUMMYFUNCTION("""COMPUTED_VALUE"""),4.5531733E7)</f>
        <v>45531733</v>
      </c>
    </row>
    <row r="9">
      <c r="A9" s="7">
        <f>IFERROR(__xludf.DUMMYFUNCTION("""COMPUTED_VALUE"""),45219.64583333333)</f>
        <v>45219.64583</v>
      </c>
      <c r="B9" s="6">
        <f>IFERROR(__xludf.DUMMYFUNCTION("""COMPUTED_VALUE"""),1432.1)</f>
        <v>1432.1</v>
      </c>
      <c r="C9" s="6">
        <f>IFERROR(__xludf.DUMMYFUNCTION("""COMPUTED_VALUE"""),1454.0)</f>
        <v>1454</v>
      </c>
      <c r="D9" s="6">
        <f>IFERROR(__xludf.DUMMYFUNCTION("""COMPUTED_VALUE"""),1425.25)</f>
        <v>1425.25</v>
      </c>
      <c r="E9" s="6">
        <f>IFERROR(__xludf.DUMMYFUNCTION("""COMPUTED_VALUE"""),1427.25)</f>
        <v>1427.25</v>
      </c>
      <c r="F9" s="6">
        <f>IFERROR(__xludf.DUMMYFUNCTION("""COMPUTED_VALUE"""),2.3763659E7)</f>
        <v>23763659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IFERROR(__xludf.DUMMYFUNCTION("""COMPUTED_VALUE"""),1425.6)</f>
        <v>1425.6</v>
      </c>
      <c r="C10" s="6">
        <f>IFERROR(__xludf.DUMMYFUNCTION("""COMPUTED_VALUE"""),1432.35)</f>
        <v>1432.35</v>
      </c>
      <c r="D10" s="6">
        <f>IFERROR(__xludf.DUMMYFUNCTION("""COMPUTED_VALUE"""),1353.1)</f>
        <v>1353.1</v>
      </c>
      <c r="E10" s="6">
        <f>IFERROR(__xludf.DUMMYFUNCTION("""COMPUTED_VALUE"""),1380.35)</f>
        <v>1380.35</v>
      </c>
      <c r="F10" s="6">
        <f>IFERROR(__xludf.DUMMYFUNCTION("""COMPUTED_VALUE"""),2.0569307E7)</f>
        <v>20569307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IFERROR(__xludf.DUMMYFUNCTION("""COMPUTED_VALUE"""),1380.35)</f>
        <v>1380.35</v>
      </c>
      <c r="C11" s="6">
        <f>IFERROR(__xludf.DUMMYFUNCTION("""COMPUTED_VALUE"""),1392.0)</f>
        <v>1392</v>
      </c>
      <c r="D11" s="6">
        <f>IFERROR(__xludf.DUMMYFUNCTION("""COMPUTED_VALUE"""),1351.65)</f>
        <v>1351.65</v>
      </c>
      <c r="E11" s="6">
        <f>IFERROR(__xludf.DUMMYFUNCTION("""COMPUTED_VALUE"""),1389.05)</f>
        <v>1389.05</v>
      </c>
      <c r="F11" s="6">
        <f>IFERROR(__xludf.DUMMYFUNCTION("""COMPUTED_VALUE"""),1.6317068E7)</f>
        <v>16317068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IFERROR(__xludf.DUMMYFUNCTION("""COMPUTED_VALUE"""),1393.9)</f>
        <v>1393.9</v>
      </c>
      <c r="C12" s="6">
        <f>IFERROR(__xludf.DUMMYFUNCTION("""COMPUTED_VALUE"""),1407.25)</f>
        <v>1407.25</v>
      </c>
      <c r="D12" s="6">
        <f>IFERROR(__xludf.DUMMYFUNCTION("""COMPUTED_VALUE"""),1361.0)</f>
        <v>1361</v>
      </c>
      <c r="E12" s="6">
        <f>IFERROR(__xludf.DUMMYFUNCTION("""COMPUTED_VALUE"""),1368.85)</f>
        <v>1368.85</v>
      </c>
      <c r="F12" s="6">
        <f>IFERROR(__xludf.DUMMYFUNCTION("""COMPUTED_VALUE"""),1.7000925E7)</f>
        <v>17000925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IFERROR(__xludf.DUMMYFUNCTION("""COMPUTED_VALUE"""),1380.05)</f>
        <v>1380.05</v>
      </c>
      <c r="C13" s="6">
        <f>IFERROR(__xludf.DUMMYFUNCTION("""COMPUTED_VALUE"""),1453.4)</f>
        <v>1453.4</v>
      </c>
      <c r="D13" s="6">
        <f>IFERROR(__xludf.DUMMYFUNCTION("""COMPUTED_VALUE"""),1370.85)</f>
        <v>1370.85</v>
      </c>
      <c r="E13" s="6">
        <f>IFERROR(__xludf.DUMMYFUNCTION("""COMPUTED_VALUE"""),1437.55)</f>
        <v>1437.55</v>
      </c>
      <c r="F13" s="6">
        <f>IFERROR(__xludf.DUMMYFUNCTION("""COMPUTED_VALUE"""),2.4161408E7)</f>
        <v>24161408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IFERROR(__xludf.DUMMYFUNCTION("""COMPUTED_VALUE"""),1442.0)</f>
        <v>1442</v>
      </c>
      <c r="C14" s="6">
        <f>IFERROR(__xludf.DUMMYFUNCTION("""COMPUTED_VALUE"""),1467.9)</f>
        <v>1467.9</v>
      </c>
      <c r="D14" s="6">
        <f>IFERROR(__xludf.DUMMYFUNCTION("""COMPUTED_VALUE"""),1433.65)</f>
        <v>1433.65</v>
      </c>
      <c r="E14" s="6">
        <f>IFERROR(__xludf.DUMMYFUNCTION("""COMPUTED_VALUE"""),1437.4)</f>
        <v>1437.4</v>
      </c>
      <c r="F14" s="6">
        <f>IFERROR(__xludf.DUMMYFUNCTION("""COMPUTED_VALUE"""),1.6646254E7)</f>
        <v>16646254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IFERROR(__xludf.DUMMYFUNCTION("""COMPUTED_VALUE"""),1444.0)</f>
        <v>1444</v>
      </c>
      <c r="C15" s="6">
        <f>IFERROR(__xludf.DUMMYFUNCTION("""COMPUTED_VALUE"""),1460.7)</f>
        <v>1460.7</v>
      </c>
      <c r="D15" s="6">
        <f>IFERROR(__xludf.DUMMYFUNCTION("""COMPUTED_VALUE"""),1427.05)</f>
        <v>1427.05</v>
      </c>
      <c r="E15" s="6">
        <f>IFERROR(__xludf.DUMMYFUNCTION("""COMPUTED_VALUE"""),1452.3)</f>
        <v>1452.3</v>
      </c>
      <c r="F15" s="6">
        <f>IFERROR(__xludf.DUMMYFUNCTION("""COMPUTED_VALUE"""),2.1241205E7)</f>
        <v>21241205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IFERROR(__xludf.DUMMYFUNCTION("""COMPUTED_VALUE"""),1460.45)</f>
        <v>1460.45</v>
      </c>
      <c r="C16" s="6">
        <f>IFERROR(__xludf.DUMMYFUNCTION("""COMPUTED_VALUE"""),1494.7)</f>
        <v>1494.7</v>
      </c>
      <c r="D16" s="6">
        <f>IFERROR(__xludf.DUMMYFUNCTION("""COMPUTED_VALUE"""),1442.0)</f>
        <v>1442</v>
      </c>
      <c r="E16" s="6">
        <f>IFERROR(__xludf.DUMMYFUNCTION("""COMPUTED_VALUE"""),1491.15)</f>
        <v>1491.15</v>
      </c>
      <c r="F16" s="6">
        <f>IFERROR(__xludf.DUMMYFUNCTION("""COMPUTED_VALUE"""),2.6652051E7)</f>
        <v>26652051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IFERROR(__xludf.DUMMYFUNCTION("""COMPUTED_VALUE"""),1490.0)</f>
        <v>1490</v>
      </c>
      <c r="C17" s="6">
        <f>IFERROR(__xludf.DUMMYFUNCTION("""COMPUTED_VALUE"""),1588.55)</f>
        <v>1588.55</v>
      </c>
      <c r="D17" s="6">
        <f>IFERROR(__xludf.DUMMYFUNCTION("""COMPUTED_VALUE"""),1433.15)</f>
        <v>1433.15</v>
      </c>
      <c r="E17" s="6">
        <f>IFERROR(__xludf.DUMMYFUNCTION("""COMPUTED_VALUE"""),1578.4)</f>
        <v>1578.4</v>
      </c>
      <c r="F17" s="6">
        <f>IFERROR(__xludf.DUMMYFUNCTION("""COMPUTED_VALUE"""),4.9400017E7)</f>
        <v>49400017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IFERROR(__xludf.DUMMYFUNCTION("""COMPUTED_VALUE"""),1567.95)</f>
        <v>1567.95</v>
      </c>
      <c r="C18" s="6">
        <f>IFERROR(__xludf.DUMMYFUNCTION("""COMPUTED_VALUE"""),1593.0)</f>
        <v>1593</v>
      </c>
      <c r="D18" s="6">
        <f>IFERROR(__xludf.DUMMYFUNCTION("""COMPUTED_VALUE"""),1521.25)</f>
        <v>1521.25</v>
      </c>
      <c r="E18" s="6">
        <f>IFERROR(__xludf.DUMMYFUNCTION("""COMPUTED_VALUE"""),1562.9)</f>
        <v>1562.9</v>
      </c>
      <c r="F18" s="6">
        <f>IFERROR(__xludf.DUMMYFUNCTION("""COMPUTED_VALUE"""),2.9341429E7)</f>
        <v>29341429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IFERROR(__xludf.DUMMYFUNCTION("""COMPUTED_VALUE"""),1535.0)</f>
        <v>1535</v>
      </c>
      <c r="C19" s="6">
        <f>IFERROR(__xludf.DUMMYFUNCTION("""COMPUTED_VALUE"""),1570.0)</f>
        <v>1570</v>
      </c>
      <c r="D19" s="6">
        <f>IFERROR(__xludf.DUMMYFUNCTION("""COMPUTED_VALUE"""),1523.0)</f>
        <v>1523</v>
      </c>
      <c r="E19" s="6">
        <f>IFERROR(__xludf.DUMMYFUNCTION("""COMPUTED_VALUE"""),1542.9)</f>
        <v>1542.9</v>
      </c>
      <c r="F19" s="6">
        <f>IFERROR(__xludf.DUMMYFUNCTION("""COMPUTED_VALUE"""),2.1195159E7)</f>
        <v>21195159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IFERROR(__xludf.DUMMYFUNCTION("""COMPUTED_VALUE"""),1539.0)</f>
        <v>1539</v>
      </c>
      <c r="C20" s="6">
        <f>IFERROR(__xludf.DUMMYFUNCTION("""COMPUTED_VALUE"""),1557.0)</f>
        <v>1557</v>
      </c>
      <c r="D20" s="6">
        <f>IFERROR(__xludf.DUMMYFUNCTION("""COMPUTED_VALUE"""),1488.0)</f>
        <v>1488</v>
      </c>
      <c r="E20" s="6">
        <f>IFERROR(__xludf.DUMMYFUNCTION("""COMPUTED_VALUE"""),1532.55)</f>
        <v>1532.55</v>
      </c>
      <c r="F20" s="6">
        <f>IFERROR(__xludf.DUMMYFUNCTION("""COMPUTED_VALUE"""),3.1706568E7)</f>
        <v>31706568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IFERROR(__xludf.DUMMYFUNCTION("""COMPUTED_VALUE"""),1528.95)</f>
        <v>1528.95</v>
      </c>
      <c r="C21" s="6">
        <f>IFERROR(__xludf.DUMMYFUNCTION("""COMPUTED_VALUE"""),1618.0)</f>
        <v>1618</v>
      </c>
      <c r="D21" s="6">
        <f>IFERROR(__xludf.DUMMYFUNCTION("""COMPUTED_VALUE"""),1486.6)</f>
        <v>1486.6</v>
      </c>
      <c r="E21" s="6">
        <f>IFERROR(__xludf.DUMMYFUNCTION("""COMPUTED_VALUE"""),1612.75)</f>
        <v>1612.75</v>
      </c>
      <c r="F21" s="6">
        <f>IFERROR(__xludf.DUMMYFUNCTION("""COMPUTED_VALUE"""),5.0999544E7)</f>
        <v>50999544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IFERROR(__xludf.DUMMYFUNCTION("""COMPUTED_VALUE"""),1650.1)</f>
        <v>1650.1</v>
      </c>
      <c r="C22" s="6">
        <f>IFERROR(__xludf.DUMMYFUNCTION("""COMPUTED_VALUE"""),1680.55)</f>
        <v>1680.55</v>
      </c>
      <c r="D22" s="6">
        <f>IFERROR(__xludf.DUMMYFUNCTION("""COMPUTED_VALUE"""),1637.7)</f>
        <v>1637.7</v>
      </c>
      <c r="E22" s="6">
        <f>IFERROR(__xludf.DUMMYFUNCTION("""COMPUTED_VALUE"""),1669.1)</f>
        <v>1669.1</v>
      </c>
      <c r="F22" s="6">
        <f>IFERROR(__xludf.DUMMYFUNCTION("""COMPUTED_VALUE"""),2.726624E7)</f>
        <v>27266240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IFERROR(__xludf.DUMMYFUNCTION("""COMPUTED_VALUE"""),1665.15)</f>
        <v>1665.15</v>
      </c>
      <c r="C23" s="6">
        <f>IFERROR(__xludf.DUMMYFUNCTION("""COMPUTED_VALUE"""),1718.5)</f>
        <v>1718.5</v>
      </c>
      <c r="D23" s="6">
        <f>IFERROR(__xludf.DUMMYFUNCTION("""COMPUTED_VALUE"""),1638.1)</f>
        <v>1638.1</v>
      </c>
      <c r="E23" s="6">
        <f>IFERROR(__xludf.DUMMYFUNCTION("""COMPUTED_VALUE"""),1693.35)</f>
        <v>1693.35</v>
      </c>
      <c r="F23" s="6">
        <f>IFERROR(__xludf.DUMMYFUNCTION("""COMPUTED_VALUE"""),2.9632001E7)</f>
        <v>29632001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IFERROR(__xludf.DUMMYFUNCTION("""COMPUTED_VALUE"""),1694.75)</f>
        <v>1694.75</v>
      </c>
      <c r="C24" s="6">
        <f>IFERROR(__xludf.DUMMYFUNCTION("""COMPUTED_VALUE"""),1733.0)</f>
        <v>1733</v>
      </c>
      <c r="D24" s="6">
        <f>IFERROR(__xludf.DUMMYFUNCTION("""COMPUTED_VALUE"""),1659.8)</f>
        <v>1659.8</v>
      </c>
      <c r="E24" s="6">
        <f>IFERROR(__xludf.DUMMYFUNCTION("""COMPUTED_VALUE"""),1669.35)</f>
        <v>1669.35</v>
      </c>
      <c r="F24" s="6">
        <f>IFERROR(__xludf.DUMMYFUNCTION("""COMPUTED_VALUE"""),2.6461996E7)</f>
        <v>26461996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IFERROR(__xludf.DUMMYFUNCTION("""COMPUTED_VALUE"""),1670.35)</f>
        <v>1670.35</v>
      </c>
      <c r="C25" s="6">
        <f>IFERROR(__xludf.DUMMYFUNCTION("""COMPUTED_VALUE"""),1709.0)</f>
        <v>1709</v>
      </c>
      <c r="D25" s="6">
        <f>IFERROR(__xludf.DUMMYFUNCTION("""COMPUTED_VALUE"""),1635.5)</f>
        <v>1635.5</v>
      </c>
      <c r="E25" s="6">
        <f>IFERROR(__xludf.DUMMYFUNCTION("""COMPUTED_VALUE"""),1701.65)</f>
        <v>1701.65</v>
      </c>
      <c r="F25" s="6">
        <f>IFERROR(__xludf.DUMMYFUNCTION("""COMPUTED_VALUE"""),1.9735913E7)</f>
        <v>19735913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IFERROR(__xludf.DUMMYFUNCTION("""COMPUTED_VALUE"""),1705.0)</f>
        <v>1705</v>
      </c>
      <c r="C26" s="6">
        <f>IFERROR(__xludf.DUMMYFUNCTION("""COMPUTED_VALUE"""),1711.5)</f>
        <v>1711.5</v>
      </c>
      <c r="D26" s="6">
        <f>IFERROR(__xludf.DUMMYFUNCTION("""COMPUTED_VALUE"""),1644.4)</f>
        <v>1644.4</v>
      </c>
      <c r="E26" s="6">
        <f>IFERROR(__xludf.DUMMYFUNCTION("""COMPUTED_VALUE"""),1676.85)</f>
        <v>1676.85</v>
      </c>
      <c r="F26" s="6">
        <f>IFERROR(__xludf.DUMMYFUNCTION("""COMPUTED_VALUE"""),2.2912239E7)</f>
        <v>22912239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IFERROR(__xludf.DUMMYFUNCTION("""COMPUTED_VALUE"""),1657.85)</f>
        <v>1657.85</v>
      </c>
      <c r="C27" s="6">
        <f>IFERROR(__xludf.DUMMYFUNCTION("""COMPUTED_VALUE"""),1664.45)</f>
        <v>1664.45</v>
      </c>
      <c r="D27" s="6">
        <f>IFERROR(__xludf.DUMMYFUNCTION("""COMPUTED_VALUE"""),1576.0)</f>
        <v>1576</v>
      </c>
      <c r="E27" s="6">
        <f>IFERROR(__xludf.DUMMYFUNCTION("""COMPUTED_VALUE"""),1616.45)</f>
        <v>1616.45</v>
      </c>
      <c r="F27" s="6">
        <f>IFERROR(__xludf.DUMMYFUNCTION("""COMPUTED_VALUE"""),2.1810778E7)</f>
        <v>21810778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IFERROR(__xludf.DUMMYFUNCTION("""COMPUTED_VALUE"""),1608.15)</f>
        <v>1608.15</v>
      </c>
      <c r="C28" s="6">
        <f>IFERROR(__xludf.DUMMYFUNCTION("""COMPUTED_VALUE"""),1657.75)</f>
        <v>1657.75</v>
      </c>
      <c r="D28" s="6">
        <f>IFERROR(__xludf.DUMMYFUNCTION("""COMPUTED_VALUE"""),1588.0)</f>
        <v>1588</v>
      </c>
      <c r="E28" s="6">
        <f>IFERROR(__xludf.DUMMYFUNCTION("""COMPUTED_VALUE"""),1634.0)</f>
        <v>1634</v>
      </c>
      <c r="F28" s="6">
        <f>IFERROR(__xludf.DUMMYFUNCTION("""COMPUTED_VALUE"""),3.766991E7)</f>
        <v>37669910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IFERROR(__xludf.DUMMYFUNCTION("""COMPUTED_VALUE"""),1630.0)</f>
        <v>1630</v>
      </c>
      <c r="C29" s="6">
        <f>IFERROR(__xludf.DUMMYFUNCTION("""COMPUTED_VALUE"""),1632.65)</f>
        <v>1632.65</v>
      </c>
      <c r="D29" s="6">
        <f>IFERROR(__xludf.DUMMYFUNCTION("""COMPUTED_VALUE"""),1498.2)</f>
        <v>1498.2</v>
      </c>
      <c r="E29" s="6">
        <f>IFERROR(__xludf.DUMMYFUNCTION("""COMPUTED_VALUE"""),1508.85)</f>
        <v>1508.85</v>
      </c>
      <c r="F29" s="6">
        <f>IFERROR(__xludf.DUMMYFUNCTION("""COMPUTED_VALUE"""),4.2324761E7)</f>
        <v>42324761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IFERROR(__xludf.DUMMYFUNCTION("""COMPUTED_VALUE"""),1492.0)</f>
        <v>1492</v>
      </c>
      <c r="C30" s="6">
        <f>IFERROR(__xludf.DUMMYFUNCTION("""COMPUTED_VALUE"""),1511.8)</f>
        <v>1511.8</v>
      </c>
      <c r="D30" s="6">
        <f>IFERROR(__xludf.DUMMYFUNCTION("""COMPUTED_VALUE"""),1481.55)</f>
        <v>1481.55</v>
      </c>
      <c r="E30" s="6">
        <f>IFERROR(__xludf.DUMMYFUNCTION("""COMPUTED_VALUE"""),1498.05)</f>
        <v>1498.05</v>
      </c>
      <c r="F30" s="6">
        <f>IFERROR(__xludf.DUMMYFUNCTION("""COMPUTED_VALUE"""),2.7708013E7)</f>
        <v>27708013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IFERROR(__xludf.DUMMYFUNCTION("""COMPUTED_VALUE"""),1525.0)</f>
        <v>1525</v>
      </c>
      <c r="C31" s="6">
        <f>IFERROR(__xludf.DUMMYFUNCTION("""COMPUTED_VALUE"""),1529.95)</f>
        <v>1529.95</v>
      </c>
      <c r="D31" s="6">
        <f>IFERROR(__xludf.DUMMYFUNCTION("""COMPUTED_VALUE"""),1468.0)</f>
        <v>1468</v>
      </c>
      <c r="E31" s="6">
        <f>IFERROR(__xludf.DUMMYFUNCTION("""COMPUTED_VALUE"""),1479.1)</f>
        <v>1479.1</v>
      </c>
      <c r="F31" s="6">
        <f>IFERROR(__xludf.DUMMYFUNCTION("""COMPUTED_VALUE"""),3.8855047E7)</f>
        <v>38855047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IFERROR(__xludf.DUMMYFUNCTION("""COMPUTED_VALUE"""),1483.0)</f>
        <v>1483</v>
      </c>
      <c r="C32" s="6">
        <f>IFERROR(__xludf.DUMMYFUNCTION("""COMPUTED_VALUE"""),1513.8)</f>
        <v>1513.8</v>
      </c>
      <c r="D32" s="6">
        <f>IFERROR(__xludf.DUMMYFUNCTION("""COMPUTED_VALUE"""),1474.1)</f>
        <v>1474.1</v>
      </c>
      <c r="E32" s="6">
        <f>IFERROR(__xludf.DUMMYFUNCTION("""COMPUTED_VALUE"""),1484.75)</f>
        <v>1484.75</v>
      </c>
      <c r="F32" s="6">
        <f>IFERROR(__xludf.DUMMYFUNCTION("""COMPUTED_VALUE"""),3.5054328E7)</f>
        <v>35054328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IFERROR(__xludf.DUMMYFUNCTION("""COMPUTED_VALUE"""),1480.0)</f>
        <v>1480</v>
      </c>
      <c r="C33" s="6">
        <f>IFERROR(__xludf.DUMMYFUNCTION("""COMPUTED_VALUE"""),1491.95)</f>
        <v>1491.95</v>
      </c>
      <c r="D33" s="6">
        <f>IFERROR(__xludf.DUMMYFUNCTION("""COMPUTED_VALUE"""),1378.75)</f>
        <v>1378.75</v>
      </c>
      <c r="E33" s="6">
        <f>IFERROR(__xludf.DUMMYFUNCTION("""COMPUTED_VALUE"""),1411.25)</f>
        <v>1411.25</v>
      </c>
      <c r="F33" s="6">
        <f>IFERROR(__xludf.DUMMYFUNCTION("""COMPUTED_VALUE"""),6.7416331E7)</f>
        <v>67416331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IFERROR(__xludf.DUMMYFUNCTION("""COMPUTED_VALUE"""),1419.9)</f>
        <v>1419.9</v>
      </c>
      <c r="C34" s="6">
        <f>IFERROR(__xludf.DUMMYFUNCTION("""COMPUTED_VALUE"""),1446.85)</f>
        <v>1446.85</v>
      </c>
      <c r="D34" s="6">
        <f>IFERROR(__xludf.DUMMYFUNCTION("""COMPUTED_VALUE"""),1413.05)</f>
        <v>1413.05</v>
      </c>
      <c r="E34" s="6">
        <f>IFERROR(__xludf.DUMMYFUNCTION("""COMPUTED_VALUE"""),1430.25)</f>
        <v>1430.25</v>
      </c>
      <c r="F34" s="6">
        <f>IFERROR(__xludf.DUMMYFUNCTION("""COMPUTED_VALUE"""),3.2135316E7)</f>
        <v>32135316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IFERROR(__xludf.DUMMYFUNCTION("""COMPUTED_VALUE"""),1429.95)</f>
        <v>1429.95</v>
      </c>
      <c r="C35" s="6">
        <f>IFERROR(__xludf.DUMMYFUNCTION("""COMPUTED_VALUE"""),1439.8)</f>
        <v>1439.8</v>
      </c>
      <c r="D35" s="6">
        <f>IFERROR(__xludf.DUMMYFUNCTION("""COMPUTED_VALUE"""),1403.2)</f>
        <v>1403.2</v>
      </c>
      <c r="E35" s="6">
        <f>IFERROR(__xludf.DUMMYFUNCTION("""COMPUTED_VALUE"""),1416.3)</f>
        <v>1416.3</v>
      </c>
      <c r="F35" s="6">
        <f>IFERROR(__xludf.DUMMYFUNCTION("""COMPUTED_VALUE"""),3.0911244E7)</f>
        <v>30911244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IFERROR(__xludf.DUMMYFUNCTION("""COMPUTED_VALUE"""),1420.0)</f>
        <v>1420</v>
      </c>
      <c r="C36" s="6">
        <f>IFERROR(__xludf.DUMMYFUNCTION("""COMPUTED_VALUE"""),1449.95)</f>
        <v>1449.95</v>
      </c>
      <c r="D36" s="6">
        <f>IFERROR(__xludf.DUMMYFUNCTION("""COMPUTED_VALUE"""),1413.0)</f>
        <v>1413</v>
      </c>
      <c r="E36" s="6">
        <f>IFERROR(__xludf.DUMMYFUNCTION("""COMPUTED_VALUE"""),1424.9)</f>
        <v>1424.9</v>
      </c>
      <c r="F36" s="6">
        <f>IFERROR(__xludf.DUMMYFUNCTION("""COMPUTED_VALUE"""),3.3626953E7)</f>
        <v>33626953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IFERROR(__xludf.DUMMYFUNCTION("""COMPUTED_VALUE"""),1430.0)</f>
        <v>1430</v>
      </c>
      <c r="C37" s="6">
        <f>IFERROR(__xludf.DUMMYFUNCTION("""COMPUTED_VALUE"""),1478.15)</f>
        <v>1478.15</v>
      </c>
      <c r="D37" s="6">
        <f>IFERROR(__xludf.DUMMYFUNCTION("""COMPUTED_VALUE"""),1428.0)</f>
        <v>1428</v>
      </c>
      <c r="E37" s="6">
        <f>IFERROR(__xludf.DUMMYFUNCTION("""COMPUTED_VALUE"""),1465.1)</f>
        <v>1465.1</v>
      </c>
      <c r="F37" s="6">
        <f>IFERROR(__xludf.DUMMYFUNCTION("""COMPUTED_VALUE"""),2.7845314E7)</f>
        <v>27845314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IFERROR(__xludf.DUMMYFUNCTION("""COMPUTED_VALUE"""),1471.85)</f>
        <v>1471.85</v>
      </c>
      <c r="C38" s="6">
        <f>IFERROR(__xludf.DUMMYFUNCTION("""COMPUTED_VALUE"""),1479.6)</f>
        <v>1479.6</v>
      </c>
      <c r="D38" s="6">
        <f>IFERROR(__xludf.DUMMYFUNCTION("""COMPUTED_VALUE"""),1400.0)</f>
        <v>1400</v>
      </c>
      <c r="E38" s="6">
        <f>IFERROR(__xludf.DUMMYFUNCTION("""COMPUTED_VALUE"""),1406.9)</f>
        <v>1406.9</v>
      </c>
      <c r="F38" s="6">
        <f>IFERROR(__xludf.DUMMYFUNCTION("""COMPUTED_VALUE"""),6.6187365E7)</f>
        <v>66187365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IFERROR(__xludf.DUMMYFUNCTION("""COMPUTED_VALUE"""),1440.0)</f>
        <v>1440</v>
      </c>
      <c r="C39" s="6">
        <f>IFERROR(__xludf.DUMMYFUNCTION("""COMPUTED_VALUE"""),1539.7)</f>
        <v>1539.7</v>
      </c>
      <c r="D39" s="6">
        <f>IFERROR(__xludf.DUMMYFUNCTION("""COMPUTED_VALUE"""),1358.35)</f>
        <v>1358.35</v>
      </c>
      <c r="E39" s="6">
        <f>IFERROR(__xludf.DUMMYFUNCTION("""COMPUTED_VALUE"""),1533.6)</f>
        <v>1533.6</v>
      </c>
      <c r="F39" s="6">
        <f>IFERROR(__xludf.DUMMYFUNCTION("""COMPUTED_VALUE"""),7.0295034E7)</f>
        <v>70295034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IFERROR(__xludf.DUMMYFUNCTION("""COMPUTED_VALUE"""),1525.3)</f>
        <v>1525.3</v>
      </c>
      <c r="C40" s="6">
        <f>IFERROR(__xludf.DUMMYFUNCTION("""COMPUTED_VALUE"""),1529.8)</f>
        <v>1529.8</v>
      </c>
      <c r="D40" s="6">
        <f>IFERROR(__xludf.DUMMYFUNCTION("""COMPUTED_VALUE"""),1482.75)</f>
        <v>1482.75</v>
      </c>
      <c r="E40" s="6">
        <f>IFERROR(__xludf.DUMMYFUNCTION("""COMPUTED_VALUE"""),1488.9)</f>
        <v>1488.9</v>
      </c>
      <c r="F40" s="6">
        <f>IFERROR(__xludf.DUMMYFUNCTION("""COMPUTED_VALUE"""),3.2773272E7)</f>
        <v>32773272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IFERROR(__xludf.DUMMYFUNCTION("""COMPUTED_VALUE"""),1497.0)</f>
        <v>1497</v>
      </c>
      <c r="C41" s="6">
        <f>IFERROR(__xludf.DUMMYFUNCTION("""COMPUTED_VALUE"""),1557.75)</f>
        <v>1557.75</v>
      </c>
      <c r="D41" s="6">
        <f>IFERROR(__xludf.DUMMYFUNCTION("""COMPUTED_VALUE"""),1495.4)</f>
        <v>1495.4</v>
      </c>
      <c r="E41" s="6">
        <f>IFERROR(__xludf.DUMMYFUNCTION("""COMPUTED_VALUE"""),1532.7)</f>
        <v>1532.7</v>
      </c>
      <c r="F41" s="6">
        <f>IFERROR(__xludf.DUMMYFUNCTION("""COMPUTED_VALUE"""),3.6143346E7)</f>
        <v>36143346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IFERROR(__xludf.DUMMYFUNCTION("""COMPUTED_VALUE"""),1524.55)</f>
        <v>1524.55</v>
      </c>
      <c r="C42" s="6">
        <f>IFERROR(__xludf.DUMMYFUNCTION("""COMPUTED_VALUE"""),1588.5)</f>
        <v>1588.5</v>
      </c>
      <c r="D42" s="6">
        <f>IFERROR(__xludf.DUMMYFUNCTION("""COMPUTED_VALUE"""),1515.4)</f>
        <v>1515.4</v>
      </c>
      <c r="E42" s="6">
        <f>IFERROR(__xludf.DUMMYFUNCTION("""COMPUTED_VALUE"""),1566.75)</f>
        <v>1566.75</v>
      </c>
      <c r="F42" s="6">
        <f>IFERROR(__xludf.DUMMYFUNCTION("""COMPUTED_VALUE"""),3.7922816E7)</f>
        <v>37922816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IFERROR(__xludf.DUMMYFUNCTION("""COMPUTED_VALUE"""),1559.5)</f>
        <v>1559.5</v>
      </c>
      <c r="C43" s="6">
        <f>IFERROR(__xludf.DUMMYFUNCTION("""COMPUTED_VALUE"""),1665.85)</f>
        <v>1665.85</v>
      </c>
      <c r="D43" s="6">
        <f>IFERROR(__xludf.DUMMYFUNCTION("""COMPUTED_VALUE"""),1559.5)</f>
        <v>1559.5</v>
      </c>
      <c r="E43" s="6">
        <f>IFERROR(__xludf.DUMMYFUNCTION("""COMPUTED_VALUE"""),1647.45)</f>
        <v>1647.45</v>
      </c>
      <c r="F43" s="6">
        <f>IFERROR(__xludf.DUMMYFUNCTION("""COMPUTED_VALUE"""),3.9638242E7)</f>
        <v>39638242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IFERROR(__xludf.DUMMYFUNCTION("""COMPUTED_VALUE"""),1643.1)</f>
        <v>1643.1</v>
      </c>
      <c r="C44" s="6">
        <f>IFERROR(__xludf.DUMMYFUNCTION("""COMPUTED_VALUE"""),1719.75)</f>
        <v>1719.75</v>
      </c>
      <c r="D44" s="6">
        <f>IFERROR(__xludf.DUMMYFUNCTION("""COMPUTED_VALUE"""),1637.55)</f>
        <v>1637.55</v>
      </c>
      <c r="E44" s="6">
        <f>IFERROR(__xludf.DUMMYFUNCTION("""COMPUTED_VALUE"""),1711.75)</f>
        <v>1711.75</v>
      </c>
      <c r="F44" s="6">
        <f>IFERROR(__xludf.DUMMYFUNCTION("""COMPUTED_VALUE"""),4.686048E7)</f>
        <v>46860480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IFERROR(__xludf.DUMMYFUNCTION("""COMPUTED_VALUE"""),1726.2)</f>
        <v>1726.2</v>
      </c>
      <c r="C45" s="6">
        <f>IFERROR(__xludf.DUMMYFUNCTION("""COMPUTED_VALUE"""),1844.0)</f>
        <v>1844</v>
      </c>
      <c r="D45" s="6">
        <f>IFERROR(__xludf.DUMMYFUNCTION("""COMPUTED_VALUE"""),1700.0)</f>
        <v>1700</v>
      </c>
      <c r="E45" s="6">
        <f>IFERROR(__xludf.DUMMYFUNCTION("""COMPUTED_VALUE"""),1792.95)</f>
        <v>1792.95</v>
      </c>
      <c r="F45" s="6">
        <f>IFERROR(__xludf.DUMMYFUNCTION("""COMPUTED_VALUE"""),5.4896523E7)</f>
        <v>54896523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IFERROR(__xludf.DUMMYFUNCTION("""COMPUTED_VALUE"""),1800.15)</f>
        <v>1800.15</v>
      </c>
      <c r="C46" s="6">
        <f>IFERROR(__xludf.DUMMYFUNCTION("""COMPUTED_VALUE"""),1883.0)</f>
        <v>1883</v>
      </c>
      <c r="D46" s="6">
        <f>IFERROR(__xludf.DUMMYFUNCTION("""COMPUTED_VALUE"""),1783.25)</f>
        <v>1783.25</v>
      </c>
      <c r="E46" s="6">
        <f>IFERROR(__xludf.DUMMYFUNCTION("""COMPUTED_VALUE"""),1878.9)</f>
        <v>1878.9</v>
      </c>
      <c r="F46" s="6">
        <f>IFERROR(__xludf.DUMMYFUNCTION("""COMPUTED_VALUE"""),3.8762673E7)</f>
        <v>38762673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IFERROR(__xludf.DUMMYFUNCTION("""COMPUTED_VALUE"""),1893.6)</f>
        <v>1893.6</v>
      </c>
      <c r="C47" s="6">
        <f>IFERROR(__xludf.DUMMYFUNCTION("""COMPUTED_VALUE"""),1903.0)</f>
        <v>1903</v>
      </c>
      <c r="D47" s="6">
        <f>IFERROR(__xludf.DUMMYFUNCTION("""COMPUTED_VALUE"""),1816.15)</f>
        <v>1816.15</v>
      </c>
      <c r="E47" s="6">
        <f>IFERROR(__xludf.DUMMYFUNCTION("""COMPUTED_VALUE"""),1821.2)</f>
        <v>1821.2</v>
      </c>
      <c r="F47" s="6">
        <f>IFERROR(__xludf.DUMMYFUNCTION("""COMPUTED_VALUE"""),2.7237357E7)</f>
        <v>27237357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IFERROR(__xludf.DUMMYFUNCTION("""COMPUTED_VALUE"""),1784.95)</f>
        <v>1784.95</v>
      </c>
      <c r="C48" s="6">
        <f>IFERROR(__xludf.DUMMYFUNCTION("""COMPUTED_VALUE"""),1797.9)</f>
        <v>1797.9</v>
      </c>
      <c r="D48" s="6">
        <f>IFERROR(__xludf.DUMMYFUNCTION("""COMPUTED_VALUE"""),1718.55)</f>
        <v>1718.55</v>
      </c>
      <c r="E48" s="6">
        <f>IFERROR(__xludf.DUMMYFUNCTION("""COMPUTED_VALUE"""),1770.75)</f>
        <v>1770.75</v>
      </c>
      <c r="F48" s="6">
        <f>IFERROR(__xludf.DUMMYFUNCTION("""COMPUTED_VALUE"""),3.4007629E7)</f>
        <v>34007629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IFERROR(__xludf.DUMMYFUNCTION("""COMPUTED_VALUE"""),1773.05)</f>
        <v>1773.05</v>
      </c>
      <c r="C49" s="6">
        <f>IFERROR(__xludf.DUMMYFUNCTION("""COMPUTED_VALUE"""),1861.85)</f>
        <v>1861.85</v>
      </c>
      <c r="D49" s="6">
        <f>IFERROR(__xludf.DUMMYFUNCTION("""COMPUTED_VALUE"""),1768.1)</f>
        <v>1768.1</v>
      </c>
      <c r="E49" s="6">
        <f>IFERROR(__xludf.DUMMYFUNCTION("""COMPUTED_VALUE"""),1858.95)</f>
        <v>1858.95</v>
      </c>
      <c r="F49" s="6">
        <f>IFERROR(__xludf.DUMMYFUNCTION("""COMPUTED_VALUE"""),2.3278622E7)</f>
        <v>23278622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IFERROR(__xludf.DUMMYFUNCTION("""COMPUTED_VALUE"""),1860.0)</f>
        <v>1860</v>
      </c>
      <c r="C50" s="6">
        <f>IFERROR(__xludf.DUMMYFUNCTION("""COMPUTED_VALUE"""),1893.65)</f>
        <v>1893.65</v>
      </c>
      <c r="D50" s="6">
        <f>IFERROR(__xludf.DUMMYFUNCTION("""COMPUTED_VALUE"""),1849.2)</f>
        <v>1849.2</v>
      </c>
      <c r="E50" s="6">
        <f>IFERROR(__xludf.DUMMYFUNCTION("""COMPUTED_VALUE"""),1862.1)</f>
        <v>1862.1</v>
      </c>
      <c r="F50" s="6">
        <f>IFERROR(__xludf.DUMMYFUNCTION("""COMPUTED_VALUE"""),1.7739446E7)</f>
        <v>17739446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IFERROR(__xludf.DUMMYFUNCTION("""COMPUTED_VALUE"""),1870.0)</f>
        <v>1870</v>
      </c>
      <c r="C51" s="6">
        <f>IFERROR(__xludf.DUMMYFUNCTION("""COMPUTED_VALUE"""),1951.0)</f>
        <v>1951</v>
      </c>
      <c r="D51" s="6">
        <f>IFERROR(__xludf.DUMMYFUNCTION("""COMPUTED_VALUE"""),1864.0)</f>
        <v>1864</v>
      </c>
      <c r="E51" s="6">
        <f>IFERROR(__xludf.DUMMYFUNCTION("""COMPUTED_VALUE"""),1943.7)</f>
        <v>1943.7</v>
      </c>
      <c r="F51" s="6">
        <f>IFERROR(__xludf.DUMMYFUNCTION("""COMPUTED_VALUE"""),3.4768842E7)</f>
        <v>34768842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IFERROR(__xludf.DUMMYFUNCTION("""COMPUTED_VALUE"""),1943.35)</f>
        <v>1943.35</v>
      </c>
      <c r="C52" s="6">
        <f>IFERROR(__xludf.DUMMYFUNCTION("""COMPUTED_VALUE"""),1975.75)</f>
        <v>1975.75</v>
      </c>
      <c r="D52" s="6">
        <f>IFERROR(__xludf.DUMMYFUNCTION("""COMPUTED_VALUE"""),1896.85)</f>
        <v>1896.85</v>
      </c>
      <c r="E52" s="6">
        <f>IFERROR(__xludf.DUMMYFUNCTION("""COMPUTED_VALUE"""),1901.85)</f>
        <v>1901.85</v>
      </c>
      <c r="F52" s="6">
        <f>IFERROR(__xludf.DUMMYFUNCTION("""COMPUTED_VALUE"""),2.4976287E7)</f>
        <v>24976287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IFERROR(__xludf.DUMMYFUNCTION("""COMPUTED_VALUE"""),1890.0)</f>
        <v>1890</v>
      </c>
      <c r="C53" s="6">
        <f>IFERROR(__xludf.DUMMYFUNCTION("""COMPUTED_VALUE"""),1958.6)</f>
        <v>1958.6</v>
      </c>
      <c r="D53" s="6">
        <f>IFERROR(__xludf.DUMMYFUNCTION("""COMPUTED_VALUE"""),1889.0)</f>
        <v>1889</v>
      </c>
      <c r="E53" s="6">
        <f>IFERROR(__xludf.DUMMYFUNCTION("""COMPUTED_VALUE"""),1944.1)</f>
        <v>1944.1</v>
      </c>
      <c r="F53" s="6">
        <f>IFERROR(__xludf.DUMMYFUNCTION("""COMPUTED_VALUE"""),2.9393377E7)</f>
        <v>29393377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IFERROR(__xludf.DUMMYFUNCTION("""COMPUTED_VALUE"""),1945.75)</f>
        <v>1945.75</v>
      </c>
      <c r="C54" s="6">
        <f>IFERROR(__xludf.DUMMYFUNCTION("""COMPUTED_VALUE"""),1958.45)</f>
        <v>1958.45</v>
      </c>
      <c r="D54" s="6">
        <f>IFERROR(__xludf.DUMMYFUNCTION("""COMPUTED_VALUE"""),1867.4)</f>
        <v>1867.4</v>
      </c>
      <c r="E54" s="6">
        <f>IFERROR(__xludf.DUMMYFUNCTION("""COMPUTED_VALUE"""),1905.75)</f>
        <v>1905.75</v>
      </c>
      <c r="F54" s="6">
        <f>IFERROR(__xludf.DUMMYFUNCTION("""COMPUTED_VALUE"""),3.396832E7)</f>
        <v>33968320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IFERROR(__xludf.DUMMYFUNCTION("""COMPUTED_VALUE"""),1909.0)</f>
        <v>1909</v>
      </c>
      <c r="C55" s="6">
        <f>IFERROR(__xludf.DUMMYFUNCTION("""COMPUTED_VALUE"""),1974.6)</f>
        <v>1974.6</v>
      </c>
      <c r="D55" s="6">
        <f>IFERROR(__xludf.DUMMYFUNCTION("""COMPUTED_VALUE"""),1871.4)</f>
        <v>1871.4</v>
      </c>
      <c r="E55" s="6">
        <f>IFERROR(__xludf.DUMMYFUNCTION("""COMPUTED_VALUE"""),1906.75)</f>
        <v>1906.75</v>
      </c>
      <c r="F55" s="6">
        <f>IFERROR(__xludf.DUMMYFUNCTION("""COMPUTED_VALUE"""),3.9044363E7)</f>
        <v>39044363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IFERROR(__xludf.DUMMYFUNCTION("""COMPUTED_VALUE"""),1880.0)</f>
        <v>1880</v>
      </c>
      <c r="C56" s="6">
        <f>IFERROR(__xludf.DUMMYFUNCTION("""COMPUTED_VALUE"""),1954.1)</f>
        <v>1954.1</v>
      </c>
      <c r="D56" s="6">
        <f>IFERROR(__xludf.DUMMYFUNCTION("""COMPUTED_VALUE"""),1870.5)</f>
        <v>1870.5</v>
      </c>
      <c r="E56" s="6">
        <f>IFERROR(__xludf.DUMMYFUNCTION("""COMPUTED_VALUE"""),1918.15)</f>
        <v>1918.15</v>
      </c>
      <c r="F56" s="6">
        <f>IFERROR(__xludf.DUMMYFUNCTION("""COMPUTED_VALUE"""),2.8521397E7)</f>
        <v>28521397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IFERROR(__xludf.DUMMYFUNCTION("""COMPUTED_VALUE"""),1923.2)</f>
        <v>1923.2</v>
      </c>
      <c r="C57" s="6">
        <f>IFERROR(__xludf.DUMMYFUNCTION("""COMPUTED_VALUE"""),1977.0)</f>
        <v>1977</v>
      </c>
      <c r="D57" s="6">
        <f>IFERROR(__xludf.DUMMYFUNCTION("""COMPUTED_VALUE"""),1906.35)</f>
        <v>1906.35</v>
      </c>
      <c r="E57" s="6">
        <f>IFERROR(__xludf.DUMMYFUNCTION("""COMPUTED_VALUE"""),1935.1)</f>
        <v>1935.1</v>
      </c>
      <c r="F57" s="6">
        <f>IFERROR(__xludf.DUMMYFUNCTION("""COMPUTED_VALUE"""),2.6098679E7)</f>
        <v>26098679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IFERROR(__xludf.DUMMYFUNCTION("""COMPUTED_VALUE"""),1932.15)</f>
        <v>1932.15</v>
      </c>
      <c r="C58" s="6">
        <f>IFERROR(__xludf.DUMMYFUNCTION("""COMPUTED_VALUE"""),1991.45)</f>
        <v>1991.45</v>
      </c>
      <c r="D58" s="6">
        <f>IFERROR(__xludf.DUMMYFUNCTION("""COMPUTED_VALUE"""),1869.25)</f>
        <v>1869.25</v>
      </c>
      <c r="E58" s="6">
        <f>IFERROR(__xludf.DUMMYFUNCTION("""COMPUTED_VALUE"""),1879.6)</f>
        <v>1879.6</v>
      </c>
      <c r="F58" s="6">
        <f>IFERROR(__xludf.DUMMYFUNCTION("""COMPUTED_VALUE"""),3.0905613E7)</f>
        <v>30905613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IFERROR(__xludf.DUMMYFUNCTION("""COMPUTED_VALUE"""),1891.1)</f>
        <v>1891.1</v>
      </c>
      <c r="C59" s="6">
        <f>IFERROR(__xludf.DUMMYFUNCTION("""COMPUTED_VALUE"""),1898.8)</f>
        <v>1898.8</v>
      </c>
      <c r="D59" s="6">
        <f>IFERROR(__xludf.DUMMYFUNCTION("""COMPUTED_VALUE"""),1838.0)</f>
        <v>1838</v>
      </c>
      <c r="E59" s="6">
        <f>IFERROR(__xludf.DUMMYFUNCTION("""COMPUTED_VALUE"""),1862.05)</f>
        <v>1862.05</v>
      </c>
      <c r="F59" s="6">
        <f>IFERROR(__xludf.DUMMYFUNCTION("""COMPUTED_VALUE"""),2.0687346E7)</f>
        <v>20687346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IFERROR(__xludf.DUMMYFUNCTION("""COMPUTED_VALUE"""),1724.5)</f>
        <v>1724.5</v>
      </c>
      <c r="C60" s="6">
        <f>IFERROR(__xludf.DUMMYFUNCTION("""COMPUTED_VALUE"""),1840.6)</f>
        <v>1840.6</v>
      </c>
      <c r="D60" s="6">
        <f>IFERROR(__xludf.DUMMYFUNCTION("""COMPUTED_VALUE"""),1718.0)</f>
        <v>1718</v>
      </c>
      <c r="E60" s="6">
        <f>IFERROR(__xludf.DUMMYFUNCTION("""COMPUTED_VALUE"""),1829.95)</f>
        <v>1829.95</v>
      </c>
      <c r="F60" s="6">
        <f>IFERROR(__xludf.DUMMYFUNCTION("""COMPUTED_VALUE"""),2.9681021E7)</f>
        <v>29681021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IFERROR(__xludf.DUMMYFUNCTION("""COMPUTED_VALUE"""),1829.0)</f>
        <v>1829</v>
      </c>
      <c r="C61" s="6">
        <f>IFERROR(__xludf.DUMMYFUNCTION("""COMPUTED_VALUE"""),1881.0)</f>
        <v>1881</v>
      </c>
      <c r="D61" s="6">
        <f>IFERROR(__xludf.DUMMYFUNCTION("""COMPUTED_VALUE"""),1822.55)</f>
        <v>1822.55</v>
      </c>
      <c r="E61" s="6">
        <f>IFERROR(__xludf.DUMMYFUNCTION("""COMPUTED_VALUE"""),1864.55)</f>
        <v>1864.55</v>
      </c>
      <c r="F61" s="6">
        <f>IFERROR(__xludf.DUMMYFUNCTION("""COMPUTED_VALUE"""),1.738561E7)</f>
        <v>17385610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IFERROR(__xludf.DUMMYFUNCTION("""COMPUTED_VALUE"""),1849.2)</f>
        <v>1849.2</v>
      </c>
      <c r="C62" s="6">
        <f>IFERROR(__xludf.DUMMYFUNCTION("""COMPUTED_VALUE"""),1914.05)</f>
        <v>1914.05</v>
      </c>
      <c r="D62" s="6">
        <f>IFERROR(__xludf.DUMMYFUNCTION("""COMPUTED_VALUE"""),1795.0)</f>
        <v>1795</v>
      </c>
      <c r="E62" s="6">
        <f>IFERROR(__xludf.DUMMYFUNCTION("""COMPUTED_VALUE"""),1902.25)</f>
        <v>1902.25</v>
      </c>
      <c r="F62" s="6">
        <f>IFERROR(__xludf.DUMMYFUNCTION("""COMPUTED_VALUE"""),2.1247003E7)</f>
        <v>21247003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IFERROR(__xludf.DUMMYFUNCTION("""COMPUTED_VALUE"""),1916.0)</f>
        <v>1916</v>
      </c>
      <c r="C63" s="6">
        <f>IFERROR(__xludf.DUMMYFUNCTION("""COMPUTED_VALUE"""),1941.4)</f>
        <v>1941.4</v>
      </c>
      <c r="D63" s="6">
        <f>IFERROR(__xludf.DUMMYFUNCTION("""COMPUTED_VALUE"""),1845.0)</f>
        <v>1845</v>
      </c>
      <c r="E63" s="6">
        <f>IFERROR(__xludf.DUMMYFUNCTION("""COMPUTED_VALUE"""),1857.85)</f>
        <v>1857.85</v>
      </c>
      <c r="F63" s="6">
        <f>IFERROR(__xludf.DUMMYFUNCTION("""COMPUTED_VALUE"""),3.7775412E7)</f>
        <v>37775412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IFERROR(__xludf.DUMMYFUNCTION("""COMPUTED_VALUE"""),1859.0)</f>
        <v>1859</v>
      </c>
      <c r="C64" s="6">
        <f>IFERROR(__xludf.DUMMYFUNCTION("""COMPUTED_VALUE"""),1949.9)</f>
        <v>1949.9</v>
      </c>
      <c r="D64" s="6">
        <f>IFERROR(__xludf.DUMMYFUNCTION("""COMPUTED_VALUE"""),1835.2)</f>
        <v>1835.2</v>
      </c>
      <c r="E64" s="6">
        <f>IFERROR(__xludf.DUMMYFUNCTION("""COMPUTED_VALUE"""),1922.4)</f>
        <v>1922.4</v>
      </c>
      <c r="F64" s="6">
        <f>IFERROR(__xludf.DUMMYFUNCTION("""COMPUTED_VALUE"""),2.4912997E7)</f>
        <v>24912997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IFERROR(__xludf.DUMMYFUNCTION("""COMPUTED_VALUE"""),1924.2)</f>
        <v>1924.2</v>
      </c>
      <c r="C65" s="6">
        <f>IFERROR(__xludf.DUMMYFUNCTION("""COMPUTED_VALUE"""),2006.45)</f>
        <v>2006.45</v>
      </c>
      <c r="D65" s="6">
        <f>IFERROR(__xludf.DUMMYFUNCTION("""COMPUTED_VALUE"""),1897.2)</f>
        <v>1897.2</v>
      </c>
      <c r="E65" s="6">
        <f>IFERROR(__xludf.DUMMYFUNCTION("""COMPUTED_VALUE"""),1999.7)</f>
        <v>1999.7</v>
      </c>
      <c r="F65" s="6">
        <f>IFERROR(__xludf.DUMMYFUNCTION("""COMPUTED_VALUE"""),2.7300001E7)</f>
        <v>27300001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IFERROR(__xludf.DUMMYFUNCTION("""COMPUTED_VALUE"""),1995.45)</f>
        <v>1995.45</v>
      </c>
      <c r="C66" s="6">
        <f>IFERROR(__xludf.DUMMYFUNCTION("""COMPUTED_VALUE"""),1999.6)</f>
        <v>1999.6</v>
      </c>
      <c r="D66" s="6">
        <f>IFERROR(__xludf.DUMMYFUNCTION("""COMPUTED_VALUE"""),1911.25)</f>
        <v>1911.25</v>
      </c>
      <c r="E66" s="6">
        <f>IFERROR(__xludf.DUMMYFUNCTION("""COMPUTED_VALUE"""),1922.15)</f>
        <v>1922.15</v>
      </c>
      <c r="F66" s="6">
        <f>IFERROR(__xludf.DUMMYFUNCTION("""COMPUTED_VALUE"""),2.8374678E7)</f>
        <v>28374678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IFERROR(__xludf.DUMMYFUNCTION("""COMPUTED_VALUE"""),1930.05)</f>
        <v>1930.05</v>
      </c>
      <c r="C67" s="6">
        <f>IFERROR(__xludf.DUMMYFUNCTION("""COMPUTED_VALUE"""),1942.0)</f>
        <v>1942</v>
      </c>
      <c r="D67" s="6">
        <f>IFERROR(__xludf.DUMMYFUNCTION("""COMPUTED_VALUE"""),1840.0)</f>
        <v>1840</v>
      </c>
      <c r="E67" s="6">
        <f>IFERROR(__xludf.DUMMYFUNCTION("""COMPUTED_VALUE"""),1916.75)</f>
        <v>1916.75</v>
      </c>
      <c r="F67" s="6">
        <f>IFERROR(__xludf.DUMMYFUNCTION("""COMPUTED_VALUE"""),1.2703158E7)</f>
        <v>12703158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IFERROR(__xludf.DUMMYFUNCTION("""COMPUTED_VALUE"""),1915.7)</f>
        <v>1915.7</v>
      </c>
      <c r="C68" s="6">
        <f>IFERROR(__xludf.DUMMYFUNCTION("""COMPUTED_VALUE"""),1962.65)</f>
        <v>1962.65</v>
      </c>
      <c r="D68" s="6">
        <f>IFERROR(__xludf.DUMMYFUNCTION("""COMPUTED_VALUE"""),1845.05)</f>
        <v>1845.05</v>
      </c>
      <c r="E68" s="6">
        <f>IFERROR(__xludf.DUMMYFUNCTION("""COMPUTED_VALUE"""),1938.75)</f>
        <v>1938.75</v>
      </c>
      <c r="F68" s="6">
        <f>IFERROR(__xludf.DUMMYFUNCTION("""COMPUTED_VALUE"""),2.6542134E7)</f>
        <v>26542134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IFERROR(__xludf.DUMMYFUNCTION("""COMPUTED_VALUE"""),1952.0)</f>
        <v>1952</v>
      </c>
      <c r="C69" s="6">
        <f>IFERROR(__xludf.DUMMYFUNCTION("""COMPUTED_VALUE"""),1977.8)</f>
        <v>1977.8</v>
      </c>
      <c r="D69" s="6">
        <f>IFERROR(__xludf.DUMMYFUNCTION("""COMPUTED_VALUE"""),1888.75)</f>
        <v>1888.75</v>
      </c>
      <c r="E69" s="6">
        <f>IFERROR(__xludf.DUMMYFUNCTION("""COMPUTED_VALUE"""),1966.95)</f>
        <v>1966.95</v>
      </c>
      <c r="F69" s="6">
        <f>IFERROR(__xludf.DUMMYFUNCTION("""COMPUTED_VALUE"""),3.1811701E7)</f>
        <v>31811701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IFERROR(__xludf.DUMMYFUNCTION("""COMPUTED_VALUE"""),1956.0)</f>
        <v>1956</v>
      </c>
      <c r="C70" s="6">
        <f>IFERROR(__xludf.DUMMYFUNCTION("""COMPUTED_VALUE"""),1982.8)</f>
        <v>1982.8</v>
      </c>
      <c r="D70" s="6">
        <f>IFERROR(__xludf.DUMMYFUNCTION("""COMPUTED_VALUE"""),1812.0)</f>
        <v>1812</v>
      </c>
      <c r="E70" s="6">
        <f>IFERROR(__xludf.DUMMYFUNCTION("""COMPUTED_VALUE"""),1815.45)</f>
        <v>1815.45</v>
      </c>
      <c r="F70" s="6">
        <f>IFERROR(__xludf.DUMMYFUNCTION("""COMPUTED_VALUE"""),3.8525285E7)</f>
        <v>38525285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IFERROR(__xludf.DUMMYFUNCTION("""COMPUTED_VALUE"""),1822.95)</f>
        <v>1822.95</v>
      </c>
      <c r="C71" s="6">
        <f>IFERROR(__xludf.DUMMYFUNCTION("""COMPUTED_VALUE"""),1894.9)</f>
        <v>1894.9</v>
      </c>
      <c r="D71" s="6">
        <f>IFERROR(__xludf.DUMMYFUNCTION("""COMPUTED_VALUE"""),1793.05)</f>
        <v>1793.05</v>
      </c>
      <c r="E71" s="6">
        <f>IFERROR(__xludf.DUMMYFUNCTION("""COMPUTED_VALUE"""),1875.45)</f>
        <v>1875.45</v>
      </c>
      <c r="F71" s="6">
        <f>IFERROR(__xludf.DUMMYFUNCTION("""COMPUTED_VALUE"""),3.0670531E7)</f>
        <v>30670531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IFERROR(__xludf.DUMMYFUNCTION("""COMPUTED_VALUE"""),1836.0)</f>
        <v>1836</v>
      </c>
      <c r="C72" s="6">
        <f>IFERROR(__xludf.DUMMYFUNCTION("""COMPUTED_VALUE"""),1924.0)</f>
        <v>1924</v>
      </c>
      <c r="D72" s="6">
        <f>IFERROR(__xludf.DUMMYFUNCTION("""COMPUTED_VALUE"""),1832.4)</f>
        <v>1832.4</v>
      </c>
      <c r="E72" s="6">
        <f>IFERROR(__xludf.DUMMYFUNCTION("""COMPUTED_VALUE"""),1903.65)</f>
        <v>1903.65</v>
      </c>
      <c r="F72" s="6">
        <f>IFERROR(__xludf.DUMMYFUNCTION("""COMPUTED_VALUE"""),2.6046274E7)</f>
        <v>26046274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IFERROR(__xludf.DUMMYFUNCTION("""COMPUTED_VALUE"""),1905.0)</f>
        <v>1905</v>
      </c>
      <c r="C73" s="6">
        <f>IFERROR(__xludf.DUMMYFUNCTION("""COMPUTED_VALUE"""),1905.0)</f>
        <v>1905</v>
      </c>
      <c r="D73" s="6">
        <f>IFERROR(__xludf.DUMMYFUNCTION("""COMPUTED_VALUE"""),1828.35)</f>
        <v>1828.35</v>
      </c>
      <c r="E73" s="6">
        <f>IFERROR(__xludf.DUMMYFUNCTION("""COMPUTED_VALUE"""),1856.4)</f>
        <v>1856.4</v>
      </c>
      <c r="F73" s="6">
        <f>IFERROR(__xludf.DUMMYFUNCTION("""COMPUTED_VALUE"""),2.4404987E7)</f>
        <v>24404987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IFERROR(__xludf.DUMMYFUNCTION("""COMPUTED_VALUE"""),1838.55)</f>
        <v>1838.55</v>
      </c>
      <c r="C74" s="6">
        <f>IFERROR(__xludf.DUMMYFUNCTION("""COMPUTED_VALUE"""),1861.65)</f>
        <v>1861.65</v>
      </c>
      <c r="D74" s="6">
        <f>IFERROR(__xludf.DUMMYFUNCTION("""COMPUTED_VALUE"""),1805.55)</f>
        <v>1805.55</v>
      </c>
      <c r="E74" s="6">
        <f>IFERROR(__xludf.DUMMYFUNCTION("""COMPUTED_VALUE"""),1815.0)</f>
        <v>1815</v>
      </c>
      <c r="F74" s="6">
        <f>IFERROR(__xludf.DUMMYFUNCTION("""COMPUTED_VALUE"""),1.9003526E7)</f>
        <v>19003526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IFERROR(__xludf.DUMMYFUNCTION("""COMPUTED_VALUE"""),1800.05)</f>
        <v>1800.05</v>
      </c>
      <c r="C75" s="6">
        <f>IFERROR(__xludf.DUMMYFUNCTION("""COMPUTED_VALUE"""),1808.0)</f>
        <v>1808</v>
      </c>
      <c r="D75" s="6">
        <f>IFERROR(__xludf.DUMMYFUNCTION("""COMPUTED_VALUE"""),1682.45)</f>
        <v>1682.45</v>
      </c>
      <c r="E75" s="6">
        <f>IFERROR(__xludf.DUMMYFUNCTION("""COMPUTED_VALUE"""),1687.7)</f>
        <v>1687.7</v>
      </c>
      <c r="F75" s="6">
        <f>IFERROR(__xludf.DUMMYFUNCTION("""COMPUTED_VALUE"""),3.0626929E7)</f>
        <v>30626929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IFERROR(__xludf.DUMMYFUNCTION("""COMPUTED_VALUE"""),1692.3)</f>
        <v>1692.3</v>
      </c>
      <c r="C76" s="6">
        <f>IFERROR(__xludf.DUMMYFUNCTION("""COMPUTED_VALUE"""),1732.95)</f>
        <v>1732.95</v>
      </c>
      <c r="D76" s="6">
        <f>IFERROR(__xludf.DUMMYFUNCTION("""COMPUTED_VALUE"""),1670.0)</f>
        <v>1670</v>
      </c>
      <c r="E76" s="6">
        <f>IFERROR(__xludf.DUMMYFUNCTION("""COMPUTED_VALUE"""),1686.0)</f>
        <v>1686</v>
      </c>
      <c r="F76" s="6">
        <f>IFERROR(__xludf.DUMMYFUNCTION("""COMPUTED_VALUE"""),4.1075302E7)</f>
        <v>41075302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IFERROR(__xludf.DUMMYFUNCTION("""COMPUTED_VALUE"""),1686.0)</f>
        <v>1686</v>
      </c>
      <c r="C77" s="6">
        <f>IFERROR(__xludf.DUMMYFUNCTION("""COMPUTED_VALUE"""),1719.0)</f>
        <v>1719</v>
      </c>
      <c r="D77" s="6">
        <f>IFERROR(__xludf.DUMMYFUNCTION("""COMPUTED_VALUE"""),1563.8)</f>
        <v>1563.8</v>
      </c>
      <c r="E77" s="6">
        <f>IFERROR(__xludf.DUMMYFUNCTION("""COMPUTED_VALUE"""),1579.85)</f>
        <v>1579.85</v>
      </c>
      <c r="F77" s="6">
        <f>IFERROR(__xludf.DUMMYFUNCTION("""COMPUTED_VALUE"""),4.2923111E7)</f>
        <v>42923111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IFERROR(__xludf.DUMMYFUNCTION("""COMPUTED_VALUE"""),1545.15)</f>
        <v>1545.15</v>
      </c>
      <c r="C78" s="6">
        <f>IFERROR(__xludf.DUMMYFUNCTION("""COMPUTED_VALUE"""),1631.9)</f>
        <v>1631.9</v>
      </c>
      <c r="D78" s="6">
        <f>IFERROR(__xludf.DUMMYFUNCTION("""COMPUTED_VALUE"""),1545.15)</f>
        <v>1545.15</v>
      </c>
      <c r="E78" s="6">
        <f>IFERROR(__xludf.DUMMYFUNCTION("""COMPUTED_VALUE"""),1592.55)</f>
        <v>1592.55</v>
      </c>
      <c r="F78" s="6">
        <f>IFERROR(__xludf.DUMMYFUNCTION("""COMPUTED_VALUE"""),3.8472581E7)</f>
        <v>38472581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IFERROR(__xludf.DUMMYFUNCTION("""COMPUTED_VALUE"""),1597.95)</f>
        <v>1597.95</v>
      </c>
      <c r="C79" s="6">
        <f>IFERROR(__xludf.DUMMYFUNCTION("""COMPUTED_VALUE"""),1637.75)</f>
        <v>1637.75</v>
      </c>
      <c r="D79" s="6">
        <f>IFERROR(__xludf.DUMMYFUNCTION("""COMPUTED_VALUE"""),1560.0)</f>
        <v>1560</v>
      </c>
      <c r="E79" s="6">
        <f>IFERROR(__xludf.DUMMYFUNCTION("""COMPUTED_VALUE"""),1570.65)</f>
        <v>1570.65</v>
      </c>
      <c r="F79" s="6">
        <f>IFERROR(__xludf.DUMMYFUNCTION("""COMPUTED_VALUE"""),4.1624788E7)</f>
        <v>41624788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IFERROR(__xludf.DUMMYFUNCTION("""COMPUTED_VALUE"""),1539.25)</f>
        <v>1539.25</v>
      </c>
      <c r="C80" s="6">
        <f>IFERROR(__xludf.DUMMYFUNCTION("""COMPUTED_VALUE"""),1555.65)</f>
        <v>1555.65</v>
      </c>
      <c r="D80" s="6">
        <f>IFERROR(__xludf.DUMMYFUNCTION("""COMPUTED_VALUE"""),1448.0)</f>
        <v>1448</v>
      </c>
      <c r="E80" s="6">
        <f>IFERROR(__xludf.DUMMYFUNCTION("""COMPUTED_VALUE"""),1451.65)</f>
        <v>1451.65</v>
      </c>
      <c r="F80" s="6">
        <f>IFERROR(__xludf.DUMMYFUNCTION("""COMPUTED_VALUE"""),3.8923969E7)</f>
        <v>38923969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IFERROR(__xludf.DUMMYFUNCTION("""COMPUTED_VALUE"""),1352.0)</f>
        <v>1352</v>
      </c>
      <c r="C81" s="6">
        <f>IFERROR(__xludf.DUMMYFUNCTION("""COMPUTED_VALUE"""),1456.5)</f>
        <v>1456.5</v>
      </c>
      <c r="D81" s="6">
        <f>IFERROR(__xludf.DUMMYFUNCTION("""COMPUTED_VALUE"""),1307.0)</f>
        <v>1307</v>
      </c>
      <c r="E81" s="6">
        <f>IFERROR(__xludf.DUMMYFUNCTION("""COMPUTED_VALUE"""),1409.45)</f>
        <v>1409.45</v>
      </c>
      <c r="F81" s="6">
        <f>IFERROR(__xludf.DUMMYFUNCTION("""COMPUTED_VALUE"""),5.5634547E7)</f>
        <v>55634547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IFERROR(__xludf.DUMMYFUNCTION("""COMPUTED_VALUE"""),1445.6)</f>
        <v>1445.6</v>
      </c>
      <c r="C82" s="6">
        <f>IFERROR(__xludf.DUMMYFUNCTION("""COMPUTED_VALUE"""),1447.7)</f>
        <v>1447.7</v>
      </c>
      <c r="D82" s="6">
        <f>IFERROR(__xludf.DUMMYFUNCTION("""COMPUTED_VALUE"""),1378.3)</f>
        <v>1378.3</v>
      </c>
      <c r="E82" s="6">
        <f>IFERROR(__xludf.DUMMYFUNCTION("""COMPUTED_VALUE"""),1419.5)</f>
        <v>1419.5</v>
      </c>
      <c r="F82" s="6">
        <f>IFERROR(__xludf.DUMMYFUNCTION("""COMPUTED_VALUE"""),3.6465497E7)</f>
        <v>36465497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IFERROR(__xludf.DUMMYFUNCTION("""COMPUTED_VALUE"""),1410.0)</f>
        <v>1410</v>
      </c>
      <c r="C83" s="6">
        <f>IFERROR(__xludf.DUMMYFUNCTION("""COMPUTED_VALUE"""),1501.7)</f>
        <v>1501.7</v>
      </c>
      <c r="D83" s="6">
        <f>IFERROR(__xludf.DUMMYFUNCTION("""COMPUTED_VALUE"""),1410.0)</f>
        <v>1410</v>
      </c>
      <c r="E83" s="6">
        <f>IFERROR(__xludf.DUMMYFUNCTION("""COMPUTED_VALUE"""),1480.2)</f>
        <v>1480.2</v>
      </c>
      <c r="F83" s="6">
        <f>IFERROR(__xludf.DUMMYFUNCTION("""COMPUTED_VALUE"""),5.1629621E7)</f>
        <v>51629621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IFERROR(__xludf.DUMMYFUNCTION("""COMPUTED_VALUE"""),1480.2)</f>
        <v>1480.2</v>
      </c>
      <c r="C84" s="6">
        <f>IFERROR(__xludf.DUMMYFUNCTION("""COMPUTED_VALUE"""),1523.2)</f>
        <v>1523.2</v>
      </c>
      <c r="D84" s="6">
        <f>IFERROR(__xludf.DUMMYFUNCTION("""COMPUTED_VALUE"""),1465.3)</f>
        <v>1465.3</v>
      </c>
      <c r="E84" s="6">
        <f>IFERROR(__xludf.DUMMYFUNCTION("""COMPUTED_VALUE"""),1506.8)</f>
        <v>1506.8</v>
      </c>
      <c r="F84" s="6">
        <f>IFERROR(__xludf.DUMMYFUNCTION("""COMPUTED_VALUE"""),2.9049489E7)</f>
        <v>29049489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IFERROR(__xludf.DUMMYFUNCTION("""COMPUTED_VALUE"""),1515.0)</f>
        <v>1515</v>
      </c>
      <c r="C85" s="6">
        <f>IFERROR(__xludf.DUMMYFUNCTION("""COMPUTED_VALUE"""),1523.0)</f>
        <v>1523</v>
      </c>
      <c r="D85" s="6">
        <f>IFERROR(__xludf.DUMMYFUNCTION("""COMPUTED_VALUE"""),1494.1)</f>
        <v>1494.1</v>
      </c>
      <c r="E85" s="6">
        <f>IFERROR(__xludf.DUMMYFUNCTION("""COMPUTED_VALUE"""),1507.6)</f>
        <v>1507.6</v>
      </c>
      <c r="F85" s="6">
        <f>IFERROR(__xludf.DUMMYFUNCTION("""COMPUTED_VALUE"""),2.7147884E7)</f>
        <v>27147884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IFERROR(__xludf.DUMMYFUNCTION("""COMPUTED_VALUE"""),1537.0)</f>
        <v>1537</v>
      </c>
      <c r="C86" s="6">
        <f>IFERROR(__xludf.DUMMYFUNCTION("""COMPUTED_VALUE"""),1632.0)</f>
        <v>1632</v>
      </c>
      <c r="D86" s="6">
        <f>IFERROR(__xludf.DUMMYFUNCTION("""COMPUTED_VALUE"""),1532.0)</f>
        <v>1532</v>
      </c>
      <c r="E86" s="6">
        <f>IFERROR(__xludf.DUMMYFUNCTION("""COMPUTED_VALUE"""),1589.9)</f>
        <v>1589.9</v>
      </c>
      <c r="F86" s="6">
        <f>IFERROR(__xludf.DUMMYFUNCTION("""COMPUTED_VALUE"""),4.4817042E7)</f>
        <v>44817042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IFERROR(__xludf.DUMMYFUNCTION("""COMPUTED_VALUE"""),1576.5)</f>
        <v>1576.5</v>
      </c>
      <c r="C87" s="6">
        <f>IFERROR(__xludf.DUMMYFUNCTION("""COMPUTED_VALUE"""),1587.2)</f>
        <v>1587.2</v>
      </c>
      <c r="D87" s="6">
        <f>IFERROR(__xludf.DUMMYFUNCTION("""COMPUTED_VALUE"""),1540.0)</f>
        <v>1540</v>
      </c>
      <c r="E87" s="6">
        <f>IFERROR(__xludf.DUMMYFUNCTION("""COMPUTED_VALUE"""),1564.8)</f>
        <v>1564.8</v>
      </c>
      <c r="F87" s="6">
        <f>IFERROR(__xludf.DUMMYFUNCTION("""COMPUTED_VALUE"""),3.1354516E7)</f>
        <v>31354516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IFERROR(__xludf.DUMMYFUNCTION("""COMPUTED_VALUE"""),1566.6)</f>
        <v>1566.6</v>
      </c>
      <c r="C88" s="6">
        <f>IFERROR(__xludf.DUMMYFUNCTION("""COMPUTED_VALUE"""),1608.9)</f>
        <v>1608.9</v>
      </c>
      <c r="D88" s="6">
        <f>IFERROR(__xludf.DUMMYFUNCTION("""COMPUTED_VALUE"""),1555.1)</f>
        <v>1555.1</v>
      </c>
      <c r="E88" s="6">
        <f>IFERROR(__xludf.DUMMYFUNCTION("""COMPUTED_VALUE"""),1562.7)</f>
        <v>1562.7</v>
      </c>
      <c r="F88" s="6">
        <f>IFERROR(__xludf.DUMMYFUNCTION("""COMPUTED_VALUE"""),3.6326778E7)</f>
        <v>36326778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IFERROR(__xludf.DUMMYFUNCTION("""COMPUTED_VALUE"""),1560.0)</f>
        <v>1560</v>
      </c>
      <c r="C89" s="6">
        <f>IFERROR(__xludf.DUMMYFUNCTION("""COMPUTED_VALUE"""),1568.9)</f>
        <v>1568.9</v>
      </c>
      <c r="D89" s="6">
        <f>IFERROR(__xludf.DUMMYFUNCTION("""COMPUTED_VALUE"""),1535.6)</f>
        <v>1535.6</v>
      </c>
      <c r="E89" s="6">
        <f>IFERROR(__xludf.DUMMYFUNCTION("""COMPUTED_VALUE"""),1563.8)</f>
        <v>1563.8</v>
      </c>
      <c r="F89" s="6">
        <f>IFERROR(__xludf.DUMMYFUNCTION("""COMPUTED_VALUE"""),2.6684778E7)</f>
        <v>26684778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IFERROR(__xludf.DUMMYFUNCTION("""COMPUTED_VALUE"""),1578.0)</f>
        <v>1578</v>
      </c>
      <c r="C90" s="6">
        <f>IFERROR(__xludf.DUMMYFUNCTION("""COMPUTED_VALUE"""),1634.6)</f>
        <v>1634.6</v>
      </c>
      <c r="D90" s="6">
        <f>IFERROR(__xludf.DUMMYFUNCTION("""COMPUTED_VALUE"""),1570.2)</f>
        <v>1570.2</v>
      </c>
      <c r="E90" s="6">
        <f>IFERROR(__xludf.DUMMYFUNCTION("""COMPUTED_VALUE"""),1602.0)</f>
        <v>1602</v>
      </c>
      <c r="F90" s="6">
        <f>IFERROR(__xludf.DUMMYFUNCTION("""COMPUTED_VALUE"""),3.9544426E7)</f>
        <v>39544426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IFERROR(__xludf.DUMMYFUNCTION("""COMPUTED_VALUE"""),1600.0)</f>
        <v>1600</v>
      </c>
      <c r="C91" s="6">
        <f>IFERROR(__xludf.DUMMYFUNCTION("""COMPUTED_VALUE"""),1647.4)</f>
        <v>1647.4</v>
      </c>
      <c r="D91" s="6">
        <f>IFERROR(__xludf.DUMMYFUNCTION("""COMPUTED_VALUE"""),1597.1)</f>
        <v>1597.1</v>
      </c>
      <c r="E91" s="6">
        <f>IFERROR(__xludf.DUMMYFUNCTION("""COMPUTED_VALUE"""),1622.9)</f>
        <v>1622.9</v>
      </c>
      <c r="F91" s="6">
        <f>IFERROR(__xludf.DUMMYFUNCTION("""COMPUTED_VALUE"""),3.3194213E7)</f>
        <v>33194213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IFERROR(__xludf.DUMMYFUNCTION("""COMPUTED_VALUE"""),1601.0)</f>
        <v>1601</v>
      </c>
      <c r="C92" s="6">
        <f>IFERROR(__xludf.DUMMYFUNCTION("""COMPUTED_VALUE"""),1629.6)</f>
        <v>1629.6</v>
      </c>
      <c r="D92" s="6">
        <f>IFERROR(__xludf.DUMMYFUNCTION("""COMPUTED_VALUE"""),1575.4)</f>
        <v>1575.4</v>
      </c>
      <c r="E92" s="6">
        <f>IFERROR(__xludf.DUMMYFUNCTION("""COMPUTED_VALUE"""),1608.0)</f>
        <v>1608</v>
      </c>
      <c r="F92" s="6">
        <f>IFERROR(__xludf.DUMMYFUNCTION("""COMPUTED_VALUE"""),3.9272702E7)</f>
        <v>39272702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IFERROR(__xludf.DUMMYFUNCTION("""COMPUTED_VALUE"""),1615.0)</f>
        <v>1615</v>
      </c>
      <c r="C93" s="6">
        <f>IFERROR(__xludf.DUMMYFUNCTION("""COMPUTED_VALUE"""),1649.0)</f>
        <v>1649</v>
      </c>
      <c r="D93" s="6">
        <f>IFERROR(__xludf.DUMMYFUNCTION("""COMPUTED_VALUE"""),1594.1)</f>
        <v>1594.1</v>
      </c>
      <c r="E93" s="6">
        <f>IFERROR(__xludf.DUMMYFUNCTION("""COMPUTED_VALUE"""),1640.7)</f>
        <v>1640.7</v>
      </c>
      <c r="F93" s="6">
        <f>IFERROR(__xludf.DUMMYFUNCTION("""COMPUTED_VALUE"""),2.8798051E7)</f>
        <v>28798051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IFERROR(__xludf.DUMMYFUNCTION("""COMPUTED_VALUE"""),1640.0)</f>
        <v>1640</v>
      </c>
      <c r="C94" s="6">
        <f>IFERROR(__xludf.DUMMYFUNCTION("""COMPUTED_VALUE"""),1646.2)</f>
        <v>1646.2</v>
      </c>
      <c r="D94" s="6">
        <f>IFERROR(__xludf.DUMMYFUNCTION("""COMPUTED_VALUE"""),1563.0)</f>
        <v>1563</v>
      </c>
      <c r="E94" s="6">
        <f>IFERROR(__xludf.DUMMYFUNCTION("""COMPUTED_VALUE"""),1594.9)</f>
        <v>1594.9</v>
      </c>
      <c r="F94" s="6">
        <f>IFERROR(__xludf.DUMMYFUNCTION("""COMPUTED_VALUE"""),2.9187966E7)</f>
        <v>29187966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IFERROR(__xludf.DUMMYFUNCTION("""COMPUTED_VALUE"""),1591.8)</f>
        <v>1591.8</v>
      </c>
      <c r="C95" s="6">
        <f>IFERROR(__xludf.DUMMYFUNCTION("""COMPUTED_VALUE"""),1612.0)</f>
        <v>1612</v>
      </c>
      <c r="D95" s="6">
        <f>IFERROR(__xludf.DUMMYFUNCTION("""COMPUTED_VALUE"""),1559.8)</f>
        <v>1559.8</v>
      </c>
      <c r="E95" s="6">
        <f>IFERROR(__xludf.DUMMYFUNCTION("""COMPUTED_VALUE"""),1586.1)</f>
        <v>1586.1</v>
      </c>
      <c r="F95" s="6">
        <f>IFERROR(__xludf.DUMMYFUNCTION("""COMPUTED_VALUE"""),3.5548371E7)</f>
        <v>35548371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IFERROR(__xludf.DUMMYFUNCTION("""COMPUTED_VALUE"""),1580.0)</f>
        <v>1580</v>
      </c>
      <c r="C96" s="6">
        <f>IFERROR(__xludf.DUMMYFUNCTION("""COMPUTED_VALUE"""),1591.9)</f>
        <v>1591.9</v>
      </c>
      <c r="D96" s="6">
        <f>IFERROR(__xludf.DUMMYFUNCTION("""COMPUTED_VALUE"""),1511.3)</f>
        <v>1511.3</v>
      </c>
      <c r="E96" s="6">
        <f>IFERROR(__xludf.DUMMYFUNCTION("""COMPUTED_VALUE"""),1515.7)</f>
        <v>1515.7</v>
      </c>
      <c r="F96" s="6">
        <f>IFERROR(__xludf.DUMMYFUNCTION("""COMPUTED_VALUE"""),4.5212351E7)</f>
        <v>45212351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IFERROR(__xludf.DUMMYFUNCTION("""COMPUTED_VALUE"""),1513.9)</f>
        <v>1513.9</v>
      </c>
      <c r="C97" s="6">
        <f>IFERROR(__xludf.DUMMYFUNCTION("""COMPUTED_VALUE"""),1527.1)</f>
        <v>1527.1</v>
      </c>
      <c r="D97" s="6">
        <f>IFERROR(__xludf.DUMMYFUNCTION("""COMPUTED_VALUE"""),1465.5)</f>
        <v>1465.5</v>
      </c>
      <c r="E97" s="6">
        <f>IFERROR(__xludf.DUMMYFUNCTION("""COMPUTED_VALUE"""),1469.6)</f>
        <v>1469.6</v>
      </c>
      <c r="F97" s="6">
        <f>IFERROR(__xludf.DUMMYFUNCTION("""COMPUTED_VALUE"""),3.4783739E7)</f>
        <v>34783739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IFERROR(__xludf.DUMMYFUNCTION("""COMPUTED_VALUE"""),1461.5)</f>
        <v>1461.5</v>
      </c>
      <c r="C98" s="6">
        <f>IFERROR(__xludf.DUMMYFUNCTION("""COMPUTED_VALUE"""),1482.8)</f>
        <v>1482.8</v>
      </c>
      <c r="D98" s="6">
        <f>IFERROR(__xludf.DUMMYFUNCTION("""COMPUTED_VALUE"""),1414.2)</f>
        <v>1414.2</v>
      </c>
      <c r="E98" s="6">
        <f>IFERROR(__xludf.DUMMYFUNCTION("""COMPUTED_VALUE"""),1423.1)</f>
        <v>1423.1</v>
      </c>
      <c r="F98" s="6">
        <f>IFERROR(__xludf.DUMMYFUNCTION("""COMPUTED_VALUE"""),4.9330502E7)</f>
        <v>49330502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IFERROR(__xludf.DUMMYFUNCTION("""COMPUTED_VALUE"""),1419.9)</f>
        <v>1419.9</v>
      </c>
      <c r="C99" s="6">
        <f>IFERROR(__xludf.DUMMYFUNCTION("""COMPUTED_VALUE"""),1470.0)</f>
        <v>1470</v>
      </c>
      <c r="D99" s="6">
        <f>IFERROR(__xludf.DUMMYFUNCTION("""COMPUTED_VALUE"""),1414.0)</f>
        <v>1414</v>
      </c>
      <c r="E99" s="6">
        <f>IFERROR(__xludf.DUMMYFUNCTION("""COMPUTED_VALUE"""),1447.7)</f>
        <v>1447.7</v>
      </c>
      <c r="F99" s="6">
        <f>IFERROR(__xludf.DUMMYFUNCTION("""COMPUTED_VALUE"""),3.9744962E7)</f>
        <v>39744962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IFERROR(__xludf.DUMMYFUNCTION("""COMPUTED_VALUE"""),1464.7)</f>
        <v>1464.7</v>
      </c>
      <c r="C100" s="6">
        <f>IFERROR(__xludf.DUMMYFUNCTION("""COMPUTED_VALUE"""),1508.0)</f>
        <v>1508</v>
      </c>
      <c r="D100" s="6">
        <f>IFERROR(__xludf.DUMMYFUNCTION("""COMPUTED_VALUE"""),1429.6)</f>
        <v>1429.6</v>
      </c>
      <c r="E100" s="6">
        <f>IFERROR(__xludf.DUMMYFUNCTION("""COMPUTED_VALUE"""),1487.5)</f>
        <v>1487.5</v>
      </c>
      <c r="F100" s="6">
        <f>IFERROR(__xludf.DUMMYFUNCTION("""COMPUTED_VALUE"""),3.3762652E7)</f>
        <v>33762652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IFERROR(__xludf.DUMMYFUNCTION("""COMPUTED_VALUE"""),1506.7)</f>
        <v>1506.7</v>
      </c>
      <c r="C101" s="6">
        <f>IFERROR(__xludf.DUMMYFUNCTION("""COMPUTED_VALUE"""),1539.0)</f>
        <v>1539</v>
      </c>
      <c r="D101" s="6">
        <f>IFERROR(__xludf.DUMMYFUNCTION("""COMPUTED_VALUE"""),1506.7)</f>
        <v>1506.7</v>
      </c>
      <c r="E101" s="6">
        <f>IFERROR(__xludf.DUMMYFUNCTION("""COMPUTED_VALUE"""),1529.6)</f>
        <v>1529.6</v>
      </c>
      <c r="F101" s="6">
        <f>IFERROR(__xludf.DUMMYFUNCTION("""COMPUTED_VALUE"""),1.92312121E8)</f>
        <v>192312121</v>
      </c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IFERROR(__xludf.DUMMYFUNCTION("GOOGLEFINANCE(""NSE:IOC"",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IFERROR(__xludf.DUMMYFUNCTION("""COMPUTED_VALUE"""),92.25)</f>
        <v>92.25</v>
      </c>
      <c r="C2" s="6">
        <f>IFERROR(__xludf.DUMMYFUNCTION("""COMPUTED_VALUE"""),92.5)</f>
        <v>92.5</v>
      </c>
      <c r="D2" s="6">
        <f>IFERROR(__xludf.DUMMYFUNCTION("""COMPUTED_VALUE"""),88.75)</f>
        <v>88.75</v>
      </c>
      <c r="E2" s="6">
        <f>IFERROR(__xludf.DUMMYFUNCTION("""COMPUTED_VALUE"""),89.05)</f>
        <v>89.05</v>
      </c>
      <c r="F2" s="6">
        <f>IFERROR(__xludf.DUMMYFUNCTION("""COMPUTED_VALUE"""),5.4957464E7)</f>
        <v>54957464</v>
      </c>
    </row>
    <row r="3">
      <c r="A3" s="7">
        <f>IFERROR(__xludf.DUMMYFUNCTION("""COMPUTED_VALUE"""),45177.64583333333)</f>
        <v>45177.64583</v>
      </c>
      <c r="B3" s="6">
        <f>IFERROR(__xludf.DUMMYFUNCTION("""COMPUTED_VALUE"""),89.3)</f>
        <v>89.3</v>
      </c>
      <c r="C3" s="6">
        <f>IFERROR(__xludf.DUMMYFUNCTION("""COMPUTED_VALUE"""),94.95)</f>
        <v>94.95</v>
      </c>
      <c r="D3" s="6">
        <f>IFERROR(__xludf.DUMMYFUNCTION("""COMPUTED_VALUE"""),89.3)</f>
        <v>89.3</v>
      </c>
      <c r="E3" s="6">
        <f>IFERROR(__xludf.DUMMYFUNCTION("""COMPUTED_VALUE"""),94.0)</f>
        <v>94</v>
      </c>
      <c r="F3" s="6">
        <f>IFERROR(__xludf.DUMMYFUNCTION("""COMPUTED_VALUE"""),7.1710166E7)</f>
        <v>71710166</v>
      </c>
    </row>
    <row r="4">
      <c r="A4" s="7">
        <f>IFERROR(__xludf.DUMMYFUNCTION("""COMPUTED_VALUE"""),45184.64583333333)</f>
        <v>45184.64583</v>
      </c>
      <c r="B4" s="6">
        <f>IFERROR(__xludf.DUMMYFUNCTION("""COMPUTED_VALUE"""),95.5)</f>
        <v>95.5</v>
      </c>
      <c r="C4" s="6">
        <f>IFERROR(__xludf.DUMMYFUNCTION("""COMPUTED_VALUE"""),96.0)</f>
        <v>96</v>
      </c>
      <c r="D4" s="6">
        <f>IFERROR(__xludf.DUMMYFUNCTION("""COMPUTED_VALUE"""),91.35)</f>
        <v>91.35</v>
      </c>
      <c r="E4" s="6">
        <f>IFERROR(__xludf.DUMMYFUNCTION("""COMPUTED_VALUE"""),91.95)</f>
        <v>91.95</v>
      </c>
      <c r="F4" s="6">
        <f>IFERROR(__xludf.DUMMYFUNCTION("""COMPUTED_VALUE"""),1.0870278E8)</f>
        <v>108702780</v>
      </c>
    </row>
    <row r="5">
      <c r="A5" s="7">
        <f>IFERROR(__xludf.DUMMYFUNCTION("""COMPUTED_VALUE"""),45191.64583333333)</f>
        <v>45191.64583</v>
      </c>
      <c r="B5" s="6">
        <f>IFERROR(__xludf.DUMMYFUNCTION("""COMPUTED_VALUE"""),92.8)</f>
        <v>92.8</v>
      </c>
      <c r="C5" s="6">
        <f>IFERROR(__xludf.DUMMYFUNCTION("""COMPUTED_VALUE"""),93.4)</f>
        <v>93.4</v>
      </c>
      <c r="D5" s="6">
        <f>IFERROR(__xludf.DUMMYFUNCTION("""COMPUTED_VALUE"""),91.4)</f>
        <v>91.4</v>
      </c>
      <c r="E5" s="6">
        <f>IFERROR(__xludf.DUMMYFUNCTION("""COMPUTED_VALUE"""),92.25)</f>
        <v>92.25</v>
      </c>
      <c r="F5" s="6">
        <f>IFERROR(__xludf.DUMMYFUNCTION("""COMPUTED_VALUE"""),6.168796E7)</f>
        <v>61687960</v>
      </c>
    </row>
    <row r="6">
      <c r="A6" s="7">
        <f>IFERROR(__xludf.DUMMYFUNCTION("""COMPUTED_VALUE"""),45198.64583333333)</f>
        <v>45198.64583</v>
      </c>
      <c r="B6" s="6">
        <f>IFERROR(__xludf.DUMMYFUNCTION("""COMPUTED_VALUE"""),92.5)</f>
        <v>92.5</v>
      </c>
      <c r="C6" s="6">
        <f>IFERROR(__xludf.DUMMYFUNCTION("""COMPUTED_VALUE"""),92.8)</f>
        <v>92.8</v>
      </c>
      <c r="D6" s="6">
        <f>IFERROR(__xludf.DUMMYFUNCTION("""COMPUTED_VALUE"""),89.5)</f>
        <v>89.5</v>
      </c>
      <c r="E6" s="6">
        <f>IFERROR(__xludf.DUMMYFUNCTION("""COMPUTED_VALUE"""),90.95)</f>
        <v>90.95</v>
      </c>
      <c r="F6" s="6">
        <f>IFERROR(__xludf.DUMMYFUNCTION("""COMPUTED_VALUE"""),6.1719331E7)</f>
        <v>61719331</v>
      </c>
    </row>
    <row r="7">
      <c r="A7" s="7">
        <f>IFERROR(__xludf.DUMMYFUNCTION("""COMPUTED_VALUE"""),45205.64583333333)</f>
        <v>45205.64583</v>
      </c>
      <c r="B7" s="6">
        <f>IFERROR(__xludf.DUMMYFUNCTION("""COMPUTED_VALUE"""),91.4)</f>
        <v>91.4</v>
      </c>
      <c r="C7" s="6">
        <f>IFERROR(__xludf.DUMMYFUNCTION("""COMPUTED_VALUE"""),91.4)</f>
        <v>91.4</v>
      </c>
      <c r="D7" s="6">
        <f>IFERROR(__xludf.DUMMYFUNCTION("""COMPUTED_VALUE"""),88.7)</f>
        <v>88.7</v>
      </c>
      <c r="E7" s="6">
        <f>IFERROR(__xludf.DUMMYFUNCTION("""COMPUTED_VALUE"""),89.75)</f>
        <v>89.75</v>
      </c>
      <c r="F7" s="6">
        <f>IFERROR(__xludf.DUMMYFUNCTION("""COMPUTED_VALUE"""),4.0839436E7)</f>
        <v>40839436</v>
      </c>
    </row>
    <row r="8">
      <c r="A8" s="7">
        <f>IFERROR(__xludf.DUMMYFUNCTION("""COMPUTED_VALUE"""),45212.64583333333)</f>
        <v>45212.64583</v>
      </c>
      <c r="B8" s="6">
        <f>IFERROR(__xludf.DUMMYFUNCTION("""COMPUTED_VALUE"""),88.45)</f>
        <v>88.45</v>
      </c>
      <c r="C8" s="6">
        <f>IFERROR(__xludf.DUMMYFUNCTION("""COMPUTED_VALUE"""),91.25)</f>
        <v>91.25</v>
      </c>
      <c r="D8" s="6">
        <f>IFERROR(__xludf.DUMMYFUNCTION("""COMPUTED_VALUE"""),87.0)</f>
        <v>87</v>
      </c>
      <c r="E8" s="6">
        <f>IFERROR(__xludf.DUMMYFUNCTION("""COMPUTED_VALUE"""),90.85)</f>
        <v>90.85</v>
      </c>
      <c r="F8" s="6">
        <f>IFERROR(__xludf.DUMMYFUNCTION("""COMPUTED_VALUE"""),5.4734473E7)</f>
        <v>54734473</v>
      </c>
    </row>
    <row r="9">
      <c r="A9" s="7">
        <f>IFERROR(__xludf.DUMMYFUNCTION("""COMPUTED_VALUE"""),45219.64583333333)</f>
        <v>45219.64583</v>
      </c>
      <c r="B9" s="6">
        <f>IFERROR(__xludf.DUMMYFUNCTION("""COMPUTED_VALUE"""),91.0)</f>
        <v>91</v>
      </c>
      <c r="C9" s="6">
        <f>IFERROR(__xludf.DUMMYFUNCTION("""COMPUTED_VALUE"""),92.5)</f>
        <v>92.5</v>
      </c>
      <c r="D9" s="6">
        <f>IFERROR(__xludf.DUMMYFUNCTION("""COMPUTED_VALUE"""),89.5)</f>
        <v>89.5</v>
      </c>
      <c r="E9" s="6">
        <f>IFERROR(__xludf.DUMMYFUNCTION("""COMPUTED_VALUE"""),90.3)</f>
        <v>90.3</v>
      </c>
      <c r="F9" s="6">
        <f>IFERROR(__xludf.DUMMYFUNCTION("""COMPUTED_VALUE"""),4.894918E7)</f>
        <v>48949180</v>
      </c>
    </row>
    <row r="10">
      <c r="A10" s="7">
        <f>IFERROR(__xludf.DUMMYFUNCTION("""COMPUTED_VALUE"""),45226.64583333333)</f>
        <v>45226.64583</v>
      </c>
      <c r="B10" s="6">
        <f>IFERROR(__xludf.DUMMYFUNCTION("""COMPUTED_VALUE"""),90.3)</f>
        <v>90.3</v>
      </c>
      <c r="C10" s="6">
        <f>IFERROR(__xludf.DUMMYFUNCTION("""COMPUTED_VALUE"""),90.3)</f>
        <v>90.3</v>
      </c>
      <c r="D10" s="6">
        <f>IFERROR(__xludf.DUMMYFUNCTION("""COMPUTED_VALUE"""),85.5)</f>
        <v>85.5</v>
      </c>
      <c r="E10" s="6">
        <f>IFERROR(__xludf.DUMMYFUNCTION("""COMPUTED_VALUE"""),86.9)</f>
        <v>86.9</v>
      </c>
      <c r="F10" s="6">
        <f>IFERROR(__xludf.DUMMYFUNCTION("""COMPUTED_VALUE"""),3.521223E7)</f>
        <v>35212230</v>
      </c>
    </row>
    <row r="11">
      <c r="A11" s="7">
        <f>IFERROR(__xludf.DUMMYFUNCTION("""COMPUTED_VALUE"""),45233.64583333333)</f>
        <v>45233.64583</v>
      </c>
      <c r="B11" s="6">
        <f>IFERROR(__xludf.DUMMYFUNCTION("""COMPUTED_VALUE"""),87.45)</f>
        <v>87.45</v>
      </c>
      <c r="C11" s="6">
        <f>IFERROR(__xludf.DUMMYFUNCTION("""COMPUTED_VALUE"""),96.75)</f>
        <v>96.75</v>
      </c>
      <c r="D11" s="6">
        <f>IFERROR(__xludf.DUMMYFUNCTION("""COMPUTED_VALUE"""),86.75)</f>
        <v>86.75</v>
      </c>
      <c r="E11" s="6">
        <f>IFERROR(__xludf.DUMMYFUNCTION("""COMPUTED_VALUE"""),95.9)</f>
        <v>95.9</v>
      </c>
      <c r="F11" s="6">
        <f>IFERROR(__xludf.DUMMYFUNCTION("""COMPUTED_VALUE"""),1.91714957E8)</f>
        <v>191714957</v>
      </c>
    </row>
    <row r="12">
      <c r="A12" s="7">
        <f>IFERROR(__xludf.DUMMYFUNCTION("""COMPUTED_VALUE"""),45240.64583333333)</f>
        <v>45240.64583</v>
      </c>
      <c r="B12" s="6">
        <f>IFERROR(__xludf.DUMMYFUNCTION("""COMPUTED_VALUE"""),97.0)</f>
        <v>97</v>
      </c>
      <c r="C12" s="6">
        <f>IFERROR(__xludf.DUMMYFUNCTION("""COMPUTED_VALUE"""),106.9)</f>
        <v>106.9</v>
      </c>
      <c r="D12" s="6">
        <f>IFERROR(__xludf.DUMMYFUNCTION("""COMPUTED_VALUE"""),96.6)</f>
        <v>96.6</v>
      </c>
      <c r="E12" s="6">
        <f>IFERROR(__xludf.DUMMYFUNCTION("""COMPUTED_VALUE"""),98.05)</f>
        <v>98.05</v>
      </c>
      <c r="F12" s="6">
        <f>IFERROR(__xludf.DUMMYFUNCTION("""COMPUTED_VALUE"""),2.72942975E8)</f>
        <v>272942975</v>
      </c>
    </row>
    <row r="13">
      <c r="A13" s="7">
        <f>IFERROR(__xludf.DUMMYFUNCTION("""COMPUTED_VALUE"""),45247.64583333333)</f>
        <v>45247.64583</v>
      </c>
      <c r="B13" s="6">
        <f>IFERROR(__xludf.DUMMYFUNCTION("""COMPUTED_VALUE"""),98.05)</f>
        <v>98.05</v>
      </c>
      <c r="C13" s="6">
        <f>IFERROR(__xludf.DUMMYFUNCTION("""COMPUTED_VALUE"""),106.3)</f>
        <v>106.3</v>
      </c>
      <c r="D13" s="6">
        <f>IFERROR(__xludf.DUMMYFUNCTION("""COMPUTED_VALUE"""),97.55)</f>
        <v>97.55</v>
      </c>
      <c r="E13" s="6">
        <f>IFERROR(__xludf.DUMMYFUNCTION("""COMPUTED_VALUE"""),102.7)</f>
        <v>102.7</v>
      </c>
      <c r="F13" s="6">
        <f>IFERROR(__xludf.DUMMYFUNCTION("""COMPUTED_VALUE"""),1.59443814E8)</f>
        <v>159443814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IFERROR(__xludf.DUMMYFUNCTION("""COMPUTED_VALUE"""),103.0)</f>
        <v>103</v>
      </c>
      <c r="C14" s="6">
        <f>IFERROR(__xludf.DUMMYFUNCTION("""COMPUTED_VALUE"""),105.3)</f>
        <v>105.3</v>
      </c>
      <c r="D14" s="6">
        <f>IFERROR(__xludf.DUMMYFUNCTION("""COMPUTED_VALUE"""),100.35)</f>
        <v>100.35</v>
      </c>
      <c r="E14" s="6">
        <f>IFERROR(__xludf.DUMMYFUNCTION("""COMPUTED_VALUE"""),103.45)</f>
        <v>103.45</v>
      </c>
      <c r="F14" s="6">
        <f>IFERROR(__xludf.DUMMYFUNCTION("""COMPUTED_VALUE"""),9.866214E7)</f>
        <v>98662140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IFERROR(__xludf.DUMMYFUNCTION("""COMPUTED_VALUE"""),104.7)</f>
        <v>104.7</v>
      </c>
      <c r="C15" s="6">
        <f>IFERROR(__xludf.DUMMYFUNCTION("""COMPUTED_VALUE"""),113.95)</f>
        <v>113.95</v>
      </c>
      <c r="D15" s="6">
        <f>IFERROR(__xludf.DUMMYFUNCTION("""COMPUTED_VALUE"""),104.1)</f>
        <v>104.1</v>
      </c>
      <c r="E15" s="6">
        <f>IFERROR(__xludf.DUMMYFUNCTION("""COMPUTED_VALUE"""),111.25)</f>
        <v>111.25</v>
      </c>
      <c r="F15" s="6">
        <f>IFERROR(__xludf.DUMMYFUNCTION("""COMPUTED_VALUE"""),1.68357377E8)</f>
        <v>168357377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IFERROR(__xludf.DUMMYFUNCTION("""COMPUTED_VALUE"""),114.5)</f>
        <v>114.5</v>
      </c>
      <c r="C16" s="6">
        <f>IFERROR(__xludf.DUMMYFUNCTION("""COMPUTED_VALUE"""),122.5)</f>
        <v>122.5</v>
      </c>
      <c r="D16" s="6">
        <f>IFERROR(__xludf.DUMMYFUNCTION("""COMPUTED_VALUE"""),113.1)</f>
        <v>113.1</v>
      </c>
      <c r="E16" s="6">
        <f>IFERROR(__xludf.DUMMYFUNCTION("""COMPUTED_VALUE"""),118.8)</f>
        <v>118.8</v>
      </c>
      <c r="F16" s="6">
        <f>IFERROR(__xludf.DUMMYFUNCTION("""COMPUTED_VALUE"""),1.89796594E8)</f>
        <v>189796594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IFERROR(__xludf.DUMMYFUNCTION("""COMPUTED_VALUE"""),119.9)</f>
        <v>119.9</v>
      </c>
      <c r="C17" s="6">
        <f>IFERROR(__xludf.DUMMYFUNCTION("""COMPUTED_VALUE"""),124.95)</f>
        <v>124.95</v>
      </c>
      <c r="D17" s="6">
        <f>IFERROR(__xludf.DUMMYFUNCTION("""COMPUTED_VALUE"""),116.6)</f>
        <v>116.6</v>
      </c>
      <c r="E17" s="6">
        <f>IFERROR(__xludf.DUMMYFUNCTION("""COMPUTED_VALUE"""),123.8)</f>
        <v>123.8</v>
      </c>
      <c r="F17" s="6">
        <f>IFERROR(__xludf.DUMMYFUNCTION("""COMPUTED_VALUE"""),1.31553083E8)</f>
        <v>131553083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IFERROR(__xludf.DUMMYFUNCTION("""COMPUTED_VALUE"""),124.45)</f>
        <v>124.45</v>
      </c>
      <c r="C18" s="6">
        <f>IFERROR(__xludf.DUMMYFUNCTION("""COMPUTED_VALUE"""),126.4)</f>
        <v>126.4</v>
      </c>
      <c r="D18" s="6">
        <f>IFERROR(__xludf.DUMMYFUNCTION("""COMPUTED_VALUE"""),117.35)</f>
        <v>117.35</v>
      </c>
      <c r="E18" s="6">
        <f>IFERROR(__xludf.DUMMYFUNCTION("""COMPUTED_VALUE"""),123.7)</f>
        <v>123.7</v>
      </c>
      <c r="F18" s="6">
        <f>IFERROR(__xludf.DUMMYFUNCTION("""COMPUTED_VALUE"""),1.0280267E8)</f>
        <v>102802670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IFERROR(__xludf.DUMMYFUNCTION("""COMPUTED_VALUE"""),123.9)</f>
        <v>123.9</v>
      </c>
      <c r="C19" s="6">
        <f>IFERROR(__xludf.DUMMYFUNCTION("""COMPUTED_VALUE"""),133.95)</f>
        <v>133.95</v>
      </c>
      <c r="D19" s="6">
        <f>IFERROR(__xludf.DUMMYFUNCTION("""COMPUTED_VALUE"""),123.6)</f>
        <v>123.6</v>
      </c>
      <c r="E19" s="6">
        <f>IFERROR(__xludf.DUMMYFUNCTION("""COMPUTED_VALUE"""),129.85)</f>
        <v>129.85</v>
      </c>
      <c r="F19" s="6">
        <f>IFERROR(__xludf.DUMMYFUNCTION("""COMPUTED_VALUE"""),1.32549452E8)</f>
        <v>132549452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IFERROR(__xludf.DUMMYFUNCTION("""COMPUTED_VALUE"""),132.1)</f>
        <v>132.1</v>
      </c>
      <c r="C20" s="6">
        <f>IFERROR(__xludf.DUMMYFUNCTION("""COMPUTED_VALUE"""),134.6)</f>
        <v>134.6</v>
      </c>
      <c r="D20" s="6">
        <f>IFERROR(__xludf.DUMMYFUNCTION("""COMPUTED_VALUE"""),128.6)</f>
        <v>128.6</v>
      </c>
      <c r="E20" s="6">
        <f>IFERROR(__xludf.DUMMYFUNCTION("""COMPUTED_VALUE"""),132.7)</f>
        <v>132.7</v>
      </c>
      <c r="F20" s="6">
        <f>IFERROR(__xludf.DUMMYFUNCTION("""COMPUTED_VALUE"""),1.05906152E8)</f>
        <v>105906152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IFERROR(__xludf.DUMMYFUNCTION("""COMPUTED_VALUE"""),134.0)</f>
        <v>134</v>
      </c>
      <c r="C21" s="6">
        <f>IFERROR(__xludf.DUMMYFUNCTION("""COMPUTED_VALUE"""),136.1)</f>
        <v>136.1</v>
      </c>
      <c r="D21" s="6">
        <f>IFERROR(__xludf.DUMMYFUNCTION("""COMPUTED_VALUE"""),128.5)</f>
        <v>128.5</v>
      </c>
      <c r="E21" s="6">
        <f>IFERROR(__xludf.DUMMYFUNCTION("""COMPUTED_VALUE"""),135.3)</f>
        <v>135.3</v>
      </c>
      <c r="F21" s="6">
        <f>IFERROR(__xludf.DUMMYFUNCTION("""COMPUTED_VALUE"""),1.04924099E8)</f>
        <v>104924099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IFERROR(__xludf.DUMMYFUNCTION("""COMPUTED_VALUE"""),151.5)</f>
        <v>151.5</v>
      </c>
      <c r="C22" s="6">
        <f>IFERROR(__xludf.DUMMYFUNCTION("""COMPUTED_VALUE"""),151.8)</f>
        <v>151.8</v>
      </c>
      <c r="D22" s="6">
        <f>IFERROR(__xludf.DUMMYFUNCTION("""COMPUTED_VALUE"""),137.85)</f>
        <v>137.85</v>
      </c>
      <c r="E22" s="6">
        <f>IFERROR(__xludf.DUMMYFUNCTION("""COMPUTED_VALUE"""),143.7)</f>
        <v>143.7</v>
      </c>
      <c r="F22" s="6">
        <f>IFERROR(__xludf.DUMMYFUNCTION("""COMPUTED_VALUE"""),1.16542327E8)</f>
        <v>116542327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IFERROR(__xludf.DUMMYFUNCTION("""COMPUTED_VALUE"""),143.7)</f>
        <v>143.7</v>
      </c>
      <c r="C23" s="6">
        <f>IFERROR(__xludf.DUMMYFUNCTION("""COMPUTED_VALUE"""),166.8)</f>
        <v>166.8</v>
      </c>
      <c r="D23" s="6">
        <f>IFERROR(__xludf.DUMMYFUNCTION("""COMPUTED_VALUE"""),143.5)</f>
        <v>143.5</v>
      </c>
      <c r="E23" s="6">
        <f>IFERROR(__xludf.DUMMYFUNCTION("""COMPUTED_VALUE"""),162.9)</f>
        <v>162.9</v>
      </c>
      <c r="F23" s="6">
        <f>IFERROR(__xludf.DUMMYFUNCTION("""COMPUTED_VALUE"""),2.19752148E8)</f>
        <v>219752148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IFERROR(__xludf.DUMMYFUNCTION("""COMPUTED_VALUE"""),167.95)</f>
        <v>167.95</v>
      </c>
      <c r="C24" s="6">
        <f>IFERROR(__xludf.DUMMYFUNCTION("""COMPUTED_VALUE"""),196.8)</f>
        <v>196.8</v>
      </c>
      <c r="D24" s="6">
        <f>IFERROR(__xludf.DUMMYFUNCTION("""COMPUTED_VALUE"""),164.7)</f>
        <v>164.7</v>
      </c>
      <c r="E24" s="6">
        <f>IFERROR(__xludf.DUMMYFUNCTION("""COMPUTED_VALUE"""),182.5)</f>
        <v>182.5</v>
      </c>
      <c r="F24" s="6">
        <f>IFERROR(__xludf.DUMMYFUNCTION("""COMPUTED_VALUE"""),4.48252186E8)</f>
        <v>448252186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IFERROR(__xludf.DUMMYFUNCTION("""COMPUTED_VALUE"""),182.5)</f>
        <v>182.5</v>
      </c>
      <c r="C25" s="6">
        <f>IFERROR(__xludf.DUMMYFUNCTION("""COMPUTED_VALUE"""),194.1)</f>
        <v>194.1</v>
      </c>
      <c r="D25" s="6">
        <f>IFERROR(__xludf.DUMMYFUNCTION("""COMPUTED_VALUE"""),170.9)</f>
        <v>170.9</v>
      </c>
      <c r="E25" s="6">
        <f>IFERROR(__xludf.DUMMYFUNCTION("""COMPUTED_VALUE"""),187.0)</f>
        <v>187</v>
      </c>
      <c r="F25" s="6">
        <f>IFERROR(__xludf.DUMMYFUNCTION("""COMPUTED_VALUE"""),2.68692281E8)</f>
        <v>268692281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IFERROR(__xludf.DUMMYFUNCTION("""COMPUTED_VALUE"""),188.6)</f>
        <v>188.6</v>
      </c>
      <c r="C26" s="6">
        <f>IFERROR(__xludf.DUMMYFUNCTION("""COMPUTED_VALUE"""),190.9)</f>
        <v>190.9</v>
      </c>
      <c r="D26" s="6">
        <f>IFERROR(__xludf.DUMMYFUNCTION("""COMPUTED_VALUE"""),175.05)</f>
        <v>175.05</v>
      </c>
      <c r="E26" s="6">
        <f>IFERROR(__xludf.DUMMYFUNCTION("""COMPUTED_VALUE"""),175.85)</f>
        <v>175.85</v>
      </c>
      <c r="F26" s="6">
        <f>IFERROR(__xludf.DUMMYFUNCTION("""COMPUTED_VALUE"""),1.58692877E8)</f>
        <v>158692877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IFERROR(__xludf.DUMMYFUNCTION("""COMPUTED_VALUE"""),172.2)</f>
        <v>172.2</v>
      </c>
      <c r="C27" s="6">
        <f>IFERROR(__xludf.DUMMYFUNCTION("""COMPUTED_VALUE"""),178.35)</f>
        <v>178.35</v>
      </c>
      <c r="D27" s="6">
        <f>IFERROR(__xludf.DUMMYFUNCTION("""COMPUTED_VALUE"""),170.5)</f>
        <v>170.5</v>
      </c>
      <c r="E27" s="6">
        <f>IFERROR(__xludf.DUMMYFUNCTION("""COMPUTED_VALUE"""),174.6)</f>
        <v>174.6</v>
      </c>
      <c r="F27" s="6">
        <f>IFERROR(__xludf.DUMMYFUNCTION("""COMPUTED_VALUE"""),1.05974276E8)</f>
        <v>105974276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IFERROR(__xludf.DUMMYFUNCTION("""COMPUTED_VALUE"""),173.95)</f>
        <v>173.95</v>
      </c>
      <c r="C28" s="6">
        <f>IFERROR(__xludf.DUMMYFUNCTION("""COMPUTED_VALUE"""),177.5)</f>
        <v>177.5</v>
      </c>
      <c r="D28" s="6">
        <f>IFERROR(__xludf.DUMMYFUNCTION("""COMPUTED_VALUE"""),153.6)</f>
        <v>153.6</v>
      </c>
      <c r="E28" s="6">
        <f>IFERROR(__xludf.DUMMYFUNCTION("""COMPUTED_VALUE"""),161.0)</f>
        <v>161</v>
      </c>
      <c r="F28" s="6">
        <f>IFERROR(__xludf.DUMMYFUNCTION("""COMPUTED_VALUE"""),2.04409124E8)</f>
        <v>204409124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IFERROR(__xludf.DUMMYFUNCTION("""COMPUTED_VALUE"""),162.55)</f>
        <v>162.55</v>
      </c>
      <c r="C29" s="6">
        <f>IFERROR(__xludf.DUMMYFUNCTION("""COMPUTED_VALUE"""),167.15)</f>
        <v>167.15</v>
      </c>
      <c r="D29" s="6">
        <f>IFERROR(__xludf.DUMMYFUNCTION("""COMPUTED_VALUE"""),154.25)</f>
        <v>154.25</v>
      </c>
      <c r="E29" s="6">
        <f>IFERROR(__xludf.DUMMYFUNCTION("""COMPUTED_VALUE"""),165.15)</f>
        <v>165.15</v>
      </c>
      <c r="F29" s="6">
        <f>IFERROR(__xludf.DUMMYFUNCTION("""COMPUTED_VALUE"""),1.4907311E8)</f>
        <v>149073110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IFERROR(__xludf.DUMMYFUNCTION("""COMPUTED_VALUE"""),164.35)</f>
        <v>164.35</v>
      </c>
      <c r="C30" s="6">
        <f>IFERROR(__xludf.DUMMYFUNCTION("""COMPUTED_VALUE"""),171.45)</f>
        <v>171.45</v>
      </c>
      <c r="D30" s="6">
        <f>IFERROR(__xludf.DUMMYFUNCTION("""COMPUTED_VALUE"""),163.55)</f>
        <v>163.55</v>
      </c>
      <c r="E30" s="6">
        <f>IFERROR(__xludf.DUMMYFUNCTION("""COMPUTED_VALUE"""),167.75)</f>
        <v>167.75</v>
      </c>
      <c r="F30" s="6">
        <f>IFERROR(__xludf.DUMMYFUNCTION("""COMPUTED_VALUE"""),6.9663018E7)</f>
        <v>69663018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IFERROR(__xludf.DUMMYFUNCTION("""COMPUTED_VALUE"""),169.95)</f>
        <v>169.95</v>
      </c>
      <c r="C31" s="6">
        <f>IFERROR(__xludf.DUMMYFUNCTION("""COMPUTED_VALUE"""),175.2)</f>
        <v>175.2</v>
      </c>
      <c r="D31" s="6">
        <f>IFERROR(__xludf.DUMMYFUNCTION("""COMPUTED_VALUE"""),164.6)</f>
        <v>164.6</v>
      </c>
      <c r="E31" s="6">
        <f>IFERROR(__xludf.DUMMYFUNCTION("""COMPUTED_VALUE"""),168.0)</f>
        <v>168</v>
      </c>
      <c r="F31" s="6">
        <f>IFERROR(__xludf.DUMMYFUNCTION("""COMPUTED_VALUE"""),1.07092079E8)</f>
        <v>107092079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IFERROR(__xludf.DUMMYFUNCTION("""COMPUTED_VALUE"""),169.0)</f>
        <v>169</v>
      </c>
      <c r="C32" s="6">
        <f>IFERROR(__xludf.DUMMYFUNCTION("""COMPUTED_VALUE"""),174.2)</f>
        <v>174.2</v>
      </c>
      <c r="D32" s="6">
        <f>IFERROR(__xludf.DUMMYFUNCTION("""COMPUTED_VALUE"""),168.0)</f>
        <v>168</v>
      </c>
      <c r="E32" s="6">
        <f>IFERROR(__xludf.DUMMYFUNCTION("""COMPUTED_VALUE"""),170.15)</f>
        <v>170.15</v>
      </c>
      <c r="F32" s="6">
        <f>IFERROR(__xludf.DUMMYFUNCTION("""COMPUTED_VALUE"""),7.4710041E7)</f>
        <v>74710041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IFERROR(__xludf.DUMMYFUNCTION("""COMPUTED_VALUE"""),166.8)</f>
        <v>166.8</v>
      </c>
      <c r="C33" s="6">
        <f>IFERROR(__xludf.DUMMYFUNCTION("""COMPUTED_VALUE"""),175.1)</f>
        <v>175.1</v>
      </c>
      <c r="D33" s="6">
        <f>IFERROR(__xludf.DUMMYFUNCTION("""COMPUTED_VALUE"""),162.2)</f>
        <v>162.2</v>
      </c>
      <c r="E33" s="6">
        <f>IFERROR(__xludf.DUMMYFUNCTION("""COMPUTED_VALUE"""),166.65)</f>
        <v>166.65</v>
      </c>
      <c r="F33" s="6">
        <f>IFERROR(__xludf.DUMMYFUNCTION("""COMPUTED_VALUE"""),1.07882781E8)</f>
        <v>107882781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IFERROR(__xludf.DUMMYFUNCTION("""COMPUTED_VALUE"""),169.95)</f>
        <v>169.95</v>
      </c>
      <c r="C34" s="6">
        <f>IFERROR(__xludf.DUMMYFUNCTION("""COMPUTED_VALUE"""),173.7)</f>
        <v>173.7</v>
      </c>
      <c r="D34" s="6">
        <f>IFERROR(__xludf.DUMMYFUNCTION("""COMPUTED_VALUE"""),167.55)</f>
        <v>167.55</v>
      </c>
      <c r="E34" s="6">
        <f>IFERROR(__xludf.DUMMYFUNCTION("""COMPUTED_VALUE"""),171.55)</f>
        <v>171.55</v>
      </c>
      <c r="F34" s="6">
        <f>IFERROR(__xludf.DUMMYFUNCTION("""COMPUTED_VALUE"""),8.8314233E7)</f>
        <v>88314233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IFERROR(__xludf.DUMMYFUNCTION("""COMPUTED_VALUE"""),173.0)</f>
        <v>173</v>
      </c>
      <c r="C35" s="6">
        <f>IFERROR(__xludf.DUMMYFUNCTION("""COMPUTED_VALUE"""),179.8)</f>
        <v>179.8</v>
      </c>
      <c r="D35" s="6">
        <f>IFERROR(__xludf.DUMMYFUNCTION("""COMPUTED_VALUE"""),167.85)</f>
        <v>167.85</v>
      </c>
      <c r="E35" s="6">
        <f>IFERROR(__xludf.DUMMYFUNCTION("""COMPUTED_VALUE"""),170.75)</f>
        <v>170.75</v>
      </c>
      <c r="F35" s="6">
        <f>IFERROR(__xludf.DUMMYFUNCTION("""COMPUTED_VALUE"""),1.99581227E8)</f>
        <v>199581227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IFERROR(__xludf.DUMMYFUNCTION("""COMPUTED_VALUE"""),171.85)</f>
        <v>171.85</v>
      </c>
      <c r="C36" s="6">
        <f>IFERROR(__xludf.DUMMYFUNCTION("""COMPUTED_VALUE"""),172.0)</f>
        <v>172</v>
      </c>
      <c r="D36" s="6">
        <f>IFERROR(__xludf.DUMMYFUNCTION("""COMPUTED_VALUE"""),155.55)</f>
        <v>155.55</v>
      </c>
      <c r="E36" s="6">
        <f>IFERROR(__xludf.DUMMYFUNCTION("""COMPUTED_VALUE"""),158.95)</f>
        <v>158.95</v>
      </c>
      <c r="F36" s="6">
        <f>IFERROR(__xludf.DUMMYFUNCTION("""COMPUTED_VALUE"""),1.49387234E8)</f>
        <v>149387234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IFERROR(__xludf.DUMMYFUNCTION("""COMPUTED_VALUE"""),165.0)</f>
        <v>165</v>
      </c>
      <c r="C37" s="6">
        <f>IFERROR(__xludf.DUMMYFUNCTION("""COMPUTED_VALUE"""),170.45)</f>
        <v>170.45</v>
      </c>
      <c r="D37" s="6">
        <f>IFERROR(__xludf.DUMMYFUNCTION("""COMPUTED_VALUE"""),163.55)</f>
        <v>163.55</v>
      </c>
      <c r="E37" s="6">
        <f>IFERROR(__xludf.DUMMYFUNCTION("""COMPUTED_VALUE"""),168.8)</f>
        <v>168.8</v>
      </c>
      <c r="F37" s="6">
        <f>IFERROR(__xludf.DUMMYFUNCTION("""COMPUTED_VALUE"""),8.1204281E7)</f>
        <v>81204281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IFERROR(__xludf.DUMMYFUNCTION("""COMPUTED_VALUE"""),169.1)</f>
        <v>169.1</v>
      </c>
      <c r="C38" s="6">
        <f>IFERROR(__xludf.DUMMYFUNCTION("""COMPUTED_VALUE"""),170.45)</f>
        <v>170.45</v>
      </c>
      <c r="D38" s="6">
        <f>IFERROR(__xludf.DUMMYFUNCTION("""COMPUTED_VALUE"""),161.05)</f>
        <v>161.05</v>
      </c>
      <c r="E38" s="6">
        <f>IFERROR(__xludf.DUMMYFUNCTION("""COMPUTED_VALUE"""),162.4)</f>
        <v>162.4</v>
      </c>
      <c r="F38" s="6">
        <f>IFERROR(__xludf.DUMMYFUNCTION("""COMPUTED_VALUE"""),8.8177326E7)</f>
        <v>88177326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IFERROR(__xludf.DUMMYFUNCTION("""COMPUTED_VALUE"""),170.8)</f>
        <v>170.8</v>
      </c>
      <c r="C39" s="6">
        <f>IFERROR(__xludf.DUMMYFUNCTION("""COMPUTED_VALUE"""),177.0)</f>
        <v>177</v>
      </c>
      <c r="D39" s="6">
        <f>IFERROR(__xludf.DUMMYFUNCTION("""COMPUTED_VALUE"""),147.8)</f>
        <v>147.8</v>
      </c>
      <c r="E39" s="6">
        <f>IFERROR(__xludf.DUMMYFUNCTION("""COMPUTED_VALUE"""),164.2)</f>
        <v>164.2</v>
      </c>
      <c r="F39" s="6">
        <f>IFERROR(__xludf.DUMMYFUNCTION("""COMPUTED_VALUE"""),2.57289535E8)</f>
        <v>257289535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IFERROR(__xludf.DUMMYFUNCTION("""COMPUTED_VALUE"""),165.7)</f>
        <v>165.7</v>
      </c>
      <c r="C40" s="6">
        <f>IFERROR(__xludf.DUMMYFUNCTION("""COMPUTED_VALUE"""),172.1)</f>
        <v>172.1</v>
      </c>
      <c r="D40" s="6">
        <f>IFERROR(__xludf.DUMMYFUNCTION("""COMPUTED_VALUE"""),164.1)</f>
        <v>164.1</v>
      </c>
      <c r="E40" s="6">
        <f>IFERROR(__xludf.DUMMYFUNCTION("""COMPUTED_VALUE"""),170.36)</f>
        <v>170.36</v>
      </c>
      <c r="F40" s="6">
        <f>IFERROR(__xludf.DUMMYFUNCTION("""COMPUTED_VALUE"""),1.15713727E8)</f>
        <v>115713727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IFERROR(__xludf.DUMMYFUNCTION("""COMPUTED_VALUE"""),171.9)</f>
        <v>171.9</v>
      </c>
      <c r="C41" s="6">
        <f>IFERROR(__xludf.DUMMYFUNCTION("""COMPUTED_VALUE"""),171.9)</f>
        <v>171.9</v>
      </c>
      <c r="D41" s="6">
        <f>IFERROR(__xludf.DUMMYFUNCTION("""COMPUTED_VALUE"""),166.05)</f>
        <v>166.05</v>
      </c>
      <c r="E41" s="6">
        <f>IFERROR(__xludf.DUMMYFUNCTION("""COMPUTED_VALUE"""),166.62)</f>
        <v>166.62</v>
      </c>
      <c r="F41" s="6">
        <f>IFERROR(__xludf.DUMMYFUNCTION("""COMPUTED_VALUE"""),7.0840532E7)</f>
        <v>70840532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IFERROR(__xludf.DUMMYFUNCTION("""COMPUTED_VALUE"""),166.62)</f>
        <v>166.62</v>
      </c>
      <c r="C42" s="6">
        <f>IFERROR(__xludf.DUMMYFUNCTION("""COMPUTED_VALUE"""),167.69)</f>
        <v>167.69</v>
      </c>
      <c r="D42" s="6">
        <f>IFERROR(__xludf.DUMMYFUNCTION("""COMPUTED_VALUE"""),162.18)</f>
        <v>162.18</v>
      </c>
      <c r="E42" s="6">
        <f>IFERROR(__xludf.DUMMYFUNCTION("""COMPUTED_VALUE"""),165.63)</f>
        <v>165.63</v>
      </c>
      <c r="F42" s="6">
        <f>IFERROR(__xludf.DUMMYFUNCTION("""COMPUTED_VALUE"""),7.8652415E7)</f>
        <v>78652415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IFERROR(__xludf.DUMMYFUNCTION("""COMPUTED_VALUE"""),166.0)</f>
        <v>166</v>
      </c>
      <c r="C43" s="6">
        <f>IFERROR(__xludf.DUMMYFUNCTION("""COMPUTED_VALUE"""),171.94)</f>
        <v>171.94</v>
      </c>
      <c r="D43" s="6">
        <f>IFERROR(__xludf.DUMMYFUNCTION("""COMPUTED_VALUE"""),165.62)</f>
        <v>165.62</v>
      </c>
      <c r="E43" s="6">
        <f>IFERROR(__xludf.DUMMYFUNCTION("""COMPUTED_VALUE"""),171.28)</f>
        <v>171.28</v>
      </c>
      <c r="F43" s="6">
        <f>IFERROR(__xludf.DUMMYFUNCTION("""COMPUTED_VALUE"""),1.22798129E8)</f>
        <v>122798129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IFERROR(__xludf.DUMMYFUNCTION("""COMPUTED_VALUE"""),172.21)</f>
        <v>172.21</v>
      </c>
      <c r="C44" s="6">
        <f>IFERROR(__xludf.DUMMYFUNCTION("""COMPUTED_VALUE"""),175.8)</f>
        <v>175.8</v>
      </c>
      <c r="D44" s="6">
        <f>IFERROR(__xludf.DUMMYFUNCTION("""COMPUTED_VALUE"""),166.11)</f>
        <v>166.11</v>
      </c>
      <c r="E44" s="6">
        <f>IFERROR(__xludf.DUMMYFUNCTION("""COMPUTED_VALUE"""),167.04)</f>
        <v>167.04</v>
      </c>
      <c r="F44" s="6">
        <f>IFERROR(__xludf.DUMMYFUNCTION("""COMPUTED_VALUE"""),1.84094521E8)</f>
        <v>184094521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IFERROR(__xludf.DUMMYFUNCTION("""COMPUTED_VALUE"""),167.5)</f>
        <v>167.5</v>
      </c>
      <c r="C45" s="6">
        <f>IFERROR(__xludf.DUMMYFUNCTION("""COMPUTED_VALUE"""),172.3)</f>
        <v>172.3</v>
      </c>
      <c r="D45" s="6">
        <f>IFERROR(__xludf.DUMMYFUNCTION("""COMPUTED_VALUE"""),165.15)</f>
        <v>165.15</v>
      </c>
      <c r="E45" s="6">
        <f>IFERROR(__xludf.DUMMYFUNCTION("""COMPUTED_VALUE"""),165.49)</f>
        <v>165.49</v>
      </c>
      <c r="F45" s="6">
        <f>IFERROR(__xludf.DUMMYFUNCTION("""COMPUTED_VALUE"""),1.15787734E8)</f>
        <v>115787734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IFERROR(__xludf.DUMMYFUNCTION("""COMPUTED_VALUE"""),165.49)</f>
        <v>165.49</v>
      </c>
      <c r="C46" s="6">
        <f>IFERROR(__xludf.DUMMYFUNCTION("""COMPUTED_VALUE"""),178.92)</f>
        <v>178.92</v>
      </c>
      <c r="D46" s="6">
        <f>IFERROR(__xludf.DUMMYFUNCTION("""COMPUTED_VALUE"""),160.66)</f>
        <v>160.66</v>
      </c>
      <c r="E46" s="6">
        <f>IFERROR(__xludf.DUMMYFUNCTION("""COMPUTED_VALUE"""),176.55)</f>
        <v>176.55</v>
      </c>
      <c r="F46" s="6">
        <f>IFERROR(__xludf.DUMMYFUNCTION("""COMPUTED_VALUE"""),1.58088362E8)</f>
        <v>158088362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IFERROR(__xludf.DUMMYFUNCTION("""COMPUTED_VALUE"""),178.0)</f>
        <v>178</v>
      </c>
      <c r="C47" s="6">
        <f>IFERROR(__xludf.DUMMYFUNCTION("""COMPUTED_VALUE"""),185.97)</f>
        <v>185.97</v>
      </c>
      <c r="D47" s="6">
        <f>IFERROR(__xludf.DUMMYFUNCTION("""COMPUTED_VALUE"""),174.64)</f>
        <v>174.64</v>
      </c>
      <c r="E47" s="6">
        <f>IFERROR(__xludf.DUMMYFUNCTION("""COMPUTED_VALUE"""),177.29)</f>
        <v>177.29</v>
      </c>
      <c r="F47" s="6">
        <f>IFERROR(__xludf.DUMMYFUNCTION("""COMPUTED_VALUE"""),2.04740256E8)</f>
        <v>204740256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IFERROR(__xludf.DUMMYFUNCTION("""COMPUTED_VALUE"""),172.0)</f>
        <v>172</v>
      </c>
      <c r="C48" s="6">
        <f>IFERROR(__xludf.DUMMYFUNCTION("""COMPUTED_VALUE"""),174.88)</f>
        <v>174.88</v>
      </c>
      <c r="D48" s="6">
        <f>IFERROR(__xludf.DUMMYFUNCTION("""COMPUTED_VALUE"""),166.28)</f>
        <v>166.28</v>
      </c>
      <c r="E48" s="6">
        <f>IFERROR(__xludf.DUMMYFUNCTION("""COMPUTED_VALUE"""),169.09)</f>
        <v>169.09</v>
      </c>
      <c r="F48" s="6">
        <f>IFERROR(__xludf.DUMMYFUNCTION("""COMPUTED_VALUE"""),1.003258E8)</f>
        <v>100325800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IFERROR(__xludf.DUMMYFUNCTION("""COMPUTED_VALUE"""),168.0)</f>
        <v>168</v>
      </c>
      <c r="C49" s="6">
        <f>IFERROR(__xludf.DUMMYFUNCTION("""COMPUTED_VALUE"""),171.0)</f>
        <v>171</v>
      </c>
      <c r="D49" s="6">
        <f>IFERROR(__xludf.DUMMYFUNCTION("""COMPUTED_VALUE"""),163.01)</f>
        <v>163.01</v>
      </c>
      <c r="E49" s="6">
        <f>IFERROR(__xludf.DUMMYFUNCTION("""COMPUTED_VALUE"""),167.17)</f>
        <v>167.17</v>
      </c>
      <c r="F49" s="6">
        <f>IFERROR(__xludf.DUMMYFUNCTION("""COMPUTED_VALUE"""),5.3176275E7)</f>
        <v>53176275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IFERROR(__xludf.DUMMYFUNCTION("""COMPUTED_VALUE"""),170.0)</f>
        <v>170</v>
      </c>
      <c r="C50" s="6">
        <f>IFERROR(__xludf.DUMMYFUNCTION("""COMPUTED_VALUE"""),175.49)</f>
        <v>175.49</v>
      </c>
      <c r="D50" s="6">
        <f>IFERROR(__xludf.DUMMYFUNCTION("""COMPUTED_VALUE"""),169.32)</f>
        <v>169.32</v>
      </c>
      <c r="E50" s="6">
        <f>IFERROR(__xludf.DUMMYFUNCTION("""COMPUTED_VALUE"""),173.13)</f>
        <v>173.13</v>
      </c>
      <c r="F50" s="6">
        <f>IFERROR(__xludf.DUMMYFUNCTION("""COMPUTED_VALUE"""),6.8250204E7)</f>
        <v>68250204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IFERROR(__xludf.DUMMYFUNCTION("""COMPUTED_VALUE"""),174.0)</f>
        <v>174</v>
      </c>
      <c r="C51" s="6">
        <f>IFERROR(__xludf.DUMMYFUNCTION("""COMPUTED_VALUE"""),178.78)</f>
        <v>178.78</v>
      </c>
      <c r="D51" s="6">
        <f>IFERROR(__xludf.DUMMYFUNCTION("""COMPUTED_VALUE"""),171.75)</f>
        <v>171.75</v>
      </c>
      <c r="E51" s="6">
        <f>IFERROR(__xludf.DUMMYFUNCTION("""COMPUTED_VALUE"""),176.97)</f>
        <v>176.97</v>
      </c>
      <c r="F51" s="6">
        <f>IFERROR(__xludf.DUMMYFUNCTION("""COMPUTED_VALUE"""),7.8197993E7)</f>
        <v>78197993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IFERROR(__xludf.DUMMYFUNCTION("""COMPUTED_VALUE"""),179.25)</f>
        <v>179.25</v>
      </c>
      <c r="C52" s="6">
        <f>IFERROR(__xludf.DUMMYFUNCTION("""COMPUTED_VALUE"""),184.0)</f>
        <v>184</v>
      </c>
      <c r="D52" s="6">
        <f>IFERROR(__xludf.DUMMYFUNCTION("""COMPUTED_VALUE"""),174.7)</f>
        <v>174.7</v>
      </c>
      <c r="E52" s="6">
        <f>IFERROR(__xludf.DUMMYFUNCTION("""COMPUTED_VALUE"""),176.64)</f>
        <v>176.64</v>
      </c>
      <c r="F52" s="6">
        <f>IFERROR(__xludf.DUMMYFUNCTION("""COMPUTED_VALUE"""),1.40775957E8)</f>
        <v>140775957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IFERROR(__xludf.DUMMYFUNCTION("""COMPUTED_VALUE"""),175.5)</f>
        <v>175.5</v>
      </c>
      <c r="C53" s="6">
        <f>IFERROR(__xludf.DUMMYFUNCTION("""COMPUTED_VALUE"""),177.89)</f>
        <v>177.89</v>
      </c>
      <c r="D53" s="6">
        <f>IFERROR(__xludf.DUMMYFUNCTION("""COMPUTED_VALUE"""),169.09)</f>
        <v>169.09</v>
      </c>
      <c r="E53" s="6">
        <f>IFERROR(__xludf.DUMMYFUNCTION("""COMPUTED_VALUE"""),173.19)</f>
        <v>173.19</v>
      </c>
      <c r="F53" s="6">
        <f>IFERROR(__xludf.DUMMYFUNCTION("""COMPUTED_VALUE"""),9.3157741E7)</f>
        <v>93157741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IFERROR(__xludf.DUMMYFUNCTION("""COMPUTED_VALUE"""),173.8)</f>
        <v>173.8</v>
      </c>
      <c r="C54" s="6">
        <f>IFERROR(__xludf.DUMMYFUNCTION("""COMPUTED_VALUE"""),174.11)</f>
        <v>174.11</v>
      </c>
      <c r="D54" s="6">
        <f>IFERROR(__xludf.DUMMYFUNCTION("""COMPUTED_VALUE"""),162.19)</f>
        <v>162.19</v>
      </c>
      <c r="E54" s="6">
        <f>IFERROR(__xludf.DUMMYFUNCTION("""COMPUTED_VALUE"""),167.05)</f>
        <v>167.05</v>
      </c>
      <c r="F54" s="6">
        <f>IFERROR(__xludf.DUMMYFUNCTION("""COMPUTED_VALUE"""),6.5486519E7)</f>
        <v>65486519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IFERROR(__xludf.DUMMYFUNCTION("""COMPUTED_VALUE"""),167.55)</f>
        <v>167.55</v>
      </c>
      <c r="C55" s="6">
        <f>IFERROR(__xludf.DUMMYFUNCTION("""COMPUTED_VALUE"""),180.75)</f>
        <v>180.75</v>
      </c>
      <c r="D55" s="6">
        <f>IFERROR(__xludf.DUMMYFUNCTION("""COMPUTED_VALUE"""),167.0)</f>
        <v>167</v>
      </c>
      <c r="E55" s="6">
        <f>IFERROR(__xludf.DUMMYFUNCTION("""COMPUTED_VALUE"""),180.01)</f>
        <v>180.01</v>
      </c>
      <c r="F55" s="6">
        <f>IFERROR(__xludf.DUMMYFUNCTION("""COMPUTED_VALUE"""),9.1615928E7)</f>
        <v>91615928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IFERROR(__xludf.DUMMYFUNCTION("""COMPUTED_VALUE"""),179.71)</f>
        <v>179.71</v>
      </c>
      <c r="C56" s="6">
        <f>IFERROR(__xludf.DUMMYFUNCTION("""COMPUTED_VALUE"""),182.46)</f>
        <v>182.46</v>
      </c>
      <c r="D56" s="6">
        <f>IFERROR(__xludf.DUMMYFUNCTION("""COMPUTED_VALUE"""),165.6)</f>
        <v>165.6</v>
      </c>
      <c r="E56" s="6">
        <f>IFERROR(__xludf.DUMMYFUNCTION("""COMPUTED_VALUE"""),168.65)</f>
        <v>168.65</v>
      </c>
      <c r="F56" s="6">
        <f>IFERROR(__xludf.DUMMYFUNCTION("""COMPUTED_VALUE"""),1.01381818E8)</f>
        <v>101381818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IFERROR(__xludf.DUMMYFUNCTION("""COMPUTED_VALUE"""),170.79)</f>
        <v>170.79</v>
      </c>
      <c r="C57" s="6">
        <f>IFERROR(__xludf.DUMMYFUNCTION("""COMPUTED_VALUE"""),170.79)</f>
        <v>170.79</v>
      </c>
      <c r="D57" s="6">
        <f>IFERROR(__xludf.DUMMYFUNCTION("""COMPUTED_VALUE"""),160.76)</f>
        <v>160.76</v>
      </c>
      <c r="E57" s="6">
        <f>IFERROR(__xludf.DUMMYFUNCTION("""COMPUTED_VALUE"""),163.15)</f>
        <v>163.15</v>
      </c>
      <c r="F57" s="6">
        <f>IFERROR(__xludf.DUMMYFUNCTION("""COMPUTED_VALUE"""),7.3920656E7)</f>
        <v>73920656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IFERROR(__xludf.DUMMYFUNCTION("""COMPUTED_VALUE"""),164.15)</f>
        <v>164.15</v>
      </c>
      <c r="C58" s="6">
        <f>IFERROR(__xludf.DUMMYFUNCTION("""COMPUTED_VALUE"""),171.65)</f>
        <v>171.65</v>
      </c>
      <c r="D58" s="6">
        <f>IFERROR(__xludf.DUMMYFUNCTION("""COMPUTED_VALUE"""),161.74)</f>
        <v>161.74</v>
      </c>
      <c r="E58" s="6">
        <f>IFERROR(__xludf.DUMMYFUNCTION("""COMPUTED_VALUE"""),165.35)</f>
        <v>165.35</v>
      </c>
      <c r="F58" s="6">
        <f>IFERROR(__xludf.DUMMYFUNCTION("""COMPUTED_VALUE"""),8.3246277E7)</f>
        <v>83246277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IFERROR(__xludf.DUMMYFUNCTION("""COMPUTED_VALUE"""),165.1)</f>
        <v>165.1</v>
      </c>
      <c r="C59" s="6">
        <f>IFERROR(__xludf.DUMMYFUNCTION("""COMPUTED_VALUE"""),166.68)</f>
        <v>166.68</v>
      </c>
      <c r="D59" s="6">
        <f>IFERROR(__xludf.DUMMYFUNCTION("""COMPUTED_VALUE"""),145.45)</f>
        <v>145.45</v>
      </c>
      <c r="E59" s="6">
        <f>IFERROR(__xludf.DUMMYFUNCTION("""COMPUTED_VALUE"""),146.31)</f>
        <v>146.31</v>
      </c>
      <c r="F59" s="6">
        <f>IFERROR(__xludf.DUMMYFUNCTION("""COMPUTED_VALUE"""),8.1474068E7)</f>
        <v>81474068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IFERROR(__xludf.DUMMYFUNCTION("""COMPUTED_VALUE"""),144.58)</f>
        <v>144.58</v>
      </c>
      <c r="C60" s="6">
        <f>IFERROR(__xludf.DUMMYFUNCTION("""COMPUTED_VALUE"""),145.74)</f>
        <v>145.74</v>
      </c>
      <c r="D60" s="6">
        <f>IFERROR(__xludf.DUMMYFUNCTION("""COMPUTED_VALUE"""),136.36)</f>
        <v>136.36</v>
      </c>
      <c r="E60" s="6">
        <f>IFERROR(__xludf.DUMMYFUNCTION("""COMPUTED_VALUE"""),140.34)</f>
        <v>140.34</v>
      </c>
      <c r="F60" s="6">
        <f>IFERROR(__xludf.DUMMYFUNCTION("""COMPUTED_VALUE"""),1.13307575E8)</f>
        <v>113307575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IFERROR(__xludf.DUMMYFUNCTION("""COMPUTED_VALUE"""),138.8)</f>
        <v>138.8</v>
      </c>
      <c r="C61" s="6">
        <f>IFERROR(__xludf.DUMMYFUNCTION("""COMPUTED_VALUE"""),141.96)</f>
        <v>141.96</v>
      </c>
      <c r="D61" s="6">
        <f>IFERROR(__xludf.DUMMYFUNCTION("""COMPUTED_VALUE"""),133.75)</f>
        <v>133.75</v>
      </c>
      <c r="E61" s="6">
        <f>IFERROR(__xludf.DUMMYFUNCTION("""COMPUTED_VALUE"""),134.76)</f>
        <v>134.76</v>
      </c>
      <c r="F61" s="6">
        <f>IFERROR(__xludf.DUMMYFUNCTION("""COMPUTED_VALUE"""),5.8160288E7)</f>
        <v>58160288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IFERROR(__xludf.DUMMYFUNCTION("""COMPUTED_VALUE"""),135.13)</f>
        <v>135.13</v>
      </c>
      <c r="C62" s="6">
        <f>IFERROR(__xludf.DUMMYFUNCTION("""COMPUTED_VALUE"""),136.68)</f>
        <v>136.68</v>
      </c>
      <c r="D62" s="6">
        <f>IFERROR(__xludf.DUMMYFUNCTION("""COMPUTED_VALUE"""),129.5)</f>
        <v>129.5</v>
      </c>
      <c r="E62" s="6">
        <f>IFERROR(__xludf.DUMMYFUNCTION("""COMPUTED_VALUE"""),132.61)</f>
        <v>132.61</v>
      </c>
      <c r="F62" s="6">
        <f>IFERROR(__xludf.DUMMYFUNCTION("""COMPUTED_VALUE"""),5.3248139E7)</f>
        <v>53248139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IFERROR(__xludf.DUMMYFUNCTION("""COMPUTED_VALUE"""),135.77)</f>
        <v>135.77</v>
      </c>
      <c r="C63" s="6">
        <f>IFERROR(__xludf.DUMMYFUNCTION("""COMPUTED_VALUE"""),141.1)</f>
        <v>141.1</v>
      </c>
      <c r="D63" s="6">
        <f>IFERROR(__xludf.DUMMYFUNCTION("""COMPUTED_VALUE"""),135.18)</f>
        <v>135.18</v>
      </c>
      <c r="E63" s="6">
        <f>IFERROR(__xludf.DUMMYFUNCTION("""COMPUTED_VALUE"""),138.63)</f>
        <v>138.63</v>
      </c>
      <c r="F63" s="6">
        <f>IFERROR(__xludf.DUMMYFUNCTION("""COMPUTED_VALUE"""),8.1053014E7)</f>
        <v>81053014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IFERROR(__xludf.DUMMYFUNCTION("""COMPUTED_VALUE"""),138.22)</f>
        <v>138.22</v>
      </c>
      <c r="C64" s="6">
        <f>IFERROR(__xludf.DUMMYFUNCTION("""COMPUTED_VALUE"""),143.54)</f>
        <v>143.54</v>
      </c>
      <c r="D64" s="6">
        <f>IFERROR(__xludf.DUMMYFUNCTION("""COMPUTED_VALUE"""),136.88)</f>
        <v>136.88</v>
      </c>
      <c r="E64" s="6">
        <f>IFERROR(__xludf.DUMMYFUNCTION("""COMPUTED_VALUE"""),141.96)</f>
        <v>141.96</v>
      </c>
      <c r="F64" s="6">
        <f>IFERROR(__xludf.DUMMYFUNCTION("""COMPUTED_VALUE"""),7.6648746E7)</f>
        <v>76648746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IFERROR(__xludf.DUMMYFUNCTION("""COMPUTED_VALUE"""),141.96)</f>
        <v>141.96</v>
      </c>
      <c r="C65" s="6">
        <f>IFERROR(__xludf.DUMMYFUNCTION("""COMPUTED_VALUE"""),145.1)</f>
        <v>145.1</v>
      </c>
      <c r="D65" s="6">
        <f>IFERROR(__xludf.DUMMYFUNCTION("""COMPUTED_VALUE"""),140.87)</f>
        <v>140.87</v>
      </c>
      <c r="E65" s="6">
        <f>IFERROR(__xludf.DUMMYFUNCTION("""COMPUTED_VALUE"""),144.24)</f>
        <v>144.24</v>
      </c>
      <c r="F65" s="6">
        <f>IFERROR(__xludf.DUMMYFUNCTION("""COMPUTED_VALUE"""),9.1282729E7)</f>
        <v>91282729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IFERROR(__xludf.DUMMYFUNCTION("""COMPUTED_VALUE"""),144.32)</f>
        <v>144.32</v>
      </c>
      <c r="C66" s="6">
        <f>IFERROR(__xludf.DUMMYFUNCTION("""COMPUTED_VALUE"""),144.95)</f>
        <v>144.95</v>
      </c>
      <c r="D66" s="6">
        <f>IFERROR(__xludf.DUMMYFUNCTION("""COMPUTED_VALUE"""),133.54)</f>
        <v>133.54</v>
      </c>
      <c r="E66" s="6">
        <f>IFERROR(__xludf.DUMMYFUNCTION("""COMPUTED_VALUE"""),137.08)</f>
        <v>137.08</v>
      </c>
      <c r="F66" s="6">
        <f>IFERROR(__xludf.DUMMYFUNCTION("""COMPUTED_VALUE"""),7.4762421E7)</f>
        <v>74762421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IFERROR(__xludf.DUMMYFUNCTION("""COMPUTED_VALUE"""),138.08)</f>
        <v>138.08</v>
      </c>
      <c r="C67" s="6">
        <f>IFERROR(__xludf.DUMMYFUNCTION("""COMPUTED_VALUE"""),139.8)</f>
        <v>139.8</v>
      </c>
      <c r="D67" s="6">
        <f>IFERROR(__xludf.DUMMYFUNCTION("""COMPUTED_VALUE"""),136.1)</f>
        <v>136.1</v>
      </c>
      <c r="E67" s="6">
        <f>IFERROR(__xludf.DUMMYFUNCTION("""COMPUTED_VALUE"""),136.25)</f>
        <v>136.25</v>
      </c>
      <c r="F67" s="6">
        <f>IFERROR(__xludf.DUMMYFUNCTION("""COMPUTED_VALUE"""),3.5087422E7)</f>
        <v>35087422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IFERROR(__xludf.DUMMYFUNCTION("""COMPUTED_VALUE"""),136.25)</f>
        <v>136.25</v>
      </c>
      <c r="C68" s="6">
        <f>IFERROR(__xludf.DUMMYFUNCTION("""COMPUTED_VALUE"""),139.83)</f>
        <v>139.83</v>
      </c>
      <c r="D68" s="6">
        <f>IFERROR(__xludf.DUMMYFUNCTION("""COMPUTED_VALUE"""),134.1)</f>
        <v>134.1</v>
      </c>
      <c r="E68" s="6">
        <f>IFERROR(__xludf.DUMMYFUNCTION("""COMPUTED_VALUE"""),138.14)</f>
        <v>138.14</v>
      </c>
      <c r="F68" s="6">
        <f>IFERROR(__xludf.DUMMYFUNCTION("""COMPUTED_VALUE"""),6.6810077E7)</f>
        <v>66810077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IFERROR(__xludf.DUMMYFUNCTION("""COMPUTED_VALUE"""),138.14)</f>
        <v>138.14</v>
      </c>
      <c r="C69" s="6">
        <f>IFERROR(__xludf.DUMMYFUNCTION("""COMPUTED_VALUE"""),138.48)</f>
        <v>138.48</v>
      </c>
      <c r="D69" s="6">
        <f>IFERROR(__xludf.DUMMYFUNCTION("""COMPUTED_VALUE"""),129.75)</f>
        <v>129.75</v>
      </c>
      <c r="E69" s="6">
        <f>IFERROR(__xludf.DUMMYFUNCTION("""COMPUTED_VALUE"""),130.28)</f>
        <v>130.28</v>
      </c>
      <c r="F69" s="6">
        <f>IFERROR(__xludf.DUMMYFUNCTION("""COMPUTED_VALUE"""),7.0311283E7)</f>
        <v>70311283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IFERROR(__xludf.DUMMYFUNCTION("""COMPUTED_VALUE"""),128.03)</f>
        <v>128.03</v>
      </c>
      <c r="C70" s="6">
        <f>IFERROR(__xludf.DUMMYFUNCTION("""COMPUTED_VALUE"""),128.87)</f>
        <v>128.87</v>
      </c>
      <c r="D70" s="6">
        <f>IFERROR(__xludf.DUMMYFUNCTION("""COMPUTED_VALUE"""),121.16)</f>
        <v>121.16</v>
      </c>
      <c r="E70" s="6">
        <f>IFERROR(__xludf.DUMMYFUNCTION("""COMPUTED_VALUE"""),128.07)</f>
        <v>128.07</v>
      </c>
      <c r="F70" s="6">
        <f>IFERROR(__xludf.DUMMYFUNCTION("""COMPUTED_VALUE"""),9.5655019E7)</f>
        <v>95655019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IFERROR(__xludf.DUMMYFUNCTION("""COMPUTED_VALUE"""),128.85)</f>
        <v>128.85</v>
      </c>
      <c r="C71" s="6">
        <f>IFERROR(__xludf.DUMMYFUNCTION("""COMPUTED_VALUE"""),133.66)</f>
        <v>133.66</v>
      </c>
      <c r="D71" s="6">
        <f>IFERROR(__xludf.DUMMYFUNCTION("""COMPUTED_VALUE"""),126.81)</f>
        <v>126.81</v>
      </c>
      <c r="E71" s="6">
        <f>IFERROR(__xludf.DUMMYFUNCTION("""COMPUTED_VALUE"""),128.26)</f>
        <v>128.26</v>
      </c>
      <c r="F71" s="6">
        <f>IFERROR(__xludf.DUMMYFUNCTION("""COMPUTED_VALUE"""),5.7398428E7)</f>
        <v>57398428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IFERROR(__xludf.DUMMYFUNCTION("""COMPUTED_VALUE"""),124.11)</f>
        <v>124.11</v>
      </c>
      <c r="C72" s="6">
        <f>IFERROR(__xludf.DUMMYFUNCTION("""COMPUTED_VALUE"""),128.48)</f>
        <v>128.48</v>
      </c>
      <c r="D72" s="6">
        <f>IFERROR(__xludf.DUMMYFUNCTION("""COMPUTED_VALUE"""),120.1)</f>
        <v>120.1</v>
      </c>
      <c r="E72" s="6">
        <f>IFERROR(__xludf.DUMMYFUNCTION("""COMPUTED_VALUE"""),125.11)</f>
        <v>125.11</v>
      </c>
      <c r="F72" s="6">
        <f>IFERROR(__xludf.DUMMYFUNCTION("""COMPUTED_VALUE"""),7.0619598E7)</f>
        <v>70619598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IFERROR(__xludf.DUMMYFUNCTION("""COMPUTED_VALUE"""),125.0)</f>
        <v>125</v>
      </c>
      <c r="C73" s="6">
        <f>IFERROR(__xludf.DUMMYFUNCTION("""COMPUTED_VALUE"""),126.62)</f>
        <v>126.62</v>
      </c>
      <c r="D73" s="6">
        <f>IFERROR(__xludf.DUMMYFUNCTION("""COMPUTED_VALUE"""),116.0)</f>
        <v>116</v>
      </c>
      <c r="E73" s="6">
        <f>IFERROR(__xludf.DUMMYFUNCTION("""COMPUTED_VALUE"""),117.25)</f>
        <v>117.25</v>
      </c>
      <c r="F73" s="6">
        <f>IFERROR(__xludf.DUMMYFUNCTION("""COMPUTED_VALUE"""),6.4594472E7)</f>
        <v>64594472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IFERROR(__xludf.DUMMYFUNCTION("""COMPUTED_VALUE"""),117.25)</f>
        <v>117.25</v>
      </c>
      <c r="C74" s="6">
        <f>IFERROR(__xludf.DUMMYFUNCTION("""COMPUTED_VALUE"""),123.71)</f>
        <v>123.71</v>
      </c>
      <c r="D74" s="6">
        <f>IFERROR(__xludf.DUMMYFUNCTION("""COMPUTED_VALUE"""),114.4)</f>
        <v>114.4</v>
      </c>
      <c r="E74" s="6">
        <f>IFERROR(__xludf.DUMMYFUNCTION("""COMPUTED_VALUE"""),121.33)</f>
        <v>121.33</v>
      </c>
      <c r="F74" s="6">
        <f>IFERROR(__xludf.DUMMYFUNCTION("""COMPUTED_VALUE"""),4.9955446E7)</f>
        <v>49955446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IFERROR(__xludf.DUMMYFUNCTION("""COMPUTED_VALUE"""),120.25)</f>
        <v>120.25</v>
      </c>
      <c r="C75" s="6">
        <f>IFERROR(__xludf.DUMMYFUNCTION("""COMPUTED_VALUE"""),121.31)</f>
        <v>121.31</v>
      </c>
      <c r="D75" s="6">
        <f>IFERROR(__xludf.DUMMYFUNCTION("""COMPUTED_VALUE"""),112.92)</f>
        <v>112.92</v>
      </c>
      <c r="E75" s="6">
        <f>IFERROR(__xludf.DUMMYFUNCTION("""COMPUTED_VALUE"""),113.49)</f>
        <v>113.49</v>
      </c>
      <c r="F75" s="6">
        <f>IFERROR(__xludf.DUMMYFUNCTION("""COMPUTED_VALUE"""),5.1243527E7)</f>
        <v>51243527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IFERROR(__xludf.DUMMYFUNCTION("""COMPUTED_VALUE"""),114.7)</f>
        <v>114.7</v>
      </c>
      <c r="C76" s="6">
        <f>IFERROR(__xludf.DUMMYFUNCTION("""COMPUTED_VALUE"""),126.88)</f>
        <v>126.88</v>
      </c>
      <c r="D76" s="6">
        <f>IFERROR(__xludf.DUMMYFUNCTION("""COMPUTED_VALUE"""),110.72)</f>
        <v>110.72</v>
      </c>
      <c r="E76" s="6">
        <f>IFERROR(__xludf.DUMMYFUNCTION("""COMPUTED_VALUE"""),124.84)</f>
        <v>124.84</v>
      </c>
      <c r="F76" s="6">
        <f>IFERROR(__xludf.DUMMYFUNCTION("""COMPUTED_VALUE"""),8.6752748E7)</f>
        <v>86752748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IFERROR(__xludf.DUMMYFUNCTION("""COMPUTED_VALUE"""),124.0)</f>
        <v>124</v>
      </c>
      <c r="C77" s="6">
        <f>IFERROR(__xludf.DUMMYFUNCTION("""COMPUTED_VALUE"""),127.8)</f>
        <v>127.8</v>
      </c>
      <c r="D77" s="6">
        <f>IFERROR(__xludf.DUMMYFUNCTION("""COMPUTED_VALUE"""),120.34)</f>
        <v>120.34</v>
      </c>
      <c r="E77" s="6">
        <f>IFERROR(__xludf.DUMMYFUNCTION("""COMPUTED_VALUE"""),125.67)</f>
        <v>125.67</v>
      </c>
      <c r="F77" s="6">
        <f>IFERROR(__xludf.DUMMYFUNCTION("""COMPUTED_VALUE"""),5.5779686E7)</f>
        <v>55779686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IFERROR(__xludf.DUMMYFUNCTION("""COMPUTED_VALUE"""),124.5)</f>
        <v>124.5</v>
      </c>
      <c r="C78" s="6">
        <f>IFERROR(__xludf.DUMMYFUNCTION("""COMPUTED_VALUE"""),133.45)</f>
        <v>133.45</v>
      </c>
      <c r="D78" s="6">
        <f>IFERROR(__xludf.DUMMYFUNCTION("""COMPUTED_VALUE"""),123.68)</f>
        <v>123.68</v>
      </c>
      <c r="E78" s="6">
        <f>IFERROR(__xludf.DUMMYFUNCTION("""COMPUTED_VALUE"""),131.51)</f>
        <v>131.51</v>
      </c>
      <c r="F78" s="6">
        <f>IFERROR(__xludf.DUMMYFUNCTION("""COMPUTED_VALUE"""),7.7090328E7)</f>
        <v>77090328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IFERROR(__xludf.DUMMYFUNCTION("""COMPUTED_VALUE"""),133.0)</f>
        <v>133</v>
      </c>
      <c r="C79" s="6">
        <f>IFERROR(__xludf.DUMMYFUNCTION("""COMPUTED_VALUE"""),134.33)</f>
        <v>134.33</v>
      </c>
      <c r="D79" s="6">
        <f>IFERROR(__xludf.DUMMYFUNCTION("""COMPUTED_VALUE"""),127.5)</f>
        <v>127.5</v>
      </c>
      <c r="E79" s="6">
        <f>IFERROR(__xludf.DUMMYFUNCTION("""COMPUTED_VALUE"""),127.7)</f>
        <v>127.7</v>
      </c>
      <c r="F79" s="6">
        <f>IFERROR(__xludf.DUMMYFUNCTION("""COMPUTED_VALUE"""),7.1263862E7)</f>
        <v>71263862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IFERROR(__xludf.DUMMYFUNCTION("""COMPUTED_VALUE"""),128.0)</f>
        <v>128</v>
      </c>
      <c r="C80" s="6">
        <f>IFERROR(__xludf.DUMMYFUNCTION("""COMPUTED_VALUE"""),134.25)</f>
        <v>134.25</v>
      </c>
      <c r="D80" s="6">
        <f>IFERROR(__xludf.DUMMYFUNCTION("""COMPUTED_VALUE"""),127.25)</f>
        <v>127.25</v>
      </c>
      <c r="E80" s="6">
        <f>IFERROR(__xludf.DUMMYFUNCTION("""COMPUTED_VALUE"""),130.14)</f>
        <v>130.14</v>
      </c>
      <c r="F80" s="6">
        <f>IFERROR(__xludf.DUMMYFUNCTION("""COMPUTED_VALUE"""),5.2679112E7)</f>
        <v>52679112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IFERROR(__xludf.DUMMYFUNCTION("""COMPUTED_VALUE"""),122.45)</f>
        <v>122.45</v>
      </c>
      <c r="C81" s="6">
        <f>IFERROR(__xludf.DUMMYFUNCTION("""COMPUTED_VALUE"""),132.6)</f>
        <v>132.6</v>
      </c>
      <c r="D81" s="6">
        <f>IFERROR(__xludf.DUMMYFUNCTION("""COMPUTED_VALUE"""),122.35)</f>
        <v>122.35</v>
      </c>
      <c r="E81" s="6">
        <f>IFERROR(__xludf.DUMMYFUNCTION("""COMPUTED_VALUE"""),131.83)</f>
        <v>131.83</v>
      </c>
      <c r="F81" s="6">
        <f>IFERROR(__xludf.DUMMYFUNCTION("""COMPUTED_VALUE"""),6.2163269E7)</f>
        <v>62163269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IFERROR(__xludf.DUMMYFUNCTION("""COMPUTED_VALUE"""),133.4)</f>
        <v>133.4</v>
      </c>
      <c r="C82" s="6">
        <f>IFERROR(__xludf.DUMMYFUNCTION("""COMPUTED_VALUE"""),134.8)</f>
        <v>134.8</v>
      </c>
      <c r="D82" s="6">
        <f>IFERROR(__xludf.DUMMYFUNCTION("""COMPUTED_VALUE"""),132.0)</f>
        <v>132</v>
      </c>
      <c r="E82" s="6">
        <f>IFERROR(__xludf.DUMMYFUNCTION("""COMPUTED_VALUE"""),134.3)</f>
        <v>134.3</v>
      </c>
      <c r="F82" s="6">
        <f>IFERROR(__xludf.DUMMYFUNCTION("""COMPUTED_VALUE"""),2.9747769E7)</f>
        <v>29747769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IFERROR(__xludf.DUMMYFUNCTION("""COMPUTED_VALUE"""),135.17)</f>
        <v>135.17</v>
      </c>
      <c r="C83" s="6">
        <f>IFERROR(__xludf.DUMMYFUNCTION("""COMPUTED_VALUE"""),139.7)</f>
        <v>139.7</v>
      </c>
      <c r="D83" s="6">
        <f>IFERROR(__xludf.DUMMYFUNCTION("""COMPUTED_VALUE"""),132.82)</f>
        <v>132.82</v>
      </c>
      <c r="E83" s="6">
        <f>IFERROR(__xludf.DUMMYFUNCTION("""COMPUTED_VALUE"""),134.65)</f>
        <v>134.65</v>
      </c>
      <c r="F83" s="6">
        <f>IFERROR(__xludf.DUMMYFUNCTION("""COMPUTED_VALUE"""),6.8429183E7)</f>
        <v>68429183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IFERROR(__xludf.DUMMYFUNCTION("""COMPUTED_VALUE"""),133.81)</f>
        <v>133.81</v>
      </c>
      <c r="C84" s="6">
        <f>IFERROR(__xludf.DUMMYFUNCTION("""COMPUTED_VALUE"""),144.09)</f>
        <v>144.09</v>
      </c>
      <c r="D84" s="6">
        <f>IFERROR(__xludf.DUMMYFUNCTION("""COMPUTED_VALUE"""),133.65)</f>
        <v>133.65</v>
      </c>
      <c r="E84" s="6">
        <f>IFERROR(__xludf.DUMMYFUNCTION("""COMPUTED_VALUE"""),143.28)</f>
        <v>143.28</v>
      </c>
      <c r="F84" s="6">
        <f>IFERROR(__xludf.DUMMYFUNCTION("""COMPUTED_VALUE"""),1.1192804E8)</f>
        <v>111928040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IFERROR(__xludf.DUMMYFUNCTION("""COMPUTED_VALUE"""),145.0)</f>
        <v>145</v>
      </c>
      <c r="C85" s="6">
        <f>IFERROR(__xludf.DUMMYFUNCTION("""COMPUTED_VALUE"""),149.8)</f>
        <v>149.8</v>
      </c>
      <c r="D85" s="6">
        <f>IFERROR(__xludf.DUMMYFUNCTION("""COMPUTED_VALUE"""),137.61)</f>
        <v>137.61</v>
      </c>
      <c r="E85" s="6">
        <f>IFERROR(__xludf.DUMMYFUNCTION("""COMPUTED_VALUE"""),139.99)</f>
        <v>139.99</v>
      </c>
      <c r="F85" s="6">
        <f>IFERROR(__xludf.DUMMYFUNCTION("""COMPUTED_VALUE"""),1.12280721E8)</f>
        <v>112280721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IFERROR(__xludf.DUMMYFUNCTION("""COMPUTED_VALUE"""),144.0)</f>
        <v>144</v>
      </c>
      <c r="C86" s="6">
        <f>IFERROR(__xludf.DUMMYFUNCTION("""COMPUTED_VALUE"""),146.85)</f>
        <v>146.85</v>
      </c>
      <c r="D86" s="6">
        <f>IFERROR(__xludf.DUMMYFUNCTION("""COMPUTED_VALUE"""),141.0)</f>
        <v>141</v>
      </c>
      <c r="E86" s="6">
        <f>IFERROR(__xludf.DUMMYFUNCTION("""COMPUTED_VALUE"""),144.72)</f>
        <v>144.72</v>
      </c>
      <c r="F86" s="6">
        <f>IFERROR(__xludf.DUMMYFUNCTION("""COMPUTED_VALUE"""),5.7709766E7)</f>
        <v>57709766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IFERROR(__xludf.DUMMYFUNCTION("""COMPUTED_VALUE"""),145.0)</f>
        <v>145</v>
      </c>
      <c r="C87" s="6">
        <f>IFERROR(__xludf.DUMMYFUNCTION("""COMPUTED_VALUE"""),145.82)</f>
        <v>145.82</v>
      </c>
      <c r="D87" s="6">
        <f>IFERROR(__xludf.DUMMYFUNCTION("""COMPUTED_VALUE"""),140.55)</f>
        <v>140.55</v>
      </c>
      <c r="E87" s="6">
        <f>IFERROR(__xludf.DUMMYFUNCTION("""COMPUTED_VALUE"""),144.06)</f>
        <v>144.06</v>
      </c>
      <c r="F87" s="6">
        <f>IFERROR(__xludf.DUMMYFUNCTION("""COMPUTED_VALUE"""),4.3696198E7)</f>
        <v>43696198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IFERROR(__xludf.DUMMYFUNCTION("""COMPUTED_VALUE"""),144.06)</f>
        <v>144.06</v>
      </c>
      <c r="C88" s="6">
        <f>IFERROR(__xludf.DUMMYFUNCTION("""COMPUTED_VALUE"""),144.83)</f>
        <v>144.83</v>
      </c>
      <c r="D88" s="6">
        <f>IFERROR(__xludf.DUMMYFUNCTION("""COMPUTED_VALUE"""),141.21)</f>
        <v>141.21</v>
      </c>
      <c r="E88" s="6">
        <f>IFERROR(__xludf.DUMMYFUNCTION("""COMPUTED_VALUE"""),141.97)</f>
        <v>141.97</v>
      </c>
      <c r="F88" s="6">
        <f>IFERROR(__xludf.DUMMYFUNCTION("""COMPUTED_VALUE"""),5.2727534E7)</f>
        <v>52727534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IFERROR(__xludf.DUMMYFUNCTION("""COMPUTED_VALUE"""),141.97)</f>
        <v>141.97</v>
      </c>
      <c r="C89" s="6">
        <f>IFERROR(__xludf.DUMMYFUNCTION("""COMPUTED_VALUE"""),144.0)</f>
        <v>144</v>
      </c>
      <c r="D89" s="6">
        <f>IFERROR(__xludf.DUMMYFUNCTION("""COMPUTED_VALUE"""),139.03)</f>
        <v>139.03</v>
      </c>
      <c r="E89" s="6">
        <f>IFERROR(__xludf.DUMMYFUNCTION("""COMPUTED_VALUE"""),140.78)</f>
        <v>140.78</v>
      </c>
      <c r="F89" s="6">
        <f>IFERROR(__xludf.DUMMYFUNCTION("""COMPUTED_VALUE"""),4.1139682E7)</f>
        <v>41139682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IFERROR(__xludf.DUMMYFUNCTION("""COMPUTED_VALUE"""),141.0)</f>
        <v>141</v>
      </c>
      <c r="C90" s="6">
        <f>IFERROR(__xludf.DUMMYFUNCTION("""COMPUTED_VALUE"""),147.2)</f>
        <v>147.2</v>
      </c>
      <c r="D90" s="6">
        <f>IFERROR(__xludf.DUMMYFUNCTION("""COMPUTED_VALUE"""),137.01)</f>
        <v>137.01</v>
      </c>
      <c r="E90" s="6">
        <f>IFERROR(__xludf.DUMMYFUNCTION("""COMPUTED_VALUE"""),140.34)</f>
        <v>140.34</v>
      </c>
      <c r="F90" s="6">
        <f>IFERROR(__xludf.DUMMYFUNCTION("""COMPUTED_VALUE"""),1.00662563E8)</f>
        <v>100662563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IFERROR(__xludf.DUMMYFUNCTION("""COMPUTED_VALUE"""),140.0)</f>
        <v>140</v>
      </c>
      <c r="C91" s="6">
        <f>IFERROR(__xludf.DUMMYFUNCTION("""COMPUTED_VALUE"""),143.47)</f>
        <v>143.47</v>
      </c>
      <c r="D91" s="6">
        <f>IFERROR(__xludf.DUMMYFUNCTION("""COMPUTED_VALUE"""),137.0)</f>
        <v>137</v>
      </c>
      <c r="E91" s="6">
        <f>IFERROR(__xludf.DUMMYFUNCTION("""COMPUTED_VALUE"""),138.65)</f>
        <v>138.65</v>
      </c>
      <c r="F91" s="6">
        <f>IFERROR(__xludf.DUMMYFUNCTION("""COMPUTED_VALUE"""),7.3839676E7)</f>
        <v>73839676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IFERROR(__xludf.DUMMYFUNCTION("""COMPUTED_VALUE"""),137.0)</f>
        <v>137</v>
      </c>
      <c r="C92" s="6">
        <f>IFERROR(__xludf.DUMMYFUNCTION("""COMPUTED_VALUE"""),148.3)</f>
        <v>148.3</v>
      </c>
      <c r="D92" s="6">
        <f>IFERROR(__xludf.DUMMYFUNCTION("""COMPUTED_VALUE"""),136.4)</f>
        <v>136.4</v>
      </c>
      <c r="E92" s="6">
        <f>IFERROR(__xludf.DUMMYFUNCTION("""COMPUTED_VALUE"""),147.22)</f>
        <v>147.22</v>
      </c>
      <c r="F92" s="6">
        <f>IFERROR(__xludf.DUMMYFUNCTION("""COMPUTED_VALUE"""),9.8075243E7)</f>
        <v>98075243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IFERROR(__xludf.DUMMYFUNCTION("""COMPUTED_VALUE"""),147.26)</f>
        <v>147.26</v>
      </c>
      <c r="C93" s="6">
        <f>IFERROR(__xludf.DUMMYFUNCTION("""COMPUTED_VALUE"""),151.99)</f>
        <v>151.99</v>
      </c>
      <c r="D93" s="6">
        <f>IFERROR(__xludf.DUMMYFUNCTION("""COMPUTED_VALUE"""),146.19)</f>
        <v>146.19</v>
      </c>
      <c r="E93" s="6">
        <f>IFERROR(__xludf.DUMMYFUNCTION("""COMPUTED_VALUE"""),151.62)</f>
        <v>151.62</v>
      </c>
      <c r="F93" s="6">
        <f>IFERROR(__xludf.DUMMYFUNCTION("""COMPUTED_VALUE"""),5.9046175E7)</f>
        <v>59046175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IFERROR(__xludf.DUMMYFUNCTION("""COMPUTED_VALUE"""),152.02)</f>
        <v>152.02</v>
      </c>
      <c r="C94" s="6">
        <f>IFERROR(__xludf.DUMMYFUNCTION("""COMPUTED_VALUE"""),155.0)</f>
        <v>155</v>
      </c>
      <c r="D94" s="6">
        <f>IFERROR(__xludf.DUMMYFUNCTION("""COMPUTED_VALUE"""),150.0)</f>
        <v>150</v>
      </c>
      <c r="E94" s="6">
        <f>IFERROR(__xludf.DUMMYFUNCTION("""COMPUTED_VALUE"""),150.65)</f>
        <v>150.65</v>
      </c>
      <c r="F94" s="6">
        <f>IFERROR(__xludf.DUMMYFUNCTION("""COMPUTED_VALUE"""),7.7984406E7)</f>
        <v>77984406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IFERROR(__xludf.DUMMYFUNCTION("""COMPUTED_VALUE"""),150.65)</f>
        <v>150.65</v>
      </c>
      <c r="C95" s="6">
        <f>IFERROR(__xludf.DUMMYFUNCTION("""COMPUTED_VALUE"""),152.68)</f>
        <v>152.68</v>
      </c>
      <c r="D95" s="6">
        <f>IFERROR(__xludf.DUMMYFUNCTION("""COMPUTED_VALUE"""),148.6)</f>
        <v>148.6</v>
      </c>
      <c r="E95" s="6">
        <f>IFERROR(__xludf.DUMMYFUNCTION("""COMPUTED_VALUE"""),150.06)</f>
        <v>150.06</v>
      </c>
      <c r="F95" s="6">
        <f>IFERROR(__xludf.DUMMYFUNCTION("""COMPUTED_VALUE"""),3.5838796E7)</f>
        <v>35838796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IFERROR(__xludf.DUMMYFUNCTION("""COMPUTED_VALUE"""),149.52)</f>
        <v>149.52</v>
      </c>
      <c r="C96" s="6">
        <f>IFERROR(__xludf.DUMMYFUNCTION("""COMPUTED_VALUE"""),152.75)</f>
        <v>152.75</v>
      </c>
      <c r="D96" s="6">
        <f>IFERROR(__xludf.DUMMYFUNCTION("""COMPUTED_VALUE"""),146.58)</f>
        <v>146.58</v>
      </c>
      <c r="E96" s="6">
        <f>IFERROR(__xludf.DUMMYFUNCTION("""COMPUTED_VALUE"""),146.96)</f>
        <v>146.96</v>
      </c>
      <c r="F96" s="6">
        <f>IFERROR(__xludf.DUMMYFUNCTION("""COMPUTED_VALUE"""),4.153502E7)</f>
        <v>41535020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IFERROR(__xludf.DUMMYFUNCTION("""COMPUTED_VALUE"""),146.96)</f>
        <v>146.96</v>
      </c>
      <c r="C97" s="6">
        <f>IFERROR(__xludf.DUMMYFUNCTION("""COMPUTED_VALUE"""),150.19)</f>
        <v>150.19</v>
      </c>
      <c r="D97" s="6">
        <f>IFERROR(__xludf.DUMMYFUNCTION("""COMPUTED_VALUE"""),140.66)</f>
        <v>140.66</v>
      </c>
      <c r="E97" s="6">
        <f>IFERROR(__xludf.DUMMYFUNCTION("""COMPUTED_VALUE"""),141.03)</f>
        <v>141.03</v>
      </c>
      <c r="F97" s="6">
        <f>IFERROR(__xludf.DUMMYFUNCTION("""COMPUTED_VALUE"""),4.0537619E7)</f>
        <v>40537619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IFERROR(__xludf.DUMMYFUNCTION("""COMPUTED_VALUE"""),141.72)</f>
        <v>141.72</v>
      </c>
      <c r="C98" s="6">
        <f>IFERROR(__xludf.DUMMYFUNCTION("""COMPUTED_VALUE"""),143.28)</f>
        <v>143.28</v>
      </c>
      <c r="D98" s="6">
        <f>IFERROR(__xludf.DUMMYFUNCTION("""COMPUTED_VALUE"""),139.31)</f>
        <v>139.31</v>
      </c>
      <c r="E98" s="6">
        <f>IFERROR(__xludf.DUMMYFUNCTION("""COMPUTED_VALUE"""),139.91)</f>
        <v>139.91</v>
      </c>
      <c r="F98" s="6">
        <f>IFERROR(__xludf.DUMMYFUNCTION("""COMPUTED_VALUE"""),4.4689792E7)</f>
        <v>44689792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IFERROR(__xludf.DUMMYFUNCTION("""COMPUTED_VALUE"""),141.6)</f>
        <v>141.6</v>
      </c>
      <c r="C99" s="6">
        <f>IFERROR(__xludf.DUMMYFUNCTION("""COMPUTED_VALUE"""),143.85)</f>
        <v>143.85</v>
      </c>
      <c r="D99" s="6">
        <f>IFERROR(__xludf.DUMMYFUNCTION("""COMPUTED_VALUE"""),139.35)</f>
        <v>139.35</v>
      </c>
      <c r="E99" s="6">
        <f>IFERROR(__xludf.DUMMYFUNCTION("""COMPUTED_VALUE"""),140.13)</f>
        <v>140.13</v>
      </c>
      <c r="F99" s="6">
        <f>IFERROR(__xludf.DUMMYFUNCTION("""COMPUTED_VALUE"""),4.0563531E7)</f>
        <v>40563531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IFERROR(__xludf.DUMMYFUNCTION("""COMPUTED_VALUE"""),142.0)</f>
        <v>142</v>
      </c>
      <c r="C100" s="6">
        <f>IFERROR(__xludf.DUMMYFUNCTION("""COMPUTED_VALUE"""),142.9)</f>
        <v>142.9</v>
      </c>
      <c r="D100" s="6">
        <f>IFERROR(__xludf.DUMMYFUNCTION("""COMPUTED_VALUE"""),138.8)</f>
        <v>138.8</v>
      </c>
      <c r="E100" s="6">
        <f>IFERROR(__xludf.DUMMYFUNCTION("""COMPUTED_VALUE"""),139.95)</f>
        <v>139.95</v>
      </c>
      <c r="F100" s="6">
        <f>IFERROR(__xludf.DUMMYFUNCTION("""COMPUTED_VALUE"""),4.0833571E7)</f>
        <v>40833571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IFERROR(__xludf.DUMMYFUNCTION("""COMPUTED_VALUE"""),139.95)</f>
        <v>139.95</v>
      </c>
      <c r="C101" s="6">
        <f>IFERROR(__xludf.DUMMYFUNCTION("""COMPUTED_VALUE"""),140.42)</f>
        <v>140.42</v>
      </c>
      <c r="D101" s="6">
        <f>IFERROR(__xludf.DUMMYFUNCTION("""COMPUTED_VALUE"""),138.55)</f>
        <v>138.55</v>
      </c>
      <c r="E101" s="6">
        <f>IFERROR(__xludf.DUMMYFUNCTION("""COMPUTED_VALUE"""),138.96)</f>
        <v>138.96</v>
      </c>
      <c r="F101" s="6">
        <f>IFERROR(__xludf.DUMMYFUNCTION("""COMPUTED_VALUE"""),1.4277949E8)</f>
        <v>142779490</v>
      </c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IFERROR(__xludf.DUMMYFUNCTION("GOOGLEFINANCE(""NSE:IRB"",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IFERROR(__xludf.DUMMYFUNCTION("""COMPUTED_VALUE"""),27.2)</f>
        <v>27.2</v>
      </c>
      <c r="C2" s="6">
        <f>IFERROR(__xludf.DUMMYFUNCTION("""COMPUTED_VALUE"""),30.7)</f>
        <v>30.7</v>
      </c>
      <c r="D2" s="6">
        <f>IFERROR(__xludf.DUMMYFUNCTION("""COMPUTED_VALUE"""),27.15)</f>
        <v>27.15</v>
      </c>
      <c r="E2" s="6">
        <f>IFERROR(__xludf.DUMMYFUNCTION("""COMPUTED_VALUE"""),30.4)</f>
        <v>30.4</v>
      </c>
      <c r="F2" s="6">
        <f>IFERROR(__xludf.DUMMYFUNCTION("""COMPUTED_VALUE"""),1.6897616E8)</f>
        <v>168976160</v>
      </c>
    </row>
    <row r="3">
      <c r="A3" s="7">
        <f>IFERROR(__xludf.DUMMYFUNCTION("""COMPUTED_VALUE"""),45177.64583333333)</f>
        <v>45177.64583</v>
      </c>
      <c r="B3" s="6">
        <f>IFERROR(__xludf.DUMMYFUNCTION("""COMPUTED_VALUE"""),31.0)</f>
        <v>31</v>
      </c>
      <c r="C3" s="6">
        <f>IFERROR(__xludf.DUMMYFUNCTION("""COMPUTED_VALUE"""),34.5)</f>
        <v>34.5</v>
      </c>
      <c r="D3" s="6">
        <f>IFERROR(__xludf.DUMMYFUNCTION("""COMPUTED_VALUE"""),29.9)</f>
        <v>29.9</v>
      </c>
      <c r="E3" s="6">
        <f>IFERROR(__xludf.DUMMYFUNCTION("""COMPUTED_VALUE"""),33.45)</f>
        <v>33.45</v>
      </c>
      <c r="F3" s="6">
        <f>IFERROR(__xludf.DUMMYFUNCTION("""COMPUTED_VALUE"""),2.28283676E8)</f>
        <v>228283676</v>
      </c>
    </row>
    <row r="4">
      <c r="A4" s="7">
        <f>IFERROR(__xludf.DUMMYFUNCTION("""COMPUTED_VALUE"""),45184.64583333333)</f>
        <v>45184.64583</v>
      </c>
      <c r="B4" s="6">
        <f>IFERROR(__xludf.DUMMYFUNCTION("""COMPUTED_VALUE"""),34.55)</f>
        <v>34.55</v>
      </c>
      <c r="C4" s="6">
        <f>IFERROR(__xludf.DUMMYFUNCTION("""COMPUTED_VALUE"""),35.0)</f>
        <v>35</v>
      </c>
      <c r="D4" s="6">
        <f>IFERROR(__xludf.DUMMYFUNCTION("""COMPUTED_VALUE"""),30.55)</f>
        <v>30.55</v>
      </c>
      <c r="E4" s="6">
        <f>IFERROR(__xludf.DUMMYFUNCTION("""COMPUTED_VALUE"""),30.85)</f>
        <v>30.85</v>
      </c>
      <c r="F4" s="6">
        <f>IFERROR(__xludf.DUMMYFUNCTION("""COMPUTED_VALUE"""),2.16752817E8)</f>
        <v>216752817</v>
      </c>
    </row>
    <row r="5">
      <c r="A5" s="7">
        <f>IFERROR(__xludf.DUMMYFUNCTION("""COMPUTED_VALUE"""),45191.64583333333)</f>
        <v>45191.64583</v>
      </c>
      <c r="B5" s="6">
        <f>IFERROR(__xludf.DUMMYFUNCTION("""COMPUTED_VALUE"""),31.0)</f>
        <v>31</v>
      </c>
      <c r="C5" s="6">
        <f>IFERROR(__xludf.DUMMYFUNCTION("""COMPUTED_VALUE"""),32.5)</f>
        <v>32.5</v>
      </c>
      <c r="D5" s="6">
        <f>IFERROR(__xludf.DUMMYFUNCTION("""COMPUTED_VALUE"""),28.75)</f>
        <v>28.75</v>
      </c>
      <c r="E5" s="6">
        <f>IFERROR(__xludf.DUMMYFUNCTION("""COMPUTED_VALUE"""),29.8)</f>
        <v>29.8</v>
      </c>
      <c r="F5" s="6">
        <f>IFERROR(__xludf.DUMMYFUNCTION("""COMPUTED_VALUE"""),9.7378003E7)</f>
        <v>97378003</v>
      </c>
    </row>
    <row r="6">
      <c r="A6" s="7">
        <f>IFERROR(__xludf.DUMMYFUNCTION("""COMPUTED_VALUE"""),45198.64583333333)</f>
        <v>45198.64583</v>
      </c>
      <c r="B6" s="6">
        <f>IFERROR(__xludf.DUMMYFUNCTION("""COMPUTED_VALUE"""),30.3)</f>
        <v>30.3</v>
      </c>
      <c r="C6" s="6">
        <f>IFERROR(__xludf.DUMMYFUNCTION("""COMPUTED_VALUE"""),33.1)</f>
        <v>33.1</v>
      </c>
      <c r="D6" s="6">
        <f>IFERROR(__xludf.DUMMYFUNCTION("""COMPUTED_VALUE"""),30.1)</f>
        <v>30.1</v>
      </c>
      <c r="E6" s="6">
        <f>IFERROR(__xludf.DUMMYFUNCTION("""COMPUTED_VALUE"""),31.6)</f>
        <v>31.6</v>
      </c>
      <c r="F6" s="6">
        <f>IFERROR(__xludf.DUMMYFUNCTION("""COMPUTED_VALUE"""),1.69556946E8)</f>
        <v>169556946</v>
      </c>
    </row>
    <row r="7">
      <c r="A7" s="7">
        <f>IFERROR(__xludf.DUMMYFUNCTION("""COMPUTED_VALUE"""),45205.64583333333)</f>
        <v>45205.64583</v>
      </c>
      <c r="B7" s="6">
        <f>IFERROR(__xludf.DUMMYFUNCTION("""COMPUTED_VALUE"""),31.6)</f>
        <v>31.6</v>
      </c>
      <c r="C7" s="6">
        <f>IFERROR(__xludf.DUMMYFUNCTION("""COMPUTED_VALUE"""),32.7)</f>
        <v>32.7</v>
      </c>
      <c r="D7" s="6">
        <f>IFERROR(__xludf.DUMMYFUNCTION("""COMPUTED_VALUE"""),30.4)</f>
        <v>30.4</v>
      </c>
      <c r="E7" s="6">
        <f>IFERROR(__xludf.DUMMYFUNCTION("""COMPUTED_VALUE"""),32.5)</f>
        <v>32.5</v>
      </c>
      <c r="F7" s="6">
        <f>IFERROR(__xludf.DUMMYFUNCTION("""COMPUTED_VALUE"""),8.5238954E7)</f>
        <v>85238954</v>
      </c>
    </row>
    <row r="8">
      <c r="A8" s="7">
        <f>IFERROR(__xludf.DUMMYFUNCTION("""COMPUTED_VALUE"""),45212.64583333333)</f>
        <v>45212.64583</v>
      </c>
      <c r="B8" s="6">
        <f>IFERROR(__xludf.DUMMYFUNCTION("""COMPUTED_VALUE"""),32.0)</f>
        <v>32</v>
      </c>
      <c r="C8" s="6">
        <f>IFERROR(__xludf.DUMMYFUNCTION("""COMPUTED_VALUE"""),33.75)</f>
        <v>33.75</v>
      </c>
      <c r="D8" s="6">
        <f>IFERROR(__xludf.DUMMYFUNCTION("""COMPUTED_VALUE"""),31.0)</f>
        <v>31</v>
      </c>
      <c r="E8" s="6">
        <f>IFERROR(__xludf.DUMMYFUNCTION("""COMPUTED_VALUE"""),32.4)</f>
        <v>32.4</v>
      </c>
      <c r="F8" s="6">
        <f>IFERROR(__xludf.DUMMYFUNCTION("""COMPUTED_VALUE"""),1.29840479E8)</f>
        <v>129840479</v>
      </c>
    </row>
    <row r="9">
      <c r="A9" s="7">
        <f>IFERROR(__xludf.DUMMYFUNCTION("""COMPUTED_VALUE"""),45219.64583333333)</f>
        <v>45219.64583</v>
      </c>
      <c r="B9" s="6">
        <f>IFERROR(__xludf.DUMMYFUNCTION("""COMPUTED_VALUE"""),32.6)</f>
        <v>32.6</v>
      </c>
      <c r="C9" s="6">
        <f>IFERROR(__xludf.DUMMYFUNCTION("""COMPUTED_VALUE"""),37.0)</f>
        <v>37</v>
      </c>
      <c r="D9" s="6">
        <f>IFERROR(__xludf.DUMMYFUNCTION("""COMPUTED_VALUE"""),32.0)</f>
        <v>32</v>
      </c>
      <c r="E9" s="6">
        <f>IFERROR(__xludf.DUMMYFUNCTION("""COMPUTED_VALUE"""),35.2)</f>
        <v>35.2</v>
      </c>
      <c r="F9" s="6">
        <f>IFERROR(__xludf.DUMMYFUNCTION("""COMPUTED_VALUE"""),4.58079257E8)</f>
        <v>458079257</v>
      </c>
    </row>
    <row r="10">
      <c r="A10" s="7">
        <f>IFERROR(__xludf.DUMMYFUNCTION("""COMPUTED_VALUE"""),45226.64583333333)</f>
        <v>45226.64583</v>
      </c>
      <c r="B10" s="6">
        <f>IFERROR(__xludf.DUMMYFUNCTION("""COMPUTED_VALUE"""),35.5)</f>
        <v>35.5</v>
      </c>
      <c r="C10" s="6">
        <f>IFERROR(__xludf.DUMMYFUNCTION("""COMPUTED_VALUE"""),35.85)</f>
        <v>35.85</v>
      </c>
      <c r="D10" s="6">
        <f>IFERROR(__xludf.DUMMYFUNCTION("""COMPUTED_VALUE"""),31.05)</f>
        <v>31.05</v>
      </c>
      <c r="E10" s="6">
        <f>IFERROR(__xludf.DUMMYFUNCTION("""COMPUTED_VALUE"""),33.05)</f>
        <v>33.05</v>
      </c>
      <c r="F10" s="6">
        <f>IFERROR(__xludf.DUMMYFUNCTION("""COMPUTED_VALUE"""),2.00495691E8)</f>
        <v>200495691</v>
      </c>
    </row>
    <row r="11">
      <c r="A11" s="7">
        <f>IFERROR(__xludf.DUMMYFUNCTION("""COMPUTED_VALUE"""),45233.64583333333)</f>
        <v>45233.64583</v>
      </c>
      <c r="B11" s="6">
        <f>IFERROR(__xludf.DUMMYFUNCTION("""COMPUTED_VALUE"""),33.9)</f>
        <v>33.9</v>
      </c>
      <c r="C11" s="6">
        <f>IFERROR(__xludf.DUMMYFUNCTION("""COMPUTED_VALUE"""),35.25)</f>
        <v>35.25</v>
      </c>
      <c r="D11" s="6">
        <f>IFERROR(__xludf.DUMMYFUNCTION("""COMPUTED_VALUE"""),33.25)</f>
        <v>33.25</v>
      </c>
      <c r="E11" s="6">
        <f>IFERROR(__xludf.DUMMYFUNCTION("""COMPUTED_VALUE"""),34.5)</f>
        <v>34.5</v>
      </c>
      <c r="F11" s="6">
        <f>IFERROR(__xludf.DUMMYFUNCTION("""COMPUTED_VALUE"""),1.44136239E8)</f>
        <v>144136239</v>
      </c>
    </row>
    <row r="12">
      <c r="A12" s="7">
        <f>IFERROR(__xludf.DUMMYFUNCTION("""COMPUTED_VALUE"""),45240.64583333333)</f>
        <v>45240.64583</v>
      </c>
      <c r="B12" s="6">
        <f>IFERROR(__xludf.DUMMYFUNCTION("""COMPUTED_VALUE"""),34.9)</f>
        <v>34.9</v>
      </c>
      <c r="C12" s="6">
        <f>IFERROR(__xludf.DUMMYFUNCTION("""COMPUTED_VALUE"""),36.45)</f>
        <v>36.45</v>
      </c>
      <c r="D12" s="6">
        <f>IFERROR(__xludf.DUMMYFUNCTION("""COMPUTED_VALUE"""),34.4)</f>
        <v>34.4</v>
      </c>
      <c r="E12" s="6">
        <f>IFERROR(__xludf.DUMMYFUNCTION("""COMPUTED_VALUE"""),34.9)</f>
        <v>34.9</v>
      </c>
      <c r="F12" s="6">
        <f>IFERROR(__xludf.DUMMYFUNCTION("""COMPUTED_VALUE"""),1.43456278E8)</f>
        <v>143456278</v>
      </c>
    </row>
    <row r="13">
      <c r="A13" s="7">
        <f>IFERROR(__xludf.DUMMYFUNCTION("""COMPUTED_VALUE"""),45247.64583333333)</f>
        <v>45247.64583</v>
      </c>
      <c r="B13" s="6">
        <f>IFERROR(__xludf.DUMMYFUNCTION("""COMPUTED_VALUE"""),35.3)</f>
        <v>35.3</v>
      </c>
      <c r="C13" s="6">
        <f>IFERROR(__xludf.DUMMYFUNCTION("""COMPUTED_VALUE"""),38.6)</f>
        <v>38.6</v>
      </c>
      <c r="D13" s="6">
        <f>IFERROR(__xludf.DUMMYFUNCTION("""COMPUTED_VALUE"""),34.75)</f>
        <v>34.75</v>
      </c>
      <c r="E13" s="6">
        <f>IFERROR(__xludf.DUMMYFUNCTION("""COMPUTED_VALUE"""),38.1)</f>
        <v>38.1</v>
      </c>
      <c r="F13" s="6">
        <f>IFERROR(__xludf.DUMMYFUNCTION("""COMPUTED_VALUE"""),2.0379001E8)</f>
        <v>203790010</v>
      </c>
    </row>
    <row r="14">
      <c r="A14" s="7">
        <f>IFERROR(__xludf.DUMMYFUNCTION("""COMPUTED_VALUE"""),45254.64583333333)</f>
        <v>45254.64583</v>
      </c>
      <c r="B14" s="6">
        <f>IFERROR(__xludf.DUMMYFUNCTION("""COMPUTED_VALUE"""),38.4)</f>
        <v>38.4</v>
      </c>
      <c r="C14" s="6">
        <f>IFERROR(__xludf.DUMMYFUNCTION("""COMPUTED_VALUE"""),39.5)</f>
        <v>39.5</v>
      </c>
      <c r="D14" s="6">
        <f>IFERROR(__xludf.DUMMYFUNCTION("""COMPUTED_VALUE"""),36.0)</f>
        <v>36</v>
      </c>
      <c r="E14" s="6">
        <f>IFERROR(__xludf.DUMMYFUNCTION("""COMPUTED_VALUE"""),39.05)</f>
        <v>39.05</v>
      </c>
      <c r="F14" s="6">
        <f>IFERROR(__xludf.DUMMYFUNCTION("""COMPUTED_VALUE"""),1.91946134E8)</f>
        <v>191946134</v>
      </c>
    </row>
    <row r="15">
      <c r="A15" s="7">
        <f>IFERROR(__xludf.DUMMYFUNCTION("""COMPUTED_VALUE"""),45261.64583333333)</f>
        <v>45261.64583</v>
      </c>
      <c r="B15" s="6">
        <f>IFERROR(__xludf.DUMMYFUNCTION("""COMPUTED_VALUE"""),39.2)</f>
        <v>39.2</v>
      </c>
      <c r="C15" s="6">
        <f>IFERROR(__xludf.DUMMYFUNCTION("""COMPUTED_VALUE"""),39.4)</f>
        <v>39.4</v>
      </c>
      <c r="D15" s="6">
        <f>IFERROR(__xludf.DUMMYFUNCTION("""COMPUTED_VALUE"""),37.0)</f>
        <v>37</v>
      </c>
      <c r="E15" s="6">
        <f>IFERROR(__xludf.DUMMYFUNCTION("""COMPUTED_VALUE"""),37.4)</f>
        <v>37.4</v>
      </c>
      <c r="F15" s="6">
        <f>IFERROR(__xludf.DUMMYFUNCTION("""COMPUTED_VALUE"""),7.6390897E7)</f>
        <v>76390897</v>
      </c>
    </row>
    <row r="16">
      <c r="A16" s="7">
        <f>IFERROR(__xludf.DUMMYFUNCTION("""COMPUTED_VALUE"""),45268.64583333333)</f>
        <v>45268.64583</v>
      </c>
      <c r="B16" s="6">
        <f>IFERROR(__xludf.DUMMYFUNCTION("""COMPUTED_VALUE"""),38.2)</f>
        <v>38.2</v>
      </c>
      <c r="C16" s="6">
        <f>IFERROR(__xludf.DUMMYFUNCTION("""COMPUTED_VALUE"""),40.95)</f>
        <v>40.95</v>
      </c>
      <c r="D16" s="6">
        <f>IFERROR(__xludf.DUMMYFUNCTION("""COMPUTED_VALUE"""),36.75)</f>
        <v>36.75</v>
      </c>
      <c r="E16" s="6">
        <f>IFERROR(__xludf.DUMMYFUNCTION("""COMPUTED_VALUE"""),39.9)</f>
        <v>39.9</v>
      </c>
      <c r="F16" s="6">
        <f>IFERROR(__xludf.DUMMYFUNCTION("""COMPUTED_VALUE"""),1.78326336E8)</f>
        <v>178326336</v>
      </c>
    </row>
    <row r="17">
      <c r="A17" s="7">
        <f>IFERROR(__xludf.DUMMYFUNCTION("""COMPUTED_VALUE"""),45275.64583333333)</f>
        <v>45275.64583</v>
      </c>
      <c r="B17" s="6">
        <f>IFERROR(__xludf.DUMMYFUNCTION("""COMPUTED_VALUE"""),39.8)</f>
        <v>39.8</v>
      </c>
      <c r="C17" s="6">
        <f>IFERROR(__xludf.DUMMYFUNCTION("""COMPUTED_VALUE"""),42.4)</f>
        <v>42.4</v>
      </c>
      <c r="D17" s="6">
        <f>IFERROR(__xludf.DUMMYFUNCTION("""COMPUTED_VALUE"""),39.35)</f>
        <v>39.35</v>
      </c>
      <c r="E17" s="6">
        <f>IFERROR(__xludf.DUMMYFUNCTION("""COMPUTED_VALUE"""),40.8)</f>
        <v>40.8</v>
      </c>
      <c r="F17" s="6">
        <f>IFERROR(__xludf.DUMMYFUNCTION("""COMPUTED_VALUE"""),1.59499958E8)</f>
        <v>159499958</v>
      </c>
    </row>
    <row r="18">
      <c r="A18" s="7">
        <f>IFERROR(__xludf.DUMMYFUNCTION("""COMPUTED_VALUE"""),45282.64583333333)</f>
        <v>45282.64583</v>
      </c>
      <c r="B18" s="6">
        <f>IFERROR(__xludf.DUMMYFUNCTION("""COMPUTED_VALUE"""),41.45)</f>
        <v>41.45</v>
      </c>
      <c r="C18" s="6">
        <f>IFERROR(__xludf.DUMMYFUNCTION("""COMPUTED_VALUE"""),43.5)</f>
        <v>43.5</v>
      </c>
      <c r="D18" s="6">
        <f>IFERROR(__xludf.DUMMYFUNCTION("""COMPUTED_VALUE"""),37.4)</f>
        <v>37.4</v>
      </c>
      <c r="E18" s="6">
        <f>IFERROR(__xludf.DUMMYFUNCTION("""COMPUTED_VALUE"""),41.65)</f>
        <v>41.65</v>
      </c>
      <c r="F18" s="6">
        <f>IFERROR(__xludf.DUMMYFUNCTION("""COMPUTED_VALUE"""),1.92533163E8)</f>
        <v>192533163</v>
      </c>
    </row>
    <row r="19">
      <c r="A19" s="7">
        <f>IFERROR(__xludf.DUMMYFUNCTION("""COMPUTED_VALUE"""),45289.64583333333)</f>
        <v>45289.64583</v>
      </c>
      <c r="B19" s="6">
        <f>IFERROR(__xludf.DUMMYFUNCTION("""COMPUTED_VALUE"""),41.85)</f>
        <v>41.85</v>
      </c>
      <c r="C19" s="6">
        <f>IFERROR(__xludf.DUMMYFUNCTION("""COMPUTED_VALUE"""),42.25)</f>
        <v>42.25</v>
      </c>
      <c r="D19" s="6">
        <f>IFERROR(__xludf.DUMMYFUNCTION("""COMPUTED_VALUE"""),40.8)</f>
        <v>40.8</v>
      </c>
      <c r="E19" s="6">
        <f>IFERROR(__xludf.DUMMYFUNCTION("""COMPUTED_VALUE"""),41.55)</f>
        <v>41.55</v>
      </c>
      <c r="F19" s="6">
        <f>IFERROR(__xludf.DUMMYFUNCTION("""COMPUTED_VALUE"""),6.1424783E7)</f>
        <v>61424783</v>
      </c>
    </row>
    <row r="20">
      <c r="A20" s="7">
        <f>IFERROR(__xludf.DUMMYFUNCTION("""COMPUTED_VALUE"""),45296.64583333333)</f>
        <v>45296.64583</v>
      </c>
      <c r="B20" s="6">
        <f>IFERROR(__xludf.DUMMYFUNCTION("""COMPUTED_VALUE"""),41.55)</f>
        <v>41.55</v>
      </c>
      <c r="C20" s="6">
        <f>IFERROR(__xludf.DUMMYFUNCTION("""COMPUTED_VALUE"""),43.6)</f>
        <v>43.6</v>
      </c>
      <c r="D20" s="6">
        <f>IFERROR(__xludf.DUMMYFUNCTION("""COMPUTED_VALUE"""),41.05)</f>
        <v>41.05</v>
      </c>
      <c r="E20" s="6">
        <f>IFERROR(__xludf.DUMMYFUNCTION("""COMPUTED_VALUE"""),42.45)</f>
        <v>42.45</v>
      </c>
      <c r="F20" s="6">
        <f>IFERROR(__xludf.DUMMYFUNCTION("""COMPUTED_VALUE"""),1.13843713E8)</f>
        <v>113843713</v>
      </c>
    </row>
    <row r="21">
      <c r="A21" s="7">
        <f>IFERROR(__xludf.DUMMYFUNCTION("""COMPUTED_VALUE"""),45303.64583333333)</f>
        <v>45303.64583</v>
      </c>
      <c r="B21" s="6">
        <f>IFERROR(__xludf.DUMMYFUNCTION("""COMPUTED_VALUE"""),42.65)</f>
        <v>42.65</v>
      </c>
      <c r="C21" s="6">
        <f>IFERROR(__xludf.DUMMYFUNCTION("""COMPUTED_VALUE"""),47.5)</f>
        <v>47.5</v>
      </c>
      <c r="D21" s="6">
        <f>IFERROR(__xludf.DUMMYFUNCTION("""COMPUTED_VALUE"""),41.7)</f>
        <v>41.7</v>
      </c>
      <c r="E21" s="6">
        <f>IFERROR(__xludf.DUMMYFUNCTION("""COMPUTED_VALUE"""),46.05)</f>
        <v>46.05</v>
      </c>
      <c r="F21" s="6">
        <f>IFERROR(__xludf.DUMMYFUNCTION("""COMPUTED_VALUE"""),3.07695721E8)</f>
        <v>307695721</v>
      </c>
    </row>
    <row r="22">
      <c r="A22" s="7">
        <f>IFERROR(__xludf.DUMMYFUNCTION("""COMPUTED_VALUE"""),45316.64583333333)</f>
        <v>45316.64583</v>
      </c>
      <c r="B22" s="6">
        <f>IFERROR(__xludf.DUMMYFUNCTION("""COMPUTED_VALUE"""),50.0)</f>
        <v>50</v>
      </c>
      <c r="C22" s="6">
        <f>IFERROR(__xludf.DUMMYFUNCTION("""COMPUTED_VALUE"""),51.45)</f>
        <v>51.45</v>
      </c>
      <c r="D22" s="6">
        <f>IFERROR(__xludf.DUMMYFUNCTION("""COMPUTED_VALUE"""),47.4)</f>
        <v>47.4</v>
      </c>
      <c r="E22" s="6">
        <f>IFERROR(__xludf.DUMMYFUNCTION("""COMPUTED_VALUE"""),50.7)</f>
        <v>50.7</v>
      </c>
      <c r="F22" s="6">
        <f>IFERROR(__xludf.DUMMYFUNCTION("""COMPUTED_VALUE"""),1.25693785E8)</f>
        <v>125693785</v>
      </c>
    </row>
    <row r="23">
      <c r="A23" s="7">
        <f>IFERROR(__xludf.DUMMYFUNCTION("""COMPUTED_VALUE"""),45324.64583333333)</f>
        <v>45324.64583</v>
      </c>
      <c r="B23" s="6">
        <f>IFERROR(__xludf.DUMMYFUNCTION("""COMPUTED_VALUE"""),52.3)</f>
        <v>52.3</v>
      </c>
      <c r="C23" s="6">
        <f>IFERROR(__xludf.DUMMYFUNCTION("""COMPUTED_VALUE"""),69.6)</f>
        <v>69.6</v>
      </c>
      <c r="D23" s="6">
        <f>IFERROR(__xludf.DUMMYFUNCTION("""COMPUTED_VALUE"""),52.2)</f>
        <v>52.2</v>
      </c>
      <c r="E23" s="6">
        <f>IFERROR(__xludf.DUMMYFUNCTION("""COMPUTED_VALUE"""),66.75)</f>
        <v>66.75</v>
      </c>
      <c r="F23" s="6">
        <f>IFERROR(__xludf.DUMMYFUNCTION("""COMPUTED_VALUE"""),6.29478817E8)</f>
        <v>629478817</v>
      </c>
    </row>
    <row r="24">
      <c r="A24" s="7">
        <f>IFERROR(__xludf.DUMMYFUNCTION("""COMPUTED_VALUE"""),45331.64583333333)</f>
        <v>45331.64583</v>
      </c>
      <c r="B24" s="6">
        <f>IFERROR(__xludf.DUMMYFUNCTION("""COMPUTED_VALUE"""),67.5)</f>
        <v>67.5</v>
      </c>
      <c r="C24" s="6">
        <f>IFERROR(__xludf.DUMMYFUNCTION("""COMPUTED_VALUE"""),72.0)</f>
        <v>72</v>
      </c>
      <c r="D24" s="6">
        <f>IFERROR(__xludf.DUMMYFUNCTION("""COMPUTED_VALUE"""),64.1)</f>
        <v>64.1</v>
      </c>
      <c r="E24" s="6">
        <f>IFERROR(__xludf.DUMMYFUNCTION("""COMPUTED_VALUE"""),68.45)</f>
        <v>68.45</v>
      </c>
      <c r="F24" s="6">
        <f>IFERROR(__xludf.DUMMYFUNCTION("""COMPUTED_VALUE"""),1.58764129E8)</f>
        <v>158764129</v>
      </c>
    </row>
    <row r="25">
      <c r="A25" s="7">
        <f>IFERROR(__xludf.DUMMYFUNCTION("""COMPUTED_VALUE"""),45338.64583333333)</f>
        <v>45338.64583</v>
      </c>
      <c r="B25" s="6">
        <f>IFERROR(__xludf.DUMMYFUNCTION("""COMPUTED_VALUE"""),68.45)</f>
        <v>68.45</v>
      </c>
      <c r="C25" s="6">
        <f>IFERROR(__xludf.DUMMYFUNCTION("""COMPUTED_VALUE"""),69.2)</f>
        <v>69.2</v>
      </c>
      <c r="D25" s="6">
        <f>IFERROR(__xludf.DUMMYFUNCTION("""COMPUTED_VALUE"""),55.9)</f>
        <v>55.9</v>
      </c>
      <c r="E25" s="6">
        <f>IFERROR(__xludf.DUMMYFUNCTION("""COMPUTED_VALUE"""),67.1)</f>
        <v>67.1</v>
      </c>
      <c r="F25" s="6">
        <f>IFERROR(__xludf.DUMMYFUNCTION("""COMPUTED_VALUE"""),1.17599142E8)</f>
        <v>117599142</v>
      </c>
    </row>
    <row r="26">
      <c r="A26" s="7">
        <f>IFERROR(__xludf.DUMMYFUNCTION("""COMPUTED_VALUE"""),45345.64583333333)</f>
        <v>45345.64583</v>
      </c>
      <c r="B26" s="6">
        <f>IFERROR(__xludf.DUMMYFUNCTION("""COMPUTED_VALUE"""),67.5)</f>
        <v>67.5</v>
      </c>
      <c r="C26" s="6">
        <f>IFERROR(__xludf.DUMMYFUNCTION("""COMPUTED_VALUE"""),67.95)</f>
        <v>67.95</v>
      </c>
      <c r="D26" s="6">
        <f>IFERROR(__xludf.DUMMYFUNCTION("""COMPUTED_VALUE"""),63.45)</f>
        <v>63.45</v>
      </c>
      <c r="E26" s="6">
        <f>IFERROR(__xludf.DUMMYFUNCTION("""COMPUTED_VALUE"""),66.55)</f>
        <v>66.55</v>
      </c>
      <c r="F26" s="6">
        <f>IFERROR(__xludf.DUMMYFUNCTION("""COMPUTED_VALUE"""),5.2899132E7)</f>
        <v>52899132</v>
      </c>
    </row>
    <row r="27">
      <c r="A27" s="7">
        <f>IFERROR(__xludf.DUMMYFUNCTION("""COMPUTED_VALUE"""),45358.64583333333)</f>
        <v>45358.64583</v>
      </c>
      <c r="B27" s="6">
        <f>IFERROR(__xludf.DUMMYFUNCTION("""COMPUTED_VALUE"""),64.8)</f>
        <v>64.8</v>
      </c>
      <c r="C27" s="6">
        <f>IFERROR(__xludf.DUMMYFUNCTION("""COMPUTED_VALUE"""),64.9)</f>
        <v>64.9</v>
      </c>
      <c r="D27" s="6">
        <f>IFERROR(__xludf.DUMMYFUNCTION("""COMPUTED_VALUE"""),59.05)</f>
        <v>59.05</v>
      </c>
      <c r="E27" s="6">
        <f>IFERROR(__xludf.DUMMYFUNCTION("""COMPUTED_VALUE"""),61.3)</f>
        <v>61.3</v>
      </c>
      <c r="F27" s="6">
        <f>IFERROR(__xludf.DUMMYFUNCTION("""COMPUTED_VALUE"""),4.4508047E7)</f>
        <v>44508047</v>
      </c>
    </row>
    <row r="28">
      <c r="A28" s="7">
        <f>IFERROR(__xludf.DUMMYFUNCTION("""COMPUTED_VALUE"""),45366.64583333333)</f>
        <v>45366.64583</v>
      </c>
      <c r="B28" s="6">
        <f>IFERROR(__xludf.DUMMYFUNCTION("""COMPUTED_VALUE"""),61.5)</f>
        <v>61.5</v>
      </c>
      <c r="C28" s="6">
        <f>IFERROR(__xludf.DUMMYFUNCTION("""COMPUTED_VALUE"""),61.6)</f>
        <v>61.6</v>
      </c>
      <c r="D28" s="6">
        <f>IFERROR(__xludf.DUMMYFUNCTION("""COMPUTED_VALUE"""),49.4)</f>
        <v>49.4</v>
      </c>
      <c r="E28" s="6">
        <f>IFERROR(__xludf.DUMMYFUNCTION("""COMPUTED_VALUE"""),57.3)</f>
        <v>57.3</v>
      </c>
      <c r="F28" s="6">
        <f>IFERROR(__xludf.DUMMYFUNCTION("""COMPUTED_VALUE"""),1.21690715E8)</f>
        <v>121690715</v>
      </c>
    </row>
    <row r="29">
      <c r="A29" s="7">
        <f>IFERROR(__xludf.DUMMYFUNCTION("""COMPUTED_VALUE"""),45373.64583333333)</f>
        <v>45373.64583</v>
      </c>
      <c r="B29" s="6">
        <f>IFERROR(__xludf.DUMMYFUNCTION("""COMPUTED_VALUE"""),57.7)</f>
        <v>57.7</v>
      </c>
      <c r="C29" s="6">
        <f>IFERROR(__xludf.DUMMYFUNCTION("""COMPUTED_VALUE"""),60.2)</f>
        <v>60.2</v>
      </c>
      <c r="D29" s="6">
        <f>IFERROR(__xludf.DUMMYFUNCTION("""COMPUTED_VALUE"""),53.15)</f>
        <v>53.15</v>
      </c>
      <c r="E29" s="6">
        <f>IFERROR(__xludf.DUMMYFUNCTION("""COMPUTED_VALUE"""),59.4)</f>
        <v>59.4</v>
      </c>
      <c r="F29" s="6">
        <f>IFERROR(__xludf.DUMMYFUNCTION("""COMPUTED_VALUE"""),1.04771783E8)</f>
        <v>104771783</v>
      </c>
    </row>
    <row r="30">
      <c r="A30" s="7">
        <f>IFERROR(__xludf.DUMMYFUNCTION("""COMPUTED_VALUE"""),45379.64583333333)</f>
        <v>45379.64583</v>
      </c>
      <c r="B30" s="6">
        <f>IFERROR(__xludf.DUMMYFUNCTION("""COMPUTED_VALUE"""),59.6)</f>
        <v>59.6</v>
      </c>
      <c r="C30" s="6">
        <f>IFERROR(__xludf.DUMMYFUNCTION("""COMPUTED_VALUE"""),60.0)</f>
        <v>60</v>
      </c>
      <c r="D30" s="6">
        <f>IFERROR(__xludf.DUMMYFUNCTION("""COMPUTED_VALUE"""),57.8)</f>
        <v>57.8</v>
      </c>
      <c r="E30" s="6">
        <f>IFERROR(__xludf.DUMMYFUNCTION("""COMPUTED_VALUE"""),58.55)</f>
        <v>58.55</v>
      </c>
      <c r="F30" s="6">
        <f>IFERROR(__xludf.DUMMYFUNCTION("""COMPUTED_VALUE"""),3.7788018E7)</f>
        <v>37788018</v>
      </c>
    </row>
    <row r="31">
      <c r="A31" s="7">
        <f>IFERROR(__xludf.DUMMYFUNCTION("""COMPUTED_VALUE"""),45387.64583333333)</f>
        <v>45387.64583</v>
      </c>
      <c r="B31" s="6">
        <f>IFERROR(__xludf.DUMMYFUNCTION("""COMPUTED_VALUE"""),58.8)</f>
        <v>58.8</v>
      </c>
      <c r="C31" s="6">
        <f>IFERROR(__xludf.DUMMYFUNCTION("""COMPUTED_VALUE"""),67.9)</f>
        <v>67.9</v>
      </c>
      <c r="D31" s="6">
        <f>IFERROR(__xludf.DUMMYFUNCTION("""COMPUTED_VALUE"""),58.7)</f>
        <v>58.7</v>
      </c>
      <c r="E31" s="6">
        <f>IFERROR(__xludf.DUMMYFUNCTION("""COMPUTED_VALUE"""),67.2)</f>
        <v>67.2</v>
      </c>
      <c r="F31" s="6">
        <f>IFERROR(__xludf.DUMMYFUNCTION("""COMPUTED_VALUE"""),1.42717385E8)</f>
        <v>142717385</v>
      </c>
    </row>
    <row r="32">
      <c r="A32" s="7">
        <f>IFERROR(__xludf.DUMMYFUNCTION("""COMPUTED_VALUE"""),45394.64583333333)</f>
        <v>45394.64583</v>
      </c>
      <c r="B32" s="6">
        <f>IFERROR(__xludf.DUMMYFUNCTION("""COMPUTED_VALUE"""),67.8)</f>
        <v>67.8</v>
      </c>
      <c r="C32" s="6">
        <f>IFERROR(__xludf.DUMMYFUNCTION("""COMPUTED_VALUE"""),73.1)</f>
        <v>73.1</v>
      </c>
      <c r="D32" s="6">
        <f>IFERROR(__xludf.DUMMYFUNCTION("""COMPUTED_VALUE"""),66.85)</f>
        <v>66.85</v>
      </c>
      <c r="E32" s="6">
        <f>IFERROR(__xludf.DUMMYFUNCTION("""COMPUTED_VALUE"""),68.05)</f>
        <v>68.05</v>
      </c>
      <c r="F32" s="6">
        <f>IFERROR(__xludf.DUMMYFUNCTION("""COMPUTED_VALUE"""),1.925181E8)</f>
        <v>192518100</v>
      </c>
    </row>
    <row r="33">
      <c r="A33" s="7">
        <f>IFERROR(__xludf.DUMMYFUNCTION("""COMPUTED_VALUE"""),45401.64583333333)</f>
        <v>45401.64583</v>
      </c>
      <c r="B33" s="6">
        <f>IFERROR(__xludf.DUMMYFUNCTION("""COMPUTED_VALUE"""),64.9)</f>
        <v>64.9</v>
      </c>
      <c r="C33" s="6">
        <f>IFERROR(__xludf.DUMMYFUNCTION("""COMPUTED_VALUE"""),67.55)</f>
        <v>67.55</v>
      </c>
      <c r="D33" s="6">
        <f>IFERROR(__xludf.DUMMYFUNCTION("""COMPUTED_VALUE"""),63.05)</f>
        <v>63.05</v>
      </c>
      <c r="E33" s="6">
        <f>IFERROR(__xludf.DUMMYFUNCTION("""COMPUTED_VALUE"""),66.15)</f>
        <v>66.15</v>
      </c>
      <c r="F33" s="6">
        <f>IFERROR(__xludf.DUMMYFUNCTION("""COMPUTED_VALUE"""),9.7627114E7)</f>
        <v>97627114</v>
      </c>
    </row>
    <row r="34">
      <c r="A34" s="7">
        <f>IFERROR(__xludf.DUMMYFUNCTION("""COMPUTED_VALUE"""),45408.64583333333)</f>
        <v>45408.64583</v>
      </c>
      <c r="B34" s="6">
        <f>IFERROR(__xludf.DUMMYFUNCTION("""COMPUTED_VALUE"""),67.05)</f>
        <v>67.05</v>
      </c>
      <c r="C34" s="6">
        <f>IFERROR(__xludf.DUMMYFUNCTION("""COMPUTED_VALUE"""),70.4)</f>
        <v>70.4</v>
      </c>
      <c r="D34" s="6">
        <f>IFERROR(__xludf.DUMMYFUNCTION("""COMPUTED_VALUE"""),66.35)</f>
        <v>66.35</v>
      </c>
      <c r="E34" s="6">
        <f>IFERROR(__xludf.DUMMYFUNCTION("""COMPUTED_VALUE"""),68.8)</f>
        <v>68.8</v>
      </c>
      <c r="F34" s="6">
        <f>IFERROR(__xludf.DUMMYFUNCTION("""COMPUTED_VALUE"""),8.6667569E7)</f>
        <v>86667569</v>
      </c>
    </row>
    <row r="35">
      <c r="A35" s="7">
        <f>IFERROR(__xludf.DUMMYFUNCTION("""COMPUTED_VALUE"""),45415.64583333333)</f>
        <v>45415.64583</v>
      </c>
      <c r="B35" s="6">
        <f>IFERROR(__xludf.DUMMYFUNCTION("""COMPUTED_VALUE"""),69.4)</f>
        <v>69.4</v>
      </c>
      <c r="C35" s="6">
        <f>IFERROR(__xludf.DUMMYFUNCTION("""COMPUTED_VALUE"""),70.95)</f>
        <v>70.95</v>
      </c>
      <c r="D35" s="6">
        <f>IFERROR(__xludf.DUMMYFUNCTION("""COMPUTED_VALUE"""),67.55)</f>
        <v>67.55</v>
      </c>
      <c r="E35" s="6">
        <f>IFERROR(__xludf.DUMMYFUNCTION("""COMPUTED_VALUE"""),69.75)</f>
        <v>69.75</v>
      </c>
      <c r="F35" s="6">
        <f>IFERROR(__xludf.DUMMYFUNCTION("""COMPUTED_VALUE"""),1.04283704E8)</f>
        <v>104283704</v>
      </c>
    </row>
    <row r="36">
      <c r="A36" s="7">
        <f>IFERROR(__xludf.DUMMYFUNCTION("""COMPUTED_VALUE"""),45422.64583333333)</f>
        <v>45422.64583</v>
      </c>
      <c r="B36" s="6">
        <f>IFERROR(__xludf.DUMMYFUNCTION("""COMPUTED_VALUE"""),70.25)</f>
        <v>70.25</v>
      </c>
      <c r="C36" s="6">
        <f>IFERROR(__xludf.DUMMYFUNCTION("""COMPUTED_VALUE"""),70.3)</f>
        <v>70.3</v>
      </c>
      <c r="D36" s="6">
        <f>IFERROR(__xludf.DUMMYFUNCTION("""COMPUTED_VALUE"""),62.05)</f>
        <v>62.05</v>
      </c>
      <c r="E36" s="6">
        <f>IFERROR(__xludf.DUMMYFUNCTION("""COMPUTED_VALUE"""),62.65)</f>
        <v>62.65</v>
      </c>
      <c r="F36" s="6">
        <f>IFERROR(__xludf.DUMMYFUNCTION("""COMPUTED_VALUE"""),1.3532019E8)</f>
        <v>135320190</v>
      </c>
    </row>
    <row r="37">
      <c r="A37" s="7">
        <f>IFERROR(__xludf.DUMMYFUNCTION("""COMPUTED_VALUE"""),45436.64583333333)</f>
        <v>45436.64583</v>
      </c>
      <c r="B37" s="6">
        <f>IFERROR(__xludf.DUMMYFUNCTION("""COMPUTED_VALUE"""),69.45)</f>
        <v>69.45</v>
      </c>
      <c r="C37" s="6">
        <f>IFERROR(__xludf.DUMMYFUNCTION("""COMPUTED_VALUE"""),75.85)</f>
        <v>75.85</v>
      </c>
      <c r="D37" s="6">
        <f>IFERROR(__xludf.DUMMYFUNCTION("""COMPUTED_VALUE"""),68.35)</f>
        <v>68.35</v>
      </c>
      <c r="E37" s="6">
        <f>IFERROR(__xludf.DUMMYFUNCTION("""COMPUTED_VALUE"""),72.55)</f>
        <v>72.55</v>
      </c>
      <c r="F37" s="6">
        <f>IFERROR(__xludf.DUMMYFUNCTION("""COMPUTED_VALUE"""),2.43496568E8)</f>
        <v>243496568</v>
      </c>
    </row>
    <row r="38">
      <c r="A38" s="7">
        <f>IFERROR(__xludf.DUMMYFUNCTION("""COMPUTED_VALUE"""),45443.64583333333)</f>
        <v>45443.64583</v>
      </c>
      <c r="B38" s="6">
        <f>IFERROR(__xludf.DUMMYFUNCTION("""COMPUTED_VALUE"""),73.0)</f>
        <v>73</v>
      </c>
      <c r="C38" s="6">
        <f>IFERROR(__xludf.DUMMYFUNCTION("""COMPUTED_VALUE"""),76.55)</f>
        <v>76.55</v>
      </c>
      <c r="D38" s="6">
        <f>IFERROR(__xludf.DUMMYFUNCTION("""COMPUTED_VALUE"""),63.7)</f>
        <v>63.7</v>
      </c>
      <c r="E38" s="6">
        <f>IFERROR(__xludf.DUMMYFUNCTION("""COMPUTED_VALUE"""),66.1)</f>
        <v>66.1</v>
      </c>
      <c r="F38" s="6">
        <f>IFERROR(__xludf.DUMMYFUNCTION("""COMPUTED_VALUE"""),5.28304636E8)</f>
        <v>528304636</v>
      </c>
    </row>
    <row r="39">
      <c r="A39" s="7">
        <f>IFERROR(__xludf.DUMMYFUNCTION("""COMPUTED_VALUE"""),45450.64583333333)</f>
        <v>45450.64583</v>
      </c>
      <c r="B39" s="6">
        <f>IFERROR(__xludf.DUMMYFUNCTION("""COMPUTED_VALUE"""),74.6)</f>
        <v>74.6</v>
      </c>
      <c r="C39" s="6">
        <f>IFERROR(__xludf.DUMMYFUNCTION("""COMPUTED_VALUE"""),78.15)</f>
        <v>78.15</v>
      </c>
      <c r="D39" s="6">
        <f>IFERROR(__xludf.DUMMYFUNCTION("""COMPUTED_VALUE"""),58.25)</f>
        <v>58.25</v>
      </c>
      <c r="E39" s="6">
        <f>IFERROR(__xludf.DUMMYFUNCTION("""COMPUTED_VALUE"""),76.85)</f>
        <v>76.85</v>
      </c>
      <c r="F39" s="6">
        <f>IFERROR(__xludf.DUMMYFUNCTION("""COMPUTED_VALUE"""),6.10879149E8)</f>
        <v>610879149</v>
      </c>
    </row>
    <row r="40">
      <c r="A40" s="7">
        <f>IFERROR(__xludf.DUMMYFUNCTION("""COMPUTED_VALUE"""),45457.64583333333)</f>
        <v>45457.64583</v>
      </c>
      <c r="B40" s="6">
        <f>IFERROR(__xludf.DUMMYFUNCTION("""COMPUTED_VALUE"""),75.2)</f>
        <v>75.2</v>
      </c>
      <c r="C40" s="6">
        <f>IFERROR(__xludf.DUMMYFUNCTION("""COMPUTED_VALUE"""),76.0)</f>
        <v>76</v>
      </c>
      <c r="D40" s="6">
        <f>IFERROR(__xludf.DUMMYFUNCTION("""COMPUTED_VALUE"""),63.0)</f>
        <v>63</v>
      </c>
      <c r="E40" s="6">
        <f>IFERROR(__xludf.DUMMYFUNCTION("""COMPUTED_VALUE"""),67.18)</f>
        <v>67.18</v>
      </c>
      <c r="F40" s="6">
        <f>IFERROR(__xludf.DUMMYFUNCTION("""COMPUTED_VALUE"""),1.411774599E9)</f>
        <v>1411774599</v>
      </c>
    </row>
    <row r="41">
      <c r="A41" s="7">
        <f>IFERROR(__xludf.DUMMYFUNCTION("""COMPUTED_VALUE"""),45464.64583333333)</f>
        <v>45464.64583</v>
      </c>
      <c r="B41" s="6">
        <f>IFERROR(__xludf.DUMMYFUNCTION("""COMPUTED_VALUE"""),67.75)</f>
        <v>67.75</v>
      </c>
      <c r="C41" s="6">
        <f>IFERROR(__xludf.DUMMYFUNCTION("""COMPUTED_VALUE"""),67.75)</f>
        <v>67.75</v>
      </c>
      <c r="D41" s="6">
        <f>IFERROR(__xludf.DUMMYFUNCTION("""COMPUTED_VALUE"""),64.05)</f>
        <v>64.05</v>
      </c>
      <c r="E41" s="6">
        <f>IFERROR(__xludf.DUMMYFUNCTION("""COMPUTED_VALUE"""),66.27)</f>
        <v>66.27</v>
      </c>
      <c r="F41" s="6">
        <f>IFERROR(__xludf.DUMMYFUNCTION("""COMPUTED_VALUE"""),2.41585798E8)</f>
        <v>241585798</v>
      </c>
    </row>
    <row r="42">
      <c r="A42" s="7">
        <f>IFERROR(__xludf.DUMMYFUNCTION("""COMPUTED_VALUE"""),45471.64583333333)</f>
        <v>45471.64583</v>
      </c>
      <c r="B42" s="6">
        <f>IFERROR(__xludf.DUMMYFUNCTION("""COMPUTED_VALUE"""),65.84)</f>
        <v>65.84</v>
      </c>
      <c r="C42" s="6">
        <f>IFERROR(__xludf.DUMMYFUNCTION("""COMPUTED_VALUE"""),67.3)</f>
        <v>67.3</v>
      </c>
      <c r="D42" s="6">
        <f>IFERROR(__xludf.DUMMYFUNCTION("""COMPUTED_VALUE"""),64.0)</f>
        <v>64</v>
      </c>
      <c r="E42" s="6">
        <f>IFERROR(__xludf.DUMMYFUNCTION("""COMPUTED_VALUE"""),64.87)</f>
        <v>64.87</v>
      </c>
      <c r="F42" s="6">
        <f>IFERROR(__xludf.DUMMYFUNCTION("""COMPUTED_VALUE"""),1.55476774E8)</f>
        <v>155476774</v>
      </c>
    </row>
    <row r="43">
      <c r="A43" s="7">
        <f>IFERROR(__xludf.DUMMYFUNCTION("""COMPUTED_VALUE"""),45478.64583333333)</f>
        <v>45478.64583</v>
      </c>
      <c r="B43" s="6">
        <f>IFERROR(__xludf.DUMMYFUNCTION("""COMPUTED_VALUE"""),65.2)</f>
        <v>65.2</v>
      </c>
      <c r="C43" s="6">
        <f>IFERROR(__xludf.DUMMYFUNCTION("""COMPUTED_VALUE"""),68.48)</f>
        <v>68.48</v>
      </c>
      <c r="D43" s="6">
        <f>IFERROR(__xludf.DUMMYFUNCTION("""COMPUTED_VALUE"""),64.35)</f>
        <v>64.35</v>
      </c>
      <c r="E43" s="6">
        <f>IFERROR(__xludf.DUMMYFUNCTION("""COMPUTED_VALUE"""),67.56)</f>
        <v>67.56</v>
      </c>
      <c r="F43" s="6">
        <f>IFERROR(__xludf.DUMMYFUNCTION("""COMPUTED_VALUE"""),2.05957767E8)</f>
        <v>205957767</v>
      </c>
    </row>
    <row r="44">
      <c r="A44" s="7">
        <f>IFERROR(__xludf.DUMMYFUNCTION("""COMPUTED_VALUE"""),45485.64583333333)</f>
        <v>45485.64583</v>
      </c>
      <c r="B44" s="6">
        <f>IFERROR(__xludf.DUMMYFUNCTION("""COMPUTED_VALUE"""),67.9)</f>
        <v>67.9</v>
      </c>
      <c r="C44" s="6">
        <f>IFERROR(__xludf.DUMMYFUNCTION("""COMPUTED_VALUE"""),69.77)</f>
        <v>69.77</v>
      </c>
      <c r="D44" s="6">
        <f>IFERROR(__xludf.DUMMYFUNCTION("""COMPUTED_VALUE"""),64.9)</f>
        <v>64.9</v>
      </c>
      <c r="E44" s="6">
        <f>IFERROR(__xludf.DUMMYFUNCTION("""COMPUTED_VALUE"""),68.36)</f>
        <v>68.36</v>
      </c>
      <c r="F44" s="6">
        <f>IFERROR(__xludf.DUMMYFUNCTION("""COMPUTED_VALUE"""),3.47775952E8)</f>
        <v>347775952</v>
      </c>
    </row>
    <row r="45">
      <c r="A45" s="7">
        <f>IFERROR(__xludf.DUMMYFUNCTION("""COMPUTED_VALUE"""),45492.64583333333)</f>
        <v>45492.64583</v>
      </c>
      <c r="B45" s="6">
        <f>IFERROR(__xludf.DUMMYFUNCTION("""COMPUTED_VALUE"""),68.75)</f>
        <v>68.75</v>
      </c>
      <c r="C45" s="6">
        <f>IFERROR(__xludf.DUMMYFUNCTION("""COMPUTED_VALUE"""),72.0)</f>
        <v>72</v>
      </c>
      <c r="D45" s="6">
        <f>IFERROR(__xludf.DUMMYFUNCTION("""COMPUTED_VALUE"""),66.65)</f>
        <v>66.65</v>
      </c>
      <c r="E45" s="6">
        <f>IFERROR(__xludf.DUMMYFUNCTION("""COMPUTED_VALUE"""),66.93)</f>
        <v>66.93</v>
      </c>
      <c r="F45" s="6">
        <f>IFERROR(__xludf.DUMMYFUNCTION("""COMPUTED_VALUE"""),4.23534849E8)</f>
        <v>423534849</v>
      </c>
    </row>
    <row r="46">
      <c r="A46" s="7">
        <f>IFERROR(__xludf.DUMMYFUNCTION("""COMPUTED_VALUE"""),45499.64583333333)</f>
        <v>45499.64583</v>
      </c>
      <c r="B46" s="6">
        <f>IFERROR(__xludf.DUMMYFUNCTION("""COMPUTED_VALUE"""),66.8)</f>
        <v>66.8</v>
      </c>
      <c r="C46" s="6">
        <f>IFERROR(__xludf.DUMMYFUNCTION("""COMPUTED_VALUE"""),69.55)</f>
        <v>69.55</v>
      </c>
      <c r="D46" s="6">
        <f>IFERROR(__xludf.DUMMYFUNCTION("""COMPUTED_VALUE"""),61.5)</f>
        <v>61.5</v>
      </c>
      <c r="E46" s="6">
        <f>IFERROR(__xludf.DUMMYFUNCTION("""COMPUTED_VALUE"""),66.92)</f>
        <v>66.92</v>
      </c>
      <c r="F46" s="6">
        <f>IFERROR(__xludf.DUMMYFUNCTION("""COMPUTED_VALUE"""),2.38521335E8)</f>
        <v>238521335</v>
      </c>
    </row>
    <row r="47">
      <c r="A47" s="7">
        <f>IFERROR(__xludf.DUMMYFUNCTION("""COMPUTED_VALUE"""),45506.64583333333)</f>
        <v>45506.64583</v>
      </c>
      <c r="B47" s="6">
        <f>IFERROR(__xludf.DUMMYFUNCTION("""COMPUTED_VALUE"""),67.35)</f>
        <v>67.35</v>
      </c>
      <c r="C47" s="6">
        <f>IFERROR(__xludf.DUMMYFUNCTION("""COMPUTED_VALUE"""),67.67)</f>
        <v>67.67</v>
      </c>
      <c r="D47" s="6">
        <f>IFERROR(__xludf.DUMMYFUNCTION("""COMPUTED_VALUE"""),63.78)</f>
        <v>63.78</v>
      </c>
      <c r="E47" s="6">
        <f>IFERROR(__xludf.DUMMYFUNCTION("""COMPUTED_VALUE"""),64.49)</f>
        <v>64.49</v>
      </c>
      <c r="F47" s="6">
        <f>IFERROR(__xludf.DUMMYFUNCTION("""COMPUTED_VALUE"""),1.0123007E8)</f>
        <v>101230070</v>
      </c>
    </row>
    <row r="48">
      <c r="A48" s="7">
        <f>IFERROR(__xludf.DUMMYFUNCTION("""COMPUTED_VALUE"""),45513.64583333333)</f>
        <v>45513.64583</v>
      </c>
      <c r="B48" s="6">
        <f>IFERROR(__xludf.DUMMYFUNCTION("""COMPUTED_VALUE"""),62.04)</f>
        <v>62.04</v>
      </c>
      <c r="C48" s="6">
        <f>IFERROR(__xludf.DUMMYFUNCTION("""COMPUTED_VALUE"""),64.44)</f>
        <v>64.44</v>
      </c>
      <c r="D48" s="6">
        <f>IFERROR(__xludf.DUMMYFUNCTION("""COMPUTED_VALUE"""),60.3)</f>
        <v>60.3</v>
      </c>
      <c r="E48" s="6">
        <f>IFERROR(__xludf.DUMMYFUNCTION("""COMPUTED_VALUE"""),61.97)</f>
        <v>61.97</v>
      </c>
      <c r="F48" s="6">
        <f>IFERROR(__xludf.DUMMYFUNCTION("""COMPUTED_VALUE"""),1.64768449E8)</f>
        <v>164768449</v>
      </c>
    </row>
    <row r="49">
      <c r="A49" s="7">
        <f>IFERROR(__xludf.DUMMYFUNCTION("""COMPUTED_VALUE"""),45520.64583333333)</f>
        <v>45520.64583</v>
      </c>
      <c r="B49" s="6">
        <f>IFERROR(__xludf.DUMMYFUNCTION("""COMPUTED_VALUE"""),61.97)</f>
        <v>61.97</v>
      </c>
      <c r="C49" s="6">
        <f>IFERROR(__xludf.DUMMYFUNCTION("""COMPUTED_VALUE"""),63.8)</f>
        <v>63.8</v>
      </c>
      <c r="D49" s="6">
        <f>IFERROR(__xludf.DUMMYFUNCTION("""COMPUTED_VALUE"""),61.75)</f>
        <v>61.75</v>
      </c>
      <c r="E49" s="6">
        <f>IFERROR(__xludf.DUMMYFUNCTION("""COMPUTED_VALUE"""),62.84)</f>
        <v>62.84</v>
      </c>
      <c r="F49" s="6">
        <f>IFERROR(__xludf.DUMMYFUNCTION("""COMPUTED_VALUE"""),6.3844411E7)</f>
        <v>63844411</v>
      </c>
    </row>
    <row r="50">
      <c r="A50" s="7">
        <f>IFERROR(__xludf.DUMMYFUNCTION("""COMPUTED_VALUE"""),45527.64583333333)</f>
        <v>45527.64583</v>
      </c>
      <c r="B50" s="6">
        <f>IFERROR(__xludf.DUMMYFUNCTION("""COMPUTED_VALUE"""),63.1)</f>
        <v>63.1</v>
      </c>
      <c r="C50" s="6">
        <f>IFERROR(__xludf.DUMMYFUNCTION("""COMPUTED_VALUE"""),65.6)</f>
        <v>65.6</v>
      </c>
      <c r="D50" s="6">
        <f>IFERROR(__xludf.DUMMYFUNCTION("""COMPUTED_VALUE"""),63.09)</f>
        <v>63.09</v>
      </c>
      <c r="E50" s="6">
        <f>IFERROR(__xludf.DUMMYFUNCTION("""COMPUTED_VALUE"""),64.71)</f>
        <v>64.71</v>
      </c>
      <c r="F50" s="6">
        <f>IFERROR(__xludf.DUMMYFUNCTION("""COMPUTED_VALUE"""),7.8478577E7)</f>
        <v>78478577</v>
      </c>
    </row>
    <row r="51">
      <c r="A51" s="7">
        <f>IFERROR(__xludf.DUMMYFUNCTION("""COMPUTED_VALUE"""),45534.64583333333)</f>
        <v>45534.64583</v>
      </c>
      <c r="B51" s="6">
        <f>IFERROR(__xludf.DUMMYFUNCTION("""COMPUTED_VALUE"""),65.39)</f>
        <v>65.39</v>
      </c>
      <c r="C51" s="6">
        <f>IFERROR(__xludf.DUMMYFUNCTION("""COMPUTED_VALUE"""),66.9)</f>
        <v>66.9</v>
      </c>
      <c r="D51" s="6">
        <f>IFERROR(__xludf.DUMMYFUNCTION("""COMPUTED_VALUE"""),63.2)</f>
        <v>63.2</v>
      </c>
      <c r="E51" s="6">
        <f>IFERROR(__xludf.DUMMYFUNCTION("""COMPUTED_VALUE"""),63.35)</f>
        <v>63.35</v>
      </c>
      <c r="F51" s="6">
        <f>IFERROR(__xludf.DUMMYFUNCTION("""COMPUTED_VALUE"""),1.07193214E8)</f>
        <v>107193214</v>
      </c>
    </row>
    <row r="52">
      <c r="A52" s="7">
        <f>IFERROR(__xludf.DUMMYFUNCTION("""COMPUTED_VALUE"""),45541.64583333333)</f>
        <v>45541.64583</v>
      </c>
      <c r="B52" s="6">
        <f>IFERROR(__xludf.DUMMYFUNCTION("""COMPUTED_VALUE"""),63.5)</f>
        <v>63.5</v>
      </c>
      <c r="C52" s="6">
        <f>IFERROR(__xludf.DUMMYFUNCTION("""COMPUTED_VALUE"""),64.22)</f>
        <v>64.22</v>
      </c>
      <c r="D52" s="6">
        <f>IFERROR(__xludf.DUMMYFUNCTION("""COMPUTED_VALUE"""),61.25)</f>
        <v>61.25</v>
      </c>
      <c r="E52" s="6">
        <f>IFERROR(__xludf.DUMMYFUNCTION("""COMPUTED_VALUE"""),61.91)</f>
        <v>61.91</v>
      </c>
      <c r="F52" s="6">
        <f>IFERROR(__xludf.DUMMYFUNCTION("""COMPUTED_VALUE"""),9.1604935E7)</f>
        <v>91604935</v>
      </c>
    </row>
    <row r="53">
      <c r="A53" s="7">
        <f>IFERROR(__xludf.DUMMYFUNCTION("""COMPUTED_VALUE"""),45548.64583333333)</f>
        <v>45548.64583</v>
      </c>
      <c r="B53" s="6">
        <f>IFERROR(__xludf.DUMMYFUNCTION("""COMPUTED_VALUE"""),61.86)</f>
        <v>61.86</v>
      </c>
      <c r="C53" s="6">
        <f>IFERROR(__xludf.DUMMYFUNCTION("""COMPUTED_VALUE"""),63.63)</f>
        <v>63.63</v>
      </c>
      <c r="D53" s="6">
        <f>IFERROR(__xludf.DUMMYFUNCTION("""COMPUTED_VALUE"""),59.12)</f>
        <v>59.12</v>
      </c>
      <c r="E53" s="6">
        <f>IFERROR(__xludf.DUMMYFUNCTION("""COMPUTED_VALUE"""),61.44)</f>
        <v>61.44</v>
      </c>
      <c r="F53" s="6">
        <f>IFERROR(__xludf.DUMMYFUNCTION("""COMPUTED_VALUE"""),1.11056979E8)</f>
        <v>111056979</v>
      </c>
    </row>
    <row r="54">
      <c r="A54" s="7">
        <f>IFERROR(__xludf.DUMMYFUNCTION("""COMPUTED_VALUE"""),45555.64583333333)</f>
        <v>45555.64583</v>
      </c>
      <c r="B54" s="6">
        <f>IFERROR(__xludf.DUMMYFUNCTION("""COMPUTED_VALUE"""),61.75)</f>
        <v>61.75</v>
      </c>
      <c r="C54" s="6">
        <f>IFERROR(__xludf.DUMMYFUNCTION("""COMPUTED_VALUE"""),65.5)</f>
        <v>65.5</v>
      </c>
      <c r="D54" s="6">
        <f>IFERROR(__xludf.DUMMYFUNCTION("""COMPUTED_VALUE"""),58.0)</f>
        <v>58</v>
      </c>
      <c r="E54" s="6">
        <f>IFERROR(__xludf.DUMMYFUNCTION("""COMPUTED_VALUE"""),63.08)</f>
        <v>63.08</v>
      </c>
      <c r="F54" s="6">
        <f>IFERROR(__xludf.DUMMYFUNCTION("""COMPUTED_VALUE"""),2.16803058E8)</f>
        <v>216803058</v>
      </c>
    </row>
    <row r="55">
      <c r="A55" s="7">
        <f>IFERROR(__xludf.DUMMYFUNCTION("""COMPUTED_VALUE"""),45562.64583333333)</f>
        <v>45562.64583</v>
      </c>
      <c r="B55" s="6">
        <f>IFERROR(__xludf.DUMMYFUNCTION("""COMPUTED_VALUE"""),64.12)</f>
        <v>64.12</v>
      </c>
      <c r="C55" s="6">
        <f>IFERROR(__xludf.DUMMYFUNCTION("""COMPUTED_VALUE"""),64.3)</f>
        <v>64.3</v>
      </c>
      <c r="D55" s="6">
        <f>IFERROR(__xludf.DUMMYFUNCTION("""COMPUTED_VALUE"""),60.6)</f>
        <v>60.6</v>
      </c>
      <c r="E55" s="6">
        <f>IFERROR(__xludf.DUMMYFUNCTION("""COMPUTED_VALUE"""),62.91)</f>
        <v>62.91</v>
      </c>
      <c r="F55" s="6">
        <f>IFERROR(__xludf.DUMMYFUNCTION("""COMPUTED_VALUE"""),7.0455867E7)</f>
        <v>70455867</v>
      </c>
    </row>
    <row r="56">
      <c r="A56" s="7">
        <f>IFERROR(__xludf.DUMMYFUNCTION("""COMPUTED_VALUE"""),45569.64583333333)</f>
        <v>45569.64583</v>
      </c>
      <c r="B56" s="6">
        <f>IFERROR(__xludf.DUMMYFUNCTION("""COMPUTED_VALUE"""),62.15)</f>
        <v>62.15</v>
      </c>
      <c r="C56" s="6">
        <f>IFERROR(__xludf.DUMMYFUNCTION("""COMPUTED_VALUE"""),62.88)</f>
        <v>62.88</v>
      </c>
      <c r="D56" s="6">
        <f>IFERROR(__xludf.DUMMYFUNCTION("""COMPUTED_VALUE"""),58.52)</f>
        <v>58.52</v>
      </c>
      <c r="E56" s="6">
        <f>IFERROR(__xludf.DUMMYFUNCTION("""COMPUTED_VALUE"""),59.69)</f>
        <v>59.69</v>
      </c>
      <c r="F56" s="6">
        <f>IFERROR(__xludf.DUMMYFUNCTION("""COMPUTED_VALUE"""),5.9975413E7)</f>
        <v>59975413</v>
      </c>
    </row>
    <row r="57">
      <c r="A57" s="7">
        <f>IFERROR(__xludf.DUMMYFUNCTION("""COMPUTED_VALUE"""),45576.64583333333)</f>
        <v>45576.64583</v>
      </c>
      <c r="B57" s="6">
        <f>IFERROR(__xludf.DUMMYFUNCTION("""COMPUTED_VALUE"""),59.8)</f>
        <v>59.8</v>
      </c>
      <c r="C57" s="6">
        <f>IFERROR(__xludf.DUMMYFUNCTION("""COMPUTED_VALUE"""),60.89)</f>
        <v>60.89</v>
      </c>
      <c r="D57" s="6">
        <f>IFERROR(__xludf.DUMMYFUNCTION("""COMPUTED_VALUE"""),55.06)</f>
        <v>55.06</v>
      </c>
      <c r="E57" s="6">
        <f>IFERROR(__xludf.DUMMYFUNCTION("""COMPUTED_VALUE"""),59.45)</f>
        <v>59.45</v>
      </c>
      <c r="F57" s="6">
        <f>IFERROR(__xludf.DUMMYFUNCTION("""COMPUTED_VALUE"""),7.9000643E7)</f>
        <v>79000643</v>
      </c>
    </row>
    <row r="58">
      <c r="A58" s="7">
        <f>IFERROR(__xludf.DUMMYFUNCTION("""COMPUTED_VALUE"""),45583.64583333333)</f>
        <v>45583.64583</v>
      </c>
      <c r="B58" s="6">
        <f>IFERROR(__xludf.DUMMYFUNCTION("""COMPUTED_VALUE"""),59.6)</f>
        <v>59.6</v>
      </c>
      <c r="C58" s="6">
        <f>IFERROR(__xludf.DUMMYFUNCTION("""COMPUTED_VALUE"""),60.5)</f>
        <v>60.5</v>
      </c>
      <c r="D58" s="6">
        <f>IFERROR(__xludf.DUMMYFUNCTION("""COMPUTED_VALUE"""),56.21)</f>
        <v>56.21</v>
      </c>
      <c r="E58" s="6">
        <f>IFERROR(__xludf.DUMMYFUNCTION("""COMPUTED_VALUE"""),57.27)</f>
        <v>57.27</v>
      </c>
      <c r="F58" s="6">
        <f>IFERROR(__xludf.DUMMYFUNCTION("""COMPUTED_VALUE"""),5.2310454E7)</f>
        <v>52310454</v>
      </c>
    </row>
    <row r="59">
      <c r="A59" s="7">
        <f>IFERROR(__xludf.DUMMYFUNCTION("""COMPUTED_VALUE"""),45590.64583333333)</f>
        <v>45590.64583</v>
      </c>
      <c r="B59" s="6">
        <f>IFERROR(__xludf.DUMMYFUNCTION("""COMPUTED_VALUE"""),57.5)</f>
        <v>57.5</v>
      </c>
      <c r="C59" s="6">
        <f>IFERROR(__xludf.DUMMYFUNCTION("""COMPUTED_VALUE"""),57.75)</f>
        <v>57.75</v>
      </c>
      <c r="D59" s="6">
        <f>IFERROR(__xludf.DUMMYFUNCTION("""COMPUTED_VALUE"""),50.06)</f>
        <v>50.06</v>
      </c>
      <c r="E59" s="6">
        <f>IFERROR(__xludf.DUMMYFUNCTION("""COMPUTED_VALUE"""),50.79)</f>
        <v>50.79</v>
      </c>
      <c r="F59" s="6">
        <f>IFERROR(__xludf.DUMMYFUNCTION("""COMPUTED_VALUE"""),8.287346E7)</f>
        <v>82873460</v>
      </c>
    </row>
    <row r="60">
      <c r="A60" s="7">
        <f>IFERROR(__xludf.DUMMYFUNCTION("""COMPUTED_VALUE"""),45604.64583333333)</f>
        <v>45604.64583</v>
      </c>
      <c r="B60" s="6">
        <f>IFERROR(__xludf.DUMMYFUNCTION("""COMPUTED_VALUE"""),53.49)</f>
        <v>53.49</v>
      </c>
      <c r="C60" s="6">
        <f>IFERROR(__xludf.DUMMYFUNCTION("""COMPUTED_VALUE"""),53.49)</f>
        <v>53.49</v>
      </c>
      <c r="D60" s="6">
        <f>IFERROR(__xludf.DUMMYFUNCTION("""COMPUTED_VALUE"""),50.88)</f>
        <v>50.88</v>
      </c>
      <c r="E60" s="6">
        <f>IFERROR(__xludf.DUMMYFUNCTION("""COMPUTED_VALUE"""),51.44)</f>
        <v>51.44</v>
      </c>
      <c r="F60" s="6">
        <f>IFERROR(__xludf.DUMMYFUNCTION("""COMPUTED_VALUE"""),6.2050607E7)</f>
        <v>62050607</v>
      </c>
    </row>
    <row r="61">
      <c r="A61" s="7">
        <f>IFERROR(__xludf.DUMMYFUNCTION("""COMPUTED_VALUE"""),45610.64583333333)</f>
        <v>45610.64583</v>
      </c>
      <c r="B61" s="6">
        <f>IFERROR(__xludf.DUMMYFUNCTION("""COMPUTED_VALUE"""),51.5)</f>
        <v>51.5</v>
      </c>
      <c r="C61" s="6">
        <f>IFERROR(__xludf.DUMMYFUNCTION("""COMPUTED_VALUE"""),52.32)</f>
        <v>52.32</v>
      </c>
      <c r="D61" s="6">
        <f>IFERROR(__xludf.DUMMYFUNCTION("""COMPUTED_VALUE"""),47.61)</f>
        <v>47.61</v>
      </c>
      <c r="E61" s="6">
        <f>IFERROR(__xludf.DUMMYFUNCTION("""COMPUTED_VALUE"""),47.76)</f>
        <v>47.76</v>
      </c>
      <c r="F61" s="6">
        <f>IFERROR(__xludf.DUMMYFUNCTION("""COMPUTED_VALUE"""),5.7946354E7)</f>
        <v>57946354</v>
      </c>
    </row>
    <row r="62">
      <c r="A62" s="7">
        <f>IFERROR(__xludf.DUMMYFUNCTION("""COMPUTED_VALUE"""),45618.64583333333)</f>
        <v>45618.64583</v>
      </c>
      <c r="B62" s="6">
        <f>IFERROR(__xludf.DUMMYFUNCTION("""COMPUTED_VALUE"""),47.87)</f>
        <v>47.87</v>
      </c>
      <c r="C62" s="6">
        <f>IFERROR(__xludf.DUMMYFUNCTION("""COMPUTED_VALUE"""),48.83)</f>
        <v>48.83</v>
      </c>
      <c r="D62" s="6">
        <f>IFERROR(__xludf.DUMMYFUNCTION("""COMPUTED_VALUE"""),45.06)</f>
        <v>45.06</v>
      </c>
      <c r="E62" s="6">
        <f>IFERROR(__xludf.DUMMYFUNCTION("""COMPUTED_VALUE"""),47.6)</f>
        <v>47.6</v>
      </c>
      <c r="F62" s="6">
        <f>IFERROR(__xludf.DUMMYFUNCTION("""COMPUTED_VALUE"""),6.9522748E7)</f>
        <v>69522748</v>
      </c>
    </row>
    <row r="63">
      <c r="A63" s="7">
        <f>IFERROR(__xludf.DUMMYFUNCTION("""COMPUTED_VALUE"""),45625.64583333333)</f>
        <v>45625.64583</v>
      </c>
      <c r="B63" s="6">
        <f>IFERROR(__xludf.DUMMYFUNCTION("""COMPUTED_VALUE"""),49.3)</f>
        <v>49.3</v>
      </c>
      <c r="C63" s="6">
        <f>IFERROR(__xludf.DUMMYFUNCTION("""COMPUTED_VALUE"""),53.82)</f>
        <v>53.82</v>
      </c>
      <c r="D63" s="6">
        <f>IFERROR(__xludf.DUMMYFUNCTION("""COMPUTED_VALUE"""),49.3)</f>
        <v>49.3</v>
      </c>
      <c r="E63" s="6">
        <f>IFERROR(__xludf.DUMMYFUNCTION("""COMPUTED_VALUE"""),53.39)</f>
        <v>53.39</v>
      </c>
      <c r="F63" s="6">
        <f>IFERROR(__xludf.DUMMYFUNCTION("""COMPUTED_VALUE"""),1.21638174E8)</f>
        <v>121638174</v>
      </c>
    </row>
    <row r="64">
      <c r="A64" s="7">
        <f>IFERROR(__xludf.DUMMYFUNCTION("""COMPUTED_VALUE"""),45632.64583333333)</f>
        <v>45632.64583</v>
      </c>
      <c r="B64" s="6">
        <f>IFERROR(__xludf.DUMMYFUNCTION("""COMPUTED_VALUE"""),53.34)</f>
        <v>53.34</v>
      </c>
      <c r="C64" s="6">
        <f>IFERROR(__xludf.DUMMYFUNCTION("""COMPUTED_VALUE"""),59.46)</f>
        <v>59.46</v>
      </c>
      <c r="D64" s="6">
        <f>IFERROR(__xludf.DUMMYFUNCTION("""COMPUTED_VALUE"""),52.89)</f>
        <v>52.89</v>
      </c>
      <c r="E64" s="6">
        <f>IFERROR(__xludf.DUMMYFUNCTION("""COMPUTED_VALUE"""),59.0)</f>
        <v>59</v>
      </c>
      <c r="F64" s="6">
        <f>IFERROR(__xludf.DUMMYFUNCTION("""COMPUTED_VALUE"""),9.8234712E7)</f>
        <v>98234712</v>
      </c>
    </row>
    <row r="65">
      <c r="A65" s="7">
        <f>IFERROR(__xludf.DUMMYFUNCTION("""COMPUTED_VALUE"""),45639.64583333333)</f>
        <v>45639.64583</v>
      </c>
      <c r="B65" s="6">
        <f>IFERROR(__xludf.DUMMYFUNCTION("""COMPUTED_VALUE"""),59.24)</f>
        <v>59.24</v>
      </c>
      <c r="C65" s="6">
        <f>IFERROR(__xludf.DUMMYFUNCTION("""COMPUTED_VALUE"""),61.99)</f>
        <v>61.99</v>
      </c>
      <c r="D65" s="6">
        <f>IFERROR(__xludf.DUMMYFUNCTION("""COMPUTED_VALUE"""),56.81)</f>
        <v>56.81</v>
      </c>
      <c r="E65" s="6">
        <f>IFERROR(__xludf.DUMMYFUNCTION("""COMPUTED_VALUE"""),59.11)</f>
        <v>59.11</v>
      </c>
      <c r="F65" s="6">
        <f>IFERROR(__xludf.DUMMYFUNCTION("""COMPUTED_VALUE"""),2.1142318E8)</f>
        <v>211423180</v>
      </c>
    </row>
    <row r="66">
      <c r="A66" s="7">
        <f>IFERROR(__xludf.DUMMYFUNCTION("""COMPUTED_VALUE"""),45646.64583333333)</f>
        <v>45646.64583</v>
      </c>
      <c r="B66" s="6">
        <f>IFERROR(__xludf.DUMMYFUNCTION("""COMPUTED_VALUE"""),59.14)</f>
        <v>59.14</v>
      </c>
      <c r="C66" s="6">
        <f>IFERROR(__xludf.DUMMYFUNCTION("""COMPUTED_VALUE"""),59.34)</f>
        <v>59.34</v>
      </c>
      <c r="D66" s="6">
        <f>IFERROR(__xludf.DUMMYFUNCTION("""COMPUTED_VALUE"""),54.83)</f>
        <v>54.83</v>
      </c>
      <c r="E66" s="6">
        <f>IFERROR(__xludf.DUMMYFUNCTION("""COMPUTED_VALUE"""),55.09)</f>
        <v>55.09</v>
      </c>
      <c r="F66" s="6">
        <f>IFERROR(__xludf.DUMMYFUNCTION("""COMPUTED_VALUE"""),6.0321321E7)</f>
        <v>60321321</v>
      </c>
    </row>
    <row r="67">
      <c r="A67" s="7">
        <f>IFERROR(__xludf.DUMMYFUNCTION("""COMPUTED_VALUE"""),45653.64583333333)</f>
        <v>45653.64583</v>
      </c>
      <c r="B67" s="6">
        <f>IFERROR(__xludf.DUMMYFUNCTION("""COMPUTED_VALUE"""),56.0)</f>
        <v>56</v>
      </c>
      <c r="C67" s="6">
        <f>IFERROR(__xludf.DUMMYFUNCTION("""COMPUTED_VALUE"""),56.24)</f>
        <v>56.24</v>
      </c>
      <c r="D67" s="6">
        <f>IFERROR(__xludf.DUMMYFUNCTION("""COMPUTED_VALUE"""),54.38)</f>
        <v>54.38</v>
      </c>
      <c r="E67" s="6">
        <f>IFERROR(__xludf.DUMMYFUNCTION("""COMPUTED_VALUE"""),55.23)</f>
        <v>55.23</v>
      </c>
      <c r="F67" s="6">
        <f>IFERROR(__xludf.DUMMYFUNCTION("""COMPUTED_VALUE"""),4.0267583E7)</f>
        <v>40267583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IFERROR(__xludf.DUMMYFUNCTION("""COMPUTED_VALUE"""),55.61)</f>
        <v>55.61</v>
      </c>
      <c r="C68" s="6">
        <f>IFERROR(__xludf.DUMMYFUNCTION("""COMPUTED_VALUE"""),60.95)</f>
        <v>60.95</v>
      </c>
      <c r="D68" s="6">
        <f>IFERROR(__xludf.DUMMYFUNCTION("""COMPUTED_VALUE"""),55.25)</f>
        <v>55.25</v>
      </c>
      <c r="E68" s="6">
        <f>IFERROR(__xludf.DUMMYFUNCTION("""COMPUTED_VALUE"""),60.31)</f>
        <v>60.31</v>
      </c>
      <c r="F68" s="6">
        <f>IFERROR(__xludf.DUMMYFUNCTION("""COMPUTED_VALUE"""),1.09639776E8)</f>
        <v>109639776</v>
      </c>
    </row>
    <row r="69">
      <c r="A69" s="7">
        <f>IFERROR(__xludf.DUMMYFUNCTION("""COMPUTED_VALUE"""),45667.64583333333)</f>
        <v>45667.64583</v>
      </c>
      <c r="B69" s="6">
        <f>IFERROR(__xludf.DUMMYFUNCTION("""COMPUTED_VALUE"""),60.2)</f>
        <v>60.2</v>
      </c>
      <c r="C69" s="6">
        <f>IFERROR(__xludf.DUMMYFUNCTION("""COMPUTED_VALUE"""),60.25)</f>
        <v>60.25</v>
      </c>
      <c r="D69" s="6">
        <f>IFERROR(__xludf.DUMMYFUNCTION("""COMPUTED_VALUE"""),52.75)</f>
        <v>52.75</v>
      </c>
      <c r="E69" s="6">
        <f>IFERROR(__xludf.DUMMYFUNCTION("""COMPUTED_VALUE"""),52.91)</f>
        <v>52.91</v>
      </c>
      <c r="F69" s="6">
        <f>IFERROR(__xludf.DUMMYFUNCTION("""COMPUTED_VALUE"""),8.4972586E7)</f>
        <v>84972586</v>
      </c>
    </row>
    <row r="70">
      <c r="A70" s="7">
        <f>IFERROR(__xludf.DUMMYFUNCTION("""COMPUTED_VALUE"""),45674.64583333333)</f>
        <v>45674.64583</v>
      </c>
      <c r="B70" s="6">
        <f>IFERROR(__xludf.DUMMYFUNCTION("""COMPUTED_VALUE"""),51.69)</f>
        <v>51.69</v>
      </c>
      <c r="C70" s="6">
        <f>IFERROR(__xludf.DUMMYFUNCTION("""COMPUTED_VALUE"""),55.29)</f>
        <v>55.29</v>
      </c>
      <c r="D70" s="6">
        <f>IFERROR(__xludf.DUMMYFUNCTION("""COMPUTED_VALUE"""),49.42)</f>
        <v>49.42</v>
      </c>
      <c r="E70" s="6">
        <f>IFERROR(__xludf.DUMMYFUNCTION("""COMPUTED_VALUE"""),54.89)</f>
        <v>54.89</v>
      </c>
      <c r="F70" s="6">
        <f>IFERROR(__xludf.DUMMYFUNCTION("""COMPUTED_VALUE"""),8.4840189E7)</f>
        <v>84840189</v>
      </c>
    </row>
    <row r="71">
      <c r="A71" s="7">
        <f>IFERROR(__xludf.DUMMYFUNCTION("""COMPUTED_VALUE"""),45681.64583333333)</f>
        <v>45681.64583</v>
      </c>
      <c r="B71" s="6">
        <f>IFERROR(__xludf.DUMMYFUNCTION("""COMPUTED_VALUE"""),55.14)</f>
        <v>55.14</v>
      </c>
      <c r="C71" s="6">
        <f>IFERROR(__xludf.DUMMYFUNCTION("""COMPUTED_VALUE"""),55.3)</f>
        <v>55.3</v>
      </c>
      <c r="D71" s="6">
        <f>IFERROR(__xludf.DUMMYFUNCTION("""COMPUTED_VALUE"""),50.88)</f>
        <v>50.88</v>
      </c>
      <c r="E71" s="6">
        <f>IFERROR(__xludf.DUMMYFUNCTION("""COMPUTED_VALUE"""),51.94)</f>
        <v>51.94</v>
      </c>
      <c r="F71" s="6">
        <f>IFERROR(__xludf.DUMMYFUNCTION("""COMPUTED_VALUE"""),5.9157935E7)</f>
        <v>59157935</v>
      </c>
    </row>
    <row r="72">
      <c r="A72" s="7">
        <f>IFERROR(__xludf.DUMMYFUNCTION("""COMPUTED_VALUE"""),45695.64583333333)</f>
        <v>45695.64583</v>
      </c>
      <c r="B72" s="6">
        <f>IFERROR(__xludf.DUMMYFUNCTION("""COMPUTED_VALUE"""),55.0)</f>
        <v>55</v>
      </c>
      <c r="C72" s="6">
        <f>IFERROR(__xludf.DUMMYFUNCTION("""COMPUTED_VALUE"""),55.15)</f>
        <v>55.15</v>
      </c>
      <c r="D72" s="6">
        <f>IFERROR(__xludf.DUMMYFUNCTION("""COMPUTED_VALUE"""),52.33)</f>
        <v>52.33</v>
      </c>
      <c r="E72" s="6">
        <f>IFERROR(__xludf.DUMMYFUNCTION("""COMPUTED_VALUE"""),53.21)</f>
        <v>53.21</v>
      </c>
      <c r="F72" s="6">
        <f>IFERROR(__xludf.DUMMYFUNCTION("""COMPUTED_VALUE"""),6.8989201E7)</f>
        <v>68989201</v>
      </c>
    </row>
    <row r="73">
      <c r="A73" s="7">
        <f>IFERROR(__xludf.DUMMYFUNCTION("""COMPUTED_VALUE"""),45702.64583333333)</f>
        <v>45702.64583</v>
      </c>
      <c r="B73" s="6">
        <f>IFERROR(__xludf.DUMMYFUNCTION("""COMPUTED_VALUE"""),53.15)</f>
        <v>53.15</v>
      </c>
      <c r="C73" s="6">
        <f>IFERROR(__xludf.DUMMYFUNCTION("""COMPUTED_VALUE"""),53.3)</f>
        <v>53.3</v>
      </c>
      <c r="D73" s="6">
        <f>IFERROR(__xludf.DUMMYFUNCTION("""COMPUTED_VALUE"""),46.65)</f>
        <v>46.65</v>
      </c>
      <c r="E73" s="6">
        <f>IFERROR(__xludf.DUMMYFUNCTION("""COMPUTED_VALUE"""),47.39)</f>
        <v>47.39</v>
      </c>
      <c r="F73" s="6">
        <f>IFERROR(__xludf.DUMMYFUNCTION("""COMPUTED_VALUE"""),8.7820545E7)</f>
        <v>87820545</v>
      </c>
    </row>
    <row r="74">
      <c r="A74" s="7">
        <f>IFERROR(__xludf.DUMMYFUNCTION("""COMPUTED_VALUE"""),45709.64583333333)</f>
        <v>45709.64583</v>
      </c>
      <c r="B74" s="6">
        <f>IFERROR(__xludf.DUMMYFUNCTION("""COMPUTED_VALUE"""),46.55)</f>
        <v>46.55</v>
      </c>
      <c r="C74" s="6">
        <f>IFERROR(__xludf.DUMMYFUNCTION("""COMPUTED_VALUE"""),49.4)</f>
        <v>49.4</v>
      </c>
      <c r="D74" s="6">
        <f>IFERROR(__xludf.DUMMYFUNCTION("""COMPUTED_VALUE"""),45.41)</f>
        <v>45.41</v>
      </c>
      <c r="E74" s="6">
        <f>IFERROR(__xludf.DUMMYFUNCTION("""COMPUTED_VALUE"""),47.46)</f>
        <v>47.46</v>
      </c>
      <c r="F74" s="6">
        <f>IFERROR(__xludf.DUMMYFUNCTION("""COMPUTED_VALUE"""),8.1828093E7)</f>
        <v>81828093</v>
      </c>
    </row>
    <row r="75">
      <c r="A75" s="7">
        <f>IFERROR(__xludf.DUMMYFUNCTION("""COMPUTED_VALUE"""),45716.64583333333)</f>
        <v>45716.64583</v>
      </c>
      <c r="B75" s="6">
        <f>IFERROR(__xludf.DUMMYFUNCTION("""COMPUTED_VALUE"""),46.91)</f>
        <v>46.91</v>
      </c>
      <c r="C75" s="6">
        <f>IFERROR(__xludf.DUMMYFUNCTION("""COMPUTED_VALUE"""),47.67)</f>
        <v>47.67</v>
      </c>
      <c r="D75" s="6">
        <f>IFERROR(__xludf.DUMMYFUNCTION("""COMPUTED_VALUE"""),42.68)</f>
        <v>42.68</v>
      </c>
      <c r="E75" s="6">
        <f>IFERROR(__xludf.DUMMYFUNCTION("""COMPUTED_VALUE"""),43.26)</f>
        <v>43.26</v>
      </c>
      <c r="F75" s="6">
        <f>IFERROR(__xludf.DUMMYFUNCTION("""COMPUTED_VALUE"""),6.0148748E7)</f>
        <v>60148748</v>
      </c>
    </row>
    <row r="76">
      <c r="A76" s="7">
        <f>IFERROR(__xludf.DUMMYFUNCTION("""COMPUTED_VALUE"""),45723.64583333333)</f>
        <v>45723.64583</v>
      </c>
      <c r="B76" s="6">
        <f>IFERROR(__xludf.DUMMYFUNCTION("""COMPUTED_VALUE"""),43.4)</f>
        <v>43.4</v>
      </c>
      <c r="C76" s="6">
        <f>IFERROR(__xludf.DUMMYFUNCTION("""COMPUTED_VALUE"""),45.79)</f>
        <v>45.79</v>
      </c>
      <c r="D76" s="6">
        <f>IFERROR(__xludf.DUMMYFUNCTION("""COMPUTED_VALUE"""),41.04)</f>
        <v>41.04</v>
      </c>
      <c r="E76" s="6">
        <f>IFERROR(__xludf.DUMMYFUNCTION("""COMPUTED_VALUE"""),44.51)</f>
        <v>44.51</v>
      </c>
      <c r="F76" s="6">
        <f>IFERROR(__xludf.DUMMYFUNCTION("""COMPUTED_VALUE"""),8.0897824E7)</f>
        <v>80897824</v>
      </c>
    </row>
    <row r="77">
      <c r="A77" s="7">
        <f>IFERROR(__xludf.DUMMYFUNCTION("""COMPUTED_VALUE"""),45729.64583333333)</f>
        <v>45729.64583</v>
      </c>
      <c r="B77" s="6">
        <f>IFERROR(__xludf.DUMMYFUNCTION("""COMPUTED_VALUE"""),45.15)</f>
        <v>45.15</v>
      </c>
      <c r="C77" s="6">
        <f>IFERROR(__xludf.DUMMYFUNCTION("""COMPUTED_VALUE"""),45.95)</f>
        <v>45.95</v>
      </c>
      <c r="D77" s="6">
        <f>IFERROR(__xludf.DUMMYFUNCTION("""COMPUTED_VALUE"""),42.54)</f>
        <v>42.54</v>
      </c>
      <c r="E77" s="6">
        <f>IFERROR(__xludf.DUMMYFUNCTION("""COMPUTED_VALUE"""),42.8)</f>
        <v>42.8</v>
      </c>
      <c r="F77" s="6">
        <f>IFERROR(__xludf.DUMMYFUNCTION("""COMPUTED_VALUE"""),6.7664315E7)</f>
        <v>67664315</v>
      </c>
    </row>
    <row r="78">
      <c r="A78" s="7">
        <f>IFERROR(__xludf.DUMMYFUNCTION("""COMPUTED_VALUE"""),45737.64583333333)</f>
        <v>45737.64583</v>
      </c>
      <c r="B78" s="6">
        <f>IFERROR(__xludf.DUMMYFUNCTION("""COMPUTED_VALUE"""),42.9)</f>
        <v>42.9</v>
      </c>
      <c r="C78" s="6">
        <f>IFERROR(__xludf.DUMMYFUNCTION("""COMPUTED_VALUE"""),47.13)</f>
        <v>47.13</v>
      </c>
      <c r="D78" s="6">
        <f>IFERROR(__xludf.DUMMYFUNCTION("""COMPUTED_VALUE"""),42.63)</f>
        <v>42.63</v>
      </c>
      <c r="E78" s="6">
        <f>IFERROR(__xludf.DUMMYFUNCTION("""COMPUTED_VALUE"""),46.8)</f>
        <v>46.8</v>
      </c>
      <c r="F78" s="6">
        <f>IFERROR(__xludf.DUMMYFUNCTION("""COMPUTED_VALUE"""),7.4949516E7)</f>
        <v>74949516</v>
      </c>
    </row>
    <row r="79">
      <c r="A79" s="7">
        <f>IFERROR(__xludf.DUMMYFUNCTION("""COMPUTED_VALUE"""),45744.64583333333)</f>
        <v>45744.64583</v>
      </c>
      <c r="B79" s="6">
        <f>IFERROR(__xludf.DUMMYFUNCTION("""COMPUTED_VALUE"""),47.02)</f>
        <v>47.02</v>
      </c>
      <c r="C79" s="6">
        <f>IFERROR(__xludf.DUMMYFUNCTION("""COMPUTED_VALUE"""),47.66)</f>
        <v>47.66</v>
      </c>
      <c r="D79" s="6">
        <f>IFERROR(__xludf.DUMMYFUNCTION("""COMPUTED_VALUE"""),44.59)</f>
        <v>44.59</v>
      </c>
      <c r="E79" s="6">
        <f>IFERROR(__xludf.DUMMYFUNCTION("""COMPUTED_VALUE"""),45.16)</f>
        <v>45.16</v>
      </c>
      <c r="F79" s="6">
        <f>IFERROR(__xludf.DUMMYFUNCTION("""COMPUTED_VALUE"""),8.4210576E7)</f>
        <v>84210576</v>
      </c>
    </row>
    <row r="80">
      <c r="A80" s="7">
        <f>IFERROR(__xludf.DUMMYFUNCTION("""COMPUTED_VALUE"""),45751.64583333333)</f>
        <v>45751.64583</v>
      </c>
      <c r="B80" s="6">
        <f>IFERROR(__xludf.DUMMYFUNCTION("""COMPUTED_VALUE"""),45.23)</f>
        <v>45.23</v>
      </c>
      <c r="C80" s="6">
        <f>IFERROR(__xludf.DUMMYFUNCTION("""COMPUTED_VALUE"""),47.74)</f>
        <v>47.74</v>
      </c>
      <c r="D80" s="6">
        <f>IFERROR(__xludf.DUMMYFUNCTION("""COMPUTED_VALUE"""),44.9)</f>
        <v>44.9</v>
      </c>
      <c r="E80" s="6">
        <f>IFERROR(__xludf.DUMMYFUNCTION("""COMPUTED_VALUE"""),45.52)</f>
        <v>45.52</v>
      </c>
      <c r="F80" s="6">
        <f>IFERROR(__xludf.DUMMYFUNCTION("""COMPUTED_VALUE"""),5.1561893E7)</f>
        <v>51561893</v>
      </c>
    </row>
    <row r="81">
      <c r="A81" s="7">
        <f>IFERROR(__xludf.DUMMYFUNCTION("""COMPUTED_VALUE"""),45758.64583333333)</f>
        <v>45758.64583</v>
      </c>
      <c r="B81" s="6">
        <f>IFERROR(__xludf.DUMMYFUNCTION("""COMPUTED_VALUE"""),40.96)</f>
        <v>40.96</v>
      </c>
      <c r="C81" s="6">
        <f>IFERROR(__xludf.DUMMYFUNCTION("""COMPUTED_VALUE"""),46.5)</f>
        <v>46.5</v>
      </c>
      <c r="D81" s="6">
        <f>IFERROR(__xludf.DUMMYFUNCTION("""COMPUTED_VALUE"""),40.96)</f>
        <v>40.96</v>
      </c>
      <c r="E81" s="6">
        <f>IFERROR(__xludf.DUMMYFUNCTION("""COMPUTED_VALUE"""),45.01)</f>
        <v>45.01</v>
      </c>
      <c r="F81" s="6">
        <f>IFERROR(__xludf.DUMMYFUNCTION("""COMPUTED_VALUE"""),8.2238591E7)</f>
        <v>82238591</v>
      </c>
    </row>
    <row r="82">
      <c r="A82" s="7">
        <f>IFERROR(__xludf.DUMMYFUNCTION("""COMPUTED_VALUE"""),45764.64583333333)</f>
        <v>45764.64583</v>
      </c>
      <c r="B82" s="6">
        <f>IFERROR(__xludf.DUMMYFUNCTION("""COMPUTED_VALUE"""),46.0)</f>
        <v>46</v>
      </c>
      <c r="C82" s="6">
        <f>IFERROR(__xludf.DUMMYFUNCTION("""COMPUTED_VALUE"""),47.37)</f>
        <v>47.37</v>
      </c>
      <c r="D82" s="6">
        <f>IFERROR(__xludf.DUMMYFUNCTION("""COMPUTED_VALUE"""),45.54)</f>
        <v>45.54</v>
      </c>
      <c r="E82" s="6">
        <f>IFERROR(__xludf.DUMMYFUNCTION("""COMPUTED_VALUE"""),46.91)</f>
        <v>46.91</v>
      </c>
      <c r="F82" s="6">
        <f>IFERROR(__xludf.DUMMYFUNCTION("""COMPUTED_VALUE"""),4.0319477E7)</f>
        <v>40319477</v>
      </c>
    </row>
    <row r="83">
      <c r="A83" s="7">
        <f>IFERROR(__xludf.DUMMYFUNCTION("""COMPUTED_VALUE"""),45772.64583333333)</f>
        <v>45772.64583</v>
      </c>
      <c r="B83" s="6">
        <f>IFERROR(__xludf.DUMMYFUNCTION("""COMPUTED_VALUE"""),47.0)</f>
        <v>47</v>
      </c>
      <c r="C83" s="6">
        <f>IFERROR(__xludf.DUMMYFUNCTION("""COMPUTED_VALUE"""),49.15)</f>
        <v>49.15</v>
      </c>
      <c r="D83" s="6">
        <f>IFERROR(__xludf.DUMMYFUNCTION("""COMPUTED_VALUE"""),46.11)</f>
        <v>46.11</v>
      </c>
      <c r="E83" s="6">
        <f>IFERROR(__xludf.DUMMYFUNCTION("""COMPUTED_VALUE"""),46.91)</f>
        <v>46.91</v>
      </c>
      <c r="F83" s="6">
        <f>IFERROR(__xludf.DUMMYFUNCTION("""COMPUTED_VALUE"""),9.2683293E7)</f>
        <v>92683293</v>
      </c>
    </row>
    <row r="84">
      <c r="A84" s="7">
        <f>IFERROR(__xludf.DUMMYFUNCTION("""COMPUTED_VALUE"""),45779.64583333333)</f>
        <v>45779.64583</v>
      </c>
      <c r="B84" s="6">
        <f>IFERROR(__xludf.DUMMYFUNCTION("""COMPUTED_VALUE"""),46.7)</f>
        <v>46.7</v>
      </c>
      <c r="C84" s="6">
        <f>IFERROR(__xludf.DUMMYFUNCTION("""COMPUTED_VALUE"""),47.9)</f>
        <v>47.9</v>
      </c>
      <c r="D84" s="6">
        <f>IFERROR(__xludf.DUMMYFUNCTION("""COMPUTED_VALUE"""),45.26)</f>
        <v>45.26</v>
      </c>
      <c r="E84" s="6">
        <f>IFERROR(__xludf.DUMMYFUNCTION("""COMPUTED_VALUE"""),45.66)</f>
        <v>45.66</v>
      </c>
      <c r="F84" s="6">
        <f>IFERROR(__xludf.DUMMYFUNCTION("""COMPUTED_VALUE"""),4.1830791E7)</f>
        <v>41830791</v>
      </c>
    </row>
    <row r="85">
      <c r="A85" s="7">
        <f>IFERROR(__xludf.DUMMYFUNCTION("""COMPUTED_VALUE"""),45786.64583333333)</f>
        <v>45786.64583</v>
      </c>
      <c r="B85" s="6">
        <f>IFERROR(__xludf.DUMMYFUNCTION("""COMPUTED_VALUE"""),45.74)</f>
        <v>45.74</v>
      </c>
      <c r="C85" s="6">
        <f>IFERROR(__xludf.DUMMYFUNCTION("""COMPUTED_VALUE"""),46.35)</f>
        <v>46.35</v>
      </c>
      <c r="D85" s="6">
        <f>IFERROR(__xludf.DUMMYFUNCTION("""COMPUTED_VALUE"""),42.65)</f>
        <v>42.65</v>
      </c>
      <c r="E85" s="6">
        <f>IFERROR(__xludf.DUMMYFUNCTION("""COMPUTED_VALUE"""),45.18)</f>
        <v>45.18</v>
      </c>
      <c r="F85" s="6">
        <f>IFERROR(__xludf.DUMMYFUNCTION("""COMPUTED_VALUE"""),6.8127541E7)</f>
        <v>68127541</v>
      </c>
    </row>
    <row r="86">
      <c r="A86" s="7">
        <f>IFERROR(__xludf.DUMMYFUNCTION("""COMPUTED_VALUE"""),45793.64583333333)</f>
        <v>45793.64583</v>
      </c>
      <c r="B86" s="6">
        <f>IFERROR(__xludf.DUMMYFUNCTION("""COMPUTED_VALUE"""),46.2)</f>
        <v>46.2</v>
      </c>
      <c r="C86" s="6">
        <f>IFERROR(__xludf.DUMMYFUNCTION("""COMPUTED_VALUE"""),51.59)</f>
        <v>51.59</v>
      </c>
      <c r="D86" s="6">
        <f>IFERROR(__xludf.DUMMYFUNCTION("""COMPUTED_VALUE"""),46.06)</f>
        <v>46.06</v>
      </c>
      <c r="E86" s="6">
        <f>IFERROR(__xludf.DUMMYFUNCTION("""COMPUTED_VALUE"""),51.21)</f>
        <v>51.21</v>
      </c>
      <c r="F86" s="6">
        <f>IFERROR(__xludf.DUMMYFUNCTION("""COMPUTED_VALUE"""),8.6158471E7)</f>
        <v>86158471</v>
      </c>
    </row>
    <row r="87">
      <c r="A87" s="7">
        <f>IFERROR(__xludf.DUMMYFUNCTION("""COMPUTED_VALUE"""),45800.64583333333)</f>
        <v>45800.64583</v>
      </c>
      <c r="B87" s="6">
        <f>IFERROR(__xludf.DUMMYFUNCTION("""COMPUTED_VALUE"""),51.59)</f>
        <v>51.59</v>
      </c>
      <c r="C87" s="6">
        <f>IFERROR(__xludf.DUMMYFUNCTION("""COMPUTED_VALUE"""),52.1)</f>
        <v>52.1</v>
      </c>
      <c r="D87" s="6">
        <f>IFERROR(__xludf.DUMMYFUNCTION("""COMPUTED_VALUE"""),49.33)</f>
        <v>49.33</v>
      </c>
      <c r="E87" s="6">
        <f>IFERROR(__xludf.DUMMYFUNCTION("""COMPUTED_VALUE"""),50.9)</f>
        <v>50.9</v>
      </c>
      <c r="F87" s="6">
        <f>IFERROR(__xludf.DUMMYFUNCTION("""COMPUTED_VALUE"""),9.7981095E7)</f>
        <v>97981095</v>
      </c>
    </row>
    <row r="88">
      <c r="A88" s="7">
        <f>IFERROR(__xludf.DUMMYFUNCTION("""COMPUTED_VALUE"""),45807.64583333333)</f>
        <v>45807.64583</v>
      </c>
      <c r="B88" s="6">
        <f>IFERROR(__xludf.DUMMYFUNCTION("""COMPUTED_VALUE"""),50.9)</f>
        <v>50.9</v>
      </c>
      <c r="C88" s="6">
        <f>IFERROR(__xludf.DUMMYFUNCTION("""COMPUTED_VALUE"""),52.59)</f>
        <v>52.59</v>
      </c>
      <c r="D88" s="6">
        <f>IFERROR(__xludf.DUMMYFUNCTION("""COMPUTED_VALUE"""),50.36)</f>
        <v>50.36</v>
      </c>
      <c r="E88" s="6">
        <f>IFERROR(__xludf.DUMMYFUNCTION("""COMPUTED_VALUE"""),51.27)</f>
        <v>51.27</v>
      </c>
      <c r="F88" s="6">
        <f>IFERROR(__xludf.DUMMYFUNCTION("""COMPUTED_VALUE"""),7.2100753E7)</f>
        <v>72100753</v>
      </c>
    </row>
    <row r="89">
      <c r="A89" s="7">
        <f>IFERROR(__xludf.DUMMYFUNCTION("""COMPUTED_VALUE"""),45814.64583333333)</f>
        <v>45814.64583</v>
      </c>
      <c r="B89" s="6">
        <f>IFERROR(__xludf.DUMMYFUNCTION("""COMPUTED_VALUE"""),51.65)</f>
        <v>51.65</v>
      </c>
      <c r="C89" s="6">
        <f>IFERROR(__xludf.DUMMYFUNCTION("""COMPUTED_VALUE"""),52.27)</f>
        <v>52.27</v>
      </c>
      <c r="D89" s="6">
        <f>IFERROR(__xludf.DUMMYFUNCTION("""COMPUTED_VALUE"""),50.32)</f>
        <v>50.32</v>
      </c>
      <c r="E89" s="6">
        <f>IFERROR(__xludf.DUMMYFUNCTION("""COMPUTED_VALUE"""),51.65)</f>
        <v>51.65</v>
      </c>
      <c r="F89" s="6">
        <f>IFERROR(__xludf.DUMMYFUNCTION("""COMPUTED_VALUE"""),7.5351425E7)</f>
        <v>75351425</v>
      </c>
    </row>
    <row r="90">
      <c r="A90" s="7">
        <f>IFERROR(__xludf.DUMMYFUNCTION("""COMPUTED_VALUE"""),45821.64583333333)</f>
        <v>45821.64583</v>
      </c>
      <c r="B90" s="6">
        <f>IFERROR(__xludf.DUMMYFUNCTION("""COMPUTED_VALUE"""),52.0)</f>
        <v>52</v>
      </c>
      <c r="C90" s="6">
        <f>IFERROR(__xludf.DUMMYFUNCTION("""COMPUTED_VALUE"""),54.28)</f>
        <v>54.28</v>
      </c>
      <c r="D90" s="6">
        <f>IFERROR(__xludf.DUMMYFUNCTION("""COMPUTED_VALUE"""),48.62)</f>
        <v>48.62</v>
      </c>
      <c r="E90" s="6">
        <f>IFERROR(__xludf.DUMMYFUNCTION("""COMPUTED_VALUE"""),50.09)</f>
        <v>50.09</v>
      </c>
      <c r="F90" s="6">
        <f>IFERROR(__xludf.DUMMYFUNCTION("""COMPUTED_VALUE"""),1.06428626E8)</f>
        <v>106428626</v>
      </c>
    </row>
    <row r="91">
      <c r="A91" s="7">
        <f>IFERROR(__xludf.DUMMYFUNCTION("""COMPUTED_VALUE"""),45828.64583333333)</f>
        <v>45828.64583</v>
      </c>
      <c r="B91" s="6">
        <f>IFERROR(__xludf.DUMMYFUNCTION("""COMPUTED_VALUE"""),49.97)</f>
        <v>49.97</v>
      </c>
      <c r="C91" s="6">
        <f>IFERROR(__xludf.DUMMYFUNCTION("""COMPUTED_VALUE"""),50.26)</f>
        <v>50.26</v>
      </c>
      <c r="D91" s="6">
        <f>IFERROR(__xludf.DUMMYFUNCTION("""COMPUTED_VALUE"""),47.8)</f>
        <v>47.8</v>
      </c>
      <c r="E91" s="6">
        <f>IFERROR(__xludf.DUMMYFUNCTION("""COMPUTED_VALUE"""),48.63)</f>
        <v>48.63</v>
      </c>
      <c r="F91" s="6">
        <f>IFERROR(__xludf.DUMMYFUNCTION("""COMPUTED_VALUE"""),9.0711384E7)</f>
        <v>90711384</v>
      </c>
    </row>
    <row r="92">
      <c r="A92" s="7">
        <f>IFERROR(__xludf.DUMMYFUNCTION("""COMPUTED_VALUE"""),45835.64583333333)</f>
        <v>45835.64583</v>
      </c>
      <c r="B92" s="6">
        <f>IFERROR(__xludf.DUMMYFUNCTION("""COMPUTED_VALUE"""),48.1)</f>
        <v>48.1</v>
      </c>
      <c r="C92" s="6">
        <f>IFERROR(__xludf.DUMMYFUNCTION("""COMPUTED_VALUE"""),50.44)</f>
        <v>50.44</v>
      </c>
      <c r="D92" s="6">
        <f>IFERROR(__xludf.DUMMYFUNCTION("""COMPUTED_VALUE"""),48.0)</f>
        <v>48</v>
      </c>
      <c r="E92" s="6">
        <f>IFERROR(__xludf.DUMMYFUNCTION("""COMPUTED_VALUE"""),49.71)</f>
        <v>49.71</v>
      </c>
      <c r="F92" s="6">
        <f>IFERROR(__xludf.DUMMYFUNCTION("""COMPUTED_VALUE"""),7.924593E7)</f>
        <v>79245930</v>
      </c>
    </row>
    <row r="93">
      <c r="A93" s="7">
        <f>IFERROR(__xludf.DUMMYFUNCTION("""COMPUTED_VALUE"""),45842.64583333333)</f>
        <v>45842.64583</v>
      </c>
      <c r="B93" s="6">
        <f>IFERROR(__xludf.DUMMYFUNCTION("""COMPUTED_VALUE"""),49.81)</f>
        <v>49.81</v>
      </c>
      <c r="C93" s="6">
        <f>IFERROR(__xludf.DUMMYFUNCTION("""COMPUTED_VALUE"""),50.24)</f>
        <v>50.24</v>
      </c>
      <c r="D93" s="6">
        <f>IFERROR(__xludf.DUMMYFUNCTION("""COMPUTED_VALUE"""),48.85)</f>
        <v>48.85</v>
      </c>
      <c r="E93" s="6">
        <f>IFERROR(__xludf.DUMMYFUNCTION("""COMPUTED_VALUE"""),49.49)</f>
        <v>49.49</v>
      </c>
      <c r="F93" s="6">
        <f>IFERROR(__xludf.DUMMYFUNCTION("""COMPUTED_VALUE"""),4.6159471E7)</f>
        <v>46159471</v>
      </c>
    </row>
    <row r="94">
      <c r="A94" s="7">
        <f>IFERROR(__xludf.DUMMYFUNCTION("""COMPUTED_VALUE"""),45849.64583333333)</f>
        <v>45849.64583</v>
      </c>
      <c r="B94" s="6">
        <f>IFERROR(__xludf.DUMMYFUNCTION("""COMPUTED_VALUE"""),49.35)</f>
        <v>49.35</v>
      </c>
      <c r="C94" s="6">
        <f>IFERROR(__xludf.DUMMYFUNCTION("""COMPUTED_VALUE"""),49.94)</f>
        <v>49.94</v>
      </c>
      <c r="D94" s="6">
        <f>IFERROR(__xludf.DUMMYFUNCTION("""COMPUTED_VALUE"""),47.38)</f>
        <v>47.38</v>
      </c>
      <c r="E94" s="6">
        <f>IFERROR(__xludf.DUMMYFUNCTION("""COMPUTED_VALUE"""),47.6)</f>
        <v>47.6</v>
      </c>
      <c r="F94" s="6">
        <f>IFERROR(__xludf.DUMMYFUNCTION("""COMPUTED_VALUE"""),4.2533888E7)</f>
        <v>42533888</v>
      </c>
    </row>
    <row r="95">
      <c r="A95" s="7">
        <f>IFERROR(__xludf.DUMMYFUNCTION("""COMPUTED_VALUE"""),45856.64583333333)</f>
        <v>45856.64583</v>
      </c>
      <c r="B95" s="6">
        <f>IFERROR(__xludf.DUMMYFUNCTION("""COMPUTED_VALUE"""),47.8)</f>
        <v>47.8</v>
      </c>
      <c r="C95" s="6">
        <f>IFERROR(__xludf.DUMMYFUNCTION("""COMPUTED_VALUE"""),48.99)</f>
        <v>48.99</v>
      </c>
      <c r="D95" s="6">
        <f>IFERROR(__xludf.DUMMYFUNCTION("""COMPUTED_VALUE"""),47.42)</f>
        <v>47.42</v>
      </c>
      <c r="E95" s="6">
        <f>IFERROR(__xludf.DUMMYFUNCTION("""COMPUTED_VALUE"""),48.06)</f>
        <v>48.06</v>
      </c>
      <c r="F95" s="6">
        <f>IFERROR(__xludf.DUMMYFUNCTION("""COMPUTED_VALUE"""),3.6679448E7)</f>
        <v>36679448</v>
      </c>
    </row>
    <row r="96">
      <c r="A96" s="7">
        <f>IFERROR(__xludf.DUMMYFUNCTION("""COMPUTED_VALUE"""),45863.64583333333)</f>
        <v>45863.64583</v>
      </c>
      <c r="B96" s="6">
        <f>IFERROR(__xludf.DUMMYFUNCTION("""COMPUTED_VALUE"""),48.07)</f>
        <v>48.07</v>
      </c>
      <c r="C96" s="6">
        <f>IFERROR(__xludf.DUMMYFUNCTION("""COMPUTED_VALUE"""),48.88)</f>
        <v>48.88</v>
      </c>
      <c r="D96" s="6">
        <f>IFERROR(__xludf.DUMMYFUNCTION("""COMPUTED_VALUE"""),46.36)</f>
        <v>46.36</v>
      </c>
      <c r="E96" s="6">
        <f>IFERROR(__xludf.DUMMYFUNCTION("""COMPUTED_VALUE"""),46.49)</f>
        <v>46.49</v>
      </c>
      <c r="F96" s="6">
        <f>IFERROR(__xludf.DUMMYFUNCTION("""COMPUTED_VALUE"""),4.4096336E7)</f>
        <v>44096336</v>
      </c>
    </row>
    <row r="97">
      <c r="A97" s="7">
        <f>IFERROR(__xludf.DUMMYFUNCTION("""COMPUTED_VALUE"""),45870.64583333333)</f>
        <v>45870.64583</v>
      </c>
      <c r="B97" s="6">
        <f>IFERROR(__xludf.DUMMYFUNCTION("""COMPUTED_VALUE"""),46.42)</f>
        <v>46.42</v>
      </c>
      <c r="C97" s="6">
        <f>IFERROR(__xludf.DUMMYFUNCTION("""COMPUTED_VALUE"""),46.95)</f>
        <v>46.95</v>
      </c>
      <c r="D97" s="6">
        <f>IFERROR(__xludf.DUMMYFUNCTION("""COMPUTED_VALUE"""),44.2)</f>
        <v>44.2</v>
      </c>
      <c r="E97" s="6">
        <f>IFERROR(__xludf.DUMMYFUNCTION("""COMPUTED_VALUE"""),44.33)</f>
        <v>44.33</v>
      </c>
      <c r="F97" s="6">
        <f>IFERROR(__xludf.DUMMYFUNCTION("""COMPUTED_VALUE"""),3.9133019E7)</f>
        <v>39133019</v>
      </c>
    </row>
    <row r="98">
      <c r="A98" s="7">
        <f>IFERROR(__xludf.DUMMYFUNCTION("""COMPUTED_VALUE"""),45877.64583333333)</f>
        <v>45877.64583</v>
      </c>
      <c r="B98" s="6">
        <f>IFERROR(__xludf.DUMMYFUNCTION("""COMPUTED_VALUE"""),44.37)</f>
        <v>44.37</v>
      </c>
      <c r="C98" s="6">
        <f>IFERROR(__xludf.DUMMYFUNCTION("""COMPUTED_VALUE"""),45.45)</f>
        <v>45.45</v>
      </c>
      <c r="D98" s="6">
        <f>IFERROR(__xludf.DUMMYFUNCTION("""COMPUTED_VALUE"""),43.4)</f>
        <v>43.4</v>
      </c>
      <c r="E98" s="6">
        <f>IFERROR(__xludf.DUMMYFUNCTION("""COMPUTED_VALUE"""),43.52)</f>
        <v>43.52</v>
      </c>
      <c r="F98" s="6">
        <f>IFERROR(__xludf.DUMMYFUNCTION("""COMPUTED_VALUE"""),3.6486784E7)</f>
        <v>36486784</v>
      </c>
    </row>
    <row r="99">
      <c r="A99" s="7">
        <f>IFERROR(__xludf.DUMMYFUNCTION("""COMPUTED_VALUE"""),45883.64583333333)</f>
        <v>45883.64583</v>
      </c>
      <c r="B99" s="6">
        <f>IFERROR(__xludf.DUMMYFUNCTION("""COMPUTED_VALUE"""),43.65)</f>
        <v>43.65</v>
      </c>
      <c r="C99" s="6">
        <f>IFERROR(__xludf.DUMMYFUNCTION("""COMPUTED_VALUE"""),46.48)</f>
        <v>46.48</v>
      </c>
      <c r="D99" s="6">
        <f>IFERROR(__xludf.DUMMYFUNCTION("""COMPUTED_VALUE"""),43.24)</f>
        <v>43.24</v>
      </c>
      <c r="E99" s="6">
        <f>IFERROR(__xludf.DUMMYFUNCTION("""COMPUTED_VALUE"""),45.37)</f>
        <v>45.37</v>
      </c>
      <c r="F99" s="6">
        <f>IFERROR(__xludf.DUMMYFUNCTION("""COMPUTED_VALUE"""),3.5292248E7)</f>
        <v>35292248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IFERROR(__xludf.DUMMYFUNCTION("""COMPUTED_VALUE"""),46.6)</f>
        <v>46.6</v>
      </c>
      <c r="C100" s="6">
        <f>IFERROR(__xludf.DUMMYFUNCTION("""COMPUTED_VALUE"""),46.6)</f>
        <v>46.6</v>
      </c>
      <c r="D100" s="6">
        <f>IFERROR(__xludf.DUMMYFUNCTION("""COMPUTED_VALUE"""),43.51)</f>
        <v>43.51</v>
      </c>
      <c r="E100" s="6">
        <f>IFERROR(__xludf.DUMMYFUNCTION("""COMPUTED_VALUE"""),43.78)</f>
        <v>43.78</v>
      </c>
      <c r="F100" s="6">
        <f>IFERROR(__xludf.DUMMYFUNCTION("""COMPUTED_VALUE"""),4.4511006E7)</f>
        <v>44511006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IFERROR(__xludf.DUMMYFUNCTION("""COMPUTED_VALUE"""),43.9)</f>
        <v>43.9</v>
      </c>
      <c r="C101" s="6">
        <f>IFERROR(__xludf.DUMMYFUNCTION("""COMPUTED_VALUE"""),45.45)</f>
        <v>45.45</v>
      </c>
      <c r="D101" s="6">
        <f>IFERROR(__xludf.DUMMYFUNCTION("""COMPUTED_VALUE"""),43.65)</f>
        <v>43.65</v>
      </c>
      <c r="E101" s="6">
        <f>IFERROR(__xludf.DUMMYFUNCTION("""COMPUTED_VALUE"""),44.21)</f>
        <v>44.21</v>
      </c>
      <c r="F101" s="6">
        <f>IFERROR(__xludf.DUMMYFUNCTION("""COMPUTED_VALUE"""),2.56044067E8)</f>
        <v>256044067</v>
      </c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IFERROR(__xludf.DUMMYFUNCTION("GOOGLEFINANCE(""NSE:IRCTC"",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IFERROR(__xludf.DUMMYFUNCTION("""COMPUTED_VALUE"""),659.0)</f>
        <v>659</v>
      </c>
      <c r="C2" s="6">
        <f>IFERROR(__xludf.DUMMYFUNCTION("""COMPUTED_VALUE"""),689.65)</f>
        <v>689.65</v>
      </c>
      <c r="D2" s="6">
        <f>IFERROR(__xludf.DUMMYFUNCTION("""COMPUTED_VALUE"""),656.15)</f>
        <v>656.15</v>
      </c>
      <c r="E2" s="6">
        <f>IFERROR(__xludf.DUMMYFUNCTION("""COMPUTED_VALUE"""),688.35)</f>
        <v>688.35</v>
      </c>
      <c r="F2" s="6">
        <f>IFERROR(__xludf.DUMMYFUNCTION("""COMPUTED_VALUE"""),1.5603597E7)</f>
        <v>15603597</v>
      </c>
    </row>
    <row r="3">
      <c r="A3" s="7">
        <f>IFERROR(__xludf.DUMMYFUNCTION("""COMPUTED_VALUE"""),45177.64583333333)</f>
        <v>45177.64583</v>
      </c>
      <c r="B3" s="6">
        <f>IFERROR(__xludf.DUMMYFUNCTION("""COMPUTED_VALUE"""),693.55)</f>
        <v>693.55</v>
      </c>
      <c r="C3" s="6">
        <f>IFERROR(__xludf.DUMMYFUNCTION("""COMPUTED_VALUE"""),758.0)</f>
        <v>758</v>
      </c>
      <c r="D3" s="6">
        <f>IFERROR(__xludf.DUMMYFUNCTION("""COMPUTED_VALUE"""),692.05)</f>
        <v>692.05</v>
      </c>
      <c r="E3" s="6">
        <f>IFERROR(__xludf.DUMMYFUNCTION("""COMPUTED_VALUE"""),725.55)</f>
        <v>725.55</v>
      </c>
      <c r="F3" s="6">
        <f>IFERROR(__xludf.DUMMYFUNCTION("""COMPUTED_VALUE"""),2.7792735E7)</f>
        <v>27792735</v>
      </c>
    </row>
    <row r="4">
      <c r="A4" s="7">
        <f>IFERROR(__xludf.DUMMYFUNCTION("""COMPUTED_VALUE"""),45184.64583333333)</f>
        <v>45184.64583</v>
      </c>
      <c r="B4" s="6">
        <f>IFERROR(__xludf.DUMMYFUNCTION("""COMPUTED_VALUE"""),733.0)</f>
        <v>733</v>
      </c>
      <c r="C4" s="6">
        <f>IFERROR(__xludf.DUMMYFUNCTION("""COMPUTED_VALUE"""),733.4)</f>
        <v>733.4</v>
      </c>
      <c r="D4" s="6">
        <f>IFERROR(__xludf.DUMMYFUNCTION("""COMPUTED_VALUE"""),680.55)</f>
        <v>680.55</v>
      </c>
      <c r="E4" s="6">
        <f>IFERROR(__xludf.DUMMYFUNCTION("""COMPUTED_VALUE"""),695.65)</f>
        <v>695.65</v>
      </c>
      <c r="F4" s="6">
        <f>IFERROR(__xludf.DUMMYFUNCTION("""COMPUTED_VALUE"""),1.5961735E7)</f>
        <v>15961735</v>
      </c>
    </row>
    <row r="5">
      <c r="A5" s="7">
        <f>IFERROR(__xludf.DUMMYFUNCTION("""COMPUTED_VALUE"""),45191.64583333333)</f>
        <v>45191.64583</v>
      </c>
      <c r="B5" s="6">
        <f>IFERROR(__xludf.DUMMYFUNCTION("""COMPUTED_VALUE"""),696.05)</f>
        <v>696.05</v>
      </c>
      <c r="C5" s="6">
        <f>IFERROR(__xludf.DUMMYFUNCTION("""COMPUTED_VALUE"""),697.85)</f>
        <v>697.85</v>
      </c>
      <c r="D5" s="6">
        <f>IFERROR(__xludf.DUMMYFUNCTION("""COMPUTED_VALUE"""),661.0)</f>
        <v>661</v>
      </c>
      <c r="E5" s="6">
        <f>IFERROR(__xludf.DUMMYFUNCTION("""COMPUTED_VALUE"""),663.35)</f>
        <v>663.35</v>
      </c>
      <c r="F5" s="6">
        <f>IFERROR(__xludf.DUMMYFUNCTION("""COMPUTED_VALUE"""),5119268.0)</f>
        <v>5119268</v>
      </c>
    </row>
    <row r="6">
      <c r="A6" s="7">
        <f>IFERROR(__xludf.DUMMYFUNCTION("""COMPUTED_VALUE"""),45198.64583333333)</f>
        <v>45198.64583</v>
      </c>
      <c r="B6" s="6">
        <f>IFERROR(__xludf.DUMMYFUNCTION("""COMPUTED_VALUE"""),667.0)</f>
        <v>667</v>
      </c>
      <c r="C6" s="6">
        <f>IFERROR(__xludf.DUMMYFUNCTION("""COMPUTED_VALUE"""),692.2)</f>
        <v>692.2</v>
      </c>
      <c r="D6" s="6">
        <f>IFERROR(__xludf.DUMMYFUNCTION("""COMPUTED_VALUE"""),667.0)</f>
        <v>667</v>
      </c>
      <c r="E6" s="6">
        <f>IFERROR(__xludf.DUMMYFUNCTION("""COMPUTED_VALUE"""),680.85)</f>
        <v>680.85</v>
      </c>
      <c r="F6" s="6">
        <f>IFERROR(__xludf.DUMMYFUNCTION("""COMPUTED_VALUE"""),8654184.0)</f>
        <v>8654184</v>
      </c>
    </row>
    <row r="7">
      <c r="A7" s="7">
        <f>IFERROR(__xludf.DUMMYFUNCTION("""COMPUTED_VALUE"""),45205.64583333333)</f>
        <v>45205.64583</v>
      </c>
      <c r="B7" s="6">
        <f>IFERROR(__xludf.DUMMYFUNCTION("""COMPUTED_VALUE"""),680.65)</f>
        <v>680.65</v>
      </c>
      <c r="C7" s="6">
        <f>IFERROR(__xludf.DUMMYFUNCTION("""COMPUTED_VALUE"""),726.5)</f>
        <v>726.5</v>
      </c>
      <c r="D7" s="6">
        <f>IFERROR(__xludf.DUMMYFUNCTION("""COMPUTED_VALUE"""),676.8)</f>
        <v>676.8</v>
      </c>
      <c r="E7" s="6">
        <f>IFERROR(__xludf.DUMMYFUNCTION("""COMPUTED_VALUE"""),719.8)</f>
        <v>719.8</v>
      </c>
      <c r="F7" s="6">
        <f>IFERROR(__xludf.DUMMYFUNCTION("""COMPUTED_VALUE"""),1.3390259E7)</f>
        <v>13390259</v>
      </c>
    </row>
    <row r="8">
      <c r="A8" s="7">
        <f>IFERROR(__xludf.DUMMYFUNCTION("""COMPUTED_VALUE"""),45212.64583333333)</f>
        <v>45212.64583</v>
      </c>
      <c r="B8" s="6">
        <f>IFERROR(__xludf.DUMMYFUNCTION("""COMPUTED_VALUE"""),709.0)</f>
        <v>709</v>
      </c>
      <c r="C8" s="6">
        <f>IFERROR(__xludf.DUMMYFUNCTION("""COMPUTED_VALUE"""),711.8)</f>
        <v>711.8</v>
      </c>
      <c r="D8" s="6">
        <f>IFERROR(__xludf.DUMMYFUNCTION("""COMPUTED_VALUE"""),693.2)</f>
        <v>693.2</v>
      </c>
      <c r="E8" s="6">
        <f>IFERROR(__xludf.DUMMYFUNCTION("""COMPUTED_VALUE"""),704.15)</f>
        <v>704.15</v>
      </c>
      <c r="F8" s="6">
        <f>IFERROR(__xludf.DUMMYFUNCTION("""COMPUTED_VALUE"""),6326513.0)</f>
        <v>6326513</v>
      </c>
    </row>
    <row r="9">
      <c r="A9" s="7">
        <f>IFERROR(__xludf.DUMMYFUNCTION("""COMPUTED_VALUE"""),45219.64583333333)</f>
        <v>45219.64583</v>
      </c>
      <c r="B9" s="6">
        <f>IFERROR(__xludf.DUMMYFUNCTION("""COMPUTED_VALUE"""),705.0)</f>
        <v>705</v>
      </c>
      <c r="C9" s="6">
        <f>IFERROR(__xludf.DUMMYFUNCTION("""COMPUTED_VALUE"""),719.4)</f>
        <v>719.4</v>
      </c>
      <c r="D9" s="6">
        <f>IFERROR(__xludf.DUMMYFUNCTION("""COMPUTED_VALUE"""),690.0)</f>
        <v>690</v>
      </c>
      <c r="E9" s="6">
        <f>IFERROR(__xludf.DUMMYFUNCTION("""COMPUTED_VALUE"""),692.1)</f>
        <v>692.1</v>
      </c>
      <c r="F9" s="6">
        <f>IFERROR(__xludf.DUMMYFUNCTION("""COMPUTED_VALUE"""),6985852.0)</f>
        <v>6985852</v>
      </c>
    </row>
    <row r="10">
      <c r="A10" s="7">
        <f>IFERROR(__xludf.DUMMYFUNCTION("""COMPUTED_VALUE"""),45226.64583333333)</f>
        <v>45226.64583</v>
      </c>
      <c r="B10" s="6">
        <f>IFERROR(__xludf.DUMMYFUNCTION("""COMPUTED_VALUE"""),692.65)</f>
        <v>692.65</v>
      </c>
      <c r="C10" s="6">
        <f>IFERROR(__xludf.DUMMYFUNCTION("""COMPUTED_VALUE"""),692.65)</f>
        <v>692.65</v>
      </c>
      <c r="D10" s="6">
        <f>IFERROR(__xludf.DUMMYFUNCTION("""COMPUTED_VALUE"""),635.55)</f>
        <v>635.55</v>
      </c>
      <c r="E10" s="6">
        <f>IFERROR(__xludf.DUMMYFUNCTION("""COMPUTED_VALUE"""),659.35)</f>
        <v>659.35</v>
      </c>
      <c r="F10" s="6">
        <f>IFERROR(__xludf.DUMMYFUNCTION("""COMPUTED_VALUE"""),5901667.0)</f>
        <v>5901667</v>
      </c>
    </row>
    <row r="11">
      <c r="A11" s="7">
        <f>IFERROR(__xludf.DUMMYFUNCTION("""COMPUTED_VALUE"""),45233.64583333333)</f>
        <v>45233.64583</v>
      </c>
      <c r="B11" s="6">
        <f>IFERROR(__xludf.DUMMYFUNCTION("""COMPUTED_VALUE"""),661.7)</f>
        <v>661.7</v>
      </c>
      <c r="C11" s="6">
        <f>IFERROR(__xludf.DUMMYFUNCTION("""COMPUTED_VALUE"""),670.0)</f>
        <v>670</v>
      </c>
      <c r="D11" s="6">
        <f>IFERROR(__xludf.DUMMYFUNCTION("""COMPUTED_VALUE"""),649.7)</f>
        <v>649.7</v>
      </c>
      <c r="E11" s="6">
        <f>IFERROR(__xludf.DUMMYFUNCTION("""COMPUTED_VALUE"""),663.6)</f>
        <v>663.6</v>
      </c>
      <c r="F11" s="6">
        <f>IFERROR(__xludf.DUMMYFUNCTION("""COMPUTED_VALUE"""),4637422.0)</f>
        <v>4637422</v>
      </c>
    </row>
    <row r="12">
      <c r="A12" s="7">
        <f>IFERROR(__xludf.DUMMYFUNCTION("""COMPUTED_VALUE"""),45240.64583333333)</f>
        <v>45240.64583</v>
      </c>
      <c r="B12" s="6">
        <f>IFERROR(__xludf.DUMMYFUNCTION("""COMPUTED_VALUE"""),670.5)</f>
        <v>670.5</v>
      </c>
      <c r="C12" s="6">
        <f>IFERROR(__xludf.DUMMYFUNCTION("""COMPUTED_VALUE"""),690.0)</f>
        <v>690</v>
      </c>
      <c r="D12" s="6">
        <f>IFERROR(__xludf.DUMMYFUNCTION("""COMPUTED_VALUE"""),664.4)</f>
        <v>664.4</v>
      </c>
      <c r="E12" s="6">
        <f>IFERROR(__xludf.DUMMYFUNCTION("""COMPUTED_VALUE"""),672.45)</f>
        <v>672.45</v>
      </c>
      <c r="F12" s="6">
        <f>IFERROR(__xludf.DUMMYFUNCTION("""COMPUTED_VALUE"""),6893172.0)</f>
        <v>6893172</v>
      </c>
    </row>
    <row r="13">
      <c r="A13" s="7">
        <f>IFERROR(__xludf.DUMMYFUNCTION("""COMPUTED_VALUE"""),45247.64583333333)</f>
        <v>45247.64583</v>
      </c>
      <c r="B13" s="6">
        <f>IFERROR(__xludf.DUMMYFUNCTION("""COMPUTED_VALUE"""),678.0)</f>
        <v>678</v>
      </c>
      <c r="C13" s="6">
        <f>IFERROR(__xludf.DUMMYFUNCTION("""COMPUTED_VALUE"""),711.5)</f>
        <v>711.5</v>
      </c>
      <c r="D13" s="6">
        <f>IFERROR(__xludf.DUMMYFUNCTION("""COMPUTED_VALUE"""),669.05)</f>
        <v>669.05</v>
      </c>
      <c r="E13" s="6">
        <f>IFERROR(__xludf.DUMMYFUNCTION("""COMPUTED_VALUE"""),707.35)</f>
        <v>707.35</v>
      </c>
      <c r="F13" s="6">
        <f>IFERROR(__xludf.DUMMYFUNCTION("""COMPUTED_VALUE"""),7491744.0)</f>
        <v>7491744</v>
      </c>
    </row>
    <row r="14">
      <c r="A14" s="7">
        <f>IFERROR(__xludf.DUMMYFUNCTION("""COMPUTED_VALUE"""),45254.64583333333)</f>
        <v>45254.64583</v>
      </c>
      <c r="B14" s="6">
        <f>IFERROR(__xludf.DUMMYFUNCTION("""COMPUTED_VALUE"""),709.9)</f>
        <v>709.9</v>
      </c>
      <c r="C14" s="6">
        <f>IFERROR(__xludf.DUMMYFUNCTION("""COMPUTED_VALUE"""),719.9)</f>
        <v>719.9</v>
      </c>
      <c r="D14" s="6">
        <f>IFERROR(__xludf.DUMMYFUNCTION("""COMPUTED_VALUE"""),691.6)</f>
        <v>691.6</v>
      </c>
      <c r="E14" s="6">
        <f>IFERROR(__xludf.DUMMYFUNCTION("""COMPUTED_VALUE"""),692.8)</f>
        <v>692.8</v>
      </c>
      <c r="F14" s="6">
        <f>IFERROR(__xludf.DUMMYFUNCTION("""COMPUTED_VALUE"""),9660346.0)</f>
        <v>9660346</v>
      </c>
    </row>
    <row r="15">
      <c r="A15" s="7">
        <f>IFERROR(__xludf.DUMMYFUNCTION("""COMPUTED_VALUE"""),45261.64583333333)</f>
        <v>45261.64583</v>
      </c>
      <c r="B15" s="6">
        <f>IFERROR(__xludf.DUMMYFUNCTION("""COMPUTED_VALUE"""),697.2)</f>
        <v>697.2</v>
      </c>
      <c r="C15" s="6">
        <f>IFERROR(__xludf.DUMMYFUNCTION("""COMPUTED_VALUE"""),710.0)</f>
        <v>710</v>
      </c>
      <c r="D15" s="6">
        <f>IFERROR(__xludf.DUMMYFUNCTION("""COMPUTED_VALUE"""),692.8)</f>
        <v>692.8</v>
      </c>
      <c r="E15" s="6">
        <f>IFERROR(__xludf.DUMMYFUNCTION("""COMPUTED_VALUE"""),701.3)</f>
        <v>701.3</v>
      </c>
      <c r="F15" s="6">
        <f>IFERROR(__xludf.DUMMYFUNCTION("""COMPUTED_VALUE"""),5642175.0)</f>
        <v>5642175</v>
      </c>
    </row>
    <row r="16">
      <c r="A16" s="7">
        <f>IFERROR(__xludf.DUMMYFUNCTION("""COMPUTED_VALUE"""),45268.64583333333)</f>
        <v>45268.64583</v>
      </c>
      <c r="B16" s="6">
        <f>IFERROR(__xludf.DUMMYFUNCTION("""COMPUTED_VALUE"""),708.0)</f>
        <v>708</v>
      </c>
      <c r="C16" s="6">
        <f>IFERROR(__xludf.DUMMYFUNCTION("""COMPUTED_VALUE"""),769.85)</f>
        <v>769.85</v>
      </c>
      <c r="D16" s="6">
        <f>IFERROR(__xludf.DUMMYFUNCTION("""COMPUTED_VALUE"""),706.0)</f>
        <v>706</v>
      </c>
      <c r="E16" s="6">
        <f>IFERROR(__xludf.DUMMYFUNCTION("""COMPUTED_VALUE"""),749.55)</f>
        <v>749.55</v>
      </c>
      <c r="F16" s="6">
        <f>IFERROR(__xludf.DUMMYFUNCTION("""COMPUTED_VALUE"""),2.9774106E7)</f>
        <v>29774106</v>
      </c>
    </row>
    <row r="17">
      <c r="A17" s="7">
        <f>IFERROR(__xludf.DUMMYFUNCTION("""COMPUTED_VALUE"""),45275.64583333333)</f>
        <v>45275.64583</v>
      </c>
      <c r="B17" s="6">
        <f>IFERROR(__xludf.DUMMYFUNCTION("""COMPUTED_VALUE"""),750.95)</f>
        <v>750.95</v>
      </c>
      <c r="C17" s="6">
        <f>IFERROR(__xludf.DUMMYFUNCTION("""COMPUTED_VALUE"""),799.95)</f>
        <v>799.95</v>
      </c>
      <c r="D17" s="6">
        <f>IFERROR(__xludf.DUMMYFUNCTION("""COMPUTED_VALUE"""),750.0)</f>
        <v>750</v>
      </c>
      <c r="E17" s="6">
        <f>IFERROR(__xludf.DUMMYFUNCTION("""COMPUTED_VALUE"""),780.85)</f>
        <v>780.85</v>
      </c>
      <c r="F17" s="6">
        <f>IFERROR(__xludf.DUMMYFUNCTION("""COMPUTED_VALUE"""),2.1819908E7)</f>
        <v>21819908</v>
      </c>
    </row>
    <row r="18">
      <c r="A18" s="7">
        <f>IFERROR(__xludf.DUMMYFUNCTION("""COMPUTED_VALUE"""),45282.64583333333)</f>
        <v>45282.64583</v>
      </c>
      <c r="B18" s="6">
        <f>IFERROR(__xludf.DUMMYFUNCTION("""COMPUTED_VALUE"""),784.85)</f>
        <v>784.85</v>
      </c>
      <c r="C18" s="6">
        <f>IFERROR(__xludf.DUMMYFUNCTION("""COMPUTED_VALUE"""),916.5)</f>
        <v>916.5</v>
      </c>
      <c r="D18" s="6">
        <f>IFERROR(__xludf.DUMMYFUNCTION("""COMPUTED_VALUE"""),779.1)</f>
        <v>779.1</v>
      </c>
      <c r="E18" s="6">
        <f>IFERROR(__xludf.DUMMYFUNCTION("""COMPUTED_VALUE"""),860.9)</f>
        <v>860.9</v>
      </c>
      <c r="F18" s="6">
        <f>IFERROR(__xludf.DUMMYFUNCTION("""COMPUTED_VALUE"""),1.27039662E8)</f>
        <v>127039662</v>
      </c>
    </row>
    <row r="19">
      <c r="A19" s="7">
        <f>IFERROR(__xludf.DUMMYFUNCTION("""COMPUTED_VALUE"""),45289.64583333333)</f>
        <v>45289.64583</v>
      </c>
      <c r="B19" s="6">
        <f>IFERROR(__xludf.DUMMYFUNCTION("""COMPUTED_VALUE"""),865.0)</f>
        <v>865</v>
      </c>
      <c r="C19" s="6">
        <f>IFERROR(__xludf.DUMMYFUNCTION("""COMPUTED_VALUE"""),895.0)</f>
        <v>895</v>
      </c>
      <c r="D19" s="6">
        <f>IFERROR(__xludf.DUMMYFUNCTION("""COMPUTED_VALUE"""),858.95)</f>
        <v>858.95</v>
      </c>
      <c r="E19" s="6">
        <f>IFERROR(__xludf.DUMMYFUNCTION("""COMPUTED_VALUE"""),887.5)</f>
        <v>887.5</v>
      </c>
      <c r="F19" s="6">
        <f>IFERROR(__xludf.DUMMYFUNCTION("""COMPUTED_VALUE"""),2.565531E7)</f>
        <v>25655310</v>
      </c>
    </row>
    <row r="20">
      <c r="A20" s="7">
        <f>IFERROR(__xludf.DUMMYFUNCTION("""COMPUTED_VALUE"""),45296.64583333333)</f>
        <v>45296.64583</v>
      </c>
      <c r="B20" s="6">
        <f>IFERROR(__xludf.DUMMYFUNCTION("""COMPUTED_VALUE"""),892.0)</f>
        <v>892</v>
      </c>
      <c r="C20" s="6">
        <f>IFERROR(__xludf.DUMMYFUNCTION("""COMPUTED_VALUE"""),923.45)</f>
        <v>923.45</v>
      </c>
      <c r="D20" s="6">
        <f>IFERROR(__xludf.DUMMYFUNCTION("""COMPUTED_VALUE"""),866.8)</f>
        <v>866.8</v>
      </c>
      <c r="E20" s="6">
        <f>IFERROR(__xludf.DUMMYFUNCTION("""COMPUTED_VALUE"""),905.9)</f>
        <v>905.9</v>
      </c>
      <c r="F20" s="6">
        <f>IFERROR(__xludf.DUMMYFUNCTION("""COMPUTED_VALUE"""),3.5373824E7)</f>
        <v>35373824</v>
      </c>
    </row>
    <row r="21">
      <c r="A21" s="7">
        <f>IFERROR(__xludf.DUMMYFUNCTION("""COMPUTED_VALUE"""),45303.64583333333)</f>
        <v>45303.64583</v>
      </c>
      <c r="B21" s="6">
        <f>IFERROR(__xludf.DUMMYFUNCTION("""COMPUTED_VALUE"""),914.2)</f>
        <v>914.2</v>
      </c>
      <c r="C21" s="6">
        <f>IFERROR(__xludf.DUMMYFUNCTION("""COMPUTED_VALUE"""),962.0)</f>
        <v>962</v>
      </c>
      <c r="D21" s="6">
        <f>IFERROR(__xludf.DUMMYFUNCTION("""COMPUTED_VALUE"""),905.85)</f>
        <v>905.85</v>
      </c>
      <c r="E21" s="6">
        <f>IFERROR(__xludf.DUMMYFUNCTION("""COMPUTED_VALUE"""),951.2)</f>
        <v>951.2</v>
      </c>
      <c r="F21" s="6">
        <f>IFERROR(__xludf.DUMMYFUNCTION("""COMPUTED_VALUE"""),3.4389653E7)</f>
        <v>34389653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IFERROR(__xludf.DUMMYFUNCTION("""COMPUTED_VALUE"""),1045.05)</f>
        <v>1045.05</v>
      </c>
      <c r="C22" s="6">
        <f>IFERROR(__xludf.DUMMYFUNCTION("""COMPUTED_VALUE"""),1046.9)</f>
        <v>1046.9</v>
      </c>
      <c r="D22" s="6">
        <f>IFERROR(__xludf.DUMMYFUNCTION("""COMPUTED_VALUE"""),909.1)</f>
        <v>909.1</v>
      </c>
      <c r="E22" s="6">
        <f>IFERROR(__xludf.DUMMYFUNCTION("""COMPUTED_VALUE"""),970.3)</f>
        <v>970.3</v>
      </c>
      <c r="F22" s="6">
        <f>IFERROR(__xludf.DUMMYFUNCTION("""COMPUTED_VALUE"""),3.1042613E7)</f>
        <v>31042613</v>
      </c>
    </row>
    <row r="23">
      <c r="A23" s="7">
        <f>IFERROR(__xludf.DUMMYFUNCTION("""COMPUTED_VALUE"""),45324.64583333333)</f>
        <v>45324.64583</v>
      </c>
      <c r="B23" s="6">
        <f>IFERROR(__xludf.DUMMYFUNCTION("""COMPUTED_VALUE"""),983.9)</f>
        <v>983.9</v>
      </c>
      <c r="C23" s="6">
        <f>IFERROR(__xludf.DUMMYFUNCTION("""COMPUTED_VALUE"""),993.5)</f>
        <v>993.5</v>
      </c>
      <c r="D23" s="6">
        <f>IFERROR(__xludf.DUMMYFUNCTION("""COMPUTED_VALUE"""),958.05)</f>
        <v>958.05</v>
      </c>
      <c r="E23" s="6">
        <f>IFERROR(__xludf.DUMMYFUNCTION("""COMPUTED_VALUE"""),967.5)</f>
        <v>967.5</v>
      </c>
      <c r="F23" s="6">
        <f>IFERROR(__xludf.DUMMYFUNCTION("""COMPUTED_VALUE"""),1.6561553E7)</f>
        <v>16561553</v>
      </c>
    </row>
    <row r="24">
      <c r="A24" s="7">
        <f>IFERROR(__xludf.DUMMYFUNCTION("""COMPUTED_VALUE"""),45331.64583333333)</f>
        <v>45331.64583</v>
      </c>
      <c r="B24" s="6">
        <f>IFERROR(__xludf.DUMMYFUNCTION("""COMPUTED_VALUE"""),971.9)</f>
        <v>971.9</v>
      </c>
      <c r="C24" s="6">
        <f>IFERROR(__xludf.DUMMYFUNCTION("""COMPUTED_VALUE"""),972.8)</f>
        <v>972.8</v>
      </c>
      <c r="D24" s="6">
        <f>IFERROR(__xludf.DUMMYFUNCTION("""COMPUTED_VALUE"""),916.0)</f>
        <v>916</v>
      </c>
      <c r="E24" s="6">
        <f>IFERROR(__xludf.DUMMYFUNCTION("""COMPUTED_VALUE"""),939.15)</f>
        <v>939.15</v>
      </c>
      <c r="F24" s="6">
        <f>IFERROR(__xludf.DUMMYFUNCTION("""COMPUTED_VALUE"""),1.1860457E7)</f>
        <v>11860457</v>
      </c>
    </row>
    <row r="25">
      <c r="A25" s="7">
        <f>IFERROR(__xludf.DUMMYFUNCTION("""COMPUTED_VALUE"""),45338.64583333333)</f>
        <v>45338.64583</v>
      </c>
      <c r="B25" s="6">
        <f>IFERROR(__xludf.DUMMYFUNCTION("""COMPUTED_VALUE"""),941.95)</f>
        <v>941.95</v>
      </c>
      <c r="C25" s="6">
        <f>IFERROR(__xludf.DUMMYFUNCTION("""COMPUTED_VALUE"""),968.0)</f>
        <v>968</v>
      </c>
      <c r="D25" s="6">
        <f>IFERROR(__xludf.DUMMYFUNCTION("""COMPUTED_VALUE"""),877.0)</f>
        <v>877</v>
      </c>
      <c r="E25" s="6">
        <f>IFERROR(__xludf.DUMMYFUNCTION("""COMPUTED_VALUE"""),940.65)</f>
        <v>940.65</v>
      </c>
      <c r="F25" s="6">
        <f>IFERROR(__xludf.DUMMYFUNCTION("""COMPUTED_VALUE"""),1.7986573E7)</f>
        <v>17986573</v>
      </c>
    </row>
    <row r="26">
      <c r="A26" s="7">
        <f>IFERROR(__xludf.DUMMYFUNCTION("""COMPUTED_VALUE"""),45345.64583333333)</f>
        <v>45345.64583</v>
      </c>
      <c r="B26" s="6">
        <f>IFERROR(__xludf.DUMMYFUNCTION("""COMPUTED_VALUE"""),942.0)</f>
        <v>942</v>
      </c>
      <c r="C26" s="6">
        <f>IFERROR(__xludf.DUMMYFUNCTION("""COMPUTED_VALUE"""),971.0)</f>
        <v>971</v>
      </c>
      <c r="D26" s="6">
        <f>IFERROR(__xludf.DUMMYFUNCTION("""COMPUTED_VALUE"""),917.1)</f>
        <v>917.1</v>
      </c>
      <c r="E26" s="6">
        <f>IFERROR(__xludf.DUMMYFUNCTION("""COMPUTED_VALUE"""),964.85)</f>
        <v>964.85</v>
      </c>
      <c r="F26" s="6">
        <f>IFERROR(__xludf.DUMMYFUNCTION("""COMPUTED_VALUE"""),1.5512442E7)</f>
        <v>15512442</v>
      </c>
    </row>
    <row r="27">
      <c r="A27" s="7">
        <f>IFERROR(__xludf.DUMMYFUNCTION("""COMPUTED_VALUE"""),45358.64583333333)</f>
        <v>45358.64583</v>
      </c>
      <c r="B27" s="6">
        <f>IFERROR(__xludf.DUMMYFUNCTION("""COMPUTED_VALUE"""),934.8)</f>
        <v>934.8</v>
      </c>
      <c r="C27" s="6">
        <f>IFERROR(__xludf.DUMMYFUNCTION("""COMPUTED_VALUE"""),946.45)</f>
        <v>946.45</v>
      </c>
      <c r="D27" s="6">
        <f>IFERROR(__xludf.DUMMYFUNCTION("""COMPUTED_VALUE"""),911.55)</f>
        <v>911.55</v>
      </c>
      <c r="E27" s="6">
        <f>IFERROR(__xludf.DUMMYFUNCTION("""COMPUTED_VALUE"""),937.2)</f>
        <v>937.2</v>
      </c>
      <c r="F27" s="6">
        <f>IFERROR(__xludf.DUMMYFUNCTION("""COMPUTED_VALUE"""),6631606.0)</f>
        <v>6631606</v>
      </c>
    </row>
    <row r="28">
      <c r="A28" s="7">
        <f>IFERROR(__xludf.DUMMYFUNCTION("""COMPUTED_VALUE"""),45366.64583333333)</f>
        <v>45366.64583</v>
      </c>
      <c r="B28" s="6">
        <f>IFERROR(__xludf.DUMMYFUNCTION("""COMPUTED_VALUE"""),937.2)</f>
        <v>937.2</v>
      </c>
      <c r="C28" s="6">
        <f>IFERROR(__xludf.DUMMYFUNCTION("""COMPUTED_VALUE"""),961.0)</f>
        <v>961</v>
      </c>
      <c r="D28" s="6">
        <f>IFERROR(__xludf.DUMMYFUNCTION("""COMPUTED_VALUE"""),862.75)</f>
        <v>862.75</v>
      </c>
      <c r="E28" s="6">
        <f>IFERROR(__xludf.DUMMYFUNCTION("""COMPUTED_VALUE"""),912.5)</f>
        <v>912.5</v>
      </c>
      <c r="F28" s="6">
        <f>IFERROR(__xludf.DUMMYFUNCTION("""COMPUTED_VALUE"""),1.5527666E7)</f>
        <v>15527666</v>
      </c>
    </row>
    <row r="29">
      <c r="A29" s="7">
        <f>IFERROR(__xludf.DUMMYFUNCTION("""COMPUTED_VALUE"""),45373.64583333333)</f>
        <v>45373.64583</v>
      </c>
      <c r="B29" s="6">
        <f>IFERROR(__xludf.DUMMYFUNCTION("""COMPUTED_VALUE"""),912.5)</f>
        <v>912.5</v>
      </c>
      <c r="C29" s="6">
        <f>IFERROR(__xludf.DUMMYFUNCTION("""COMPUTED_VALUE"""),943.9)</f>
        <v>943.9</v>
      </c>
      <c r="D29" s="6">
        <f>IFERROR(__xludf.DUMMYFUNCTION("""COMPUTED_VALUE"""),882.8)</f>
        <v>882.8</v>
      </c>
      <c r="E29" s="6">
        <f>IFERROR(__xludf.DUMMYFUNCTION("""COMPUTED_VALUE"""),928.7)</f>
        <v>928.7</v>
      </c>
      <c r="F29" s="6">
        <f>IFERROR(__xludf.DUMMYFUNCTION("""COMPUTED_VALUE"""),1.0563689E7)</f>
        <v>10563689</v>
      </c>
    </row>
    <row r="30">
      <c r="A30" s="7">
        <f>IFERROR(__xludf.DUMMYFUNCTION("""COMPUTED_VALUE"""),45379.64583333333)</f>
        <v>45379.64583</v>
      </c>
      <c r="B30" s="6">
        <f>IFERROR(__xludf.DUMMYFUNCTION("""COMPUTED_VALUE"""),928.7)</f>
        <v>928.7</v>
      </c>
      <c r="C30" s="6">
        <f>IFERROR(__xludf.DUMMYFUNCTION("""COMPUTED_VALUE"""),940.2)</f>
        <v>940.2</v>
      </c>
      <c r="D30" s="6">
        <f>IFERROR(__xludf.DUMMYFUNCTION("""COMPUTED_VALUE"""),920.15)</f>
        <v>920.15</v>
      </c>
      <c r="E30" s="6">
        <f>IFERROR(__xludf.DUMMYFUNCTION("""COMPUTED_VALUE"""),929.7)</f>
        <v>929.7</v>
      </c>
      <c r="F30" s="6">
        <f>IFERROR(__xludf.DUMMYFUNCTION("""COMPUTED_VALUE"""),4948772.0)</f>
        <v>4948772</v>
      </c>
    </row>
    <row r="31">
      <c r="A31" s="7">
        <f>IFERROR(__xludf.DUMMYFUNCTION("""COMPUTED_VALUE"""),45387.64583333333)</f>
        <v>45387.64583</v>
      </c>
      <c r="B31" s="6">
        <f>IFERROR(__xludf.DUMMYFUNCTION("""COMPUTED_VALUE"""),930.05)</f>
        <v>930.05</v>
      </c>
      <c r="C31" s="6">
        <f>IFERROR(__xludf.DUMMYFUNCTION("""COMPUTED_VALUE"""),1037.95)</f>
        <v>1037.95</v>
      </c>
      <c r="D31" s="6">
        <f>IFERROR(__xludf.DUMMYFUNCTION("""COMPUTED_VALUE"""),930.0)</f>
        <v>930</v>
      </c>
      <c r="E31" s="6">
        <f>IFERROR(__xludf.DUMMYFUNCTION("""COMPUTED_VALUE"""),1002.95)</f>
        <v>1002.95</v>
      </c>
      <c r="F31" s="6">
        <f>IFERROR(__xludf.DUMMYFUNCTION("""COMPUTED_VALUE"""),2.4678624E7)</f>
        <v>24678624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IFERROR(__xludf.DUMMYFUNCTION("""COMPUTED_VALUE"""),1005.0)</f>
        <v>1005</v>
      </c>
      <c r="C32" s="6">
        <f>IFERROR(__xludf.DUMMYFUNCTION("""COMPUTED_VALUE"""),1068.8)</f>
        <v>1068.8</v>
      </c>
      <c r="D32" s="6">
        <f>IFERROR(__xludf.DUMMYFUNCTION("""COMPUTED_VALUE"""),998.0)</f>
        <v>998</v>
      </c>
      <c r="E32" s="6">
        <f>IFERROR(__xludf.DUMMYFUNCTION("""COMPUTED_VALUE"""),1057.65)</f>
        <v>1057.65</v>
      </c>
      <c r="F32" s="6">
        <f>IFERROR(__xludf.DUMMYFUNCTION("""COMPUTED_VALUE"""),1.9114475E7)</f>
        <v>19114475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IFERROR(__xludf.DUMMYFUNCTION("""COMPUTED_VALUE"""),1044.95)</f>
        <v>1044.95</v>
      </c>
      <c r="C33" s="6">
        <f>IFERROR(__xludf.DUMMYFUNCTION("""COMPUTED_VALUE"""),1048.25)</f>
        <v>1048.25</v>
      </c>
      <c r="D33" s="6">
        <f>IFERROR(__xludf.DUMMYFUNCTION("""COMPUTED_VALUE"""),970.5)</f>
        <v>970.5</v>
      </c>
      <c r="E33" s="6">
        <f>IFERROR(__xludf.DUMMYFUNCTION("""COMPUTED_VALUE"""),992.0)</f>
        <v>992</v>
      </c>
      <c r="F33" s="6">
        <f>IFERROR(__xludf.DUMMYFUNCTION("""COMPUTED_VALUE"""),1.3305484E7)</f>
        <v>13305484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IFERROR(__xludf.DUMMYFUNCTION("""COMPUTED_VALUE"""),1004.95)</f>
        <v>1004.95</v>
      </c>
      <c r="C34" s="6">
        <f>IFERROR(__xludf.DUMMYFUNCTION("""COMPUTED_VALUE"""),1059.0)</f>
        <v>1059</v>
      </c>
      <c r="D34" s="6">
        <f>IFERROR(__xludf.DUMMYFUNCTION("""COMPUTED_VALUE"""),995.0)</f>
        <v>995</v>
      </c>
      <c r="E34" s="6">
        <f>IFERROR(__xludf.DUMMYFUNCTION("""COMPUTED_VALUE"""),1044.45)</f>
        <v>1044.45</v>
      </c>
      <c r="F34" s="6">
        <f>IFERROR(__xludf.DUMMYFUNCTION("""COMPUTED_VALUE"""),9854268.0)</f>
        <v>9854268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IFERROR(__xludf.DUMMYFUNCTION("""COMPUTED_VALUE"""),1052.0)</f>
        <v>1052</v>
      </c>
      <c r="C35" s="6">
        <f>IFERROR(__xludf.DUMMYFUNCTION("""COMPUTED_VALUE"""),1076.45)</f>
        <v>1076.45</v>
      </c>
      <c r="D35" s="6">
        <f>IFERROR(__xludf.DUMMYFUNCTION("""COMPUTED_VALUE"""),1034.2)</f>
        <v>1034.2</v>
      </c>
      <c r="E35" s="6">
        <f>IFERROR(__xludf.DUMMYFUNCTION("""COMPUTED_VALUE"""),1052.45)</f>
        <v>1052.45</v>
      </c>
      <c r="F35" s="6">
        <f>IFERROR(__xludf.DUMMYFUNCTION("""COMPUTED_VALUE"""),1.1667792E7)</f>
        <v>11667792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IFERROR(__xludf.DUMMYFUNCTION("""COMPUTED_VALUE"""),1055.0)</f>
        <v>1055</v>
      </c>
      <c r="C36" s="6">
        <f>IFERROR(__xludf.DUMMYFUNCTION("""COMPUTED_VALUE"""),1057.2)</f>
        <v>1057.2</v>
      </c>
      <c r="D36" s="6">
        <f>IFERROR(__xludf.DUMMYFUNCTION("""COMPUTED_VALUE"""),982.7)</f>
        <v>982.7</v>
      </c>
      <c r="E36" s="6">
        <f>IFERROR(__xludf.DUMMYFUNCTION("""COMPUTED_VALUE"""),995.55)</f>
        <v>995.55</v>
      </c>
      <c r="F36" s="6">
        <f>IFERROR(__xludf.DUMMYFUNCTION("""COMPUTED_VALUE"""),1.110967E7)</f>
        <v>11109670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IFERROR(__xludf.DUMMYFUNCTION("""COMPUTED_VALUE"""),1109.0)</f>
        <v>1109</v>
      </c>
      <c r="C37" s="6">
        <f>IFERROR(__xludf.DUMMYFUNCTION("""COMPUTED_VALUE"""),1138.9)</f>
        <v>1138.9</v>
      </c>
      <c r="D37" s="6">
        <f>IFERROR(__xludf.DUMMYFUNCTION("""COMPUTED_VALUE"""),1087.55)</f>
        <v>1087.55</v>
      </c>
      <c r="E37" s="6">
        <f>IFERROR(__xludf.DUMMYFUNCTION("""COMPUTED_VALUE"""),1109.05)</f>
        <v>1109.05</v>
      </c>
      <c r="F37" s="6">
        <f>IFERROR(__xludf.DUMMYFUNCTION("""COMPUTED_VALUE"""),1.3011936E7)</f>
        <v>13011936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IFERROR(__xludf.DUMMYFUNCTION("""COMPUTED_VALUE"""),1116.1)</f>
        <v>1116.1</v>
      </c>
      <c r="C38" s="6">
        <f>IFERROR(__xludf.DUMMYFUNCTION("""COMPUTED_VALUE"""),1119.75)</f>
        <v>1119.75</v>
      </c>
      <c r="D38" s="6">
        <f>IFERROR(__xludf.DUMMYFUNCTION("""COMPUTED_VALUE"""),998.0)</f>
        <v>998</v>
      </c>
      <c r="E38" s="6">
        <f>IFERROR(__xludf.DUMMYFUNCTION("""COMPUTED_VALUE"""),1020.35)</f>
        <v>1020.35</v>
      </c>
      <c r="F38" s="6">
        <f>IFERROR(__xludf.DUMMYFUNCTION("""COMPUTED_VALUE"""),1.9916167E7)</f>
        <v>19916167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IFERROR(__xludf.DUMMYFUNCTION("""COMPUTED_VALUE"""),1084.95)</f>
        <v>1084.95</v>
      </c>
      <c r="C39" s="6">
        <f>IFERROR(__xludf.DUMMYFUNCTION("""COMPUTED_VALUE"""),1084.95)</f>
        <v>1084.95</v>
      </c>
      <c r="D39" s="6">
        <f>IFERROR(__xludf.DUMMYFUNCTION("""COMPUTED_VALUE"""),845.3)</f>
        <v>845.3</v>
      </c>
      <c r="E39" s="6">
        <f>IFERROR(__xludf.DUMMYFUNCTION("""COMPUTED_VALUE"""),977.75)</f>
        <v>977.75</v>
      </c>
      <c r="F39" s="6">
        <f>IFERROR(__xludf.DUMMYFUNCTION("""COMPUTED_VALUE"""),3.178921E7)</f>
        <v>31789210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IFERROR(__xludf.DUMMYFUNCTION("""COMPUTED_VALUE"""),990.0)</f>
        <v>990</v>
      </c>
      <c r="C40" s="6">
        <f>IFERROR(__xludf.DUMMYFUNCTION("""COMPUTED_VALUE"""),1037.0)</f>
        <v>1037</v>
      </c>
      <c r="D40" s="6">
        <f>IFERROR(__xludf.DUMMYFUNCTION("""COMPUTED_VALUE"""),972.6)</f>
        <v>972.6</v>
      </c>
      <c r="E40" s="6">
        <f>IFERROR(__xludf.DUMMYFUNCTION("""COMPUTED_VALUE"""),1018.2)</f>
        <v>1018.2</v>
      </c>
      <c r="F40" s="6">
        <f>IFERROR(__xludf.DUMMYFUNCTION("""COMPUTED_VALUE"""),1.8831708E7)</f>
        <v>18831708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IFERROR(__xludf.DUMMYFUNCTION("""COMPUTED_VALUE"""),1019.0)</f>
        <v>1019</v>
      </c>
      <c r="C41" s="6">
        <f>IFERROR(__xludf.DUMMYFUNCTION("""COMPUTED_VALUE"""),1046.0)</f>
        <v>1046</v>
      </c>
      <c r="D41" s="6">
        <f>IFERROR(__xludf.DUMMYFUNCTION("""COMPUTED_VALUE"""),1002.9)</f>
        <v>1002.9</v>
      </c>
      <c r="E41" s="6">
        <f>IFERROR(__xludf.DUMMYFUNCTION("""COMPUTED_VALUE"""),1012.3)</f>
        <v>1012.3</v>
      </c>
      <c r="F41" s="6">
        <f>IFERROR(__xludf.DUMMYFUNCTION("""COMPUTED_VALUE"""),1.239639E7)</f>
        <v>12396390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IFERROR(__xludf.DUMMYFUNCTION("""COMPUTED_VALUE"""),1020.0)</f>
        <v>1020</v>
      </c>
      <c r="C42" s="6">
        <f>IFERROR(__xludf.DUMMYFUNCTION("""COMPUTED_VALUE"""),1037.95)</f>
        <v>1037.95</v>
      </c>
      <c r="D42" s="6">
        <f>IFERROR(__xludf.DUMMYFUNCTION("""COMPUTED_VALUE"""),983.35)</f>
        <v>983.35</v>
      </c>
      <c r="E42" s="6">
        <f>IFERROR(__xludf.DUMMYFUNCTION("""COMPUTED_VALUE"""),989.25)</f>
        <v>989.25</v>
      </c>
      <c r="F42" s="6">
        <f>IFERROR(__xludf.DUMMYFUNCTION("""COMPUTED_VALUE"""),1.6612808E7)</f>
        <v>16612808</v>
      </c>
    </row>
    <row r="43">
      <c r="A43" s="7">
        <f>IFERROR(__xludf.DUMMYFUNCTION("""COMPUTED_VALUE"""),45478.64583333333)</f>
        <v>45478.64583</v>
      </c>
      <c r="B43" s="6">
        <f>IFERROR(__xludf.DUMMYFUNCTION("""COMPUTED_VALUE"""),990.0)</f>
        <v>990</v>
      </c>
      <c r="C43" s="6">
        <f>IFERROR(__xludf.DUMMYFUNCTION("""COMPUTED_VALUE"""),1034.45)</f>
        <v>1034.45</v>
      </c>
      <c r="D43" s="6">
        <f>IFERROR(__xludf.DUMMYFUNCTION("""COMPUTED_VALUE"""),989.05)</f>
        <v>989.05</v>
      </c>
      <c r="E43" s="6">
        <f>IFERROR(__xludf.DUMMYFUNCTION("""COMPUTED_VALUE"""),1026.2)</f>
        <v>1026.2</v>
      </c>
      <c r="F43" s="6">
        <f>IFERROR(__xludf.DUMMYFUNCTION("""COMPUTED_VALUE"""),1.3045955E7)</f>
        <v>13045955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IFERROR(__xludf.DUMMYFUNCTION("""COMPUTED_VALUE"""),1030.0)</f>
        <v>1030</v>
      </c>
      <c r="C44" s="6">
        <f>IFERROR(__xludf.DUMMYFUNCTION("""COMPUTED_VALUE"""),1059.45)</f>
        <v>1059.45</v>
      </c>
      <c r="D44" s="6">
        <f>IFERROR(__xludf.DUMMYFUNCTION("""COMPUTED_VALUE"""),993.75)</f>
        <v>993.75</v>
      </c>
      <c r="E44" s="6">
        <f>IFERROR(__xludf.DUMMYFUNCTION("""COMPUTED_VALUE"""),1043.05)</f>
        <v>1043.05</v>
      </c>
      <c r="F44" s="6">
        <f>IFERROR(__xludf.DUMMYFUNCTION("""COMPUTED_VALUE"""),1.8342966E7)</f>
        <v>18342966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IFERROR(__xludf.DUMMYFUNCTION("""COMPUTED_VALUE"""),1046.85)</f>
        <v>1046.85</v>
      </c>
      <c r="C45" s="6">
        <f>IFERROR(__xludf.DUMMYFUNCTION("""COMPUTED_VALUE"""),1047.4)</f>
        <v>1047.4</v>
      </c>
      <c r="D45" s="6">
        <f>IFERROR(__xludf.DUMMYFUNCTION("""COMPUTED_VALUE"""),985.0)</f>
        <v>985</v>
      </c>
      <c r="E45" s="6">
        <f>IFERROR(__xludf.DUMMYFUNCTION("""COMPUTED_VALUE"""),989.1)</f>
        <v>989.1</v>
      </c>
      <c r="F45" s="6">
        <f>IFERROR(__xludf.DUMMYFUNCTION("""COMPUTED_VALUE"""),9341304.0)</f>
        <v>9341304</v>
      </c>
    </row>
    <row r="46">
      <c r="A46" s="7">
        <f>IFERROR(__xludf.DUMMYFUNCTION("""COMPUTED_VALUE"""),45499.64583333333)</f>
        <v>45499.64583</v>
      </c>
      <c r="B46" s="6">
        <f>IFERROR(__xludf.DUMMYFUNCTION("""COMPUTED_VALUE"""),990.0)</f>
        <v>990</v>
      </c>
      <c r="C46" s="6">
        <f>IFERROR(__xludf.DUMMYFUNCTION("""COMPUTED_VALUE"""),1015.7)</f>
        <v>1015.7</v>
      </c>
      <c r="D46" s="6">
        <f>IFERROR(__xludf.DUMMYFUNCTION("""COMPUTED_VALUE"""),940.05)</f>
        <v>940.05</v>
      </c>
      <c r="E46" s="6">
        <f>IFERROR(__xludf.DUMMYFUNCTION("""COMPUTED_VALUE"""),984.15)</f>
        <v>984.15</v>
      </c>
      <c r="F46" s="6">
        <f>IFERROR(__xludf.DUMMYFUNCTION("""COMPUTED_VALUE"""),1.412122E7)</f>
        <v>14121220</v>
      </c>
    </row>
    <row r="47">
      <c r="A47" s="7">
        <f>IFERROR(__xludf.DUMMYFUNCTION("""COMPUTED_VALUE"""),45506.64583333333)</f>
        <v>45506.64583</v>
      </c>
      <c r="B47" s="6">
        <f>IFERROR(__xludf.DUMMYFUNCTION("""COMPUTED_VALUE"""),990.0)</f>
        <v>990</v>
      </c>
      <c r="C47" s="6">
        <f>IFERROR(__xludf.DUMMYFUNCTION("""COMPUTED_VALUE"""),1000.8)</f>
        <v>1000.8</v>
      </c>
      <c r="D47" s="6">
        <f>IFERROR(__xludf.DUMMYFUNCTION("""COMPUTED_VALUE"""),963.65)</f>
        <v>963.65</v>
      </c>
      <c r="E47" s="6">
        <f>IFERROR(__xludf.DUMMYFUNCTION("""COMPUTED_VALUE"""),966.4)</f>
        <v>966.4</v>
      </c>
      <c r="F47" s="6">
        <f>IFERROR(__xludf.DUMMYFUNCTION("""COMPUTED_VALUE"""),5838122.0)</f>
        <v>5838122</v>
      </c>
    </row>
    <row r="48">
      <c r="A48" s="7">
        <f>IFERROR(__xludf.DUMMYFUNCTION("""COMPUTED_VALUE"""),45513.64583333333)</f>
        <v>45513.64583</v>
      </c>
      <c r="B48" s="6">
        <f>IFERROR(__xludf.DUMMYFUNCTION("""COMPUTED_VALUE"""),945.0)</f>
        <v>945</v>
      </c>
      <c r="C48" s="6">
        <f>IFERROR(__xludf.DUMMYFUNCTION("""COMPUTED_VALUE"""),954.0)</f>
        <v>954</v>
      </c>
      <c r="D48" s="6">
        <f>IFERROR(__xludf.DUMMYFUNCTION("""COMPUTED_VALUE"""),915.9)</f>
        <v>915.9</v>
      </c>
      <c r="E48" s="6">
        <f>IFERROR(__xludf.DUMMYFUNCTION("""COMPUTED_VALUE"""),926.95)</f>
        <v>926.95</v>
      </c>
      <c r="F48" s="6">
        <f>IFERROR(__xludf.DUMMYFUNCTION("""COMPUTED_VALUE"""),7232467.0)</f>
        <v>7232467</v>
      </c>
    </row>
    <row r="49">
      <c r="A49" s="7">
        <f>IFERROR(__xludf.DUMMYFUNCTION("""COMPUTED_VALUE"""),45520.64583333333)</f>
        <v>45520.64583</v>
      </c>
      <c r="B49" s="6">
        <f>IFERROR(__xludf.DUMMYFUNCTION("""COMPUTED_VALUE"""),926.45)</f>
        <v>926.45</v>
      </c>
      <c r="C49" s="6">
        <f>IFERROR(__xludf.DUMMYFUNCTION("""COMPUTED_VALUE"""),933.25)</f>
        <v>933.25</v>
      </c>
      <c r="D49" s="6">
        <f>IFERROR(__xludf.DUMMYFUNCTION("""COMPUTED_VALUE"""),906.3)</f>
        <v>906.3</v>
      </c>
      <c r="E49" s="6">
        <f>IFERROR(__xludf.DUMMYFUNCTION("""COMPUTED_VALUE"""),924.75)</f>
        <v>924.75</v>
      </c>
      <c r="F49" s="6">
        <f>IFERROR(__xludf.DUMMYFUNCTION("""COMPUTED_VALUE"""),5913501.0)</f>
        <v>5913501</v>
      </c>
    </row>
    <row r="50">
      <c r="A50" s="7">
        <f>IFERROR(__xludf.DUMMYFUNCTION("""COMPUTED_VALUE"""),45527.64583333333)</f>
        <v>45527.64583</v>
      </c>
      <c r="B50" s="6">
        <f>IFERROR(__xludf.DUMMYFUNCTION("""COMPUTED_VALUE"""),926.0)</f>
        <v>926</v>
      </c>
      <c r="C50" s="6">
        <f>IFERROR(__xludf.DUMMYFUNCTION("""COMPUTED_VALUE"""),942.4)</f>
        <v>942.4</v>
      </c>
      <c r="D50" s="6">
        <f>IFERROR(__xludf.DUMMYFUNCTION("""COMPUTED_VALUE"""),922.0)</f>
        <v>922</v>
      </c>
      <c r="E50" s="6">
        <f>IFERROR(__xludf.DUMMYFUNCTION("""COMPUTED_VALUE"""),923.3)</f>
        <v>923.3</v>
      </c>
      <c r="F50" s="6">
        <f>IFERROR(__xludf.DUMMYFUNCTION("""COMPUTED_VALUE"""),5475524.0)</f>
        <v>5475524</v>
      </c>
    </row>
    <row r="51">
      <c r="A51" s="7">
        <f>IFERROR(__xludf.DUMMYFUNCTION("""COMPUTED_VALUE"""),45534.64583333333)</f>
        <v>45534.64583</v>
      </c>
      <c r="B51" s="6">
        <f>IFERROR(__xludf.DUMMYFUNCTION("""COMPUTED_VALUE"""),927.8)</f>
        <v>927.8</v>
      </c>
      <c r="C51" s="6">
        <f>IFERROR(__xludf.DUMMYFUNCTION("""COMPUTED_VALUE"""),948.0)</f>
        <v>948</v>
      </c>
      <c r="D51" s="6">
        <f>IFERROR(__xludf.DUMMYFUNCTION("""COMPUTED_VALUE"""),914.4)</f>
        <v>914.4</v>
      </c>
      <c r="E51" s="6">
        <f>IFERROR(__xludf.DUMMYFUNCTION("""COMPUTED_VALUE"""),932.8)</f>
        <v>932.8</v>
      </c>
      <c r="F51" s="6">
        <f>IFERROR(__xludf.DUMMYFUNCTION("""COMPUTED_VALUE"""),6881591.0)</f>
        <v>6881591</v>
      </c>
    </row>
    <row r="52">
      <c r="A52" s="7">
        <f>IFERROR(__xludf.DUMMYFUNCTION("""COMPUTED_VALUE"""),45541.64583333333)</f>
        <v>45541.64583</v>
      </c>
      <c r="B52" s="6">
        <f>IFERROR(__xludf.DUMMYFUNCTION("""COMPUTED_VALUE"""),938.95)</f>
        <v>938.95</v>
      </c>
      <c r="C52" s="6">
        <f>IFERROR(__xludf.DUMMYFUNCTION("""COMPUTED_VALUE"""),952.55)</f>
        <v>952.55</v>
      </c>
      <c r="D52" s="6">
        <f>IFERROR(__xludf.DUMMYFUNCTION("""COMPUTED_VALUE"""),925.45)</f>
        <v>925.45</v>
      </c>
      <c r="E52" s="6">
        <f>IFERROR(__xludf.DUMMYFUNCTION("""COMPUTED_VALUE"""),936.5)</f>
        <v>936.5</v>
      </c>
      <c r="F52" s="6">
        <f>IFERROR(__xludf.DUMMYFUNCTION("""COMPUTED_VALUE"""),8760441.0)</f>
        <v>8760441</v>
      </c>
    </row>
    <row r="53">
      <c r="A53" s="7">
        <f>IFERROR(__xludf.DUMMYFUNCTION("""COMPUTED_VALUE"""),45548.64583333333)</f>
        <v>45548.64583</v>
      </c>
      <c r="B53" s="6">
        <f>IFERROR(__xludf.DUMMYFUNCTION("""COMPUTED_VALUE"""),928.05)</f>
        <v>928.05</v>
      </c>
      <c r="C53" s="6">
        <f>IFERROR(__xludf.DUMMYFUNCTION("""COMPUTED_VALUE"""),957.1)</f>
        <v>957.1</v>
      </c>
      <c r="D53" s="6">
        <f>IFERROR(__xludf.DUMMYFUNCTION("""COMPUTED_VALUE"""),918.95)</f>
        <v>918.95</v>
      </c>
      <c r="E53" s="6">
        <f>IFERROR(__xludf.DUMMYFUNCTION("""COMPUTED_VALUE"""),936.9)</f>
        <v>936.9</v>
      </c>
      <c r="F53" s="6">
        <f>IFERROR(__xludf.DUMMYFUNCTION("""COMPUTED_VALUE"""),7507353.0)</f>
        <v>7507353</v>
      </c>
    </row>
    <row r="54">
      <c r="A54" s="7">
        <f>IFERROR(__xludf.DUMMYFUNCTION("""COMPUTED_VALUE"""),45555.64583333333)</f>
        <v>45555.64583</v>
      </c>
      <c r="B54" s="6">
        <f>IFERROR(__xludf.DUMMYFUNCTION("""COMPUTED_VALUE"""),937.5)</f>
        <v>937.5</v>
      </c>
      <c r="C54" s="6">
        <f>IFERROR(__xludf.DUMMYFUNCTION("""COMPUTED_VALUE"""),941.95)</f>
        <v>941.95</v>
      </c>
      <c r="D54" s="6">
        <f>IFERROR(__xludf.DUMMYFUNCTION("""COMPUTED_VALUE"""),866.05)</f>
        <v>866.05</v>
      </c>
      <c r="E54" s="6">
        <f>IFERROR(__xludf.DUMMYFUNCTION("""COMPUTED_VALUE"""),894.25)</f>
        <v>894.25</v>
      </c>
      <c r="F54" s="6">
        <f>IFERROR(__xludf.DUMMYFUNCTION("""COMPUTED_VALUE"""),9361352.0)</f>
        <v>9361352</v>
      </c>
    </row>
    <row r="55">
      <c r="A55" s="7">
        <f>IFERROR(__xludf.DUMMYFUNCTION("""COMPUTED_VALUE"""),45562.64583333333)</f>
        <v>45562.64583</v>
      </c>
      <c r="B55" s="6">
        <f>IFERROR(__xludf.DUMMYFUNCTION("""COMPUTED_VALUE"""),898.25)</f>
        <v>898.25</v>
      </c>
      <c r="C55" s="6">
        <f>IFERROR(__xludf.DUMMYFUNCTION("""COMPUTED_VALUE"""),928.0)</f>
        <v>928</v>
      </c>
      <c r="D55" s="6">
        <f>IFERROR(__xludf.DUMMYFUNCTION("""COMPUTED_VALUE"""),893.9)</f>
        <v>893.9</v>
      </c>
      <c r="E55" s="6">
        <f>IFERROR(__xludf.DUMMYFUNCTION("""COMPUTED_VALUE"""),924.9)</f>
        <v>924.9</v>
      </c>
      <c r="F55" s="6">
        <f>IFERROR(__xludf.DUMMYFUNCTION("""COMPUTED_VALUE"""),7246199.0)</f>
        <v>7246199</v>
      </c>
    </row>
    <row r="56">
      <c r="A56" s="7">
        <f>IFERROR(__xludf.DUMMYFUNCTION("""COMPUTED_VALUE"""),45569.64583333333)</f>
        <v>45569.64583</v>
      </c>
      <c r="B56" s="6">
        <f>IFERROR(__xludf.DUMMYFUNCTION("""COMPUTED_VALUE"""),920.0)</f>
        <v>920</v>
      </c>
      <c r="C56" s="6">
        <f>IFERROR(__xludf.DUMMYFUNCTION("""COMPUTED_VALUE"""),934.0)</f>
        <v>934</v>
      </c>
      <c r="D56" s="6">
        <f>IFERROR(__xludf.DUMMYFUNCTION("""COMPUTED_VALUE"""),868.05)</f>
        <v>868.05</v>
      </c>
      <c r="E56" s="6">
        <f>IFERROR(__xludf.DUMMYFUNCTION("""COMPUTED_VALUE"""),872.75)</f>
        <v>872.75</v>
      </c>
      <c r="F56" s="6">
        <f>IFERROR(__xludf.DUMMYFUNCTION("""COMPUTED_VALUE"""),9436817.0)</f>
        <v>9436817</v>
      </c>
    </row>
    <row r="57">
      <c r="A57" s="7">
        <f>IFERROR(__xludf.DUMMYFUNCTION("""COMPUTED_VALUE"""),45576.64583333333)</f>
        <v>45576.64583</v>
      </c>
      <c r="B57" s="6">
        <f>IFERROR(__xludf.DUMMYFUNCTION("""COMPUTED_VALUE"""),877.15)</f>
        <v>877.15</v>
      </c>
      <c r="C57" s="6">
        <f>IFERROR(__xludf.DUMMYFUNCTION("""COMPUTED_VALUE"""),894.65)</f>
        <v>894.65</v>
      </c>
      <c r="D57" s="6">
        <f>IFERROR(__xludf.DUMMYFUNCTION("""COMPUTED_VALUE"""),843.3)</f>
        <v>843.3</v>
      </c>
      <c r="E57" s="6">
        <f>IFERROR(__xludf.DUMMYFUNCTION("""COMPUTED_VALUE"""),889.2)</f>
        <v>889.2</v>
      </c>
      <c r="F57" s="6">
        <f>IFERROR(__xludf.DUMMYFUNCTION("""COMPUTED_VALUE"""),7056366.0)</f>
        <v>7056366</v>
      </c>
    </row>
    <row r="58">
      <c r="A58" s="7">
        <f>IFERROR(__xludf.DUMMYFUNCTION("""COMPUTED_VALUE"""),45583.64583333333)</f>
        <v>45583.64583</v>
      </c>
      <c r="B58" s="6">
        <f>IFERROR(__xludf.DUMMYFUNCTION("""COMPUTED_VALUE"""),889.2)</f>
        <v>889.2</v>
      </c>
      <c r="C58" s="6">
        <f>IFERROR(__xludf.DUMMYFUNCTION("""COMPUTED_VALUE"""),900.4)</f>
        <v>900.4</v>
      </c>
      <c r="D58" s="6">
        <f>IFERROR(__xludf.DUMMYFUNCTION("""COMPUTED_VALUE"""),862.7)</f>
        <v>862.7</v>
      </c>
      <c r="E58" s="6">
        <f>IFERROR(__xludf.DUMMYFUNCTION("""COMPUTED_VALUE"""),881.0)</f>
        <v>881</v>
      </c>
      <c r="F58" s="6">
        <f>IFERROR(__xludf.DUMMYFUNCTION("""COMPUTED_VALUE"""),5509170.0)</f>
        <v>5509170</v>
      </c>
    </row>
    <row r="59">
      <c r="A59" s="7">
        <f>IFERROR(__xludf.DUMMYFUNCTION("""COMPUTED_VALUE"""),45590.64583333333)</f>
        <v>45590.64583</v>
      </c>
      <c r="B59" s="6">
        <f>IFERROR(__xludf.DUMMYFUNCTION("""COMPUTED_VALUE"""),879.65)</f>
        <v>879.65</v>
      </c>
      <c r="C59" s="6">
        <f>IFERROR(__xludf.DUMMYFUNCTION("""COMPUTED_VALUE"""),884.7)</f>
        <v>884.7</v>
      </c>
      <c r="D59" s="6">
        <f>IFERROR(__xludf.DUMMYFUNCTION("""COMPUTED_VALUE"""),798.1)</f>
        <v>798.1</v>
      </c>
      <c r="E59" s="6">
        <f>IFERROR(__xludf.DUMMYFUNCTION("""COMPUTED_VALUE"""),812.1)</f>
        <v>812.1</v>
      </c>
      <c r="F59" s="6">
        <f>IFERROR(__xludf.DUMMYFUNCTION("""COMPUTED_VALUE"""),6375865.0)</f>
        <v>6375865</v>
      </c>
    </row>
    <row r="60">
      <c r="A60" s="7">
        <f>IFERROR(__xludf.DUMMYFUNCTION("""COMPUTED_VALUE"""),45604.64583333333)</f>
        <v>45604.64583</v>
      </c>
      <c r="B60" s="6">
        <f>IFERROR(__xludf.DUMMYFUNCTION("""COMPUTED_VALUE"""),833.0)</f>
        <v>833</v>
      </c>
      <c r="C60" s="6">
        <f>IFERROR(__xludf.DUMMYFUNCTION("""COMPUTED_VALUE"""),863.3)</f>
        <v>863.3</v>
      </c>
      <c r="D60" s="6">
        <f>IFERROR(__xludf.DUMMYFUNCTION("""COMPUTED_VALUE"""),792.1)</f>
        <v>792.1</v>
      </c>
      <c r="E60" s="6">
        <f>IFERROR(__xludf.DUMMYFUNCTION("""COMPUTED_VALUE"""),832.5)</f>
        <v>832.5</v>
      </c>
      <c r="F60" s="6">
        <f>IFERROR(__xludf.DUMMYFUNCTION("""COMPUTED_VALUE"""),1.1527312E7)</f>
        <v>11527312</v>
      </c>
    </row>
    <row r="61">
      <c r="A61" s="7">
        <f>IFERROR(__xludf.DUMMYFUNCTION("""COMPUTED_VALUE"""),45610.64583333333)</f>
        <v>45610.64583</v>
      </c>
      <c r="B61" s="6">
        <f>IFERROR(__xludf.DUMMYFUNCTION("""COMPUTED_VALUE"""),828.1)</f>
        <v>828.1</v>
      </c>
      <c r="C61" s="6">
        <f>IFERROR(__xludf.DUMMYFUNCTION("""COMPUTED_VALUE"""),843.8)</f>
        <v>843.8</v>
      </c>
      <c r="D61" s="6">
        <f>IFERROR(__xludf.DUMMYFUNCTION("""COMPUTED_VALUE"""),791.0)</f>
        <v>791</v>
      </c>
      <c r="E61" s="6">
        <f>IFERROR(__xludf.DUMMYFUNCTION("""COMPUTED_VALUE"""),799.6)</f>
        <v>799.6</v>
      </c>
      <c r="F61" s="6">
        <f>IFERROR(__xludf.DUMMYFUNCTION("""COMPUTED_VALUE"""),3807766.0)</f>
        <v>3807766</v>
      </c>
    </row>
    <row r="62">
      <c r="A62" s="7">
        <f>IFERROR(__xludf.DUMMYFUNCTION("""COMPUTED_VALUE"""),45618.64583333333)</f>
        <v>45618.64583</v>
      </c>
      <c r="B62" s="6">
        <f>IFERROR(__xludf.DUMMYFUNCTION("""COMPUTED_VALUE"""),801.9)</f>
        <v>801.9</v>
      </c>
      <c r="C62" s="6">
        <f>IFERROR(__xludf.DUMMYFUNCTION("""COMPUTED_VALUE"""),815.65)</f>
        <v>815.65</v>
      </c>
      <c r="D62" s="6">
        <f>IFERROR(__xludf.DUMMYFUNCTION("""COMPUTED_VALUE"""),783.0)</f>
        <v>783</v>
      </c>
      <c r="E62" s="6">
        <f>IFERROR(__xludf.DUMMYFUNCTION("""COMPUTED_VALUE"""),808.6)</f>
        <v>808.6</v>
      </c>
      <c r="F62" s="6">
        <f>IFERROR(__xludf.DUMMYFUNCTION("""COMPUTED_VALUE"""),3664886.0)</f>
        <v>3664886</v>
      </c>
    </row>
    <row r="63">
      <c r="A63" s="7">
        <f>IFERROR(__xludf.DUMMYFUNCTION("""COMPUTED_VALUE"""),45625.64583333333)</f>
        <v>45625.64583</v>
      </c>
      <c r="B63" s="6">
        <f>IFERROR(__xludf.DUMMYFUNCTION("""COMPUTED_VALUE"""),820.0)</f>
        <v>820</v>
      </c>
      <c r="C63" s="6">
        <f>IFERROR(__xludf.DUMMYFUNCTION("""COMPUTED_VALUE"""),831.0)</f>
        <v>831</v>
      </c>
      <c r="D63" s="6">
        <f>IFERROR(__xludf.DUMMYFUNCTION("""COMPUTED_VALUE"""),810.0)</f>
        <v>810</v>
      </c>
      <c r="E63" s="6">
        <f>IFERROR(__xludf.DUMMYFUNCTION("""COMPUTED_VALUE"""),815.95)</f>
        <v>815.95</v>
      </c>
      <c r="F63" s="6">
        <f>IFERROR(__xludf.DUMMYFUNCTION("""COMPUTED_VALUE"""),5601319.0)</f>
        <v>5601319</v>
      </c>
    </row>
    <row r="64">
      <c r="A64" s="7">
        <f>IFERROR(__xludf.DUMMYFUNCTION("""COMPUTED_VALUE"""),45632.64583333333)</f>
        <v>45632.64583</v>
      </c>
      <c r="B64" s="6">
        <f>IFERROR(__xludf.DUMMYFUNCTION("""COMPUTED_VALUE"""),815.0)</f>
        <v>815</v>
      </c>
      <c r="C64" s="6">
        <f>IFERROR(__xludf.DUMMYFUNCTION("""COMPUTED_VALUE"""),843.9)</f>
        <v>843.9</v>
      </c>
      <c r="D64" s="6">
        <f>IFERROR(__xludf.DUMMYFUNCTION("""COMPUTED_VALUE"""),809.1)</f>
        <v>809.1</v>
      </c>
      <c r="E64" s="6">
        <f>IFERROR(__xludf.DUMMYFUNCTION("""COMPUTED_VALUE"""),830.6)</f>
        <v>830.6</v>
      </c>
      <c r="F64" s="6">
        <f>IFERROR(__xludf.DUMMYFUNCTION("""COMPUTED_VALUE"""),5901238.0)</f>
        <v>5901238</v>
      </c>
    </row>
    <row r="65">
      <c r="A65" s="7">
        <f>IFERROR(__xludf.DUMMYFUNCTION("""COMPUTED_VALUE"""),45639.64583333333)</f>
        <v>45639.64583</v>
      </c>
      <c r="B65" s="6">
        <f>IFERROR(__xludf.DUMMYFUNCTION("""COMPUTED_VALUE"""),830.6)</f>
        <v>830.6</v>
      </c>
      <c r="C65" s="6">
        <f>IFERROR(__xludf.DUMMYFUNCTION("""COMPUTED_VALUE"""),859.7)</f>
        <v>859.7</v>
      </c>
      <c r="D65" s="6">
        <f>IFERROR(__xludf.DUMMYFUNCTION("""COMPUTED_VALUE"""),820.2)</f>
        <v>820.2</v>
      </c>
      <c r="E65" s="6">
        <f>IFERROR(__xludf.DUMMYFUNCTION("""COMPUTED_VALUE"""),835.45)</f>
        <v>835.45</v>
      </c>
      <c r="F65" s="6">
        <f>IFERROR(__xludf.DUMMYFUNCTION("""COMPUTED_VALUE"""),6592912.0)</f>
        <v>6592912</v>
      </c>
    </row>
    <row r="66">
      <c r="A66" s="7">
        <f>IFERROR(__xludf.DUMMYFUNCTION("""COMPUTED_VALUE"""),45646.64583333333)</f>
        <v>45646.64583</v>
      </c>
      <c r="B66" s="6">
        <f>IFERROR(__xludf.DUMMYFUNCTION("""COMPUTED_VALUE"""),835.0)</f>
        <v>835</v>
      </c>
      <c r="C66" s="6">
        <f>IFERROR(__xludf.DUMMYFUNCTION("""COMPUTED_VALUE"""),843.9)</f>
        <v>843.9</v>
      </c>
      <c r="D66" s="6">
        <f>IFERROR(__xludf.DUMMYFUNCTION("""COMPUTED_VALUE"""),781.0)</f>
        <v>781</v>
      </c>
      <c r="E66" s="6">
        <f>IFERROR(__xludf.DUMMYFUNCTION("""COMPUTED_VALUE"""),784.25)</f>
        <v>784.25</v>
      </c>
      <c r="F66" s="6">
        <f>IFERROR(__xludf.DUMMYFUNCTION("""COMPUTED_VALUE"""),4414690.0)</f>
        <v>4414690</v>
      </c>
    </row>
    <row r="67">
      <c r="A67" s="7">
        <f>IFERROR(__xludf.DUMMYFUNCTION("""COMPUTED_VALUE"""),45653.64583333333)</f>
        <v>45653.64583</v>
      </c>
      <c r="B67" s="6">
        <f>IFERROR(__xludf.DUMMYFUNCTION("""COMPUTED_VALUE"""),786.8)</f>
        <v>786.8</v>
      </c>
      <c r="C67" s="6">
        <f>IFERROR(__xludf.DUMMYFUNCTION("""COMPUTED_VALUE"""),792.95)</f>
        <v>792.95</v>
      </c>
      <c r="D67" s="6">
        <f>IFERROR(__xludf.DUMMYFUNCTION("""COMPUTED_VALUE"""),777.2)</f>
        <v>777.2</v>
      </c>
      <c r="E67" s="6">
        <f>IFERROR(__xludf.DUMMYFUNCTION("""COMPUTED_VALUE"""),779.25)</f>
        <v>779.25</v>
      </c>
      <c r="F67" s="6">
        <f>IFERROR(__xludf.DUMMYFUNCTION("""COMPUTED_VALUE"""),3383033.0)</f>
        <v>3383033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IFERROR(__xludf.DUMMYFUNCTION("""COMPUTED_VALUE"""),779.25)</f>
        <v>779.25</v>
      </c>
      <c r="C68" s="6">
        <f>IFERROR(__xludf.DUMMYFUNCTION("""COMPUTED_VALUE"""),804.5)</f>
        <v>804.5</v>
      </c>
      <c r="D68" s="6">
        <f>IFERROR(__xludf.DUMMYFUNCTION("""COMPUTED_VALUE"""),765.1)</f>
        <v>765.1</v>
      </c>
      <c r="E68" s="6">
        <f>IFERROR(__xludf.DUMMYFUNCTION("""COMPUTED_VALUE"""),796.3)</f>
        <v>796.3</v>
      </c>
      <c r="F68" s="6">
        <f>IFERROR(__xludf.DUMMYFUNCTION("""COMPUTED_VALUE"""),5885740.0)</f>
        <v>5885740</v>
      </c>
    </row>
    <row r="69">
      <c r="A69" s="7">
        <f>IFERROR(__xludf.DUMMYFUNCTION("""COMPUTED_VALUE"""),45667.64583333333)</f>
        <v>45667.64583</v>
      </c>
      <c r="B69" s="6">
        <f>IFERROR(__xludf.DUMMYFUNCTION("""COMPUTED_VALUE"""),796.0)</f>
        <v>796</v>
      </c>
      <c r="C69" s="6">
        <f>IFERROR(__xludf.DUMMYFUNCTION("""COMPUTED_VALUE"""),802.95)</f>
        <v>802.95</v>
      </c>
      <c r="D69" s="6">
        <f>IFERROR(__xludf.DUMMYFUNCTION("""COMPUTED_VALUE"""),755.3)</f>
        <v>755.3</v>
      </c>
      <c r="E69" s="6">
        <f>IFERROR(__xludf.DUMMYFUNCTION("""COMPUTED_VALUE"""),779.15)</f>
        <v>779.15</v>
      </c>
      <c r="F69" s="6">
        <f>IFERROR(__xludf.DUMMYFUNCTION("""COMPUTED_VALUE"""),9770801.0)</f>
        <v>9770801</v>
      </c>
    </row>
    <row r="70">
      <c r="A70" s="7">
        <f>IFERROR(__xludf.DUMMYFUNCTION("""COMPUTED_VALUE"""),45674.64583333333)</f>
        <v>45674.64583</v>
      </c>
      <c r="B70" s="6">
        <f>IFERROR(__xludf.DUMMYFUNCTION("""COMPUTED_VALUE"""),779.15)</f>
        <v>779.15</v>
      </c>
      <c r="C70" s="6">
        <f>IFERROR(__xludf.DUMMYFUNCTION("""COMPUTED_VALUE"""),781.9)</f>
        <v>781.9</v>
      </c>
      <c r="D70" s="6">
        <f>IFERROR(__xludf.DUMMYFUNCTION("""COMPUTED_VALUE"""),743.75)</f>
        <v>743.75</v>
      </c>
      <c r="E70" s="6">
        <f>IFERROR(__xludf.DUMMYFUNCTION("""COMPUTED_VALUE"""),779.2)</f>
        <v>779.2</v>
      </c>
      <c r="F70" s="6">
        <f>IFERROR(__xludf.DUMMYFUNCTION("""COMPUTED_VALUE"""),6681501.0)</f>
        <v>6681501</v>
      </c>
    </row>
    <row r="71">
      <c r="A71" s="7">
        <f>IFERROR(__xludf.DUMMYFUNCTION("""COMPUTED_VALUE"""),45681.64583333333)</f>
        <v>45681.64583</v>
      </c>
      <c r="B71" s="6">
        <f>IFERROR(__xludf.DUMMYFUNCTION("""COMPUTED_VALUE"""),781.0)</f>
        <v>781</v>
      </c>
      <c r="C71" s="6">
        <f>IFERROR(__xludf.DUMMYFUNCTION("""COMPUTED_VALUE"""),802.5)</f>
        <v>802.5</v>
      </c>
      <c r="D71" s="6">
        <f>IFERROR(__xludf.DUMMYFUNCTION("""COMPUTED_VALUE"""),757.1)</f>
        <v>757.1</v>
      </c>
      <c r="E71" s="6">
        <f>IFERROR(__xludf.DUMMYFUNCTION("""COMPUTED_VALUE"""),787.5)</f>
        <v>787.5</v>
      </c>
      <c r="F71" s="6">
        <f>IFERROR(__xludf.DUMMYFUNCTION("""COMPUTED_VALUE"""),5915069.0)</f>
        <v>5915069</v>
      </c>
    </row>
    <row r="72">
      <c r="A72" s="7">
        <f>IFERROR(__xludf.DUMMYFUNCTION("""COMPUTED_VALUE"""),45695.64583333333)</f>
        <v>45695.64583</v>
      </c>
      <c r="B72" s="6">
        <f>IFERROR(__xludf.DUMMYFUNCTION("""COMPUTED_VALUE"""),788.0)</f>
        <v>788</v>
      </c>
      <c r="C72" s="6">
        <f>IFERROR(__xludf.DUMMYFUNCTION("""COMPUTED_VALUE"""),797.55)</f>
        <v>797.55</v>
      </c>
      <c r="D72" s="6">
        <f>IFERROR(__xludf.DUMMYFUNCTION("""COMPUTED_VALUE"""),758.8)</f>
        <v>758.8</v>
      </c>
      <c r="E72" s="6">
        <f>IFERROR(__xludf.DUMMYFUNCTION("""COMPUTED_VALUE"""),774.1)</f>
        <v>774.1</v>
      </c>
      <c r="F72" s="6">
        <f>IFERROR(__xludf.DUMMYFUNCTION("""COMPUTED_VALUE"""),5087786.0)</f>
        <v>5087786</v>
      </c>
    </row>
    <row r="73">
      <c r="A73" s="7">
        <f>IFERROR(__xludf.DUMMYFUNCTION("""COMPUTED_VALUE"""),45702.64583333333)</f>
        <v>45702.64583</v>
      </c>
      <c r="B73" s="6">
        <f>IFERROR(__xludf.DUMMYFUNCTION("""COMPUTED_VALUE"""),770.0)</f>
        <v>770</v>
      </c>
      <c r="C73" s="6">
        <f>IFERROR(__xludf.DUMMYFUNCTION("""COMPUTED_VALUE"""),787.35)</f>
        <v>787.35</v>
      </c>
      <c r="D73" s="6">
        <f>IFERROR(__xludf.DUMMYFUNCTION("""COMPUTED_VALUE"""),722.05)</f>
        <v>722.05</v>
      </c>
      <c r="E73" s="6">
        <f>IFERROR(__xludf.DUMMYFUNCTION("""COMPUTED_VALUE"""),732.6)</f>
        <v>732.6</v>
      </c>
      <c r="F73" s="6">
        <f>IFERROR(__xludf.DUMMYFUNCTION("""COMPUTED_VALUE"""),7336302.0)</f>
        <v>7336302</v>
      </c>
    </row>
    <row r="74">
      <c r="A74" s="7">
        <f>IFERROR(__xludf.DUMMYFUNCTION("""COMPUTED_VALUE"""),45709.64583333333)</f>
        <v>45709.64583</v>
      </c>
      <c r="B74" s="6">
        <f>IFERROR(__xludf.DUMMYFUNCTION("""COMPUTED_VALUE"""),725.0)</f>
        <v>725</v>
      </c>
      <c r="C74" s="6">
        <f>IFERROR(__xludf.DUMMYFUNCTION("""COMPUTED_VALUE"""),743.9)</f>
        <v>743.9</v>
      </c>
      <c r="D74" s="6">
        <f>IFERROR(__xludf.DUMMYFUNCTION("""COMPUTED_VALUE"""),709.3)</f>
        <v>709.3</v>
      </c>
      <c r="E74" s="6">
        <f>IFERROR(__xludf.DUMMYFUNCTION("""COMPUTED_VALUE"""),731.1)</f>
        <v>731.1</v>
      </c>
      <c r="F74" s="6">
        <f>IFERROR(__xludf.DUMMYFUNCTION("""COMPUTED_VALUE"""),4734207.0)</f>
        <v>4734207</v>
      </c>
    </row>
    <row r="75">
      <c r="A75" s="7">
        <f>IFERROR(__xludf.DUMMYFUNCTION("""COMPUTED_VALUE"""),45716.64583333333)</f>
        <v>45716.64583</v>
      </c>
      <c r="B75" s="6">
        <f>IFERROR(__xludf.DUMMYFUNCTION("""COMPUTED_VALUE"""),723.05)</f>
        <v>723.05</v>
      </c>
      <c r="C75" s="6">
        <f>IFERROR(__xludf.DUMMYFUNCTION("""COMPUTED_VALUE"""),728.2)</f>
        <v>728.2</v>
      </c>
      <c r="D75" s="6">
        <f>IFERROR(__xludf.DUMMYFUNCTION("""COMPUTED_VALUE"""),661.55)</f>
        <v>661.55</v>
      </c>
      <c r="E75" s="6">
        <f>IFERROR(__xludf.DUMMYFUNCTION("""COMPUTED_VALUE"""),670.95)</f>
        <v>670.95</v>
      </c>
      <c r="F75" s="6">
        <f>IFERROR(__xludf.DUMMYFUNCTION("""COMPUTED_VALUE"""),5625208.0)</f>
        <v>5625208</v>
      </c>
    </row>
    <row r="76">
      <c r="A76" s="7">
        <f>IFERROR(__xludf.DUMMYFUNCTION("""COMPUTED_VALUE"""),45723.64583333333)</f>
        <v>45723.64583</v>
      </c>
      <c r="B76" s="6">
        <f>IFERROR(__xludf.DUMMYFUNCTION("""COMPUTED_VALUE"""),673.05)</f>
        <v>673.05</v>
      </c>
      <c r="C76" s="6">
        <f>IFERROR(__xludf.DUMMYFUNCTION("""COMPUTED_VALUE"""),711.7)</f>
        <v>711.7</v>
      </c>
      <c r="D76" s="6">
        <f>IFERROR(__xludf.DUMMYFUNCTION("""COMPUTED_VALUE"""),656.05)</f>
        <v>656.05</v>
      </c>
      <c r="E76" s="6">
        <f>IFERROR(__xludf.DUMMYFUNCTION("""COMPUTED_VALUE"""),700.65)</f>
        <v>700.65</v>
      </c>
      <c r="F76" s="6">
        <f>IFERROR(__xludf.DUMMYFUNCTION("""COMPUTED_VALUE"""),5848216.0)</f>
        <v>5848216</v>
      </c>
    </row>
    <row r="77">
      <c r="A77" s="7">
        <f>IFERROR(__xludf.DUMMYFUNCTION("""COMPUTED_VALUE"""),45729.64583333333)</f>
        <v>45729.64583</v>
      </c>
      <c r="B77" s="6">
        <f>IFERROR(__xludf.DUMMYFUNCTION("""COMPUTED_VALUE"""),703.05)</f>
        <v>703.05</v>
      </c>
      <c r="C77" s="6">
        <f>IFERROR(__xludf.DUMMYFUNCTION("""COMPUTED_VALUE"""),708.5)</f>
        <v>708.5</v>
      </c>
      <c r="D77" s="6">
        <f>IFERROR(__xludf.DUMMYFUNCTION("""COMPUTED_VALUE"""),675.0)</f>
        <v>675</v>
      </c>
      <c r="E77" s="6">
        <f>IFERROR(__xludf.DUMMYFUNCTION("""COMPUTED_VALUE"""),689.05)</f>
        <v>689.05</v>
      </c>
      <c r="F77" s="6">
        <f>IFERROR(__xludf.DUMMYFUNCTION("""COMPUTED_VALUE"""),3115480.0)</f>
        <v>3115480</v>
      </c>
    </row>
    <row r="78">
      <c r="A78" s="7">
        <f>IFERROR(__xludf.DUMMYFUNCTION("""COMPUTED_VALUE"""),45737.64583333333)</f>
        <v>45737.64583</v>
      </c>
      <c r="B78" s="6">
        <f>IFERROR(__xludf.DUMMYFUNCTION("""COMPUTED_VALUE"""),689.3)</f>
        <v>689.3</v>
      </c>
      <c r="C78" s="6">
        <f>IFERROR(__xludf.DUMMYFUNCTION("""COMPUTED_VALUE"""),725.9)</f>
        <v>725.9</v>
      </c>
      <c r="D78" s="6">
        <f>IFERROR(__xludf.DUMMYFUNCTION("""COMPUTED_VALUE"""),687.8)</f>
        <v>687.8</v>
      </c>
      <c r="E78" s="6">
        <f>IFERROR(__xludf.DUMMYFUNCTION("""COMPUTED_VALUE"""),722.2)</f>
        <v>722.2</v>
      </c>
      <c r="F78" s="6">
        <f>IFERROR(__xludf.DUMMYFUNCTION("""COMPUTED_VALUE"""),5636858.0)</f>
        <v>5636858</v>
      </c>
    </row>
    <row r="79">
      <c r="A79" s="7">
        <f>IFERROR(__xludf.DUMMYFUNCTION("""COMPUTED_VALUE"""),45744.64583333333)</f>
        <v>45744.64583</v>
      </c>
      <c r="B79" s="6">
        <f>IFERROR(__xludf.DUMMYFUNCTION("""COMPUTED_VALUE"""),730.0)</f>
        <v>730</v>
      </c>
      <c r="C79" s="6">
        <f>IFERROR(__xludf.DUMMYFUNCTION("""COMPUTED_VALUE"""),735.2)</f>
        <v>735.2</v>
      </c>
      <c r="D79" s="6">
        <f>IFERROR(__xludf.DUMMYFUNCTION("""COMPUTED_VALUE"""),701.0)</f>
        <v>701</v>
      </c>
      <c r="E79" s="6">
        <f>IFERROR(__xludf.DUMMYFUNCTION("""COMPUTED_VALUE"""),727.5)</f>
        <v>727.5</v>
      </c>
      <c r="F79" s="6">
        <f>IFERROR(__xludf.DUMMYFUNCTION("""COMPUTED_VALUE"""),1.2780556E7)</f>
        <v>12780556</v>
      </c>
    </row>
    <row r="80">
      <c r="A80" s="7">
        <f>IFERROR(__xludf.DUMMYFUNCTION("""COMPUTED_VALUE"""),45751.64583333333)</f>
        <v>45751.64583</v>
      </c>
      <c r="B80" s="6">
        <f>IFERROR(__xludf.DUMMYFUNCTION("""COMPUTED_VALUE"""),725.15)</f>
        <v>725.15</v>
      </c>
      <c r="C80" s="6">
        <f>IFERROR(__xludf.DUMMYFUNCTION("""COMPUTED_VALUE"""),739.8)</f>
        <v>739.8</v>
      </c>
      <c r="D80" s="6">
        <f>IFERROR(__xludf.DUMMYFUNCTION("""COMPUTED_VALUE"""),709.25)</f>
        <v>709.25</v>
      </c>
      <c r="E80" s="6">
        <f>IFERROR(__xludf.DUMMYFUNCTION("""COMPUTED_VALUE"""),714.1)</f>
        <v>714.1</v>
      </c>
      <c r="F80" s="6">
        <f>IFERROR(__xludf.DUMMYFUNCTION("""COMPUTED_VALUE"""),5058368.0)</f>
        <v>5058368</v>
      </c>
    </row>
    <row r="81">
      <c r="A81" s="7">
        <f>IFERROR(__xludf.DUMMYFUNCTION("""COMPUTED_VALUE"""),45758.64583333333)</f>
        <v>45758.64583</v>
      </c>
      <c r="B81" s="6">
        <f>IFERROR(__xludf.DUMMYFUNCTION("""COMPUTED_VALUE"""),656.0)</f>
        <v>656</v>
      </c>
      <c r="C81" s="6">
        <f>IFERROR(__xludf.DUMMYFUNCTION("""COMPUTED_VALUE"""),735.45)</f>
        <v>735.45</v>
      </c>
      <c r="D81" s="6">
        <f>IFERROR(__xludf.DUMMYFUNCTION("""COMPUTED_VALUE"""),656.0)</f>
        <v>656</v>
      </c>
      <c r="E81" s="6">
        <f>IFERROR(__xludf.DUMMYFUNCTION("""COMPUTED_VALUE"""),730.7)</f>
        <v>730.7</v>
      </c>
      <c r="F81" s="6">
        <f>IFERROR(__xludf.DUMMYFUNCTION("""COMPUTED_VALUE"""),3865840.0)</f>
        <v>3865840</v>
      </c>
    </row>
    <row r="82">
      <c r="A82" s="7">
        <f>IFERROR(__xludf.DUMMYFUNCTION("""COMPUTED_VALUE"""),45764.64583333333)</f>
        <v>45764.64583</v>
      </c>
      <c r="B82" s="6">
        <f>IFERROR(__xludf.DUMMYFUNCTION("""COMPUTED_VALUE"""),745.4)</f>
        <v>745.4</v>
      </c>
      <c r="C82" s="6">
        <f>IFERROR(__xludf.DUMMYFUNCTION("""COMPUTED_VALUE"""),770.75)</f>
        <v>770.75</v>
      </c>
      <c r="D82" s="6">
        <f>IFERROR(__xludf.DUMMYFUNCTION("""COMPUTED_VALUE"""),735.05)</f>
        <v>735.05</v>
      </c>
      <c r="E82" s="6">
        <f>IFERROR(__xludf.DUMMYFUNCTION("""COMPUTED_VALUE"""),769.4)</f>
        <v>769.4</v>
      </c>
      <c r="F82" s="6">
        <f>IFERROR(__xludf.DUMMYFUNCTION("""COMPUTED_VALUE"""),3256248.0)</f>
        <v>3256248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IFERROR(__xludf.DUMMYFUNCTION("""COMPUTED_VALUE"""),773.7)</f>
        <v>773.7</v>
      </c>
      <c r="C83" s="6">
        <f>IFERROR(__xludf.DUMMYFUNCTION("""COMPUTED_VALUE"""),787.1)</f>
        <v>787.1</v>
      </c>
      <c r="D83" s="6">
        <f>IFERROR(__xludf.DUMMYFUNCTION("""COMPUTED_VALUE"""),748.2)</f>
        <v>748.2</v>
      </c>
      <c r="E83" s="6">
        <f>IFERROR(__xludf.DUMMYFUNCTION("""COMPUTED_VALUE"""),751.85)</f>
        <v>751.85</v>
      </c>
      <c r="F83" s="6">
        <f>IFERROR(__xludf.DUMMYFUNCTION("""COMPUTED_VALUE"""),4969125.0)</f>
        <v>4969125</v>
      </c>
    </row>
    <row r="84">
      <c r="A84" s="7">
        <f>IFERROR(__xludf.DUMMYFUNCTION("""COMPUTED_VALUE"""),45779.64583333333)</f>
        <v>45779.64583</v>
      </c>
      <c r="B84" s="6">
        <f>IFERROR(__xludf.DUMMYFUNCTION("""COMPUTED_VALUE"""),748.2)</f>
        <v>748.2</v>
      </c>
      <c r="C84" s="6">
        <f>IFERROR(__xludf.DUMMYFUNCTION("""COMPUTED_VALUE"""),773.85)</f>
        <v>773.85</v>
      </c>
      <c r="D84" s="6">
        <f>IFERROR(__xludf.DUMMYFUNCTION("""COMPUTED_VALUE"""),746.1)</f>
        <v>746.1</v>
      </c>
      <c r="E84" s="6">
        <f>IFERROR(__xludf.DUMMYFUNCTION("""COMPUTED_VALUE"""),748.65)</f>
        <v>748.65</v>
      </c>
      <c r="F84" s="6">
        <f>IFERROR(__xludf.DUMMYFUNCTION("""COMPUTED_VALUE"""),2850619.0)</f>
        <v>2850619</v>
      </c>
    </row>
    <row r="85">
      <c r="A85" s="7">
        <f>IFERROR(__xludf.DUMMYFUNCTION("""COMPUTED_VALUE"""),45786.64583333333)</f>
        <v>45786.64583</v>
      </c>
      <c r="B85" s="6">
        <f>IFERROR(__xludf.DUMMYFUNCTION("""COMPUTED_VALUE"""),750.0)</f>
        <v>750</v>
      </c>
      <c r="C85" s="6">
        <f>IFERROR(__xludf.DUMMYFUNCTION("""COMPUTED_VALUE"""),766.95)</f>
        <v>766.95</v>
      </c>
      <c r="D85" s="6">
        <f>IFERROR(__xludf.DUMMYFUNCTION("""COMPUTED_VALUE"""),706.25)</f>
        <v>706.25</v>
      </c>
      <c r="E85" s="6">
        <f>IFERROR(__xludf.DUMMYFUNCTION("""COMPUTED_VALUE"""),722.55)</f>
        <v>722.55</v>
      </c>
      <c r="F85" s="6">
        <f>IFERROR(__xludf.DUMMYFUNCTION("""COMPUTED_VALUE"""),4696748.0)</f>
        <v>4696748</v>
      </c>
    </row>
    <row r="86">
      <c r="A86" s="7">
        <f>IFERROR(__xludf.DUMMYFUNCTION("""COMPUTED_VALUE"""),45793.64583333333)</f>
        <v>45793.64583</v>
      </c>
      <c r="B86" s="6">
        <f>IFERROR(__xludf.DUMMYFUNCTION("""COMPUTED_VALUE"""),740.5)</f>
        <v>740.5</v>
      </c>
      <c r="C86" s="6">
        <f>IFERROR(__xludf.DUMMYFUNCTION("""COMPUTED_VALUE"""),815.0)</f>
        <v>815</v>
      </c>
      <c r="D86" s="6">
        <f>IFERROR(__xludf.DUMMYFUNCTION("""COMPUTED_VALUE"""),737.35)</f>
        <v>737.35</v>
      </c>
      <c r="E86" s="6">
        <f>IFERROR(__xludf.DUMMYFUNCTION("""COMPUTED_VALUE"""),809.05)</f>
        <v>809.05</v>
      </c>
      <c r="F86" s="6">
        <f>IFERROR(__xludf.DUMMYFUNCTION("""COMPUTED_VALUE"""),7671707.0)</f>
        <v>7671707</v>
      </c>
    </row>
    <row r="87">
      <c r="A87" s="7">
        <f>IFERROR(__xludf.DUMMYFUNCTION("""COMPUTED_VALUE"""),45800.64583333333)</f>
        <v>45800.64583</v>
      </c>
      <c r="B87" s="6">
        <f>IFERROR(__xludf.DUMMYFUNCTION("""COMPUTED_VALUE"""),813.9)</f>
        <v>813.9</v>
      </c>
      <c r="C87" s="6">
        <f>IFERROR(__xludf.DUMMYFUNCTION("""COMPUTED_VALUE"""),820.25)</f>
        <v>820.25</v>
      </c>
      <c r="D87" s="6">
        <f>IFERROR(__xludf.DUMMYFUNCTION("""COMPUTED_VALUE"""),775.0)</f>
        <v>775</v>
      </c>
      <c r="E87" s="6">
        <f>IFERROR(__xludf.DUMMYFUNCTION("""COMPUTED_VALUE"""),783.05)</f>
        <v>783.05</v>
      </c>
      <c r="F87" s="6">
        <f>IFERROR(__xludf.DUMMYFUNCTION("""COMPUTED_VALUE"""),5190252.0)</f>
        <v>5190252</v>
      </c>
    </row>
    <row r="88">
      <c r="A88" s="7">
        <f>IFERROR(__xludf.DUMMYFUNCTION("""COMPUTED_VALUE"""),45807.64583333333)</f>
        <v>45807.64583</v>
      </c>
      <c r="B88" s="6">
        <f>IFERROR(__xludf.DUMMYFUNCTION("""COMPUTED_VALUE"""),784.0)</f>
        <v>784</v>
      </c>
      <c r="C88" s="6">
        <f>IFERROR(__xludf.DUMMYFUNCTION("""COMPUTED_VALUE"""),800.0)</f>
        <v>800</v>
      </c>
      <c r="D88" s="6">
        <f>IFERROR(__xludf.DUMMYFUNCTION("""COMPUTED_VALUE"""),754.4)</f>
        <v>754.4</v>
      </c>
      <c r="E88" s="6">
        <f>IFERROR(__xludf.DUMMYFUNCTION("""COMPUTED_VALUE"""),756.0)</f>
        <v>756</v>
      </c>
      <c r="F88" s="6">
        <f>IFERROR(__xludf.DUMMYFUNCTION("""COMPUTED_VALUE"""),1.2094793E7)</f>
        <v>12094793</v>
      </c>
    </row>
    <row r="89">
      <c r="A89" s="7">
        <f>IFERROR(__xludf.DUMMYFUNCTION("""COMPUTED_VALUE"""),45814.64583333333)</f>
        <v>45814.64583</v>
      </c>
      <c r="B89" s="6">
        <f>IFERROR(__xludf.DUMMYFUNCTION("""COMPUTED_VALUE"""),756.0)</f>
        <v>756</v>
      </c>
      <c r="C89" s="6">
        <f>IFERROR(__xludf.DUMMYFUNCTION("""COMPUTED_VALUE"""),785.6)</f>
        <v>785.6</v>
      </c>
      <c r="D89" s="6">
        <f>IFERROR(__xludf.DUMMYFUNCTION("""COMPUTED_VALUE"""),749.55)</f>
        <v>749.55</v>
      </c>
      <c r="E89" s="6">
        <f>IFERROR(__xludf.DUMMYFUNCTION("""COMPUTED_VALUE"""),779.65)</f>
        <v>779.65</v>
      </c>
      <c r="F89" s="6">
        <f>IFERROR(__xludf.DUMMYFUNCTION("""COMPUTED_VALUE"""),7362233.0)</f>
        <v>7362233</v>
      </c>
    </row>
    <row r="90">
      <c r="A90" s="7">
        <f>IFERROR(__xludf.DUMMYFUNCTION("""COMPUTED_VALUE"""),45821.64583333333)</f>
        <v>45821.64583</v>
      </c>
      <c r="B90" s="6">
        <f>IFERROR(__xludf.DUMMYFUNCTION("""COMPUTED_VALUE"""),781.0)</f>
        <v>781</v>
      </c>
      <c r="C90" s="6">
        <f>IFERROR(__xludf.DUMMYFUNCTION("""COMPUTED_VALUE"""),797.5)</f>
        <v>797.5</v>
      </c>
      <c r="D90" s="6">
        <f>IFERROR(__xludf.DUMMYFUNCTION("""COMPUTED_VALUE"""),753.75)</f>
        <v>753.75</v>
      </c>
      <c r="E90" s="6">
        <f>IFERROR(__xludf.DUMMYFUNCTION("""COMPUTED_VALUE"""),770.65)</f>
        <v>770.65</v>
      </c>
      <c r="F90" s="6">
        <f>IFERROR(__xludf.DUMMYFUNCTION("""COMPUTED_VALUE"""),6234353.0)</f>
        <v>6234353</v>
      </c>
    </row>
    <row r="91">
      <c r="A91" s="7">
        <f>IFERROR(__xludf.DUMMYFUNCTION("""COMPUTED_VALUE"""),45828.64583333333)</f>
        <v>45828.64583</v>
      </c>
      <c r="B91" s="6">
        <f>IFERROR(__xludf.DUMMYFUNCTION("""COMPUTED_VALUE"""),770.0)</f>
        <v>770</v>
      </c>
      <c r="C91" s="6">
        <f>IFERROR(__xludf.DUMMYFUNCTION("""COMPUTED_VALUE"""),773.8)</f>
        <v>773.8</v>
      </c>
      <c r="D91" s="6">
        <f>IFERROR(__xludf.DUMMYFUNCTION("""COMPUTED_VALUE"""),743.3)</f>
        <v>743.3</v>
      </c>
      <c r="E91" s="6">
        <f>IFERROR(__xludf.DUMMYFUNCTION("""COMPUTED_VALUE"""),756.6)</f>
        <v>756.6</v>
      </c>
      <c r="F91" s="6">
        <f>IFERROR(__xludf.DUMMYFUNCTION("""COMPUTED_VALUE"""),4414320.0)</f>
        <v>4414320</v>
      </c>
    </row>
    <row r="92">
      <c r="A92" s="7">
        <f>IFERROR(__xludf.DUMMYFUNCTION("""COMPUTED_VALUE"""),45835.64583333333)</f>
        <v>45835.64583</v>
      </c>
      <c r="B92" s="6">
        <f>IFERROR(__xludf.DUMMYFUNCTION("""COMPUTED_VALUE"""),746.5)</f>
        <v>746.5</v>
      </c>
      <c r="C92" s="6">
        <f>IFERROR(__xludf.DUMMYFUNCTION("""COMPUTED_VALUE"""),789.2)</f>
        <v>789.2</v>
      </c>
      <c r="D92" s="6">
        <f>IFERROR(__xludf.DUMMYFUNCTION("""COMPUTED_VALUE"""),746.5)</f>
        <v>746.5</v>
      </c>
      <c r="E92" s="6">
        <f>IFERROR(__xludf.DUMMYFUNCTION("""COMPUTED_VALUE"""),785.25)</f>
        <v>785.25</v>
      </c>
      <c r="F92" s="6">
        <f>IFERROR(__xludf.DUMMYFUNCTION("""COMPUTED_VALUE"""),4721538.0)</f>
        <v>4721538</v>
      </c>
    </row>
    <row r="93">
      <c r="A93" s="7">
        <f>IFERROR(__xludf.DUMMYFUNCTION("""COMPUTED_VALUE"""),45842.64583333333)</f>
        <v>45842.64583</v>
      </c>
      <c r="B93" s="6">
        <f>IFERROR(__xludf.DUMMYFUNCTION("""COMPUTED_VALUE"""),788.55)</f>
        <v>788.55</v>
      </c>
      <c r="C93" s="6">
        <f>IFERROR(__xludf.DUMMYFUNCTION("""COMPUTED_VALUE"""),789.9)</f>
        <v>789.9</v>
      </c>
      <c r="D93" s="6">
        <f>IFERROR(__xludf.DUMMYFUNCTION("""COMPUTED_VALUE"""),768.5)</f>
        <v>768.5</v>
      </c>
      <c r="E93" s="6">
        <f>IFERROR(__xludf.DUMMYFUNCTION("""COMPUTED_VALUE"""),781.15)</f>
        <v>781.15</v>
      </c>
      <c r="F93" s="6">
        <f>IFERROR(__xludf.DUMMYFUNCTION("""COMPUTED_VALUE"""),4381080.0)</f>
        <v>4381080</v>
      </c>
    </row>
    <row r="94">
      <c r="A94" s="7">
        <f>IFERROR(__xludf.DUMMYFUNCTION("""COMPUTED_VALUE"""),45849.64583333333)</f>
        <v>45849.64583</v>
      </c>
      <c r="B94" s="6">
        <f>IFERROR(__xludf.DUMMYFUNCTION("""COMPUTED_VALUE"""),782.65)</f>
        <v>782.65</v>
      </c>
      <c r="C94" s="6">
        <f>IFERROR(__xludf.DUMMYFUNCTION("""COMPUTED_VALUE"""),798.6)</f>
        <v>798.6</v>
      </c>
      <c r="D94" s="6">
        <f>IFERROR(__xludf.DUMMYFUNCTION("""COMPUTED_VALUE"""),770.05)</f>
        <v>770.05</v>
      </c>
      <c r="E94" s="6">
        <f>IFERROR(__xludf.DUMMYFUNCTION("""COMPUTED_VALUE"""),773.7)</f>
        <v>773.7</v>
      </c>
      <c r="F94" s="6">
        <f>IFERROR(__xludf.DUMMYFUNCTION("""COMPUTED_VALUE"""),4249175.0)</f>
        <v>4249175</v>
      </c>
    </row>
    <row r="95">
      <c r="A95" s="7">
        <f>IFERROR(__xludf.DUMMYFUNCTION("""COMPUTED_VALUE"""),45856.64583333333)</f>
        <v>45856.64583</v>
      </c>
      <c r="B95" s="6">
        <f>IFERROR(__xludf.DUMMYFUNCTION("""COMPUTED_VALUE"""),773.7)</f>
        <v>773.7</v>
      </c>
      <c r="C95" s="6">
        <f>IFERROR(__xludf.DUMMYFUNCTION("""COMPUTED_VALUE"""),781.9)</f>
        <v>781.9</v>
      </c>
      <c r="D95" s="6">
        <f>IFERROR(__xludf.DUMMYFUNCTION("""COMPUTED_VALUE"""),763.6)</f>
        <v>763.6</v>
      </c>
      <c r="E95" s="6">
        <f>IFERROR(__xludf.DUMMYFUNCTION("""COMPUTED_VALUE"""),765.3)</f>
        <v>765.3</v>
      </c>
      <c r="F95" s="6">
        <f>IFERROR(__xludf.DUMMYFUNCTION("""COMPUTED_VALUE"""),2312493.0)</f>
        <v>2312493</v>
      </c>
    </row>
    <row r="96">
      <c r="A96" s="7">
        <f>IFERROR(__xludf.DUMMYFUNCTION("""COMPUTED_VALUE"""),45863.64583333333)</f>
        <v>45863.64583</v>
      </c>
      <c r="B96" s="6">
        <f>IFERROR(__xludf.DUMMYFUNCTION("""COMPUTED_VALUE"""),765.6)</f>
        <v>765.6</v>
      </c>
      <c r="C96" s="6">
        <f>IFERROR(__xludf.DUMMYFUNCTION("""COMPUTED_VALUE"""),773.3)</f>
        <v>773.3</v>
      </c>
      <c r="D96" s="6">
        <f>IFERROR(__xludf.DUMMYFUNCTION("""COMPUTED_VALUE"""),742.1)</f>
        <v>742.1</v>
      </c>
      <c r="E96" s="6">
        <f>IFERROR(__xludf.DUMMYFUNCTION("""COMPUTED_VALUE"""),746.25)</f>
        <v>746.25</v>
      </c>
      <c r="F96" s="6">
        <f>IFERROR(__xludf.DUMMYFUNCTION("""COMPUTED_VALUE"""),2828808.0)</f>
        <v>2828808</v>
      </c>
    </row>
    <row r="97">
      <c r="A97" s="7">
        <f>IFERROR(__xludf.DUMMYFUNCTION("""COMPUTED_VALUE"""),45870.64583333333)</f>
        <v>45870.64583</v>
      </c>
      <c r="B97" s="6">
        <f>IFERROR(__xludf.DUMMYFUNCTION("""COMPUTED_VALUE"""),746.5)</f>
        <v>746.5</v>
      </c>
      <c r="C97" s="6">
        <f>IFERROR(__xludf.DUMMYFUNCTION("""COMPUTED_VALUE"""),750.0)</f>
        <v>750</v>
      </c>
      <c r="D97" s="6">
        <f>IFERROR(__xludf.DUMMYFUNCTION("""COMPUTED_VALUE"""),716.0)</f>
        <v>716</v>
      </c>
      <c r="E97" s="6">
        <f>IFERROR(__xludf.DUMMYFUNCTION("""COMPUTED_VALUE"""),719.2)</f>
        <v>719.2</v>
      </c>
      <c r="F97" s="6">
        <f>IFERROR(__xludf.DUMMYFUNCTION("""COMPUTED_VALUE"""),3500788.0)</f>
        <v>3500788</v>
      </c>
    </row>
    <row r="98">
      <c r="A98" s="7">
        <f>IFERROR(__xludf.DUMMYFUNCTION("""COMPUTED_VALUE"""),45877.64583333333)</f>
        <v>45877.64583</v>
      </c>
      <c r="B98" s="6">
        <f>IFERROR(__xludf.DUMMYFUNCTION("""COMPUTED_VALUE"""),717.0)</f>
        <v>717</v>
      </c>
      <c r="C98" s="6">
        <f>IFERROR(__xludf.DUMMYFUNCTION("""COMPUTED_VALUE"""),743.0)</f>
        <v>743</v>
      </c>
      <c r="D98" s="6">
        <f>IFERROR(__xludf.DUMMYFUNCTION("""COMPUTED_VALUE"""),712.7)</f>
        <v>712.7</v>
      </c>
      <c r="E98" s="6">
        <f>IFERROR(__xludf.DUMMYFUNCTION("""COMPUTED_VALUE"""),718.95)</f>
        <v>718.95</v>
      </c>
      <c r="F98" s="6">
        <f>IFERROR(__xludf.DUMMYFUNCTION("""COMPUTED_VALUE"""),3783633.0)</f>
        <v>3783633</v>
      </c>
    </row>
    <row r="99">
      <c r="A99" s="7">
        <f>IFERROR(__xludf.DUMMYFUNCTION("""COMPUTED_VALUE"""),45883.64583333333)</f>
        <v>45883.64583</v>
      </c>
      <c r="B99" s="6">
        <f>IFERROR(__xludf.DUMMYFUNCTION("""COMPUTED_VALUE"""),718.7)</f>
        <v>718.7</v>
      </c>
      <c r="C99" s="6">
        <f>IFERROR(__xludf.DUMMYFUNCTION("""COMPUTED_VALUE"""),737.75)</f>
        <v>737.75</v>
      </c>
      <c r="D99" s="6">
        <f>IFERROR(__xludf.DUMMYFUNCTION("""COMPUTED_VALUE"""),716.25)</f>
        <v>716.25</v>
      </c>
      <c r="E99" s="6">
        <f>IFERROR(__xludf.DUMMYFUNCTION("""COMPUTED_VALUE"""),724.8)</f>
        <v>724.8</v>
      </c>
      <c r="F99" s="6">
        <f>IFERROR(__xludf.DUMMYFUNCTION("""COMPUTED_VALUE"""),2389612.0)</f>
        <v>2389612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IFERROR(__xludf.DUMMYFUNCTION("""COMPUTED_VALUE"""),730.0)</f>
        <v>730</v>
      </c>
      <c r="C100" s="6">
        <f>IFERROR(__xludf.DUMMYFUNCTION("""COMPUTED_VALUE"""),734.3)</f>
        <v>734.3</v>
      </c>
      <c r="D100" s="6">
        <f>IFERROR(__xludf.DUMMYFUNCTION("""COMPUTED_VALUE"""),720.1)</f>
        <v>720.1</v>
      </c>
      <c r="E100" s="6">
        <f>IFERROR(__xludf.DUMMYFUNCTION("""COMPUTED_VALUE"""),725.0)</f>
        <v>725</v>
      </c>
      <c r="F100" s="6">
        <f>IFERROR(__xludf.DUMMYFUNCTION("""COMPUTED_VALUE"""),2626499.0)</f>
        <v>2626499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IFERROR(__xludf.DUMMYFUNCTION("""COMPUTED_VALUE"""),726.75)</f>
        <v>726.75</v>
      </c>
      <c r="C101" s="6">
        <f>IFERROR(__xludf.DUMMYFUNCTION("""COMPUTED_VALUE"""),727.55)</f>
        <v>727.55</v>
      </c>
      <c r="D101" s="6">
        <f>IFERROR(__xludf.DUMMYFUNCTION("""COMPUTED_VALUE"""),715.0)</f>
        <v>715</v>
      </c>
      <c r="E101" s="6">
        <f>IFERROR(__xludf.DUMMYFUNCTION("""COMPUTED_VALUE"""),717.25)</f>
        <v>717.25</v>
      </c>
      <c r="F101" s="6">
        <f>IFERROR(__xludf.DUMMYFUNCTION("""COMPUTED_VALUE"""),1.6117133E7)</f>
        <v>16117133</v>
      </c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IFERROR(__xludf.DUMMYFUNCTION("GOOGLEFINANCE(""NSE:IREDA"",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IFERROR(__xludf.DUMMYFUNCTION("""COMPUTED_VALUE"""),45261.64583333333)</f>
        <v>45261.64583</v>
      </c>
      <c r="B2" s="6">
        <f>IFERROR(__xludf.DUMMYFUNCTION("""COMPUTED_VALUE"""),50.0)</f>
        <v>50</v>
      </c>
      <c r="C2" s="6">
        <f>IFERROR(__xludf.DUMMYFUNCTION("""COMPUTED_VALUE"""),68.9)</f>
        <v>68.9</v>
      </c>
      <c r="D2" s="6">
        <f>IFERROR(__xludf.DUMMYFUNCTION("""COMPUTED_VALUE"""),50.0)</f>
        <v>50</v>
      </c>
      <c r="E2" s="6">
        <f>IFERROR(__xludf.DUMMYFUNCTION("""COMPUTED_VALUE"""),62.75)</f>
        <v>62.75</v>
      </c>
      <c r="F2" s="6">
        <f>IFERROR(__xludf.DUMMYFUNCTION("""COMPUTED_VALUE"""),1.115408256E9)</f>
        <v>1115408256</v>
      </c>
    </row>
    <row r="3">
      <c r="A3" s="7">
        <f>IFERROR(__xludf.DUMMYFUNCTION("""COMPUTED_VALUE"""),45268.64583333333)</f>
        <v>45268.64583</v>
      </c>
      <c r="B3" s="6">
        <f>IFERROR(__xludf.DUMMYFUNCTION("""COMPUTED_VALUE"""),64.9)</f>
        <v>64.9</v>
      </c>
      <c r="C3" s="6">
        <f>IFERROR(__xludf.DUMMYFUNCTION("""COMPUTED_VALUE"""),73.7)</f>
        <v>73.7</v>
      </c>
      <c r="D3" s="6">
        <f>IFERROR(__xludf.DUMMYFUNCTION("""COMPUTED_VALUE"""),61.5)</f>
        <v>61.5</v>
      </c>
      <c r="E3" s="6">
        <f>IFERROR(__xludf.DUMMYFUNCTION("""COMPUTED_VALUE"""),70.85)</f>
        <v>70.85</v>
      </c>
      <c r="F3" s="6">
        <f>IFERROR(__xludf.DUMMYFUNCTION("""COMPUTED_VALUE"""),3.98776507E8)</f>
        <v>398776507</v>
      </c>
    </row>
    <row r="4">
      <c r="A4" s="7">
        <f>IFERROR(__xludf.DUMMYFUNCTION("""COMPUTED_VALUE"""),45275.64583333333)</f>
        <v>45275.64583</v>
      </c>
      <c r="B4" s="6">
        <f>IFERROR(__xludf.DUMMYFUNCTION("""COMPUTED_VALUE"""),74.0)</f>
        <v>74</v>
      </c>
      <c r="C4" s="6">
        <f>IFERROR(__xludf.DUMMYFUNCTION("""COMPUTED_VALUE"""),123.2)</f>
        <v>123.2</v>
      </c>
      <c r="D4" s="6">
        <f>IFERROR(__xludf.DUMMYFUNCTION("""COMPUTED_VALUE"""),73.4)</f>
        <v>73.4</v>
      </c>
      <c r="E4" s="6">
        <f>IFERROR(__xludf.DUMMYFUNCTION("""COMPUTED_VALUE"""),108.3)</f>
        <v>108.3</v>
      </c>
      <c r="F4" s="6">
        <f>IFERROR(__xludf.DUMMYFUNCTION("""COMPUTED_VALUE"""),1.088371816E9)</f>
        <v>1088371816</v>
      </c>
    </row>
    <row r="5">
      <c r="A5" s="7">
        <f>IFERROR(__xludf.DUMMYFUNCTION("""COMPUTED_VALUE"""),45282.64583333333)</f>
        <v>45282.64583</v>
      </c>
      <c r="B5" s="6">
        <f>IFERROR(__xludf.DUMMYFUNCTION("""COMPUTED_VALUE"""),102.0)</f>
        <v>102</v>
      </c>
      <c r="C5" s="6">
        <f>IFERROR(__xludf.DUMMYFUNCTION("""COMPUTED_VALUE"""),116.2)</f>
        <v>116.2</v>
      </c>
      <c r="D5" s="6">
        <f>IFERROR(__xludf.DUMMYFUNCTION("""COMPUTED_VALUE"""),98.3)</f>
        <v>98.3</v>
      </c>
      <c r="E5" s="6">
        <f>IFERROR(__xludf.DUMMYFUNCTION("""COMPUTED_VALUE"""),109.85)</f>
        <v>109.85</v>
      </c>
      <c r="F5" s="6">
        <f>IFERROR(__xludf.DUMMYFUNCTION("""COMPUTED_VALUE"""),3.46032551E8)</f>
        <v>346032551</v>
      </c>
    </row>
    <row r="6">
      <c r="A6" s="7">
        <f>IFERROR(__xludf.DUMMYFUNCTION("""COMPUTED_VALUE"""),45289.64583333333)</f>
        <v>45289.64583</v>
      </c>
      <c r="B6" s="6">
        <f>IFERROR(__xludf.DUMMYFUNCTION("""COMPUTED_VALUE"""),103.85)</f>
        <v>103.85</v>
      </c>
      <c r="C6" s="6">
        <f>IFERROR(__xludf.DUMMYFUNCTION("""COMPUTED_VALUE"""),105.75)</f>
        <v>105.75</v>
      </c>
      <c r="D6" s="6">
        <f>IFERROR(__xludf.DUMMYFUNCTION("""COMPUTED_VALUE"""),95.55)</f>
        <v>95.55</v>
      </c>
      <c r="E6" s="6">
        <f>IFERROR(__xludf.DUMMYFUNCTION("""COMPUTED_VALUE"""),102.8)</f>
        <v>102.8</v>
      </c>
      <c r="F6" s="6">
        <f>IFERROR(__xludf.DUMMYFUNCTION("""COMPUTED_VALUE"""),2.91987146E8)</f>
        <v>291987146</v>
      </c>
    </row>
    <row r="7">
      <c r="A7" s="7">
        <f>IFERROR(__xludf.DUMMYFUNCTION("""COMPUTED_VALUE"""),45296.64583333333)</f>
        <v>45296.64583</v>
      </c>
      <c r="B7" s="6">
        <f>IFERROR(__xludf.DUMMYFUNCTION("""COMPUTED_VALUE"""),103.35)</f>
        <v>103.35</v>
      </c>
      <c r="C7" s="6">
        <f>IFERROR(__xludf.DUMMYFUNCTION("""COMPUTED_VALUE"""),107.55)</f>
        <v>107.55</v>
      </c>
      <c r="D7" s="6">
        <f>IFERROR(__xludf.DUMMYFUNCTION("""COMPUTED_VALUE"""),100.2)</f>
        <v>100.2</v>
      </c>
      <c r="E7" s="6">
        <f>IFERROR(__xludf.DUMMYFUNCTION("""COMPUTED_VALUE"""),105.1)</f>
        <v>105.1</v>
      </c>
      <c r="F7" s="6">
        <f>IFERROR(__xludf.DUMMYFUNCTION("""COMPUTED_VALUE"""),1.67390307E8)</f>
        <v>167390307</v>
      </c>
    </row>
    <row r="8">
      <c r="A8" s="7">
        <f>IFERROR(__xludf.DUMMYFUNCTION("""COMPUTED_VALUE"""),45303.64583333333)</f>
        <v>45303.64583</v>
      </c>
      <c r="B8" s="6">
        <f>IFERROR(__xludf.DUMMYFUNCTION("""COMPUTED_VALUE"""),105.8)</f>
        <v>105.8</v>
      </c>
      <c r="C8" s="6">
        <f>IFERROR(__xludf.DUMMYFUNCTION("""COMPUTED_VALUE"""),112.5)</f>
        <v>112.5</v>
      </c>
      <c r="D8" s="6">
        <f>IFERROR(__xludf.DUMMYFUNCTION("""COMPUTED_VALUE"""),101.2)</f>
        <v>101.2</v>
      </c>
      <c r="E8" s="6">
        <f>IFERROR(__xludf.DUMMYFUNCTION("""COMPUTED_VALUE"""),110.75)</f>
        <v>110.75</v>
      </c>
      <c r="F8" s="6">
        <f>IFERROR(__xludf.DUMMYFUNCTION("""COMPUTED_VALUE"""),1.53994893E8)</f>
        <v>153994893</v>
      </c>
    </row>
    <row r="9">
      <c r="A9" s="7">
        <f>IFERROR(__xludf.DUMMYFUNCTION("""COMPUTED_VALUE"""),45316.64583333333)</f>
        <v>45316.64583</v>
      </c>
      <c r="B9" s="6">
        <f>IFERROR(__xludf.DUMMYFUNCTION("""COMPUTED_VALUE"""),156.25)</f>
        <v>156.25</v>
      </c>
      <c r="C9" s="6">
        <f>IFERROR(__xludf.DUMMYFUNCTION("""COMPUTED_VALUE"""),169.8)</f>
        <v>169.8</v>
      </c>
      <c r="D9" s="6">
        <f>IFERROR(__xludf.DUMMYFUNCTION("""COMPUTED_VALUE"""),144.1)</f>
        <v>144.1</v>
      </c>
      <c r="E9" s="6">
        <f>IFERROR(__xludf.DUMMYFUNCTION("""COMPUTED_VALUE"""),169.8)</f>
        <v>169.8</v>
      </c>
      <c r="F9" s="6">
        <f>IFERROR(__xludf.DUMMYFUNCTION("""COMPUTED_VALUE"""),2.03742236E8)</f>
        <v>203742236</v>
      </c>
    </row>
    <row r="10">
      <c r="A10" s="7">
        <f>IFERROR(__xludf.DUMMYFUNCTION("""COMPUTED_VALUE"""),45324.64583333333)</f>
        <v>45324.64583</v>
      </c>
      <c r="B10" s="6">
        <f>IFERROR(__xludf.DUMMYFUNCTION("""COMPUTED_VALUE"""),177.8)</f>
        <v>177.8</v>
      </c>
      <c r="C10" s="6">
        <f>IFERROR(__xludf.DUMMYFUNCTION("""COMPUTED_VALUE"""),195.05)</f>
        <v>195.05</v>
      </c>
      <c r="D10" s="6">
        <f>IFERROR(__xludf.DUMMYFUNCTION("""COMPUTED_VALUE"""),169.4)</f>
        <v>169.4</v>
      </c>
      <c r="E10" s="6">
        <f>IFERROR(__xludf.DUMMYFUNCTION("""COMPUTED_VALUE"""),195.05)</f>
        <v>195.05</v>
      </c>
      <c r="F10" s="6">
        <f>IFERROR(__xludf.DUMMYFUNCTION("""COMPUTED_VALUE"""),3.39051268E8)</f>
        <v>339051268</v>
      </c>
    </row>
    <row r="11">
      <c r="A11" s="7">
        <f>IFERROR(__xludf.DUMMYFUNCTION("""COMPUTED_VALUE"""),45331.64583333333)</f>
        <v>45331.64583</v>
      </c>
      <c r="B11" s="6">
        <f>IFERROR(__xludf.DUMMYFUNCTION("""COMPUTED_VALUE"""),203.9)</f>
        <v>203.9</v>
      </c>
      <c r="C11" s="6">
        <f>IFERROR(__xludf.DUMMYFUNCTION("""COMPUTED_VALUE"""),214.8)</f>
        <v>214.8</v>
      </c>
      <c r="D11" s="6">
        <f>IFERROR(__xludf.DUMMYFUNCTION("""COMPUTED_VALUE"""),179.6)</f>
        <v>179.6</v>
      </c>
      <c r="E11" s="6">
        <f>IFERROR(__xludf.DUMMYFUNCTION("""COMPUTED_VALUE"""),179.6)</f>
        <v>179.6</v>
      </c>
      <c r="F11" s="6">
        <f>IFERROR(__xludf.DUMMYFUNCTION("""COMPUTED_VALUE"""),1.5290272E8)</f>
        <v>152902720</v>
      </c>
    </row>
    <row r="12">
      <c r="A12" s="7">
        <f>IFERROR(__xludf.DUMMYFUNCTION("""COMPUTED_VALUE"""),45338.64583333333)</f>
        <v>45338.64583</v>
      </c>
      <c r="B12" s="6">
        <f>IFERROR(__xludf.DUMMYFUNCTION("""COMPUTED_VALUE"""),170.65)</f>
        <v>170.65</v>
      </c>
      <c r="C12" s="6">
        <f>IFERROR(__xludf.DUMMYFUNCTION("""COMPUTED_VALUE"""),185.7)</f>
        <v>185.7</v>
      </c>
      <c r="D12" s="6">
        <f>IFERROR(__xludf.DUMMYFUNCTION("""COMPUTED_VALUE"""),154.05)</f>
        <v>154.05</v>
      </c>
      <c r="E12" s="6">
        <f>IFERROR(__xludf.DUMMYFUNCTION("""COMPUTED_VALUE"""),177.95)</f>
        <v>177.95</v>
      </c>
      <c r="F12" s="6">
        <f>IFERROR(__xludf.DUMMYFUNCTION("""COMPUTED_VALUE"""),1.38492733E8)</f>
        <v>138492733</v>
      </c>
    </row>
    <row r="13">
      <c r="A13" s="7">
        <f>IFERROR(__xludf.DUMMYFUNCTION("""COMPUTED_VALUE"""),45345.64583333333)</f>
        <v>45345.64583</v>
      </c>
      <c r="B13" s="6">
        <f>IFERROR(__xludf.DUMMYFUNCTION("""COMPUTED_VALUE"""),179.0)</f>
        <v>179</v>
      </c>
      <c r="C13" s="6">
        <f>IFERROR(__xludf.DUMMYFUNCTION("""COMPUTED_VALUE"""),182.3)</f>
        <v>182.3</v>
      </c>
      <c r="D13" s="6">
        <f>IFERROR(__xludf.DUMMYFUNCTION("""COMPUTED_VALUE"""),159.45)</f>
        <v>159.45</v>
      </c>
      <c r="E13" s="6">
        <f>IFERROR(__xludf.DUMMYFUNCTION("""COMPUTED_VALUE"""),159.45)</f>
        <v>159.45</v>
      </c>
      <c r="F13" s="6">
        <f>IFERROR(__xludf.DUMMYFUNCTION("""COMPUTED_VALUE"""),1.10214832E8)</f>
        <v>110214832</v>
      </c>
    </row>
    <row r="14">
      <c r="A14" s="7">
        <f>IFERROR(__xludf.DUMMYFUNCTION("""COMPUTED_VALUE"""),45358.64583333333)</f>
        <v>45358.64583</v>
      </c>
      <c r="B14" s="6">
        <f>IFERROR(__xludf.DUMMYFUNCTION("""COMPUTED_VALUE"""),160.8)</f>
        <v>160.8</v>
      </c>
      <c r="C14" s="6">
        <f>IFERROR(__xludf.DUMMYFUNCTION("""COMPUTED_VALUE"""),160.8)</f>
        <v>160.8</v>
      </c>
      <c r="D14" s="6">
        <f>IFERROR(__xludf.DUMMYFUNCTION("""COMPUTED_VALUE"""),140.0)</f>
        <v>140</v>
      </c>
      <c r="E14" s="6">
        <f>IFERROR(__xludf.DUMMYFUNCTION("""COMPUTED_VALUE"""),147.95)</f>
        <v>147.95</v>
      </c>
      <c r="F14" s="6">
        <f>IFERROR(__xludf.DUMMYFUNCTION("""COMPUTED_VALUE"""),9.4297617E7)</f>
        <v>94297617</v>
      </c>
    </row>
    <row r="15">
      <c r="A15" s="7">
        <f>IFERROR(__xludf.DUMMYFUNCTION("""COMPUTED_VALUE"""),45366.64583333333)</f>
        <v>45366.64583</v>
      </c>
      <c r="B15" s="6">
        <f>IFERROR(__xludf.DUMMYFUNCTION("""COMPUTED_VALUE"""),148.9)</f>
        <v>148.9</v>
      </c>
      <c r="C15" s="6">
        <f>IFERROR(__xludf.DUMMYFUNCTION("""COMPUTED_VALUE"""),148.9)</f>
        <v>148.9</v>
      </c>
      <c r="D15" s="6">
        <f>IFERROR(__xludf.DUMMYFUNCTION("""COMPUTED_VALUE"""),121.05)</f>
        <v>121.05</v>
      </c>
      <c r="E15" s="6">
        <f>IFERROR(__xludf.DUMMYFUNCTION("""COMPUTED_VALUE"""),128.75)</f>
        <v>128.75</v>
      </c>
      <c r="F15" s="6">
        <f>IFERROR(__xludf.DUMMYFUNCTION("""COMPUTED_VALUE"""),1.69809183E8)</f>
        <v>169809183</v>
      </c>
    </row>
    <row r="16">
      <c r="A16" s="7">
        <f>IFERROR(__xludf.DUMMYFUNCTION("""COMPUTED_VALUE"""),45373.64583333333)</f>
        <v>45373.64583</v>
      </c>
      <c r="B16" s="6">
        <f>IFERROR(__xludf.DUMMYFUNCTION("""COMPUTED_VALUE"""),129.55)</f>
        <v>129.55</v>
      </c>
      <c r="C16" s="6">
        <f>IFERROR(__xludf.DUMMYFUNCTION("""COMPUTED_VALUE"""),138.65)</f>
        <v>138.65</v>
      </c>
      <c r="D16" s="6">
        <f>IFERROR(__xludf.DUMMYFUNCTION("""COMPUTED_VALUE"""),124.4)</f>
        <v>124.4</v>
      </c>
      <c r="E16" s="6">
        <f>IFERROR(__xludf.DUMMYFUNCTION("""COMPUTED_VALUE"""),138.65)</f>
        <v>138.65</v>
      </c>
      <c r="F16" s="6">
        <f>IFERROR(__xludf.DUMMYFUNCTION("""COMPUTED_VALUE"""),8.9848463E7)</f>
        <v>89848463</v>
      </c>
    </row>
    <row r="17">
      <c r="A17" s="7">
        <f>IFERROR(__xludf.DUMMYFUNCTION("""COMPUTED_VALUE"""),45379.64583333333)</f>
        <v>45379.64583</v>
      </c>
      <c r="B17" s="6">
        <f>IFERROR(__xludf.DUMMYFUNCTION("""COMPUTED_VALUE"""),141.4)</f>
        <v>141.4</v>
      </c>
      <c r="C17" s="6">
        <f>IFERROR(__xludf.DUMMYFUNCTION("""COMPUTED_VALUE"""),144.45)</f>
        <v>144.45</v>
      </c>
      <c r="D17" s="6">
        <f>IFERROR(__xludf.DUMMYFUNCTION("""COMPUTED_VALUE"""),135.0)</f>
        <v>135</v>
      </c>
      <c r="E17" s="6">
        <f>IFERROR(__xludf.DUMMYFUNCTION("""COMPUTED_VALUE"""),135.9)</f>
        <v>135.9</v>
      </c>
      <c r="F17" s="6">
        <f>IFERROR(__xludf.DUMMYFUNCTION("""COMPUTED_VALUE"""),5.7847334E7)</f>
        <v>57847334</v>
      </c>
    </row>
    <row r="18">
      <c r="A18" s="7">
        <f>IFERROR(__xludf.DUMMYFUNCTION("""COMPUTED_VALUE"""),45387.64583333333)</f>
        <v>45387.64583</v>
      </c>
      <c r="B18" s="6">
        <f>IFERROR(__xludf.DUMMYFUNCTION("""COMPUTED_VALUE"""),138.0)</f>
        <v>138</v>
      </c>
      <c r="C18" s="6">
        <f>IFERROR(__xludf.DUMMYFUNCTION("""COMPUTED_VALUE"""),181.15)</f>
        <v>181.15</v>
      </c>
      <c r="D18" s="6">
        <f>IFERROR(__xludf.DUMMYFUNCTION("""COMPUTED_VALUE"""),137.7)</f>
        <v>137.7</v>
      </c>
      <c r="E18" s="6">
        <f>IFERROR(__xludf.DUMMYFUNCTION("""COMPUTED_VALUE"""),176.45)</f>
        <v>176.45</v>
      </c>
      <c r="F18" s="6">
        <f>IFERROR(__xludf.DUMMYFUNCTION("""COMPUTED_VALUE"""),2.49088882E8)</f>
        <v>249088882</v>
      </c>
    </row>
    <row r="19">
      <c r="A19" s="7">
        <f>IFERROR(__xludf.DUMMYFUNCTION("""COMPUTED_VALUE"""),45394.64583333333)</f>
        <v>45394.64583</v>
      </c>
      <c r="B19" s="6">
        <f>IFERROR(__xludf.DUMMYFUNCTION("""COMPUTED_VALUE"""),182.0)</f>
        <v>182</v>
      </c>
      <c r="C19" s="6">
        <f>IFERROR(__xludf.DUMMYFUNCTION("""COMPUTED_VALUE"""),183.65)</f>
        <v>183.65</v>
      </c>
      <c r="D19" s="6">
        <f>IFERROR(__xludf.DUMMYFUNCTION("""COMPUTED_VALUE"""),164.25)</f>
        <v>164.25</v>
      </c>
      <c r="E19" s="6">
        <f>IFERROR(__xludf.DUMMYFUNCTION("""COMPUTED_VALUE"""),167.2)</f>
        <v>167.2</v>
      </c>
      <c r="F19" s="6">
        <f>IFERROR(__xludf.DUMMYFUNCTION("""COMPUTED_VALUE"""),1.3952231E8)</f>
        <v>139522310</v>
      </c>
    </row>
    <row r="20">
      <c r="A20" s="7">
        <f>IFERROR(__xludf.DUMMYFUNCTION("""COMPUTED_VALUE"""),45401.64583333333)</f>
        <v>45401.64583</v>
      </c>
      <c r="B20" s="6">
        <f>IFERROR(__xludf.DUMMYFUNCTION("""COMPUTED_VALUE"""),160.3)</f>
        <v>160.3</v>
      </c>
      <c r="C20" s="6">
        <f>IFERROR(__xludf.DUMMYFUNCTION("""COMPUTED_VALUE"""),169.7)</f>
        <v>169.7</v>
      </c>
      <c r="D20" s="6">
        <f>IFERROR(__xludf.DUMMYFUNCTION("""COMPUTED_VALUE"""),153.25)</f>
        <v>153.25</v>
      </c>
      <c r="E20" s="6">
        <f>IFERROR(__xludf.DUMMYFUNCTION("""COMPUTED_VALUE"""),160.7)</f>
        <v>160.7</v>
      </c>
      <c r="F20" s="6">
        <f>IFERROR(__xludf.DUMMYFUNCTION("""COMPUTED_VALUE"""),1.18843887E8)</f>
        <v>118843887</v>
      </c>
    </row>
    <row r="21">
      <c r="A21" s="7">
        <f>IFERROR(__xludf.DUMMYFUNCTION("""COMPUTED_VALUE"""),45408.64583333333)</f>
        <v>45408.64583</v>
      </c>
      <c r="B21" s="6">
        <f>IFERROR(__xludf.DUMMYFUNCTION("""COMPUTED_VALUE"""),179.0)</f>
        <v>179</v>
      </c>
      <c r="C21" s="6">
        <f>IFERROR(__xludf.DUMMYFUNCTION("""COMPUTED_VALUE"""),179.0)</f>
        <v>179</v>
      </c>
      <c r="D21" s="6">
        <f>IFERROR(__xludf.DUMMYFUNCTION("""COMPUTED_VALUE"""),165.4)</f>
        <v>165.4</v>
      </c>
      <c r="E21" s="6">
        <f>IFERROR(__xludf.DUMMYFUNCTION("""COMPUTED_VALUE"""),170.65)</f>
        <v>170.65</v>
      </c>
      <c r="F21" s="6">
        <f>IFERROR(__xludf.DUMMYFUNCTION("""COMPUTED_VALUE"""),1.6849192E8)</f>
        <v>168491920</v>
      </c>
    </row>
    <row r="22">
      <c r="A22" s="7">
        <f>IFERROR(__xludf.DUMMYFUNCTION("""COMPUTED_VALUE"""),45415.64583333333)</f>
        <v>45415.64583</v>
      </c>
      <c r="B22" s="6">
        <f>IFERROR(__xludf.DUMMYFUNCTION("""COMPUTED_VALUE"""),187.1)</f>
        <v>187.1</v>
      </c>
      <c r="C22" s="6">
        <f>IFERROR(__xludf.DUMMYFUNCTION("""COMPUTED_VALUE"""),192.2)</f>
        <v>192.2</v>
      </c>
      <c r="D22" s="6">
        <f>IFERROR(__xludf.DUMMYFUNCTION("""COMPUTED_VALUE"""),176.25)</f>
        <v>176.25</v>
      </c>
      <c r="E22" s="6">
        <f>IFERROR(__xludf.DUMMYFUNCTION("""COMPUTED_VALUE"""),179.65)</f>
        <v>179.65</v>
      </c>
      <c r="F22" s="6">
        <f>IFERROR(__xludf.DUMMYFUNCTION("""COMPUTED_VALUE"""),1.86066516E8)</f>
        <v>186066516</v>
      </c>
    </row>
    <row r="23">
      <c r="A23" s="7">
        <f>IFERROR(__xludf.DUMMYFUNCTION("""COMPUTED_VALUE"""),45422.64583333333)</f>
        <v>45422.64583</v>
      </c>
      <c r="B23" s="6">
        <f>IFERROR(__xludf.DUMMYFUNCTION("""COMPUTED_VALUE"""),178.8)</f>
        <v>178.8</v>
      </c>
      <c r="C23" s="6">
        <f>IFERROR(__xludf.DUMMYFUNCTION("""COMPUTED_VALUE"""),178.8)</f>
        <v>178.8</v>
      </c>
      <c r="D23" s="6">
        <f>IFERROR(__xludf.DUMMYFUNCTION("""COMPUTED_VALUE"""),160.55)</f>
        <v>160.55</v>
      </c>
      <c r="E23" s="6">
        <f>IFERROR(__xludf.DUMMYFUNCTION("""COMPUTED_VALUE"""),164.7)</f>
        <v>164.7</v>
      </c>
      <c r="F23" s="6">
        <f>IFERROR(__xludf.DUMMYFUNCTION("""COMPUTED_VALUE"""),1.00105296E8)</f>
        <v>100105296</v>
      </c>
    </row>
    <row r="24">
      <c r="A24" s="7">
        <f>IFERROR(__xludf.DUMMYFUNCTION("""COMPUTED_VALUE"""),45436.64583333333)</f>
        <v>45436.64583</v>
      </c>
      <c r="B24" s="6">
        <f>IFERROR(__xludf.DUMMYFUNCTION("""COMPUTED_VALUE"""),177.0)</f>
        <v>177</v>
      </c>
      <c r="C24" s="6">
        <f>IFERROR(__xludf.DUMMYFUNCTION("""COMPUTED_VALUE"""),194.6)</f>
        <v>194.6</v>
      </c>
      <c r="D24" s="6">
        <f>IFERROR(__xludf.DUMMYFUNCTION("""COMPUTED_VALUE"""),174.6)</f>
        <v>174.6</v>
      </c>
      <c r="E24" s="6">
        <f>IFERROR(__xludf.DUMMYFUNCTION("""COMPUTED_VALUE"""),185.55)</f>
        <v>185.55</v>
      </c>
      <c r="F24" s="6">
        <f>IFERROR(__xludf.DUMMYFUNCTION("""COMPUTED_VALUE"""),1.9469316E8)</f>
        <v>194693160</v>
      </c>
    </row>
    <row r="25">
      <c r="A25" s="7">
        <f>IFERROR(__xludf.DUMMYFUNCTION("""COMPUTED_VALUE"""),45443.64583333333)</f>
        <v>45443.64583</v>
      </c>
      <c r="B25" s="6">
        <f>IFERROR(__xludf.DUMMYFUNCTION("""COMPUTED_VALUE"""),190.5)</f>
        <v>190.5</v>
      </c>
      <c r="C25" s="6">
        <f>IFERROR(__xludf.DUMMYFUNCTION("""COMPUTED_VALUE"""),196.8)</f>
        <v>196.8</v>
      </c>
      <c r="D25" s="6">
        <f>IFERROR(__xludf.DUMMYFUNCTION("""COMPUTED_VALUE"""),176.1)</f>
        <v>176.1</v>
      </c>
      <c r="E25" s="6">
        <f>IFERROR(__xludf.DUMMYFUNCTION("""COMPUTED_VALUE"""),184.8)</f>
        <v>184.8</v>
      </c>
      <c r="F25" s="6">
        <f>IFERROR(__xludf.DUMMYFUNCTION("""COMPUTED_VALUE"""),1.47825376E8)</f>
        <v>147825376</v>
      </c>
    </row>
    <row r="26">
      <c r="A26" s="7">
        <f>IFERROR(__xludf.DUMMYFUNCTION("""COMPUTED_VALUE"""),45450.64583333333)</f>
        <v>45450.64583</v>
      </c>
      <c r="B26" s="6">
        <f>IFERROR(__xludf.DUMMYFUNCTION("""COMPUTED_VALUE"""),200.0)</f>
        <v>200</v>
      </c>
      <c r="C26" s="6">
        <f>IFERROR(__xludf.DUMMYFUNCTION("""COMPUTED_VALUE"""),200.25)</f>
        <v>200.25</v>
      </c>
      <c r="D26" s="6">
        <f>IFERROR(__xludf.DUMMYFUNCTION("""COMPUTED_VALUE"""),154.0)</f>
        <v>154</v>
      </c>
      <c r="E26" s="6">
        <f>IFERROR(__xludf.DUMMYFUNCTION("""COMPUTED_VALUE"""),180.85)</f>
        <v>180.85</v>
      </c>
      <c r="F26" s="6">
        <f>IFERROR(__xludf.DUMMYFUNCTION("""COMPUTED_VALUE"""),2.19152762E8)</f>
        <v>219152762</v>
      </c>
    </row>
    <row r="27">
      <c r="A27" s="7">
        <f>IFERROR(__xludf.DUMMYFUNCTION("""COMPUTED_VALUE"""),45457.64583333333)</f>
        <v>45457.64583</v>
      </c>
      <c r="B27" s="6">
        <f>IFERROR(__xludf.DUMMYFUNCTION("""COMPUTED_VALUE"""),182.25)</f>
        <v>182.25</v>
      </c>
      <c r="C27" s="6">
        <f>IFERROR(__xludf.DUMMYFUNCTION("""COMPUTED_VALUE"""),186.14)</f>
        <v>186.14</v>
      </c>
      <c r="D27" s="6">
        <f>IFERROR(__xludf.DUMMYFUNCTION("""COMPUTED_VALUE"""),177.5)</f>
        <v>177.5</v>
      </c>
      <c r="E27" s="6">
        <f>IFERROR(__xludf.DUMMYFUNCTION("""COMPUTED_VALUE"""),179.11)</f>
        <v>179.11</v>
      </c>
      <c r="F27" s="6">
        <f>IFERROR(__xludf.DUMMYFUNCTION("""COMPUTED_VALUE"""),8.02351E7)</f>
        <v>80235100</v>
      </c>
    </row>
    <row r="28">
      <c r="A28" s="7">
        <f>IFERROR(__xludf.DUMMYFUNCTION("""COMPUTED_VALUE"""),45464.64583333333)</f>
        <v>45464.64583</v>
      </c>
      <c r="B28" s="6">
        <f>IFERROR(__xludf.DUMMYFUNCTION("""COMPUTED_VALUE"""),180.2)</f>
        <v>180.2</v>
      </c>
      <c r="C28" s="6">
        <f>IFERROR(__xludf.DUMMYFUNCTION("""COMPUTED_VALUE"""),191.0)</f>
        <v>191</v>
      </c>
      <c r="D28" s="6">
        <f>IFERROR(__xludf.DUMMYFUNCTION("""COMPUTED_VALUE"""),173.22)</f>
        <v>173.22</v>
      </c>
      <c r="E28" s="6">
        <f>IFERROR(__xludf.DUMMYFUNCTION("""COMPUTED_VALUE"""),187.54)</f>
        <v>187.54</v>
      </c>
      <c r="F28" s="6">
        <f>IFERROR(__xludf.DUMMYFUNCTION("""COMPUTED_VALUE"""),1.33436195E8)</f>
        <v>133436195</v>
      </c>
    </row>
    <row r="29">
      <c r="A29" s="7">
        <f>IFERROR(__xludf.DUMMYFUNCTION("""COMPUTED_VALUE"""),45471.64583333333)</f>
        <v>45471.64583</v>
      </c>
      <c r="B29" s="6">
        <f>IFERROR(__xludf.DUMMYFUNCTION("""COMPUTED_VALUE"""),192.0)</f>
        <v>192</v>
      </c>
      <c r="C29" s="6">
        <f>IFERROR(__xludf.DUMMYFUNCTION("""COMPUTED_VALUE"""),205.1)</f>
        <v>205.1</v>
      </c>
      <c r="D29" s="6">
        <f>IFERROR(__xludf.DUMMYFUNCTION("""COMPUTED_VALUE"""),183.1)</f>
        <v>183.1</v>
      </c>
      <c r="E29" s="6">
        <f>IFERROR(__xludf.DUMMYFUNCTION("""COMPUTED_VALUE"""),190.44)</f>
        <v>190.44</v>
      </c>
      <c r="F29" s="6">
        <f>IFERROR(__xludf.DUMMYFUNCTION("""COMPUTED_VALUE"""),2.42934141E8)</f>
        <v>242934141</v>
      </c>
    </row>
    <row r="30">
      <c r="A30" s="7">
        <f>IFERROR(__xludf.DUMMYFUNCTION("""COMPUTED_VALUE"""),45478.64583333333)</f>
        <v>45478.64583</v>
      </c>
      <c r="B30" s="6">
        <f>IFERROR(__xludf.DUMMYFUNCTION("""COMPUTED_VALUE"""),200.0)</f>
        <v>200</v>
      </c>
      <c r="C30" s="6">
        <f>IFERROR(__xludf.DUMMYFUNCTION("""COMPUTED_VALUE"""),232.0)</f>
        <v>232</v>
      </c>
      <c r="D30" s="6">
        <f>IFERROR(__xludf.DUMMYFUNCTION("""COMPUTED_VALUE"""),192.8)</f>
        <v>192.8</v>
      </c>
      <c r="E30" s="6">
        <f>IFERROR(__xludf.DUMMYFUNCTION("""COMPUTED_VALUE"""),228.84)</f>
        <v>228.84</v>
      </c>
      <c r="F30" s="6">
        <f>IFERROR(__xludf.DUMMYFUNCTION("""COMPUTED_VALUE"""),3.83381856E8)</f>
        <v>383381856</v>
      </c>
    </row>
    <row r="31">
      <c r="A31" s="7">
        <f>IFERROR(__xludf.DUMMYFUNCTION("""COMPUTED_VALUE"""),45485.64583333333)</f>
        <v>45485.64583</v>
      </c>
      <c r="B31" s="6">
        <f>IFERROR(__xludf.DUMMYFUNCTION("""COMPUTED_VALUE"""),232.0)</f>
        <v>232</v>
      </c>
      <c r="C31" s="6">
        <f>IFERROR(__xludf.DUMMYFUNCTION("""COMPUTED_VALUE"""),304.5)</f>
        <v>304.5</v>
      </c>
      <c r="D31" s="6">
        <f>IFERROR(__xludf.DUMMYFUNCTION("""COMPUTED_VALUE"""),228.01)</f>
        <v>228.01</v>
      </c>
      <c r="E31" s="6">
        <f>IFERROR(__xludf.DUMMYFUNCTION("""COMPUTED_VALUE"""),284.26)</f>
        <v>284.26</v>
      </c>
      <c r="F31" s="6">
        <f>IFERROR(__xludf.DUMMYFUNCTION("""COMPUTED_VALUE"""),6.68087751E8)</f>
        <v>668087751</v>
      </c>
    </row>
    <row r="32">
      <c r="A32" s="7">
        <f>IFERROR(__xludf.DUMMYFUNCTION("""COMPUTED_VALUE"""),45492.64583333333)</f>
        <v>45492.64583</v>
      </c>
      <c r="B32" s="6">
        <f>IFERROR(__xludf.DUMMYFUNCTION("""COMPUTED_VALUE"""),300.0)</f>
        <v>300</v>
      </c>
      <c r="C32" s="6">
        <f>IFERROR(__xludf.DUMMYFUNCTION("""COMPUTED_VALUE"""),310.0)</f>
        <v>310</v>
      </c>
      <c r="D32" s="6">
        <f>IFERROR(__xludf.DUMMYFUNCTION("""COMPUTED_VALUE"""),251.25)</f>
        <v>251.25</v>
      </c>
      <c r="E32" s="6">
        <f>IFERROR(__xludf.DUMMYFUNCTION("""COMPUTED_VALUE"""),272.1)</f>
        <v>272.1</v>
      </c>
      <c r="F32" s="6">
        <f>IFERROR(__xludf.DUMMYFUNCTION("""COMPUTED_VALUE"""),3.77237379E8)</f>
        <v>377237379</v>
      </c>
    </row>
    <row r="33">
      <c r="A33" s="7">
        <f>IFERROR(__xludf.DUMMYFUNCTION("""COMPUTED_VALUE"""),45499.64583333333)</f>
        <v>45499.64583</v>
      </c>
      <c r="B33" s="6">
        <f>IFERROR(__xludf.DUMMYFUNCTION("""COMPUTED_VALUE"""),274.0)</f>
        <v>274</v>
      </c>
      <c r="C33" s="6">
        <f>IFERROR(__xludf.DUMMYFUNCTION("""COMPUTED_VALUE"""),282.9)</f>
        <v>282.9</v>
      </c>
      <c r="D33" s="6">
        <f>IFERROR(__xludf.DUMMYFUNCTION("""COMPUTED_VALUE"""),232.0)</f>
        <v>232</v>
      </c>
      <c r="E33" s="6">
        <f>IFERROR(__xludf.DUMMYFUNCTION("""COMPUTED_VALUE"""),258.03)</f>
        <v>258.03</v>
      </c>
      <c r="F33" s="6">
        <f>IFERROR(__xludf.DUMMYFUNCTION("""COMPUTED_VALUE"""),2.2382836E8)</f>
        <v>223828360</v>
      </c>
    </row>
    <row r="34">
      <c r="A34" s="7">
        <f>IFERROR(__xludf.DUMMYFUNCTION("""COMPUTED_VALUE"""),45506.64583333333)</f>
        <v>45506.64583</v>
      </c>
      <c r="B34" s="6">
        <f>IFERROR(__xludf.DUMMYFUNCTION("""COMPUTED_VALUE"""),261.0)</f>
        <v>261</v>
      </c>
      <c r="C34" s="6">
        <f>IFERROR(__xludf.DUMMYFUNCTION("""COMPUTED_VALUE"""),269.95)</f>
        <v>269.95</v>
      </c>
      <c r="D34" s="6">
        <f>IFERROR(__xludf.DUMMYFUNCTION("""COMPUTED_VALUE"""),251.8)</f>
        <v>251.8</v>
      </c>
      <c r="E34" s="6">
        <f>IFERROR(__xludf.DUMMYFUNCTION("""COMPUTED_VALUE"""),254.5)</f>
        <v>254.5</v>
      </c>
      <c r="F34" s="6">
        <f>IFERROR(__xludf.DUMMYFUNCTION("""COMPUTED_VALUE"""),8.6066656E7)</f>
        <v>86066656</v>
      </c>
    </row>
    <row r="35">
      <c r="A35" s="7">
        <f>IFERROR(__xludf.DUMMYFUNCTION("""COMPUTED_VALUE"""),45513.64583333333)</f>
        <v>45513.64583</v>
      </c>
      <c r="B35" s="6">
        <f>IFERROR(__xludf.DUMMYFUNCTION("""COMPUTED_VALUE"""),241.95)</f>
        <v>241.95</v>
      </c>
      <c r="C35" s="6">
        <f>IFERROR(__xludf.DUMMYFUNCTION("""COMPUTED_VALUE"""),252.5)</f>
        <v>252.5</v>
      </c>
      <c r="D35" s="6">
        <f>IFERROR(__xludf.DUMMYFUNCTION("""COMPUTED_VALUE"""),234.0)</f>
        <v>234</v>
      </c>
      <c r="E35" s="6">
        <f>IFERROR(__xludf.DUMMYFUNCTION("""COMPUTED_VALUE"""),243.45)</f>
        <v>243.45</v>
      </c>
      <c r="F35" s="6">
        <f>IFERROR(__xludf.DUMMYFUNCTION("""COMPUTED_VALUE"""),1.08678399E8)</f>
        <v>108678399</v>
      </c>
    </row>
    <row r="36">
      <c r="A36" s="7">
        <f>IFERROR(__xludf.DUMMYFUNCTION("""COMPUTED_VALUE"""),45520.64583333333)</f>
        <v>45520.64583</v>
      </c>
      <c r="B36" s="6">
        <f>IFERROR(__xludf.DUMMYFUNCTION("""COMPUTED_VALUE"""),240.0)</f>
        <v>240</v>
      </c>
      <c r="C36" s="6">
        <f>IFERROR(__xludf.DUMMYFUNCTION("""COMPUTED_VALUE"""),253.0)</f>
        <v>253</v>
      </c>
      <c r="D36" s="6">
        <f>IFERROR(__xludf.DUMMYFUNCTION("""COMPUTED_VALUE"""),234.3)</f>
        <v>234.3</v>
      </c>
      <c r="E36" s="6">
        <f>IFERROR(__xludf.DUMMYFUNCTION("""COMPUTED_VALUE"""),240.1)</f>
        <v>240.1</v>
      </c>
      <c r="F36" s="6">
        <f>IFERROR(__xludf.DUMMYFUNCTION("""COMPUTED_VALUE"""),5.2943207E7)</f>
        <v>52943207</v>
      </c>
    </row>
    <row r="37">
      <c r="A37" s="7">
        <f>IFERROR(__xludf.DUMMYFUNCTION("""COMPUTED_VALUE"""),45527.64583333333)</f>
        <v>45527.64583</v>
      </c>
      <c r="B37" s="6">
        <f>IFERROR(__xludf.DUMMYFUNCTION("""COMPUTED_VALUE"""),241.6)</f>
        <v>241.6</v>
      </c>
      <c r="C37" s="6">
        <f>IFERROR(__xludf.DUMMYFUNCTION("""COMPUTED_VALUE"""),265.8)</f>
        <v>265.8</v>
      </c>
      <c r="D37" s="6">
        <f>IFERROR(__xludf.DUMMYFUNCTION("""COMPUTED_VALUE"""),238.5)</f>
        <v>238.5</v>
      </c>
      <c r="E37" s="6">
        <f>IFERROR(__xludf.DUMMYFUNCTION("""COMPUTED_VALUE"""),260.3)</f>
        <v>260.3</v>
      </c>
      <c r="F37" s="6">
        <f>IFERROR(__xludf.DUMMYFUNCTION("""COMPUTED_VALUE"""),1.36573167E8)</f>
        <v>136573167</v>
      </c>
    </row>
    <row r="38">
      <c r="A38" s="7">
        <f>IFERROR(__xludf.DUMMYFUNCTION("""COMPUTED_VALUE"""),45534.64583333333)</f>
        <v>45534.64583</v>
      </c>
      <c r="B38" s="6">
        <f>IFERROR(__xludf.DUMMYFUNCTION("""COMPUTED_VALUE"""),262.0)</f>
        <v>262</v>
      </c>
      <c r="C38" s="6">
        <f>IFERROR(__xludf.DUMMYFUNCTION("""COMPUTED_VALUE"""),262.95)</f>
        <v>262.95</v>
      </c>
      <c r="D38" s="6">
        <f>IFERROR(__xludf.DUMMYFUNCTION("""COMPUTED_VALUE"""),238.05)</f>
        <v>238.05</v>
      </c>
      <c r="E38" s="6">
        <f>IFERROR(__xludf.DUMMYFUNCTION("""COMPUTED_VALUE"""),241.5)</f>
        <v>241.5</v>
      </c>
      <c r="F38" s="6">
        <f>IFERROR(__xludf.DUMMYFUNCTION("""COMPUTED_VALUE"""),9.4201271E7)</f>
        <v>94201271</v>
      </c>
    </row>
    <row r="39">
      <c r="A39" s="7">
        <f>IFERROR(__xludf.DUMMYFUNCTION("""COMPUTED_VALUE"""),45541.64583333333)</f>
        <v>45541.64583</v>
      </c>
      <c r="B39" s="6">
        <f>IFERROR(__xludf.DUMMYFUNCTION("""COMPUTED_VALUE"""),241.35)</f>
        <v>241.35</v>
      </c>
      <c r="C39" s="6">
        <f>IFERROR(__xludf.DUMMYFUNCTION("""COMPUTED_VALUE"""),241.35)</f>
        <v>241.35</v>
      </c>
      <c r="D39" s="6">
        <f>IFERROR(__xludf.DUMMYFUNCTION("""COMPUTED_VALUE"""),226.27)</f>
        <v>226.27</v>
      </c>
      <c r="E39" s="6">
        <f>IFERROR(__xludf.DUMMYFUNCTION("""COMPUTED_VALUE"""),227.4)</f>
        <v>227.4</v>
      </c>
      <c r="F39" s="6">
        <f>IFERROR(__xludf.DUMMYFUNCTION("""COMPUTED_VALUE"""),5.7402127E7)</f>
        <v>57402127</v>
      </c>
    </row>
    <row r="40">
      <c r="A40" s="7">
        <f>IFERROR(__xludf.DUMMYFUNCTION("""COMPUTED_VALUE"""),45548.64583333333)</f>
        <v>45548.64583</v>
      </c>
      <c r="B40" s="6">
        <f>IFERROR(__xludf.DUMMYFUNCTION("""COMPUTED_VALUE"""),226.0)</f>
        <v>226</v>
      </c>
      <c r="C40" s="6">
        <f>IFERROR(__xludf.DUMMYFUNCTION("""COMPUTED_VALUE"""),240.0)</f>
        <v>240</v>
      </c>
      <c r="D40" s="6">
        <f>IFERROR(__xludf.DUMMYFUNCTION("""COMPUTED_VALUE"""),220.64)</f>
        <v>220.64</v>
      </c>
      <c r="E40" s="6">
        <f>IFERROR(__xludf.DUMMYFUNCTION("""COMPUTED_VALUE"""),231.59)</f>
        <v>231.59</v>
      </c>
      <c r="F40" s="6">
        <f>IFERROR(__xludf.DUMMYFUNCTION("""COMPUTED_VALUE"""),8.3952805E7)</f>
        <v>83952805</v>
      </c>
    </row>
    <row r="41">
      <c r="A41" s="7">
        <f>IFERROR(__xludf.DUMMYFUNCTION("""COMPUTED_VALUE"""),45555.64583333333)</f>
        <v>45555.64583</v>
      </c>
      <c r="B41" s="6">
        <f>IFERROR(__xludf.DUMMYFUNCTION("""COMPUTED_VALUE"""),232.0)</f>
        <v>232</v>
      </c>
      <c r="C41" s="6">
        <f>IFERROR(__xludf.DUMMYFUNCTION("""COMPUTED_VALUE"""),237.5)</f>
        <v>237.5</v>
      </c>
      <c r="D41" s="6">
        <f>IFERROR(__xludf.DUMMYFUNCTION("""COMPUTED_VALUE"""),224.54)</f>
        <v>224.54</v>
      </c>
      <c r="E41" s="6">
        <f>IFERROR(__xludf.DUMMYFUNCTION("""COMPUTED_VALUE"""),232.37)</f>
        <v>232.37</v>
      </c>
      <c r="F41" s="6">
        <f>IFERROR(__xludf.DUMMYFUNCTION("""COMPUTED_VALUE"""),7.6271724E7)</f>
        <v>76271724</v>
      </c>
    </row>
    <row r="42">
      <c r="A42" s="7">
        <f>IFERROR(__xludf.DUMMYFUNCTION("""COMPUTED_VALUE"""),45562.64583333333)</f>
        <v>45562.64583</v>
      </c>
      <c r="B42" s="6">
        <f>IFERROR(__xludf.DUMMYFUNCTION("""COMPUTED_VALUE"""),233.0)</f>
        <v>233</v>
      </c>
      <c r="C42" s="6">
        <f>IFERROR(__xludf.DUMMYFUNCTION("""COMPUTED_VALUE"""),234.0)</f>
        <v>234</v>
      </c>
      <c r="D42" s="6">
        <f>IFERROR(__xludf.DUMMYFUNCTION("""COMPUTED_VALUE"""),217.0)</f>
        <v>217</v>
      </c>
      <c r="E42" s="6">
        <f>IFERROR(__xludf.DUMMYFUNCTION("""COMPUTED_VALUE"""),232.19)</f>
        <v>232.19</v>
      </c>
      <c r="F42" s="6">
        <f>IFERROR(__xludf.DUMMYFUNCTION("""COMPUTED_VALUE"""),3.8813281E7)</f>
        <v>38813281</v>
      </c>
    </row>
    <row r="43">
      <c r="A43" s="7">
        <f>IFERROR(__xludf.DUMMYFUNCTION("""COMPUTED_VALUE"""),45569.64583333333)</f>
        <v>45569.64583</v>
      </c>
      <c r="B43" s="6">
        <f>IFERROR(__xludf.DUMMYFUNCTION("""COMPUTED_VALUE"""),232.38)</f>
        <v>232.38</v>
      </c>
      <c r="C43" s="6">
        <f>IFERROR(__xludf.DUMMYFUNCTION("""COMPUTED_VALUE"""),237.0)</f>
        <v>237</v>
      </c>
      <c r="D43" s="6">
        <f>IFERROR(__xludf.DUMMYFUNCTION("""COMPUTED_VALUE"""),218.0)</f>
        <v>218</v>
      </c>
      <c r="E43" s="6">
        <f>IFERROR(__xludf.DUMMYFUNCTION("""COMPUTED_VALUE"""),221.66)</f>
        <v>221.66</v>
      </c>
      <c r="F43" s="6">
        <f>IFERROR(__xludf.DUMMYFUNCTION("""COMPUTED_VALUE"""),3.13884E7)</f>
        <v>31388400</v>
      </c>
    </row>
    <row r="44">
      <c r="A44" s="7">
        <f>IFERROR(__xludf.DUMMYFUNCTION("""COMPUTED_VALUE"""),45576.64583333333)</f>
        <v>45576.64583</v>
      </c>
      <c r="B44" s="6">
        <f>IFERROR(__xludf.DUMMYFUNCTION("""COMPUTED_VALUE"""),223.98)</f>
        <v>223.98</v>
      </c>
      <c r="C44" s="6">
        <f>IFERROR(__xludf.DUMMYFUNCTION("""COMPUTED_VALUE"""),239.9)</f>
        <v>239.9</v>
      </c>
      <c r="D44" s="6">
        <f>IFERROR(__xludf.DUMMYFUNCTION("""COMPUTED_VALUE"""),206.0)</f>
        <v>206</v>
      </c>
      <c r="E44" s="6">
        <f>IFERROR(__xludf.DUMMYFUNCTION("""COMPUTED_VALUE"""),228.61)</f>
        <v>228.61</v>
      </c>
      <c r="F44" s="6">
        <f>IFERROR(__xludf.DUMMYFUNCTION("""COMPUTED_VALUE"""),6.6298813E7)</f>
        <v>66298813</v>
      </c>
    </row>
    <row r="45">
      <c r="A45" s="7">
        <f>IFERROR(__xludf.DUMMYFUNCTION("""COMPUTED_VALUE"""),45583.64583333333)</f>
        <v>45583.64583</v>
      </c>
      <c r="B45" s="6">
        <f>IFERROR(__xludf.DUMMYFUNCTION("""COMPUTED_VALUE"""),229.49)</f>
        <v>229.49</v>
      </c>
      <c r="C45" s="6">
        <f>IFERROR(__xludf.DUMMYFUNCTION("""COMPUTED_VALUE"""),229.7)</f>
        <v>229.7</v>
      </c>
      <c r="D45" s="6">
        <f>IFERROR(__xludf.DUMMYFUNCTION("""COMPUTED_VALUE"""),211.37)</f>
        <v>211.37</v>
      </c>
      <c r="E45" s="6">
        <f>IFERROR(__xludf.DUMMYFUNCTION("""COMPUTED_VALUE"""),216.14)</f>
        <v>216.14</v>
      </c>
      <c r="F45" s="6">
        <f>IFERROR(__xludf.DUMMYFUNCTION("""COMPUTED_VALUE"""),2.7137335E7)</f>
        <v>27137335</v>
      </c>
    </row>
    <row r="46">
      <c r="A46" s="7">
        <f>IFERROR(__xludf.DUMMYFUNCTION("""COMPUTED_VALUE"""),45590.64583333333)</f>
        <v>45590.64583</v>
      </c>
      <c r="B46" s="6">
        <f>IFERROR(__xludf.DUMMYFUNCTION("""COMPUTED_VALUE"""),216.19)</f>
        <v>216.19</v>
      </c>
      <c r="C46" s="6">
        <f>IFERROR(__xludf.DUMMYFUNCTION("""COMPUTED_VALUE"""),218.2)</f>
        <v>218.2</v>
      </c>
      <c r="D46" s="6">
        <f>IFERROR(__xludf.DUMMYFUNCTION("""COMPUTED_VALUE"""),188.47)</f>
        <v>188.47</v>
      </c>
      <c r="E46" s="6">
        <f>IFERROR(__xludf.DUMMYFUNCTION("""COMPUTED_VALUE"""),191.26)</f>
        <v>191.26</v>
      </c>
      <c r="F46" s="6">
        <f>IFERROR(__xludf.DUMMYFUNCTION("""COMPUTED_VALUE"""),4.4024408E7)</f>
        <v>44024408</v>
      </c>
    </row>
    <row r="47">
      <c r="A47" s="7">
        <f>IFERROR(__xludf.DUMMYFUNCTION("""COMPUTED_VALUE"""),45604.64583333333)</f>
        <v>45604.64583</v>
      </c>
      <c r="B47" s="6">
        <f>IFERROR(__xludf.DUMMYFUNCTION("""COMPUTED_VALUE"""),212.0)</f>
        <v>212</v>
      </c>
      <c r="C47" s="6">
        <f>IFERROR(__xludf.DUMMYFUNCTION("""COMPUTED_VALUE"""),212.0)</f>
        <v>212</v>
      </c>
      <c r="D47" s="6">
        <f>IFERROR(__xludf.DUMMYFUNCTION("""COMPUTED_VALUE"""),200.0)</f>
        <v>200</v>
      </c>
      <c r="E47" s="6">
        <f>IFERROR(__xludf.DUMMYFUNCTION("""COMPUTED_VALUE"""),200.58)</f>
        <v>200.58</v>
      </c>
      <c r="F47" s="6">
        <f>IFERROR(__xludf.DUMMYFUNCTION("""COMPUTED_VALUE"""),2.392591E7)</f>
        <v>23925910</v>
      </c>
    </row>
    <row r="48">
      <c r="A48" s="7">
        <f>IFERROR(__xludf.DUMMYFUNCTION("""COMPUTED_VALUE"""),45610.64583333333)</f>
        <v>45610.64583</v>
      </c>
      <c r="B48" s="6">
        <f>IFERROR(__xludf.DUMMYFUNCTION("""COMPUTED_VALUE"""),199.48)</f>
        <v>199.48</v>
      </c>
      <c r="C48" s="6">
        <f>IFERROR(__xludf.DUMMYFUNCTION("""COMPUTED_VALUE"""),202.29)</f>
        <v>202.29</v>
      </c>
      <c r="D48" s="6">
        <f>IFERROR(__xludf.DUMMYFUNCTION("""COMPUTED_VALUE"""),187.0)</f>
        <v>187</v>
      </c>
      <c r="E48" s="6">
        <f>IFERROR(__xludf.DUMMYFUNCTION("""COMPUTED_VALUE"""),189.86)</f>
        <v>189.86</v>
      </c>
      <c r="F48" s="6">
        <f>IFERROR(__xludf.DUMMYFUNCTION("""COMPUTED_VALUE"""),1.9065948E7)</f>
        <v>19065948</v>
      </c>
    </row>
    <row r="49">
      <c r="A49" s="7">
        <f>IFERROR(__xludf.DUMMYFUNCTION("""COMPUTED_VALUE"""),45618.64583333333)</f>
        <v>45618.64583</v>
      </c>
      <c r="B49" s="6">
        <f>IFERROR(__xludf.DUMMYFUNCTION("""COMPUTED_VALUE"""),192.0)</f>
        <v>192</v>
      </c>
      <c r="C49" s="6">
        <f>IFERROR(__xludf.DUMMYFUNCTION("""COMPUTED_VALUE"""),193.34)</f>
        <v>193.34</v>
      </c>
      <c r="D49" s="6">
        <f>IFERROR(__xludf.DUMMYFUNCTION("""COMPUTED_VALUE"""),181.4)</f>
        <v>181.4</v>
      </c>
      <c r="E49" s="6">
        <f>IFERROR(__xludf.DUMMYFUNCTION("""COMPUTED_VALUE"""),185.5)</f>
        <v>185.5</v>
      </c>
      <c r="F49" s="6">
        <f>IFERROR(__xludf.DUMMYFUNCTION("""COMPUTED_VALUE"""),1.8399553E7)</f>
        <v>18399553</v>
      </c>
    </row>
    <row r="50">
      <c r="A50" s="7">
        <f>IFERROR(__xludf.DUMMYFUNCTION("""COMPUTED_VALUE"""),45625.64583333333)</f>
        <v>45625.64583</v>
      </c>
      <c r="B50" s="6">
        <f>IFERROR(__xludf.DUMMYFUNCTION("""COMPUTED_VALUE"""),192.39)</f>
        <v>192.39</v>
      </c>
      <c r="C50" s="6">
        <f>IFERROR(__xludf.DUMMYFUNCTION("""COMPUTED_VALUE"""),213.0)</f>
        <v>213</v>
      </c>
      <c r="D50" s="6">
        <f>IFERROR(__xludf.DUMMYFUNCTION("""COMPUTED_VALUE"""),189.01)</f>
        <v>189.01</v>
      </c>
      <c r="E50" s="6">
        <f>IFERROR(__xludf.DUMMYFUNCTION("""COMPUTED_VALUE"""),205.16)</f>
        <v>205.16</v>
      </c>
      <c r="F50" s="6">
        <f>IFERROR(__xludf.DUMMYFUNCTION("""COMPUTED_VALUE"""),5.3745945E7)</f>
        <v>53745945</v>
      </c>
    </row>
    <row r="51">
      <c r="A51" s="7">
        <f>IFERROR(__xludf.DUMMYFUNCTION("""COMPUTED_VALUE"""),45632.64583333333)</f>
        <v>45632.64583</v>
      </c>
      <c r="B51" s="6">
        <f>IFERROR(__xludf.DUMMYFUNCTION("""COMPUTED_VALUE"""),203.5)</f>
        <v>203.5</v>
      </c>
      <c r="C51" s="6">
        <f>IFERROR(__xludf.DUMMYFUNCTION("""COMPUTED_VALUE"""),226.0)</f>
        <v>226</v>
      </c>
      <c r="D51" s="6">
        <f>IFERROR(__xludf.DUMMYFUNCTION("""COMPUTED_VALUE"""),201.0)</f>
        <v>201</v>
      </c>
      <c r="E51" s="6">
        <f>IFERROR(__xludf.DUMMYFUNCTION("""COMPUTED_VALUE"""),221.25)</f>
        <v>221.25</v>
      </c>
      <c r="F51" s="6">
        <f>IFERROR(__xludf.DUMMYFUNCTION("""COMPUTED_VALUE"""),6.8021112E7)</f>
        <v>68021112</v>
      </c>
    </row>
    <row r="52">
      <c r="A52" s="7">
        <f>IFERROR(__xludf.DUMMYFUNCTION("""COMPUTED_VALUE"""),45639.64583333333)</f>
        <v>45639.64583</v>
      </c>
      <c r="B52" s="6">
        <f>IFERROR(__xludf.DUMMYFUNCTION("""COMPUTED_VALUE"""),222.15)</f>
        <v>222.15</v>
      </c>
      <c r="C52" s="6">
        <f>IFERROR(__xludf.DUMMYFUNCTION("""COMPUTED_VALUE"""),227.83)</f>
        <v>227.83</v>
      </c>
      <c r="D52" s="6">
        <f>IFERROR(__xludf.DUMMYFUNCTION("""COMPUTED_VALUE"""),212.7)</f>
        <v>212.7</v>
      </c>
      <c r="E52" s="6">
        <f>IFERROR(__xludf.DUMMYFUNCTION("""COMPUTED_VALUE"""),217.48)</f>
        <v>217.48</v>
      </c>
      <c r="F52" s="6">
        <f>IFERROR(__xludf.DUMMYFUNCTION("""COMPUTED_VALUE"""),3.6452441E7)</f>
        <v>36452441</v>
      </c>
    </row>
    <row r="53">
      <c r="A53" s="7">
        <f>IFERROR(__xludf.DUMMYFUNCTION("""COMPUTED_VALUE"""),45646.64583333333)</f>
        <v>45646.64583</v>
      </c>
      <c r="B53" s="6">
        <f>IFERROR(__xludf.DUMMYFUNCTION("""COMPUTED_VALUE"""),217.48)</f>
        <v>217.48</v>
      </c>
      <c r="C53" s="6">
        <f>IFERROR(__xludf.DUMMYFUNCTION("""COMPUTED_VALUE"""),220.76)</f>
        <v>220.76</v>
      </c>
      <c r="D53" s="6">
        <f>IFERROR(__xludf.DUMMYFUNCTION("""COMPUTED_VALUE"""),200.0)</f>
        <v>200</v>
      </c>
      <c r="E53" s="6">
        <f>IFERROR(__xludf.DUMMYFUNCTION("""COMPUTED_VALUE"""),206.32)</f>
        <v>206.32</v>
      </c>
      <c r="F53" s="6">
        <f>IFERROR(__xludf.DUMMYFUNCTION("""COMPUTED_VALUE"""),2.9746112E7)</f>
        <v>29746112</v>
      </c>
    </row>
    <row r="54">
      <c r="A54" s="7">
        <f>IFERROR(__xludf.DUMMYFUNCTION("""COMPUTED_VALUE"""),45653.64583333333)</f>
        <v>45653.64583</v>
      </c>
      <c r="B54" s="6">
        <f>IFERROR(__xludf.DUMMYFUNCTION("""COMPUTED_VALUE"""),208.0)</f>
        <v>208</v>
      </c>
      <c r="C54" s="6">
        <f>IFERROR(__xludf.DUMMYFUNCTION("""COMPUTED_VALUE"""),208.75)</f>
        <v>208.75</v>
      </c>
      <c r="D54" s="6">
        <f>IFERROR(__xludf.DUMMYFUNCTION("""COMPUTED_VALUE"""),196.1)</f>
        <v>196.1</v>
      </c>
      <c r="E54" s="6">
        <f>IFERROR(__xludf.DUMMYFUNCTION("""COMPUTED_VALUE"""),196.94)</f>
        <v>196.94</v>
      </c>
      <c r="F54" s="6">
        <f>IFERROR(__xludf.DUMMYFUNCTION("""COMPUTED_VALUE"""),1.3609561E7)</f>
        <v>13609561</v>
      </c>
    </row>
    <row r="55">
      <c r="A55" s="7">
        <f>IFERROR(__xludf.DUMMYFUNCTION("""COMPUTED_VALUE"""),45660.64583333333)</f>
        <v>45660.64583</v>
      </c>
      <c r="B55" s="6">
        <f>IFERROR(__xludf.DUMMYFUNCTION("""COMPUTED_VALUE"""),196.94)</f>
        <v>196.94</v>
      </c>
      <c r="C55" s="6">
        <f>IFERROR(__xludf.DUMMYFUNCTION("""COMPUTED_VALUE"""),234.29)</f>
        <v>234.29</v>
      </c>
      <c r="D55" s="6">
        <f>IFERROR(__xludf.DUMMYFUNCTION("""COMPUTED_VALUE"""),195.32)</f>
        <v>195.32</v>
      </c>
      <c r="E55" s="6">
        <f>IFERROR(__xludf.DUMMYFUNCTION("""COMPUTED_VALUE"""),230.55)</f>
        <v>230.55</v>
      </c>
      <c r="F55" s="6">
        <f>IFERROR(__xludf.DUMMYFUNCTION("""COMPUTED_VALUE"""),1.22629114E8)</f>
        <v>122629114</v>
      </c>
    </row>
    <row r="56">
      <c r="A56" s="7">
        <f>IFERROR(__xludf.DUMMYFUNCTION("""COMPUTED_VALUE"""),45667.64583333333)</f>
        <v>45667.64583</v>
      </c>
      <c r="B56" s="6">
        <f>IFERROR(__xludf.DUMMYFUNCTION("""COMPUTED_VALUE"""),231.45)</f>
        <v>231.45</v>
      </c>
      <c r="C56" s="6">
        <f>IFERROR(__xludf.DUMMYFUNCTION("""COMPUTED_VALUE"""),231.8)</f>
        <v>231.8</v>
      </c>
      <c r="D56" s="6">
        <f>IFERROR(__xludf.DUMMYFUNCTION("""COMPUTED_VALUE"""),198.61)</f>
        <v>198.61</v>
      </c>
      <c r="E56" s="6">
        <f>IFERROR(__xludf.DUMMYFUNCTION("""COMPUTED_VALUE"""),201.15)</f>
        <v>201.15</v>
      </c>
      <c r="F56" s="6">
        <f>IFERROR(__xludf.DUMMYFUNCTION("""COMPUTED_VALUE"""),1.27258895E8)</f>
        <v>127258895</v>
      </c>
    </row>
    <row r="57">
      <c r="A57" s="7">
        <f>IFERROR(__xludf.DUMMYFUNCTION("""COMPUTED_VALUE"""),45674.64583333333)</f>
        <v>45674.64583</v>
      </c>
      <c r="B57" s="6">
        <f>IFERROR(__xludf.DUMMYFUNCTION("""COMPUTED_VALUE"""),200.47)</f>
        <v>200.47</v>
      </c>
      <c r="C57" s="6">
        <f>IFERROR(__xludf.DUMMYFUNCTION("""COMPUTED_VALUE"""),212.55)</f>
        <v>212.55</v>
      </c>
      <c r="D57" s="6">
        <f>IFERROR(__xludf.DUMMYFUNCTION("""COMPUTED_VALUE"""),196.55)</f>
        <v>196.55</v>
      </c>
      <c r="E57" s="6">
        <f>IFERROR(__xludf.DUMMYFUNCTION("""COMPUTED_VALUE"""),207.1)</f>
        <v>207.1</v>
      </c>
      <c r="F57" s="6">
        <f>IFERROR(__xludf.DUMMYFUNCTION("""COMPUTED_VALUE"""),1.03203853E8)</f>
        <v>103203853</v>
      </c>
    </row>
    <row r="58">
      <c r="A58" s="7">
        <f>IFERROR(__xludf.DUMMYFUNCTION("""COMPUTED_VALUE"""),45681.64583333333)</f>
        <v>45681.64583</v>
      </c>
      <c r="B58" s="6">
        <f>IFERROR(__xludf.DUMMYFUNCTION("""COMPUTED_VALUE"""),208.51)</f>
        <v>208.51</v>
      </c>
      <c r="C58" s="6">
        <f>IFERROR(__xludf.DUMMYFUNCTION("""COMPUTED_VALUE"""),209.8)</f>
        <v>209.8</v>
      </c>
      <c r="D58" s="6">
        <f>IFERROR(__xludf.DUMMYFUNCTION("""COMPUTED_VALUE"""),194.0)</f>
        <v>194</v>
      </c>
      <c r="E58" s="6">
        <f>IFERROR(__xludf.DUMMYFUNCTION("""COMPUTED_VALUE"""),194.88)</f>
        <v>194.88</v>
      </c>
      <c r="F58" s="6">
        <f>IFERROR(__xludf.DUMMYFUNCTION("""COMPUTED_VALUE"""),4.7164665E7)</f>
        <v>47164665</v>
      </c>
    </row>
    <row r="59">
      <c r="A59" s="7">
        <f>IFERROR(__xludf.DUMMYFUNCTION("""COMPUTED_VALUE"""),45695.64583333333)</f>
        <v>45695.64583</v>
      </c>
      <c r="B59" s="6">
        <f>IFERROR(__xludf.DUMMYFUNCTION("""COMPUTED_VALUE"""),189.26)</f>
        <v>189.26</v>
      </c>
      <c r="C59" s="6">
        <f>IFERROR(__xludf.DUMMYFUNCTION("""COMPUTED_VALUE"""),196.4)</f>
        <v>196.4</v>
      </c>
      <c r="D59" s="6">
        <f>IFERROR(__xludf.DUMMYFUNCTION("""COMPUTED_VALUE"""),183.8)</f>
        <v>183.8</v>
      </c>
      <c r="E59" s="6">
        <f>IFERROR(__xludf.DUMMYFUNCTION("""COMPUTED_VALUE"""),188.65)</f>
        <v>188.65</v>
      </c>
      <c r="F59" s="6">
        <f>IFERROR(__xludf.DUMMYFUNCTION("""COMPUTED_VALUE"""),3.1428156E7)</f>
        <v>31428156</v>
      </c>
    </row>
    <row r="60">
      <c r="A60" s="7">
        <f>IFERROR(__xludf.DUMMYFUNCTION("""COMPUTED_VALUE"""),45702.64583333333)</f>
        <v>45702.64583</v>
      </c>
      <c r="B60" s="6">
        <f>IFERROR(__xludf.DUMMYFUNCTION("""COMPUTED_VALUE"""),188.95)</f>
        <v>188.95</v>
      </c>
      <c r="C60" s="6">
        <f>IFERROR(__xludf.DUMMYFUNCTION("""COMPUTED_VALUE"""),189.5)</f>
        <v>189.5</v>
      </c>
      <c r="D60" s="6">
        <f>IFERROR(__xludf.DUMMYFUNCTION("""COMPUTED_VALUE"""),164.85)</f>
        <v>164.85</v>
      </c>
      <c r="E60" s="6">
        <f>IFERROR(__xludf.DUMMYFUNCTION("""COMPUTED_VALUE"""),168.16)</f>
        <v>168.16</v>
      </c>
      <c r="F60" s="6">
        <f>IFERROR(__xludf.DUMMYFUNCTION("""COMPUTED_VALUE"""),3.6537673E7)</f>
        <v>36537673</v>
      </c>
    </row>
    <row r="61">
      <c r="A61" s="7">
        <f>IFERROR(__xludf.DUMMYFUNCTION("""COMPUTED_VALUE"""),45709.64583333333)</f>
        <v>45709.64583</v>
      </c>
      <c r="B61" s="6">
        <f>IFERROR(__xludf.DUMMYFUNCTION("""COMPUTED_VALUE"""),164.89)</f>
        <v>164.89</v>
      </c>
      <c r="C61" s="6">
        <f>IFERROR(__xludf.DUMMYFUNCTION("""COMPUTED_VALUE"""),187.7)</f>
        <v>187.7</v>
      </c>
      <c r="D61" s="6">
        <f>IFERROR(__xludf.DUMMYFUNCTION("""COMPUTED_VALUE"""),157.05)</f>
        <v>157.05</v>
      </c>
      <c r="E61" s="6">
        <f>IFERROR(__xludf.DUMMYFUNCTION("""COMPUTED_VALUE"""),177.34)</f>
        <v>177.34</v>
      </c>
      <c r="F61" s="6">
        <f>IFERROR(__xludf.DUMMYFUNCTION("""COMPUTED_VALUE"""),7.3455216E7)</f>
        <v>73455216</v>
      </c>
    </row>
    <row r="62">
      <c r="A62" s="7">
        <f>IFERROR(__xludf.DUMMYFUNCTION("""COMPUTED_VALUE"""),45716.64583333333)</f>
        <v>45716.64583</v>
      </c>
      <c r="B62" s="6">
        <f>IFERROR(__xludf.DUMMYFUNCTION("""COMPUTED_VALUE"""),174.9)</f>
        <v>174.9</v>
      </c>
      <c r="C62" s="6">
        <f>IFERROR(__xludf.DUMMYFUNCTION("""COMPUTED_VALUE"""),178.45)</f>
        <v>178.45</v>
      </c>
      <c r="D62" s="6">
        <f>IFERROR(__xludf.DUMMYFUNCTION("""COMPUTED_VALUE"""),151.5)</f>
        <v>151.5</v>
      </c>
      <c r="E62" s="6">
        <f>IFERROR(__xludf.DUMMYFUNCTION("""COMPUTED_VALUE"""),156.02)</f>
        <v>156.02</v>
      </c>
      <c r="F62" s="6">
        <f>IFERROR(__xludf.DUMMYFUNCTION("""COMPUTED_VALUE"""),5.7159658E7)</f>
        <v>57159658</v>
      </c>
    </row>
    <row r="63">
      <c r="A63" s="7">
        <f>IFERROR(__xludf.DUMMYFUNCTION("""COMPUTED_VALUE"""),45723.64583333333)</f>
        <v>45723.64583</v>
      </c>
      <c r="B63" s="6">
        <f>IFERROR(__xludf.DUMMYFUNCTION("""COMPUTED_VALUE"""),156.65)</f>
        <v>156.65</v>
      </c>
      <c r="C63" s="6">
        <f>IFERROR(__xludf.DUMMYFUNCTION("""COMPUTED_VALUE"""),158.62)</f>
        <v>158.62</v>
      </c>
      <c r="D63" s="6">
        <f>IFERROR(__xludf.DUMMYFUNCTION("""COMPUTED_VALUE"""),143.22)</f>
        <v>143.22</v>
      </c>
      <c r="E63" s="6">
        <f>IFERROR(__xludf.DUMMYFUNCTION("""COMPUTED_VALUE"""),149.59)</f>
        <v>149.59</v>
      </c>
      <c r="F63" s="6">
        <f>IFERROR(__xludf.DUMMYFUNCTION("""COMPUTED_VALUE"""),9.7323484E7)</f>
        <v>97323484</v>
      </c>
    </row>
    <row r="64">
      <c r="A64" s="7">
        <f>IFERROR(__xludf.DUMMYFUNCTION("""COMPUTED_VALUE"""),45729.64583333333)</f>
        <v>45729.64583</v>
      </c>
      <c r="B64" s="6">
        <f>IFERROR(__xludf.DUMMYFUNCTION("""COMPUTED_VALUE"""),149.17)</f>
        <v>149.17</v>
      </c>
      <c r="C64" s="6">
        <f>IFERROR(__xludf.DUMMYFUNCTION("""COMPUTED_VALUE"""),150.5)</f>
        <v>150.5</v>
      </c>
      <c r="D64" s="6">
        <f>IFERROR(__xludf.DUMMYFUNCTION("""COMPUTED_VALUE"""),139.21)</f>
        <v>139.21</v>
      </c>
      <c r="E64" s="6">
        <f>IFERROR(__xludf.DUMMYFUNCTION("""COMPUTED_VALUE"""),139.85)</f>
        <v>139.85</v>
      </c>
      <c r="F64" s="6">
        <f>IFERROR(__xludf.DUMMYFUNCTION("""COMPUTED_VALUE"""),3.734068E7)</f>
        <v>37340680</v>
      </c>
    </row>
    <row r="65">
      <c r="A65" s="7">
        <f>IFERROR(__xludf.DUMMYFUNCTION("""COMPUTED_VALUE"""),45737.64583333333)</f>
        <v>45737.64583</v>
      </c>
      <c r="B65" s="6">
        <f>IFERROR(__xludf.DUMMYFUNCTION("""COMPUTED_VALUE"""),140.64)</f>
        <v>140.64</v>
      </c>
      <c r="C65" s="6">
        <f>IFERROR(__xludf.DUMMYFUNCTION("""COMPUTED_VALUE"""),156.67)</f>
        <v>156.67</v>
      </c>
      <c r="D65" s="6">
        <f>IFERROR(__xludf.DUMMYFUNCTION("""COMPUTED_VALUE"""),0.0)</f>
        <v>0</v>
      </c>
      <c r="E65" s="6">
        <f>IFERROR(__xludf.DUMMYFUNCTION("""COMPUTED_VALUE"""),154.82)</f>
        <v>154.82</v>
      </c>
      <c r="F65" s="6">
        <f>IFERROR(__xludf.DUMMYFUNCTION("""COMPUTED_VALUE"""),7.233931E7)</f>
        <v>72339310</v>
      </c>
    </row>
    <row r="66">
      <c r="A66" s="7">
        <f>IFERROR(__xludf.DUMMYFUNCTION("""COMPUTED_VALUE"""),45744.64583333333)</f>
        <v>45744.64583</v>
      </c>
      <c r="B66" s="6">
        <f>IFERROR(__xludf.DUMMYFUNCTION("""COMPUTED_VALUE"""),156.35)</f>
        <v>156.35</v>
      </c>
      <c r="C66" s="6">
        <f>IFERROR(__xludf.DUMMYFUNCTION("""COMPUTED_VALUE"""),176.77)</f>
        <v>176.77</v>
      </c>
      <c r="D66" s="6">
        <f>IFERROR(__xludf.DUMMYFUNCTION("""COMPUTED_VALUE"""),156.23)</f>
        <v>156.23</v>
      </c>
      <c r="E66" s="6">
        <f>IFERROR(__xludf.DUMMYFUNCTION("""COMPUTED_VALUE"""),160.59)</f>
        <v>160.59</v>
      </c>
      <c r="F66" s="6">
        <f>IFERROR(__xludf.DUMMYFUNCTION("""COMPUTED_VALUE"""),2.17632871E8)</f>
        <v>217632871</v>
      </c>
    </row>
    <row r="67">
      <c r="A67" s="7">
        <f>IFERROR(__xludf.DUMMYFUNCTION("""COMPUTED_VALUE"""),45751.64583333333)</f>
        <v>45751.64583</v>
      </c>
      <c r="B67" s="6">
        <f>IFERROR(__xludf.DUMMYFUNCTION("""COMPUTED_VALUE"""),160.4)</f>
        <v>160.4</v>
      </c>
      <c r="C67" s="6">
        <f>IFERROR(__xludf.DUMMYFUNCTION("""COMPUTED_VALUE"""),163.24)</f>
        <v>163.24</v>
      </c>
      <c r="D67" s="6">
        <f>IFERROR(__xludf.DUMMYFUNCTION("""COMPUTED_VALUE"""),154.7)</f>
        <v>154.7</v>
      </c>
      <c r="E67" s="6">
        <f>IFERROR(__xludf.DUMMYFUNCTION("""COMPUTED_VALUE"""),156.45)</f>
        <v>156.45</v>
      </c>
      <c r="F67" s="6">
        <f>IFERROR(__xludf.DUMMYFUNCTION("""COMPUTED_VALUE"""),5.0549724E7)</f>
        <v>50549724</v>
      </c>
    </row>
    <row r="68">
      <c r="A68" s="7">
        <f>IFERROR(__xludf.DUMMYFUNCTION("""COMPUTED_VALUE"""),45758.64583333333)</f>
        <v>45758.64583</v>
      </c>
      <c r="B68" s="6">
        <f>IFERROR(__xludf.DUMMYFUNCTION("""COMPUTED_VALUE"""),140.8)</f>
        <v>140.8</v>
      </c>
      <c r="C68" s="6">
        <f>IFERROR(__xludf.DUMMYFUNCTION("""COMPUTED_VALUE"""),157.68)</f>
        <v>157.68</v>
      </c>
      <c r="D68" s="6">
        <f>IFERROR(__xludf.DUMMYFUNCTION("""COMPUTED_VALUE"""),140.8)</f>
        <v>140.8</v>
      </c>
      <c r="E68" s="6">
        <f>IFERROR(__xludf.DUMMYFUNCTION("""COMPUTED_VALUE"""),154.2)</f>
        <v>154.2</v>
      </c>
      <c r="F68" s="6">
        <f>IFERROR(__xludf.DUMMYFUNCTION("""COMPUTED_VALUE"""),4.2701454E7)</f>
        <v>42701454</v>
      </c>
    </row>
    <row r="69">
      <c r="A69" s="7">
        <f>IFERROR(__xludf.DUMMYFUNCTION("""COMPUTED_VALUE"""),45764.64583333333)</f>
        <v>45764.64583</v>
      </c>
      <c r="B69" s="6">
        <f>IFERROR(__xludf.DUMMYFUNCTION("""COMPUTED_VALUE"""),159.0)</f>
        <v>159</v>
      </c>
      <c r="C69" s="6">
        <f>IFERROR(__xludf.DUMMYFUNCTION("""COMPUTED_VALUE"""),179.68)</f>
        <v>179.68</v>
      </c>
      <c r="D69" s="6">
        <f>IFERROR(__xludf.DUMMYFUNCTION("""COMPUTED_VALUE"""),158.6)</f>
        <v>158.6</v>
      </c>
      <c r="E69" s="6">
        <f>IFERROR(__xludf.DUMMYFUNCTION("""COMPUTED_VALUE"""),173.41)</f>
        <v>173.41</v>
      </c>
      <c r="F69" s="6">
        <f>IFERROR(__xludf.DUMMYFUNCTION("""COMPUTED_VALUE"""),1.61962671E8)</f>
        <v>161962671</v>
      </c>
    </row>
    <row r="70">
      <c r="A70" s="7">
        <f>IFERROR(__xludf.DUMMYFUNCTION("""COMPUTED_VALUE"""),45772.64583333333)</f>
        <v>45772.64583</v>
      </c>
      <c r="B70" s="6">
        <f>IFERROR(__xludf.DUMMYFUNCTION("""COMPUTED_VALUE"""),173.9)</f>
        <v>173.9</v>
      </c>
      <c r="C70" s="6">
        <f>IFERROR(__xludf.DUMMYFUNCTION("""COMPUTED_VALUE"""),183.2)</f>
        <v>183.2</v>
      </c>
      <c r="D70" s="6">
        <f>IFERROR(__xludf.DUMMYFUNCTION("""COMPUTED_VALUE"""),166.35)</f>
        <v>166.35</v>
      </c>
      <c r="E70" s="6">
        <f>IFERROR(__xludf.DUMMYFUNCTION("""COMPUTED_VALUE"""),167.55)</f>
        <v>167.55</v>
      </c>
      <c r="F70" s="6">
        <f>IFERROR(__xludf.DUMMYFUNCTION("""COMPUTED_VALUE"""),9.81012E7)</f>
        <v>98101200</v>
      </c>
    </row>
    <row r="71">
      <c r="A71" s="7">
        <f>IFERROR(__xludf.DUMMYFUNCTION("""COMPUTED_VALUE"""),45779.64583333333)</f>
        <v>45779.64583</v>
      </c>
      <c r="B71" s="6">
        <f>IFERROR(__xludf.DUMMYFUNCTION("""COMPUTED_VALUE"""),166.51)</f>
        <v>166.51</v>
      </c>
      <c r="C71" s="6">
        <f>IFERROR(__xludf.DUMMYFUNCTION("""COMPUTED_VALUE"""),171.14)</f>
        <v>171.14</v>
      </c>
      <c r="D71" s="6">
        <f>IFERROR(__xludf.DUMMYFUNCTION("""COMPUTED_VALUE"""),164.3)</f>
        <v>164.3</v>
      </c>
      <c r="E71" s="6">
        <f>IFERROR(__xludf.DUMMYFUNCTION("""COMPUTED_VALUE"""),165.72)</f>
        <v>165.72</v>
      </c>
      <c r="F71" s="6">
        <f>IFERROR(__xludf.DUMMYFUNCTION("""COMPUTED_VALUE"""),3.6349801E7)</f>
        <v>36349801</v>
      </c>
    </row>
    <row r="72">
      <c r="A72" s="7">
        <f>IFERROR(__xludf.DUMMYFUNCTION("""COMPUTED_VALUE"""),45786.64583333333)</f>
        <v>45786.64583</v>
      </c>
      <c r="B72" s="6">
        <f>IFERROR(__xludf.DUMMYFUNCTION("""COMPUTED_VALUE"""),166.3)</f>
        <v>166.3</v>
      </c>
      <c r="C72" s="6">
        <f>IFERROR(__xludf.DUMMYFUNCTION("""COMPUTED_VALUE"""),169.6)</f>
        <v>169.6</v>
      </c>
      <c r="D72" s="6">
        <f>IFERROR(__xludf.DUMMYFUNCTION("""COMPUTED_VALUE"""),153.0)</f>
        <v>153</v>
      </c>
      <c r="E72" s="6">
        <f>IFERROR(__xludf.DUMMYFUNCTION("""COMPUTED_VALUE"""),156.48)</f>
        <v>156.48</v>
      </c>
      <c r="F72" s="6">
        <f>IFERROR(__xludf.DUMMYFUNCTION("""COMPUTED_VALUE"""),4.9731303E7)</f>
        <v>49731303</v>
      </c>
    </row>
    <row r="73">
      <c r="A73" s="7">
        <f>IFERROR(__xludf.DUMMYFUNCTION("""COMPUTED_VALUE"""),45793.64583333333)</f>
        <v>45793.64583</v>
      </c>
      <c r="B73" s="6">
        <f>IFERROR(__xludf.DUMMYFUNCTION("""COMPUTED_VALUE"""),165.0)</f>
        <v>165</v>
      </c>
      <c r="C73" s="6">
        <f>IFERROR(__xludf.DUMMYFUNCTION("""COMPUTED_VALUE"""),175.98)</f>
        <v>175.98</v>
      </c>
      <c r="D73" s="6">
        <f>IFERROR(__xludf.DUMMYFUNCTION("""COMPUTED_VALUE"""),163.0)</f>
        <v>163</v>
      </c>
      <c r="E73" s="6">
        <f>IFERROR(__xludf.DUMMYFUNCTION("""COMPUTED_VALUE"""),173.29)</f>
        <v>173.29</v>
      </c>
      <c r="F73" s="6">
        <f>IFERROR(__xludf.DUMMYFUNCTION("""COMPUTED_VALUE"""),7.146525E7)</f>
        <v>71465250</v>
      </c>
    </row>
    <row r="74">
      <c r="A74" s="7">
        <f>IFERROR(__xludf.DUMMYFUNCTION("""COMPUTED_VALUE"""),45800.64583333333)</f>
        <v>45800.64583</v>
      </c>
      <c r="B74" s="6">
        <f>IFERROR(__xludf.DUMMYFUNCTION("""COMPUTED_VALUE"""),174.2)</f>
        <v>174.2</v>
      </c>
      <c r="C74" s="6">
        <f>IFERROR(__xludf.DUMMYFUNCTION("""COMPUTED_VALUE"""),178.52)</f>
        <v>178.52</v>
      </c>
      <c r="D74" s="6">
        <f>IFERROR(__xludf.DUMMYFUNCTION("""COMPUTED_VALUE"""),167.49)</f>
        <v>167.49</v>
      </c>
      <c r="E74" s="6">
        <f>IFERROR(__xludf.DUMMYFUNCTION("""COMPUTED_VALUE"""),171.85)</f>
        <v>171.85</v>
      </c>
      <c r="F74" s="6">
        <f>IFERROR(__xludf.DUMMYFUNCTION("""COMPUTED_VALUE"""),5.001379E7)</f>
        <v>50013790</v>
      </c>
    </row>
    <row r="75">
      <c r="A75" s="7">
        <f>IFERROR(__xludf.DUMMYFUNCTION("""COMPUTED_VALUE"""),45807.64583333333)</f>
        <v>45807.64583</v>
      </c>
      <c r="B75" s="6">
        <f>IFERROR(__xludf.DUMMYFUNCTION("""COMPUTED_VALUE"""),171.85)</f>
        <v>171.85</v>
      </c>
      <c r="C75" s="6">
        <f>IFERROR(__xludf.DUMMYFUNCTION("""COMPUTED_VALUE"""),177.9)</f>
        <v>177.9</v>
      </c>
      <c r="D75" s="6">
        <f>IFERROR(__xludf.DUMMYFUNCTION("""COMPUTED_VALUE"""),171.28)</f>
        <v>171.28</v>
      </c>
      <c r="E75" s="6">
        <f>IFERROR(__xludf.DUMMYFUNCTION("""COMPUTED_VALUE"""),174.73)</f>
        <v>174.73</v>
      </c>
      <c r="F75" s="6">
        <f>IFERROR(__xludf.DUMMYFUNCTION("""COMPUTED_VALUE"""),4.6587564E7)</f>
        <v>46587564</v>
      </c>
    </row>
    <row r="76">
      <c r="A76" s="7">
        <f>IFERROR(__xludf.DUMMYFUNCTION("""COMPUTED_VALUE"""),45814.64583333333)</f>
        <v>45814.64583</v>
      </c>
      <c r="B76" s="6">
        <f>IFERROR(__xludf.DUMMYFUNCTION("""COMPUTED_VALUE"""),174.69)</f>
        <v>174.69</v>
      </c>
      <c r="C76" s="6">
        <f>IFERROR(__xludf.DUMMYFUNCTION("""COMPUTED_VALUE"""),179.0)</f>
        <v>179</v>
      </c>
      <c r="D76" s="6">
        <f>IFERROR(__xludf.DUMMYFUNCTION("""COMPUTED_VALUE"""),171.5)</f>
        <v>171.5</v>
      </c>
      <c r="E76" s="6">
        <f>IFERROR(__xludf.DUMMYFUNCTION("""COMPUTED_VALUE"""),174.87)</f>
        <v>174.87</v>
      </c>
      <c r="F76" s="6">
        <f>IFERROR(__xludf.DUMMYFUNCTION("""COMPUTED_VALUE"""),6.3661957E7)</f>
        <v>63661957</v>
      </c>
    </row>
    <row r="77">
      <c r="A77" s="7">
        <f>IFERROR(__xludf.DUMMYFUNCTION("""COMPUTED_VALUE"""),45821.64583333333)</f>
        <v>45821.64583</v>
      </c>
      <c r="B77" s="6">
        <f>IFERROR(__xludf.DUMMYFUNCTION("""COMPUTED_VALUE"""),175.69)</f>
        <v>175.69</v>
      </c>
      <c r="C77" s="6">
        <f>IFERROR(__xludf.DUMMYFUNCTION("""COMPUTED_VALUE"""),186.58)</f>
        <v>186.58</v>
      </c>
      <c r="D77" s="6">
        <f>IFERROR(__xludf.DUMMYFUNCTION("""COMPUTED_VALUE"""),162.77)</f>
        <v>162.77</v>
      </c>
      <c r="E77" s="6">
        <f>IFERROR(__xludf.DUMMYFUNCTION("""COMPUTED_VALUE"""),167.26)</f>
        <v>167.26</v>
      </c>
      <c r="F77" s="6">
        <f>IFERROR(__xludf.DUMMYFUNCTION("""COMPUTED_VALUE"""),1.55027732E8)</f>
        <v>155027732</v>
      </c>
    </row>
    <row r="78">
      <c r="A78" s="7">
        <f>IFERROR(__xludf.DUMMYFUNCTION("""COMPUTED_VALUE"""),45828.64583333333)</f>
        <v>45828.64583</v>
      </c>
      <c r="B78" s="6">
        <f>IFERROR(__xludf.DUMMYFUNCTION("""COMPUTED_VALUE"""),168.0)</f>
        <v>168</v>
      </c>
      <c r="C78" s="6">
        <f>IFERROR(__xludf.DUMMYFUNCTION("""COMPUTED_VALUE"""),170.09)</f>
        <v>170.09</v>
      </c>
      <c r="D78" s="6">
        <f>IFERROR(__xludf.DUMMYFUNCTION("""COMPUTED_VALUE"""),158.05)</f>
        <v>158.05</v>
      </c>
      <c r="E78" s="6">
        <f>IFERROR(__xludf.DUMMYFUNCTION("""COMPUTED_VALUE"""),165.07)</f>
        <v>165.07</v>
      </c>
      <c r="F78" s="6">
        <f>IFERROR(__xludf.DUMMYFUNCTION("""COMPUTED_VALUE"""),8.6018121E7)</f>
        <v>86018121</v>
      </c>
    </row>
    <row r="79">
      <c r="A79" s="7">
        <f>IFERROR(__xludf.DUMMYFUNCTION("""COMPUTED_VALUE"""),45835.64583333333)</f>
        <v>45835.64583</v>
      </c>
      <c r="B79" s="6">
        <f>IFERROR(__xludf.DUMMYFUNCTION("""COMPUTED_VALUE"""),162.99)</f>
        <v>162.99</v>
      </c>
      <c r="C79" s="6">
        <f>IFERROR(__xludf.DUMMYFUNCTION("""COMPUTED_VALUE"""),173.1)</f>
        <v>173.1</v>
      </c>
      <c r="D79" s="6">
        <f>IFERROR(__xludf.DUMMYFUNCTION("""COMPUTED_VALUE"""),162.5)</f>
        <v>162.5</v>
      </c>
      <c r="E79" s="6">
        <f>IFERROR(__xludf.DUMMYFUNCTION("""COMPUTED_VALUE"""),169.5)</f>
        <v>169.5</v>
      </c>
      <c r="F79" s="6">
        <f>IFERROR(__xludf.DUMMYFUNCTION("""COMPUTED_VALUE"""),6.7896713E7)</f>
        <v>67896713</v>
      </c>
    </row>
    <row r="80">
      <c r="A80" s="7">
        <f>IFERROR(__xludf.DUMMYFUNCTION("""COMPUTED_VALUE"""),45842.64583333333)</f>
        <v>45842.64583</v>
      </c>
      <c r="B80" s="6">
        <f>IFERROR(__xludf.DUMMYFUNCTION("""COMPUTED_VALUE"""),170.26)</f>
        <v>170.26</v>
      </c>
      <c r="C80" s="6">
        <f>IFERROR(__xludf.DUMMYFUNCTION("""COMPUTED_VALUE"""),174.6)</f>
        <v>174.6</v>
      </c>
      <c r="D80" s="6">
        <f>IFERROR(__xludf.DUMMYFUNCTION("""COMPUTED_VALUE"""),165.53)</f>
        <v>165.53</v>
      </c>
      <c r="E80" s="6">
        <f>IFERROR(__xludf.DUMMYFUNCTION("""COMPUTED_VALUE"""),166.67)</f>
        <v>166.67</v>
      </c>
      <c r="F80" s="6">
        <f>IFERROR(__xludf.DUMMYFUNCTION("""COMPUTED_VALUE"""),4.392832E7)</f>
        <v>43928320</v>
      </c>
    </row>
    <row r="81">
      <c r="A81" s="7">
        <f>IFERROR(__xludf.DUMMYFUNCTION("""COMPUTED_VALUE"""),45849.64583333333)</f>
        <v>45849.64583</v>
      </c>
      <c r="B81" s="6">
        <f>IFERROR(__xludf.DUMMYFUNCTION("""COMPUTED_VALUE"""),166.67)</f>
        <v>166.67</v>
      </c>
      <c r="C81" s="6">
        <f>IFERROR(__xludf.DUMMYFUNCTION("""COMPUTED_VALUE"""),170.16)</f>
        <v>170.16</v>
      </c>
      <c r="D81" s="6">
        <f>IFERROR(__xludf.DUMMYFUNCTION("""COMPUTED_VALUE"""),159.75)</f>
        <v>159.75</v>
      </c>
      <c r="E81" s="6">
        <f>IFERROR(__xludf.DUMMYFUNCTION("""COMPUTED_VALUE"""),160.0)</f>
        <v>160</v>
      </c>
      <c r="F81" s="6">
        <f>IFERROR(__xludf.DUMMYFUNCTION("""COMPUTED_VALUE"""),7.8955273E7)</f>
        <v>78955273</v>
      </c>
    </row>
    <row r="82">
      <c r="A82" s="7">
        <f>IFERROR(__xludf.DUMMYFUNCTION("""COMPUTED_VALUE"""),45856.64583333333)</f>
        <v>45856.64583</v>
      </c>
      <c r="B82" s="6">
        <f>IFERROR(__xludf.DUMMYFUNCTION("""COMPUTED_VALUE"""),160.0)</f>
        <v>160</v>
      </c>
      <c r="C82" s="6">
        <f>IFERROR(__xludf.DUMMYFUNCTION("""COMPUTED_VALUE"""),160.8)</f>
        <v>160.8</v>
      </c>
      <c r="D82" s="6">
        <f>IFERROR(__xludf.DUMMYFUNCTION("""COMPUTED_VALUE"""),156.5)</f>
        <v>156.5</v>
      </c>
      <c r="E82" s="6">
        <f>IFERROR(__xludf.DUMMYFUNCTION("""COMPUTED_VALUE"""),157.39)</f>
        <v>157.39</v>
      </c>
      <c r="F82" s="6">
        <f>IFERROR(__xludf.DUMMYFUNCTION("""COMPUTED_VALUE"""),3.4183257E7)</f>
        <v>34183257</v>
      </c>
    </row>
    <row r="83">
      <c r="A83" s="7">
        <f>IFERROR(__xludf.DUMMYFUNCTION("""COMPUTED_VALUE"""),45863.64583333333)</f>
        <v>45863.64583</v>
      </c>
      <c r="B83" s="6">
        <f>IFERROR(__xludf.DUMMYFUNCTION("""COMPUTED_VALUE"""),157.39)</f>
        <v>157.39</v>
      </c>
      <c r="C83" s="6">
        <f>IFERROR(__xludf.DUMMYFUNCTION("""COMPUTED_VALUE"""),158.49)</f>
        <v>158.49</v>
      </c>
      <c r="D83" s="6">
        <f>IFERROR(__xludf.DUMMYFUNCTION("""COMPUTED_VALUE"""),153.0)</f>
        <v>153</v>
      </c>
      <c r="E83" s="6">
        <f>IFERROR(__xludf.DUMMYFUNCTION("""COMPUTED_VALUE"""),153.25)</f>
        <v>153.25</v>
      </c>
      <c r="F83" s="6">
        <f>IFERROR(__xludf.DUMMYFUNCTION("""COMPUTED_VALUE"""),2.4691313E7)</f>
        <v>24691313</v>
      </c>
    </row>
    <row r="84">
      <c r="A84" s="7">
        <f>IFERROR(__xludf.DUMMYFUNCTION("""COMPUTED_VALUE"""),45870.64583333333)</f>
        <v>45870.64583</v>
      </c>
      <c r="B84" s="6">
        <f>IFERROR(__xludf.DUMMYFUNCTION("""COMPUTED_VALUE"""),153.25)</f>
        <v>153.25</v>
      </c>
      <c r="C84" s="6">
        <f>IFERROR(__xludf.DUMMYFUNCTION("""COMPUTED_VALUE"""),155.79)</f>
        <v>155.79</v>
      </c>
      <c r="D84" s="6">
        <f>IFERROR(__xludf.DUMMYFUNCTION("""COMPUTED_VALUE"""),145.0)</f>
        <v>145</v>
      </c>
      <c r="E84" s="6">
        <f>IFERROR(__xludf.DUMMYFUNCTION("""COMPUTED_VALUE"""),145.69)</f>
        <v>145.69</v>
      </c>
      <c r="F84" s="6">
        <f>IFERROR(__xludf.DUMMYFUNCTION("""COMPUTED_VALUE"""),3.1663522E7)</f>
        <v>31663522</v>
      </c>
    </row>
    <row r="85">
      <c r="A85" s="7">
        <f>IFERROR(__xludf.DUMMYFUNCTION("""COMPUTED_VALUE"""),45877.64583333333)</f>
        <v>45877.64583</v>
      </c>
      <c r="B85" s="6">
        <f>IFERROR(__xludf.DUMMYFUNCTION("""COMPUTED_VALUE"""),146.5)</f>
        <v>146.5</v>
      </c>
      <c r="C85" s="6">
        <f>IFERROR(__xludf.DUMMYFUNCTION("""COMPUTED_VALUE"""),149.0)</f>
        <v>149</v>
      </c>
      <c r="D85" s="6">
        <f>IFERROR(__xludf.DUMMYFUNCTION("""COMPUTED_VALUE"""),140.26)</f>
        <v>140.26</v>
      </c>
      <c r="E85" s="6">
        <f>IFERROR(__xludf.DUMMYFUNCTION("""COMPUTED_VALUE"""),142.32)</f>
        <v>142.32</v>
      </c>
      <c r="F85" s="6">
        <f>IFERROR(__xludf.DUMMYFUNCTION("""COMPUTED_VALUE"""),2.5213297E7)</f>
        <v>25213297</v>
      </c>
    </row>
    <row r="86">
      <c r="A86" s="7">
        <f>IFERROR(__xludf.DUMMYFUNCTION("""COMPUTED_VALUE"""),45883.64583333333)</f>
        <v>45883.64583</v>
      </c>
      <c r="B86" s="6">
        <f>IFERROR(__xludf.DUMMYFUNCTION("""COMPUTED_VALUE"""),142.6)</f>
        <v>142.6</v>
      </c>
      <c r="C86" s="6">
        <f>IFERROR(__xludf.DUMMYFUNCTION("""COMPUTED_VALUE"""),145.94)</f>
        <v>145.94</v>
      </c>
      <c r="D86" s="6">
        <f>IFERROR(__xludf.DUMMYFUNCTION("""COMPUTED_VALUE"""),141.55)</f>
        <v>141.55</v>
      </c>
      <c r="E86" s="6">
        <f>IFERROR(__xludf.DUMMYFUNCTION("""COMPUTED_VALUE"""),143.86)</f>
        <v>143.86</v>
      </c>
      <c r="F86" s="6">
        <f>IFERROR(__xludf.DUMMYFUNCTION("""COMPUTED_VALUE"""),1.3316606E7)</f>
        <v>13316606</v>
      </c>
    </row>
    <row r="87">
      <c r="A87" s="7">
        <f>IFERROR(__xludf.DUMMYFUNCTION("""COMPUTED_VALUE"""),45891.64583333333)</f>
        <v>45891.64583</v>
      </c>
      <c r="B87" s="6">
        <f>IFERROR(__xludf.DUMMYFUNCTION("""COMPUTED_VALUE"""),145.54)</f>
        <v>145.54</v>
      </c>
      <c r="C87" s="6">
        <f>IFERROR(__xludf.DUMMYFUNCTION("""COMPUTED_VALUE"""),151.99)</f>
        <v>151.99</v>
      </c>
      <c r="D87" s="6">
        <f>IFERROR(__xludf.DUMMYFUNCTION("""COMPUTED_VALUE"""),144.9)</f>
        <v>144.9</v>
      </c>
      <c r="E87" s="6">
        <f>IFERROR(__xludf.DUMMYFUNCTION("""COMPUTED_VALUE"""),147.48)</f>
        <v>147.48</v>
      </c>
      <c r="F87" s="6">
        <f>IFERROR(__xludf.DUMMYFUNCTION("""COMPUTED_VALUE"""),2.5062666E7)</f>
        <v>25062666</v>
      </c>
    </row>
    <row r="88">
      <c r="A88" s="7">
        <f>IFERROR(__xludf.DUMMYFUNCTION("""COMPUTED_VALUE"""),45895.64583333333)</f>
        <v>45895.64583</v>
      </c>
      <c r="B88" s="6">
        <f>IFERROR(__xludf.DUMMYFUNCTION("""COMPUTED_VALUE"""),147.98)</f>
        <v>147.98</v>
      </c>
      <c r="C88" s="6">
        <f>IFERROR(__xludf.DUMMYFUNCTION("""COMPUTED_VALUE"""),149.48)</f>
        <v>149.48</v>
      </c>
      <c r="D88" s="6">
        <f>IFERROR(__xludf.DUMMYFUNCTION("""COMPUTED_VALUE"""),143.8)</f>
        <v>143.8</v>
      </c>
      <c r="E88" s="6">
        <f>IFERROR(__xludf.DUMMYFUNCTION("""COMPUTED_VALUE"""),144.17)</f>
        <v>144.17</v>
      </c>
      <c r="F88" s="6">
        <f>IFERROR(__xludf.DUMMYFUNCTION("""COMPUTED_VALUE"""),8.1683569E7)</f>
        <v>81683569</v>
      </c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IFERROR(__xludf.DUMMYFUNCTION("GOOGLEFINANCE(""NSE:IRFC"",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IFERROR(__xludf.DUMMYFUNCTION("""COMPUTED_VALUE"""),48.9)</f>
        <v>48.9</v>
      </c>
      <c r="C2" s="6">
        <f>IFERROR(__xludf.DUMMYFUNCTION("""COMPUTED_VALUE"""),56.5)</f>
        <v>56.5</v>
      </c>
      <c r="D2" s="6">
        <f>IFERROR(__xludf.DUMMYFUNCTION("""COMPUTED_VALUE"""),48.5)</f>
        <v>48.5</v>
      </c>
      <c r="E2" s="6">
        <f>IFERROR(__xludf.DUMMYFUNCTION("""COMPUTED_VALUE"""),55.75)</f>
        <v>55.75</v>
      </c>
      <c r="F2" s="6">
        <f>IFERROR(__xludf.DUMMYFUNCTION("""COMPUTED_VALUE"""),4.80810904E8)</f>
        <v>480810904</v>
      </c>
    </row>
    <row r="3">
      <c r="A3" s="7">
        <f>IFERROR(__xludf.DUMMYFUNCTION("""COMPUTED_VALUE"""),45177.64583333333)</f>
        <v>45177.64583</v>
      </c>
      <c r="B3" s="6">
        <f>IFERROR(__xludf.DUMMYFUNCTION("""COMPUTED_VALUE"""),57.7)</f>
        <v>57.7</v>
      </c>
      <c r="C3" s="6">
        <f>IFERROR(__xludf.DUMMYFUNCTION("""COMPUTED_VALUE"""),77.95)</f>
        <v>77.95</v>
      </c>
      <c r="D3" s="6">
        <f>IFERROR(__xludf.DUMMYFUNCTION("""COMPUTED_VALUE"""),57.15)</f>
        <v>57.15</v>
      </c>
      <c r="E3" s="6">
        <f>IFERROR(__xludf.DUMMYFUNCTION("""COMPUTED_VALUE"""),77.1)</f>
        <v>77.1</v>
      </c>
      <c r="F3" s="6">
        <f>IFERROR(__xludf.DUMMYFUNCTION("""COMPUTED_VALUE"""),1.663940194E9)</f>
        <v>1663940194</v>
      </c>
    </row>
    <row r="4">
      <c r="A4" s="7">
        <f>IFERROR(__xludf.DUMMYFUNCTION("""COMPUTED_VALUE"""),45184.64583333333)</f>
        <v>45184.64583</v>
      </c>
      <c r="B4" s="6">
        <f>IFERROR(__xludf.DUMMYFUNCTION("""COMPUTED_VALUE"""),81.7)</f>
        <v>81.7</v>
      </c>
      <c r="C4" s="6">
        <f>IFERROR(__xludf.DUMMYFUNCTION("""COMPUTED_VALUE"""),92.35)</f>
        <v>92.35</v>
      </c>
      <c r="D4" s="6">
        <f>IFERROR(__xludf.DUMMYFUNCTION("""COMPUTED_VALUE"""),75.4)</f>
        <v>75.4</v>
      </c>
      <c r="E4" s="6">
        <f>IFERROR(__xludf.DUMMYFUNCTION("""COMPUTED_VALUE"""),79.35)</f>
        <v>79.35</v>
      </c>
      <c r="F4" s="6">
        <f>IFERROR(__xludf.DUMMYFUNCTION("""COMPUTED_VALUE"""),1.010343447E9)</f>
        <v>1010343447</v>
      </c>
    </row>
    <row r="5">
      <c r="A5" s="7">
        <f>IFERROR(__xludf.DUMMYFUNCTION("""COMPUTED_VALUE"""),45191.64583333333)</f>
        <v>45191.64583</v>
      </c>
      <c r="B5" s="6">
        <f>IFERROR(__xludf.DUMMYFUNCTION("""COMPUTED_VALUE"""),79.7)</f>
        <v>79.7</v>
      </c>
      <c r="C5" s="6">
        <f>IFERROR(__xludf.DUMMYFUNCTION("""COMPUTED_VALUE"""),79.7)</f>
        <v>79.7</v>
      </c>
      <c r="D5" s="6">
        <f>IFERROR(__xludf.DUMMYFUNCTION("""COMPUTED_VALUE"""),71.35)</f>
        <v>71.35</v>
      </c>
      <c r="E5" s="6">
        <f>IFERROR(__xludf.DUMMYFUNCTION("""COMPUTED_VALUE"""),75.1)</f>
        <v>75.1</v>
      </c>
      <c r="F5" s="6">
        <f>IFERROR(__xludf.DUMMYFUNCTION("""COMPUTED_VALUE"""),2.97599965E8)</f>
        <v>297599965</v>
      </c>
    </row>
    <row r="6">
      <c r="A6" s="7">
        <f>IFERROR(__xludf.DUMMYFUNCTION("""COMPUTED_VALUE"""),45198.64583333333)</f>
        <v>45198.64583</v>
      </c>
      <c r="B6" s="6">
        <f>IFERROR(__xludf.DUMMYFUNCTION("""COMPUTED_VALUE"""),76.15)</f>
        <v>76.15</v>
      </c>
      <c r="C6" s="6">
        <f>IFERROR(__xludf.DUMMYFUNCTION("""COMPUTED_VALUE"""),78.7)</f>
        <v>78.7</v>
      </c>
      <c r="D6" s="6">
        <f>IFERROR(__xludf.DUMMYFUNCTION("""COMPUTED_VALUE"""),74.5)</f>
        <v>74.5</v>
      </c>
      <c r="E6" s="6">
        <f>IFERROR(__xludf.DUMMYFUNCTION("""COMPUTED_VALUE"""),76.55)</f>
        <v>76.55</v>
      </c>
      <c r="F6" s="6">
        <f>IFERROR(__xludf.DUMMYFUNCTION("""COMPUTED_VALUE"""),2.1487777E8)</f>
        <v>214877770</v>
      </c>
    </row>
    <row r="7">
      <c r="A7" s="7">
        <f>IFERROR(__xludf.DUMMYFUNCTION("""COMPUTED_VALUE"""),45205.64583333333)</f>
        <v>45205.64583</v>
      </c>
      <c r="B7" s="6">
        <f>IFERROR(__xludf.DUMMYFUNCTION("""COMPUTED_VALUE"""),76.85)</f>
        <v>76.85</v>
      </c>
      <c r="C7" s="6">
        <f>IFERROR(__xludf.DUMMYFUNCTION("""COMPUTED_VALUE"""),77.8)</f>
        <v>77.8</v>
      </c>
      <c r="D7" s="6">
        <f>IFERROR(__xludf.DUMMYFUNCTION("""COMPUTED_VALUE"""),73.8)</f>
        <v>73.8</v>
      </c>
      <c r="E7" s="6">
        <f>IFERROR(__xludf.DUMMYFUNCTION("""COMPUTED_VALUE"""),74.85)</f>
        <v>74.85</v>
      </c>
      <c r="F7" s="6">
        <f>IFERROR(__xludf.DUMMYFUNCTION("""COMPUTED_VALUE"""),1.15311857E8)</f>
        <v>115311857</v>
      </c>
    </row>
    <row r="8">
      <c r="A8" s="7">
        <f>IFERROR(__xludf.DUMMYFUNCTION("""COMPUTED_VALUE"""),45212.64583333333)</f>
        <v>45212.64583</v>
      </c>
      <c r="B8" s="6">
        <f>IFERROR(__xludf.DUMMYFUNCTION("""COMPUTED_VALUE"""),72.65)</f>
        <v>72.65</v>
      </c>
      <c r="C8" s="6">
        <f>IFERROR(__xludf.DUMMYFUNCTION("""COMPUTED_VALUE"""),78.35)</f>
        <v>78.35</v>
      </c>
      <c r="D8" s="6">
        <f>IFERROR(__xludf.DUMMYFUNCTION("""COMPUTED_VALUE"""),70.35)</f>
        <v>70.35</v>
      </c>
      <c r="E8" s="6">
        <f>IFERROR(__xludf.DUMMYFUNCTION("""COMPUTED_VALUE"""),76.6)</f>
        <v>76.6</v>
      </c>
      <c r="F8" s="6">
        <f>IFERROR(__xludf.DUMMYFUNCTION("""COMPUTED_VALUE"""),2.70374044E8)</f>
        <v>270374044</v>
      </c>
    </row>
    <row r="9">
      <c r="A9" s="7">
        <f>IFERROR(__xludf.DUMMYFUNCTION("""COMPUTED_VALUE"""),45219.64583333333)</f>
        <v>45219.64583</v>
      </c>
      <c r="B9" s="6">
        <f>IFERROR(__xludf.DUMMYFUNCTION("""COMPUTED_VALUE"""),77.2)</f>
        <v>77.2</v>
      </c>
      <c r="C9" s="6">
        <f>IFERROR(__xludf.DUMMYFUNCTION("""COMPUTED_VALUE"""),80.8)</f>
        <v>80.8</v>
      </c>
      <c r="D9" s="6">
        <f>IFERROR(__xludf.DUMMYFUNCTION("""COMPUTED_VALUE"""),75.8)</f>
        <v>75.8</v>
      </c>
      <c r="E9" s="6">
        <f>IFERROR(__xludf.DUMMYFUNCTION("""COMPUTED_VALUE"""),77.05)</f>
        <v>77.05</v>
      </c>
      <c r="F9" s="6">
        <f>IFERROR(__xludf.DUMMYFUNCTION("""COMPUTED_VALUE"""),3.07507619E8)</f>
        <v>307507619</v>
      </c>
    </row>
    <row r="10">
      <c r="A10" s="7">
        <f>IFERROR(__xludf.DUMMYFUNCTION("""COMPUTED_VALUE"""),45226.64583333333)</f>
        <v>45226.64583</v>
      </c>
      <c r="B10" s="6">
        <f>IFERROR(__xludf.DUMMYFUNCTION("""COMPUTED_VALUE"""),77.5)</f>
        <v>77.5</v>
      </c>
      <c r="C10" s="6">
        <f>IFERROR(__xludf.DUMMYFUNCTION("""COMPUTED_VALUE"""),77.95)</f>
        <v>77.95</v>
      </c>
      <c r="D10" s="6">
        <f>IFERROR(__xludf.DUMMYFUNCTION("""COMPUTED_VALUE"""),65.75)</f>
        <v>65.75</v>
      </c>
      <c r="E10" s="6">
        <f>IFERROR(__xludf.DUMMYFUNCTION("""COMPUTED_VALUE"""),71.95)</f>
        <v>71.95</v>
      </c>
      <c r="F10" s="6">
        <f>IFERROR(__xludf.DUMMYFUNCTION("""COMPUTED_VALUE"""),3.07783891E8)</f>
        <v>307783891</v>
      </c>
    </row>
    <row r="11">
      <c r="A11" s="7">
        <f>IFERROR(__xludf.DUMMYFUNCTION("""COMPUTED_VALUE"""),45233.64583333333)</f>
        <v>45233.64583</v>
      </c>
      <c r="B11" s="6">
        <f>IFERROR(__xludf.DUMMYFUNCTION("""COMPUTED_VALUE"""),72.45)</f>
        <v>72.45</v>
      </c>
      <c r="C11" s="6">
        <f>IFERROR(__xludf.DUMMYFUNCTION("""COMPUTED_VALUE"""),74.55)</f>
        <v>74.55</v>
      </c>
      <c r="D11" s="6">
        <f>IFERROR(__xludf.DUMMYFUNCTION("""COMPUTED_VALUE"""),69.9)</f>
        <v>69.9</v>
      </c>
      <c r="E11" s="6">
        <f>IFERROR(__xludf.DUMMYFUNCTION("""COMPUTED_VALUE"""),72.15)</f>
        <v>72.15</v>
      </c>
      <c r="F11" s="6">
        <f>IFERROR(__xludf.DUMMYFUNCTION("""COMPUTED_VALUE"""),1.64737377E8)</f>
        <v>164737377</v>
      </c>
    </row>
    <row r="12">
      <c r="A12" s="7">
        <f>IFERROR(__xludf.DUMMYFUNCTION("""COMPUTED_VALUE"""),45240.64583333333)</f>
        <v>45240.64583</v>
      </c>
      <c r="B12" s="6">
        <f>IFERROR(__xludf.DUMMYFUNCTION("""COMPUTED_VALUE"""),73.1)</f>
        <v>73.1</v>
      </c>
      <c r="C12" s="6">
        <f>IFERROR(__xludf.DUMMYFUNCTION("""COMPUTED_VALUE"""),76.9)</f>
        <v>76.9</v>
      </c>
      <c r="D12" s="6">
        <f>IFERROR(__xludf.DUMMYFUNCTION("""COMPUTED_VALUE"""),72.65)</f>
        <v>72.65</v>
      </c>
      <c r="E12" s="6">
        <f>IFERROR(__xludf.DUMMYFUNCTION("""COMPUTED_VALUE"""),74.1)</f>
        <v>74.1</v>
      </c>
      <c r="F12" s="6">
        <f>IFERROR(__xludf.DUMMYFUNCTION("""COMPUTED_VALUE"""),1.78638451E8)</f>
        <v>178638451</v>
      </c>
    </row>
    <row r="13">
      <c r="A13" s="7">
        <f>IFERROR(__xludf.DUMMYFUNCTION("""COMPUTED_VALUE"""),45247.64583333333)</f>
        <v>45247.64583</v>
      </c>
      <c r="B13" s="6">
        <f>IFERROR(__xludf.DUMMYFUNCTION("""COMPUTED_VALUE"""),74.9)</f>
        <v>74.9</v>
      </c>
      <c r="C13" s="6">
        <f>IFERROR(__xludf.DUMMYFUNCTION("""COMPUTED_VALUE"""),77.6)</f>
        <v>77.6</v>
      </c>
      <c r="D13" s="6">
        <f>IFERROR(__xludf.DUMMYFUNCTION("""COMPUTED_VALUE"""),72.7)</f>
        <v>72.7</v>
      </c>
      <c r="E13" s="6">
        <f>IFERROR(__xludf.DUMMYFUNCTION("""COMPUTED_VALUE"""),76.9)</f>
        <v>76.9</v>
      </c>
      <c r="F13" s="6">
        <f>IFERROR(__xludf.DUMMYFUNCTION("""COMPUTED_VALUE"""),1.8155567E8)</f>
        <v>181555670</v>
      </c>
    </row>
    <row r="14">
      <c r="A14" s="7">
        <f>IFERROR(__xludf.DUMMYFUNCTION("""COMPUTED_VALUE"""),45254.64583333333)</f>
        <v>45254.64583</v>
      </c>
      <c r="B14" s="6">
        <f>IFERROR(__xludf.DUMMYFUNCTION("""COMPUTED_VALUE"""),77.4)</f>
        <v>77.4</v>
      </c>
      <c r="C14" s="6">
        <f>IFERROR(__xludf.DUMMYFUNCTION("""COMPUTED_VALUE"""),78.5)</f>
        <v>78.5</v>
      </c>
      <c r="D14" s="6">
        <f>IFERROR(__xludf.DUMMYFUNCTION("""COMPUTED_VALUE"""),75.5)</f>
        <v>75.5</v>
      </c>
      <c r="E14" s="6">
        <f>IFERROR(__xludf.DUMMYFUNCTION("""COMPUTED_VALUE"""),76.1)</f>
        <v>76.1</v>
      </c>
      <c r="F14" s="6">
        <f>IFERROR(__xludf.DUMMYFUNCTION("""COMPUTED_VALUE"""),1.76802133E8)</f>
        <v>176802133</v>
      </c>
    </row>
    <row r="15">
      <c r="A15" s="7">
        <f>IFERROR(__xludf.DUMMYFUNCTION("""COMPUTED_VALUE"""),45261.64583333333)</f>
        <v>45261.64583</v>
      </c>
      <c r="B15" s="6">
        <f>IFERROR(__xludf.DUMMYFUNCTION("""COMPUTED_VALUE"""),76.45)</f>
        <v>76.45</v>
      </c>
      <c r="C15" s="6">
        <f>IFERROR(__xludf.DUMMYFUNCTION("""COMPUTED_VALUE"""),77.25)</f>
        <v>77.25</v>
      </c>
      <c r="D15" s="6">
        <f>IFERROR(__xludf.DUMMYFUNCTION("""COMPUTED_VALUE"""),74.15)</f>
        <v>74.15</v>
      </c>
      <c r="E15" s="6">
        <f>IFERROR(__xludf.DUMMYFUNCTION("""COMPUTED_VALUE"""),75.4)</f>
        <v>75.4</v>
      </c>
      <c r="F15" s="6">
        <f>IFERROR(__xludf.DUMMYFUNCTION("""COMPUTED_VALUE"""),9.3130456E7)</f>
        <v>93130456</v>
      </c>
    </row>
    <row r="16">
      <c r="A16" s="7">
        <f>IFERROR(__xludf.DUMMYFUNCTION("""COMPUTED_VALUE"""),45268.64583333333)</f>
        <v>45268.64583</v>
      </c>
      <c r="B16" s="6">
        <f>IFERROR(__xludf.DUMMYFUNCTION("""COMPUTED_VALUE"""),78.0)</f>
        <v>78</v>
      </c>
      <c r="C16" s="6">
        <f>IFERROR(__xludf.DUMMYFUNCTION("""COMPUTED_VALUE"""),78.15)</f>
        <v>78.15</v>
      </c>
      <c r="D16" s="6">
        <f>IFERROR(__xludf.DUMMYFUNCTION("""COMPUTED_VALUE"""),74.6)</f>
        <v>74.6</v>
      </c>
      <c r="E16" s="6">
        <f>IFERROR(__xludf.DUMMYFUNCTION("""COMPUTED_VALUE"""),76.6)</f>
        <v>76.6</v>
      </c>
      <c r="F16" s="6">
        <f>IFERROR(__xludf.DUMMYFUNCTION("""COMPUTED_VALUE"""),1.78839189E8)</f>
        <v>178839189</v>
      </c>
    </row>
    <row r="17">
      <c r="A17" s="7">
        <f>IFERROR(__xludf.DUMMYFUNCTION("""COMPUTED_VALUE"""),45275.64583333333)</f>
        <v>45275.64583</v>
      </c>
      <c r="B17" s="6">
        <f>IFERROR(__xludf.DUMMYFUNCTION("""COMPUTED_VALUE"""),77.0)</f>
        <v>77</v>
      </c>
      <c r="C17" s="6">
        <f>IFERROR(__xludf.DUMMYFUNCTION("""COMPUTED_VALUE"""),100.8)</f>
        <v>100.8</v>
      </c>
      <c r="D17" s="6">
        <f>IFERROR(__xludf.DUMMYFUNCTION("""COMPUTED_VALUE"""),76.8)</f>
        <v>76.8</v>
      </c>
      <c r="E17" s="6">
        <f>IFERROR(__xludf.DUMMYFUNCTION("""COMPUTED_VALUE"""),94.7)</f>
        <v>94.7</v>
      </c>
      <c r="F17" s="6">
        <f>IFERROR(__xludf.DUMMYFUNCTION("""COMPUTED_VALUE"""),1.289852731E9)</f>
        <v>1289852731</v>
      </c>
    </row>
    <row r="18">
      <c r="A18" s="7">
        <f>IFERROR(__xludf.DUMMYFUNCTION("""COMPUTED_VALUE"""),45282.64583333333)</f>
        <v>45282.64583</v>
      </c>
      <c r="B18" s="6">
        <f>IFERROR(__xludf.DUMMYFUNCTION("""COMPUTED_VALUE"""),95.9)</f>
        <v>95.9</v>
      </c>
      <c r="C18" s="6">
        <f>IFERROR(__xludf.DUMMYFUNCTION("""COMPUTED_VALUE"""),104.1)</f>
        <v>104.1</v>
      </c>
      <c r="D18" s="6">
        <f>IFERROR(__xludf.DUMMYFUNCTION("""COMPUTED_VALUE"""),87.1)</f>
        <v>87.1</v>
      </c>
      <c r="E18" s="6">
        <f>IFERROR(__xludf.DUMMYFUNCTION("""COMPUTED_VALUE"""),97.75)</f>
        <v>97.75</v>
      </c>
      <c r="F18" s="6">
        <f>IFERROR(__xludf.DUMMYFUNCTION("""COMPUTED_VALUE"""),1.162501191E9)</f>
        <v>1162501191</v>
      </c>
    </row>
    <row r="19">
      <c r="A19" s="7">
        <f>IFERROR(__xludf.DUMMYFUNCTION("""COMPUTED_VALUE"""),45289.64583333333)</f>
        <v>45289.64583</v>
      </c>
      <c r="B19" s="6">
        <f>IFERROR(__xludf.DUMMYFUNCTION("""COMPUTED_VALUE"""),98.5)</f>
        <v>98.5</v>
      </c>
      <c r="C19" s="6">
        <f>IFERROR(__xludf.DUMMYFUNCTION("""COMPUTED_VALUE"""),100.5)</f>
        <v>100.5</v>
      </c>
      <c r="D19" s="6">
        <f>IFERROR(__xludf.DUMMYFUNCTION("""COMPUTED_VALUE"""),96.05)</f>
        <v>96.05</v>
      </c>
      <c r="E19" s="6">
        <f>IFERROR(__xludf.DUMMYFUNCTION("""COMPUTED_VALUE"""),99.35)</f>
        <v>99.35</v>
      </c>
      <c r="F19" s="6">
        <f>IFERROR(__xludf.DUMMYFUNCTION("""COMPUTED_VALUE"""),3.38823589E8)</f>
        <v>338823589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IFERROR(__xludf.DUMMYFUNCTION("""COMPUTED_VALUE"""),100.0)</f>
        <v>100</v>
      </c>
      <c r="C20" s="6">
        <f>IFERROR(__xludf.DUMMYFUNCTION("""COMPUTED_VALUE"""),103.6)</f>
        <v>103.6</v>
      </c>
      <c r="D20" s="6">
        <f>IFERROR(__xludf.DUMMYFUNCTION("""COMPUTED_VALUE"""),97.8)</f>
        <v>97.8</v>
      </c>
      <c r="E20" s="6">
        <f>IFERROR(__xludf.DUMMYFUNCTION("""COMPUTED_VALUE"""),100.75)</f>
        <v>100.75</v>
      </c>
      <c r="F20" s="6">
        <f>IFERROR(__xludf.DUMMYFUNCTION("""COMPUTED_VALUE"""),3.80096299E8)</f>
        <v>380096299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IFERROR(__xludf.DUMMYFUNCTION("""COMPUTED_VALUE"""),101.35)</f>
        <v>101.35</v>
      </c>
      <c r="C21" s="6">
        <f>IFERROR(__xludf.DUMMYFUNCTION("""COMPUTED_VALUE"""),114.0)</f>
        <v>114</v>
      </c>
      <c r="D21" s="6">
        <f>IFERROR(__xludf.DUMMYFUNCTION("""COMPUTED_VALUE"""),99.55)</f>
        <v>99.55</v>
      </c>
      <c r="E21" s="6">
        <f>IFERROR(__xludf.DUMMYFUNCTION("""COMPUTED_VALUE"""),113.4)</f>
        <v>113.4</v>
      </c>
      <c r="F21" s="6">
        <f>IFERROR(__xludf.DUMMYFUNCTION("""COMPUTED_VALUE"""),5.84691234E8)</f>
        <v>584691234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IFERROR(__xludf.DUMMYFUNCTION("""COMPUTED_VALUE"""),185.8)</f>
        <v>185.8</v>
      </c>
      <c r="C22" s="6">
        <f>IFERROR(__xludf.DUMMYFUNCTION("""COMPUTED_VALUE"""),192.8)</f>
        <v>192.8</v>
      </c>
      <c r="D22" s="6">
        <f>IFERROR(__xludf.DUMMYFUNCTION("""COMPUTED_VALUE"""),151.0)</f>
        <v>151</v>
      </c>
      <c r="E22" s="6">
        <f>IFERROR(__xludf.DUMMYFUNCTION("""COMPUTED_VALUE"""),173.85)</f>
        <v>173.85</v>
      </c>
      <c r="F22" s="6">
        <f>IFERROR(__xludf.DUMMYFUNCTION("""COMPUTED_VALUE"""),5.6729628E8)</f>
        <v>567296280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IFERROR(__xludf.DUMMYFUNCTION("""COMPUTED_VALUE"""),177.3)</f>
        <v>177.3</v>
      </c>
      <c r="C23" s="6">
        <f>IFERROR(__xludf.DUMMYFUNCTION("""COMPUTED_VALUE"""),183.25)</f>
        <v>183.25</v>
      </c>
      <c r="D23" s="6">
        <f>IFERROR(__xludf.DUMMYFUNCTION("""COMPUTED_VALUE"""),164.15)</f>
        <v>164.15</v>
      </c>
      <c r="E23" s="6">
        <f>IFERROR(__xludf.DUMMYFUNCTION("""COMPUTED_VALUE"""),168.95)</f>
        <v>168.95</v>
      </c>
      <c r="F23" s="6">
        <f>IFERROR(__xludf.DUMMYFUNCTION("""COMPUTED_VALUE"""),4.5556995E8)</f>
        <v>455569950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IFERROR(__xludf.DUMMYFUNCTION("""COMPUTED_VALUE"""),170.15)</f>
        <v>170.15</v>
      </c>
      <c r="C24" s="6">
        <f>IFERROR(__xludf.DUMMYFUNCTION("""COMPUTED_VALUE"""),170.2)</f>
        <v>170.2</v>
      </c>
      <c r="D24" s="6">
        <f>IFERROR(__xludf.DUMMYFUNCTION("""COMPUTED_VALUE"""),149.15)</f>
        <v>149.15</v>
      </c>
      <c r="E24" s="6">
        <f>IFERROR(__xludf.DUMMYFUNCTION("""COMPUTED_VALUE"""),153.7)</f>
        <v>153.7</v>
      </c>
      <c r="F24" s="6">
        <f>IFERROR(__xludf.DUMMYFUNCTION("""COMPUTED_VALUE"""),2.8625799E8)</f>
        <v>286257990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IFERROR(__xludf.DUMMYFUNCTION("""COMPUTED_VALUE"""),150.65)</f>
        <v>150.65</v>
      </c>
      <c r="C25" s="6">
        <f>IFERROR(__xludf.DUMMYFUNCTION("""COMPUTED_VALUE"""),161.5)</f>
        <v>161.5</v>
      </c>
      <c r="D25" s="6">
        <f>IFERROR(__xludf.DUMMYFUNCTION("""COMPUTED_VALUE"""),127.65)</f>
        <v>127.65</v>
      </c>
      <c r="E25" s="6">
        <f>IFERROR(__xludf.DUMMYFUNCTION("""COMPUTED_VALUE"""),155.45)</f>
        <v>155.45</v>
      </c>
      <c r="F25" s="6">
        <f>IFERROR(__xludf.DUMMYFUNCTION("""COMPUTED_VALUE"""),6.41134456E8)</f>
        <v>641134456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IFERROR(__xludf.DUMMYFUNCTION("""COMPUTED_VALUE"""),156.0)</f>
        <v>156</v>
      </c>
      <c r="C26" s="6">
        <f>IFERROR(__xludf.DUMMYFUNCTION("""COMPUTED_VALUE"""),164.35)</f>
        <v>164.35</v>
      </c>
      <c r="D26" s="6">
        <f>IFERROR(__xludf.DUMMYFUNCTION("""COMPUTED_VALUE"""),149.2)</f>
        <v>149.2</v>
      </c>
      <c r="E26" s="6">
        <f>IFERROR(__xludf.DUMMYFUNCTION("""COMPUTED_VALUE"""),153.2)</f>
        <v>153.2</v>
      </c>
      <c r="F26" s="6">
        <f>IFERROR(__xludf.DUMMYFUNCTION("""COMPUTED_VALUE"""),2.32858435E8)</f>
        <v>232858435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IFERROR(__xludf.DUMMYFUNCTION("""COMPUTED_VALUE"""),149.4)</f>
        <v>149.4</v>
      </c>
      <c r="C27" s="6">
        <f>IFERROR(__xludf.DUMMYFUNCTION("""COMPUTED_VALUE"""),149.5)</f>
        <v>149.5</v>
      </c>
      <c r="D27" s="6">
        <f>IFERROR(__xludf.DUMMYFUNCTION("""COMPUTED_VALUE"""),139.65)</f>
        <v>139.65</v>
      </c>
      <c r="E27" s="6">
        <f>IFERROR(__xludf.DUMMYFUNCTION("""COMPUTED_VALUE"""),143.7)</f>
        <v>143.7</v>
      </c>
      <c r="F27" s="6">
        <f>IFERROR(__xludf.DUMMYFUNCTION("""COMPUTED_VALUE"""),9.5292831E7)</f>
        <v>95292831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IFERROR(__xludf.DUMMYFUNCTION("""COMPUTED_VALUE"""),144.15)</f>
        <v>144.15</v>
      </c>
      <c r="C28" s="6">
        <f>IFERROR(__xludf.DUMMYFUNCTION("""COMPUTED_VALUE"""),147.25)</f>
        <v>147.25</v>
      </c>
      <c r="D28" s="6">
        <f>IFERROR(__xludf.DUMMYFUNCTION("""COMPUTED_VALUE"""),116.65)</f>
        <v>116.65</v>
      </c>
      <c r="E28" s="6">
        <f>IFERROR(__xludf.DUMMYFUNCTION("""COMPUTED_VALUE"""),136.95)</f>
        <v>136.95</v>
      </c>
      <c r="F28" s="6">
        <f>IFERROR(__xludf.DUMMYFUNCTION("""COMPUTED_VALUE"""),4.64794301E8)</f>
        <v>464794301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IFERROR(__xludf.DUMMYFUNCTION("""COMPUTED_VALUE"""),138.35)</f>
        <v>138.35</v>
      </c>
      <c r="C29" s="6">
        <f>IFERROR(__xludf.DUMMYFUNCTION("""COMPUTED_VALUE"""),145.2)</f>
        <v>145.2</v>
      </c>
      <c r="D29" s="6">
        <f>IFERROR(__xludf.DUMMYFUNCTION("""COMPUTED_VALUE"""),132.85)</f>
        <v>132.85</v>
      </c>
      <c r="E29" s="6">
        <f>IFERROR(__xludf.DUMMYFUNCTION("""COMPUTED_VALUE"""),140.95)</f>
        <v>140.95</v>
      </c>
      <c r="F29" s="6">
        <f>IFERROR(__xludf.DUMMYFUNCTION("""COMPUTED_VALUE"""),2.90398609E8)</f>
        <v>290398609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IFERROR(__xludf.DUMMYFUNCTION("""COMPUTED_VALUE"""),142.4)</f>
        <v>142.4</v>
      </c>
      <c r="C30" s="6">
        <f>IFERROR(__xludf.DUMMYFUNCTION("""COMPUTED_VALUE"""),150.95)</f>
        <v>150.95</v>
      </c>
      <c r="D30" s="6">
        <f>IFERROR(__xludf.DUMMYFUNCTION("""COMPUTED_VALUE"""),140.95)</f>
        <v>140.95</v>
      </c>
      <c r="E30" s="6">
        <f>IFERROR(__xludf.DUMMYFUNCTION("""COMPUTED_VALUE"""),142.35)</f>
        <v>142.35</v>
      </c>
      <c r="F30" s="6">
        <f>IFERROR(__xludf.DUMMYFUNCTION("""COMPUTED_VALUE"""),2.61761084E8)</f>
        <v>261761084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IFERROR(__xludf.DUMMYFUNCTION("""COMPUTED_VALUE"""),145.2)</f>
        <v>145.2</v>
      </c>
      <c r="C31" s="6">
        <f>IFERROR(__xludf.DUMMYFUNCTION("""COMPUTED_VALUE"""),149.4)</f>
        <v>149.4</v>
      </c>
      <c r="D31" s="6">
        <f>IFERROR(__xludf.DUMMYFUNCTION("""COMPUTED_VALUE"""),142.8)</f>
        <v>142.8</v>
      </c>
      <c r="E31" s="6">
        <f>IFERROR(__xludf.DUMMYFUNCTION("""COMPUTED_VALUE"""),147.85)</f>
        <v>147.85</v>
      </c>
      <c r="F31" s="6">
        <f>IFERROR(__xludf.DUMMYFUNCTION("""COMPUTED_VALUE"""),2.70330241E8)</f>
        <v>270330241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IFERROR(__xludf.DUMMYFUNCTION("""COMPUTED_VALUE"""),150.0)</f>
        <v>150</v>
      </c>
      <c r="C32" s="6">
        <f>IFERROR(__xludf.DUMMYFUNCTION("""COMPUTED_VALUE"""),152.5)</f>
        <v>152.5</v>
      </c>
      <c r="D32" s="6">
        <f>IFERROR(__xludf.DUMMYFUNCTION("""COMPUTED_VALUE"""),145.0)</f>
        <v>145</v>
      </c>
      <c r="E32" s="6">
        <f>IFERROR(__xludf.DUMMYFUNCTION("""COMPUTED_VALUE"""),145.3)</f>
        <v>145.3</v>
      </c>
      <c r="F32" s="6">
        <f>IFERROR(__xludf.DUMMYFUNCTION("""COMPUTED_VALUE"""),1.44038049E8)</f>
        <v>144038049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IFERROR(__xludf.DUMMYFUNCTION("""COMPUTED_VALUE"""),138.1)</f>
        <v>138.1</v>
      </c>
      <c r="C33" s="6">
        <f>IFERROR(__xludf.DUMMYFUNCTION("""COMPUTED_VALUE"""),145.45)</f>
        <v>145.45</v>
      </c>
      <c r="D33" s="6">
        <f>IFERROR(__xludf.DUMMYFUNCTION("""COMPUTED_VALUE"""),135.3)</f>
        <v>135.3</v>
      </c>
      <c r="E33" s="6">
        <f>IFERROR(__xludf.DUMMYFUNCTION("""COMPUTED_VALUE"""),141.0)</f>
        <v>141</v>
      </c>
      <c r="F33" s="6">
        <f>IFERROR(__xludf.DUMMYFUNCTION("""COMPUTED_VALUE"""),1.27461894E8)</f>
        <v>127461894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IFERROR(__xludf.DUMMYFUNCTION("""COMPUTED_VALUE"""),143.0)</f>
        <v>143</v>
      </c>
      <c r="C34" s="6">
        <f>IFERROR(__xludf.DUMMYFUNCTION("""COMPUTED_VALUE"""),159.0)</f>
        <v>159</v>
      </c>
      <c r="D34" s="6">
        <f>IFERROR(__xludf.DUMMYFUNCTION("""COMPUTED_VALUE"""),142.4)</f>
        <v>142.4</v>
      </c>
      <c r="E34" s="6">
        <f>IFERROR(__xludf.DUMMYFUNCTION("""COMPUTED_VALUE"""),158.05)</f>
        <v>158.05</v>
      </c>
      <c r="F34" s="6">
        <f>IFERROR(__xludf.DUMMYFUNCTION("""COMPUTED_VALUE"""),2.85205657E8)</f>
        <v>285205657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IFERROR(__xludf.DUMMYFUNCTION("""COMPUTED_VALUE"""),161.5)</f>
        <v>161.5</v>
      </c>
      <c r="C35" s="6">
        <f>IFERROR(__xludf.DUMMYFUNCTION("""COMPUTED_VALUE"""),164.2)</f>
        <v>164.2</v>
      </c>
      <c r="D35" s="6">
        <f>IFERROR(__xludf.DUMMYFUNCTION("""COMPUTED_VALUE"""),155.15)</f>
        <v>155.15</v>
      </c>
      <c r="E35" s="6">
        <f>IFERROR(__xludf.DUMMYFUNCTION("""COMPUTED_VALUE"""),157.0)</f>
        <v>157</v>
      </c>
      <c r="F35" s="6">
        <f>IFERROR(__xludf.DUMMYFUNCTION("""COMPUTED_VALUE"""),1.85923552E8)</f>
        <v>185923552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IFERROR(__xludf.DUMMYFUNCTION("""COMPUTED_VALUE"""),157.8)</f>
        <v>157.8</v>
      </c>
      <c r="C36" s="6">
        <f>IFERROR(__xludf.DUMMYFUNCTION("""COMPUTED_VALUE"""),158.2)</f>
        <v>158.2</v>
      </c>
      <c r="D36" s="6">
        <f>IFERROR(__xludf.DUMMYFUNCTION("""COMPUTED_VALUE"""),142.45)</f>
        <v>142.45</v>
      </c>
      <c r="E36" s="6">
        <f>IFERROR(__xludf.DUMMYFUNCTION("""COMPUTED_VALUE"""),148.05)</f>
        <v>148.05</v>
      </c>
      <c r="F36" s="6">
        <f>IFERROR(__xludf.DUMMYFUNCTION("""COMPUTED_VALUE"""),1.43809842E8)</f>
        <v>143809842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IFERROR(__xludf.DUMMYFUNCTION("""COMPUTED_VALUE"""),176.75)</f>
        <v>176.75</v>
      </c>
      <c r="C37" s="6">
        <f>IFERROR(__xludf.DUMMYFUNCTION("""COMPUTED_VALUE"""),191.65)</f>
        <v>191.65</v>
      </c>
      <c r="D37" s="6">
        <f>IFERROR(__xludf.DUMMYFUNCTION("""COMPUTED_VALUE"""),173.0)</f>
        <v>173</v>
      </c>
      <c r="E37" s="6">
        <f>IFERROR(__xludf.DUMMYFUNCTION("""COMPUTED_VALUE"""),184.0)</f>
        <v>184</v>
      </c>
      <c r="F37" s="6">
        <f>IFERROR(__xludf.DUMMYFUNCTION("""COMPUTED_VALUE"""),5.62401815E8)</f>
        <v>562401815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IFERROR(__xludf.DUMMYFUNCTION("""COMPUTED_VALUE"""),187.0)</f>
        <v>187</v>
      </c>
      <c r="C38" s="6">
        <f>IFERROR(__xludf.DUMMYFUNCTION("""COMPUTED_VALUE"""),192.8)</f>
        <v>192.8</v>
      </c>
      <c r="D38" s="6">
        <f>IFERROR(__xludf.DUMMYFUNCTION("""COMPUTED_VALUE"""),172.1)</f>
        <v>172.1</v>
      </c>
      <c r="E38" s="6">
        <f>IFERROR(__xludf.DUMMYFUNCTION("""COMPUTED_VALUE"""),177.8)</f>
        <v>177.8</v>
      </c>
      <c r="F38" s="6">
        <f>IFERROR(__xludf.DUMMYFUNCTION("""COMPUTED_VALUE"""),3.22003962E8)</f>
        <v>322003962</v>
      </c>
    </row>
    <row r="39">
      <c r="A39" s="7">
        <f>IFERROR(__xludf.DUMMYFUNCTION("""COMPUTED_VALUE"""),45450.64583333333)</f>
        <v>45450.64583</v>
      </c>
      <c r="B39" s="6">
        <f>IFERROR(__xludf.DUMMYFUNCTION("""COMPUTED_VALUE"""),200.0)</f>
        <v>200</v>
      </c>
      <c r="C39" s="6">
        <f>IFERROR(__xludf.DUMMYFUNCTION("""COMPUTED_VALUE"""),200.0)</f>
        <v>200</v>
      </c>
      <c r="D39" s="6">
        <f>IFERROR(__xludf.DUMMYFUNCTION("""COMPUTED_VALUE"""),151.2)</f>
        <v>151.2</v>
      </c>
      <c r="E39" s="6">
        <f>IFERROR(__xludf.DUMMYFUNCTION("""COMPUTED_VALUE"""),173.6)</f>
        <v>173.6</v>
      </c>
      <c r="F39" s="6">
        <f>IFERROR(__xludf.DUMMYFUNCTION("""COMPUTED_VALUE"""),5.40168154E8)</f>
        <v>540168154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IFERROR(__xludf.DUMMYFUNCTION("""COMPUTED_VALUE"""),176.55)</f>
        <v>176.55</v>
      </c>
      <c r="C40" s="6">
        <f>IFERROR(__xludf.DUMMYFUNCTION("""COMPUTED_VALUE"""),179.3)</f>
        <v>179.3</v>
      </c>
      <c r="D40" s="6">
        <f>IFERROR(__xludf.DUMMYFUNCTION("""COMPUTED_VALUE"""),172.0)</f>
        <v>172</v>
      </c>
      <c r="E40" s="6">
        <f>IFERROR(__xludf.DUMMYFUNCTION("""COMPUTED_VALUE"""),174.8)</f>
        <v>174.8</v>
      </c>
      <c r="F40" s="6">
        <f>IFERROR(__xludf.DUMMYFUNCTION("""COMPUTED_VALUE"""),2.20861701E8)</f>
        <v>220861701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IFERROR(__xludf.DUMMYFUNCTION("""COMPUTED_VALUE"""),176.0)</f>
        <v>176</v>
      </c>
      <c r="C41" s="6">
        <f>IFERROR(__xludf.DUMMYFUNCTION("""COMPUTED_VALUE"""),180.5)</f>
        <v>180.5</v>
      </c>
      <c r="D41" s="6">
        <f>IFERROR(__xludf.DUMMYFUNCTION("""COMPUTED_VALUE"""),171.33)</f>
        <v>171.33</v>
      </c>
      <c r="E41" s="6">
        <f>IFERROR(__xludf.DUMMYFUNCTION("""COMPUTED_VALUE"""),176.32)</f>
        <v>176.32</v>
      </c>
      <c r="F41" s="6">
        <f>IFERROR(__xludf.DUMMYFUNCTION("""COMPUTED_VALUE"""),1.79777792E8)</f>
        <v>179777792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IFERROR(__xludf.DUMMYFUNCTION("""COMPUTED_VALUE"""),176.0)</f>
        <v>176</v>
      </c>
      <c r="C42" s="6">
        <f>IFERROR(__xludf.DUMMYFUNCTION("""COMPUTED_VALUE"""),180.99)</f>
        <v>180.99</v>
      </c>
      <c r="D42" s="6">
        <f>IFERROR(__xludf.DUMMYFUNCTION("""COMPUTED_VALUE"""),172.5)</f>
        <v>172.5</v>
      </c>
      <c r="E42" s="6">
        <f>IFERROR(__xludf.DUMMYFUNCTION("""COMPUTED_VALUE"""),173.81)</f>
        <v>173.81</v>
      </c>
      <c r="F42" s="6">
        <f>IFERROR(__xludf.DUMMYFUNCTION("""COMPUTED_VALUE"""),1.48028089E8)</f>
        <v>148028089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IFERROR(__xludf.DUMMYFUNCTION("""COMPUTED_VALUE"""),173.79)</f>
        <v>173.79</v>
      </c>
      <c r="C43" s="6">
        <f>IFERROR(__xludf.DUMMYFUNCTION("""COMPUTED_VALUE"""),191.5)</f>
        <v>191.5</v>
      </c>
      <c r="D43" s="6">
        <f>IFERROR(__xludf.DUMMYFUNCTION("""COMPUTED_VALUE"""),170.01)</f>
        <v>170.01</v>
      </c>
      <c r="E43" s="6">
        <f>IFERROR(__xludf.DUMMYFUNCTION("""COMPUTED_VALUE"""),188.23)</f>
        <v>188.23</v>
      </c>
      <c r="F43" s="6">
        <f>IFERROR(__xludf.DUMMYFUNCTION("""COMPUTED_VALUE"""),3.40150588E8)</f>
        <v>340150588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IFERROR(__xludf.DUMMYFUNCTION("""COMPUTED_VALUE"""),193.5)</f>
        <v>193.5</v>
      </c>
      <c r="C44" s="6">
        <f>IFERROR(__xludf.DUMMYFUNCTION("""COMPUTED_VALUE"""),224.4)</f>
        <v>224.4</v>
      </c>
      <c r="D44" s="6">
        <f>IFERROR(__xludf.DUMMYFUNCTION("""COMPUTED_VALUE"""),192.2)</f>
        <v>192.2</v>
      </c>
      <c r="E44" s="6">
        <f>IFERROR(__xludf.DUMMYFUNCTION("""COMPUTED_VALUE"""),217.43)</f>
        <v>217.43</v>
      </c>
      <c r="F44" s="6">
        <f>IFERROR(__xludf.DUMMYFUNCTION("""COMPUTED_VALUE"""),1.007398123E9)</f>
        <v>1007398123</v>
      </c>
    </row>
    <row r="45">
      <c r="A45" s="7">
        <f>IFERROR(__xludf.DUMMYFUNCTION("""COMPUTED_VALUE"""),45492.64583333333)</f>
        <v>45492.64583</v>
      </c>
      <c r="B45" s="6">
        <f>IFERROR(__xludf.DUMMYFUNCTION("""COMPUTED_VALUE"""),220.4)</f>
        <v>220.4</v>
      </c>
      <c r="C45" s="6">
        <f>IFERROR(__xludf.DUMMYFUNCTION("""COMPUTED_VALUE"""),229.0)</f>
        <v>229</v>
      </c>
      <c r="D45" s="6">
        <f>IFERROR(__xludf.DUMMYFUNCTION("""COMPUTED_VALUE"""),200.7)</f>
        <v>200.7</v>
      </c>
      <c r="E45" s="6">
        <f>IFERROR(__xludf.DUMMYFUNCTION("""COMPUTED_VALUE"""),205.77)</f>
        <v>205.77</v>
      </c>
      <c r="F45" s="6">
        <f>IFERROR(__xludf.DUMMYFUNCTION("""COMPUTED_VALUE"""),4.72487894E8)</f>
        <v>472487894</v>
      </c>
    </row>
    <row r="46">
      <c r="A46" s="7">
        <f>IFERROR(__xludf.DUMMYFUNCTION("""COMPUTED_VALUE"""),45499.64583333333)</f>
        <v>45499.64583</v>
      </c>
      <c r="B46" s="6">
        <f>IFERROR(__xludf.DUMMYFUNCTION("""COMPUTED_VALUE"""),205.77)</f>
        <v>205.77</v>
      </c>
      <c r="C46" s="6">
        <f>IFERROR(__xludf.DUMMYFUNCTION("""COMPUTED_VALUE"""),209.2)</f>
        <v>209.2</v>
      </c>
      <c r="D46" s="6">
        <f>IFERROR(__xludf.DUMMYFUNCTION("""COMPUTED_VALUE"""),164.15)</f>
        <v>164.15</v>
      </c>
      <c r="E46" s="6">
        <f>IFERROR(__xludf.DUMMYFUNCTION("""COMPUTED_VALUE"""),183.44)</f>
        <v>183.44</v>
      </c>
      <c r="F46" s="6">
        <f>IFERROR(__xludf.DUMMYFUNCTION("""COMPUTED_VALUE"""),4.29584237E8)</f>
        <v>429584237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IFERROR(__xludf.DUMMYFUNCTION("""COMPUTED_VALUE"""),185.92)</f>
        <v>185.92</v>
      </c>
      <c r="C47" s="6">
        <f>IFERROR(__xludf.DUMMYFUNCTION("""COMPUTED_VALUE"""),198.3)</f>
        <v>198.3</v>
      </c>
      <c r="D47" s="6">
        <f>IFERROR(__xludf.DUMMYFUNCTION("""COMPUTED_VALUE"""),184.58)</f>
        <v>184.58</v>
      </c>
      <c r="E47" s="6">
        <f>IFERROR(__xludf.DUMMYFUNCTION("""COMPUTED_VALUE"""),192.33)</f>
        <v>192.33</v>
      </c>
      <c r="F47" s="6">
        <f>IFERROR(__xludf.DUMMYFUNCTION("""COMPUTED_VALUE"""),2.71833689E8)</f>
        <v>271833689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IFERROR(__xludf.DUMMYFUNCTION("""COMPUTED_VALUE"""),180.03)</f>
        <v>180.03</v>
      </c>
      <c r="C48" s="6">
        <f>IFERROR(__xludf.DUMMYFUNCTION("""COMPUTED_VALUE"""),187.0)</f>
        <v>187</v>
      </c>
      <c r="D48" s="6">
        <f>IFERROR(__xludf.DUMMYFUNCTION("""COMPUTED_VALUE"""),175.13)</f>
        <v>175.13</v>
      </c>
      <c r="E48" s="6">
        <f>IFERROR(__xludf.DUMMYFUNCTION("""COMPUTED_VALUE"""),179.79)</f>
        <v>179.79</v>
      </c>
      <c r="F48" s="6">
        <f>IFERROR(__xludf.DUMMYFUNCTION("""COMPUTED_VALUE"""),2.46917424E8)</f>
        <v>246917424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IFERROR(__xludf.DUMMYFUNCTION("""COMPUTED_VALUE"""),180.0)</f>
        <v>180</v>
      </c>
      <c r="C49" s="6">
        <f>IFERROR(__xludf.DUMMYFUNCTION("""COMPUTED_VALUE"""),189.45)</f>
        <v>189.45</v>
      </c>
      <c r="D49" s="6">
        <f>IFERROR(__xludf.DUMMYFUNCTION("""COMPUTED_VALUE"""),176.7)</f>
        <v>176.7</v>
      </c>
      <c r="E49" s="6">
        <f>IFERROR(__xludf.DUMMYFUNCTION("""COMPUTED_VALUE"""),178.77)</f>
        <v>178.77</v>
      </c>
      <c r="F49" s="6">
        <f>IFERROR(__xludf.DUMMYFUNCTION("""COMPUTED_VALUE"""),1.58052103E8)</f>
        <v>158052103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IFERROR(__xludf.DUMMYFUNCTION("""COMPUTED_VALUE"""),181.1)</f>
        <v>181.1</v>
      </c>
      <c r="C50" s="6">
        <f>IFERROR(__xludf.DUMMYFUNCTION("""COMPUTED_VALUE"""),187.33)</f>
        <v>187.33</v>
      </c>
      <c r="D50" s="6">
        <f>IFERROR(__xludf.DUMMYFUNCTION("""COMPUTED_VALUE"""),178.2)</f>
        <v>178.2</v>
      </c>
      <c r="E50" s="6">
        <f>IFERROR(__xludf.DUMMYFUNCTION("""COMPUTED_VALUE"""),183.41)</f>
        <v>183.41</v>
      </c>
      <c r="F50" s="6">
        <f>IFERROR(__xludf.DUMMYFUNCTION("""COMPUTED_VALUE"""),9.4419519E7)</f>
        <v>94419519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IFERROR(__xludf.DUMMYFUNCTION("""COMPUTED_VALUE"""),184.0)</f>
        <v>184</v>
      </c>
      <c r="C51" s="6">
        <f>IFERROR(__xludf.DUMMYFUNCTION("""COMPUTED_VALUE"""),184.2)</f>
        <v>184.2</v>
      </c>
      <c r="D51" s="6">
        <f>IFERROR(__xludf.DUMMYFUNCTION("""COMPUTED_VALUE"""),178.0)</f>
        <v>178</v>
      </c>
      <c r="E51" s="6">
        <f>IFERROR(__xludf.DUMMYFUNCTION("""COMPUTED_VALUE"""),178.62)</f>
        <v>178.62</v>
      </c>
      <c r="F51" s="6">
        <f>IFERROR(__xludf.DUMMYFUNCTION("""COMPUTED_VALUE"""),6.8712836E7)</f>
        <v>68712836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IFERROR(__xludf.DUMMYFUNCTION("""COMPUTED_VALUE"""),178.85)</f>
        <v>178.85</v>
      </c>
      <c r="C52" s="6">
        <f>IFERROR(__xludf.DUMMYFUNCTION("""COMPUTED_VALUE"""),180.25)</f>
        <v>180.25</v>
      </c>
      <c r="D52" s="6">
        <f>IFERROR(__xludf.DUMMYFUNCTION("""COMPUTED_VALUE"""),168.1)</f>
        <v>168.1</v>
      </c>
      <c r="E52" s="6">
        <f>IFERROR(__xludf.DUMMYFUNCTION("""COMPUTED_VALUE"""),169.85)</f>
        <v>169.85</v>
      </c>
      <c r="F52" s="6">
        <f>IFERROR(__xludf.DUMMYFUNCTION("""COMPUTED_VALUE"""),7.5255427E7)</f>
        <v>75255427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IFERROR(__xludf.DUMMYFUNCTION("""COMPUTED_VALUE"""),169.84)</f>
        <v>169.84</v>
      </c>
      <c r="C53" s="6">
        <f>IFERROR(__xludf.DUMMYFUNCTION("""COMPUTED_VALUE"""),171.84)</f>
        <v>171.84</v>
      </c>
      <c r="D53" s="6">
        <f>IFERROR(__xludf.DUMMYFUNCTION("""COMPUTED_VALUE"""),163.52)</f>
        <v>163.52</v>
      </c>
      <c r="E53" s="6">
        <f>IFERROR(__xludf.DUMMYFUNCTION("""COMPUTED_VALUE"""),167.25)</f>
        <v>167.25</v>
      </c>
      <c r="F53" s="6">
        <f>IFERROR(__xludf.DUMMYFUNCTION("""COMPUTED_VALUE"""),8.2067085E7)</f>
        <v>82067085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IFERROR(__xludf.DUMMYFUNCTION("""COMPUTED_VALUE"""),167.25)</f>
        <v>167.25</v>
      </c>
      <c r="C54" s="6">
        <f>IFERROR(__xludf.DUMMYFUNCTION("""COMPUTED_VALUE"""),167.45)</f>
        <v>167.45</v>
      </c>
      <c r="D54" s="6">
        <f>IFERROR(__xludf.DUMMYFUNCTION("""COMPUTED_VALUE"""),151.7)</f>
        <v>151.7</v>
      </c>
      <c r="E54" s="6">
        <f>IFERROR(__xludf.DUMMYFUNCTION("""COMPUTED_VALUE"""),161.43)</f>
        <v>161.43</v>
      </c>
      <c r="F54" s="6">
        <f>IFERROR(__xludf.DUMMYFUNCTION("""COMPUTED_VALUE"""),1.49276895E8)</f>
        <v>149276895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IFERROR(__xludf.DUMMYFUNCTION("""COMPUTED_VALUE"""),163.0)</f>
        <v>163</v>
      </c>
      <c r="C55" s="6">
        <f>IFERROR(__xludf.DUMMYFUNCTION("""COMPUTED_VALUE"""),163.0)</f>
        <v>163</v>
      </c>
      <c r="D55" s="6">
        <f>IFERROR(__xludf.DUMMYFUNCTION("""COMPUTED_VALUE"""),154.83)</f>
        <v>154.83</v>
      </c>
      <c r="E55" s="6">
        <f>IFERROR(__xludf.DUMMYFUNCTION("""COMPUTED_VALUE"""),156.81)</f>
        <v>156.81</v>
      </c>
      <c r="F55" s="6">
        <f>IFERROR(__xludf.DUMMYFUNCTION("""COMPUTED_VALUE"""),7.5330259E7)</f>
        <v>75330259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IFERROR(__xludf.DUMMYFUNCTION("""COMPUTED_VALUE"""),156.7)</f>
        <v>156.7</v>
      </c>
      <c r="C56" s="6">
        <f>IFERROR(__xludf.DUMMYFUNCTION("""COMPUTED_VALUE"""),159.3)</f>
        <v>159.3</v>
      </c>
      <c r="D56" s="6">
        <f>IFERROR(__xludf.DUMMYFUNCTION("""COMPUTED_VALUE"""),146.88)</f>
        <v>146.88</v>
      </c>
      <c r="E56" s="6">
        <f>IFERROR(__xludf.DUMMYFUNCTION("""COMPUTED_VALUE"""),152.07)</f>
        <v>152.07</v>
      </c>
      <c r="F56" s="6">
        <f>IFERROR(__xludf.DUMMYFUNCTION("""COMPUTED_VALUE"""),8.2753825E7)</f>
        <v>82753825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IFERROR(__xludf.DUMMYFUNCTION("""COMPUTED_VALUE"""),152.07)</f>
        <v>152.07</v>
      </c>
      <c r="C57" s="6">
        <f>IFERROR(__xludf.DUMMYFUNCTION("""COMPUTED_VALUE"""),155.69)</f>
        <v>155.69</v>
      </c>
      <c r="D57" s="6">
        <f>IFERROR(__xludf.DUMMYFUNCTION("""COMPUTED_VALUE"""),141.51)</f>
        <v>141.51</v>
      </c>
      <c r="E57" s="6">
        <f>IFERROR(__xludf.DUMMYFUNCTION("""COMPUTED_VALUE"""),152.4)</f>
        <v>152.4</v>
      </c>
      <c r="F57" s="6">
        <f>IFERROR(__xludf.DUMMYFUNCTION("""COMPUTED_VALUE"""),1.29918628E8)</f>
        <v>129918628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IFERROR(__xludf.DUMMYFUNCTION("""COMPUTED_VALUE"""),153.5)</f>
        <v>153.5</v>
      </c>
      <c r="C58" s="6">
        <f>IFERROR(__xludf.DUMMYFUNCTION("""COMPUTED_VALUE"""),154.5)</f>
        <v>154.5</v>
      </c>
      <c r="D58" s="6">
        <f>IFERROR(__xludf.DUMMYFUNCTION("""COMPUTED_VALUE"""),145.32)</f>
        <v>145.32</v>
      </c>
      <c r="E58" s="6">
        <f>IFERROR(__xludf.DUMMYFUNCTION("""COMPUTED_VALUE"""),147.68)</f>
        <v>147.68</v>
      </c>
      <c r="F58" s="6">
        <f>IFERROR(__xludf.DUMMYFUNCTION("""COMPUTED_VALUE"""),6.2939825E7)</f>
        <v>62939825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IFERROR(__xludf.DUMMYFUNCTION("""COMPUTED_VALUE"""),148.0)</f>
        <v>148</v>
      </c>
      <c r="C59" s="6">
        <f>IFERROR(__xludf.DUMMYFUNCTION("""COMPUTED_VALUE"""),149.0)</f>
        <v>149</v>
      </c>
      <c r="D59" s="6">
        <f>IFERROR(__xludf.DUMMYFUNCTION("""COMPUTED_VALUE"""),132.8)</f>
        <v>132.8</v>
      </c>
      <c r="E59" s="6">
        <f>IFERROR(__xludf.DUMMYFUNCTION("""COMPUTED_VALUE"""),134.43)</f>
        <v>134.43</v>
      </c>
      <c r="F59" s="6">
        <f>IFERROR(__xludf.DUMMYFUNCTION("""COMPUTED_VALUE"""),8.9065858E7)</f>
        <v>89065858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IFERROR(__xludf.DUMMYFUNCTION("""COMPUTED_VALUE"""),159.0)</f>
        <v>159</v>
      </c>
      <c r="C60" s="6">
        <f>IFERROR(__xludf.DUMMYFUNCTION("""COMPUTED_VALUE"""),159.24)</f>
        <v>159.24</v>
      </c>
      <c r="D60" s="6">
        <f>IFERROR(__xludf.DUMMYFUNCTION("""COMPUTED_VALUE"""),147.0)</f>
        <v>147</v>
      </c>
      <c r="E60" s="6">
        <f>IFERROR(__xludf.DUMMYFUNCTION("""COMPUTED_VALUE"""),148.54)</f>
        <v>148.54</v>
      </c>
      <c r="F60" s="6">
        <f>IFERROR(__xludf.DUMMYFUNCTION("""COMPUTED_VALUE"""),1.12584092E8)</f>
        <v>112584092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IFERROR(__xludf.DUMMYFUNCTION("""COMPUTED_VALUE"""),147.51)</f>
        <v>147.51</v>
      </c>
      <c r="C61" s="6">
        <f>IFERROR(__xludf.DUMMYFUNCTION("""COMPUTED_VALUE"""),151.2)</f>
        <v>151.2</v>
      </c>
      <c r="D61" s="6">
        <f>IFERROR(__xludf.DUMMYFUNCTION("""COMPUTED_VALUE"""),139.3)</f>
        <v>139.3</v>
      </c>
      <c r="E61" s="6">
        <f>IFERROR(__xludf.DUMMYFUNCTION("""COMPUTED_VALUE"""),139.66)</f>
        <v>139.66</v>
      </c>
      <c r="F61" s="6">
        <f>IFERROR(__xludf.DUMMYFUNCTION("""COMPUTED_VALUE"""),6.318576E7)</f>
        <v>63185760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IFERROR(__xludf.DUMMYFUNCTION("""COMPUTED_VALUE"""),140.98)</f>
        <v>140.98</v>
      </c>
      <c r="C62" s="6">
        <f>IFERROR(__xludf.DUMMYFUNCTION("""COMPUTED_VALUE"""),146.96)</f>
        <v>146.96</v>
      </c>
      <c r="D62" s="6">
        <f>IFERROR(__xludf.DUMMYFUNCTION("""COMPUTED_VALUE"""),137.8)</f>
        <v>137.8</v>
      </c>
      <c r="E62" s="6">
        <f>IFERROR(__xludf.DUMMYFUNCTION("""COMPUTED_VALUE"""),142.15)</f>
        <v>142.15</v>
      </c>
      <c r="F62" s="6">
        <f>IFERROR(__xludf.DUMMYFUNCTION("""COMPUTED_VALUE"""),8.475676E7)</f>
        <v>84756760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IFERROR(__xludf.DUMMYFUNCTION("""COMPUTED_VALUE"""),149.0)</f>
        <v>149</v>
      </c>
      <c r="C63" s="6">
        <f>IFERROR(__xludf.DUMMYFUNCTION("""COMPUTED_VALUE"""),155.65)</f>
        <v>155.65</v>
      </c>
      <c r="D63" s="6">
        <f>IFERROR(__xludf.DUMMYFUNCTION("""COMPUTED_VALUE"""),145.05)</f>
        <v>145.05</v>
      </c>
      <c r="E63" s="6">
        <f>IFERROR(__xludf.DUMMYFUNCTION("""COMPUTED_VALUE"""),149.34)</f>
        <v>149.34</v>
      </c>
      <c r="F63" s="6">
        <f>IFERROR(__xludf.DUMMYFUNCTION("""COMPUTED_VALUE"""),1.03782223E8)</f>
        <v>103782223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IFERROR(__xludf.DUMMYFUNCTION("""COMPUTED_VALUE"""),148.81)</f>
        <v>148.81</v>
      </c>
      <c r="C64" s="6">
        <f>IFERROR(__xludf.DUMMYFUNCTION("""COMPUTED_VALUE"""),159.64)</f>
        <v>159.64</v>
      </c>
      <c r="D64" s="6">
        <f>IFERROR(__xludf.DUMMYFUNCTION("""COMPUTED_VALUE"""),147.01)</f>
        <v>147.01</v>
      </c>
      <c r="E64" s="6">
        <f>IFERROR(__xludf.DUMMYFUNCTION("""COMPUTED_VALUE"""),158.0)</f>
        <v>158</v>
      </c>
      <c r="F64" s="6">
        <f>IFERROR(__xludf.DUMMYFUNCTION("""COMPUTED_VALUE"""),1.24662518E8)</f>
        <v>124662518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IFERROR(__xludf.DUMMYFUNCTION("""COMPUTED_VALUE"""),159.4)</f>
        <v>159.4</v>
      </c>
      <c r="C65" s="6">
        <f>IFERROR(__xludf.DUMMYFUNCTION("""COMPUTED_VALUE"""),166.9)</f>
        <v>166.9</v>
      </c>
      <c r="D65" s="6">
        <f>IFERROR(__xludf.DUMMYFUNCTION("""COMPUTED_VALUE"""),155.3)</f>
        <v>155.3</v>
      </c>
      <c r="E65" s="6">
        <f>IFERROR(__xludf.DUMMYFUNCTION("""COMPUTED_VALUE"""),159.32)</f>
        <v>159.32</v>
      </c>
      <c r="F65" s="6">
        <f>IFERROR(__xludf.DUMMYFUNCTION("""COMPUTED_VALUE"""),1.99764832E8)</f>
        <v>199764832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IFERROR(__xludf.DUMMYFUNCTION("""COMPUTED_VALUE"""),160.0)</f>
        <v>160</v>
      </c>
      <c r="C66" s="6">
        <f>IFERROR(__xludf.DUMMYFUNCTION("""COMPUTED_VALUE"""),162.8)</f>
        <v>162.8</v>
      </c>
      <c r="D66" s="6">
        <f>IFERROR(__xludf.DUMMYFUNCTION("""COMPUTED_VALUE"""),148.0)</f>
        <v>148</v>
      </c>
      <c r="E66" s="6">
        <f>IFERROR(__xludf.DUMMYFUNCTION("""COMPUTED_VALUE"""),148.41)</f>
        <v>148.41</v>
      </c>
      <c r="F66" s="6">
        <f>IFERROR(__xludf.DUMMYFUNCTION("""COMPUTED_VALUE"""),8.227143E7)</f>
        <v>82271430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IFERROR(__xludf.DUMMYFUNCTION("""COMPUTED_VALUE"""),149.0)</f>
        <v>149</v>
      </c>
      <c r="C67" s="6">
        <f>IFERROR(__xludf.DUMMYFUNCTION("""COMPUTED_VALUE"""),150.28)</f>
        <v>150.28</v>
      </c>
      <c r="D67" s="6">
        <f>IFERROR(__xludf.DUMMYFUNCTION("""COMPUTED_VALUE"""),145.52)</f>
        <v>145.52</v>
      </c>
      <c r="E67" s="6">
        <f>IFERROR(__xludf.DUMMYFUNCTION("""COMPUTED_VALUE"""),146.22)</f>
        <v>146.22</v>
      </c>
      <c r="F67" s="6">
        <f>IFERROR(__xludf.DUMMYFUNCTION("""COMPUTED_VALUE"""),4.6567464E7)</f>
        <v>46567464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IFERROR(__xludf.DUMMYFUNCTION("""COMPUTED_VALUE"""),146.05)</f>
        <v>146.05</v>
      </c>
      <c r="C68" s="6">
        <f>IFERROR(__xludf.DUMMYFUNCTION("""COMPUTED_VALUE"""),158.0)</f>
        <v>158</v>
      </c>
      <c r="D68" s="6">
        <f>IFERROR(__xludf.DUMMYFUNCTION("""COMPUTED_VALUE"""),144.7)</f>
        <v>144.7</v>
      </c>
      <c r="E68" s="6">
        <f>IFERROR(__xludf.DUMMYFUNCTION("""COMPUTED_VALUE"""),153.7)</f>
        <v>153.7</v>
      </c>
      <c r="F68" s="6">
        <f>IFERROR(__xludf.DUMMYFUNCTION("""COMPUTED_VALUE"""),1.36494507E8)</f>
        <v>136494507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IFERROR(__xludf.DUMMYFUNCTION("""COMPUTED_VALUE"""),153.89)</f>
        <v>153.89</v>
      </c>
      <c r="C69" s="6">
        <f>IFERROR(__xludf.DUMMYFUNCTION("""COMPUTED_VALUE"""),153.9)</f>
        <v>153.9</v>
      </c>
      <c r="D69" s="6">
        <f>IFERROR(__xludf.DUMMYFUNCTION("""COMPUTED_VALUE"""),135.25)</f>
        <v>135.25</v>
      </c>
      <c r="E69" s="6">
        <f>IFERROR(__xludf.DUMMYFUNCTION("""COMPUTED_VALUE"""),135.71)</f>
        <v>135.71</v>
      </c>
      <c r="F69" s="6">
        <f>IFERROR(__xludf.DUMMYFUNCTION("""COMPUTED_VALUE"""),8.5454991E7)</f>
        <v>85454991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IFERROR(__xludf.DUMMYFUNCTION("""COMPUTED_VALUE"""),134.0)</f>
        <v>134</v>
      </c>
      <c r="C70" s="6">
        <f>IFERROR(__xludf.DUMMYFUNCTION("""COMPUTED_VALUE"""),146.9)</f>
        <v>146.9</v>
      </c>
      <c r="D70" s="6">
        <f>IFERROR(__xludf.DUMMYFUNCTION("""COMPUTED_VALUE"""),127.71)</f>
        <v>127.71</v>
      </c>
      <c r="E70" s="6">
        <f>IFERROR(__xludf.DUMMYFUNCTION("""COMPUTED_VALUE"""),146.19)</f>
        <v>146.19</v>
      </c>
      <c r="F70" s="6">
        <f>IFERROR(__xludf.DUMMYFUNCTION("""COMPUTED_VALUE"""),1.71706362E8)</f>
        <v>171706362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IFERROR(__xludf.DUMMYFUNCTION("""COMPUTED_VALUE"""),147.46)</f>
        <v>147.46</v>
      </c>
      <c r="C71" s="6">
        <f>IFERROR(__xludf.DUMMYFUNCTION("""COMPUTED_VALUE"""),148.62)</f>
        <v>148.62</v>
      </c>
      <c r="D71" s="6">
        <f>IFERROR(__xludf.DUMMYFUNCTION("""COMPUTED_VALUE"""),136.71)</f>
        <v>136.71</v>
      </c>
      <c r="E71" s="6">
        <f>IFERROR(__xludf.DUMMYFUNCTION("""COMPUTED_VALUE"""),140.68)</f>
        <v>140.68</v>
      </c>
      <c r="F71" s="6">
        <f>IFERROR(__xludf.DUMMYFUNCTION("""COMPUTED_VALUE"""),1.07189642E8)</f>
        <v>107189642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IFERROR(__xludf.DUMMYFUNCTION("""COMPUTED_VALUE"""),137.34)</f>
        <v>137.34</v>
      </c>
      <c r="C72" s="6">
        <f>IFERROR(__xludf.DUMMYFUNCTION("""COMPUTED_VALUE"""),140.2)</f>
        <v>140.2</v>
      </c>
      <c r="D72" s="6">
        <f>IFERROR(__xludf.DUMMYFUNCTION("""COMPUTED_VALUE"""),133.0)</f>
        <v>133</v>
      </c>
      <c r="E72" s="6">
        <f>IFERROR(__xludf.DUMMYFUNCTION("""COMPUTED_VALUE"""),133.43)</f>
        <v>133.43</v>
      </c>
      <c r="F72" s="6">
        <f>IFERROR(__xludf.DUMMYFUNCTION("""COMPUTED_VALUE"""),9.9407152E7)</f>
        <v>99407152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IFERROR(__xludf.DUMMYFUNCTION("""COMPUTED_VALUE"""),133.5)</f>
        <v>133.5</v>
      </c>
      <c r="C73" s="6">
        <f>IFERROR(__xludf.DUMMYFUNCTION("""COMPUTED_VALUE"""),134.5)</f>
        <v>134.5</v>
      </c>
      <c r="D73" s="6">
        <f>IFERROR(__xludf.DUMMYFUNCTION("""COMPUTED_VALUE"""),119.29)</f>
        <v>119.29</v>
      </c>
      <c r="E73" s="6">
        <f>IFERROR(__xludf.DUMMYFUNCTION("""COMPUTED_VALUE"""),121.75)</f>
        <v>121.75</v>
      </c>
      <c r="F73" s="6">
        <f>IFERROR(__xludf.DUMMYFUNCTION("""COMPUTED_VALUE"""),1.04630031E8)</f>
        <v>104630031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IFERROR(__xludf.DUMMYFUNCTION("""COMPUTED_VALUE"""),120.72)</f>
        <v>120.72</v>
      </c>
      <c r="C74" s="6">
        <f>IFERROR(__xludf.DUMMYFUNCTION("""COMPUTED_VALUE"""),127.6)</f>
        <v>127.6</v>
      </c>
      <c r="D74" s="6">
        <f>IFERROR(__xludf.DUMMYFUNCTION("""COMPUTED_VALUE"""),117.21)</f>
        <v>117.21</v>
      </c>
      <c r="E74" s="6">
        <f>IFERROR(__xludf.DUMMYFUNCTION("""COMPUTED_VALUE"""),125.11)</f>
        <v>125.11</v>
      </c>
      <c r="F74" s="6">
        <f>IFERROR(__xludf.DUMMYFUNCTION("""COMPUTED_VALUE"""),1.12606761E8)</f>
        <v>112606761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IFERROR(__xludf.DUMMYFUNCTION("""COMPUTED_VALUE"""),124.39)</f>
        <v>124.39</v>
      </c>
      <c r="C75" s="6">
        <f>IFERROR(__xludf.DUMMYFUNCTION("""COMPUTED_VALUE"""),125.37)</f>
        <v>125.37</v>
      </c>
      <c r="D75" s="6">
        <f>IFERROR(__xludf.DUMMYFUNCTION("""COMPUTED_VALUE"""),111.7)</f>
        <v>111.7</v>
      </c>
      <c r="E75" s="6">
        <f>IFERROR(__xludf.DUMMYFUNCTION("""COMPUTED_VALUE"""),112.42)</f>
        <v>112.42</v>
      </c>
      <c r="F75" s="6">
        <f>IFERROR(__xludf.DUMMYFUNCTION("""COMPUTED_VALUE"""),7.4780303E7)</f>
        <v>74780303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IFERROR(__xludf.DUMMYFUNCTION("""COMPUTED_VALUE"""),112.99)</f>
        <v>112.99</v>
      </c>
      <c r="C76" s="6">
        <f>IFERROR(__xludf.DUMMYFUNCTION("""COMPUTED_VALUE"""),124.99)</f>
        <v>124.99</v>
      </c>
      <c r="D76" s="6">
        <f>IFERROR(__xludf.DUMMYFUNCTION("""COMPUTED_VALUE"""),108.04)</f>
        <v>108.04</v>
      </c>
      <c r="E76" s="6">
        <f>IFERROR(__xludf.DUMMYFUNCTION("""COMPUTED_VALUE"""),123.42)</f>
        <v>123.42</v>
      </c>
      <c r="F76" s="6">
        <f>IFERROR(__xludf.DUMMYFUNCTION("""COMPUTED_VALUE"""),1.61239991E8)</f>
        <v>161239991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IFERROR(__xludf.DUMMYFUNCTION("""COMPUTED_VALUE"""),124.1)</f>
        <v>124.1</v>
      </c>
      <c r="C77" s="6">
        <f>IFERROR(__xludf.DUMMYFUNCTION("""COMPUTED_VALUE"""),125.42)</f>
        <v>125.42</v>
      </c>
      <c r="D77" s="6">
        <f>IFERROR(__xludf.DUMMYFUNCTION("""COMPUTED_VALUE"""),116.57)</f>
        <v>116.57</v>
      </c>
      <c r="E77" s="6">
        <f>IFERROR(__xludf.DUMMYFUNCTION("""COMPUTED_VALUE"""),117.69)</f>
        <v>117.69</v>
      </c>
      <c r="F77" s="6">
        <f>IFERROR(__xludf.DUMMYFUNCTION("""COMPUTED_VALUE"""),6.3072871E7)</f>
        <v>63072871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IFERROR(__xludf.DUMMYFUNCTION("""COMPUTED_VALUE"""),118.01)</f>
        <v>118.01</v>
      </c>
      <c r="C78" s="6">
        <f>IFERROR(__xludf.DUMMYFUNCTION("""COMPUTED_VALUE"""),131.85)</f>
        <v>131.85</v>
      </c>
      <c r="D78" s="6">
        <f>IFERROR(__xludf.DUMMYFUNCTION("""COMPUTED_VALUE"""),117.61)</f>
        <v>117.61</v>
      </c>
      <c r="E78" s="6">
        <f>IFERROR(__xludf.DUMMYFUNCTION("""COMPUTED_VALUE"""),129.66)</f>
        <v>129.66</v>
      </c>
      <c r="F78" s="6">
        <f>IFERROR(__xludf.DUMMYFUNCTION("""COMPUTED_VALUE"""),1.04898585E8)</f>
        <v>104898585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IFERROR(__xludf.DUMMYFUNCTION("""COMPUTED_VALUE"""),130.7)</f>
        <v>130.7</v>
      </c>
      <c r="C79" s="6">
        <f>IFERROR(__xludf.DUMMYFUNCTION("""COMPUTED_VALUE"""),134.6)</f>
        <v>134.6</v>
      </c>
      <c r="D79" s="6">
        <f>IFERROR(__xludf.DUMMYFUNCTION("""COMPUTED_VALUE"""),123.69)</f>
        <v>123.69</v>
      </c>
      <c r="E79" s="6">
        <f>IFERROR(__xludf.DUMMYFUNCTION("""COMPUTED_VALUE"""),124.42)</f>
        <v>124.42</v>
      </c>
      <c r="F79" s="6">
        <f>IFERROR(__xludf.DUMMYFUNCTION("""COMPUTED_VALUE"""),1.21473719E8)</f>
        <v>121473719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IFERROR(__xludf.DUMMYFUNCTION("""COMPUTED_VALUE"""),122.81)</f>
        <v>122.81</v>
      </c>
      <c r="C80" s="6">
        <f>IFERROR(__xludf.DUMMYFUNCTION("""COMPUTED_VALUE"""),129.5)</f>
        <v>129.5</v>
      </c>
      <c r="D80" s="6">
        <f>IFERROR(__xludf.DUMMYFUNCTION("""COMPUTED_VALUE"""),122.36)</f>
        <v>122.36</v>
      </c>
      <c r="E80" s="6">
        <f>IFERROR(__xludf.DUMMYFUNCTION("""COMPUTED_VALUE"""),124.84)</f>
        <v>124.84</v>
      </c>
      <c r="F80" s="6">
        <f>IFERROR(__xludf.DUMMYFUNCTION("""COMPUTED_VALUE"""),6.4530706E7)</f>
        <v>64530706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IFERROR(__xludf.DUMMYFUNCTION("""COMPUTED_VALUE"""),113.0)</f>
        <v>113</v>
      </c>
      <c r="C81" s="6">
        <f>IFERROR(__xludf.DUMMYFUNCTION("""COMPUTED_VALUE"""),126.69)</f>
        <v>126.69</v>
      </c>
      <c r="D81" s="6">
        <f>IFERROR(__xludf.DUMMYFUNCTION("""COMPUTED_VALUE"""),113.0)</f>
        <v>113</v>
      </c>
      <c r="E81" s="6">
        <f>IFERROR(__xludf.DUMMYFUNCTION("""COMPUTED_VALUE"""),124.11)</f>
        <v>124.11</v>
      </c>
      <c r="F81" s="6">
        <f>IFERROR(__xludf.DUMMYFUNCTION("""COMPUTED_VALUE"""),5.5107422E7)</f>
        <v>55107422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IFERROR(__xludf.DUMMYFUNCTION("""COMPUTED_VALUE"""),125.79)</f>
        <v>125.79</v>
      </c>
      <c r="C82" s="6">
        <f>IFERROR(__xludf.DUMMYFUNCTION("""COMPUTED_VALUE"""),131.0)</f>
        <v>131</v>
      </c>
      <c r="D82" s="6">
        <f>IFERROR(__xludf.DUMMYFUNCTION("""COMPUTED_VALUE"""),125.0)</f>
        <v>125</v>
      </c>
      <c r="E82" s="6">
        <f>IFERROR(__xludf.DUMMYFUNCTION("""COMPUTED_VALUE"""),129.48)</f>
        <v>129.48</v>
      </c>
      <c r="F82" s="6">
        <f>IFERROR(__xludf.DUMMYFUNCTION("""COMPUTED_VALUE"""),4.7452256E7)</f>
        <v>47452256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IFERROR(__xludf.DUMMYFUNCTION("""COMPUTED_VALUE"""),130.0)</f>
        <v>130</v>
      </c>
      <c r="C83" s="6">
        <f>IFERROR(__xludf.DUMMYFUNCTION("""COMPUTED_VALUE"""),137.66)</f>
        <v>137.66</v>
      </c>
      <c r="D83" s="6">
        <f>IFERROR(__xludf.DUMMYFUNCTION("""COMPUTED_VALUE"""),126.22)</f>
        <v>126.22</v>
      </c>
      <c r="E83" s="6">
        <f>IFERROR(__xludf.DUMMYFUNCTION("""COMPUTED_VALUE"""),128.8)</f>
        <v>128.8</v>
      </c>
      <c r="F83" s="6">
        <f>IFERROR(__xludf.DUMMYFUNCTION("""COMPUTED_VALUE"""),1.17232608E8)</f>
        <v>117232608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IFERROR(__xludf.DUMMYFUNCTION("""COMPUTED_VALUE"""),128.0)</f>
        <v>128</v>
      </c>
      <c r="C84" s="6">
        <f>IFERROR(__xludf.DUMMYFUNCTION("""COMPUTED_VALUE"""),129.6)</f>
        <v>129.6</v>
      </c>
      <c r="D84" s="6">
        <f>IFERROR(__xludf.DUMMYFUNCTION("""COMPUTED_VALUE"""),123.5)</f>
        <v>123.5</v>
      </c>
      <c r="E84" s="6">
        <f>IFERROR(__xludf.DUMMYFUNCTION("""COMPUTED_VALUE"""),124.2)</f>
        <v>124.2</v>
      </c>
      <c r="F84" s="6">
        <f>IFERROR(__xludf.DUMMYFUNCTION("""COMPUTED_VALUE"""),6.4672827E7)</f>
        <v>64672827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IFERROR(__xludf.DUMMYFUNCTION("""COMPUTED_VALUE"""),124.86)</f>
        <v>124.86</v>
      </c>
      <c r="C85" s="6">
        <f>IFERROR(__xludf.DUMMYFUNCTION("""COMPUTED_VALUE"""),125.89)</f>
        <v>125.89</v>
      </c>
      <c r="D85" s="6">
        <f>IFERROR(__xludf.DUMMYFUNCTION("""COMPUTED_VALUE"""),114.33)</f>
        <v>114.33</v>
      </c>
      <c r="E85" s="6">
        <f>IFERROR(__xludf.DUMMYFUNCTION("""COMPUTED_VALUE"""),116.42)</f>
        <v>116.42</v>
      </c>
      <c r="F85" s="6">
        <f>IFERROR(__xludf.DUMMYFUNCTION("""COMPUTED_VALUE"""),7.1088602E7)</f>
        <v>71088602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IFERROR(__xludf.DUMMYFUNCTION("""COMPUTED_VALUE"""),122.5)</f>
        <v>122.5</v>
      </c>
      <c r="C86" s="6">
        <f>IFERROR(__xludf.DUMMYFUNCTION("""COMPUTED_VALUE"""),140.22)</f>
        <v>140.22</v>
      </c>
      <c r="D86" s="6">
        <f>IFERROR(__xludf.DUMMYFUNCTION("""COMPUTED_VALUE"""),120.88)</f>
        <v>120.88</v>
      </c>
      <c r="E86" s="6">
        <f>IFERROR(__xludf.DUMMYFUNCTION("""COMPUTED_VALUE"""),138.61)</f>
        <v>138.61</v>
      </c>
      <c r="F86" s="6">
        <f>IFERROR(__xludf.DUMMYFUNCTION("""COMPUTED_VALUE"""),1.74844128E8)</f>
        <v>174844128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IFERROR(__xludf.DUMMYFUNCTION("""COMPUTED_VALUE"""),140.0)</f>
        <v>140</v>
      </c>
      <c r="C87" s="6">
        <f>IFERROR(__xludf.DUMMYFUNCTION("""COMPUTED_VALUE"""),143.61)</f>
        <v>143.61</v>
      </c>
      <c r="D87" s="6">
        <f>IFERROR(__xludf.DUMMYFUNCTION("""COMPUTED_VALUE"""),134.59)</f>
        <v>134.59</v>
      </c>
      <c r="E87" s="6">
        <f>IFERROR(__xludf.DUMMYFUNCTION("""COMPUTED_VALUE"""),136.71)</f>
        <v>136.71</v>
      </c>
      <c r="F87" s="6">
        <f>IFERROR(__xludf.DUMMYFUNCTION("""COMPUTED_VALUE"""),1.34886013E8)</f>
        <v>134886013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IFERROR(__xludf.DUMMYFUNCTION("""COMPUTED_VALUE"""),136.71)</f>
        <v>136.71</v>
      </c>
      <c r="C88" s="6">
        <f>IFERROR(__xludf.DUMMYFUNCTION("""COMPUTED_VALUE"""),142.24)</f>
        <v>142.24</v>
      </c>
      <c r="D88" s="6">
        <f>IFERROR(__xludf.DUMMYFUNCTION("""COMPUTED_VALUE"""),136.51)</f>
        <v>136.51</v>
      </c>
      <c r="E88" s="6">
        <f>IFERROR(__xludf.DUMMYFUNCTION("""COMPUTED_VALUE"""),138.95)</f>
        <v>138.95</v>
      </c>
      <c r="F88" s="6">
        <f>IFERROR(__xludf.DUMMYFUNCTION("""COMPUTED_VALUE"""),8.8837047E7)</f>
        <v>88837047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IFERROR(__xludf.DUMMYFUNCTION("""COMPUTED_VALUE"""),138.8)</f>
        <v>138.8</v>
      </c>
      <c r="C89" s="6">
        <f>IFERROR(__xludf.DUMMYFUNCTION("""COMPUTED_VALUE"""),148.0)</f>
        <v>148</v>
      </c>
      <c r="D89" s="6">
        <f>IFERROR(__xludf.DUMMYFUNCTION("""COMPUTED_VALUE"""),138.21)</f>
        <v>138.21</v>
      </c>
      <c r="E89" s="6">
        <f>IFERROR(__xludf.DUMMYFUNCTION("""COMPUTED_VALUE"""),146.41)</f>
        <v>146.41</v>
      </c>
      <c r="F89" s="6">
        <f>IFERROR(__xludf.DUMMYFUNCTION("""COMPUTED_VALUE"""),1.68087791E8)</f>
        <v>168087791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IFERROR(__xludf.DUMMYFUNCTION("""COMPUTED_VALUE"""),147.25)</f>
        <v>147.25</v>
      </c>
      <c r="C90" s="6">
        <f>IFERROR(__xludf.DUMMYFUNCTION("""COMPUTED_VALUE"""),148.95)</f>
        <v>148.95</v>
      </c>
      <c r="D90" s="6">
        <f>IFERROR(__xludf.DUMMYFUNCTION("""COMPUTED_VALUE"""),136.01)</f>
        <v>136.01</v>
      </c>
      <c r="E90" s="6">
        <f>IFERROR(__xludf.DUMMYFUNCTION("""COMPUTED_VALUE"""),138.33)</f>
        <v>138.33</v>
      </c>
      <c r="F90" s="6">
        <f>IFERROR(__xludf.DUMMYFUNCTION("""COMPUTED_VALUE"""),8.7420187E7)</f>
        <v>87420187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IFERROR(__xludf.DUMMYFUNCTION("""COMPUTED_VALUE"""),137.35)</f>
        <v>137.35</v>
      </c>
      <c r="C91" s="6">
        <f>IFERROR(__xludf.DUMMYFUNCTION("""COMPUTED_VALUE"""),140.68)</f>
        <v>140.68</v>
      </c>
      <c r="D91" s="6">
        <f>IFERROR(__xludf.DUMMYFUNCTION("""COMPUTED_VALUE"""),131.56)</f>
        <v>131.56</v>
      </c>
      <c r="E91" s="6">
        <f>IFERROR(__xludf.DUMMYFUNCTION("""COMPUTED_VALUE"""),134.2)</f>
        <v>134.2</v>
      </c>
      <c r="F91" s="6">
        <f>IFERROR(__xludf.DUMMYFUNCTION("""COMPUTED_VALUE"""),6.4209181E7)</f>
        <v>64209181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IFERROR(__xludf.DUMMYFUNCTION("""COMPUTED_VALUE"""),132.25)</f>
        <v>132.25</v>
      </c>
      <c r="C92" s="6">
        <f>IFERROR(__xludf.DUMMYFUNCTION("""COMPUTED_VALUE"""),142.3)</f>
        <v>142.3</v>
      </c>
      <c r="D92" s="6">
        <f>IFERROR(__xludf.DUMMYFUNCTION("""COMPUTED_VALUE"""),132.05)</f>
        <v>132.05</v>
      </c>
      <c r="E92" s="6">
        <f>IFERROR(__xludf.DUMMYFUNCTION("""COMPUTED_VALUE"""),139.99)</f>
        <v>139.99</v>
      </c>
      <c r="F92" s="6">
        <f>IFERROR(__xludf.DUMMYFUNCTION("""COMPUTED_VALUE"""),6.7564927E7)</f>
        <v>67564927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IFERROR(__xludf.DUMMYFUNCTION("""COMPUTED_VALUE"""),140.19)</f>
        <v>140.19</v>
      </c>
      <c r="C93" s="6">
        <f>IFERROR(__xludf.DUMMYFUNCTION("""COMPUTED_VALUE"""),143.15)</f>
        <v>143.15</v>
      </c>
      <c r="D93" s="6">
        <f>IFERROR(__xludf.DUMMYFUNCTION("""COMPUTED_VALUE"""),138.31)</f>
        <v>138.31</v>
      </c>
      <c r="E93" s="6">
        <f>IFERROR(__xludf.DUMMYFUNCTION("""COMPUTED_VALUE"""),139.24)</f>
        <v>139.24</v>
      </c>
      <c r="F93" s="6">
        <f>IFERROR(__xludf.DUMMYFUNCTION("""COMPUTED_VALUE"""),4.1644788E7)</f>
        <v>41644788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IFERROR(__xludf.DUMMYFUNCTION("""COMPUTED_VALUE"""),139.17)</f>
        <v>139.17</v>
      </c>
      <c r="C94" s="6">
        <f>IFERROR(__xludf.DUMMYFUNCTION("""COMPUTED_VALUE"""),140.0)</f>
        <v>140</v>
      </c>
      <c r="D94" s="6">
        <f>IFERROR(__xludf.DUMMYFUNCTION("""COMPUTED_VALUE"""),135.0)</f>
        <v>135</v>
      </c>
      <c r="E94" s="6">
        <f>IFERROR(__xludf.DUMMYFUNCTION("""COMPUTED_VALUE"""),135.28)</f>
        <v>135.28</v>
      </c>
      <c r="F94" s="6">
        <f>IFERROR(__xludf.DUMMYFUNCTION("""COMPUTED_VALUE"""),3.0076767E7)</f>
        <v>30076767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IFERROR(__xludf.DUMMYFUNCTION("""COMPUTED_VALUE"""),135.25)</f>
        <v>135.25</v>
      </c>
      <c r="C95" s="6">
        <f>IFERROR(__xludf.DUMMYFUNCTION("""COMPUTED_VALUE"""),136.57)</f>
        <v>136.57</v>
      </c>
      <c r="D95" s="6">
        <f>IFERROR(__xludf.DUMMYFUNCTION("""COMPUTED_VALUE"""),133.7)</f>
        <v>133.7</v>
      </c>
      <c r="E95" s="6">
        <f>IFERROR(__xludf.DUMMYFUNCTION("""COMPUTED_VALUE"""),133.84)</f>
        <v>133.84</v>
      </c>
      <c r="F95" s="6">
        <f>IFERROR(__xludf.DUMMYFUNCTION("""COMPUTED_VALUE"""),3.8708041E7)</f>
        <v>38708041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IFERROR(__xludf.DUMMYFUNCTION("""COMPUTED_VALUE"""),134.01)</f>
        <v>134.01</v>
      </c>
      <c r="C96" s="6">
        <f>IFERROR(__xludf.DUMMYFUNCTION("""COMPUTED_VALUE"""),138.0)</f>
        <v>138</v>
      </c>
      <c r="D96" s="6">
        <f>IFERROR(__xludf.DUMMYFUNCTION("""COMPUTED_VALUE"""),130.51)</f>
        <v>130.51</v>
      </c>
      <c r="E96" s="6">
        <f>IFERROR(__xludf.DUMMYFUNCTION("""COMPUTED_VALUE"""),132.03)</f>
        <v>132.03</v>
      </c>
      <c r="F96" s="6">
        <f>IFERROR(__xludf.DUMMYFUNCTION("""COMPUTED_VALUE"""),1.10643281E8)</f>
        <v>110643281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IFERROR(__xludf.DUMMYFUNCTION("""COMPUTED_VALUE"""),131.95)</f>
        <v>131.95</v>
      </c>
      <c r="C97" s="6">
        <f>IFERROR(__xludf.DUMMYFUNCTION("""COMPUTED_VALUE"""),134.45)</f>
        <v>134.45</v>
      </c>
      <c r="D97" s="6">
        <f>IFERROR(__xludf.DUMMYFUNCTION("""COMPUTED_VALUE"""),126.37)</f>
        <v>126.37</v>
      </c>
      <c r="E97" s="6">
        <f>IFERROR(__xludf.DUMMYFUNCTION("""COMPUTED_VALUE"""),126.89)</f>
        <v>126.89</v>
      </c>
      <c r="F97" s="6">
        <f>IFERROR(__xludf.DUMMYFUNCTION("""COMPUTED_VALUE"""),4.5493384E7)</f>
        <v>45493384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IFERROR(__xludf.DUMMYFUNCTION("""COMPUTED_VALUE"""),127.42)</f>
        <v>127.42</v>
      </c>
      <c r="C98" s="6">
        <f>IFERROR(__xludf.DUMMYFUNCTION("""COMPUTED_VALUE"""),130.6)</f>
        <v>130.6</v>
      </c>
      <c r="D98" s="6">
        <f>IFERROR(__xludf.DUMMYFUNCTION("""COMPUTED_VALUE"""),124.1)</f>
        <v>124.1</v>
      </c>
      <c r="E98" s="6">
        <f>IFERROR(__xludf.DUMMYFUNCTION("""COMPUTED_VALUE"""),125.28)</f>
        <v>125.28</v>
      </c>
      <c r="F98" s="6">
        <f>IFERROR(__xludf.DUMMYFUNCTION("""COMPUTED_VALUE"""),3.8332403E7)</f>
        <v>38332403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IFERROR(__xludf.DUMMYFUNCTION("""COMPUTED_VALUE"""),125.28)</f>
        <v>125.28</v>
      </c>
      <c r="C99" s="6">
        <f>IFERROR(__xludf.DUMMYFUNCTION("""COMPUTED_VALUE"""),127.7)</f>
        <v>127.7</v>
      </c>
      <c r="D99" s="6">
        <f>IFERROR(__xludf.DUMMYFUNCTION("""COMPUTED_VALUE"""),124.21)</f>
        <v>124.21</v>
      </c>
      <c r="E99" s="6">
        <f>IFERROR(__xludf.DUMMYFUNCTION("""COMPUTED_VALUE"""),124.5)</f>
        <v>124.5</v>
      </c>
      <c r="F99" s="6">
        <f>IFERROR(__xludf.DUMMYFUNCTION("""COMPUTED_VALUE"""),3.3810689E7)</f>
        <v>33810689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IFERROR(__xludf.DUMMYFUNCTION("""COMPUTED_VALUE"""),125.44)</f>
        <v>125.44</v>
      </c>
      <c r="C100" s="6">
        <f>IFERROR(__xludf.DUMMYFUNCTION("""COMPUTED_VALUE"""),128.55)</f>
        <v>128.55</v>
      </c>
      <c r="D100" s="6">
        <f>IFERROR(__xludf.DUMMYFUNCTION("""COMPUTED_VALUE"""),124.05)</f>
        <v>124.05</v>
      </c>
      <c r="E100" s="6">
        <f>IFERROR(__xludf.DUMMYFUNCTION("""COMPUTED_VALUE"""),124.98)</f>
        <v>124.98</v>
      </c>
      <c r="F100" s="6">
        <f>IFERROR(__xludf.DUMMYFUNCTION("""COMPUTED_VALUE"""),3.7633008E7)</f>
        <v>37633008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IFERROR(__xludf.DUMMYFUNCTION("""COMPUTED_VALUE"""),125.05)</f>
        <v>125.05</v>
      </c>
      <c r="C101" s="6">
        <f>IFERROR(__xludf.DUMMYFUNCTION("""COMPUTED_VALUE"""),125.95)</f>
        <v>125.95</v>
      </c>
      <c r="D101" s="6">
        <f>IFERROR(__xludf.DUMMYFUNCTION("""COMPUTED_VALUE"""),121.1)</f>
        <v>121.1</v>
      </c>
      <c r="E101" s="6">
        <f>IFERROR(__xludf.DUMMYFUNCTION("""COMPUTED_VALUE"""),121.2)</f>
        <v>121.2</v>
      </c>
      <c r="F101" s="6">
        <f>IFERROR(__xludf.DUMMYFUNCTION("""COMPUTED_VALUE"""),9.9346584E7)</f>
        <v>99346584</v>
      </c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IFERROR(__xludf.DUMMYFUNCTION("GOOGLEFINANCE(""NSE:ITC"",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IFERROR(__xludf.DUMMYFUNCTION("""COMPUTED_VALUE"""),445.0)</f>
        <v>445</v>
      </c>
      <c r="C2" s="6">
        <f>IFERROR(__xludf.DUMMYFUNCTION("""COMPUTED_VALUE"""),446.85)</f>
        <v>446.85</v>
      </c>
      <c r="D2" s="6">
        <f>IFERROR(__xludf.DUMMYFUNCTION("""COMPUTED_VALUE"""),436.1)</f>
        <v>436.1</v>
      </c>
      <c r="E2" s="6">
        <f>IFERROR(__xludf.DUMMYFUNCTION("""COMPUTED_VALUE"""),441.05)</f>
        <v>441.05</v>
      </c>
      <c r="F2" s="6">
        <f>IFERROR(__xludf.DUMMYFUNCTION("""COMPUTED_VALUE"""),5.5094613E7)</f>
        <v>55094613</v>
      </c>
    </row>
    <row r="3">
      <c r="A3" s="7">
        <f>IFERROR(__xludf.DUMMYFUNCTION("""COMPUTED_VALUE"""),45177.64583333333)</f>
        <v>45177.64583</v>
      </c>
      <c r="B3" s="6">
        <f>IFERROR(__xludf.DUMMYFUNCTION("""COMPUTED_VALUE"""),443.35)</f>
        <v>443.35</v>
      </c>
      <c r="C3" s="6">
        <f>IFERROR(__xludf.DUMMYFUNCTION("""COMPUTED_VALUE"""),449.0)</f>
        <v>449</v>
      </c>
      <c r="D3" s="6">
        <f>IFERROR(__xludf.DUMMYFUNCTION("""COMPUTED_VALUE"""),436.65)</f>
        <v>436.65</v>
      </c>
      <c r="E3" s="6">
        <f>IFERROR(__xludf.DUMMYFUNCTION("""COMPUTED_VALUE"""),442.65)</f>
        <v>442.65</v>
      </c>
      <c r="F3" s="6">
        <f>IFERROR(__xludf.DUMMYFUNCTION("""COMPUTED_VALUE"""),5.2876448E7)</f>
        <v>52876448</v>
      </c>
    </row>
    <row r="4">
      <c r="A4" s="7">
        <f>IFERROR(__xludf.DUMMYFUNCTION("""COMPUTED_VALUE"""),45184.64583333333)</f>
        <v>45184.64583</v>
      </c>
      <c r="B4" s="6">
        <f>IFERROR(__xludf.DUMMYFUNCTION("""COMPUTED_VALUE"""),446.0)</f>
        <v>446</v>
      </c>
      <c r="C4" s="6">
        <f>IFERROR(__xludf.DUMMYFUNCTION("""COMPUTED_VALUE"""),457.0)</f>
        <v>457</v>
      </c>
      <c r="D4" s="6">
        <f>IFERROR(__xludf.DUMMYFUNCTION("""COMPUTED_VALUE"""),442.65)</f>
        <v>442.65</v>
      </c>
      <c r="E4" s="6">
        <f>IFERROR(__xludf.DUMMYFUNCTION("""COMPUTED_VALUE"""),448.35)</f>
        <v>448.35</v>
      </c>
      <c r="F4" s="6">
        <f>IFERROR(__xludf.DUMMYFUNCTION("""COMPUTED_VALUE"""),6.5048254E7)</f>
        <v>65048254</v>
      </c>
    </row>
    <row r="5">
      <c r="A5" s="7">
        <f>IFERROR(__xludf.DUMMYFUNCTION("""COMPUTED_VALUE"""),45191.64583333333)</f>
        <v>45191.64583</v>
      </c>
      <c r="B5" s="6">
        <f>IFERROR(__xludf.DUMMYFUNCTION("""COMPUTED_VALUE"""),448.35)</f>
        <v>448.35</v>
      </c>
      <c r="C5" s="6">
        <f>IFERROR(__xludf.DUMMYFUNCTION("""COMPUTED_VALUE"""),455.1)</f>
        <v>455.1</v>
      </c>
      <c r="D5" s="6">
        <f>IFERROR(__xludf.DUMMYFUNCTION("""COMPUTED_VALUE"""),442.25)</f>
        <v>442.25</v>
      </c>
      <c r="E5" s="6">
        <f>IFERROR(__xludf.DUMMYFUNCTION("""COMPUTED_VALUE"""),443.1)</f>
        <v>443.1</v>
      </c>
      <c r="F5" s="6">
        <f>IFERROR(__xludf.DUMMYFUNCTION("""COMPUTED_VALUE"""),3.6382853E7)</f>
        <v>36382853</v>
      </c>
    </row>
    <row r="6">
      <c r="A6" s="7">
        <f>IFERROR(__xludf.DUMMYFUNCTION("""COMPUTED_VALUE"""),45198.64583333333)</f>
        <v>45198.64583</v>
      </c>
      <c r="B6" s="6">
        <f>IFERROR(__xludf.DUMMYFUNCTION("""COMPUTED_VALUE"""),443.1)</f>
        <v>443.1</v>
      </c>
      <c r="C6" s="6">
        <f>IFERROR(__xludf.DUMMYFUNCTION("""COMPUTED_VALUE"""),449.95)</f>
        <v>449.95</v>
      </c>
      <c r="D6" s="6">
        <f>IFERROR(__xludf.DUMMYFUNCTION("""COMPUTED_VALUE"""),438.35)</f>
        <v>438.35</v>
      </c>
      <c r="E6" s="6">
        <f>IFERROR(__xludf.DUMMYFUNCTION("""COMPUTED_VALUE"""),444.4)</f>
        <v>444.4</v>
      </c>
      <c r="F6" s="6">
        <f>IFERROR(__xludf.DUMMYFUNCTION("""COMPUTED_VALUE"""),3.9978368E7)</f>
        <v>39978368</v>
      </c>
    </row>
    <row r="7">
      <c r="A7" s="7">
        <f>IFERROR(__xludf.DUMMYFUNCTION("""COMPUTED_VALUE"""),45205.64583333333)</f>
        <v>45205.64583</v>
      </c>
      <c r="B7" s="6">
        <f>IFERROR(__xludf.DUMMYFUNCTION("""COMPUTED_VALUE"""),441.0)</f>
        <v>441</v>
      </c>
      <c r="C7" s="6">
        <f>IFERROR(__xludf.DUMMYFUNCTION("""COMPUTED_VALUE"""),443.6)</f>
        <v>443.6</v>
      </c>
      <c r="D7" s="6">
        <f>IFERROR(__xludf.DUMMYFUNCTION("""COMPUTED_VALUE"""),433.3)</f>
        <v>433.3</v>
      </c>
      <c r="E7" s="6">
        <f>IFERROR(__xludf.DUMMYFUNCTION("""COMPUTED_VALUE"""),442.15)</f>
        <v>442.15</v>
      </c>
      <c r="F7" s="6">
        <f>IFERROR(__xludf.DUMMYFUNCTION("""COMPUTED_VALUE"""),3.9327429E7)</f>
        <v>39327429</v>
      </c>
    </row>
    <row r="8">
      <c r="A8" s="7">
        <f>IFERROR(__xludf.DUMMYFUNCTION("""COMPUTED_VALUE"""),45212.64583333333)</f>
        <v>45212.64583</v>
      </c>
      <c r="B8" s="6">
        <f>IFERROR(__xludf.DUMMYFUNCTION("""COMPUTED_VALUE"""),440.95)</f>
        <v>440.95</v>
      </c>
      <c r="C8" s="6">
        <f>IFERROR(__xludf.DUMMYFUNCTION("""COMPUTED_VALUE"""),452.5)</f>
        <v>452.5</v>
      </c>
      <c r="D8" s="6">
        <f>IFERROR(__xludf.DUMMYFUNCTION("""COMPUTED_VALUE"""),437.25)</f>
        <v>437.25</v>
      </c>
      <c r="E8" s="6">
        <f>IFERROR(__xludf.DUMMYFUNCTION("""COMPUTED_VALUE"""),448.35)</f>
        <v>448.35</v>
      </c>
      <c r="F8" s="6">
        <f>IFERROR(__xludf.DUMMYFUNCTION("""COMPUTED_VALUE"""),3.7684395E7)</f>
        <v>37684395</v>
      </c>
    </row>
    <row r="9">
      <c r="A9" s="7">
        <f>IFERROR(__xludf.DUMMYFUNCTION("""COMPUTED_VALUE"""),45219.64583333333)</f>
        <v>45219.64583</v>
      </c>
      <c r="B9" s="6">
        <f>IFERROR(__xludf.DUMMYFUNCTION("""COMPUTED_VALUE"""),448.0)</f>
        <v>448</v>
      </c>
      <c r="C9" s="6">
        <f>IFERROR(__xludf.DUMMYFUNCTION("""COMPUTED_VALUE"""),458.2)</f>
        <v>458.2</v>
      </c>
      <c r="D9" s="6">
        <f>IFERROR(__xludf.DUMMYFUNCTION("""COMPUTED_VALUE"""),437.35)</f>
        <v>437.35</v>
      </c>
      <c r="E9" s="6">
        <f>IFERROR(__xludf.DUMMYFUNCTION("""COMPUTED_VALUE"""),438.3)</f>
        <v>438.3</v>
      </c>
      <c r="F9" s="6">
        <f>IFERROR(__xludf.DUMMYFUNCTION("""COMPUTED_VALUE"""),4.0531957E7)</f>
        <v>40531957</v>
      </c>
    </row>
    <row r="10">
      <c r="A10" s="7">
        <f>IFERROR(__xludf.DUMMYFUNCTION("""COMPUTED_VALUE"""),45226.64583333333)</f>
        <v>45226.64583</v>
      </c>
      <c r="B10" s="6">
        <f>IFERROR(__xludf.DUMMYFUNCTION("""COMPUTED_VALUE"""),438.0)</f>
        <v>438</v>
      </c>
      <c r="C10" s="6">
        <f>IFERROR(__xludf.DUMMYFUNCTION("""COMPUTED_VALUE"""),439.95)</f>
        <v>439.95</v>
      </c>
      <c r="D10" s="6">
        <f>IFERROR(__xludf.DUMMYFUNCTION("""COMPUTED_VALUE"""),427.05)</f>
        <v>427.05</v>
      </c>
      <c r="E10" s="6">
        <f>IFERROR(__xludf.DUMMYFUNCTION("""COMPUTED_VALUE"""),433.75)</f>
        <v>433.75</v>
      </c>
      <c r="F10" s="6">
        <f>IFERROR(__xludf.DUMMYFUNCTION("""COMPUTED_VALUE"""),5.0098393E7)</f>
        <v>50098393</v>
      </c>
    </row>
    <row r="11">
      <c r="A11" s="7">
        <f>IFERROR(__xludf.DUMMYFUNCTION("""COMPUTED_VALUE"""),45233.64583333333)</f>
        <v>45233.64583</v>
      </c>
      <c r="B11" s="6">
        <f>IFERROR(__xludf.DUMMYFUNCTION("""COMPUTED_VALUE"""),434.55)</f>
        <v>434.55</v>
      </c>
      <c r="C11" s="6">
        <f>IFERROR(__xludf.DUMMYFUNCTION("""COMPUTED_VALUE"""),437.15)</f>
        <v>437.15</v>
      </c>
      <c r="D11" s="6">
        <f>IFERROR(__xludf.DUMMYFUNCTION("""COMPUTED_VALUE"""),425.5)</f>
        <v>425.5</v>
      </c>
      <c r="E11" s="6">
        <f>IFERROR(__xludf.DUMMYFUNCTION("""COMPUTED_VALUE"""),433.25)</f>
        <v>433.25</v>
      </c>
      <c r="F11" s="6">
        <f>IFERROR(__xludf.DUMMYFUNCTION("""COMPUTED_VALUE"""),4.6183063E7)</f>
        <v>46183063</v>
      </c>
    </row>
    <row r="12">
      <c r="A12" s="7">
        <f>IFERROR(__xludf.DUMMYFUNCTION("""COMPUTED_VALUE"""),45240.64583333333)</f>
        <v>45240.64583</v>
      </c>
      <c r="B12" s="6">
        <f>IFERROR(__xludf.DUMMYFUNCTION("""COMPUTED_VALUE"""),433.5)</f>
        <v>433.5</v>
      </c>
      <c r="C12" s="6">
        <f>IFERROR(__xludf.DUMMYFUNCTION("""COMPUTED_VALUE"""),438.0)</f>
        <v>438</v>
      </c>
      <c r="D12" s="6">
        <f>IFERROR(__xludf.DUMMYFUNCTION("""COMPUTED_VALUE"""),432.15)</f>
        <v>432.15</v>
      </c>
      <c r="E12" s="6">
        <f>IFERROR(__xludf.DUMMYFUNCTION("""COMPUTED_VALUE"""),436.55)</f>
        <v>436.55</v>
      </c>
      <c r="F12" s="6">
        <f>IFERROR(__xludf.DUMMYFUNCTION("""COMPUTED_VALUE"""),3.1277062E7)</f>
        <v>31277062</v>
      </c>
    </row>
    <row r="13">
      <c r="A13" s="7">
        <f>IFERROR(__xludf.DUMMYFUNCTION("""COMPUTED_VALUE"""),45247.64583333333)</f>
        <v>45247.64583</v>
      </c>
      <c r="B13" s="6">
        <f>IFERROR(__xludf.DUMMYFUNCTION("""COMPUTED_VALUE"""),438.85)</f>
        <v>438.85</v>
      </c>
      <c r="C13" s="6">
        <f>IFERROR(__xludf.DUMMYFUNCTION("""COMPUTED_VALUE"""),444.5)</f>
        <v>444.5</v>
      </c>
      <c r="D13" s="6">
        <f>IFERROR(__xludf.DUMMYFUNCTION("""COMPUTED_VALUE"""),435.0)</f>
        <v>435</v>
      </c>
      <c r="E13" s="6">
        <f>IFERROR(__xludf.DUMMYFUNCTION("""COMPUTED_VALUE"""),439.25)</f>
        <v>439.25</v>
      </c>
      <c r="F13" s="6">
        <f>IFERROR(__xludf.DUMMYFUNCTION("""COMPUTED_VALUE"""),2.9875633E7)</f>
        <v>29875633</v>
      </c>
    </row>
    <row r="14">
      <c r="A14" s="7">
        <f>IFERROR(__xludf.DUMMYFUNCTION("""COMPUTED_VALUE"""),45254.64583333333)</f>
        <v>45254.64583</v>
      </c>
      <c r="B14" s="6">
        <f>IFERROR(__xludf.DUMMYFUNCTION("""COMPUTED_VALUE"""),439.85)</f>
        <v>439.85</v>
      </c>
      <c r="C14" s="6">
        <f>IFERROR(__xludf.DUMMYFUNCTION("""COMPUTED_VALUE"""),442.25)</f>
        <v>442.25</v>
      </c>
      <c r="D14" s="6">
        <f>IFERROR(__xludf.DUMMYFUNCTION("""COMPUTED_VALUE"""),434.5)</f>
        <v>434.5</v>
      </c>
      <c r="E14" s="6">
        <f>IFERROR(__xludf.DUMMYFUNCTION("""COMPUTED_VALUE"""),437.8)</f>
        <v>437.8</v>
      </c>
      <c r="F14" s="6">
        <f>IFERROR(__xludf.DUMMYFUNCTION("""COMPUTED_VALUE"""),2.8408369E7)</f>
        <v>28408369</v>
      </c>
    </row>
    <row r="15">
      <c r="A15" s="7">
        <f>IFERROR(__xludf.DUMMYFUNCTION("""COMPUTED_VALUE"""),45261.64583333333)</f>
        <v>45261.64583</v>
      </c>
      <c r="B15" s="6">
        <f>IFERROR(__xludf.DUMMYFUNCTION("""COMPUTED_VALUE"""),438.0)</f>
        <v>438</v>
      </c>
      <c r="C15" s="6">
        <f>IFERROR(__xludf.DUMMYFUNCTION("""COMPUTED_VALUE"""),450.95)</f>
        <v>450.95</v>
      </c>
      <c r="D15" s="6">
        <f>IFERROR(__xludf.DUMMYFUNCTION("""COMPUTED_VALUE"""),434.15)</f>
        <v>434.15</v>
      </c>
      <c r="E15" s="6">
        <f>IFERROR(__xludf.DUMMYFUNCTION("""COMPUTED_VALUE"""),449.8)</f>
        <v>449.8</v>
      </c>
      <c r="F15" s="6">
        <f>IFERROR(__xludf.DUMMYFUNCTION("""COMPUTED_VALUE"""),5.6995268E7)</f>
        <v>56995268</v>
      </c>
    </row>
    <row r="16">
      <c r="A16" s="7">
        <f>IFERROR(__xludf.DUMMYFUNCTION("""COMPUTED_VALUE"""),45268.64583333333)</f>
        <v>45268.64583</v>
      </c>
      <c r="B16" s="6">
        <f>IFERROR(__xludf.DUMMYFUNCTION("""COMPUTED_VALUE"""),455.0)</f>
        <v>455</v>
      </c>
      <c r="C16" s="6">
        <f>IFERROR(__xludf.DUMMYFUNCTION("""COMPUTED_VALUE"""),464.8)</f>
        <v>464.8</v>
      </c>
      <c r="D16" s="6">
        <f>IFERROR(__xludf.DUMMYFUNCTION("""COMPUTED_VALUE"""),448.5)</f>
        <v>448.5</v>
      </c>
      <c r="E16" s="6">
        <f>IFERROR(__xludf.DUMMYFUNCTION("""COMPUTED_VALUE"""),449.15)</f>
        <v>449.15</v>
      </c>
      <c r="F16" s="6">
        <f>IFERROR(__xludf.DUMMYFUNCTION("""COMPUTED_VALUE"""),7.5332884E7)</f>
        <v>75332884</v>
      </c>
    </row>
    <row r="17">
      <c r="A17" s="7">
        <f>IFERROR(__xludf.DUMMYFUNCTION("""COMPUTED_VALUE"""),45275.64583333333)</f>
        <v>45275.64583</v>
      </c>
      <c r="B17" s="6">
        <f>IFERROR(__xludf.DUMMYFUNCTION("""COMPUTED_VALUE"""),451.5)</f>
        <v>451.5</v>
      </c>
      <c r="C17" s="6">
        <f>IFERROR(__xludf.DUMMYFUNCTION("""COMPUTED_VALUE"""),462.95)</f>
        <v>462.95</v>
      </c>
      <c r="D17" s="6">
        <f>IFERROR(__xludf.DUMMYFUNCTION("""COMPUTED_VALUE"""),449.3)</f>
        <v>449.3</v>
      </c>
      <c r="E17" s="6">
        <f>IFERROR(__xludf.DUMMYFUNCTION("""COMPUTED_VALUE"""),458.2)</f>
        <v>458.2</v>
      </c>
      <c r="F17" s="6">
        <f>IFERROR(__xludf.DUMMYFUNCTION("""COMPUTED_VALUE"""),5.820259E7)</f>
        <v>58202590</v>
      </c>
    </row>
    <row r="18">
      <c r="A18" s="7">
        <f>IFERROR(__xludf.DUMMYFUNCTION("""COMPUTED_VALUE"""),45282.64583333333)</f>
        <v>45282.64583</v>
      </c>
      <c r="B18" s="6">
        <f>IFERROR(__xludf.DUMMYFUNCTION("""COMPUTED_VALUE"""),455.0)</f>
        <v>455</v>
      </c>
      <c r="C18" s="6">
        <f>IFERROR(__xludf.DUMMYFUNCTION("""COMPUTED_VALUE"""),459.25)</f>
        <v>459.25</v>
      </c>
      <c r="D18" s="6">
        <f>IFERROR(__xludf.DUMMYFUNCTION("""COMPUTED_VALUE"""),444.45)</f>
        <v>444.45</v>
      </c>
      <c r="E18" s="6">
        <f>IFERROR(__xludf.DUMMYFUNCTION("""COMPUTED_VALUE"""),455.2)</f>
        <v>455.2</v>
      </c>
      <c r="F18" s="6">
        <f>IFERROR(__xludf.DUMMYFUNCTION("""COMPUTED_VALUE"""),5.4844982E7)</f>
        <v>54844982</v>
      </c>
    </row>
    <row r="19">
      <c r="A19" s="7">
        <f>IFERROR(__xludf.DUMMYFUNCTION("""COMPUTED_VALUE"""),45289.64583333333)</f>
        <v>45289.64583</v>
      </c>
      <c r="B19" s="6">
        <f>IFERROR(__xludf.DUMMYFUNCTION("""COMPUTED_VALUE"""),456.05)</f>
        <v>456.05</v>
      </c>
      <c r="C19" s="6">
        <f>IFERROR(__xludf.DUMMYFUNCTION("""COMPUTED_VALUE"""),467.9)</f>
        <v>467.9</v>
      </c>
      <c r="D19" s="6">
        <f>IFERROR(__xludf.DUMMYFUNCTION("""COMPUTED_VALUE"""),453.75)</f>
        <v>453.75</v>
      </c>
      <c r="E19" s="6">
        <f>IFERROR(__xludf.DUMMYFUNCTION("""COMPUTED_VALUE"""),462.1)</f>
        <v>462.1</v>
      </c>
      <c r="F19" s="6">
        <f>IFERROR(__xludf.DUMMYFUNCTION("""COMPUTED_VALUE"""),4.6999051E7)</f>
        <v>46999051</v>
      </c>
    </row>
    <row r="20">
      <c r="A20" s="7">
        <f>IFERROR(__xludf.DUMMYFUNCTION("""COMPUTED_VALUE"""),45296.64583333333)</f>
        <v>45296.64583</v>
      </c>
      <c r="B20" s="6">
        <f>IFERROR(__xludf.DUMMYFUNCTION("""COMPUTED_VALUE"""),463.5)</f>
        <v>463.5</v>
      </c>
      <c r="C20" s="6">
        <f>IFERROR(__xludf.DUMMYFUNCTION("""COMPUTED_VALUE"""),481.45)</f>
        <v>481.45</v>
      </c>
      <c r="D20" s="6">
        <f>IFERROR(__xludf.DUMMYFUNCTION("""COMPUTED_VALUE"""),462.65)</f>
        <v>462.65</v>
      </c>
      <c r="E20" s="6">
        <f>IFERROR(__xludf.DUMMYFUNCTION("""COMPUTED_VALUE"""),473.95)</f>
        <v>473.95</v>
      </c>
      <c r="F20" s="6">
        <f>IFERROR(__xludf.DUMMYFUNCTION("""COMPUTED_VALUE"""),6.4898424E7)</f>
        <v>64898424</v>
      </c>
    </row>
    <row r="21">
      <c r="A21" s="7">
        <f>IFERROR(__xludf.DUMMYFUNCTION("""COMPUTED_VALUE"""),45303.64583333333)</f>
        <v>45303.64583</v>
      </c>
      <c r="B21" s="6">
        <f>IFERROR(__xludf.DUMMYFUNCTION("""COMPUTED_VALUE"""),475.0)</f>
        <v>475</v>
      </c>
      <c r="C21" s="6">
        <f>IFERROR(__xludf.DUMMYFUNCTION("""COMPUTED_VALUE"""),475.5)</f>
        <v>475.5</v>
      </c>
      <c r="D21" s="6">
        <f>IFERROR(__xludf.DUMMYFUNCTION("""COMPUTED_VALUE"""),460.05)</f>
        <v>460.05</v>
      </c>
      <c r="E21" s="6">
        <f>IFERROR(__xludf.DUMMYFUNCTION("""COMPUTED_VALUE"""),466.7)</f>
        <v>466.7</v>
      </c>
      <c r="F21" s="6">
        <f>IFERROR(__xludf.DUMMYFUNCTION("""COMPUTED_VALUE"""),3.5485181E7)</f>
        <v>35485181</v>
      </c>
    </row>
    <row r="22">
      <c r="A22" s="7">
        <f>IFERROR(__xludf.DUMMYFUNCTION("""COMPUTED_VALUE"""),45316.64583333333)</f>
        <v>45316.64583</v>
      </c>
      <c r="B22" s="6">
        <f>IFERROR(__xludf.DUMMYFUNCTION("""COMPUTED_VALUE"""),473.75)</f>
        <v>473.75</v>
      </c>
      <c r="C22" s="6">
        <f>IFERROR(__xludf.DUMMYFUNCTION("""COMPUTED_VALUE"""),473.75)</f>
        <v>473.75</v>
      </c>
      <c r="D22" s="6">
        <f>IFERROR(__xludf.DUMMYFUNCTION("""COMPUTED_VALUE"""),452.1)</f>
        <v>452.1</v>
      </c>
      <c r="E22" s="6">
        <f>IFERROR(__xludf.DUMMYFUNCTION("""COMPUTED_VALUE"""),455.65)</f>
        <v>455.65</v>
      </c>
      <c r="F22" s="6">
        <f>IFERROR(__xludf.DUMMYFUNCTION("""COMPUTED_VALUE"""),4.9708396E7)</f>
        <v>49708396</v>
      </c>
    </row>
    <row r="23">
      <c r="A23" s="7">
        <f>IFERROR(__xludf.DUMMYFUNCTION("""COMPUTED_VALUE"""),45324.64583333333)</f>
        <v>45324.64583</v>
      </c>
      <c r="B23" s="6">
        <f>IFERROR(__xludf.DUMMYFUNCTION("""COMPUTED_VALUE"""),455.9)</f>
        <v>455.9</v>
      </c>
      <c r="C23" s="6">
        <f>IFERROR(__xludf.DUMMYFUNCTION("""COMPUTED_VALUE"""),457.25)</f>
        <v>457.25</v>
      </c>
      <c r="D23" s="6">
        <f>IFERROR(__xludf.DUMMYFUNCTION("""COMPUTED_VALUE"""),437.4)</f>
        <v>437.4</v>
      </c>
      <c r="E23" s="6">
        <f>IFERROR(__xludf.DUMMYFUNCTION("""COMPUTED_VALUE"""),440.1)</f>
        <v>440.1</v>
      </c>
      <c r="F23" s="6">
        <f>IFERROR(__xludf.DUMMYFUNCTION("""COMPUTED_VALUE"""),1.17587974E8)</f>
        <v>117587974</v>
      </c>
    </row>
    <row r="24">
      <c r="A24" s="7">
        <f>IFERROR(__xludf.DUMMYFUNCTION("""COMPUTED_VALUE"""),45331.64583333333)</f>
        <v>45331.64583</v>
      </c>
      <c r="B24" s="6">
        <f>IFERROR(__xludf.DUMMYFUNCTION("""COMPUTED_VALUE"""),442.0)</f>
        <v>442</v>
      </c>
      <c r="C24" s="6">
        <f>IFERROR(__xludf.DUMMYFUNCTION("""COMPUTED_VALUE"""),443.65)</f>
        <v>443.65</v>
      </c>
      <c r="D24" s="6">
        <f>IFERROR(__xludf.DUMMYFUNCTION("""COMPUTED_VALUE"""),408.6)</f>
        <v>408.6</v>
      </c>
      <c r="E24" s="6">
        <f>IFERROR(__xludf.DUMMYFUNCTION("""COMPUTED_VALUE"""),415.5)</f>
        <v>415.5</v>
      </c>
      <c r="F24" s="6">
        <f>IFERROR(__xludf.DUMMYFUNCTION("""COMPUTED_VALUE"""),1.24154939E8)</f>
        <v>124154939</v>
      </c>
    </row>
    <row r="25">
      <c r="A25" s="7">
        <f>IFERROR(__xludf.DUMMYFUNCTION("""COMPUTED_VALUE"""),45338.64583333333)</f>
        <v>45338.64583</v>
      </c>
      <c r="B25" s="6">
        <f>IFERROR(__xludf.DUMMYFUNCTION("""COMPUTED_VALUE"""),417.55)</f>
        <v>417.55</v>
      </c>
      <c r="C25" s="6">
        <f>IFERROR(__xludf.DUMMYFUNCTION("""COMPUTED_VALUE"""),418.0)</f>
        <v>418</v>
      </c>
      <c r="D25" s="6">
        <f>IFERROR(__xludf.DUMMYFUNCTION("""COMPUTED_VALUE"""),399.4)</f>
        <v>399.4</v>
      </c>
      <c r="E25" s="6">
        <f>IFERROR(__xludf.DUMMYFUNCTION("""COMPUTED_VALUE"""),404.6)</f>
        <v>404.6</v>
      </c>
      <c r="F25" s="6">
        <f>IFERROR(__xludf.DUMMYFUNCTION("""COMPUTED_VALUE"""),9.6566526E7)</f>
        <v>96566526</v>
      </c>
    </row>
    <row r="26">
      <c r="A26" s="7">
        <f>IFERROR(__xludf.DUMMYFUNCTION("""COMPUTED_VALUE"""),45345.64583333333)</f>
        <v>45345.64583</v>
      </c>
      <c r="B26" s="6">
        <f>IFERROR(__xludf.DUMMYFUNCTION("""COMPUTED_VALUE"""),405.0)</f>
        <v>405</v>
      </c>
      <c r="C26" s="6">
        <f>IFERROR(__xludf.DUMMYFUNCTION("""COMPUTED_VALUE"""),415.9)</f>
        <v>415.9</v>
      </c>
      <c r="D26" s="6">
        <f>IFERROR(__xludf.DUMMYFUNCTION("""COMPUTED_VALUE"""),401.3)</f>
        <v>401.3</v>
      </c>
      <c r="E26" s="6">
        <f>IFERROR(__xludf.DUMMYFUNCTION("""COMPUTED_VALUE"""),411.4)</f>
        <v>411.4</v>
      </c>
      <c r="F26" s="6">
        <f>IFERROR(__xludf.DUMMYFUNCTION("""COMPUTED_VALUE"""),8.0200959E7)</f>
        <v>80200959</v>
      </c>
    </row>
    <row r="27">
      <c r="A27" s="7">
        <f>IFERROR(__xludf.DUMMYFUNCTION("""COMPUTED_VALUE"""),45358.64583333333)</f>
        <v>45358.64583</v>
      </c>
      <c r="B27" s="6">
        <f>IFERROR(__xludf.DUMMYFUNCTION("""COMPUTED_VALUE"""),412.25)</f>
        <v>412.25</v>
      </c>
      <c r="C27" s="6">
        <f>IFERROR(__xludf.DUMMYFUNCTION("""COMPUTED_VALUE"""),414.95)</f>
        <v>414.95</v>
      </c>
      <c r="D27" s="6">
        <f>IFERROR(__xludf.DUMMYFUNCTION("""COMPUTED_VALUE"""),400.7)</f>
        <v>400.7</v>
      </c>
      <c r="E27" s="6">
        <f>IFERROR(__xludf.DUMMYFUNCTION("""COMPUTED_VALUE"""),413.55)</f>
        <v>413.55</v>
      </c>
      <c r="F27" s="6">
        <f>IFERROR(__xludf.DUMMYFUNCTION("""COMPUTED_VALUE"""),5.0701259E7)</f>
        <v>50701259</v>
      </c>
    </row>
    <row r="28">
      <c r="A28" s="7">
        <f>IFERROR(__xludf.DUMMYFUNCTION("""COMPUTED_VALUE"""),45366.64583333333)</f>
        <v>45366.64583</v>
      </c>
      <c r="B28" s="6">
        <f>IFERROR(__xludf.DUMMYFUNCTION("""COMPUTED_VALUE"""),416.8)</f>
        <v>416.8</v>
      </c>
      <c r="C28" s="6">
        <f>IFERROR(__xludf.DUMMYFUNCTION("""COMPUTED_VALUE"""),438.0)</f>
        <v>438</v>
      </c>
      <c r="D28" s="6">
        <f>IFERROR(__xludf.DUMMYFUNCTION("""COMPUTED_VALUE"""),399.35)</f>
        <v>399.35</v>
      </c>
      <c r="E28" s="6">
        <f>IFERROR(__xludf.DUMMYFUNCTION("""COMPUTED_VALUE"""),419.1)</f>
        <v>419.1</v>
      </c>
      <c r="F28" s="6">
        <f>IFERROR(__xludf.DUMMYFUNCTION("""COMPUTED_VALUE"""),2.5813363E8)</f>
        <v>258133630</v>
      </c>
    </row>
    <row r="29">
      <c r="A29" s="7">
        <f>IFERROR(__xludf.DUMMYFUNCTION("""COMPUTED_VALUE"""),45373.64583333333)</f>
        <v>45373.64583</v>
      </c>
      <c r="B29" s="6">
        <f>IFERROR(__xludf.DUMMYFUNCTION("""COMPUTED_VALUE"""),419.0)</f>
        <v>419</v>
      </c>
      <c r="C29" s="6">
        <f>IFERROR(__xludf.DUMMYFUNCTION("""COMPUTED_VALUE"""),429.65)</f>
        <v>429.65</v>
      </c>
      <c r="D29" s="6">
        <f>IFERROR(__xludf.DUMMYFUNCTION("""COMPUTED_VALUE"""),408.7)</f>
        <v>408.7</v>
      </c>
      <c r="E29" s="6">
        <f>IFERROR(__xludf.DUMMYFUNCTION("""COMPUTED_VALUE"""),428.6)</f>
        <v>428.6</v>
      </c>
      <c r="F29" s="6">
        <f>IFERROR(__xludf.DUMMYFUNCTION("""COMPUTED_VALUE"""),1.14627388E8)</f>
        <v>114627388</v>
      </c>
    </row>
    <row r="30">
      <c r="A30" s="7">
        <f>IFERROR(__xludf.DUMMYFUNCTION("""COMPUTED_VALUE"""),45379.64583333333)</f>
        <v>45379.64583</v>
      </c>
      <c r="B30" s="6">
        <f>IFERROR(__xludf.DUMMYFUNCTION("""COMPUTED_VALUE"""),425.55)</f>
        <v>425.55</v>
      </c>
      <c r="C30" s="6">
        <f>IFERROR(__xludf.DUMMYFUNCTION("""COMPUTED_VALUE"""),433.25)</f>
        <v>433.25</v>
      </c>
      <c r="D30" s="6">
        <f>IFERROR(__xludf.DUMMYFUNCTION("""COMPUTED_VALUE"""),425.55)</f>
        <v>425.55</v>
      </c>
      <c r="E30" s="6">
        <f>IFERROR(__xludf.DUMMYFUNCTION("""COMPUTED_VALUE"""),428.35)</f>
        <v>428.35</v>
      </c>
      <c r="F30" s="6">
        <f>IFERROR(__xludf.DUMMYFUNCTION("""COMPUTED_VALUE"""),5.0434901E7)</f>
        <v>50434901</v>
      </c>
    </row>
    <row r="31">
      <c r="A31" s="7">
        <f>IFERROR(__xludf.DUMMYFUNCTION("""COMPUTED_VALUE"""),45387.64583333333)</f>
        <v>45387.64583</v>
      </c>
      <c r="B31" s="6">
        <f>IFERROR(__xludf.DUMMYFUNCTION("""COMPUTED_VALUE"""),429.1)</f>
        <v>429.1</v>
      </c>
      <c r="C31" s="6">
        <f>IFERROR(__xludf.DUMMYFUNCTION("""COMPUTED_VALUE"""),431.7)</f>
        <v>431.7</v>
      </c>
      <c r="D31" s="6">
        <f>IFERROR(__xludf.DUMMYFUNCTION("""COMPUTED_VALUE"""),419.9)</f>
        <v>419.9</v>
      </c>
      <c r="E31" s="6">
        <f>IFERROR(__xludf.DUMMYFUNCTION("""COMPUTED_VALUE"""),427.55)</f>
        <v>427.55</v>
      </c>
      <c r="F31" s="6">
        <f>IFERROR(__xludf.DUMMYFUNCTION("""COMPUTED_VALUE"""),6.5405948E7)</f>
        <v>65405948</v>
      </c>
    </row>
    <row r="32">
      <c r="A32" s="7">
        <f>IFERROR(__xludf.DUMMYFUNCTION("""COMPUTED_VALUE"""),45394.64583333333)</f>
        <v>45394.64583</v>
      </c>
      <c r="B32" s="6">
        <f>IFERROR(__xludf.DUMMYFUNCTION("""COMPUTED_VALUE"""),428.3)</f>
        <v>428.3</v>
      </c>
      <c r="C32" s="6">
        <f>IFERROR(__xludf.DUMMYFUNCTION("""COMPUTED_VALUE"""),437.8)</f>
        <v>437.8</v>
      </c>
      <c r="D32" s="6">
        <f>IFERROR(__xludf.DUMMYFUNCTION("""COMPUTED_VALUE"""),425.55)</f>
        <v>425.55</v>
      </c>
      <c r="E32" s="6">
        <f>IFERROR(__xludf.DUMMYFUNCTION("""COMPUTED_VALUE"""),430.1)</f>
        <v>430.1</v>
      </c>
      <c r="F32" s="6">
        <f>IFERROR(__xludf.DUMMYFUNCTION("""COMPUTED_VALUE"""),4.7322022E7)</f>
        <v>47322022</v>
      </c>
    </row>
    <row r="33">
      <c r="A33" s="7">
        <f>IFERROR(__xludf.DUMMYFUNCTION("""COMPUTED_VALUE"""),45401.64583333333)</f>
        <v>45401.64583</v>
      </c>
      <c r="B33" s="6">
        <f>IFERROR(__xludf.DUMMYFUNCTION("""COMPUTED_VALUE"""),428.0)</f>
        <v>428</v>
      </c>
      <c r="C33" s="6">
        <f>IFERROR(__xludf.DUMMYFUNCTION("""COMPUTED_VALUE"""),429.15)</f>
        <v>429.15</v>
      </c>
      <c r="D33" s="6">
        <f>IFERROR(__xludf.DUMMYFUNCTION("""COMPUTED_VALUE"""),416.0)</f>
        <v>416</v>
      </c>
      <c r="E33" s="6">
        <f>IFERROR(__xludf.DUMMYFUNCTION("""COMPUTED_VALUE"""),424.75)</f>
        <v>424.75</v>
      </c>
      <c r="F33" s="6">
        <f>IFERROR(__xludf.DUMMYFUNCTION("""COMPUTED_VALUE"""),5.6614903E7)</f>
        <v>56614903</v>
      </c>
    </row>
    <row r="34">
      <c r="A34" s="7">
        <f>IFERROR(__xludf.DUMMYFUNCTION("""COMPUTED_VALUE"""),45408.64583333333)</f>
        <v>45408.64583</v>
      </c>
      <c r="B34" s="6">
        <f>IFERROR(__xludf.DUMMYFUNCTION("""COMPUTED_VALUE"""),427.0)</f>
        <v>427</v>
      </c>
      <c r="C34" s="6">
        <f>IFERROR(__xludf.DUMMYFUNCTION("""COMPUTED_VALUE"""),443.3)</f>
        <v>443.3</v>
      </c>
      <c r="D34" s="6">
        <f>IFERROR(__xludf.DUMMYFUNCTION("""COMPUTED_VALUE"""),423.35)</f>
        <v>423.35</v>
      </c>
      <c r="E34" s="6">
        <f>IFERROR(__xludf.DUMMYFUNCTION("""COMPUTED_VALUE"""),440.0)</f>
        <v>440</v>
      </c>
      <c r="F34" s="6">
        <f>IFERROR(__xludf.DUMMYFUNCTION("""COMPUTED_VALUE"""),6.8964685E7)</f>
        <v>68964685</v>
      </c>
    </row>
    <row r="35">
      <c r="A35" s="7">
        <f>IFERROR(__xludf.DUMMYFUNCTION("""COMPUTED_VALUE"""),45415.64583333333)</f>
        <v>45415.64583</v>
      </c>
      <c r="B35" s="6">
        <f>IFERROR(__xludf.DUMMYFUNCTION("""COMPUTED_VALUE"""),442.0)</f>
        <v>442</v>
      </c>
      <c r="C35" s="6">
        <f>IFERROR(__xludf.DUMMYFUNCTION("""COMPUTED_VALUE"""),442.6)</f>
        <v>442.6</v>
      </c>
      <c r="D35" s="6">
        <f>IFERROR(__xludf.DUMMYFUNCTION("""COMPUTED_VALUE"""),431.35)</f>
        <v>431.35</v>
      </c>
      <c r="E35" s="6">
        <f>IFERROR(__xludf.DUMMYFUNCTION("""COMPUTED_VALUE"""),436.45)</f>
        <v>436.45</v>
      </c>
      <c r="F35" s="6">
        <f>IFERROR(__xludf.DUMMYFUNCTION("""COMPUTED_VALUE"""),6.982511E7)</f>
        <v>69825110</v>
      </c>
    </row>
    <row r="36">
      <c r="A36" s="7">
        <f>IFERROR(__xludf.DUMMYFUNCTION("""COMPUTED_VALUE"""),45422.64583333333)</f>
        <v>45422.64583</v>
      </c>
      <c r="B36" s="6">
        <f>IFERROR(__xludf.DUMMYFUNCTION("""COMPUTED_VALUE"""),438.0)</f>
        <v>438</v>
      </c>
      <c r="C36" s="6">
        <f>IFERROR(__xludf.DUMMYFUNCTION("""COMPUTED_VALUE"""),446.0)</f>
        <v>446</v>
      </c>
      <c r="D36" s="6">
        <f>IFERROR(__xludf.DUMMYFUNCTION("""COMPUTED_VALUE"""),423.35)</f>
        <v>423.35</v>
      </c>
      <c r="E36" s="6">
        <f>IFERROR(__xludf.DUMMYFUNCTION("""COMPUTED_VALUE"""),433.35)</f>
        <v>433.35</v>
      </c>
      <c r="F36" s="6">
        <f>IFERROR(__xludf.DUMMYFUNCTION("""COMPUTED_VALUE"""),8.4234195E7)</f>
        <v>84234195</v>
      </c>
    </row>
    <row r="37">
      <c r="A37" s="7">
        <f>IFERROR(__xludf.DUMMYFUNCTION("""COMPUTED_VALUE"""),45436.64583333333)</f>
        <v>45436.64583</v>
      </c>
      <c r="B37" s="6">
        <f>IFERROR(__xludf.DUMMYFUNCTION("""COMPUTED_VALUE"""),436.0)</f>
        <v>436</v>
      </c>
      <c r="C37" s="6">
        <f>IFERROR(__xludf.DUMMYFUNCTION("""COMPUTED_VALUE"""),444.9)</f>
        <v>444.9</v>
      </c>
      <c r="D37" s="6">
        <f>IFERROR(__xludf.DUMMYFUNCTION("""COMPUTED_VALUE"""),433.2)</f>
        <v>433.2</v>
      </c>
      <c r="E37" s="6">
        <f>IFERROR(__xludf.DUMMYFUNCTION("""COMPUTED_VALUE"""),436.2)</f>
        <v>436.2</v>
      </c>
      <c r="F37" s="6">
        <f>IFERROR(__xludf.DUMMYFUNCTION("""COMPUTED_VALUE"""),6.0384147E7)</f>
        <v>60384147</v>
      </c>
    </row>
    <row r="38">
      <c r="A38" s="7">
        <f>IFERROR(__xludf.DUMMYFUNCTION("""COMPUTED_VALUE"""),45443.64583333333)</f>
        <v>45443.64583</v>
      </c>
      <c r="B38" s="6">
        <f>IFERROR(__xludf.DUMMYFUNCTION("""COMPUTED_VALUE"""),438.8)</f>
        <v>438.8</v>
      </c>
      <c r="C38" s="6">
        <f>IFERROR(__xludf.DUMMYFUNCTION("""COMPUTED_VALUE"""),438.9)</f>
        <v>438.9</v>
      </c>
      <c r="D38" s="6">
        <f>IFERROR(__xludf.DUMMYFUNCTION("""COMPUTED_VALUE"""),422.35)</f>
        <v>422.35</v>
      </c>
      <c r="E38" s="6">
        <f>IFERROR(__xludf.DUMMYFUNCTION("""COMPUTED_VALUE"""),426.45)</f>
        <v>426.45</v>
      </c>
      <c r="F38" s="6">
        <f>IFERROR(__xludf.DUMMYFUNCTION("""COMPUTED_VALUE"""),8.0306141E7)</f>
        <v>80306141</v>
      </c>
    </row>
    <row r="39">
      <c r="A39" s="7">
        <f>IFERROR(__xludf.DUMMYFUNCTION("""COMPUTED_VALUE"""),45450.64583333333)</f>
        <v>45450.64583</v>
      </c>
      <c r="B39" s="6">
        <f>IFERROR(__xludf.DUMMYFUNCTION("""COMPUTED_VALUE"""),434.0)</f>
        <v>434</v>
      </c>
      <c r="C39" s="6">
        <f>IFERROR(__xludf.DUMMYFUNCTION("""COMPUTED_VALUE"""),441.65)</f>
        <v>441.65</v>
      </c>
      <c r="D39" s="6">
        <f>IFERROR(__xludf.DUMMYFUNCTION("""COMPUTED_VALUE"""),402.85)</f>
        <v>402.85</v>
      </c>
      <c r="E39" s="6">
        <f>IFERROR(__xludf.DUMMYFUNCTION("""COMPUTED_VALUE"""),439.15)</f>
        <v>439.15</v>
      </c>
      <c r="F39" s="6">
        <f>IFERROR(__xludf.DUMMYFUNCTION("""COMPUTED_VALUE"""),1.48258171E8)</f>
        <v>148258171</v>
      </c>
    </row>
    <row r="40">
      <c r="A40" s="7">
        <f>IFERROR(__xludf.DUMMYFUNCTION("""COMPUTED_VALUE"""),45457.64583333333)</f>
        <v>45457.64583</v>
      </c>
      <c r="B40" s="6">
        <f>IFERROR(__xludf.DUMMYFUNCTION("""COMPUTED_VALUE"""),440.0)</f>
        <v>440</v>
      </c>
      <c r="C40" s="6">
        <f>IFERROR(__xludf.DUMMYFUNCTION("""COMPUTED_VALUE"""),441.0)</f>
        <v>441</v>
      </c>
      <c r="D40" s="6">
        <f>IFERROR(__xludf.DUMMYFUNCTION("""COMPUTED_VALUE"""),429.05)</f>
        <v>429.05</v>
      </c>
      <c r="E40" s="6">
        <f>IFERROR(__xludf.DUMMYFUNCTION("""COMPUTED_VALUE"""),431.15)</f>
        <v>431.15</v>
      </c>
      <c r="F40" s="6">
        <f>IFERROR(__xludf.DUMMYFUNCTION("""COMPUTED_VALUE"""),5.2957524E7)</f>
        <v>52957524</v>
      </c>
    </row>
    <row r="41">
      <c r="A41" s="7">
        <f>IFERROR(__xludf.DUMMYFUNCTION("""COMPUTED_VALUE"""),45464.64583333333)</f>
        <v>45464.64583</v>
      </c>
      <c r="B41" s="6">
        <f>IFERROR(__xludf.DUMMYFUNCTION("""COMPUTED_VALUE"""),433.0)</f>
        <v>433</v>
      </c>
      <c r="C41" s="6">
        <f>IFERROR(__xludf.DUMMYFUNCTION("""COMPUTED_VALUE"""),434.2)</f>
        <v>434.2</v>
      </c>
      <c r="D41" s="6">
        <f>IFERROR(__xludf.DUMMYFUNCTION("""COMPUTED_VALUE"""),418.55)</f>
        <v>418.55</v>
      </c>
      <c r="E41" s="6">
        <f>IFERROR(__xludf.DUMMYFUNCTION("""COMPUTED_VALUE"""),419.6)</f>
        <v>419.6</v>
      </c>
      <c r="F41" s="6">
        <f>IFERROR(__xludf.DUMMYFUNCTION("""COMPUTED_VALUE"""),6.4799414E7)</f>
        <v>64799414</v>
      </c>
    </row>
    <row r="42">
      <c r="A42" s="7">
        <f>IFERROR(__xludf.DUMMYFUNCTION("""COMPUTED_VALUE"""),45471.64583333333)</f>
        <v>45471.64583</v>
      </c>
      <c r="B42" s="6">
        <f>IFERROR(__xludf.DUMMYFUNCTION("""COMPUTED_VALUE"""),420.0)</f>
        <v>420</v>
      </c>
      <c r="C42" s="6">
        <f>IFERROR(__xludf.DUMMYFUNCTION("""COMPUTED_VALUE"""),428.0)</f>
        <v>428</v>
      </c>
      <c r="D42" s="6">
        <f>IFERROR(__xludf.DUMMYFUNCTION("""COMPUTED_VALUE"""),419.75)</f>
        <v>419.75</v>
      </c>
      <c r="E42" s="6">
        <f>IFERROR(__xludf.DUMMYFUNCTION("""COMPUTED_VALUE"""),424.9)</f>
        <v>424.9</v>
      </c>
      <c r="F42" s="6">
        <f>IFERROR(__xludf.DUMMYFUNCTION("""COMPUTED_VALUE"""),8.5586602E7)</f>
        <v>85586602</v>
      </c>
    </row>
    <row r="43">
      <c r="A43" s="7">
        <f>IFERROR(__xludf.DUMMYFUNCTION("""COMPUTED_VALUE"""),45478.64583333333)</f>
        <v>45478.64583</v>
      </c>
      <c r="B43" s="6">
        <f>IFERROR(__xludf.DUMMYFUNCTION("""COMPUTED_VALUE"""),426.3)</f>
        <v>426.3</v>
      </c>
      <c r="C43" s="6">
        <f>IFERROR(__xludf.DUMMYFUNCTION("""COMPUTED_VALUE"""),434.0)</f>
        <v>434</v>
      </c>
      <c r="D43" s="6">
        <f>IFERROR(__xludf.DUMMYFUNCTION("""COMPUTED_VALUE"""),422.55)</f>
        <v>422.55</v>
      </c>
      <c r="E43" s="6">
        <f>IFERROR(__xludf.DUMMYFUNCTION("""COMPUTED_VALUE"""),433.65)</f>
        <v>433.65</v>
      </c>
      <c r="F43" s="6">
        <f>IFERROR(__xludf.DUMMYFUNCTION("""COMPUTED_VALUE"""),5.2874764E7)</f>
        <v>52874764</v>
      </c>
    </row>
    <row r="44">
      <c r="A44" s="7">
        <f>IFERROR(__xludf.DUMMYFUNCTION("""COMPUTED_VALUE"""),45485.64583333333)</f>
        <v>45485.64583</v>
      </c>
      <c r="B44" s="6">
        <f>IFERROR(__xludf.DUMMYFUNCTION("""COMPUTED_VALUE"""),435.15)</f>
        <v>435.15</v>
      </c>
      <c r="C44" s="6">
        <f>IFERROR(__xludf.DUMMYFUNCTION("""COMPUTED_VALUE"""),463.25)</f>
        <v>463.25</v>
      </c>
      <c r="D44" s="6">
        <f>IFERROR(__xludf.DUMMYFUNCTION("""COMPUTED_VALUE"""),433.65)</f>
        <v>433.65</v>
      </c>
      <c r="E44" s="6">
        <f>IFERROR(__xludf.DUMMYFUNCTION("""COMPUTED_VALUE"""),459.05)</f>
        <v>459.05</v>
      </c>
      <c r="F44" s="6">
        <f>IFERROR(__xludf.DUMMYFUNCTION("""COMPUTED_VALUE"""),9.6403722E7)</f>
        <v>96403722</v>
      </c>
    </row>
    <row r="45">
      <c r="A45" s="7">
        <f>IFERROR(__xludf.DUMMYFUNCTION("""COMPUTED_VALUE"""),45492.64583333333)</f>
        <v>45492.64583</v>
      </c>
      <c r="B45" s="6">
        <f>IFERROR(__xludf.DUMMYFUNCTION("""COMPUTED_VALUE"""),459.05)</f>
        <v>459.05</v>
      </c>
      <c r="C45" s="6">
        <f>IFERROR(__xludf.DUMMYFUNCTION("""COMPUTED_VALUE"""),479.4)</f>
        <v>479.4</v>
      </c>
      <c r="D45" s="6">
        <f>IFERROR(__xludf.DUMMYFUNCTION("""COMPUTED_VALUE"""),457.2)</f>
        <v>457.2</v>
      </c>
      <c r="E45" s="6">
        <f>IFERROR(__xludf.DUMMYFUNCTION("""COMPUTED_VALUE"""),474.55)</f>
        <v>474.55</v>
      </c>
      <c r="F45" s="6">
        <f>IFERROR(__xludf.DUMMYFUNCTION("""COMPUTED_VALUE"""),7.5319853E7)</f>
        <v>75319853</v>
      </c>
    </row>
    <row r="46">
      <c r="A46" s="7">
        <f>IFERROR(__xludf.DUMMYFUNCTION("""COMPUTED_VALUE"""),45499.64583333333)</f>
        <v>45499.64583</v>
      </c>
      <c r="B46" s="6">
        <f>IFERROR(__xludf.DUMMYFUNCTION("""COMPUTED_VALUE"""),474.6)</f>
        <v>474.6</v>
      </c>
      <c r="C46" s="6">
        <f>IFERROR(__xludf.DUMMYFUNCTION("""COMPUTED_VALUE"""),510.65)</f>
        <v>510.65</v>
      </c>
      <c r="D46" s="6">
        <f>IFERROR(__xludf.DUMMYFUNCTION("""COMPUTED_VALUE"""),465.85)</f>
        <v>465.85</v>
      </c>
      <c r="E46" s="6">
        <f>IFERROR(__xludf.DUMMYFUNCTION("""COMPUTED_VALUE"""),502.2)</f>
        <v>502.2</v>
      </c>
      <c r="F46" s="6">
        <f>IFERROR(__xludf.DUMMYFUNCTION("""COMPUTED_VALUE"""),1.5279942E8)</f>
        <v>152799420</v>
      </c>
    </row>
    <row r="47">
      <c r="A47" s="7">
        <f>IFERROR(__xludf.DUMMYFUNCTION("""COMPUTED_VALUE"""),45506.64583333333)</f>
        <v>45506.64583</v>
      </c>
      <c r="B47" s="6">
        <f>IFERROR(__xludf.DUMMYFUNCTION("""COMPUTED_VALUE"""),505.5)</f>
        <v>505.5</v>
      </c>
      <c r="C47" s="6">
        <f>IFERROR(__xludf.DUMMYFUNCTION("""COMPUTED_VALUE"""),506.2)</f>
        <v>506.2</v>
      </c>
      <c r="D47" s="6">
        <f>IFERROR(__xludf.DUMMYFUNCTION("""COMPUTED_VALUE"""),484.8)</f>
        <v>484.8</v>
      </c>
      <c r="E47" s="6">
        <f>IFERROR(__xludf.DUMMYFUNCTION("""COMPUTED_VALUE"""),489.1)</f>
        <v>489.1</v>
      </c>
      <c r="F47" s="6">
        <f>IFERROR(__xludf.DUMMYFUNCTION("""COMPUTED_VALUE"""),7.0396609E7)</f>
        <v>70396609</v>
      </c>
    </row>
    <row r="48">
      <c r="A48" s="7">
        <f>IFERROR(__xludf.DUMMYFUNCTION("""COMPUTED_VALUE"""),45513.64583333333)</f>
        <v>45513.64583</v>
      </c>
      <c r="B48" s="6">
        <f>IFERROR(__xludf.DUMMYFUNCTION("""COMPUTED_VALUE"""),480.05)</f>
        <v>480.05</v>
      </c>
      <c r="C48" s="6">
        <f>IFERROR(__xludf.DUMMYFUNCTION("""COMPUTED_VALUE"""),498.0)</f>
        <v>498</v>
      </c>
      <c r="D48" s="6">
        <f>IFERROR(__xludf.DUMMYFUNCTION("""COMPUTED_VALUE"""),479.55)</f>
        <v>479.55</v>
      </c>
      <c r="E48" s="6">
        <f>IFERROR(__xludf.DUMMYFUNCTION("""COMPUTED_VALUE"""),495.9)</f>
        <v>495.9</v>
      </c>
      <c r="F48" s="6">
        <f>IFERROR(__xludf.DUMMYFUNCTION("""COMPUTED_VALUE"""),7.8477506E7)</f>
        <v>78477506</v>
      </c>
    </row>
    <row r="49">
      <c r="A49" s="7">
        <f>IFERROR(__xludf.DUMMYFUNCTION("""COMPUTED_VALUE"""),45520.64583333333)</f>
        <v>45520.64583</v>
      </c>
      <c r="B49" s="6">
        <f>IFERROR(__xludf.DUMMYFUNCTION("""COMPUTED_VALUE"""),492.0)</f>
        <v>492</v>
      </c>
      <c r="C49" s="6">
        <f>IFERROR(__xludf.DUMMYFUNCTION("""COMPUTED_VALUE"""),504.2)</f>
        <v>504.2</v>
      </c>
      <c r="D49" s="6">
        <f>IFERROR(__xludf.DUMMYFUNCTION("""COMPUTED_VALUE"""),488.25)</f>
        <v>488.25</v>
      </c>
      <c r="E49" s="6">
        <f>IFERROR(__xludf.DUMMYFUNCTION("""COMPUTED_VALUE"""),502.65)</f>
        <v>502.65</v>
      </c>
      <c r="F49" s="6">
        <f>IFERROR(__xludf.DUMMYFUNCTION("""COMPUTED_VALUE"""),3.9224793E7)</f>
        <v>39224793</v>
      </c>
    </row>
    <row r="50">
      <c r="A50" s="7">
        <f>IFERROR(__xludf.DUMMYFUNCTION("""COMPUTED_VALUE"""),45527.64583333333)</f>
        <v>45527.64583</v>
      </c>
      <c r="B50" s="6">
        <f>IFERROR(__xludf.DUMMYFUNCTION("""COMPUTED_VALUE"""),504.75)</f>
        <v>504.75</v>
      </c>
      <c r="C50" s="6">
        <f>IFERROR(__xludf.DUMMYFUNCTION("""COMPUTED_VALUE"""),509.3)</f>
        <v>509.3</v>
      </c>
      <c r="D50" s="6">
        <f>IFERROR(__xludf.DUMMYFUNCTION("""COMPUTED_VALUE"""),497.7)</f>
        <v>497.7</v>
      </c>
      <c r="E50" s="6">
        <f>IFERROR(__xludf.DUMMYFUNCTION("""COMPUTED_VALUE"""),505.8)</f>
        <v>505.8</v>
      </c>
      <c r="F50" s="6">
        <f>IFERROR(__xludf.DUMMYFUNCTION("""COMPUTED_VALUE"""),4.1562462E7)</f>
        <v>41562462</v>
      </c>
    </row>
    <row r="51">
      <c r="A51" s="7">
        <f>IFERROR(__xludf.DUMMYFUNCTION("""COMPUTED_VALUE"""),45534.64583333333)</f>
        <v>45534.64583</v>
      </c>
      <c r="B51" s="6">
        <f>IFERROR(__xludf.DUMMYFUNCTION("""COMPUTED_VALUE"""),506.0)</f>
        <v>506</v>
      </c>
      <c r="C51" s="6">
        <f>IFERROR(__xludf.DUMMYFUNCTION("""COMPUTED_VALUE"""),509.15)</f>
        <v>509.15</v>
      </c>
      <c r="D51" s="6">
        <f>IFERROR(__xludf.DUMMYFUNCTION("""COMPUTED_VALUE"""),496.5)</f>
        <v>496.5</v>
      </c>
      <c r="E51" s="6">
        <f>IFERROR(__xludf.DUMMYFUNCTION("""COMPUTED_VALUE"""),501.9)</f>
        <v>501.9</v>
      </c>
      <c r="F51" s="6">
        <f>IFERROR(__xludf.DUMMYFUNCTION("""COMPUTED_VALUE"""),5.7179669E7)</f>
        <v>57179669</v>
      </c>
    </row>
    <row r="52">
      <c r="A52" s="7">
        <f>IFERROR(__xludf.DUMMYFUNCTION("""COMPUTED_VALUE"""),45541.64583333333)</f>
        <v>45541.64583</v>
      </c>
      <c r="B52" s="6">
        <f>IFERROR(__xludf.DUMMYFUNCTION("""COMPUTED_VALUE"""),504.0)</f>
        <v>504</v>
      </c>
      <c r="C52" s="6">
        <f>IFERROR(__xludf.DUMMYFUNCTION("""COMPUTED_VALUE"""),515.95)</f>
        <v>515.95</v>
      </c>
      <c r="D52" s="6">
        <f>IFERROR(__xludf.DUMMYFUNCTION("""COMPUTED_VALUE"""),497.15)</f>
        <v>497.15</v>
      </c>
      <c r="E52" s="6">
        <f>IFERROR(__xludf.DUMMYFUNCTION("""COMPUTED_VALUE"""),501.7)</f>
        <v>501.7</v>
      </c>
      <c r="F52" s="6">
        <f>IFERROR(__xludf.DUMMYFUNCTION("""COMPUTED_VALUE"""),6.0934753E7)</f>
        <v>60934753</v>
      </c>
    </row>
    <row r="53">
      <c r="A53" s="7">
        <f>IFERROR(__xludf.DUMMYFUNCTION("""COMPUTED_VALUE"""),45548.64583333333)</f>
        <v>45548.64583</v>
      </c>
      <c r="B53" s="6">
        <f>IFERROR(__xludf.DUMMYFUNCTION("""COMPUTED_VALUE"""),502.0)</f>
        <v>502</v>
      </c>
      <c r="C53" s="6">
        <f>IFERROR(__xludf.DUMMYFUNCTION("""COMPUTED_VALUE"""),520.5)</f>
        <v>520.5</v>
      </c>
      <c r="D53" s="6">
        <f>IFERROR(__xludf.DUMMYFUNCTION("""COMPUTED_VALUE"""),500.35)</f>
        <v>500.35</v>
      </c>
      <c r="E53" s="6">
        <f>IFERROR(__xludf.DUMMYFUNCTION("""COMPUTED_VALUE"""),513.85)</f>
        <v>513.85</v>
      </c>
      <c r="F53" s="6">
        <f>IFERROR(__xludf.DUMMYFUNCTION("""COMPUTED_VALUE"""),6.6773614E7)</f>
        <v>66773614</v>
      </c>
    </row>
    <row r="54">
      <c r="A54" s="7">
        <f>IFERROR(__xludf.DUMMYFUNCTION("""COMPUTED_VALUE"""),45555.64583333333)</f>
        <v>45555.64583</v>
      </c>
      <c r="B54" s="6">
        <f>IFERROR(__xludf.DUMMYFUNCTION("""COMPUTED_VALUE"""),515.9)</f>
        <v>515.9</v>
      </c>
      <c r="C54" s="6">
        <f>IFERROR(__xludf.DUMMYFUNCTION("""COMPUTED_VALUE"""),517.35)</f>
        <v>517.35</v>
      </c>
      <c r="D54" s="6">
        <f>IFERROR(__xludf.DUMMYFUNCTION("""COMPUTED_VALUE"""),505.1)</f>
        <v>505.1</v>
      </c>
      <c r="E54" s="6">
        <f>IFERROR(__xludf.DUMMYFUNCTION("""COMPUTED_VALUE"""),514.4)</f>
        <v>514.4</v>
      </c>
      <c r="F54" s="6">
        <f>IFERROR(__xludf.DUMMYFUNCTION("""COMPUTED_VALUE"""),6.1180743E7)</f>
        <v>61180743</v>
      </c>
    </row>
    <row r="55">
      <c r="A55" s="7">
        <f>IFERROR(__xludf.DUMMYFUNCTION("""COMPUTED_VALUE"""),45562.64583333333)</f>
        <v>45562.64583</v>
      </c>
      <c r="B55" s="6">
        <f>IFERROR(__xludf.DUMMYFUNCTION("""COMPUTED_VALUE"""),515.45)</f>
        <v>515.45</v>
      </c>
      <c r="C55" s="6">
        <f>IFERROR(__xludf.DUMMYFUNCTION("""COMPUTED_VALUE"""),528.5)</f>
        <v>528.5</v>
      </c>
      <c r="D55" s="6">
        <f>IFERROR(__xludf.DUMMYFUNCTION("""COMPUTED_VALUE"""),512.3)</f>
        <v>512.3</v>
      </c>
      <c r="E55" s="6">
        <f>IFERROR(__xludf.DUMMYFUNCTION("""COMPUTED_VALUE"""),522.7)</f>
        <v>522.7</v>
      </c>
      <c r="F55" s="6">
        <f>IFERROR(__xludf.DUMMYFUNCTION("""COMPUTED_VALUE"""),5.5778414E7)</f>
        <v>55778414</v>
      </c>
    </row>
    <row r="56">
      <c r="A56" s="7">
        <f>IFERROR(__xludf.DUMMYFUNCTION("""COMPUTED_VALUE"""),45569.64583333333)</f>
        <v>45569.64583</v>
      </c>
      <c r="B56" s="6">
        <f>IFERROR(__xludf.DUMMYFUNCTION("""COMPUTED_VALUE"""),520.6)</f>
        <v>520.6</v>
      </c>
      <c r="C56" s="6">
        <f>IFERROR(__xludf.DUMMYFUNCTION("""COMPUTED_VALUE"""),524.35)</f>
        <v>524.35</v>
      </c>
      <c r="D56" s="6">
        <f>IFERROR(__xludf.DUMMYFUNCTION("""COMPUTED_VALUE"""),501.55)</f>
        <v>501.55</v>
      </c>
      <c r="E56" s="6">
        <f>IFERROR(__xludf.DUMMYFUNCTION("""COMPUTED_VALUE"""),503.55)</f>
        <v>503.55</v>
      </c>
      <c r="F56" s="6">
        <f>IFERROR(__xludf.DUMMYFUNCTION("""COMPUTED_VALUE"""),4.9719721E7)</f>
        <v>49719721</v>
      </c>
    </row>
    <row r="57">
      <c r="A57" s="7">
        <f>IFERROR(__xludf.DUMMYFUNCTION("""COMPUTED_VALUE"""),45576.64583333333)</f>
        <v>45576.64583</v>
      </c>
      <c r="B57" s="6">
        <f>IFERROR(__xludf.DUMMYFUNCTION("""COMPUTED_VALUE"""),507.0)</f>
        <v>507</v>
      </c>
      <c r="C57" s="6">
        <f>IFERROR(__xludf.DUMMYFUNCTION("""COMPUTED_VALUE"""),514.95)</f>
        <v>514.95</v>
      </c>
      <c r="D57" s="6">
        <f>IFERROR(__xludf.DUMMYFUNCTION("""COMPUTED_VALUE"""),487.4)</f>
        <v>487.4</v>
      </c>
      <c r="E57" s="6">
        <f>IFERROR(__xludf.DUMMYFUNCTION("""COMPUTED_VALUE"""),488.2)</f>
        <v>488.2</v>
      </c>
      <c r="F57" s="6">
        <f>IFERROR(__xludf.DUMMYFUNCTION("""COMPUTED_VALUE"""),7.7128917E7)</f>
        <v>77128917</v>
      </c>
    </row>
    <row r="58">
      <c r="A58" s="7">
        <f>IFERROR(__xludf.DUMMYFUNCTION("""COMPUTED_VALUE"""),45583.64583333333)</f>
        <v>45583.64583</v>
      </c>
      <c r="B58" s="6">
        <f>IFERROR(__xludf.DUMMYFUNCTION("""COMPUTED_VALUE"""),491.0)</f>
        <v>491</v>
      </c>
      <c r="C58" s="6">
        <f>IFERROR(__xludf.DUMMYFUNCTION("""COMPUTED_VALUE"""),499.4)</f>
        <v>499.4</v>
      </c>
      <c r="D58" s="6">
        <f>IFERROR(__xludf.DUMMYFUNCTION("""COMPUTED_VALUE"""),478.4)</f>
        <v>478.4</v>
      </c>
      <c r="E58" s="6">
        <f>IFERROR(__xludf.DUMMYFUNCTION("""COMPUTED_VALUE"""),486.7)</f>
        <v>486.7</v>
      </c>
      <c r="F58" s="6">
        <f>IFERROR(__xludf.DUMMYFUNCTION("""COMPUTED_VALUE"""),5.0595246E7)</f>
        <v>50595246</v>
      </c>
    </row>
    <row r="59">
      <c r="A59" s="7">
        <f>IFERROR(__xludf.DUMMYFUNCTION("""COMPUTED_VALUE"""),45590.64583333333)</f>
        <v>45590.64583</v>
      </c>
      <c r="B59" s="6">
        <f>IFERROR(__xludf.DUMMYFUNCTION("""COMPUTED_VALUE"""),486.7)</f>
        <v>486.7</v>
      </c>
      <c r="C59" s="6">
        <f>IFERROR(__xludf.DUMMYFUNCTION("""COMPUTED_VALUE"""),493.5)</f>
        <v>493.5</v>
      </c>
      <c r="D59" s="6">
        <f>IFERROR(__xludf.DUMMYFUNCTION("""COMPUTED_VALUE"""),470.0)</f>
        <v>470</v>
      </c>
      <c r="E59" s="6">
        <f>IFERROR(__xludf.DUMMYFUNCTION("""COMPUTED_VALUE"""),482.3)</f>
        <v>482.3</v>
      </c>
      <c r="F59" s="6">
        <f>IFERROR(__xludf.DUMMYFUNCTION("""COMPUTED_VALUE"""),7.3911156E7)</f>
        <v>73911156</v>
      </c>
    </row>
    <row r="60">
      <c r="A60" s="7">
        <f>IFERROR(__xludf.DUMMYFUNCTION("""COMPUTED_VALUE"""),45604.64583333333)</f>
        <v>45604.64583</v>
      </c>
      <c r="B60" s="6">
        <f>IFERROR(__xludf.DUMMYFUNCTION("""COMPUTED_VALUE"""),493.45)</f>
        <v>493.45</v>
      </c>
      <c r="C60" s="6">
        <f>IFERROR(__xludf.DUMMYFUNCTION("""COMPUTED_VALUE"""),493.45)</f>
        <v>493.45</v>
      </c>
      <c r="D60" s="6">
        <f>IFERROR(__xludf.DUMMYFUNCTION("""COMPUTED_VALUE"""),474.6)</f>
        <v>474.6</v>
      </c>
      <c r="E60" s="6">
        <f>IFERROR(__xludf.DUMMYFUNCTION("""COMPUTED_VALUE"""),478.05)</f>
        <v>478.05</v>
      </c>
      <c r="F60" s="6">
        <f>IFERROR(__xludf.DUMMYFUNCTION("""COMPUTED_VALUE"""),4.2086288E7)</f>
        <v>42086288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IFERROR(__xludf.DUMMYFUNCTION("""COMPUTED_VALUE"""),478.05)</f>
        <v>478.05</v>
      </c>
      <c r="C61" s="6">
        <f>IFERROR(__xludf.DUMMYFUNCTION("""COMPUTED_VALUE"""),481.5)</f>
        <v>481.5</v>
      </c>
      <c r="D61" s="6">
        <f>IFERROR(__xludf.DUMMYFUNCTION("""COMPUTED_VALUE"""),462.25)</f>
        <v>462.25</v>
      </c>
      <c r="E61" s="6">
        <f>IFERROR(__xludf.DUMMYFUNCTION("""COMPUTED_VALUE"""),465.95)</f>
        <v>465.95</v>
      </c>
      <c r="F61" s="6">
        <f>IFERROR(__xludf.DUMMYFUNCTION("""COMPUTED_VALUE"""),3.3290807E7)</f>
        <v>33290807</v>
      </c>
    </row>
    <row r="62">
      <c r="A62" s="7">
        <f>IFERROR(__xludf.DUMMYFUNCTION("""COMPUTED_VALUE"""),45618.64583333333)</f>
        <v>45618.64583</v>
      </c>
      <c r="B62" s="6">
        <f>IFERROR(__xludf.DUMMYFUNCTION("""COMPUTED_VALUE"""),466.0)</f>
        <v>466</v>
      </c>
      <c r="C62" s="6">
        <f>IFERROR(__xludf.DUMMYFUNCTION("""COMPUTED_VALUE"""),476.5)</f>
        <v>476.5</v>
      </c>
      <c r="D62" s="6">
        <f>IFERROR(__xludf.DUMMYFUNCTION("""COMPUTED_VALUE"""),455.4)</f>
        <v>455.4</v>
      </c>
      <c r="E62" s="6">
        <f>IFERROR(__xludf.DUMMYFUNCTION("""COMPUTED_VALUE"""),474.65)</f>
        <v>474.65</v>
      </c>
      <c r="F62" s="6">
        <f>IFERROR(__xludf.DUMMYFUNCTION("""COMPUTED_VALUE"""),5.4017049E7)</f>
        <v>54017049</v>
      </c>
    </row>
    <row r="63">
      <c r="A63" s="7">
        <f>IFERROR(__xludf.DUMMYFUNCTION("""COMPUTED_VALUE"""),45625.64583333333)</f>
        <v>45625.64583</v>
      </c>
      <c r="B63" s="6">
        <f>IFERROR(__xludf.DUMMYFUNCTION("""COMPUTED_VALUE"""),479.0)</f>
        <v>479</v>
      </c>
      <c r="C63" s="6">
        <f>IFERROR(__xludf.DUMMYFUNCTION("""COMPUTED_VALUE"""),483.8)</f>
        <v>483.8</v>
      </c>
      <c r="D63" s="6">
        <f>IFERROR(__xludf.DUMMYFUNCTION("""COMPUTED_VALUE"""),470.55)</f>
        <v>470.55</v>
      </c>
      <c r="E63" s="6">
        <f>IFERROR(__xludf.DUMMYFUNCTION("""COMPUTED_VALUE"""),476.75)</f>
        <v>476.75</v>
      </c>
      <c r="F63" s="6">
        <f>IFERROR(__xludf.DUMMYFUNCTION("""COMPUTED_VALUE"""),5.0258076E7)</f>
        <v>50258076</v>
      </c>
    </row>
    <row r="64">
      <c r="A64" s="7">
        <f>IFERROR(__xludf.DUMMYFUNCTION("""COMPUTED_VALUE"""),45632.64583333333)</f>
        <v>45632.64583</v>
      </c>
      <c r="B64" s="6">
        <f>IFERROR(__xludf.DUMMYFUNCTION("""COMPUTED_VALUE"""),476.0)</f>
        <v>476</v>
      </c>
      <c r="C64" s="6">
        <f>IFERROR(__xludf.DUMMYFUNCTION("""COMPUTED_VALUE"""),479.3)</f>
        <v>479.3</v>
      </c>
      <c r="D64" s="6">
        <f>IFERROR(__xludf.DUMMYFUNCTION("""COMPUTED_VALUE"""),462.5)</f>
        <v>462.5</v>
      </c>
      <c r="E64" s="6">
        <f>IFERROR(__xludf.DUMMYFUNCTION("""COMPUTED_VALUE"""),471.15)</f>
        <v>471.15</v>
      </c>
      <c r="F64" s="6">
        <f>IFERROR(__xludf.DUMMYFUNCTION("""COMPUTED_VALUE"""),7.5102793E7)</f>
        <v>75102793</v>
      </c>
    </row>
    <row r="65">
      <c r="A65" s="7">
        <f>IFERROR(__xludf.DUMMYFUNCTION("""COMPUTED_VALUE"""),45639.64583333333)</f>
        <v>45639.64583</v>
      </c>
      <c r="B65" s="6">
        <f>IFERROR(__xludf.DUMMYFUNCTION("""COMPUTED_VALUE"""),471.5)</f>
        <v>471.5</v>
      </c>
      <c r="C65" s="6">
        <f>IFERROR(__xludf.DUMMYFUNCTION("""COMPUTED_VALUE"""),474.4)</f>
        <v>474.4</v>
      </c>
      <c r="D65" s="6">
        <f>IFERROR(__xludf.DUMMYFUNCTION("""COMPUTED_VALUE"""),451.65)</f>
        <v>451.65</v>
      </c>
      <c r="E65" s="6">
        <f>IFERROR(__xludf.DUMMYFUNCTION("""COMPUTED_VALUE"""),470.0)</f>
        <v>470</v>
      </c>
      <c r="F65" s="6">
        <f>IFERROR(__xludf.DUMMYFUNCTION("""COMPUTED_VALUE"""),7.1911264E7)</f>
        <v>71911264</v>
      </c>
    </row>
    <row r="66">
      <c r="A66" s="7">
        <f>IFERROR(__xludf.DUMMYFUNCTION("""COMPUTED_VALUE"""),45646.64583333333)</f>
        <v>45646.64583</v>
      </c>
      <c r="B66" s="6">
        <f>IFERROR(__xludf.DUMMYFUNCTION("""COMPUTED_VALUE"""),470.25)</f>
        <v>470.25</v>
      </c>
      <c r="C66" s="6">
        <f>IFERROR(__xludf.DUMMYFUNCTION("""COMPUTED_VALUE"""),475.8)</f>
        <v>475.8</v>
      </c>
      <c r="D66" s="6">
        <f>IFERROR(__xludf.DUMMYFUNCTION("""COMPUTED_VALUE"""),459.3)</f>
        <v>459.3</v>
      </c>
      <c r="E66" s="6">
        <f>IFERROR(__xludf.DUMMYFUNCTION("""COMPUTED_VALUE"""),464.65)</f>
        <v>464.65</v>
      </c>
      <c r="F66" s="6">
        <f>IFERROR(__xludf.DUMMYFUNCTION("""COMPUTED_VALUE"""),7.5297141E7)</f>
        <v>75297141</v>
      </c>
    </row>
    <row r="67">
      <c r="A67" s="7">
        <f>IFERROR(__xludf.DUMMYFUNCTION("""COMPUTED_VALUE"""),45653.64583333333)</f>
        <v>45653.64583</v>
      </c>
      <c r="B67" s="6">
        <f>IFERROR(__xludf.DUMMYFUNCTION("""COMPUTED_VALUE"""),471.2)</f>
        <v>471.2</v>
      </c>
      <c r="C67" s="6">
        <f>IFERROR(__xludf.DUMMYFUNCTION("""COMPUTED_VALUE"""),481.9)</f>
        <v>481.9</v>
      </c>
      <c r="D67" s="6">
        <f>IFERROR(__xludf.DUMMYFUNCTION("""COMPUTED_VALUE"""),467.6)</f>
        <v>467.6</v>
      </c>
      <c r="E67" s="6">
        <f>IFERROR(__xludf.DUMMYFUNCTION("""COMPUTED_VALUE"""),478.6)</f>
        <v>478.6</v>
      </c>
      <c r="F67" s="6">
        <f>IFERROR(__xludf.DUMMYFUNCTION("""COMPUTED_VALUE"""),5.5529481E7)</f>
        <v>55529481</v>
      </c>
    </row>
    <row r="68">
      <c r="A68" s="7">
        <f>IFERROR(__xludf.DUMMYFUNCTION("""COMPUTED_VALUE"""),45660.64583333333)</f>
        <v>45660.64583</v>
      </c>
      <c r="B68" s="6">
        <f>IFERROR(__xludf.DUMMYFUNCTION("""COMPUTED_VALUE"""),480.75)</f>
        <v>480.75</v>
      </c>
      <c r="C68" s="6">
        <f>IFERROR(__xludf.DUMMYFUNCTION("""COMPUTED_VALUE"""),491.0)</f>
        <v>491</v>
      </c>
      <c r="D68" s="6">
        <f>IFERROR(__xludf.DUMMYFUNCTION("""COMPUTED_VALUE"""),474.55)</f>
        <v>474.55</v>
      </c>
      <c r="E68" s="6">
        <f>IFERROR(__xludf.DUMMYFUNCTION("""COMPUTED_VALUE"""),481.6)</f>
        <v>481.6</v>
      </c>
      <c r="F68" s="6">
        <f>IFERROR(__xludf.DUMMYFUNCTION("""COMPUTED_VALUE"""),1.07778105E8)</f>
        <v>107778105</v>
      </c>
    </row>
    <row r="69">
      <c r="A69" s="7">
        <f>IFERROR(__xludf.DUMMYFUNCTION("""COMPUTED_VALUE"""),45667.64583333333)</f>
        <v>45667.64583</v>
      </c>
      <c r="B69" s="6">
        <f>IFERROR(__xludf.DUMMYFUNCTION("""COMPUTED_VALUE"""),455.6)</f>
        <v>455.6</v>
      </c>
      <c r="C69" s="6">
        <f>IFERROR(__xludf.DUMMYFUNCTION("""COMPUTED_VALUE"""),461.75)</f>
        <v>461.75</v>
      </c>
      <c r="D69" s="6">
        <f>IFERROR(__xludf.DUMMYFUNCTION("""COMPUTED_VALUE"""),437.1)</f>
        <v>437.1</v>
      </c>
      <c r="E69" s="6">
        <f>IFERROR(__xludf.DUMMYFUNCTION("""COMPUTED_VALUE"""),444.9)</f>
        <v>444.9</v>
      </c>
      <c r="F69" s="6">
        <f>IFERROR(__xludf.DUMMYFUNCTION("""COMPUTED_VALUE"""),7.8666042E7)</f>
        <v>78666042</v>
      </c>
    </row>
    <row r="70">
      <c r="A70" s="7">
        <f>IFERROR(__xludf.DUMMYFUNCTION("""COMPUTED_VALUE"""),45674.64583333333)</f>
        <v>45674.64583</v>
      </c>
      <c r="B70" s="6">
        <f>IFERROR(__xludf.DUMMYFUNCTION("""COMPUTED_VALUE"""),435.0)</f>
        <v>435</v>
      </c>
      <c r="C70" s="6">
        <f>IFERROR(__xludf.DUMMYFUNCTION("""COMPUTED_VALUE"""),444.0)</f>
        <v>444</v>
      </c>
      <c r="D70" s="6">
        <f>IFERROR(__xludf.DUMMYFUNCTION("""COMPUTED_VALUE"""),431.1)</f>
        <v>431.1</v>
      </c>
      <c r="E70" s="6">
        <f>IFERROR(__xludf.DUMMYFUNCTION("""COMPUTED_VALUE"""),440.2)</f>
        <v>440.2</v>
      </c>
      <c r="F70" s="6">
        <f>IFERROR(__xludf.DUMMYFUNCTION("""COMPUTED_VALUE"""),7.2679002E7)</f>
        <v>72679002</v>
      </c>
    </row>
    <row r="71">
      <c r="A71" s="7">
        <f>IFERROR(__xludf.DUMMYFUNCTION("""COMPUTED_VALUE"""),45681.64583333333)</f>
        <v>45681.64583</v>
      </c>
      <c r="B71" s="6">
        <f>IFERROR(__xludf.DUMMYFUNCTION("""COMPUTED_VALUE"""),439.0)</f>
        <v>439</v>
      </c>
      <c r="C71" s="6">
        <f>IFERROR(__xludf.DUMMYFUNCTION("""COMPUTED_VALUE"""),447.0)</f>
        <v>447</v>
      </c>
      <c r="D71" s="6">
        <f>IFERROR(__xludf.DUMMYFUNCTION("""COMPUTED_VALUE"""),434.1)</f>
        <v>434.1</v>
      </c>
      <c r="E71" s="6">
        <f>IFERROR(__xludf.DUMMYFUNCTION("""COMPUTED_VALUE"""),441.6)</f>
        <v>441.6</v>
      </c>
      <c r="F71" s="6">
        <f>IFERROR(__xludf.DUMMYFUNCTION("""COMPUTED_VALUE"""),5.2602551E7)</f>
        <v>52602551</v>
      </c>
    </row>
    <row r="72">
      <c r="A72" s="7">
        <f>IFERROR(__xludf.DUMMYFUNCTION("""COMPUTED_VALUE"""),45695.64583333333)</f>
        <v>45695.64583</v>
      </c>
      <c r="B72" s="6">
        <f>IFERROR(__xludf.DUMMYFUNCTION("""COMPUTED_VALUE"""),462.0)</f>
        <v>462</v>
      </c>
      <c r="C72" s="6">
        <f>IFERROR(__xludf.DUMMYFUNCTION("""COMPUTED_VALUE"""),465.2)</f>
        <v>465.2</v>
      </c>
      <c r="D72" s="6">
        <f>IFERROR(__xludf.DUMMYFUNCTION("""COMPUTED_VALUE"""),428.4)</f>
        <v>428.4</v>
      </c>
      <c r="E72" s="6">
        <f>IFERROR(__xludf.DUMMYFUNCTION("""COMPUTED_VALUE"""),430.85)</f>
        <v>430.85</v>
      </c>
      <c r="F72" s="6">
        <f>IFERROR(__xludf.DUMMYFUNCTION("""COMPUTED_VALUE"""),8.5096805E7)</f>
        <v>85096805</v>
      </c>
    </row>
    <row r="73">
      <c r="A73" s="7">
        <f>IFERROR(__xludf.DUMMYFUNCTION("""COMPUTED_VALUE"""),45702.64583333333)</f>
        <v>45702.64583</v>
      </c>
      <c r="B73" s="6">
        <f>IFERROR(__xludf.DUMMYFUNCTION("""COMPUTED_VALUE"""),427.0)</f>
        <v>427</v>
      </c>
      <c r="C73" s="6">
        <f>IFERROR(__xludf.DUMMYFUNCTION("""COMPUTED_VALUE"""),433.3)</f>
        <v>433.3</v>
      </c>
      <c r="D73" s="6">
        <f>IFERROR(__xludf.DUMMYFUNCTION("""COMPUTED_VALUE"""),407.6)</f>
        <v>407.6</v>
      </c>
      <c r="E73" s="6">
        <f>IFERROR(__xludf.DUMMYFUNCTION("""COMPUTED_VALUE"""),410.25)</f>
        <v>410.25</v>
      </c>
      <c r="F73" s="6">
        <f>IFERROR(__xludf.DUMMYFUNCTION("""COMPUTED_VALUE"""),6.751373E7)</f>
        <v>67513730</v>
      </c>
    </row>
    <row r="74">
      <c r="A74" s="7">
        <f>IFERROR(__xludf.DUMMYFUNCTION("""COMPUTED_VALUE"""),45709.64583333333)</f>
        <v>45709.64583</v>
      </c>
      <c r="B74" s="6">
        <f>IFERROR(__xludf.DUMMYFUNCTION("""COMPUTED_VALUE"""),409.8)</f>
        <v>409.8</v>
      </c>
      <c r="C74" s="6">
        <f>IFERROR(__xludf.DUMMYFUNCTION("""COMPUTED_VALUE"""),411.4)</f>
        <v>411.4</v>
      </c>
      <c r="D74" s="6">
        <f>IFERROR(__xludf.DUMMYFUNCTION("""COMPUTED_VALUE"""),396.2)</f>
        <v>396.2</v>
      </c>
      <c r="E74" s="6">
        <f>IFERROR(__xludf.DUMMYFUNCTION("""COMPUTED_VALUE"""),400.9)</f>
        <v>400.9</v>
      </c>
      <c r="F74" s="6">
        <f>IFERROR(__xludf.DUMMYFUNCTION("""COMPUTED_VALUE"""),5.5649271E7)</f>
        <v>55649271</v>
      </c>
    </row>
    <row r="75">
      <c r="A75" s="7">
        <f>IFERROR(__xludf.DUMMYFUNCTION("""COMPUTED_VALUE"""),45716.64583333333)</f>
        <v>45716.64583</v>
      </c>
      <c r="B75" s="6">
        <f>IFERROR(__xludf.DUMMYFUNCTION("""COMPUTED_VALUE"""),400.0)</f>
        <v>400</v>
      </c>
      <c r="C75" s="6">
        <f>IFERROR(__xludf.DUMMYFUNCTION("""COMPUTED_VALUE"""),407.0)</f>
        <v>407</v>
      </c>
      <c r="D75" s="6">
        <f>IFERROR(__xludf.DUMMYFUNCTION("""COMPUTED_VALUE"""),392.2)</f>
        <v>392.2</v>
      </c>
      <c r="E75" s="6">
        <f>IFERROR(__xludf.DUMMYFUNCTION("""COMPUTED_VALUE"""),395.0)</f>
        <v>395</v>
      </c>
      <c r="F75" s="6">
        <f>IFERROR(__xludf.DUMMYFUNCTION("""COMPUTED_VALUE"""),7.3804295E7)</f>
        <v>73804295</v>
      </c>
    </row>
    <row r="76">
      <c r="A76" s="7">
        <f>IFERROR(__xludf.DUMMYFUNCTION("""COMPUTED_VALUE"""),45723.64583333333)</f>
        <v>45723.64583</v>
      </c>
      <c r="B76" s="6">
        <f>IFERROR(__xludf.DUMMYFUNCTION("""COMPUTED_VALUE"""),395.95)</f>
        <v>395.95</v>
      </c>
      <c r="C76" s="6">
        <f>IFERROR(__xludf.DUMMYFUNCTION("""COMPUTED_VALUE"""),412.75)</f>
        <v>412.75</v>
      </c>
      <c r="D76" s="6">
        <f>IFERROR(__xludf.DUMMYFUNCTION("""COMPUTED_VALUE"""),391.2)</f>
        <v>391.2</v>
      </c>
      <c r="E76" s="6">
        <f>IFERROR(__xludf.DUMMYFUNCTION("""COMPUTED_VALUE"""),403.9)</f>
        <v>403.9</v>
      </c>
      <c r="F76" s="6">
        <f>IFERROR(__xludf.DUMMYFUNCTION("""COMPUTED_VALUE"""),6.8823375E7)</f>
        <v>68823375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IFERROR(__xludf.DUMMYFUNCTION("""COMPUTED_VALUE"""),401.05)</f>
        <v>401.05</v>
      </c>
      <c r="C77" s="6">
        <f>IFERROR(__xludf.DUMMYFUNCTION("""COMPUTED_VALUE"""),414.4)</f>
        <v>414.4</v>
      </c>
      <c r="D77" s="6">
        <f>IFERROR(__xludf.DUMMYFUNCTION("""COMPUTED_VALUE"""),400.4)</f>
        <v>400.4</v>
      </c>
      <c r="E77" s="6">
        <f>IFERROR(__xludf.DUMMYFUNCTION("""COMPUTED_VALUE"""),412.05)</f>
        <v>412.05</v>
      </c>
      <c r="F77" s="6">
        <f>IFERROR(__xludf.DUMMYFUNCTION("""COMPUTED_VALUE"""),4.2925368E7)</f>
        <v>42925368</v>
      </c>
    </row>
    <row r="78">
      <c r="A78" s="7">
        <f>IFERROR(__xludf.DUMMYFUNCTION("""COMPUTED_VALUE"""),45737.64583333333)</f>
        <v>45737.64583</v>
      </c>
      <c r="B78" s="6">
        <f>IFERROR(__xludf.DUMMYFUNCTION("""COMPUTED_VALUE"""),413.0)</f>
        <v>413</v>
      </c>
      <c r="C78" s="6">
        <f>IFERROR(__xludf.DUMMYFUNCTION("""COMPUTED_VALUE"""),416.25)</f>
        <v>416.25</v>
      </c>
      <c r="D78" s="6">
        <f>IFERROR(__xludf.DUMMYFUNCTION("""COMPUTED_VALUE"""),401.7)</f>
        <v>401.7</v>
      </c>
      <c r="E78" s="6">
        <f>IFERROR(__xludf.DUMMYFUNCTION("""COMPUTED_VALUE"""),405.55)</f>
        <v>405.55</v>
      </c>
      <c r="F78" s="6">
        <f>IFERROR(__xludf.DUMMYFUNCTION("""COMPUTED_VALUE"""),7.4246215E7)</f>
        <v>74246215</v>
      </c>
    </row>
    <row r="79">
      <c r="A79" s="7">
        <f>IFERROR(__xludf.DUMMYFUNCTION("""COMPUTED_VALUE"""),45744.64583333333)</f>
        <v>45744.64583</v>
      </c>
      <c r="B79" s="6">
        <f>IFERROR(__xludf.DUMMYFUNCTION("""COMPUTED_VALUE"""),407.0)</f>
        <v>407</v>
      </c>
      <c r="C79" s="6">
        <f>IFERROR(__xludf.DUMMYFUNCTION("""COMPUTED_VALUE"""),415.6)</f>
        <v>415.6</v>
      </c>
      <c r="D79" s="6">
        <f>IFERROR(__xludf.DUMMYFUNCTION("""COMPUTED_VALUE"""),405.6)</f>
        <v>405.6</v>
      </c>
      <c r="E79" s="6">
        <f>IFERROR(__xludf.DUMMYFUNCTION("""COMPUTED_VALUE"""),409.75)</f>
        <v>409.75</v>
      </c>
      <c r="F79" s="6">
        <f>IFERROR(__xludf.DUMMYFUNCTION("""COMPUTED_VALUE"""),8.0216319E7)</f>
        <v>80216319</v>
      </c>
    </row>
    <row r="80">
      <c r="A80" s="7">
        <f>IFERROR(__xludf.DUMMYFUNCTION("""COMPUTED_VALUE"""),45751.64583333333)</f>
        <v>45751.64583</v>
      </c>
      <c r="B80" s="6">
        <f>IFERROR(__xludf.DUMMYFUNCTION("""COMPUTED_VALUE"""),409.8)</f>
        <v>409.8</v>
      </c>
      <c r="C80" s="6">
        <f>IFERROR(__xludf.DUMMYFUNCTION("""COMPUTED_VALUE"""),414.4)</f>
        <v>414.4</v>
      </c>
      <c r="D80" s="6">
        <f>IFERROR(__xludf.DUMMYFUNCTION("""COMPUTED_VALUE"""),404.5)</f>
        <v>404.5</v>
      </c>
      <c r="E80" s="6">
        <f>IFERROR(__xludf.DUMMYFUNCTION("""COMPUTED_VALUE"""),409.7)</f>
        <v>409.7</v>
      </c>
      <c r="F80" s="6">
        <f>IFERROR(__xludf.DUMMYFUNCTION("""COMPUTED_VALUE"""),4.8894721E7)</f>
        <v>48894721</v>
      </c>
    </row>
    <row r="81">
      <c r="A81" s="7">
        <f>IFERROR(__xludf.DUMMYFUNCTION("""COMPUTED_VALUE"""),45758.64583333333)</f>
        <v>45758.64583</v>
      </c>
      <c r="B81" s="6">
        <f>IFERROR(__xludf.DUMMYFUNCTION("""COMPUTED_VALUE"""),390.15)</f>
        <v>390.15</v>
      </c>
      <c r="C81" s="6">
        <f>IFERROR(__xludf.DUMMYFUNCTION("""COMPUTED_VALUE"""),422.45)</f>
        <v>422.45</v>
      </c>
      <c r="D81" s="6">
        <f>IFERROR(__xludf.DUMMYFUNCTION("""COMPUTED_VALUE"""),390.15)</f>
        <v>390.15</v>
      </c>
      <c r="E81" s="6">
        <f>IFERROR(__xludf.DUMMYFUNCTION("""COMPUTED_VALUE"""),421.55)</f>
        <v>421.55</v>
      </c>
      <c r="F81" s="6">
        <f>IFERROR(__xludf.DUMMYFUNCTION("""COMPUTED_VALUE"""),7.608859E7)</f>
        <v>76088590</v>
      </c>
    </row>
    <row r="82">
      <c r="A82" s="7">
        <f>IFERROR(__xludf.DUMMYFUNCTION("""COMPUTED_VALUE"""),45764.64583333333)</f>
        <v>45764.64583</v>
      </c>
      <c r="B82" s="6">
        <f>IFERROR(__xludf.DUMMYFUNCTION("""COMPUTED_VALUE"""),429.2)</f>
        <v>429.2</v>
      </c>
      <c r="C82" s="6">
        <f>IFERROR(__xludf.DUMMYFUNCTION("""COMPUTED_VALUE"""),429.2)</f>
        <v>429.2</v>
      </c>
      <c r="D82" s="6">
        <f>IFERROR(__xludf.DUMMYFUNCTION("""COMPUTED_VALUE"""),418.0)</f>
        <v>418</v>
      </c>
      <c r="E82" s="6">
        <f>IFERROR(__xludf.DUMMYFUNCTION("""COMPUTED_VALUE"""),427.25)</f>
        <v>427.25</v>
      </c>
      <c r="F82" s="6">
        <f>IFERROR(__xludf.DUMMYFUNCTION("""COMPUTED_VALUE"""),4.7130691E7)</f>
        <v>47130691</v>
      </c>
    </row>
    <row r="83">
      <c r="A83" s="7">
        <f>IFERROR(__xludf.DUMMYFUNCTION("""COMPUTED_VALUE"""),45772.64583333333)</f>
        <v>45772.64583</v>
      </c>
      <c r="B83" s="6">
        <f>IFERROR(__xludf.DUMMYFUNCTION("""COMPUTED_VALUE"""),428.05)</f>
        <v>428.05</v>
      </c>
      <c r="C83" s="6">
        <f>IFERROR(__xludf.DUMMYFUNCTION("""COMPUTED_VALUE"""),437.45)</f>
        <v>437.45</v>
      </c>
      <c r="D83" s="6">
        <f>IFERROR(__xludf.DUMMYFUNCTION("""COMPUTED_VALUE"""),421.5)</f>
        <v>421.5</v>
      </c>
      <c r="E83" s="6">
        <f>IFERROR(__xludf.DUMMYFUNCTION("""COMPUTED_VALUE"""),427.8)</f>
        <v>427.8</v>
      </c>
      <c r="F83" s="6">
        <f>IFERROR(__xludf.DUMMYFUNCTION("""COMPUTED_VALUE"""),1.27994955E8)</f>
        <v>127994955</v>
      </c>
    </row>
    <row r="84">
      <c r="A84" s="7">
        <f>IFERROR(__xludf.DUMMYFUNCTION("""COMPUTED_VALUE"""),45779.64583333333)</f>
        <v>45779.64583</v>
      </c>
      <c r="B84" s="6">
        <f>IFERROR(__xludf.DUMMYFUNCTION("""COMPUTED_VALUE"""),426.65)</f>
        <v>426.65</v>
      </c>
      <c r="C84" s="6">
        <f>IFERROR(__xludf.DUMMYFUNCTION("""COMPUTED_VALUE"""),431.5)</f>
        <v>431.5</v>
      </c>
      <c r="D84" s="6">
        <f>IFERROR(__xludf.DUMMYFUNCTION("""COMPUTED_VALUE"""),422.0)</f>
        <v>422</v>
      </c>
      <c r="E84" s="6">
        <f>IFERROR(__xludf.DUMMYFUNCTION("""COMPUTED_VALUE"""),430.25)</f>
        <v>430.25</v>
      </c>
      <c r="F84" s="6">
        <f>IFERROR(__xludf.DUMMYFUNCTION("""COMPUTED_VALUE"""),3.6766943E7)</f>
        <v>36766943</v>
      </c>
    </row>
    <row r="85">
      <c r="A85" s="7">
        <f>IFERROR(__xludf.DUMMYFUNCTION("""COMPUTED_VALUE"""),45786.64583333333)</f>
        <v>45786.64583</v>
      </c>
      <c r="B85" s="6">
        <f>IFERROR(__xludf.DUMMYFUNCTION("""COMPUTED_VALUE"""),430.25)</f>
        <v>430.25</v>
      </c>
      <c r="C85" s="6">
        <f>IFERROR(__xludf.DUMMYFUNCTION("""COMPUTED_VALUE"""),439.65)</f>
        <v>439.65</v>
      </c>
      <c r="D85" s="6">
        <f>IFERROR(__xludf.DUMMYFUNCTION("""COMPUTED_VALUE"""),423.0)</f>
        <v>423</v>
      </c>
      <c r="E85" s="6">
        <f>IFERROR(__xludf.DUMMYFUNCTION("""COMPUTED_VALUE"""),423.55)</f>
        <v>423.55</v>
      </c>
      <c r="F85" s="6">
        <f>IFERROR(__xludf.DUMMYFUNCTION("""COMPUTED_VALUE"""),6.4426706E7)</f>
        <v>64426706</v>
      </c>
    </row>
    <row r="86">
      <c r="A86" s="7">
        <f>IFERROR(__xludf.DUMMYFUNCTION("""COMPUTED_VALUE"""),45793.64583333333)</f>
        <v>45793.64583</v>
      </c>
      <c r="B86" s="6">
        <f>IFERROR(__xludf.DUMMYFUNCTION("""COMPUTED_VALUE"""),429.5)</f>
        <v>429.5</v>
      </c>
      <c r="C86" s="6">
        <f>IFERROR(__xludf.DUMMYFUNCTION("""COMPUTED_VALUE"""),437.95)</f>
        <v>437.95</v>
      </c>
      <c r="D86" s="6">
        <f>IFERROR(__xludf.DUMMYFUNCTION("""COMPUTED_VALUE"""),425.35)</f>
        <v>425.35</v>
      </c>
      <c r="E86" s="6">
        <f>IFERROR(__xludf.DUMMYFUNCTION("""COMPUTED_VALUE"""),435.7)</f>
        <v>435.7</v>
      </c>
      <c r="F86" s="6">
        <f>IFERROR(__xludf.DUMMYFUNCTION("""COMPUTED_VALUE"""),7.3231114E7)</f>
        <v>73231114</v>
      </c>
    </row>
    <row r="87">
      <c r="A87" s="7">
        <f>IFERROR(__xludf.DUMMYFUNCTION("""COMPUTED_VALUE"""),45800.64583333333)</f>
        <v>45800.64583</v>
      </c>
      <c r="B87" s="6">
        <f>IFERROR(__xludf.DUMMYFUNCTION("""COMPUTED_VALUE"""),435.0)</f>
        <v>435</v>
      </c>
      <c r="C87" s="6">
        <f>IFERROR(__xludf.DUMMYFUNCTION("""COMPUTED_VALUE"""),440.8)</f>
        <v>440.8</v>
      </c>
      <c r="D87" s="6">
        <f>IFERROR(__xludf.DUMMYFUNCTION("""COMPUTED_VALUE"""),422.9)</f>
        <v>422.9</v>
      </c>
      <c r="E87" s="6">
        <f>IFERROR(__xludf.DUMMYFUNCTION("""COMPUTED_VALUE"""),436.3)</f>
        <v>436.3</v>
      </c>
      <c r="F87" s="6">
        <f>IFERROR(__xludf.DUMMYFUNCTION("""COMPUTED_VALUE"""),6.1177573E7)</f>
        <v>61177573</v>
      </c>
    </row>
    <row r="88">
      <c r="A88" s="7">
        <f>IFERROR(__xludf.DUMMYFUNCTION("""COMPUTED_VALUE"""),45807.64583333333)</f>
        <v>45807.64583</v>
      </c>
      <c r="B88" s="6">
        <f>IFERROR(__xludf.DUMMYFUNCTION("""COMPUTED_VALUE"""),438.25)</f>
        <v>438.25</v>
      </c>
      <c r="C88" s="6">
        <f>IFERROR(__xludf.DUMMYFUNCTION("""COMPUTED_VALUE"""),444.2)</f>
        <v>444.2</v>
      </c>
      <c r="D88" s="6">
        <f>IFERROR(__xludf.DUMMYFUNCTION("""COMPUTED_VALUE"""),413.0)</f>
        <v>413</v>
      </c>
      <c r="E88" s="6">
        <f>IFERROR(__xludf.DUMMYFUNCTION("""COMPUTED_VALUE"""),418.05)</f>
        <v>418.05</v>
      </c>
      <c r="F88" s="6">
        <f>IFERROR(__xludf.DUMMYFUNCTION("""COMPUTED_VALUE"""),5.24080092E8)</f>
        <v>524080092</v>
      </c>
    </row>
    <row r="89">
      <c r="A89" s="7">
        <f>IFERROR(__xludf.DUMMYFUNCTION("""COMPUTED_VALUE"""),45814.64583333333)</f>
        <v>45814.64583</v>
      </c>
      <c r="B89" s="6">
        <f>IFERROR(__xludf.DUMMYFUNCTION("""COMPUTED_VALUE"""),418.3)</f>
        <v>418.3</v>
      </c>
      <c r="C89" s="6">
        <f>IFERROR(__xludf.DUMMYFUNCTION("""COMPUTED_VALUE"""),421.7)</f>
        <v>421.7</v>
      </c>
      <c r="D89" s="6">
        <f>IFERROR(__xludf.DUMMYFUNCTION("""COMPUTED_VALUE"""),414.55)</f>
        <v>414.55</v>
      </c>
      <c r="E89" s="6">
        <f>IFERROR(__xludf.DUMMYFUNCTION("""COMPUTED_VALUE"""),421.05)</f>
        <v>421.05</v>
      </c>
      <c r="F89" s="6">
        <f>IFERROR(__xludf.DUMMYFUNCTION("""COMPUTED_VALUE"""),6.277631E7)</f>
        <v>62776310</v>
      </c>
    </row>
    <row r="90">
      <c r="A90" s="7">
        <f>IFERROR(__xludf.DUMMYFUNCTION("""COMPUTED_VALUE"""),45821.64583333333)</f>
        <v>45821.64583</v>
      </c>
      <c r="B90" s="6">
        <f>IFERROR(__xludf.DUMMYFUNCTION("""COMPUTED_VALUE"""),422.0)</f>
        <v>422</v>
      </c>
      <c r="C90" s="6">
        <f>IFERROR(__xludf.DUMMYFUNCTION("""COMPUTED_VALUE"""),428.55)</f>
        <v>428.55</v>
      </c>
      <c r="D90" s="6">
        <f>IFERROR(__xludf.DUMMYFUNCTION("""COMPUTED_VALUE"""),413.5)</f>
        <v>413.5</v>
      </c>
      <c r="E90" s="6">
        <f>IFERROR(__xludf.DUMMYFUNCTION("""COMPUTED_VALUE"""),413.9)</f>
        <v>413.9</v>
      </c>
      <c r="F90" s="6">
        <f>IFERROR(__xludf.DUMMYFUNCTION("""COMPUTED_VALUE"""),8.0686141E7)</f>
        <v>80686141</v>
      </c>
    </row>
    <row r="91">
      <c r="A91" s="7">
        <f>IFERROR(__xludf.DUMMYFUNCTION("""COMPUTED_VALUE"""),45828.64583333333)</f>
        <v>45828.64583</v>
      </c>
      <c r="B91" s="6">
        <f>IFERROR(__xludf.DUMMYFUNCTION("""COMPUTED_VALUE"""),414.95)</f>
        <v>414.95</v>
      </c>
      <c r="C91" s="6">
        <f>IFERROR(__xludf.DUMMYFUNCTION("""COMPUTED_VALUE"""),419.5)</f>
        <v>419.5</v>
      </c>
      <c r="D91" s="6">
        <f>IFERROR(__xludf.DUMMYFUNCTION("""COMPUTED_VALUE"""),413.25)</f>
        <v>413.25</v>
      </c>
      <c r="E91" s="6">
        <f>IFERROR(__xludf.DUMMYFUNCTION("""COMPUTED_VALUE"""),418.55)</f>
        <v>418.55</v>
      </c>
      <c r="F91" s="6">
        <f>IFERROR(__xludf.DUMMYFUNCTION("""COMPUTED_VALUE"""),4.987544E7)</f>
        <v>49875440</v>
      </c>
    </row>
    <row r="92">
      <c r="A92" s="7">
        <f>IFERROR(__xludf.DUMMYFUNCTION("""COMPUTED_VALUE"""),45835.64583333333)</f>
        <v>45835.64583</v>
      </c>
      <c r="B92" s="6">
        <f>IFERROR(__xludf.DUMMYFUNCTION("""COMPUTED_VALUE"""),417.0)</f>
        <v>417</v>
      </c>
      <c r="C92" s="6">
        <f>IFERROR(__xludf.DUMMYFUNCTION("""COMPUTED_VALUE"""),422.0)</f>
        <v>422</v>
      </c>
      <c r="D92" s="6">
        <f>IFERROR(__xludf.DUMMYFUNCTION("""COMPUTED_VALUE"""),411.75)</f>
        <v>411.75</v>
      </c>
      <c r="E92" s="6">
        <f>IFERROR(__xludf.DUMMYFUNCTION("""COMPUTED_VALUE"""),418.65)</f>
        <v>418.65</v>
      </c>
      <c r="F92" s="6">
        <f>IFERROR(__xludf.DUMMYFUNCTION("""COMPUTED_VALUE"""),7.6590529E7)</f>
        <v>76590529</v>
      </c>
    </row>
    <row r="93">
      <c r="A93" s="7">
        <f>IFERROR(__xludf.DUMMYFUNCTION("""COMPUTED_VALUE"""),45842.64583333333)</f>
        <v>45842.64583</v>
      </c>
      <c r="B93" s="6">
        <f>IFERROR(__xludf.DUMMYFUNCTION("""COMPUTED_VALUE"""),419.8)</f>
        <v>419.8</v>
      </c>
      <c r="C93" s="6">
        <f>IFERROR(__xludf.DUMMYFUNCTION("""COMPUTED_VALUE"""),420.75)</f>
        <v>420.75</v>
      </c>
      <c r="D93" s="6">
        <f>IFERROR(__xludf.DUMMYFUNCTION("""COMPUTED_VALUE"""),411.25)</f>
        <v>411.25</v>
      </c>
      <c r="E93" s="6">
        <f>IFERROR(__xludf.DUMMYFUNCTION("""COMPUTED_VALUE"""),412.55)</f>
        <v>412.55</v>
      </c>
      <c r="F93" s="6">
        <f>IFERROR(__xludf.DUMMYFUNCTION("""COMPUTED_VALUE"""),6.4420519E7)</f>
        <v>64420519</v>
      </c>
    </row>
    <row r="94">
      <c r="A94" s="7">
        <f>IFERROR(__xludf.DUMMYFUNCTION("""COMPUTED_VALUE"""),45849.64583333333)</f>
        <v>45849.64583</v>
      </c>
      <c r="B94" s="6">
        <f>IFERROR(__xludf.DUMMYFUNCTION("""COMPUTED_VALUE"""),413.0)</f>
        <v>413</v>
      </c>
      <c r="C94" s="6">
        <f>IFERROR(__xludf.DUMMYFUNCTION("""COMPUTED_VALUE"""),420.3)</f>
        <v>420.3</v>
      </c>
      <c r="D94" s="6">
        <f>IFERROR(__xludf.DUMMYFUNCTION("""COMPUTED_VALUE"""),412.0)</f>
        <v>412</v>
      </c>
      <c r="E94" s="6">
        <f>IFERROR(__xludf.DUMMYFUNCTION("""COMPUTED_VALUE"""),416.8)</f>
        <v>416.8</v>
      </c>
      <c r="F94" s="6">
        <f>IFERROR(__xludf.DUMMYFUNCTION("""COMPUTED_VALUE"""),3.8382147E7)</f>
        <v>38382147</v>
      </c>
    </row>
    <row r="95">
      <c r="A95" s="7">
        <f>IFERROR(__xludf.DUMMYFUNCTION("""COMPUTED_VALUE"""),45856.64583333333)</f>
        <v>45856.64583</v>
      </c>
      <c r="B95" s="6">
        <f>IFERROR(__xludf.DUMMYFUNCTION("""COMPUTED_VALUE"""),417.05)</f>
        <v>417.05</v>
      </c>
      <c r="C95" s="6">
        <f>IFERROR(__xludf.DUMMYFUNCTION("""COMPUTED_VALUE"""),425.9)</f>
        <v>425.9</v>
      </c>
      <c r="D95" s="6">
        <f>IFERROR(__xludf.DUMMYFUNCTION("""COMPUTED_VALUE"""),416.55)</f>
        <v>416.55</v>
      </c>
      <c r="E95" s="6">
        <f>IFERROR(__xludf.DUMMYFUNCTION("""COMPUTED_VALUE"""),422.75)</f>
        <v>422.75</v>
      </c>
      <c r="F95" s="6">
        <f>IFERROR(__xludf.DUMMYFUNCTION("""COMPUTED_VALUE"""),3.9181568E7)</f>
        <v>39181568</v>
      </c>
    </row>
    <row r="96">
      <c r="A96" s="7">
        <f>IFERROR(__xludf.DUMMYFUNCTION("""COMPUTED_VALUE"""),45863.64583333333)</f>
        <v>45863.64583</v>
      </c>
      <c r="B96" s="6">
        <f>IFERROR(__xludf.DUMMYFUNCTION("""COMPUTED_VALUE"""),422.0)</f>
        <v>422</v>
      </c>
      <c r="C96" s="6">
        <f>IFERROR(__xludf.DUMMYFUNCTION("""COMPUTED_VALUE"""),422.75)</f>
        <v>422.75</v>
      </c>
      <c r="D96" s="6">
        <f>IFERROR(__xludf.DUMMYFUNCTION("""COMPUTED_VALUE"""),407.75)</f>
        <v>407.75</v>
      </c>
      <c r="E96" s="6">
        <f>IFERROR(__xludf.DUMMYFUNCTION("""COMPUTED_VALUE"""),409.4)</f>
        <v>409.4</v>
      </c>
      <c r="F96" s="6">
        <f>IFERROR(__xludf.DUMMYFUNCTION("""COMPUTED_VALUE"""),4.1717283E7)</f>
        <v>41717283</v>
      </c>
    </row>
    <row r="97">
      <c r="A97" s="7">
        <f>IFERROR(__xludf.DUMMYFUNCTION("""COMPUTED_VALUE"""),45870.64583333333)</f>
        <v>45870.64583</v>
      </c>
      <c r="B97" s="6">
        <f>IFERROR(__xludf.DUMMYFUNCTION("""COMPUTED_VALUE"""),410.8)</f>
        <v>410.8</v>
      </c>
      <c r="C97" s="6">
        <f>IFERROR(__xludf.DUMMYFUNCTION("""COMPUTED_VALUE"""),419.35)</f>
        <v>419.35</v>
      </c>
      <c r="D97" s="6">
        <f>IFERROR(__xludf.DUMMYFUNCTION("""COMPUTED_VALUE"""),405.55)</f>
        <v>405.55</v>
      </c>
      <c r="E97" s="6">
        <f>IFERROR(__xludf.DUMMYFUNCTION("""COMPUTED_VALUE"""),416.45)</f>
        <v>416.45</v>
      </c>
      <c r="F97" s="6">
        <f>IFERROR(__xludf.DUMMYFUNCTION("""COMPUTED_VALUE"""),5.9539211E7)</f>
        <v>59539211</v>
      </c>
    </row>
    <row r="98">
      <c r="A98" s="7">
        <f>IFERROR(__xludf.DUMMYFUNCTION("""COMPUTED_VALUE"""),45877.64583333333)</f>
        <v>45877.64583</v>
      </c>
      <c r="B98" s="6">
        <f>IFERROR(__xludf.DUMMYFUNCTION("""COMPUTED_VALUE"""),420.2)</f>
        <v>420.2</v>
      </c>
      <c r="C98" s="6">
        <f>IFERROR(__xludf.DUMMYFUNCTION("""COMPUTED_VALUE"""),422.5)</f>
        <v>422.5</v>
      </c>
      <c r="D98" s="6">
        <f>IFERROR(__xludf.DUMMYFUNCTION("""COMPUTED_VALUE"""),410.5)</f>
        <v>410.5</v>
      </c>
      <c r="E98" s="6">
        <f>IFERROR(__xludf.DUMMYFUNCTION("""COMPUTED_VALUE"""),414.5)</f>
        <v>414.5</v>
      </c>
      <c r="F98" s="6">
        <f>IFERROR(__xludf.DUMMYFUNCTION("""COMPUTED_VALUE"""),5.7257344E7)</f>
        <v>57257344</v>
      </c>
    </row>
    <row r="99">
      <c r="A99" s="7">
        <f>IFERROR(__xludf.DUMMYFUNCTION("""COMPUTED_VALUE"""),45883.64583333333)</f>
        <v>45883.64583</v>
      </c>
      <c r="B99" s="6">
        <f>IFERROR(__xludf.DUMMYFUNCTION("""COMPUTED_VALUE"""),414.5)</f>
        <v>414.5</v>
      </c>
      <c r="C99" s="6">
        <f>IFERROR(__xludf.DUMMYFUNCTION("""COMPUTED_VALUE"""),419.8)</f>
        <v>419.8</v>
      </c>
      <c r="D99" s="6">
        <f>IFERROR(__xludf.DUMMYFUNCTION("""COMPUTED_VALUE"""),411.0)</f>
        <v>411</v>
      </c>
      <c r="E99" s="6">
        <f>IFERROR(__xludf.DUMMYFUNCTION("""COMPUTED_VALUE"""),411.45)</f>
        <v>411.45</v>
      </c>
      <c r="F99" s="6">
        <f>IFERROR(__xludf.DUMMYFUNCTION("""COMPUTED_VALUE"""),4.2605281E7)</f>
        <v>42605281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IFERROR(__xludf.DUMMYFUNCTION("""COMPUTED_VALUE"""),413.0)</f>
        <v>413</v>
      </c>
      <c r="C100" s="6">
        <f>IFERROR(__xludf.DUMMYFUNCTION("""COMPUTED_VALUE"""),413.7)</f>
        <v>413.7</v>
      </c>
      <c r="D100" s="6">
        <f>IFERROR(__xludf.DUMMYFUNCTION("""COMPUTED_VALUE"""),397.5)</f>
        <v>397.5</v>
      </c>
      <c r="E100" s="6">
        <f>IFERROR(__xludf.DUMMYFUNCTION("""COMPUTED_VALUE"""),398.3)</f>
        <v>398.3</v>
      </c>
      <c r="F100" s="6">
        <f>IFERROR(__xludf.DUMMYFUNCTION("""COMPUTED_VALUE"""),9.3936864E7)</f>
        <v>93936864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IFERROR(__xludf.DUMMYFUNCTION("""COMPUTED_VALUE"""),399.0)</f>
        <v>399</v>
      </c>
      <c r="C101" s="6">
        <f>IFERROR(__xludf.DUMMYFUNCTION("""COMPUTED_VALUE"""),405.4)</f>
        <v>405.4</v>
      </c>
      <c r="D101" s="6">
        <f>IFERROR(__xludf.DUMMYFUNCTION("""COMPUTED_VALUE"""),396.25)</f>
        <v>396.25</v>
      </c>
      <c r="E101" s="6">
        <f>IFERROR(__xludf.DUMMYFUNCTION("""COMPUTED_VALUE"""),403.35)</f>
        <v>403.35</v>
      </c>
      <c r="F101" s="6">
        <f>IFERROR(__xludf.DUMMYFUNCTION("""COMPUTED_VALUE"""),1.80144826E8)</f>
        <v>180144826</v>
      </c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IFERROR(__xludf.DUMMYFUNCTION("GOOGLEFINANCE(""NSE:JINDALSTEL"",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IFERROR(__xludf.DUMMYFUNCTION("""COMPUTED_VALUE"""),637.9)</f>
        <v>637.9</v>
      </c>
      <c r="C2" s="6">
        <f>IFERROR(__xludf.DUMMYFUNCTION("""COMPUTED_VALUE"""),713.7)</f>
        <v>713.7</v>
      </c>
      <c r="D2" s="6">
        <f>IFERROR(__xludf.DUMMYFUNCTION("""COMPUTED_VALUE"""),636.1)</f>
        <v>636.1</v>
      </c>
      <c r="E2" s="6">
        <f>IFERROR(__xludf.DUMMYFUNCTION("""COMPUTED_VALUE"""),701.1)</f>
        <v>701.1</v>
      </c>
      <c r="F2" s="6">
        <f>IFERROR(__xludf.DUMMYFUNCTION("""COMPUTED_VALUE"""),1.4241375E7)</f>
        <v>14241375</v>
      </c>
    </row>
    <row r="3">
      <c r="A3" s="7">
        <f>IFERROR(__xludf.DUMMYFUNCTION("""COMPUTED_VALUE"""),45177.64583333333)</f>
        <v>45177.64583</v>
      </c>
      <c r="B3" s="6">
        <f>IFERROR(__xludf.DUMMYFUNCTION("""COMPUTED_VALUE"""),707.0)</f>
        <v>707</v>
      </c>
      <c r="C3" s="6">
        <f>IFERROR(__xludf.DUMMYFUNCTION("""COMPUTED_VALUE"""),716.7)</f>
        <v>716.7</v>
      </c>
      <c r="D3" s="6">
        <f>IFERROR(__xludf.DUMMYFUNCTION("""COMPUTED_VALUE"""),695.1)</f>
        <v>695.1</v>
      </c>
      <c r="E3" s="6">
        <f>IFERROR(__xludf.DUMMYFUNCTION("""COMPUTED_VALUE"""),698.3)</f>
        <v>698.3</v>
      </c>
      <c r="F3" s="6">
        <f>IFERROR(__xludf.DUMMYFUNCTION("""COMPUTED_VALUE"""),9486766.0)</f>
        <v>9486766</v>
      </c>
    </row>
    <row r="4">
      <c r="A4" s="7">
        <f>IFERROR(__xludf.DUMMYFUNCTION("""COMPUTED_VALUE"""),45184.64583333333)</f>
        <v>45184.64583</v>
      </c>
      <c r="B4" s="6">
        <f>IFERROR(__xludf.DUMMYFUNCTION("""COMPUTED_VALUE"""),707.7)</f>
        <v>707.7</v>
      </c>
      <c r="C4" s="6">
        <f>IFERROR(__xludf.DUMMYFUNCTION("""COMPUTED_VALUE"""),722.8)</f>
        <v>722.8</v>
      </c>
      <c r="D4" s="6">
        <f>IFERROR(__xludf.DUMMYFUNCTION("""COMPUTED_VALUE"""),680.0)</f>
        <v>680</v>
      </c>
      <c r="E4" s="6">
        <f>IFERROR(__xludf.DUMMYFUNCTION("""COMPUTED_VALUE"""),711.45)</f>
        <v>711.45</v>
      </c>
      <c r="F4" s="6">
        <f>IFERROR(__xludf.DUMMYFUNCTION("""COMPUTED_VALUE"""),1.0757626E7)</f>
        <v>10757626</v>
      </c>
    </row>
    <row r="5">
      <c r="A5" s="7">
        <f>IFERROR(__xludf.DUMMYFUNCTION("""COMPUTED_VALUE"""),45191.64583333333)</f>
        <v>45191.64583</v>
      </c>
      <c r="B5" s="6">
        <f>IFERROR(__xludf.DUMMYFUNCTION("""COMPUTED_VALUE"""),709.0)</f>
        <v>709</v>
      </c>
      <c r="C5" s="6">
        <f>IFERROR(__xludf.DUMMYFUNCTION("""COMPUTED_VALUE"""),709.0)</f>
        <v>709</v>
      </c>
      <c r="D5" s="6">
        <f>IFERROR(__xludf.DUMMYFUNCTION("""COMPUTED_VALUE"""),678.0)</f>
        <v>678</v>
      </c>
      <c r="E5" s="6">
        <f>IFERROR(__xludf.DUMMYFUNCTION("""COMPUTED_VALUE"""),683.2)</f>
        <v>683.2</v>
      </c>
      <c r="F5" s="6">
        <f>IFERROR(__xludf.DUMMYFUNCTION("""COMPUTED_VALUE"""),6532833.0)</f>
        <v>6532833</v>
      </c>
    </row>
    <row r="6">
      <c r="A6" s="7">
        <f>IFERROR(__xludf.DUMMYFUNCTION("""COMPUTED_VALUE"""),45198.64583333333)</f>
        <v>45198.64583</v>
      </c>
      <c r="B6" s="6">
        <f>IFERROR(__xludf.DUMMYFUNCTION("""COMPUTED_VALUE"""),687.0)</f>
        <v>687</v>
      </c>
      <c r="C6" s="6">
        <f>IFERROR(__xludf.DUMMYFUNCTION("""COMPUTED_VALUE"""),706.45)</f>
        <v>706.45</v>
      </c>
      <c r="D6" s="6">
        <f>IFERROR(__xludf.DUMMYFUNCTION("""COMPUTED_VALUE"""),680.0)</f>
        <v>680</v>
      </c>
      <c r="E6" s="6">
        <f>IFERROR(__xludf.DUMMYFUNCTION("""COMPUTED_VALUE"""),701.35)</f>
        <v>701.35</v>
      </c>
      <c r="F6" s="6">
        <f>IFERROR(__xludf.DUMMYFUNCTION("""COMPUTED_VALUE"""),6708823.0)</f>
        <v>6708823</v>
      </c>
    </row>
    <row r="7">
      <c r="A7" s="7">
        <f>IFERROR(__xludf.DUMMYFUNCTION("""COMPUTED_VALUE"""),45205.64583333333)</f>
        <v>45205.64583</v>
      </c>
      <c r="B7" s="6">
        <f>IFERROR(__xludf.DUMMYFUNCTION("""COMPUTED_VALUE"""),698.05)</f>
        <v>698.05</v>
      </c>
      <c r="C7" s="6">
        <f>IFERROR(__xludf.DUMMYFUNCTION("""COMPUTED_VALUE"""),701.7)</f>
        <v>701.7</v>
      </c>
      <c r="D7" s="6">
        <f>IFERROR(__xludf.DUMMYFUNCTION("""COMPUTED_VALUE"""),672.45)</f>
        <v>672.45</v>
      </c>
      <c r="E7" s="6">
        <f>IFERROR(__xludf.DUMMYFUNCTION("""COMPUTED_VALUE"""),683.45)</f>
        <v>683.45</v>
      </c>
      <c r="F7" s="6">
        <f>IFERROR(__xludf.DUMMYFUNCTION("""COMPUTED_VALUE"""),7969239.0)</f>
        <v>7969239</v>
      </c>
    </row>
    <row r="8">
      <c r="A8" s="7">
        <f>IFERROR(__xludf.DUMMYFUNCTION("""COMPUTED_VALUE"""),45212.64583333333)</f>
        <v>45212.64583</v>
      </c>
      <c r="B8" s="6">
        <f>IFERROR(__xludf.DUMMYFUNCTION("""COMPUTED_VALUE"""),677.95)</f>
        <v>677.95</v>
      </c>
      <c r="C8" s="6">
        <f>IFERROR(__xludf.DUMMYFUNCTION("""COMPUTED_VALUE"""),701.5)</f>
        <v>701.5</v>
      </c>
      <c r="D8" s="6">
        <f>IFERROR(__xludf.DUMMYFUNCTION("""COMPUTED_VALUE"""),663.55)</f>
        <v>663.55</v>
      </c>
      <c r="E8" s="6">
        <f>IFERROR(__xludf.DUMMYFUNCTION("""COMPUTED_VALUE"""),681.5)</f>
        <v>681.5</v>
      </c>
      <c r="F8" s="6">
        <f>IFERROR(__xludf.DUMMYFUNCTION("""COMPUTED_VALUE"""),7407681.0)</f>
        <v>7407681</v>
      </c>
    </row>
    <row r="9">
      <c r="A9" s="7">
        <f>IFERROR(__xludf.DUMMYFUNCTION("""COMPUTED_VALUE"""),45219.64583333333)</f>
        <v>45219.64583</v>
      </c>
      <c r="B9" s="6">
        <f>IFERROR(__xludf.DUMMYFUNCTION("""COMPUTED_VALUE"""),680.0)</f>
        <v>680</v>
      </c>
      <c r="C9" s="6">
        <f>IFERROR(__xludf.DUMMYFUNCTION("""COMPUTED_VALUE"""),705.7)</f>
        <v>705.7</v>
      </c>
      <c r="D9" s="6">
        <f>IFERROR(__xludf.DUMMYFUNCTION("""COMPUTED_VALUE"""),660.6)</f>
        <v>660.6</v>
      </c>
      <c r="E9" s="6">
        <f>IFERROR(__xludf.DUMMYFUNCTION("""COMPUTED_VALUE"""),662.4)</f>
        <v>662.4</v>
      </c>
      <c r="F9" s="6">
        <f>IFERROR(__xludf.DUMMYFUNCTION("""COMPUTED_VALUE"""),7940289.0)</f>
        <v>7940289</v>
      </c>
    </row>
    <row r="10">
      <c r="A10" s="7">
        <f>IFERROR(__xludf.DUMMYFUNCTION("""COMPUTED_VALUE"""),45226.64583333333)</f>
        <v>45226.64583</v>
      </c>
      <c r="B10" s="6">
        <f>IFERROR(__xludf.DUMMYFUNCTION("""COMPUTED_VALUE"""),662.5)</f>
        <v>662.5</v>
      </c>
      <c r="C10" s="6">
        <f>IFERROR(__xludf.DUMMYFUNCTION("""COMPUTED_VALUE"""),664.0)</f>
        <v>664</v>
      </c>
      <c r="D10" s="6">
        <f>IFERROR(__xludf.DUMMYFUNCTION("""COMPUTED_VALUE"""),637.05)</f>
        <v>637.05</v>
      </c>
      <c r="E10" s="6">
        <f>IFERROR(__xludf.DUMMYFUNCTION("""COMPUTED_VALUE"""),643.9)</f>
        <v>643.9</v>
      </c>
      <c r="F10" s="6">
        <f>IFERROR(__xludf.DUMMYFUNCTION("""COMPUTED_VALUE"""),7577229.0)</f>
        <v>7577229</v>
      </c>
    </row>
    <row r="11">
      <c r="A11" s="7">
        <f>IFERROR(__xludf.DUMMYFUNCTION("""COMPUTED_VALUE"""),45233.64583333333)</f>
        <v>45233.64583</v>
      </c>
      <c r="B11" s="6">
        <f>IFERROR(__xludf.DUMMYFUNCTION("""COMPUTED_VALUE"""),645.0)</f>
        <v>645</v>
      </c>
      <c r="C11" s="6">
        <f>IFERROR(__xludf.DUMMYFUNCTION("""COMPUTED_VALUE"""),649.0)</f>
        <v>649</v>
      </c>
      <c r="D11" s="6">
        <f>IFERROR(__xludf.DUMMYFUNCTION("""COMPUTED_VALUE"""),581.6)</f>
        <v>581.6</v>
      </c>
      <c r="E11" s="6">
        <f>IFERROR(__xludf.DUMMYFUNCTION("""COMPUTED_VALUE"""),596.9)</f>
        <v>596.9</v>
      </c>
      <c r="F11" s="6">
        <f>IFERROR(__xludf.DUMMYFUNCTION("""COMPUTED_VALUE"""),1.9821321E7)</f>
        <v>19821321</v>
      </c>
    </row>
    <row r="12">
      <c r="A12" s="7">
        <f>IFERROR(__xludf.DUMMYFUNCTION("""COMPUTED_VALUE"""),45240.64583333333)</f>
        <v>45240.64583</v>
      </c>
      <c r="B12" s="6">
        <f>IFERROR(__xludf.DUMMYFUNCTION("""COMPUTED_VALUE"""),602.1)</f>
        <v>602.1</v>
      </c>
      <c r="C12" s="6">
        <f>IFERROR(__xludf.DUMMYFUNCTION("""COMPUTED_VALUE"""),637.85)</f>
        <v>637.85</v>
      </c>
      <c r="D12" s="6">
        <f>IFERROR(__xludf.DUMMYFUNCTION("""COMPUTED_VALUE"""),597.25)</f>
        <v>597.25</v>
      </c>
      <c r="E12" s="6">
        <f>IFERROR(__xludf.DUMMYFUNCTION("""COMPUTED_VALUE"""),636.9)</f>
        <v>636.9</v>
      </c>
      <c r="F12" s="6">
        <f>IFERROR(__xludf.DUMMYFUNCTION("""COMPUTED_VALUE"""),1.4398965E7)</f>
        <v>14398965</v>
      </c>
    </row>
    <row r="13">
      <c r="A13" s="7">
        <f>IFERROR(__xludf.DUMMYFUNCTION("""COMPUTED_VALUE"""),45247.64583333333)</f>
        <v>45247.64583</v>
      </c>
      <c r="B13" s="6">
        <f>IFERROR(__xludf.DUMMYFUNCTION("""COMPUTED_VALUE"""),640.45)</f>
        <v>640.45</v>
      </c>
      <c r="C13" s="6">
        <f>IFERROR(__xludf.DUMMYFUNCTION("""COMPUTED_VALUE"""),658.2)</f>
        <v>658.2</v>
      </c>
      <c r="D13" s="6">
        <f>IFERROR(__xludf.DUMMYFUNCTION("""COMPUTED_VALUE"""),633.6)</f>
        <v>633.6</v>
      </c>
      <c r="E13" s="6">
        <f>IFERROR(__xludf.DUMMYFUNCTION("""COMPUTED_VALUE"""),647.1)</f>
        <v>647.1</v>
      </c>
      <c r="F13" s="6">
        <f>IFERROR(__xludf.DUMMYFUNCTION("""COMPUTED_VALUE"""),6272851.0)</f>
        <v>6272851</v>
      </c>
    </row>
    <row r="14">
      <c r="A14" s="7">
        <f>IFERROR(__xludf.DUMMYFUNCTION("""COMPUTED_VALUE"""),45254.64583333333)</f>
        <v>45254.64583</v>
      </c>
      <c r="B14" s="6">
        <f>IFERROR(__xludf.DUMMYFUNCTION("""COMPUTED_VALUE"""),650.0)</f>
        <v>650</v>
      </c>
      <c r="C14" s="6">
        <f>IFERROR(__xludf.DUMMYFUNCTION("""COMPUTED_VALUE"""),661.4)</f>
        <v>661.4</v>
      </c>
      <c r="D14" s="6">
        <f>IFERROR(__xludf.DUMMYFUNCTION("""COMPUTED_VALUE"""),647.2)</f>
        <v>647.2</v>
      </c>
      <c r="E14" s="6">
        <f>IFERROR(__xludf.DUMMYFUNCTION("""COMPUTED_VALUE"""),660.3)</f>
        <v>660.3</v>
      </c>
      <c r="F14" s="6">
        <f>IFERROR(__xludf.DUMMYFUNCTION("""COMPUTED_VALUE"""),5974787.0)</f>
        <v>5974787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IFERROR(__xludf.DUMMYFUNCTION("""COMPUTED_VALUE"""),662.0)</f>
        <v>662</v>
      </c>
      <c r="C15" s="6">
        <f>IFERROR(__xludf.DUMMYFUNCTION("""COMPUTED_VALUE"""),693.3)</f>
        <v>693.3</v>
      </c>
      <c r="D15" s="6">
        <f>IFERROR(__xludf.DUMMYFUNCTION("""COMPUTED_VALUE"""),655.5)</f>
        <v>655.5</v>
      </c>
      <c r="E15" s="6">
        <f>IFERROR(__xludf.DUMMYFUNCTION("""COMPUTED_VALUE"""),692.2)</f>
        <v>692.2</v>
      </c>
      <c r="F15" s="6">
        <f>IFERROR(__xludf.DUMMYFUNCTION("""COMPUTED_VALUE"""),7886260.0)</f>
        <v>7886260</v>
      </c>
    </row>
    <row r="16">
      <c r="A16" s="7">
        <f>IFERROR(__xludf.DUMMYFUNCTION("""COMPUTED_VALUE"""),45268.64583333333)</f>
        <v>45268.64583</v>
      </c>
      <c r="B16" s="6">
        <f>IFERROR(__xludf.DUMMYFUNCTION("""COMPUTED_VALUE"""),695.0)</f>
        <v>695</v>
      </c>
      <c r="C16" s="6">
        <f>IFERROR(__xludf.DUMMYFUNCTION("""COMPUTED_VALUE"""),699.0)</f>
        <v>699</v>
      </c>
      <c r="D16" s="6">
        <f>IFERROR(__xludf.DUMMYFUNCTION("""COMPUTED_VALUE"""),674.3)</f>
        <v>674.3</v>
      </c>
      <c r="E16" s="6">
        <f>IFERROR(__xludf.DUMMYFUNCTION("""COMPUTED_VALUE"""),686.25)</f>
        <v>686.25</v>
      </c>
      <c r="F16" s="6">
        <f>IFERROR(__xludf.DUMMYFUNCTION("""COMPUTED_VALUE"""),1.2034298E7)</f>
        <v>12034298</v>
      </c>
    </row>
    <row r="17">
      <c r="A17" s="7">
        <f>IFERROR(__xludf.DUMMYFUNCTION("""COMPUTED_VALUE"""),45275.64583333333)</f>
        <v>45275.64583</v>
      </c>
      <c r="B17" s="6">
        <f>IFERROR(__xludf.DUMMYFUNCTION("""COMPUTED_VALUE"""),687.25)</f>
        <v>687.25</v>
      </c>
      <c r="C17" s="6">
        <f>IFERROR(__xludf.DUMMYFUNCTION("""COMPUTED_VALUE"""),767.9)</f>
        <v>767.9</v>
      </c>
      <c r="D17" s="6">
        <f>IFERROR(__xludf.DUMMYFUNCTION("""COMPUTED_VALUE"""),685.0)</f>
        <v>685</v>
      </c>
      <c r="E17" s="6">
        <f>IFERROR(__xludf.DUMMYFUNCTION("""COMPUTED_VALUE"""),724.4)</f>
        <v>724.4</v>
      </c>
      <c r="F17" s="6">
        <f>IFERROR(__xludf.DUMMYFUNCTION("""COMPUTED_VALUE"""),2.6397769E7)</f>
        <v>26397769</v>
      </c>
    </row>
    <row r="18">
      <c r="A18" s="7">
        <f>IFERROR(__xludf.DUMMYFUNCTION("""COMPUTED_VALUE"""),45282.64583333333)</f>
        <v>45282.64583</v>
      </c>
      <c r="B18" s="6">
        <f>IFERROR(__xludf.DUMMYFUNCTION("""COMPUTED_VALUE"""),721.0)</f>
        <v>721</v>
      </c>
      <c r="C18" s="6">
        <f>IFERROR(__xludf.DUMMYFUNCTION("""COMPUTED_VALUE"""),739.85)</f>
        <v>739.85</v>
      </c>
      <c r="D18" s="6">
        <f>IFERROR(__xludf.DUMMYFUNCTION("""COMPUTED_VALUE"""),685.05)</f>
        <v>685.05</v>
      </c>
      <c r="E18" s="6">
        <f>IFERROR(__xludf.DUMMYFUNCTION("""COMPUTED_VALUE"""),726.4)</f>
        <v>726.4</v>
      </c>
      <c r="F18" s="6">
        <f>IFERROR(__xludf.DUMMYFUNCTION("""COMPUTED_VALUE"""),1.0305248E7)</f>
        <v>10305248</v>
      </c>
    </row>
    <row r="19">
      <c r="A19" s="7">
        <f>IFERROR(__xludf.DUMMYFUNCTION("""COMPUTED_VALUE"""),45289.64583333333)</f>
        <v>45289.64583</v>
      </c>
      <c r="B19" s="6">
        <f>IFERROR(__xludf.DUMMYFUNCTION("""COMPUTED_VALUE"""),735.0)</f>
        <v>735</v>
      </c>
      <c r="C19" s="6">
        <f>IFERROR(__xludf.DUMMYFUNCTION("""COMPUTED_VALUE"""),750.0)</f>
        <v>750</v>
      </c>
      <c r="D19" s="6">
        <f>IFERROR(__xludf.DUMMYFUNCTION("""COMPUTED_VALUE"""),727.0)</f>
        <v>727</v>
      </c>
      <c r="E19" s="6">
        <f>IFERROR(__xludf.DUMMYFUNCTION("""COMPUTED_VALUE"""),748.1)</f>
        <v>748.1</v>
      </c>
      <c r="F19" s="6">
        <f>IFERROR(__xludf.DUMMYFUNCTION("""COMPUTED_VALUE"""),7560372.0)</f>
        <v>7560372</v>
      </c>
    </row>
    <row r="20">
      <c r="A20" s="7">
        <f>IFERROR(__xludf.DUMMYFUNCTION("""COMPUTED_VALUE"""),45296.64583333333)</f>
        <v>45296.64583</v>
      </c>
      <c r="B20" s="6">
        <f>IFERROR(__xludf.DUMMYFUNCTION("""COMPUTED_VALUE"""),752.0)</f>
        <v>752</v>
      </c>
      <c r="C20" s="6">
        <f>IFERROR(__xludf.DUMMYFUNCTION("""COMPUTED_VALUE"""),755.5)</f>
        <v>755.5</v>
      </c>
      <c r="D20" s="6">
        <f>IFERROR(__xludf.DUMMYFUNCTION("""COMPUTED_VALUE"""),723.45)</f>
        <v>723.45</v>
      </c>
      <c r="E20" s="6">
        <f>IFERROR(__xludf.DUMMYFUNCTION("""COMPUTED_VALUE"""),735.75)</f>
        <v>735.75</v>
      </c>
      <c r="F20" s="6">
        <f>IFERROR(__xludf.DUMMYFUNCTION("""COMPUTED_VALUE"""),7088370.0)</f>
        <v>7088370</v>
      </c>
    </row>
    <row r="21">
      <c r="A21" s="7">
        <f>IFERROR(__xludf.DUMMYFUNCTION("""COMPUTED_VALUE"""),45303.64583333333)</f>
        <v>45303.64583</v>
      </c>
      <c r="B21" s="6">
        <f>IFERROR(__xludf.DUMMYFUNCTION("""COMPUTED_VALUE"""),738.95)</f>
        <v>738.95</v>
      </c>
      <c r="C21" s="6">
        <f>IFERROR(__xludf.DUMMYFUNCTION("""COMPUTED_VALUE"""),741.8)</f>
        <v>741.8</v>
      </c>
      <c r="D21" s="6">
        <f>IFERROR(__xludf.DUMMYFUNCTION("""COMPUTED_VALUE"""),713.75)</f>
        <v>713.75</v>
      </c>
      <c r="E21" s="6">
        <f>IFERROR(__xludf.DUMMYFUNCTION("""COMPUTED_VALUE"""),735.9)</f>
        <v>735.9</v>
      </c>
      <c r="F21" s="6">
        <f>IFERROR(__xludf.DUMMYFUNCTION("""COMPUTED_VALUE"""),5582708.0)</f>
        <v>5582708</v>
      </c>
    </row>
    <row r="22">
      <c r="A22" s="7">
        <f>IFERROR(__xludf.DUMMYFUNCTION("""COMPUTED_VALUE"""),45316.64583333333)</f>
        <v>45316.64583</v>
      </c>
      <c r="B22" s="6">
        <f>IFERROR(__xludf.DUMMYFUNCTION("""COMPUTED_VALUE"""),736.0)</f>
        <v>736</v>
      </c>
      <c r="C22" s="6">
        <f>IFERROR(__xludf.DUMMYFUNCTION("""COMPUTED_VALUE"""),738.0)</f>
        <v>738</v>
      </c>
      <c r="D22" s="6">
        <f>IFERROR(__xludf.DUMMYFUNCTION("""COMPUTED_VALUE"""),687.8)</f>
        <v>687.8</v>
      </c>
      <c r="E22" s="6">
        <f>IFERROR(__xludf.DUMMYFUNCTION("""COMPUTED_VALUE"""),716.3)</f>
        <v>716.3</v>
      </c>
      <c r="F22" s="6">
        <f>IFERROR(__xludf.DUMMYFUNCTION("""COMPUTED_VALUE"""),6083251.0)</f>
        <v>6083251</v>
      </c>
    </row>
    <row r="23">
      <c r="A23" s="7">
        <f>IFERROR(__xludf.DUMMYFUNCTION("""COMPUTED_VALUE"""),45324.64583333333)</f>
        <v>45324.64583</v>
      </c>
      <c r="B23" s="6">
        <f>IFERROR(__xludf.DUMMYFUNCTION("""COMPUTED_VALUE"""),723.0)</f>
        <v>723</v>
      </c>
      <c r="C23" s="6">
        <f>IFERROR(__xludf.DUMMYFUNCTION("""COMPUTED_VALUE"""),782.2)</f>
        <v>782.2</v>
      </c>
      <c r="D23" s="6">
        <f>IFERROR(__xludf.DUMMYFUNCTION("""COMPUTED_VALUE"""),715.0)</f>
        <v>715</v>
      </c>
      <c r="E23" s="6">
        <f>IFERROR(__xludf.DUMMYFUNCTION("""COMPUTED_VALUE"""),776.0)</f>
        <v>776</v>
      </c>
      <c r="F23" s="6">
        <f>IFERROR(__xludf.DUMMYFUNCTION("""COMPUTED_VALUE"""),1.614228E7)</f>
        <v>16142280</v>
      </c>
    </row>
    <row r="24">
      <c r="A24" s="7">
        <f>IFERROR(__xludf.DUMMYFUNCTION("""COMPUTED_VALUE"""),45331.64583333333)</f>
        <v>45331.64583</v>
      </c>
      <c r="B24" s="6">
        <f>IFERROR(__xludf.DUMMYFUNCTION("""COMPUTED_VALUE"""),781.9)</f>
        <v>781.9</v>
      </c>
      <c r="C24" s="6">
        <f>IFERROR(__xludf.DUMMYFUNCTION("""COMPUTED_VALUE"""),804.45)</f>
        <v>804.45</v>
      </c>
      <c r="D24" s="6">
        <f>IFERROR(__xludf.DUMMYFUNCTION("""COMPUTED_VALUE"""),741.85)</f>
        <v>741.85</v>
      </c>
      <c r="E24" s="6">
        <f>IFERROR(__xludf.DUMMYFUNCTION("""COMPUTED_VALUE"""),761.45)</f>
        <v>761.45</v>
      </c>
      <c r="F24" s="6">
        <f>IFERROR(__xludf.DUMMYFUNCTION("""COMPUTED_VALUE"""),1.361336E7)</f>
        <v>13613360</v>
      </c>
    </row>
    <row r="25">
      <c r="A25" s="7">
        <f>IFERROR(__xludf.DUMMYFUNCTION("""COMPUTED_VALUE"""),45338.64583333333)</f>
        <v>45338.64583</v>
      </c>
      <c r="B25" s="6">
        <f>IFERROR(__xludf.DUMMYFUNCTION("""COMPUTED_VALUE"""),761.45)</f>
        <v>761.45</v>
      </c>
      <c r="C25" s="6">
        <f>IFERROR(__xludf.DUMMYFUNCTION("""COMPUTED_VALUE"""),779.6)</f>
        <v>779.6</v>
      </c>
      <c r="D25" s="6">
        <f>IFERROR(__xludf.DUMMYFUNCTION("""COMPUTED_VALUE"""),708.7)</f>
        <v>708.7</v>
      </c>
      <c r="E25" s="6">
        <f>IFERROR(__xludf.DUMMYFUNCTION("""COMPUTED_VALUE"""),769.5)</f>
        <v>769.5</v>
      </c>
      <c r="F25" s="6">
        <f>IFERROR(__xludf.DUMMYFUNCTION("""COMPUTED_VALUE"""),9320549.0)</f>
        <v>9320549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IFERROR(__xludf.DUMMYFUNCTION("""COMPUTED_VALUE"""),772.0)</f>
        <v>772</v>
      </c>
      <c r="C26" s="6">
        <f>IFERROR(__xludf.DUMMYFUNCTION("""COMPUTED_VALUE"""),795.8)</f>
        <v>795.8</v>
      </c>
      <c r="D26" s="6">
        <f>IFERROR(__xludf.DUMMYFUNCTION("""COMPUTED_VALUE"""),753.0)</f>
        <v>753</v>
      </c>
      <c r="E26" s="6">
        <f>IFERROR(__xludf.DUMMYFUNCTION("""COMPUTED_VALUE"""),786.55)</f>
        <v>786.55</v>
      </c>
      <c r="F26" s="6">
        <f>IFERROR(__xludf.DUMMYFUNCTION("""COMPUTED_VALUE"""),1.3406791E7)</f>
        <v>13406791</v>
      </c>
    </row>
    <row r="27">
      <c r="A27" s="7">
        <f>IFERROR(__xludf.DUMMYFUNCTION("""COMPUTED_VALUE"""),45358.64583333333)</f>
        <v>45358.64583</v>
      </c>
      <c r="B27" s="6">
        <f>IFERROR(__xludf.DUMMYFUNCTION("""COMPUTED_VALUE"""),837.85)</f>
        <v>837.85</v>
      </c>
      <c r="C27" s="6">
        <f>IFERROR(__xludf.DUMMYFUNCTION("""COMPUTED_VALUE"""),851.0)</f>
        <v>851</v>
      </c>
      <c r="D27" s="6">
        <f>IFERROR(__xludf.DUMMYFUNCTION("""COMPUTED_VALUE"""),801.4)</f>
        <v>801.4</v>
      </c>
      <c r="E27" s="6">
        <f>IFERROR(__xludf.DUMMYFUNCTION("""COMPUTED_VALUE"""),839.0)</f>
        <v>839</v>
      </c>
      <c r="F27" s="6">
        <f>IFERROR(__xludf.DUMMYFUNCTION("""COMPUTED_VALUE"""),8815983.0)</f>
        <v>8815983</v>
      </c>
    </row>
    <row r="28">
      <c r="A28" s="7">
        <f>IFERROR(__xludf.DUMMYFUNCTION("""COMPUTED_VALUE"""),45366.64583333333)</f>
        <v>45366.64583</v>
      </c>
      <c r="B28" s="6">
        <f>IFERROR(__xludf.DUMMYFUNCTION("""COMPUTED_VALUE"""),845.0)</f>
        <v>845</v>
      </c>
      <c r="C28" s="6">
        <f>IFERROR(__xludf.DUMMYFUNCTION("""COMPUTED_VALUE"""),845.0)</f>
        <v>845</v>
      </c>
      <c r="D28" s="6">
        <f>IFERROR(__xludf.DUMMYFUNCTION("""COMPUTED_VALUE"""),756.5)</f>
        <v>756.5</v>
      </c>
      <c r="E28" s="6">
        <f>IFERROR(__xludf.DUMMYFUNCTION("""COMPUTED_VALUE"""),767.75)</f>
        <v>767.75</v>
      </c>
      <c r="F28" s="6">
        <f>IFERROR(__xludf.DUMMYFUNCTION("""COMPUTED_VALUE"""),9940437.0)</f>
        <v>9940437</v>
      </c>
    </row>
    <row r="29">
      <c r="A29" s="7">
        <f>IFERROR(__xludf.DUMMYFUNCTION("""COMPUTED_VALUE"""),45373.64583333333)</f>
        <v>45373.64583</v>
      </c>
      <c r="B29" s="6">
        <f>IFERROR(__xludf.DUMMYFUNCTION("""COMPUTED_VALUE"""),767.75)</f>
        <v>767.75</v>
      </c>
      <c r="C29" s="6">
        <f>IFERROR(__xludf.DUMMYFUNCTION("""COMPUTED_VALUE"""),835.8)</f>
        <v>835.8</v>
      </c>
      <c r="D29" s="6">
        <f>IFERROR(__xludf.DUMMYFUNCTION("""COMPUTED_VALUE"""),767.75)</f>
        <v>767.75</v>
      </c>
      <c r="E29" s="6">
        <f>IFERROR(__xludf.DUMMYFUNCTION("""COMPUTED_VALUE"""),832.9)</f>
        <v>832.9</v>
      </c>
      <c r="F29" s="6">
        <f>IFERROR(__xludf.DUMMYFUNCTION("""COMPUTED_VALUE"""),1.3341689E7)</f>
        <v>13341689</v>
      </c>
    </row>
    <row r="30">
      <c r="A30" s="7">
        <f>IFERROR(__xludf.DUMMYFUNCTION("""COMPUTED_VALUE"""),45379.64583333333)</f>
        <v>45379.64583</v>
      </c>
      <c r="B30" s="6">
        <f>IFERROR(__xludf.DUMMYFUNCTION("""COMPUTED_VALUE"""),842.9)</f>
        <v>842.9</v>
      </c>
      <c r="C30" s="6">
        <f>IFERROR(__xludf.DUMMYFUNCTION("""COMPUTED_VALUE"""),867.7)</f>
        <v>867.7</v>
      </c>
      <c r="D30" s="6">
        <f>IFERROR(__xludf.DUMMYFUNCTION("""COMPUTED_VALUE"""),826.95)</f>
        <v>826.95</v>
      </c>
      <c r="E30" s="6">
        <f>IFERROR(__xludf.DUMMYFUNCTION("""COMPUTED_VALUE"""),849.15)</f>
        <v>849.15</v>
      </c>
      <c r="F30" s="6">
        <f>IFERROR(__xludf.DUMMYFUNCTION("""COMPUTED_VALUE"""),6765009.0)</f>
        <v>6765009</v>
      </c>
    </row>
    <row r="31">
      <c r="A31" s="7">
        <f>IFERROR(__xludf.DUMMYFUNCTION("""COMPUTED_VALUE"""),45387.64583333333)</f>
        <v>45387.64583</v>
      </c>
      <c r="B31" s="6">
        <f>IFERROR(__xludf.DUMMYFUNCTION("""COMPUTED_VALUE"""),858.0)</f>
        <v>858</v>
      </c>
      <c r="C31" s="6">
        <f>IFERROR(__xludf.DUMMYFUNCTION("""COMPUTED_VALUE"""),921.5)</f>
        <v>921.5</v>
      </c>
      <c r="D31" s="6">
        <f>IFERROR(__xludf.DUMMYFUNCTION("""COMPUTED_VALUE"""),855.15)</f>
        <v>855.15</v>
      </c>
      <c r="E31" s="6">
        <f>IFERROR(__xludf.DUMMYFUNCTION("""COMPUTED_VALUE"""),915.75)</f>
        <v>915.75</v>
      </c>
      <c r="F31" s="6">
        <f>IFERROR(__xludf.DUMMYFUNCTION("""COMPUTED_VALUE"""),1.4257949E7)</f>
        <v>14257949</v>
      </c>
    </row>
    <row r="32">
      <c r="A32" s="7">
        <f>IFERROR(__xludf.DUMMYFUNCTION("""COMPUTED_VALUE"""),45394.64583333333)</f>
        <v>45394.64583</v>
      </c>
      <c r="B32" s="6">
        <f>IFERROR(__xludf.DUMMYFUNCTION("""COMPUTED_VALUE"""),916.1)</f>
        <v>916.1</v>
      </c>
      <c r="C32" s="6">
        <f>IFERROR(__xludf.DUMMYFUNCTION("""COMPUTED_VALUE"""),927.0)</f>
        <v>927</v>
      </c>
      <c r="D32" s="6">
        <f>IFERROR(__xludf.DUMMYFUNCTION("""COMPUTED_VALUE"""),891.2)</f>
        <v>891.2</v>
      </c>
      <c r="E32" s="6">
        <f>IFERROR(__xludf.DUMMYFUNCTION("""COMPUTED_VALUE"""),897.55)</f>
        <v>897.55</v>
      </c>
      <c r="F32" s="6">
        <f>IFERROR(__xludf.DUMMYFUNCTION("""COMPUTED_VALUE"""),1.2706201E7)</f>
        <v>12706201</v>
      </c>
    </row>
    <row r="33">
      <c r="A33" s="7">
        <f>IFERROR(__xludf.DUMMYFUNCTION("""COMPUTED_VALUE"""),45401.64583333333)</f>
        <v>45401.64583</v>
      </c>
      <c r="B33" s="6">
        <f>IFERROR(__xludf.DUMMYFUNCTION("""COMPUTED_VALUE"""),892.55)</f>
        <v>892.55</v>
      </c>
      <c r="C33" s="6">
        <f>IFERROR(__xludf.DUMMYFUNCTION("""COMPUTED_VALUE"""),936.0)</f>
        <v>936</v>
      </c>
      <c r="D33" s="6">
        <f>IFERROR(__xludf.DUMMYFUNCTION("""COMPUTED_VALUE"""),876.05)</f>
        <v>876.05</v>
      </c>
      <c r="E33" s="6">
        <f>IFERROR(__xludf.DUMMYFUNCTION("""COMPUTED_VALUE"""),927.25)</f>
        <v>927.25</v>
      </c>
      <c r="F33" s="6">
        <f>IFERROR(__xludf.DUMMYFUNCTION("""COMPUTED_VALUE"""),1.1204573E7)</f>
        <v>11204573</v>
      </c>
    </row>
    <row r="34">
      <c r="A34" s="7">
        <f>IFERROR(__xludf.DUMMYFUNCTION("""COMPUTED_VALUE"""),45408.64583333333)</f>
        <v>45408.64583</v>
      </c>
      <c r="B34" s="6">
        <f>IFERROR(__xludf.DUMMYFUNCTION("""COMPUTED_VALUE"""),935.8)</f>
        <v>935.8</v>
      </c>
      <c r="C34" s="6">
        <f>IFERROR(__xludf.DUMMYFUNCTION("""COMPUTED_VALUE"""),946.9)</f>
        <v>946.9</v>
      </c>
      <c r="D34" s="6">
        <f>IFERROR(__xludf.DUMMYFUNCTION("""COMPUTED_VALUE"""),905.1)</f>
        <v>905.1</v>
      </c>
      <c r="E34" s="6">
        <f>IFERROR(__xludf.DUMMYFUNCTION("""COMPUTED_VALUE"""),931.85)</f>
        <v>931.85</v>
      </c>
      <c r="F34" s="6">
        <f>IFERROR(__xludf.DUMMYFUNCTION("""COMPUTED_VALUE"""),1.1065488E7)</f>
        <v>11065488</v>
      </c>
    </row>
    <row r="35">
      <c r="A35" s="7">
        <f>IFERROR(__xludf.DUMMYFUNCTION("""COMPUTED_VALUE"""),45415.64583333333)</f>
        <v>45415.64583</v>
      </c>
      <c r="B35" s="6">
        <f>IFERROR(__xludf.DUMMYFUNCTION("""COMPUTED_VALUE"""),935.0)</f>
        <v>935</v>
      </c>
      <c r="C35" s="6">
        <f>IFERROR(__xludf.DUMMYFUNCTION("""COMPUTED_VALUE"""),960.0)</f>
        <v>960</v>
      </c>
      <c r="D35" s="6">
        <f>IFERROR(__xludf.DUMMYFUNCTION("""COMPUTED_VALUE"""),923.45)</f>
        <v>923.45</v>
      </c>
      <c r="E35" s="6">
        <f>IFERROR(__xludf.DUMMYFUNCTION("""COMPUTED_VALUE"""),931.5)</f>
        <v>931.5</v>
      </c>
      <c r="F35" s="6">
        <f>IFERROR(__xludf.DUMMYFUNCTION("""COMPUTED_VALUE"""),7851091.0)</f>
        <v>7851091</v>
      </c>
    </row>
    <row r="36">
      <c r="A36" s="7">
        <f>IFERROR(__xludf.DUMMYFUNCTION("""COMPUTED_VALUE"""),45422.64583333333)</f>
        <v>45422.64583</v>
      </c>
      <c r="B36" s="6">
        <f>IFERROR(__xludf.DUMMYFUNCTION("""COMPUTED_VALUE"""),935.95)</f>
        <v>935.95</v>
      </c>
      <c r="C36" s="6">
        <f>IFERROR(__xludf.DUMMYFUNCTION("""COMPUTED_VALUE"""),949.7)</f>
        <v>949.7</v>
      </c>
      <c r="D36" s="6">
        <f>IFERROR(__xludf.DUMMYFUNCTION("""COMPUTED_VALUE"""),911.0)</f>
        <v>911</v>
      </c>
      <c r="E36" s="6">
        <f>IFERROR(__xludf.DUMMYFUNCTION("""COMPUTED_VALUE"""),930.55)</f>
        <v>930.55</v>
      </c>
      <c r="F36" s="6">
        <f>IFERROR(__xludf.DUMMYFUNCTION("""COMPUTED_VALUE"""),8556895.0)</f>
        <v>8556895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IFERROR(__xludf.DUMMYFUNCTION("""COMPUTED_VALUE"""),1014.0)</f>
        <v>1014</v>
      </c>
      <c r="C37" s="6">
        <f>IFERROR(__xludf.DUMMYFUNCTION("""COMPUTED_VALUE"""),1085.95)</f>
        <v>1085.95</v>
      </c>
      <c r="D37" s="6">
        <f>IFERROR(__xludf.DUMMYFUNCTION("""COMPUTED_VALUE"""),1014.0)</f>
        <v>1014</v>
      </c>
      <c r="E37" s="6">
        <f>IFERROR(__xludf.DUMMYFUNCTION("""COMPUTED_VALUE"""),1069.2)</f>
        <v>1069.2</v>
      </c>
      <c r="F37" s="6">
        <f>IFERROR(__xludf.DUMMYFUNCTION("""COMPUTED_VALUE"""),7806178.0)</f>
        <v>7806178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IFERROR(__xludf.DUMMYFUNCTION("""COMPUTED_VALUE"""),1071.0)</f>
        <v>1071</v>
      </c>
      <c r="C38" s="6">
        <f>IFERROR(__xludf.DUMMYFUNCTION("""COMPUTED_VALUE"""),1079.9)</f>
        <v>1079.9</v>
      </c>
      <c r="D38" s="6">
        <f>IFERROR(__xludf.DUMMYFUNCTION("""COMPUTED_VALUE"""),1016.6)</f>
        <v>1016.6</v>
      </c>
      <c r="E38" s="6">
        <f>IFERROR(__xludf.DUMMYFUNCTION("""COMPUTED_VALUE"""),1028.15)</f>
        <v>1028.15</v>
      </c>
      <c r="F38" s="6">
        <f>IFERROR(__xludf.DUMMYFUNCTION("""COMPUTED_VALUE"""),7609779.0)</f>
        <v>7609779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IFERROR(__xludf.DUMMYFUNCTION("""COMPUTED_VALUE"""),1080.0)</f>
        <v>1080</v>
      </c>
      <c r="C39" s="6">
        <f>IFERROR(__xludf.DUMMYFUNCTION("""COMPUTED_VALUE"""),1080.0)</f>
        <v>1080</v>
      </c>
      <c r="D39" s="6">
        <f>IFERROR(__xludf.DUMMYFUNCTION("""COMPUTED_VALUE"""),901.2)</f>
        <v>901.2</v>
      </c>
      <c r="E39" s="6">
        <f>IFERROR(__xludf.DUMMYFUNCTION("""COMPUTED_VALUE"""),1026.95)</f>
        <v>1026.95</v>
      </c>
      <c r="F39" s="6">
        <f>IFERROR(__xludf.DUMMYFUNCTION("""COMPUTED_VALUE"""),1.6175152E7)</f>
        <v>16175152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IFERROR(__xludf.DUMMYFUNCTION("""COMPUTED_VALUE"""),1033.8)</f>
        <v>1033.8</v>
      </c>
      <c r="C40" s="6">
        <f>IFERROR(__xludf.DUMMYFUNCTION("""COMPUTED_VALUE"""),1059.25)</f>
        <v>1059.25</v>
      </c>
      <c r="D40" s="6">
        <f>IFERROR(__xludf.DUMMYFUNCTION("""COMPUTED_VALUE"""),1001.6)</f>
        <v>1001.6</v>
      </c>
      <c r="E40" s="6">
        <f>IFERROR(__xludf.DUMMYFUNCTION("""COMPUTED_VALUE"""),1052.45)</f>
        <v>1052.45</v>
      </c>
      <c r="F40" s="6">
        <f>IFERROR(__xludf.DUMMYFUNCTION("""COMPUTED_VALUE"""),1.0371236E7)</f>
        <v>10371236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IFERROR(__xludf.DUMMYFUNCTION("""COMPUTED_VALUE"""),1060.95)</f>
        <v>1060.95</v>
      </c>
      <c r="C41" s="6">
        <f>IFERROR(__xludf.DUMMYFUNCTION("""COMPUTED_VALUE"""),1097.0)</f>
        <v>1097</v>
      </c>
      <c r="D41" s="6">
        <f>IFERROR(__xludf.DUMMYFUNCTION("""COMPUTED_VALUE"""),1024.2)</f>
        <v>1024.2</v>
      </c>
      <c r="E41" s="6">
        <f>IFERROR(__xludf.DUMMYFUNCTION("""COMPUTED_VALUE"""),1077.25)</f>
        <v>1077.25</v>
      </c>
      <c r="F41" s="6">
        <f>IFERROR(__xludf.DUMMYFUNCTION("""COMPUTED_VALUE"""),1.1028432E7)</f>
        <v>11028432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IFERROR(__xludf.DUMMYFUNCTION("""COMPUTED_VALUE"""),1077.5)</f>
        <v>1077.5</v>
      </c>
      <c r="C42" s="6">
        <f>IFERROR(__xludf.DUMMYFUNCTION("""COMPUTED_VALUE"""),1081.0)</f>
        <v>1081</v>
      </c>
      <c r="D42" s="6">
        <f>IFERROR(__xludf.DUMMYFUNCTION("""COMPUTED_VALUE"""),1029.15)</f>
        <v>1029.15</v>
      </c>
      <c r="E42" s="6">
        <f>IFERROR(__xludf.DUMMYFUNCTION("""COMPUTED_VALUE"""),1044.4)</f>
        <v>1044.4</v>
      </c>
      <c r="F42" s="6">
        <f>IFERROR(__xludf.DUMMYFUNCTION("""COMPUTED_VALUE"""),1.0719876E7)</f>
        <v>10719876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IFERROR(__xludf.DUMMYFUNCTION("""COMPUTED_VALUE"""),1045.0)</f>
        <v>1045</v>
      </c>
      <c r="C43" s="6">
        <f>IFERROR(__xludf.DUMMYFUNCTION("""COMPUTED_VALUE"""),1075.2)</f>
        <v>1075.2</v>
      </c>
      <c r="D43" s="6">
        <f>IFERROR(__xludf.DUMMYFUNCTION("""COMPUTED_VALUE"""),1038.1)</f>
        <v>1038.1</v>
      </c>
      <c r="E43" s="6">
        <f>IFERROR(__xludf.DUMMYFUNCTION("""COMPUTED_VALUE"""),1050.5)</f>
        <v>1050.5</v>
      </c>
      <c r="F43" s="6">
        <f>IFERROR(__xludf.DUMMYFUNCTION("""COMPUTED_VALUE"""),8231119.0)</f>
        <v>8231119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IFERROR(__xludf.DUMMYFUNCTION("""COMPUTED_VALUE"""),1050.55)</f>
        <v>1050.55</v>
      </c>
      <c r="C44" s="6">
        <f>IFERROR(__xludf.DUMMYFUNCTION("""COMPUTED_VALUE"""),1054.45)</f>
        <v>1054.45</v>
      </c>
      <c r="D44" s="6">
        <f>IFERROR(__xludf.DUMMYFUNCTION("""COMPUTED_VALUE"""),992.0)</f>
        <v>992</v>
      </c>
      <c r="E44" s="6">
        <f>IFERROR(__xludf.DUMMYFUNCTION("""COMPUTED_VALUE"""),1013.9)</f>
        <v>1013.9</v>
      </c>
      <c r="F44" s="6">
        <f>IFERROR(__xludf.DUMMYFUNCTION("""COMPUTED_VALUE"""),7784719.0)</f>
        <v>7784719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IFERROR(__xludf.DUMMYFUNCTION("""COMPUTED_VALUE"""),1017.9)</f>
        <v>1017.9</v>
      </c>
      <c r="C45" s="6">
        <f>IFERROR(__xludf.DUMMYFUNCTION("""COMPUTED_VALUE"""),1028.0)</f>
        <v>1028</v>
      </c>
      <c r="D45" s="6">
        <f>IFERROR(__xludf.DUMMYFUNCTION("""COMPUTED_VALUE"""),944.45)</f>
        <v>944.45</v>
      </c>
      <c r="E45" s="6">
        <f>IFERROR(__xludf.DUMMYFUNCTION("""COMPUTED_VALUE"""),946.35)</f>
        <v>946.35</v>
      </c>
      <c r="F45" s="6">
        <f>IFERROR(__xludf.DUMMYFUNCTION("""COMPUTED_VALUE"""),1.0563588E7)</f>
        <v>10563588</v>
      </c>
    </row>
    <row r="46">
      <c r="A46" s="7">
        <f>IFERROR(__xludf.DUMMYFUNCTION("""COMPUTED_VALUE"""),45499.64583333333)</f>
        <v>45499.64583</v>
      </c>
      <c r="B46" s="6">
        <f>IFERROR(__xludf.DUMMYFUNCTION("""COMPUTED_VALUE"""),942.0)</f>
        <v>942</v>
      </c>
      <c r="C46" s="6">
        <f>IFERROR(__xludf.DUMMYFUNCTION("""COMPUTED_VALUE"""),974.95)</f>
        <v>974.95</v>
      </c>
      <c r="D46" s="6">
        <f>IFERROR(__xludf.DUMMYFUNCTION("""COMPUTED_VALUE"""),918.9)</f>
        <v>918.9</v>
      </c>
      <c r="E46" s="6">
        <f>IFERROR(__xludf.DUMMYFUNCTION("""COMPUTED_VALUE"""),972.35)</f>
        <v>972.35</v>
      </c>
      <c r="F46" s="6">
        <f>IFERROR(__xludf.DUMMYFUNCTION("""COMPUTED_VALUE"""),1.4415482E7)</f>
        <v>14415482</v>
      </c>
    </row>
    <row r="47">
      <c r="A47" s="7">
        <f>IFERROR(__xludf.DUMMYFUNCTION("""COMPUTED_VALUE"""),45506.64583333333)</f>
        <v>45506.64583</v>
      </c>
      <c r="B47" s="6">
        <f>IFERROR(__xludf.DUMMYFUNCTION("""COMPUTED_VALUE"""),979.5)</f>
        <v>979.5</v>
      </c>
      <c r="C47" s="6">
        <f>IFERROR(__xludf.DUMMYFUNCTION("""COMPUTED_VALUE"""),1006.65)</f>
        <v>1006.65</v>
      </c>
      <c r="D47" s="6">
        <f>IFERROR(__xludf.DUMMYFUNCTION("""COMPUTED_VALUE"""),953.15)</f>
        <v>953.15</v>
      </c>
      <c r="E47" s="6">
        <f>IFERROR(__xludf.DUMMYFUNCTION("""COMPUTED_VALUE"""),956.75)</f>
        <v>956.75</v>
      </c>
      <c r="F47" s="6">
        <f>IFERROR(__xludf.DUMMYFUNCTION("""COMPUTED_VALUE"""),7020870.0)</f>
        <v>7020870</v>
      </c>
    </row>
    <row r="48">
      <c r="A48" s="7">
        <f>IFERROR(__xludf.DUMMYFUNCTION("""COMPUTED_VALUE"""),45513.64583333333)</f>
        <v>45513.64583</v>
      </c>
      <c r="B48" s="6">
        <f>IFERROR(__xludf.DUMMYFUNCTION("""COMPUTED_VALUE"""),937.9)</f>
        <v>937.9</v>
      </c>
      <c r="C48" s="6">
        <f>IFERROR(__xludf.DUMMYFUNCTION("""COMPUTED_VALUE"""),949.85)</f>
        <v>949.85</v>
      </c>
      <c r="D48" s="6">
        <f>IFERROR(__xludf.DUMMYFUNCTION("""COMPUTED_VALUE"""),903.45)</f>
        <v>903.45</v>
      </c>
      <c r="E48" s="6">
        <f>IFERROR(__xludf.DUMMYFUNCTION("""COMPUTED_VALUE"""),916.2)</f>
        <v>916.2</v>
      </c>
      <c r="F48" s="6">
        <f>IFERROR(__xludf.DUMMYFUNCTION("""COMPUTED_VALUE"""),1.2074974E7)</f>
        <v>12074974</v>
      </c>
    </row>
    <row r="49">
      <c r="A49" s="7">
        <f>IFERROR(__xludf.DUMMYFUNCTION("""COMPUTED_VALUE"""),45520.64583333333)</f>
        <v>45520.64583</v>
      </c>
      <c r="B49" s="6">
        <f>IFERROR(__xludf.DUMMYFUNCTION("""COMPUTED_VALUE"""),914.95)</f>
        <v>914.95</v>
      </c>
      <c r="C49" s="6">
        <f>IFERROR(__xludf.DUMMYFUNCTION("""COMPUTED_VALUE"""),941.25)</f>
        <v>941.25</v>
      </c>
      <c r="D49" s="6">
        <f>IFERROR(__xludf.DUMMYFUNCTION("""COMPUTED_VALUE"""),896.0)</f>
        <v>896</v>
      </c>
      <c r="E49" s="6">
        <f>IFERROR(__xludf.DUMMYFUNCTION("""COMPUTED_VALUE"""),934.5)</f>
        <v>934.5</v>
      </c>
      <c r="F49" s="6">
        <f>IFERROR(__xludf.DUMMYFUNCTION("""COMPUTED_VALUE"""),8698808.0)</f>
        <v>8698808</v>
      </c>
    </row>
    <row r="50">
      <c r="A50" s="7">
        <f>IFERROR(__xludf.DUMMYFUNCTION("""COMPUTED_VALUE"""),45527.64583333333)</f>
        <v>45527.64583</v>
      </c>
      <c r="B50" s="6">
        <f>IFERROR(__xludf.DUMMYFUNCTION("""COMPUTED_VALUE"""),944.3)</f>
        <v>944.3</v>
      </c>
      <c r="C50" s="6">
        <f>IFERROR(__xludf.DUMMYFUNCTION("""COMPUTED_VALUE"""),969.0)</f>
        <v>969</v>
      </c>
      <c r="D50" s="6">
        <f>IFERROR(__xludf.DUMMYFUNCTION("""COMPUTED_VALUE"""),931.15)</f>
        <v>931.15</v>
      </c>
      <c r="E50" s="6">
        <f>IFERROR(__xludf.DUMMYFUNCTION("""COMPUTED_VALUE"""),959.85)</f>
        <v>959.85</v>
      </c>
      <c r="F50" s="6">
        <f>IFERROR(__xludf.DUMMYFUNCTION("""COMPUTED_VALUE"""),5073889.0)</f>
        <v>5073889</v>
      </c>
    </row>
    <row r="51">
      <c r="A51" s="7">
        <f>IFERROR(__xludf.DUMMYFUNCTION("""COMPUTED_VALUE"""),45534.64583333333)</f>
        <v>45534.64583</v>
      </c>
      <c r="B51" s="6">
        <f>IFERROR(__xludf.DUMMYFUNCTION("""COMPUTED_VALUE"""),965.0)</f>
        <v>965</v>
      </c>
      <c r="C51" s="6">
        <f>IFERROR(__xludf.DUMMYFUNCTION("""COMPUTED_VALUE"""),987.85)</f>
        <v>987.85</v>
      </c>
      <c r="D51" s="6">
        <f>IFERROR(__xludf.DUMMYFUNCTION("""COMPUTED_VALUE"""),948.55)</f>
        <v>948.55</v>
      </c>
      <c r="E51" s="6">
        <f>IFERROR(__xludf.DUMMYFUNCTION("""COMPUTED_VALUE"""),970.4)</f>
        <v>970.4</v>
      </c>
      <c r="F51" s="6">
        <f>IFERROR(__xludf.DUMMYFUNCTION("""COMPUTED_VALUE"""),6816933.0)</f>
        <v>6816933</v>
      </c>
    </row>
    <row r="52">
      <c r="A52" s="7">
        <f>IFERROR(__xludf.DUMMYFUNCTION("""COMPUTED_VALUE"""),45541.64583333333)</f>
        <v>45541.64583</v>
      </c>
      <c r="B52" s="6">
        <f>IFERROR(__xludf.DUMMYFUNCTION("""COMPUTED_VALUE"""),975.0)</f>
        <v>975</v>
      </c>
      <c r="C52" s="6">
        <f>IFERROR(__xludf.DUMMYFUNCTION("""COMPUTED_VALUE"""),980.85)</f>
        <v>980.85</v>
      </c>
      <c r="D52" s="6">
        <f>IFERROR(__xludf.DUMMYFUNCTION("""COMPUTED_VALUE"""),929.05)</f>
        <v>929.05</v>
      </c>
      <c r="E52" s="6">
        <f>IFERROR(__xludf.DUMMYFUNCTION("""COMPUTED_VALUE"""),953.95)</f>
        <v>953.95</v>
      </c>
      <c r="F52" s="6">
        <f>IFERROR(__xludf.DUMMYFUNCTION("""COMPUTED_VALUE"""),5701646.0)</f>
        <v>5701646</v>
      </c>
    </row>
    <row r="53">
      <c r="A53" s="7">
        <f>IFERROR(__xludf.DUMMYFUNCTION("""COMPUTED_VALUE"""),45548.64583333333)</f>
        <v>45548.64583</v>
      </c>
      <c r="B53" s="6">
        <f>IFERROR(__xludf.DUMMYFUNCTION("""COMPUTED_VALUE"""),953.95)</f>
        <v>953.95</v>
      </c>
      <c r="C53" s="6">
        <f>IFERROR(__xludf.DUMMYFUNCTION("""COMPUTED_VALUE"""),1035.7)</f>
        <v>1035.7</v>
      </c>
      <c r="D53" s="6">
        <f>IFERROR(__xludf.DUMMYFUNCTION("""COMPUTED_VALUE"""),933.0)</f>
        <v>933</v>
      </c>
      <c r="E53" s="6">
        <f>IFERROR(__xludf.DUMMYFUNCTION("""COMPUTED_VALUE"""),1031.1)</f>
        <v>1031.1</v>
      </c>
      <c r="F53" s="6">
        <f>IFERROR(__xludf.DUMMYFUNCTION("""COMPUTED_VALUE"""),1.1263414E7)</f>
        <v>11263414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IFERROR(__xludf.DUMMYFUNCTION("""COMPUTED_VALUE"""),1036.0)</f>
        <v>1036</v>
      </c>
      <c r="C54" s="6">
        <f>IFERROR(__xludf.DUMMYFUNCTION("""COMPUTED_VALUE"""),1073.7)</f>
        <v>1073.7</v>
      </c>
      <c r="D54" s="6">
        <f>IFERROR(__xludf.DUMMYFUNCTION("""COMPUTED_VALUE"""),997.55)</f>
        <v>997.55</v>
      </c>
      <c r="E54" s="6">
        <f>IFERROR(__xludf.DUMMYFUNCTION("""COMPUTED_VALUE"""),1009.4)</f>
        <v>1009.4</v>
      </c>
      <c r="F54" s="6">
        <f>IFERROR(__xludf.DUMMYFUNCTION("""COMPUTED_VALUE"""),1.3911018E7)</f>
        <v>13911018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IFERROR(__xludf.DUMMYFUNCTION("""COMPUTED_VALUE"""),1015.0)</f>
        <v>1015</v>
      </c>
      <c r="C55" s="6">
        <f>IFERROR(__xludf.DUMMYFUNCTION("""COMPUTED_VALUE"""),1054.75)</f>
        <v>1054.75</v>
      </c>
      <c r="D55" s="6">
        <f>IFERROR(__xludf.DUMMYFUNCTION("""COMPUTED_VALUE"""),1008.6)</f>
        <v>1008.6</v>
      </c>
      <c r="E55" s="6">
        <f>IFERROR(__xludf.DUMMYFUNCTION("""COMPUTED_VALUE"""),1028.05)</f>
        <v>1028.05</v>
      </c>
      <c r="F55" s="6">
        <f>IFERROR(__xludf.DUMMYFUNCTION("""COMPUTED_VALUE"""),1.1695833E7)</f>
        <v>11695833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IFERROR(__xludf.DUMMYFUNCTION("""COMPUTED_VALUE"""),1038.0)</f>
        <v>1038</v>
      </c>
      <c r="C56" s="6">
        <f>IFERROR(__xludf.DUMMYFUNCTION("""COMPUTED_VALUE"""),1069.0)</f>
        <v>1069</v>
      </c>
      <c r="D56" s="6">
        <f>IFERROR(__xludf.DUMMYFUNCTION("""COMPUTED_VALUE"""),1013.4)</f>
        <v>1013.4</v>
      </c>
      <c r="E56" s="6">
        <f>IFERROR(__xludf.DUMMYFUNCTION("""COMPUTED_VALUE"""),1021.1)</f>
        <v>1021.1</v>
      </c>
      <c r="F56" s="6">
        <f>IFERROR(__xludf.DUMMYFUNCTION("""COMPUTED_VALUE"""),1.377136E7)</f>
        <v>13771360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IFERROR(__xludf.DUMMYFUNCTION("""COMPUTED_VALUE"""),1026.05)</f>
        <v>1026.05</v>
      </c>
      <c r="C57" s="6">
        <f>IFERROR(__xludf.DUMMYFUNCTION("""COMPUTED_VALUE"""),1034.2)</f>
        <v>1034.2</v>
      </c>
      <c r="D57" s="6">
        <f>IFERROR(__xludf.DUMMYFUNCTION("""COMPUTED_VALUE"""),965.0)</f>
        <v>965</v>
      </c>
      <c r="E57" s="6">
        <f>IFERROR(__xludf.DUMMYFUNCTION("""COMPUTED_VALUE"""),1005.85)</f>
        <v>1005.85</v>
      </c>
      <c r="F57" s="6">
        <f>IFERROR(__xludf.DUMMYFUNCTION("""COMPUTED_VALUE"""),9745060.0)</f>
        <v>9745060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IFERROR(__xludf.DUMMYFUNCTION("""COMPUTED_VALUE"""),1006.05)</f>
        <v>1006.05</v>
      </c>
      <c r="C58" s="6">
        <f>IFERROR(__xludf.DUMMYFUNCTION("""COMPUTED_VALUE"""),1017.1)</f>
        <v>1017.1</v>
      </c>
      <c r="D58" s="6">
        <f>IFERROR(__xludf.DUMMYFUNCTION("""COMPUTED_VALUE"""),915.0)</f>
        <v>915</v>
      </c>
      <c r="E58" s="6">
        <f>IFERROR(__xludf.DUMMYFUNCTION("""COMPUTED_VALUE"""),964.5)</f>
        <v>964.5</v>
      </c>
      <c r="F58" s="6">
        <f>IFERROR(__xludf.DUMMYFUNCTION("""COMPUTED_VALUE"""),2.3947379E7)</f>
        <v>23947379</v>
      </c>
    </row>
    <row r="59">
      <c r="A59" s="7">
        <f>IFERROR(__xludf.DUMMYFUNCTION("""COMPUTED_VALUE"""),45590.64583333333)</f>
        <v>45590.64583</v>
      </c>
      <c r="B59" s="6">
        <f>IFERROR(__xludf.DUMMYFUNCTION("""COMPUTED_VALUE"""),969.15)</f>
        <v>969.15</v>
      </c>
      <c r="C59" s="6">
        <f>IFERROR(__xludf.DUMMYFUNCTION("""COMPUTED_VALUE"""),973.65)</f>
        <v>973.65</v>
      </c>
      <c r="D59" s="6">
        <f>IFERROR(__xludf.DUMMYFUNCTION("""COMPUTED_VALUE"""),882.0)</f>
        <v>882</v>
      </c>
      <c r="E59" s="6">
        <f>IFERROR(__xludf.DUMMYFUNCTION("""COMPUTED_VALUE"""),899.05)</f>
        <v>899.05</v>
      </c>
      <c r="F59" s="6">
        <f>IFERROR(__xludf.DUMMYFUNCTION("""COMPUTED_VALUE"""),1.1020013E7)</f>
        <v>11020013</v>
      </c>
    </row>
    <row r="60">
      <c r="A60" s="7">
        <f>IFERROR(__xludf.DUMMYFUNCTION("""COMPUTED_VALUE"""),45604.64583333333)</f>
        <v>45604.64583</v>
      </c>
      <c r="B60" s="6">
        <f>IFERROR(__xludf.DUMMYFUNCTION("""COMPUTED_VALUE"""),932.0)</f>
        <v>932</v>
      </c>
      <c r="C60" s="6">
        <f>IFERROR(__xludf.DUMMYFUNCTION("""COMPUTED_VALUE"""),968.95)</f>
        <v>968.95</v>
      </c>
      <c r="D60" s="6">
        <f>IFERROR(__xludf.DUMMYFUNCTION("""COMPUTED_VALUE"""),897.8)</f>
        <v>897.8</v>
      </c>
      <c r="E60" s="6">
        <f>IFERROR(__xludf.DUMMYFUNCTION("""COMPUTED_VALUE"""),928.05)</f>
        <v>928.05</v>
      </c>
      <c r="F60" s="6">
        <f>IFERROR(__xludf.DUMMYFUNCTION("""COMPUTED_VALUE"""),9918770.0)</f>
        <v>9918770</v>
      </c>
    </row>
    <row r="61">
      <c r="A61" s="7">
        <f>IFERROR(__xludf.DUMMYFUNCTION("""COMPUTED_VALUE"""),45610.64583333333)</f>
        <v>45610.64583</v>
      </c>
      <c r="B61" s="6">
        <f>IFERROR(__xludf.DUMMYFUNCTION("""COMPUTED_VALUE"""),923.0)</f>
        <v>923</v>
      </c>
      <c r="C61" s="6">
        <f>IFERROR(__xludf.DUMMYFUNCTION("""COMPUTED_VALUE"""),929.8)</f>
        <v>929.8</v>
      </c>
      <c r="D61" s="6">
        <f>IFERROR(__xludf.DUMMYFUNCTION("""COMPUTED_VALUE"""),855.0)</f>
        <v>855</v>
      </c>
      <c r="E61" s="6">
        <f>IFERROR(__xludf.DUMMYFUNCTION("""COMPUTED_VALUE"""),877.4)</f>
        <v>877.4</v>
      </c>
      <c r="F61" s="6">
        <f>IFERROR(__xludf.DUMMYFUNCTION("""COMPUTED_VALUE"""),8100624.0)</f>
        <v>8100624</v>
      </c>
    </row>
    <row r="62">
      <c r="A62" s="7">
        <f>IFERROR(__xludf.DUMMYFUNCTION("""COMPUTED_VALUE"""),45618.64583333333)</f>
        <v>45618.64583</v>
      </c>
      <c r="B62" s="6">
        <f>IFERROR(__xludf.DUMMYFUNCTION("""COMPUTED_VALUE"""),880.0)</f>
        <v>880</v>
      </c>
      <c r="C62" s="6">
        <f>IFERROR(__xludf.DUMMYFUNCTION("""COMPUTED_VALUE"""),903.95)</f>
        <v>903.95</v>
      </c>
      <c r="D62" s="6">
        <f>IFERROR(__xludf.DUMMYFUNCTION("""COMPUTED_VALUE"""),857.35)</f>
        <v>857.35</v>
      </c>
      <c r="E62" s="6">
        <f>IFERROR(__xludf.DUMMYFUNCTION("""COMPUTED_VALUE"""),878.95)</f>
        <v>878.95</v>
      </c>
      <c r="F62" s="6">
        <f>IFERROR(__xludf.DUMMYFUNCTION("""COMPUTED_VALUE"""),5159454.0)</f>
        <v>5159454</v>
      </c>
    </row>
    <row r="63">
      <c r="A63" s="7">
        <f>IFERROR(__xludf.DUMMYFUNCTION("""COMPUTED_VALUE"""),45625.64583333333)</f>
        <v>45625.64583</v>
      </c>
      <c r="B63" s="6">
        <f>IFERROR(__xludf.DUMMYFUNCTION("""COMPUTED_VALUE"""),887.7)</f>
        <v>887.7</v>
      </c>
      <c r="C63" s="6">
        <f>IFERROR(__xludf.DUMMYFUNCTION("""COMPUTED_VALUE"""),912.5)</f>
        <v>912.5</v>
      </c>
      <c r="D63" s="6">
        <f>IFERROR(__xludf.DUMMYFUNCTION("""COMPUTED_VALUE"""),870.05)</f>
        <v>870.05</v>
      </c>
      <c r="E63" s="6">
        <f>IFERROR(__xludf.DUMMYFUNCTION("""COMPUTED_VALUE"""),906.45)</f>
        <v>906.45</v>
      </c>
      <c r="F63" s="6">
        <f>IFERROR(__xludf.DUMMYFUNCTION("""COMPUTED_VALUE"""),1.0300453E7)</f>
        <v>10300453</v>
      </c>
    </row>
    <row r="64">
      <c r="A64" s="7">
        <f>IFERROR(__xludf.DUMMYFUNCTION("""COMPUTED_VALUE"""),45632.64583333333)</f>
        <v>45632.64583</v>
      </c>
      <c r="B64" s="6">
        <f>IFERROR(__xludf.DUMMYFUNCTION("""COMPUTED_VALUE"""),906.0)</f>
        <v>906</v>
      </c>
      <c r="C64" s="6">
        <f>IFERROR(__xludf.DUMMYFUNCTION("""COMPUTED_VALUE"""),951.75)</f>
        <v>951.75</v>
      </c>
      <c r="D64" s="6">
        <f>IFERROR(__xludf.DUMMYFUNCTION("""COMPUTED_VALUE"""),897.2)</f>
        <v>897.2</v>
      </c>
      <c r="E64" s="6">
        <f>IFERROR(__xludf.DUMMYFUNCTION("""COMPUTED_VALUE"""),949.1)</f>
        <v>949.1</v>
      </c>
      <c r="F64" s="6">
        <f>IFERROR(__xludf.DUMMYFUNCTION("""COMPUTED_VALUE"""),6110055.0)</f>
        <v>6110055</v>
      </c>
    </row>
    <row r="65">
      <c r="A65" s="7">
        <f>IFERROR(__xludf.DUMMYFUNCTION("""COMPUTED_VALUE"""),45639.64583333333)</f>
        <v>45639.64583</v>
      </c>
      <c r="B65" s="6">
        <f>IFERROR(__xludf.DUMMYFUNCTION("""COMPUTED_VALUE"""),950.05)</f>
        <v>950.05</v>
      </c>
      <c r="C65" s="6">
        <f>IFERROR(__xludf.DUMMYFUNCTION("""COMPUTED_VALUE"""),1011.45)</f>
        <v>1011.45</v>
      </c>
      <c r="D65" s="6">
        <f>IFERROR(__xludf.DUMMYFUNCTION("""COMPUTED_VALUE"""),945.2)</f>
        <v>945.2</v>
      </c>
      <c r="E65" s="6">
        <f>IFERROR(__xludf.DUMMYFUNCTION("""COMPUTED_VALUE"""),998.75)</f>
        <v>998.75</v>
      </c>
      <c r="F65" s="6">
        <f>IFERROR(__xludf.DUMMYFUNCTION("""COMPUTED_VALUE"""),1.0233459E7)</f>
        <v>10233459</v>
      </c>
    </row>
    <row r="66">
      <c r="A66" s="7">
        <f>IFERROR(__xludf.DUMMYFUNCTION("""COMPUTED_VALUE"""),45646.64583333333)</f>
        <v>45646.64583</v>
      </c>
      <c r="B66" s="6">
        <f>IFERROR(__xludf.DUMMYFUNCTION("""COMPUTED_VALUE"""),993.0)</f>
        <v>993</v>
      </c>
      <c r="C66" s="6">
        <f>IFERROR(__xludf.DUMMYFUNCTION("""COMPUTED_VALUE"""),1000.4)</f>
        <v>1000.4</v>
      </c>
      <c r="D66" s="6">
        <f>IFERROR(__xludf.DUMMYFUNCTION("""COMPUTED_VALUE"""),904.0)</f>
        <v>904</v>
      </c>
      <c r="E66" s="6">
        <f>IFERROR(__xludf.DUMMYFUNCTION("""COMPUTED_VALUE"""),908.05)</f>
        <v>908.05</v>
      </c>
      <c r="F66" s="6">
        <f>IFERROR(__xludf.DUMMYFUNCTION("""COMPUTED_VALUE"""),5079634.0)</f>
        <v>5079634</v>
      </c>
    </row>
    <row r="67">
      <c r="A67" s="7">
        <f>IFERROR(__xludf.DUMMYFUNCTION("""COMPUTED_VALUE"""),45653.64583333333)</f>
        <v>45653.64583</v>
      </c>
      <c r="B67" s="6">
        <f>IFERROR(__xludf.DUMMYFUNCTION("""COMPUTED_VALUE"""),925.0)</f>
        <v>925</v>
      </c>
      <c r="C67" s="6">
        <f>IFERROR(__xludf.DUMMYFUNCTION("""COMPUTED_VALUE"""),949.45)</f>
        <v>949.45</v>
      </c>
      <c r="D67" s="6">
        <f>IFERROR(__xludf.DUMMYFUNCTION("""COMPUTED_VALUE"""),883.35)</f>
        <v>883.35</v>
      </c>
      <c r="E67" s="6">
        <f>IFERROR(__xludf.DUMMYFUNCTION("""COMPUTED_VALUE"""),923.55)</f>
        <v>923.55</v>
      </c>
      <c r="F67" s="6">
        <f>IFERROR(__xludf.DUMMYFUNCTION("""COMPUTED_VALUE"""),6811657.0)</f>
        <v>6811657</v>
      </c>
    </row>
    <row r="68">
      <c r="A68" s="7">
        <f>IFERROR(__xludf.DUMMYFUNCTION("""COMPUTED_VALUE"""),45660.64583333333)</f>
        <v>45660.64583</v>
      </c>
      <c r="B68" s="6">
        <f>IFERROR(__xludf.DUMMYFUNCTION("""COMPUTED_VALUE"""),920.7)</f>
        <v>920.7</v>
      </c>
      <c r="C68" s="6">
        <f>IFERROR(__xludf.DUMMYFUNCTION("""COMPUTED_VALUE"""),962.1)</f>
        <v>962.1</v>
      </c>
      <c r="D68" s="6">
        <f>IFERROR(__xludf.DUMMYFUNCTION("""COMPUTED_VALUE"""),909.0)</f>
        <v>909</v>
      </c>
      <c r="E68" s="6">
        <f>IFERROR(__xludf.DUMMYFUNCTION("""COMPUTED_VALUE"""),957.85)</f>
        <v>957.85</v>
      </c>
      <c r="F68" s="6">
        <f>IFERROR(__xludf.DUMMYFUNCTION("""COMPUTED_VALUE"""),7819549.0)</f>
        <v>7819549</v>
      </c>
    </row>
    <row r="69">
      <c r="A69" s="7">
        <f>IFERROR(__xludf.DUMMYFUNCTION("""COMPUTED_VALUE"""),45667.64583333333)</f>
        <v>45667.64583</v>
      </c>
      <c r="B69" s="6">
        <f>IFERROR(__xludf.DUMMYFUNCTION("""COMPUTED_VALUE"""),957.8)</f>
        <v>957.8</v>
      </c>
      <c r="C69" s="6">
        <f>IFERROR(__xludf.DUMMYFUNCTION("""COMPUTED_VALUE"""),957.8)</f>
        <v>957.8</v>
      </c>
      <c r="D69" s="6">
        <f>IFERROR(__xludf.DUMMYFUNCTION("""COMPUTED_VALUE"""),911.05)</f>
        <v>911.05</v>
      </c>
      <c r="E69" s="6">
        <f>IFERROR(__xludf.DUMMYFUNCTION("""COMPUTED_VALUE"""),917.7)</f>
        <v>917.7</v>
      </c>
      <c r="F69" s="6">
        <f>IFERROR(__xludf.DUMMYFUNCTION("""COMPUTED_VALUE"""),7275865.0)</f>
        <v>7275865</v>
      </c>
    </row>
    <row r="70">
      <c r="A70" s="7">
        <f>IFERROR(__xludf.DUMMYFUNCTION("""COMPUTED_VALUE"""),45674.64583333333)</f>
        <v>45674.64583</v>
      </c>
      <c r="B70" s="6">
        <f>IFERROR(__xludf.DUMMYFUNCTION("""COMPUTED_VALUE"""),913.05)</f>
        <v>913.05</v>
      </c>
      <c r="C70" s="6">
        <f>IFERROR(__xludf.DUMMYFUNCTION("""COMPUTED_VALUE"""),932.5)</f>
        <v>932.5</v>
      </c>
      <c r="D70" s="6">
        <f>IFERROR(__xludf.DUMMYFUNCTION("""COMPUTED_VALUE"""),871.05)</f>
        <v>871.05</v>
      </c>
      <c r="E70" s="6">
        <f>IFERROR(__xludf.DUMMYFUNCTION("""COMPUTED_VALUE"""),924.65)</f>
        <v>924.65</v>
      </c>
      <c r="F70" s="6">
        <f>IFERROR(__xludf.DUMMYFUNCTION("""COMPUTED_VALUE"""),9005547.0)</f>
        <v>9005547</v>
      </c>
    </row>
    <row r="71">
      <c r="A71" s="7">
        <f>IFERROR(__xludf.DUMMYFUNCTION("""COMPUTED_VALUE"""),45681.64583333333)</f>
        <v>45681.64583</v>
      </c>
      <c r="B71" s="6">
        <f>IFERROR(__xludf.DUMMYFUNCTION("""COMPUTED_VALUE"""),927.8)</f>
        <v>927.8</v>
      </c>
      <c r="C71" s="6">
        <f>IFERROR(__xludf.DUMMYFUNCTION("""COMPUTED_VALUE"""),940.0)</f>
        <v>940</v>
      </c>
      <c r="D71" s="6">
        <f>IFERROR(__xludf.DUMMYFUNCTION("""COMPUTED_VALUE"""),877.35)</f>
        <v>877.35</v>
      </c>
      <c r="E71" s="6">
        <f>IFERROR(__xludf.DUMMYFUNCTION("""COMPUTED_VALUE"""),882.8)</f>
        <v>882.8</v>
      </c>
      <c r="F71" s="6">
        <f>IFERROR(__xludf.DUMMYFUNCTION("""COMPUTED_VALUE"""),6803783.0)</f>
        <v>6803783</v>
      </c>
    </row>
    <row r="72">
      <c r="A72" s="7">
        <f>IFERROR(__xludf.DUMMYFUNCTION("""COMPUTED_VALUE"""),45695.64583333333)</f>
        <v>45695.64583</v>
      </c>
      <c r="B72" s="6">
        <f>IFERROR(__xludf.DUMMYFUNCTION("""COMPUTED_VALUE"""),769.0)</f>
        <v>769</v>
      </c>
      <c r="C72" s="6">
        <f>IFERROR(__xludf.DUMMYFUNCTION("""COMPUTED_VALUE"""),848.7)</f>
        <v>848.7</v>
      </c>
      <c r="D72" s="6">
        <f>IFERROR(__xludf.DUMMYFUNCTION("""COMPUTED_VALUE"""),750.4)</f>
        <v>750.4</v>
      </c>
      <c r="E72" s="6">
        <f>IFERROR(__xludf.DUMMYFUNCTION("""COMPUTED_VALUE"""),844.55)</f>
        <v>844.55</v>
      </c>
      <c r="F72" s="6">
        <f>IFERROR(__xludf.DUMMYFUNCTION("""COMPUTED_VALUE"""),2.051787E7)</f>
        <v>20517870</v>
      </c>
    </row>
    <row r="73">
      <c r="A73" s="7">
        <f>IFERROR(__xludf.DUMMYFUNCTION("""COMPUTED_VALUE"""),45702.64583333333)</f>
        <v>45702.64583</v>
      </c>
      <c r="B73" s="6">
        <f>IFERROR(__xludf.DUMMYFUNCTION("""COMPUTED_VALUE"""),841.0)</f>
        <v>841</v>
      </c>
      <c r="C73" s="6">
        <f>IFERROR(__xludf.DUMMYFUNCTION("""COMPUTED_VALUE"""),858.0)</f>
        <v>858</v>
      </c>
      <c r="D73" s="6">
        <f>IFERROR(__xludf.DUMMYFUNCTION("""COMPUTED_VALUE"""),801.35)</f>
        <v>801.35</v>
      </c>
      <c r="E73" s="6">
        <f>IFERROR(__xludf.DUMMYFUNCTION("""COMPUTED_VALUE"""),833.3)</f>
        <v>833.3</v>
      </c>
      <c r="F73" s="6">
        <f>IFERROR(__xludf.DUMMYFUNCTION("""COMPUTED_VALUE"""),1.4005592E7)</f>
        <v>14005592</v>
      </c>
    </row>
    <row r="74">
      <c r="A74" s="7">
        <f>IFERROR(__xludf.DUMMYFUNCTION("""COMPUTED_VALUE"""),45709.64583333333)</f>
        <v>45709.64583</v>
      </c>
      <c r="B74" s="6">
        <f>IFERROR(__xludf.DUMMYFUNCTION("""COMPUTED_VALUE"""),825.0)</f>
        <v>825</v>
      </c>
      <c r="C74" s="6">
        <f>IFERROR(__xludf.DUMMYFUNCTION("""COMPUTED_VALUE"""),887.1)</f>
        <v>887.1</v>
      </c>
      <c r="D74" s="6">
        <f>IFERROR(__xludf.DUMMYFUNCTION("""COMPUTED_VALUE"""),813.35)</f>
        <v>813.35</v>
      </c>
      <c r="E74" s="6">
        <f>IFERROR(__xludf.DUMMYFUNCTION("""COMPUTED_VALUE"""),880.35)</f>
        <v>880.35</v>
      </c>
      <c r="F74" s="6">
        <f>IFERROR(__xludf.DUMMYFUNCTION("""COMPUTED_VALUE"""),1.1068337E7)</f>
        <v>11068337</v>
      </c>
    </row>
    <row r="75">
      <c r="A75" s="7">
        <f>IFERROR(__xludf.DUMMYFUNCTION("""COMPUTED_VALUE"""),45716.64583333333)</f>
        <v>45716.64583</v>
      </c>
      <c r="B75" s="6">
        <f>IFERROR(__xludf.DUMMYFUNCTION("""COMPUTED_VALUE"""),868.1)</f>
        <v>868.1</v>
      </c>
      <c r="C75" s="6">
        <f>IFERROR(__xludf.DUMMYFUNCTION("""COMPUTED_VALUE"""),887.4)</f>
        <v>887.4</v>
      </c>
      <c r="D75" s="6">
        <f>IFERROR(__xludf.DUMMYFUNCTION("""COMPUTED_VALUE"""),842.4)</f>
        <v>842.4</v>
      </c>
      <c r="E75" s="6">
        <f>IFERROR(__xludf.DUMMYFUNCTION("""COMPUTED_VALUE"""),856.15)</f>
        <v>856.15</v>
      </c>
      <c r="F75" s="6">
        <f>IFERROR(__xludf.DUMMYFUNCTION("""COMPUTED_VALUE"""),1.3016188E7)</f>
        <v>13016188</v>
      </c>
    </row>
    <row r="76">
      <c r="A76" s="7">
        <f>IFERROR(__xludf.DUMMYFUNCTION("""COMPUTED_VALUE"""),45723.64583333333)</f>
        <v>45723.64583</v>
      </c>
      <c r="B76" s="6">
        <f>IFERROR(__xludf.DUMMYFUNCTION("""COMPUTED_VALUE"""),852.0)</f>
        <v>852</v>
      </c>
      <c r="C76" s="6">
        <f>IFERROR(__xludf.DUMMYFUNCTION("""COMPUTED_VALUE"""),925.05)</f>
        <v>925.05</v>
      </c>
      <c r="D76" s="6">
        <f>IFERROR(__xludf.DUMMYFUNCTION("""COMPUTED_VALUE"""),842.55)</f>
        <v>842.55</v>
      </c>
      <c r="E76" s="6">
        <f>IFERROR(__xludf.DUMMYFUNCTION("""COMPUTED_VALUE"""),908.95)</f>
        <v>908.95</v>
      </c>
      <c r="F76" s="6">
        <f>IFERROR(__xludf.DUMMYFUNCTION("""COMPUTED_VALUE"""),1.1651701E7)</f>
        <v>11651701</v>
      </c>
    </row>
    <row r="77">
      <c r="A77" s="7">
        <f>IFERROR(__xludf.DUMMYFUNCTION("""COMPUTED_VALUE"""),45729.64583333333)</f>
        <v>45729.64583</v>
      </c>
      <c r="B77" s="6">
        <f>IFERROR(__xludf.DUMMYFUNCTION("""COMPUTED_VALUE"""),909.0)</f>
        <v>909</v>
      </c>
      <c r="C77" s="6">
        <f>IFERROR(__xludf.DUMMYFUNCTION("""COMPUTED_VALUE"""),933.8)</f>
        <v>933.8</v>
      </c>
      <c r="D77" s="6">
        <f>IFERROR(__xludf.DUMMYFUNCTION("""COMPUTED_VALUE"""),881.55)</f>
        <v>881.55</v>
      </c>
      <c r="E77" s="6">
        <f>IFERROR(__xludf.DUMMYFUNCTION("""COMPUTED_VALUE"""),889.7)</f>
        <v>889.7</v>
      </c>
      <c r="F77" s="6">
        <f>IFERROR(__xludf.DUMMYFUNCTION("""COMPUTED_VALUE"""),8195280.0)</f>
        <v>8195280</v>
      </c>
    </row>
    <row r="78">
      <c r="A78" s="7">
        <f>IFERROR(__xludf.DUMMYFUNCTION("""COMPUTED_VALUE"""),45737.64583333333)</f>
        <v>45737.64583</v>
      </c>
      <c r="B78" s="6">
        <f>IFERROR(__xludf.DUMMYFUNCTION("""COMPUTED_VALUE"""),892.0)</f>
        <v>892</v>
      </c>
      <c r="C78" s="6">
        <f>IFERROR(__xludf.DUMMYFUNCTION("""COMPUTED_VALUE"""),943.75)</f>
        <v>943.75</v>
      </c>
      <c r="D78" s="6">
        <f>IFERROR(__xludf.DUMMYFUNCTION("""COMPUTED_VALUE"""),889.7)</f>
        <v>889.7</v>
      </c>
      <c r="E78" s="6">
        <f>IFERROR(__xludf.DUMMYFUNCTION("""COMPUTED_VALUE"""),914.3)</f>
        <v>914.3</v>
      </c>
      <c r="F78" s="6">
        <f>IFERROR(__xludf.DUMMYFUNCTION("""COMPUTED_VALUE"""),8591594.0)</f>
        <v>8591594</v>
      </c>
    </row>
    <row r="79">
      <c r="A79" s="7">
        <f>IFERROR(__xludf.DUMMYFUNCTION("""COMPUTED_VALUE"""),45744.64583333333)</f>
        <v>45744.64583</v>
      </c>
      <c r="B79" s="6">
        <f>IFERROR(__xludf.DUMMYFUNCTION("""COMPUTED_VALUE"""),921.0)</f>
        <v>921</v>
      </c>
      <c r="C79" s="6">
        <f>IFERROR(__xludf.DUMMYFUNCTION("""COMPUTED_VALUE"""),929.0)</f>
        <v>929</v>
      </c>
      <c r="D79" s="6">
        <f>IFERROR(__xludf.DUMMYFUNCTION("""COMPUTED_VALUE"""),893.2)</f>
        <v>893.2</v>
      </c>
      <c r="E79" s="6">
        <f>IFERROR(__xludf.DUMMYFUNCTION("""COMPUTED_VALUE"""),912.3)</f>
        <v>912.3</v>
      </c>
      <c r="F79" s="6">
        <f>IFERROR(__xludf.DUMMYFUNCTION("""COMPUTED_VALUE"""),6844204.0)</f>
        <v>6844204</v>
      </c>
    </row>
    <row r="80">
      <c r="A80" s="7">
        <f>IFERROR(__xludf.DUMMYFUNCTION("""COMPUTED_VALUE"""),45751.64583333333)</f>
        <v>45751.64583</v>
      </c>
      <c r="B80" s="6">
        <f>IFERROR(__xludf.DUMMYFUNCTION("""COMPUTED_VALUE"""),907.0)</f>
        <v>907</v>
      </c>
      <c r="C80" s="6">
        <f>IFERROR(__xludf.DUMMYFUNCTION("""COMPUTED_VALUE"""),916.0)</f>
        <v>916</v>
      </c>
      <c r="D80" s="6">
        <f>IFERROR(__xludf.DUMMYFUNCTION("""COMPUTED_VALUE"""),845.0)</f>
        <v>845</v>
      </c>
      <c r="E80" s="6">
        <f>IFERROR(__xludf.DUMMYFUNCTION("""COMPUTED_VALUE"""),850.1)</f>
        <v>850.1</v>
      </c>
      <c r="F80" s="6">
        <f>IFERROR(__xludf.DUMMYFUNCTION("""COMPUTED_VALUE"""),8286447.0)</f>
        <v>8286447</v>
      </c>
    </row>
    <row r="81">
      <c r="A81" s="7">
        <f>IFERROR(__xludf.DUMMYFUNCTION("""COMPUTED_VALUE"""),45758.64583333333)</f>
        <v>45758.64583</v>
      </c>
      <c r="B81" s="6">
        <f>IFERROR(__xludf.DUMMYFUNCTION("""COMPUTED_VALUE"""),775.1)</f>
        <v>775.1</v>
      </c>
      <c r="C81" s="6">
        <f>IFERROR(__xludf.DUMMYFUNCTION("""COMPUTED_VALUE"""),822.75)</f>
        <v>822.75</v>
      </c>
      <c r="D81" s="6">
        <f>IFERROR(__xludf.DUMMYFUNCTION("""COMPUTED_VALUE"""),770.0)</f>
        <v>770</v>
      </c>
      <c r="E81" s="6">
        <f>IFERROR(__xludf.DUMMYFUNCTION("""COMPUTED_VALUE"""),805.65)</f>
        <v>805.65</v>
      </c>
      <c r="F81" s="6">
        <f>IFERROR(__xludf.DUMMYFUNCTION("""COMPUTED_VALUE"""),1.1073108E7)</f>
        <v>11073108</v>
      </c>
    </row>
    <row r="82">
      <c r="A82" s="7">
        <f>IFERROR(__xludf.DUMMYFUNCTION("""COMPUTED_VALUE"""),45764.64583333333)</f>
        <v>45764.64583</v>
      </c>
      <c r="B82" s="6">
        <f>IFERROR(__xludf.DUMMYFUNCTION("""COMPUTED_VALUE"""),825.0)</f>
        <v>825</v>
      </c>
      <c r="C82" s="6">
        <f>IFERROR(__xludf.DUMMYFUNCTION("""COMPUTED_VALUE"""),895.95)</f>
        <v>895.95</v>
      </c>
      <c r="D82" s="6">
        <f>IFERROR(__xludf.DUMMYFUNCTION("""COMPUTED_VALUE"""),821.8)</f>
        <v>821.8</v>
      </c>
      <c r="E82" s="6">
        <f>IFERROR(__xludf.DUMMYFUNCTION("""COMPUTED_VALUE"""),881.7)</f>
        <v>881.7</v>
      </c>
      <c r="F82" s="6">
        <f>IFERROR(__xludf.DUMMYFUNCTION("""COMPUTED_VALUE"""),6066024.0)</f>
        <v>6066024</v>
      </c>
    </row>
    <row r="83">
      <c r="A83" s="7">
        <f>IFERROR(__xludf.DUMMYFUNCTION("""COMPUTED_VALUE"""),45772.64583333333)</f>
        <v>45772.64583</v>
      </c>
      <c r="B83" s="6">
        <f>IFERROR(__xludf.DUMMYFUNCTION("""COMPUTED_VALUE"""),888.0)</f>
        <v>888</v>
      </c>
      <c r="C83" s="6">
        <f>IFERROR(__xludf.DUMMYFUNCTION("""COMPUTED_VALUE"""),926.0)</f>
        <v>926</v>
      </c>
      <c r="D83" s="6">
        <f>IFERROR(__xludf.DUMMYFUNCTION("""COMPUTED_VALUE"""),876.05)</f>
        <v>876.05</v>
      </c>
      <c r="E83" s="6">
        <f>IFERROR(__xludf.DUMMYFUNCTION("""COMPUTED_VALUE"""),891.8)</f>
        <v>891.8</v>
      </c>
      <c r="F83" s="6">
        <f>IFERROR(__xludf.DUMMYFUNCTION("""COMPUTED_VALUE"""),8104738.0)</f>
        <v>8104738</v>
      </c>
    </row>
    <row r="84">
      <c r="A84" s="7">
        <f>IFERROR(__xludf.DUMMYFUNCTION("""COMPUTED_VALUE"""),45779.64583333333)</f>
        <v>45779.64583</v>
      </c>
      <c r="B84" s="6">
        <f>IFERROR(__xludf.DUMMYFUNCTION("""COMPUTED_VALUE"""),895.0)</f>
        <v>895</v>
      </c>
      <c r="C84" s="6">
        <f>IFERROR(__xludf.DUMMYFUNCTION("""COMPUTED_VALUE"""),916.5)</f>
        <v>916.5</v>
      </c>
      <c r="D84" s="6">
        <f>IFERROR(__xludf.DUMMYFUNCTION("""COMPUTED_VALUE"""),843.55)</f>
        <v>843.55</v>
      </c>
      <c r="E84" s="6">
        <f>IFERROR(__xludf.DUMMYFUNCTION("""COMPUTED_VALUE"""),897.75)</f>
        <v>897.75</v>
      </c>
      <c r="F84" s="6">
        <f>IFERROR(__xludf.DUMMYFUNCTION("""COMPUTED_VALUE"""),5388423.0)</f>
        <v>5388423</v>
      </c>
    </row>
    <row r="85">
      <c r="A85" s="7">
        <f>IFERROR(__xludf.DUMMYFUNCTION("""COMPUTED_VALUE"""),45786.64583333333)</f>
        <v>45786.64583</v>
      </c>
      <c r="B85" s="6">
        <f>IFERROR(__xludf.DUMMYFUNCTION("""COMPUTED_VALUE"""),895.1)</f>
        <v>895.1</v>
      </c>
      <c r="C85" s="6">
        <f>IFERROR(__xludf.DUMMYFUNCTION("""COMPUTED_VALUE"""),911.0)</f>
        <v>911</v>
      </c>
      <c r="D85" s="6">
        <f>IFERROR(__xludf.DUMMYFUNCTION("""COMPUTED_VALUE"""),833.6)</f>
        <v>833.6</v>
      </c>
      <c r="E85" s="6">
        <f>IFERROR(__xludf.DUMMYFUNCTION("""COMPUTED_VALUE"""),855.35)</f>
        <v>855.35</v>
      </c>
      <c r="F85" s="6">
        <f>IFERROR(__xludf.DUMMYFUNCTION("""COMPUTED_VALUE"""),6601410.0)</f>
        <v>6601410</v>
      </c>
    </row>
    <row r="86">
      <c r="A86" s="7">
        <f>IFERROR(__xludf.DUMMYFUNCTION("""COMPUTED_VALUE"""),45793.64583333333)</f>
        <v>45793.64583</v>
      </c>
      <c r="B86" s="6">
        <f>IFERROR(__xludf.DUMMYFUNCTION("""COMPUTED_VALUE"""),875.0)</f>
        <v>875</v>
      </c>
      <c r="C86" s="6">
        <f>IFERROR(__xludf.DUMMYFUNCTION("""COMPUTED_VALUE"""),985.8)</f>
        <v>985.8</v>
      </c>
      <c r="D86" s="6">
        <f>IFERROR(__xludf.DUMMYFUNCTION("""COMPUTED_VALUE"""),866.9)</f>
        <v>866.9</v>
      </c>
      <c r="E86" s="6">
        <f>IFERROR(__xludf.DUMMYFUNCTION("""COMPUTED_VALUE"""),981.6)</f>
        <v>981.6</v>
      </c>
      <c r="F86" s="6">
        <f>IFERROR(__xludf.DUMMYFUNCTION("""COMPUTED_VALUE"""),1.6480992E7)</f>
        <v>16480992</v>
      </c>
    </row>
    <row r="87">
      <c r="A87" s="7">
        <f>IFERROR(__xludf.DUMMYFUNCTION("""COMPUTED_VALUE"""),45800.64583333333)</f>
        <v>45800.64583</v>
      </c>
      <c r="B87" s="6">
        <f>IFERROR(__xludf.DUMMYFUNCTION("""COMPUTED_VALUE"""),970.9)</f>
        <v>970.9</v>
      </c>
      <c r="C87" s="6">
        <f>IFERROR(__xludf.DUMMYFUNCTION("""COMPUTED_VALUE"""),982.9)</f>
        <v>982.9</v>
      </c>
      <c r="D87" s="6">
        <f>IFERROR(__xludf.DUMMYFUNCTION("""COMPUTED_VALUE"""),950.65)</f>
        <v>950.65</v>
      </c>
      <c r="E87" s="6">
        <f>IFERROR(__xludf.DUMMYFUNCTION("""COMPUTED_VALUE"""),953.4)</f>
        <v>953.4</v>
      </c>
      <c r="F87" s="6">
        <f>IFERROR(__xludf.DUMMYFUNCTION("""COMPUTED_VALUE"""),1.0562888E7)</f>
        <v>10562888</v>
      </c>
    </row>
    <row r="88">
      <c r="A88" s="7">
        <f>IFERROR(__xludf.DUMMYFUNCTION("""COMPUTED_VALUE"""),45807.64583333333)</f>
        <v>45807.64583</v>
      </c>
      <c r="B88" s="6">
        <f>IFERROR(__xludf.DUMMYFUNCTION("""COMPUTED_VALUE"""),952.0)</f>
        <v>952</v>
      </c>
      <c r="C88" s="6">
        <f>IFERROR(__xludf.DUMMYFUNCTION("""COMPUTED_VALUE"""),977.0)</f>
        <v>977</v>
      </c>
      <c r="D88" s="6">
        <f>IFERROR(__xludf.DUMMYFUNCTION("""COMPUTED_VALUE"""),940.5)</f>
        <v>940.5</v>
      </c>
      <c r="E88" s="6">
        <f>IFERROR(__xludf.DUMMYFUNCTION("""COMPUTED_VALUE"""),948.9)</f>
        <v>948.9</v>
      </c>
      <c r="F88" s="6">
        <f>IFERROR(__xludf.DUMMYFUNCTION("""COMPUTED_VALUE"""),8323756.0)</f>
        <v>8323756</v>
      </c>
    </row>
    <row r="89">
      <c r="A89" s="7">
        <f>IFERROR(__xludf.DUMMYFUNCTION("""COMPUTED_VALUE"""),45814.64583333333)</f>
        <v>45814.64583</v>
      </c>
      <c r="B89" s="6">
        <f>IFERROR(__xludf.DUMMYFUNCTION("""COMPUTED_VALUE"""),935.0)</f>
        <v>935</v>
      </c>
      <c r="C89" s="6">
        <f>IFERROR(__xludf.DUMMYFUNCTION("""COMPUTED_VALUE"""),967.4)</f>
        <v>967.4</v>
      </c>
      <c r="D89" s="6">
        <f>IFERROR(__xludf.DUMMYFUNCTION("""COMPUTED_VALUE"""),930.8)</f>
        <v>930.8</v>
      </c>
      <c r="E89" s="6">
        <f>IFERROR(__xludf.DUMMYFUNCTION("""COMPUTED_VALUE"""),962.75)</f>
        <v>962.75</v>
      </c>
      <c r="F89" s="6">
        <f>IFERROR(__xludf.DUMMYFUNCTION("""COMPUTED_VALUE"""),5994924.0)</f>
        <v>5994924</v>
      </c>
    </row>
    <row r="90">
      <c r="A90" s="7">
        <f>IFERROR(__xludf.DUMMYFUNCTION("""COMPUTED_VALUE"""),45821.64583333333)</f>
        <v>45821.64583</v>
      </c>
      <c r="B90" s="6">
        <f>IFERROR(__xludf.DUMMYFUNCTION("""COMPUTED_VALUE"""),963.1)</f>
        <v>963.1</v>
      </c>
      <c r="C90" s="6">
        <f>IFERROR(__xludf.DUMMYFUNCTION("""COMPUTED_VALUE"""),984.2)</f>
        <v>984.2</v>
      </c>
      <c r="D90" s="6">
        <f>IFERROR(__xludf.DUMMYFUNCTION("""COMPUTED_VALUE"""),914.8)</f>
        <v>914.8</v>
      </c>
      <c r="E90" s="6">
        <f>IFERROR(__xludf.DUMMYFUNCTION("""COMPUTED_VALUE"""),920.75)</f>
        <v>920.75</v>
      </c>
      <c r="F90" s="6">
        <f>IFERROR(__xludf.DUMMYFUNCTION("""COMPUTED_VALUE"""),7202095.0)</f>
        <v>7202095</v>
      </c>
    </row>
    <row r="91">
      <c r="A91" s="7">
        <f>IFERROR(__xludf.DUMMYFUNCTION("""COMPUTED_VALUE"""),45828.64583333333)</f>
        <v>45828.64583</v>
      </c>
      <c r="B91" s="6">
        <f>IFERROR(__xludf.DUMMYFUNCTION("""COMPUTED_VALUE"""),923.4)</f>
        <v>923.4</v>
      </c>
      <c r="C91" s="6">
        <f>IFERROR(__xludf.DUMMYFUNCTION("""COMPUTED_VALUE"""),929.6)</f>
        <v>929.6</v>
      </c>
      <c r="D91" s="6">
        <f>IFERROR(__xludf.DUMMYFUNCTION("""COMPUTED_VALUE"""),882.65)</f>
        <v>882.65</v>
      </c>
      <c r="E91" s="6">
        <f>IFERROR(__xludf.DUMMYFUNCTION("""COMPUTED_VALUE"""),899.05)</f>
        <v>899.05</v>
      </c>
      <c r="F91" s="6">
        <f>IFERROR(__xludf.DUMMYFUNCTION("""COMPUTED_VALUE"""),8908393.0)</f>
        <v>8908393</v>
      </c>
    </row>
    <row r="92">
      <c r="A92" s="7">
        <f>IFERROR(__xludf.DUMMYFUNCTION("""COMPUTED_VALUE"""),45835.64583333333)</f>
        <v>45835.64583</v>
      </c>
      <c r="B92" s="6">
        <f>IFERROR(__xludf.DUMMYFUNCTION("""COMPUTED_VALUE"""),895.1)</f>
        <v>895.1</v>
      </c>
      <c r="C92" s="6">
        <f>IFERROR(__xludf.DUMMYFUNCTION("""COMPUTED_VALUE"""),970.5)</f>
        <v>970.5</v>
      </c>
      <c r="D92" s="6">
        <f>IFERROR(__xludf.DUMMYFUNCTION("""COMPUTED_VALUE"""),892.0)</f>
        <v>892</v>
      </c>
      <c r="E92" s="6">
        <f>IFERROR(__xludf.DUMMYFUNCTION("""COMPUTED_VALUE"""),939.35)</f>
        <v>939.35</v>
      </c>
      <c r="F92" s="6">
        <f>IFERROR(__xludf.DUMMYFUNCTION("""COMPUTED_VALUE"""),9510398.0)</f>
        <v>9510398</v>
      </c>
    </row>
    <row r="93">
      <c r="A93" s="7">
        <f>IFERROR(__xludf.DUMMYFUNCTION("""COMPUTED_VALUE"""),45842.64583333333)</f>
        <v>45842.64583</v>
      </c>
      <c r="B93" s="6">
        <f>IFERROR(__xludf.DUMMYFUNCTION("""COMPUTED_VALUE"""),944.0)</f>
        <v>944</v>
      </c>
      <c r="C93" s="6">
        <f>IFERROR(__xludf.DUMMYFUNCTION("""COMPUTED_VALUE"""),985.2)</f>
        <v>985.2</v>
      </c>
      <c r="D93" s="6">
        <f>IFERROR(__xludf.DUMMYFUNCTION("""COMPUTED_VALUE"""),931.05)</f>
        <v>931.05</v>
      </c>
      <c r="E93" s="6">
        <f>IFERROR(__xludf.DUMMYFUNCTION("""COMPUTED_VALUE"""),953.0)</f>
        <v>953</v>
      </c>
      <c r="F93" s="6">
        <f>IFERROR(__xludf.DUMMYFUNCTION("""COMPUTED_VALUE"""),6576296.0)</f>
        <v>6576296</v>
      </c>
    </row>
    <row r="94">
      <c r="A94" s="7">
        <f>IFERROR(__xludf.DUMMYFUNCTION("""COMPUTED_VALUE"""),45849.64583333333)</f>
        <v>45849.64583</v>
      </c>
      <c r="B94" s="6">
        <f>IFERROR(__xludf.DUMMYFUNCTION("""COMPUTED_VALUE"""),951.0)</f>
        <v>951</v>
      </c>
      <c r="C94" s="6">
        <f>IFERROR(__xludf.DUMMYFUNCTION("""COMPUTED_VALUE"""),960.8)</f>
        <v>960.8</v>
      </c>
      <c r="D94" s="6">
        <f>IFERROR(__xludf.DUMMYFUNCTION("""COMPUTED_VALUE"""),926.75)</f>
        <v>926.75</v>
      </c>
      <c r="E94" s="6">
        <f>IFERROR(__xludf.DUMMYFUNCTION("""COMPUTED_VALUE"""),938.4)</f>
        <v>938.4</v>
      </c>
      <c r="F94" s="6">
        <f>IFERROR(__xludf.DUMMYFUNCTION("""COMPUTED_VALUE"""),5193558.0)</f>
        <v>5193558</v>
      </c>
    </row>
    <row r="95">
      <c r="A95" s="7">
        <f>IFERROR(__xludf.DUMMYFUNCTION("""COMPUTED_VALUE"""),45856.64583333333)</f>
        <v>45856.64583</v>
      </c>
      <c r="B95" s="6">
        <f>IFERROR(__xludf.DUMMYFUNCTION("""COMPUTED_VALUE"""),938.4)</f>
        <v>938.4</v>
      </c>
      <c r="C95" s="6">
        <f>IFERROR(__xludf.DUMMYFUNCTION("""COMPUTED_VALUE"""),962.9)</f>
        <v>962.9</v>
      </c>
      <c r="D95" s="6">
        <f>IFERROR(__xludf.DUMMYFUNCTION("""COMPUTED_VALUE"""),927.2)</f>
        <v>927.2</v>
      </c>
      <c r="E95" s="6">
        <f>IFERROR(__xludf.DUMMYFUNCTION("""COMPUTED_VALUE"""),957.15)</f>
        <v>957.15</v>
      </c>
      <c r="F95" s="6">
        <f>IFERROR(__xludf.DUMMYFUNCTION("""COMPUTED_VALUE"""),7556401.0)</f>
        <v>7556401</v>
      </c>
    </row>
    <row r="96">
      <c r="A96" s="7">
        <f>IFERROR(__xludf.DUMMYFUNCTION("""COMPUTED_VALUE"""),45863.64583333333)</f>
        <v>45863.64583</v>
      </c>
      <c r="B96" s="6">
        <f>IFERROR(__xludf.DUMMYFUNCTION("""COMPUTED_VALUE"""),957.95)</f>
        <v>957.95</v>
      </c>
      <c r="C96" s="6">
        <f>IFERROR(__xludf.DUMMYFUNCTION("""COMPUTED_VALUE"""),1006.35)</f>
        <v>1006.35</v>
      </c>
      <c r="D96" s="6">
        <f>IFERROR(__xludf.DUMMYFUNCTION("""COMPUTED_VALUE"""),957.6)</f>
        <v>957.6</v>
      </c>
      <c r="E96" s="6">
        <f>IFERROR(__xludf.DUMMYFUNCTION("""COMPUTED_VALUE"""),1000.15)</f>
        <v>1000.15</v>
      </c>
      <c r="F96" s="6">
        <f>IFERROR(__xludf.DUMMYFUNCTION("""COMPUTED_VALUE"""),1.0650706E7)</f>
        <v>10650706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IFERROR(__xludf.DUMMYFUNCTION("""COMPUTED_VALUE"""),1000.45)</f>
        <v>1000.45</v>
      </c>
      <c r="C97" s="6">
        <f>IFERROR(__xludf.DUMMYFUNCTION("""COMPUTED_VALUE"""),1001.4)</f>
        <v>1001.4</v>
      </c>
      <c r="D97" s="6">
        <f>IFERROR(__xludf.DUMMYFUNCTION("""COMPUTED_VALUE"""),941.55)</f>
        <v>941.55</v>
      </c>
      <c r="E97" s="6">
        <f>IFERROR(__xludf.DUMMYFUNCTION("""COMPUTED_VALUE"""),945.5)</f>
        <v>945.5</v>
      </c>
      <c r="F97" s="6">
        <f>IFERROR(__xludf.DUMMYFUNCTION("""COMPUTED_VALUE"""),6237112.0)</f>
        <v>6237112</v>
      </c>
    </row>
    <row r="98">
      <c r="A98" s="7">
        <f>IFERROR(__xludf.DUMMYFUNCTION("""COMPUTED_VALUE"""),45877.64583333333)</f>
        <v>45877.64583</v>
      </c>
      <c r="B98" s="6">
        <f>IFERROR(__xludf.DUMMYFUNCTION("""COMPUTED_VALUE"""),948.1)</f>
        <v>948.1</v>
      </c>
      <c r="C98" s="6">
        <f>IFERROR(__xludf.DUMMYFUNCTION("""COMPUTED_VALUE"""),1003.2)</f>
        <v>1003.2</v>
      </c>
      <c r="D98" s="6">
        <f>IFERROR(__xludf.DUMMYFUNCTION("""COMPUTED_VALUE"""),948.1)</f>
        <v>948.1</v>
      </c>
      <c r="E98" s="6">
        <f>IFERROR(__xludf.DUMMYFUNCTION("""COMPUTED_VALUE"""),974.1)</f>
        <v>974.1</v>
      </c>
      <c r="F98" s="6">
        <f>IFERROR(__xludf.DUMMYFUNCTION("""COMPUTED_VALUE"""),8901228.0)</f>
        <v>8901228</v>
      </c>
    </row>
    <row r="99">
      <c r="A99" s="7">
        <f>IFERROR(__xludf.DUMMYFUNCTION("""COMPUTED_VALUE"""),45883.64583333333)</f>
        <v>45883.64583</v>
      </c>
      <c r="B99" s="6">
        <f>IFERROR(__xludf.DUMMYFUNCTION("""COMPUTED_VALUE"""),975.05)</f>
        <v>975.05</v>
      </c>
      <c r="C99" s="6">
        <f>IFERROR(__xludf.DUMMYFUNCTION("""COMPUTED_VALUE"""),1021.75)</f>
        <v>1021.75</v>
      </c>
      <c r="D99" s="6">
        <f>IFERROR(__xludf.DUMMYFUNCTION("""COMPUTED_VALUE"""),968.2)</f>
        <v>968.2</v>
      </c>
      <c r="E99" s="6">
        <f>IFERROR(__xludf.DUMMYFUNCTION("""COMPUTED_VALUE"""),975.4)</f>
        <v>975.4</v>
      </c>
      <c r="F99" s="6">
        <f>IFERROR(__xludf.DUMMYFUNCTION("""COMPUTED_VALUE"""),6874534.0)</f>
        <v>6874534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IFERROR(__xludf.DUMMYFUNCTION("""COMPUTED_VALUE"""),990.0)</f>
        <v>990</v>
      </c>
      <c r="C100" s="6">
        <f>IFERROR(__xludf.DUMMYFUNCTION("""COMPUTED_VALUE"""),1022.0)</f>
        <v>1022</v>
      </c>
      <c r="D100" s="6">
        <f>IFERROR(__xludf.DUMMYFUNCTION("""COMPUTED_VALUE"""),980.0)</f>
        <v>980</v>
      </c>
      <c r="E100" s="6">
        <f>IFERROR(__xludf.DUMMYFUNCTION("""COMPUTED_VALUE"""),997.25)</f>
        <v>997.25</v>
      </c>
      <c r="F100" s="6">
        <f>IFERROR(__xludf.DUMMYFUNCTION("""COMPUTED_VALUE"""),9461086.0)</f>
        <v>9461086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IFERROR(__xludf.DUMMYFUNCTION("""COMPUTED_VALUE"""),1003.1)</f>
        <v>1003.1</v>
      </c>
      <c r="C101" s="6">
        <f>IFERROR(__xludf.DUMMYFUNCTION("""COMPUTED_VALUE"""),1004.4)</f>
        <v>1004.4</v>
      </c>
      <c r="D101" s="6">
        <f>IFERROR(__xludf.DUMMYFUNCTION("""COMPUTED_VALUE"""),970.9)</f>
        <v>970.9</v>
      </c>
      <c r="E101" s="6">
        <f>IFERROR(__xludf.DUMMYFUNCTION("""COMPUTED_VALUE"""),977.15)</f>
        <v>977.15</v>
      </c>
      <c r="F101" s="6">
        <f>IFERROR(__xludf.DUMMYFUNCTION("""COMPUTED_VALUE"""),4.6220037E7)</f>
        <v>46220037</v>
      </c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IFERROR(__xludf.DUMMYFUNCTION("GOOGLEFINANCE(""NSE:JIOFIN"",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IFERROR(__xludf.DUMMYFUNCTION("""COMPUTED_VALUE"""),213.35)</f>
        <v>213.35</v>
      </c>
      <c r="C2" s="6">
        <f>IFERROR(__xludf.DUMMYFUNCTION("""COMPUTED_VALUE"""),245.15)</f>
        <v>245.15</v>
      </c>
      <c r="D2" s="6">
        <f>IFERROR(__xludf.DUMMYFUNCTION("""COMPUTED_VALUE"""),207.25)</f>
        <v>207.25</v>
      </c>
      <c r="E2" s="6">
        <f>IFERROR(__xludf.DUMMYFUNCTION("""COMPUTED_VALUE"""),245.15)</f>
        <v>245.15</v>
      </c>
      <c r="F2" s="6">
        <f>IFERROR(__xludf.DUMMYFUNCTION("""COMPUTED_VALUE"""),3.65221919E8)</f>
        <v>365221919</v>
      </c>
    </row>
    <row r="3">
      <c r="A3" s="7">
        <f>IFERROR(__xludf.DUMMYFUNCTION("""COMPUTED_VALUE"""),45177.64583333333)</f>
        <v>45177.64583</v>
      </c>
      <c r="B3" s="6">
        <f>IFERROR(__xludf.DUMMYFUNCTION("""COMPUTED_VALUE"""),255.3)</f>
        <v>255.3</v>
      </c>
      <c r="C3" s="6">
        <f>IFERROR(__xludf.DUMMYFUNCTION("""COMPUTED_VALUE"""),266.95)</f>
        <v>266.95</v>
      </c>
      <c r="D3" s="6">
        <f>IFERROR(__xludf.DUMMYFUNCTION("""COMPUTED_VALUE"""),246.05)</f>
        <v>246.05</v>
      </c>
      <c r="E3" s="6">
        <f>IFERROR(__xludf.DUMMYFUNCTION("""COMPUTED_VALUE"""),253.2)</f>
        <v>253.2</v>
      </c>
      <c r="F3" s="6">
        <f>IFERROR(__xludf.DUMMYFUNCTION("""COMPUTED_VALUE"""),4.51733808E8)</f>
        <v>451733808</v>
      </c>
    </row>
    <row r="4">
      <c r="A4" s="7">
        <f>IFERROR(__xludf.DUMMYFUNCTION("""COMPUTED_VALUE"""),45184.64583333333)</f>
        <v>45184.64583</v>
      </c>
      <c r="B4" s="6">
        <f>IFERROR(__xludf.DUMMYFUNCTION("""COMPUTED_VALUE"""),256.95)</f>
        <v>256.95</v>
      </c>
      <c r="C4" s="6">
        <f>IFERROR(__xludf.DUMMYFUNCTION("""COMPUTED_VALUE"""),257.7)</f>
        <v>257.7</v>
      </c>
      <c r="D4" s="6">
        <f>IFERROR(__xludf.DUMMYFUNCTION("""COMPUTED_VALUE"""),236.6)</f>
        <v>236.6</v>
      </c>
      <c r="E4" s="6">
        <f>IFERROR(__xludf.DUMMYFUNCTION("""COMPUTED_VALUE"""),239.4)</f>
        <v>239.4</v>
      </c>
      <c r="F4" s="6">
        <f>IFERROR(__xludf.DUMMYFUNCTION("""COMPUTED_VALUE"""),1.33765906E8)</f>
        <v>133765906</v>
      </c>
    </row>
    <row r="5">
      <c r="A5" s="7">
        <f>IFERROR(__xludf.DUMMYFUNCTION("""COMPUTED_VALUE"""),45191.64583333333)</f>
        <v>45191.64583</v>
      </c>
      <c r="B5" s="6">
        <f>IFERROR(__xludf.DUMMYFUNCTION("""COMPUTED_VALUE"""),240.0)</f>
        <v>240</v>
      </c>
      <c r="C5" s="6">
        <f>IFERROR(__xludf.DUMMYFUNCTION("""COMPUTED_VALUE"""),240.85)</f>
        <v>240.85</v>
      </c>
      <c r="D5" s="6">
        <f>IFERROR(__xludf.DUMMYFUNCTION("""COMPUTED_VALUE"""),226.35)</f>
        <v>226.35</v>
      </c>
      <c r="E5" s="6">
        <f>IFERROR(__xludf.DUMMYFUNCTION("""COMPUTED_VALUE"""),227.8)</f>
        <v>227.8</v>
      </c>
      <c r="F5" s="6">
        <f>IFERROR(__xludf.DUMMYFUNCTION("""COMPUTED_VALUE"""),1.14441131E8)</f>
        <v>114441131</v>
      </c>
    </row>
    <row r="6">
      <c r="A6" s="7">
        <f>IFERROR(__xludf.DUMMYFUNCTION("""COMPUTED_VALUE"""),45198.64583333333)</f>
        <v>45198.64583</v>
      </c>
      <c r="B6" s="6">
        <f>IFERROR(__xludf.DUMMYFUNCTION("""COMPUTED_VALUE"""),230.0)</f>
        <v>230</v>
      </c>
      <c r="C6" s="6">
        <f>IFERROR(__xludf.DUMMYFUNCTION("""COMPUTED_VALUE"""),232.9)</f>
        <v>232.9</v>
      </c>
      <c r="D6" s="6">
        <f>IFERROR(__xludf.DUMMYFUNCTION("""COMPUTED_VALUE"""),224.75)</f>
        <v>224.75</v>
      </c>
      <c r="E6" s="6">
        <f>IFERROR(__xludf.DUMMYFUNCTION("""COMPUTED_VALUE"""),231.2)</f>
        <v>231.2</v>
      </c>
      <c r="F6" s="6">
        <f>IFERROR(__xludf.DUMMYFUNCTION("""COMPUTED_VALUE"""),5.3989545E7)</f>
        <v>53989545</v>
      </c>
    </row>
    <row r="7">
      <c r="A7" s="7">
        <f>IFERROR(__xludf.DUMMYFUNCTION("""COMPUTED_VALUE"""),45205.64583333333)</f>
        <v>45205.64583</v>
      </c>
      <c r="B7" s="6">
        <f>IFERROR(__xludf.DUMMYFUNCTION("""COMPUTED_VALUE"""),231.5)</f>
        <v>231.5</v>
      </c>
      <c r="C7" s="6">
        <f>IFERROR(__xludf.DUMMYFUNCTION("""COMPUTED_VALUE"""),233.9)</f>
        <v>233.9</v>
      </c>
      <c r="D7" s="6">
        <f>IFERROR(__xludf.DUMMYFUNCTION("""COMPUTED_VALUE"""),223.5)</f>
        <v>223.5</v>
      </c>
      <c r="E7" s="6">
        <f>IFERROR(__xludf.DUMMYFUNCTION("""COMPUTED_VALUE"""),225.1)</f>
        <v>225.1</v>
      </c>
      <c r="F7" s="6">
        <f>IFERROR(__xludf.DUMMYFUNCTION("""COMPUTED_VALUE"""),5.790881E7)</f>
        <v>57908810</v>
      </c>
    </row>
    <row r="8">
      <c r="A8" s="7">
        <f>IFERROR(__xludf.DUMMYFUNCTION("""COMPUTED_VALUE"""),45212.64583333333)</f>
        <v>45212.64583</v>
      </c>
      <c r="B8" s="6">
        <f>IFERROR(__xludf.DUMMYFUNCTION("""COMPUTED_VALUE"""),223.0)</f>
        <v>223</v>
      </c>
      <c r="C8" s="6">
        <f>IFERROR(__xludf.DUMMYFUNCTION("""COMPUTED_VALUE"""),227.7)</f>
        <v>227.7</v>
      </c>
      <c r="D8" s="6">
        <f>IFERROR(__xludf.DUMMYFUNCTION("""COMPUTED_VALUE"""),218.85)</f>
        <v>218.85</v>
      </c>
      <c r="E8" s="6">
        <f>IFERROR(__xludf.DUMMYFUNCTION("""COMPUTED_VALUE"""),224.55)</f>
        <v>224.55</v>
      </c>
      <c r="F8" s="6">
        <f>IFERROR(__xludf.DUMMYFUNCTION("""COMPUTED_VALUE"""),4.9831102E7)</f>
        <v>49831102</v>
      </c>
    </row>
    <row r="9">
      <c r="A9" s="7">
        <f>IFERROR(__xludf.DUMMYFUNCTION("""COMPUTED_VALUE"""),45219.64583333333)</f>
        <v>45219.64583</v>
      </c>
      <c r="B9" s="6">
        <f>IFERROR(__xludf.DUMMYFUNCTION("""COMPUTED_VALUE"""),224.9)</f>
        <v>224.9</v>
      </c>
      <c r="C9" s="6">
        <f>IFERROR(__xludf.DUMMYFUNCTION("""COMPUTED_VALUE"""),233.0)</f>
        <v>233</v>
      </c>
      <c r="D9" s="6">
        <f>IFERROR(__xludf.DUMMYFUNCTION("""COMPUTED_VALUE"""),209.05)</f>
        <v>209.05</v>
      </c>
      <c r="E9" s="6">
        <f>IFERROR(__xludf.DUMMYFUNCTION("""COMPUTED_VALUE"""),214.2)</f>
        <v>214.2</v>
      </c>
      <c r="F9" s="6">
        <f>IFERROR(__xludf.DUMMYFUNCTION("""COMPUTED_VALUE"""),1.25981404E8)</f>
        <v>125981404</v>
      </c>
    </row>
    <row r="10">
      <c r="A10" s="7">
        <f>IFERROR(__xludf.DUMMYFUNCTION("""COMPUTED_VALUE"""),45226.64583333333)</f>
        <v>45226.64583</v>
      </c>
      <c r="B10" s="6">
        <f>IFERROR(__xludf.DUMMYFUNCTION("""COMPUTED_VALUE"""),214.0)</f>
        <v>214</v>
      </c>
      <c r="C10" s="6">
        <f>IFERROR(__xludf.DUMMYFUNCTION("""COMPUTED_VALUE"""),225.6)</f>
        <v>225.6</v>
      </c>
      <c r="D10" s="6">
        <f>IFERROR(__xludf.DUMMYFUNCTION("""COMPUTED_VALUE"""),204.25)</f>
        <v>204.25</v>
      </c>
      <c r="E10" s="6">
        <f>IFERROR(__xludf.DUMMYFUNCTION("""COMPUTED_VALUE"""),222.9)</f>
        <v>222.9</v>
      </c>
      <c r="F10" s="6">
        <f>IFERROR(__xludf.DUMMYFUNCTION("""COMPUTED_VALUE"""),8.4560523E7)</f>
        <v>84560523</v>
      </c>
    </row>
    <row r="11">
      <c r="A11" s="7">
        <f>IFERROR(__xludf.DUMMYFUNCTION("""COMPUTED_VALUE"""),45233.64583333333)</f>
        <v>45233.64583</v>
      </c>
      <c r="B11" s="6">
        <f>IFERROR(__xludf.DUMMYFUNCTION("""COMPUTED_VALUE"""),224.5)</f>
        <v>224.5</v>
      </c>
      <c r="C11" s="6">
        <f>IFERROR(__xludf.DUMMYFUNCTION("""COMPUTED_VALUE"""),226.2)</f>
        <v>226.2</v>
      </c>
      <c r="D11" s="6">
        <f>IFERROR(__xludf.DUMMYFUNCTION("""COMPUTED_VALUE"""),215.3)</f>
        <v>215.3</v>
      </c>
      <c r="E11" s="6">
        <f>IFERROR(__xludf.DUMMYFUNCTION("""COMPUTED_VALUE"""),219.05)</f>
        <v>219.05</v>
      </c>
      <c r="F11" s="6">
        <f>IFERROR(__xludf.DUMMYFUNCTION("""COMPUTED_VALUE"""),6.8740174E7)</f>
        <v>68740174</v>
      </c>
    </row>
    <row r="12">
      <c r="A12" s="7">
        <f>IFERROR(__xludf.DUMMYFUNCTION("""COMPUTED_VALUE"""),45240.64583333333)</f>
        <v>45240.64583</v>
      </c>
      <c r="B12" s="6">
        <f>IFERROR(__xludf.DUMMYFUNCTION("""COMPUTED_VALUE"""),220.4)</f>
        <v>220.4</v>
      </c>
      <c r="C12" s="6">
        <f>IFERROR(__xludf.DUMMYFUNCTION("""COMPUTED_VALUE"""),222.95)</f>
        <v>222.95</v>
      </c>
      <c r="D12" s="6">
        <f>IFERROR(__xludf.DUMMYFUNCTION("""COMPUTED_VALUE"""),213.8)</f>
        <v>213.8</v>
      </c>
      <c r="E12" s="6">
        <f>IFERROR(__xludf.DUMMYFUNCTION("""COMPUTED_VALUE"""),221.95)</f>
        <v>221.95</v>
      </c>
      <c r="F12" s="6">
        <f>IFERROR(__xludf.DUMMYFUNCTION("""COMPUTED_VALUE"""),7.1871185E7)</f>
        <v>71871185</v>
      </c>
    </row>
    <row r="13">
      <c r="A13" s="7">
        <f>IFERROR(__xludf.DUMMYFUNCTION("""COMPUTED_VALUE"""),45247.64583333333)</f>
        <v>45247.64583</v>
      </c>
      <c r="B13" s="6">
        <f>IFERROR(__xludf.DUMMYFUNCTION("""COMPUTED_VALUE"""),224.75)</f>
        <v>224.75</v>
      </c>
      <c r="C13" s="6">
        <f>IFERROR(__xludf.DUMMYFUNCTION("""COMPUTED_VALUE"""),229.3)</f>
        <v>229.3</v>
      </c>
      <c r="D13" s="6">
        <f>IFERROR(__xludf.DUMMYFUNCTION("""COMPUTED_VALUE"""),220.4)</f>
        <v>220.4</v>
      </c>
      <c r="E13" s="6">
        <f>IFERROR(__xludf.DUMMYFUNCTION("""COMPUTED_VALUE"""),220.8)</f>
        <v>220.8</v>
      </c>
      <c r="F13" s="6">
        <f>IFERROR(__xludf.DUMMYFUNCTION("""COMPUTED_VALUE"""),7.5874549E7)</f>
        <v>75874549</v>
      </c>
    </row>
    <row r="14">
      <c r="A14" s="7">
        <f>IFERROR(__xludf.DUMMYFUNCTION("""COMPUTED_VALUE"""),45254.64583333333)</f>
        <v>45254.64583</v>
      </c>
      <c r="B14" s="6">
        <f>IFERROR(__xludf.DUMMYFUNCTION("""COMPUTED_VALUE"""),221.75)</f>
        <v>221.75</v>
      </c>
      <c r="C14" s="6">
        <f>IFERROR(__xludf.DUMMYFUNCTION("""COMPUTED_VALUE"""),227.85)</f>
        <v>227.85</v>
      </c>
      <c r="D14" s="6">
        <f>IFERROR(__xludf.DUMMYFUNCTION("""COMPUTED_VALUE"""),215.05)</f>
        <v>215.05</v>
      </c>
      <c r="E14" s="6">
        <f>IFERROR(__xludf.DUMMYFUNCTION("""COMPUTED_VALUE"""),226.5)</f>
        <v>226.5</v>
      </c>
      <c r="F14" s="6">
        <f>IFERROR(__xludf.DUMMYFUNCTION("""COMPUTED_VALUE"""),1.03729664E8)</f>
        <v>103729664</v>
      </c>
    </row>
    <row r="15">
      <c r="A15" s="7">
        <f>IFERROR(__xludf.DUMMYFUNCTION("""COMPUTED_VALUE"""),45261.64583333333)</f>
        <v>45261.64583</v>
      </c>
      <c r="B15" s="6">
        <f>IFERROR(__xludf.DUMMYFUNCTION("""COMPUTED_VALUE"""),228.05)</f>
        <v>228.05</v>
      </c>
      <c r="C15" s="6">
        <f>IFERROR(__xludf.DUMMYFUNCTION("""COMPUTED_VALUE"""),232.3)</f>
        <v>232.3</v>
      </c>
      <c r="D15" s="6">
        <f>IFERROR(__xludf.DUMMYFUNCTION("""COMPUTED_VALUE"""),222.65)</f>
        <v>222.65</v>
      </c>
      <c r="E15" s="6">
        <f>IFERROR(__xludf.DUMMYFUNCTION("""COMPUTED_VALUE"""),225.5)</f>
        <v>225.5</v>
      </c>
      <c r="F15" s="6">
        <f>IFERROR(__xludf.DUMMYFUNCTION("""COMPUTED_VALUE"""),1.02743504E8)</f>
        <v>102743504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IFERROR(__xludf.DUMMYFUNCTION("""COMPUTED_VALUE"""),229.75)</f>
        <v>229.75</v>
      </c>
      <c r="C16" s="6">
        <f>IFERROR(__xludf.DUMMYFUNCTION("""COMPUTED_VALUE"""),251.6)</f>
        <v>251.6</v>
      </c>
      <c r="D16" s="6">
        <f>IFERROR(__xludf.DUMMYFUNCTION("""COMPUTED_VALUE"""),227.9)</f>
        <v>227.9</v>
      </c>
      <c r="E16" s="6">
        <f>IFERROR(__xludf.DUMMYFUNCTION("""COMPUTED_VALUE"""),244.25)</f>
        <v>244.25</v>
      </c>
      <c r="F16" s="6">
        <f>IFERROR(__xludf.DUMMYFUNCTION("""COMPUTED_VALUE"""),1.69247053E8)</f>
        <v>169247053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IFERROR(__xludf.DUMMYFUNCTION("""COMPUTED_VALUE"""),244.85)</f>
        <v>244.85</v>
      </c>
      <c r="C17" s="6">
        <f>IFERROR(__xludf.DUMMYFUNCTION("""COMPUTED_VALUE"""),247.3)</f>
        <v>247.3</v>
      </c>
      <c r="D17" s="6">
        <f>IFERROR(__xludf.DUMMYFUNCTION("""COMPUTED_VALUE"""),235.35)</f>
        <v>235.35</v>
      </c>
      <c r="E17" s="6">
        <f>IFERROR(__xludf.DUMMYFUNCTION("""COMPUTED_VALUE"""),237.65)</f>
        <v>237.65</v>
      </c>
      <c r="F17" s="6">
        <f>IFERROR(__xludf.DUMMYFUNCTION("""COMPUTED_VALUE"""),7.5978676E7)</f>
        <v>75978676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IFERROR(__xludf.DUMMYFUNCTION("""COMPUTED_VALUE"""),241.0)</f>
        <v>241</v>
      </c>
      <c r="C18" s="6">
        <f>IFERROR(__xludf.DUMMYFUNCTION("""COMPUTED_VALUE"""),248.2)</f>
        <v>248.2</v>
      </c>
      <c r="D18" s="6">
        <f>IFERROR(__xludf.DUMMYFUNCTION("""COMPUTED_VALUE"""),229.0)</f>
        <v>229</v>
      </c>
      <c r="E18" s="6">
        <f>IFERROR(__xludf.DUMMYFUNCTION("""COMPUTED_VALUE"""),236.75)</f>
        <v>236.75</v>
      </c>
      <c r="F18" s="6">
        <f>IFERROR(__xludf.DUMMYFUNCTION("""COMPUTED_VALUE"""),1.02570668E8)</f>
        <v>102570668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IFERROR(__xludf.DUMMYFUNCTION("""COMPUTED_VALUE"""),237.25)</f>
        <v>237.25</v>
      </c>
      <c r="C19" s="6">
        <f>IFERROR(__xludf.DUMMYFUNCTION("""COMPUTED_VALUE"""),238.0)</f>
        <v>238</v>
      </c>
      <c r="D19" s="6">
        <f>IFERROR(__xludf.DUMMYFUNCTION("""COMPUTED_VALUE"""),232.25)</f>
        <v>232.25</v>
      </c>
      <c r="E19" s="6">
        <f>IFERROR(__xludf.DUMMYFUNCTION("""COMPUTED_VALUE"""),232.95)</f>
        <v>232.95</v>
      </c>
      <c r="F19" s="6">
        <f>IFERROR(__xludf.DUMMYFUNCTION("""COMPUTED_VALUE"""),4.6445221E7)</f>
        <v>46445221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IFERROR(__xludf.DUMMYFUNCTION("""COMPUTED_VALUE"""),233.35)</f>
        <v>233.35</v>
      </c>
      <c r="C20" s="6">
        <f>IFERROR(__xludf.DUMMYFUNCTION("""COMPUTED_VALUE"""),248.2)</f>
        <v>248.2</v>
      </c>
      <c r="D20" s="6">
        <f>IFERROR(__xludf.DUMMYFUNCTION("""COMPUTED_VALUE"""),232.0)</f>
        <v>232</v>
      </c>
      <c r="E20" s="6">
        <f>IFERROR(__xludf.DUMMYFUNCTION("""COMPUTED_VALUE"""),243.65)</f>
        <v>243.65</v>
      </c>
      <c r="F20" s="6">
        <f>IFERROR(__xludf.DUMMYFUNCTION("""COMPUTED_VALUE"""),8.9532503E7)</f>
        <v>89532503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IFERROR(__xludf.DUMMYFUNCTION("""COMPUTED_VALUE"""),246.85)</f>
        <v>246.85</v>
      </c>
      <c r="C21" s="6">
        <f>IFERROR(__xludf.DUMMYFUNCTION("""COMPUTED_VALUE"""),259.35)</f>
        <v>259.35</v>
      </c>
      <c r="D21" s="6">
        <f>IFERROR(__xludf.DUMMYFUNCTION("""COMPUTED_VALUE"""),239.3)</f>
        <v>239.3</v>
      </c>
      <c r="E21" s="6">
        <f>IFERROR(__xludf.DUMMYFUNCTION("""COMPUTED_VALUE"""),255.05)</f>
        <v>255.05</v>
      </c>
      <c r="F21" s="6">
        <f>IFERROR(__xludf.DUMMYFUNCTION("""COMPUTED_VALUE"""),1.36161915E8)</f>
        <v>136161915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IFERROR(__xludf.DUMMYFUNCTION("""COMPUTED_VALUE"""),247.85)</f>
        <v>247.85</v>
      </c>
      <c r="C22" s="6">
        <f>IFERROR(__xludf.DUMMYFUNCTION("""COMPUTED_VALUE"""),248.05)</f>
        <v>248.05</v>
      </c>
      <c r="D22" s="6">
        <f>IFERROR(__xludf.DUMMYFUNCTION("""COMPUTED_VALUE"""),237.1)</f>
        <v>237.1</v>
      </c>
      <c r="E22" s="6">
        <f>IFERROR(__xludf.DUMMYFUNCTION("""COMPUTED_VALUE"""),239.85)</f>
        <v>239.85</v>
      </c>
      <c r="F22" s="6">
        <f>IFERROR(__xludf.DUMMYFUNCTION("""COMPUTED_VALUE"""),4.0813997E7)</f>
        <v>40813997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IFERROR(__xludf.DUMMYFUNCTION("""COMPUTED_VALUE"""),242.0)</f>
        <v>242</v>
      </c>
      <c r="C23" s="6">
        <f>IFERROR(__xludf.DUMMYFUNCTION("""COMPUTED_VALUE"""),257.3)</f>
        <v>257.3</v>
      </c>
      <c r="D23" s="6">
        <f>IFERROR(__xludf.DUMMYFUNCTION("""COMPUTED_VALUE"""),240.0)</f>
        <v>240</v>
      </c>
      <c r="E23" s="6">
        <f>IFERROR(__xludf.DUMMYFUNCTION("""COMPUTED_VALUE"""),253.8)</f>
        <v>253.8</v>
      </c>
      <c r="F23" s="6">
        <f>IFERROR(__xludf.DUMMYFUNCTION("""COMPUTED_VALUE"""),1.26166893E8)</f>
        <v>126166893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IFERROR(__xludf.DUMMYFUNCTION("""COMPUTED_VALUE"""),256.35)</f>
        <v>256.35</v>
      </c>
      <c r="C24" s="6">
        <f>IFERROR(__xludf.DUMMYFUNCTION("""COMPUTED_VALUE"""),295.7)</f>
        <v>295.7</v>
      </c>
      <c r="D24" s="6">
        <f>IFERROR(__xludf.DUMMYFUNCTION("""COMPUTED_VALUE"""),255.7)</f>
        <v>255.7</v>
      </c>
      <c r="E24" s="6">
        <f>IFERROR(__xludf.DUMMYFUNCTION("""COMPUTED_VALUE"""),273.0)</f>
        <v>273</v>
      </c>
      <c r="F24" s="6">
        <f>IFERROR(__xludf.DUMMYFUNCTION("""COMPUTED_VALUE"""),4.01697736E8)</f>
        <v>401697736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IFERROR(__xludf.DUMMYFUNCTION("""COMPUTED_VALUE"""),276.1)</f>
        <v>276.1</v>
      </c>
      <c r="C25" s="6">
        <f>IFERROR(__xludf.DUMMYFUNCTION("""COMPUTED_VALUE"""),281.1)</f>
        <v>281.1</v>
      </c>
      <c r="D25" s="6">
        <f>IFERROR(__xludf.DUMMYFUNCTION("""COMPUTED_VALUE"""),263.7)</f>
        <v>263.7</v>
      </c>
      <c r="E25" s="6">
        <f>IFERROR(__xludf.DUMMYFUNCTION("""COMPUTED_VALUE"""),271.9)</f>
        <v>271.9</v>
      </c>
      <c r="F25" s="6">
        <f>IFERROR(__xludf.DUMMYFUNCTION("""COMPUTED_VALUE"""),1.33452945E8)</f>
        <v>133452945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IFERROR(__xludf.DUMMYFUNCTION("""COMPUTED_VALUE"""),273.25)</f>
        <v>273.25</v>
      </c>
      <c r="C26" s="6">
        <f>IFERROR(__xludf.DUMMYFUNCTION("""COMPUTED_VALUE"""),347.0)</f>
        <v>347</v>
      </c>
      <c r="D26" s="6">
        <f>IFERROR(__xludf.DUMMYFUNCTION("""COMPUTED_VALUE"""),271.9)</f>
        <v>271.9</v>
      </c>
      <c r="E26" s="6">
        <f>IFERROR(__xludf.DUMMYFUNCTION("""COMPUTED_VALUE"""),333.95)</f>
        <v>333.95</v>
      </c>
      <c r="F26" s="6">
        <f>IFERROR(__xludf.DUMMYFUNCTION("""COMPUTED_VALUE"""),4.83975398E8)</f>
        <v>483975398</v>
      </c>
    </row>
    <row r="27">
      <c r="A27" s="7">
        <f>IFERROR(__xludf.DUMMYFUNCTION("""COMPUTED_VALUE"""),45358.64583333333)</f>
        <v>45358.64583</v>
      </c>
      <c r="B27" s="6">
        <f>IFERROR(__xludf.DUMMYFUNCTION("""COMPUTED_VALUE"""),329.95)</f>
        <v>329.95</v>
      </c>
      <c r="C27" s="6">
        <f>IFERROR(__xludf.DUMMYFUNCTION("""COMPUTED_VALUE"""),337.4)</f>
        <v>337.4</v>
      </c>
      <c r="D27" s="6">
        <f>IFERROR(__xludf.DUMMYFUNCTION("""COMPUTED_VALUE"""),319.5)</f>
        <v>319.5</v>
      </c>
      <c r="E27" s="6">
        <f>IFERROR(__xludf.DUMMYFUNCTION("""COMPUTED_VALUE"""),333.9)</f>
        <v>333.9</v>
      </c>
      <c r="F27" s="6">
        <f>IFERROR(__xludf.DUMMYFUNCTION("""COMPUTED_VALUE"""),1.32191421E8)</f>
        <v>132191421</v>
      </c>
    </row>
    <row r="28">
      <c r="A28" s="7">
        <f>IFERROR(__xludf.DUMMYFUNCTION("""COMPUTED_VALUE"""),45366.64583333333)</f>
        <v>45366.64583</v>
      </c>
      <c r="B28" s="6">
        <f>IFERROR(__xludf.DUMMYFUNCTION("""COMPUTED_VALUE"""),336.9)</f>
        <v>336.9</v>
      </c>
      <c r="C28" s="6">
        <f>IFERROR(__xludf.DUMMYFUNCTION("""COMPUTED_VALUE"""),374.5)</f>
        <v>374.5</v>
      </c>
      <c r="D28" s="6">
        <f>IFERROR(__xludf.DUMMYFUNCTION("""COMPUTED_VALUE"""),318.0)</f>
        <v>318</v>
      </c>
      <c r="E28" s="6">
        <f>IFERROR(__xludf.DUMMYFUNCTION("""COMPUTED_VALUE"""),344.75)</f>
        <v>344.75</v>
      </c>
      <c r="F28" s="6">
        <f>IFERROR(__xludf.DUMMYFUNCTION("""COMPUTED_VALUE"""),4.61681577E8)</f>
        <v>461681577</v>
      </c>
    </row>
    <row r="29">
      <c r="A29" s="7">
        <f>IFERROR(__xludf.DUMMYFUNCTION("""COMPUTED_VALUE"""),45373.64583333333)</f>
        <v>45373.64583</v>
      </c>
      <c r="B29" s="6">
        <f>IFERROR(__xludf.DUMMYFUNCTION("""COMPUTED_VALUE"""),346.95)</f>
        <v>346.95</v>
      </c>
      <c r="C29" s="6">
        <f>IFERROR(__xludf.DUMMYFUNCTION("""COMPUTED_VALUE"""),359.7)</f>
        <v>359.7</v>
      </c>
      <c r="D29" s="6">
        <f>IFERROR(__xludf.DUMMYFUNCTION("""COMPUTED_VALUE"""),335.65)</f>
        <v>335.65</v>
      </c>
      <c r="E29" s="6">
        <f>IFERROR(__xludf.DUMMYFUNCTION("""COMPUTED_VALUE"""),344.65)</f>
        <v>344.65</v>
      </c>
      <c r="F29" s="6">
        <f>IFERROR(__xludf.DUMMYFUNCTION("""COMPUTED_VALUE"""),1.90636997E8)</f>
        <v>190636997</v>
      </c>
    </row>
    <row r="30">
      <c r="A30" s="7">
        <f>IFERROR(__xludf.DUMMYFUNCTION("""COMPUTED_VALUE"""),45379.64583333333)</f>
        <v>45379.64583</v>
      </c>
      <c r="B30" s="6">
        <f>IFERROR(__xludf.DUMMYFUNCTION("""COMPUTED_VALUE"""),345.0)</f>
        <v>345</v>
      </c>
      <c r="C30" s="6">
        <f>IFERROR(__xludf.DUMMYFUNCTION("""COMPUTED_VALUE"""),357.75)</f>
        <v>357.75</v>
      </c>
      <c r="D30" s="6">
        <f>IFERROR(__xludf.DUMMYFUNCTION("""COMPUTED_VALUE"""),343.55)</f>
        <v>343.55</v>
      </c>
      <c r="E30" s="6">
        <f>IFERROR(__xludf.DUMMYFUNCTION("""COMPUTED_VALUE"""),353.75)</f>
        <v>353.75</v>
      </c>
      <c r="F30" s="6">
        <f>IFERROR(__xludf.DUMMYFUNCTION("""COMPUTED_VALUE"""),9.9936765E7)</f>
        <v>99936765</v>
      </c>
    </row>
    <row r="31">
      <c r="A31" s="7">
        <f>IFERROR(__xludf.DUMMYFUNCTION("""COMPUTED_VALUE"""),45387.64583333333)</f>
        <v>45387.64583</v>
      </c>
      <c r="B31" s="6">
        <f>IFERROR(__xludf.DUMMYFUNCTION("""COMPUTED_VALUE"""),357.0)</f>
        <v>357</v>
      </c>
      <c r="C31" s="6">
        <f>IFERROR(__xludf.DUMMYFUNCTION("""COMPUTED_VALUE"""),374.85)</f>
        <v>374.85</v>
      </c>
      <c r="D31" s="6">
        <f>IFERROR(__xludf.DUMMYFUNCTION("""COMPUTED_VALUE"""),353.2)</f>
        <v>353.2</v>
      </c>
      <c r="E31" s="6">
        <f>IFERROR(__xludf.DUMMYFUNCTION("""COMPUTED_VALUE"""),373.2)</f>
        <v>373.2</v>
      </c>
      <c r="F31" s="6">
        <f>IFERROR(__xludf.DUMMYFUNCTION("""COMPUTED_VALUE"""),1.5215579E8)</f>
        <v>152155790</v>
      </c>
    </row>
    <row r="32">
      <c r="A32" s="7">
        <f>IFERROR(__xludf.DUMMYFUNCTION("""COMPUTED_VALUE"""),45394.64583333333)</f>
        <v>45394.64583</v>
      </c>
      <c r="B32" s="6">
        <f>IFERROR(__xludf.DUMMYFUNCTION("""COMPUTED_VALUE"""),376.0)</f>
        <v>376</v>
      </c>
      <c r="C32" s="6">
        <f>IFERROR(__xludf.DUMMYFUNCTION("""COMPUTED_VALUE"""),378.85)</f>
        <v>378.85</v>
      </c>
      <c r="D32" s="6">
        <f>IFERROR(__xludf.DUMMYFUNCTION("""COMPUTED_VALUE"""),365.4)</f>
        <v>365.4</v>
      </c>
      <c r="E32" s="6">
        <f>IFERROR(__xludf.DUMMYFUNCTION("""COMPUTED_VALUE"""),372.2)</f>
        <v>372.2</v>
      </c>
      <c r="F32" s="6">
        <f>IFERROR(__xludf.DUMMYFUNCTION("""COMPUTED_VALUE"""),1.05242098E8)</f>
        <v>105242098</v>
      </c>
    </row>
    <row r="33">
      <c r="A33" s="7">
        <f>IFERROR(__xludf.DUMMYFUNCTION("""COMPUTED_VALUE"""),45401.64583333333)</f>
        <v>45401.64583</v>
      </c>
      <c r="B33" s="6">
        <f>IFERROR(__xludf.DUMMYFUNCTION("""COMPUTED_VALUE"""),362.0)</f>
        <v>362</v>
      </c>
      <c r="C33" s="6">
        <f>IFERROR(__xludf.DUMMYFUNCTION("""COMPUTED_VALUE"""),384.4)</f>
        <v>384.4</v>
      </c>
      <c r="D33" s="6">
        <f>IFERROR(__xludf.DUMMYFUNCTION("""COMPUTED_VALUE"""),351.0)</f>
        <v>351</v>
      </c>
      <c r="E33" s="6">
        <f>IFERROR(__xludf.DUMMYFUNCTION("""COMPUTED_VALUE"""),370.1)</f>
        <v>370.1</v>
      </c>
      <c r="F33" s="6">
        <f>IFERROR(__xludf.DUMMYFUNCTION("""COMPUTED_VALUE"""),2.1007446E8)</f>
        <v>210074460</v>
      </c>
    </row>
    <row r="34">
      <c r="A34" s="7">
        <f>IFERROR(__xludf.DUMMYFUNCTION("""COMPUTED_VALUE"""),45408.64583333333)</f>
        <v>45408.64583</v>
      </c>
      <c r="B34" s="6">
        <f>IFERROR(__xludf.DUMMYFUNCTION("""COMPUTED_VALUE"""),378.0)</f>
        <v>378</v>
      </c>
      <c r="C34" s="6">
        <f>IFERROR(__xludf.DUMMYFUNCTION("""COMPUTED_VALUE"""),394.7)</f>
        <v>394.7</v>
      </c>
      <c r="D34" s="6">
        <f>IFERROR(__xludf.DUMMYFUNCTION("""COMPUTED_VALUE"""),375.25)</f>
        <v>375.25</v>
      </c>
      <c r="E34" s="6">
        <f>IFERROR(__xludf.DUMMYFUNCTION("""COMPUTED_VALUE"""),381.75)</f>
        <v>381.75</v>
      </c>
      <c r="F34" s="6">
        <f>IFERROR(__xludf.DUMMYFUNCTION("""COMPUTED_VALUE"""),1.4302704E8)</f>
        <v>143027040</v>
      </c>
    </row>
    <row r="35">
      <c r="A35" s="7">
        <f>IFERROR(__xludf.DUMMYFUNCTION("""COMPUTED_VALUE"""),45415.64583333333)</f>
        <v>45415.64583</v>
      </c>
      <c r="B35" s="6">
        <f>IFERROR(__xludf.DUMMYFUNCTION("""COMPUTED_VALUE"""),383.6)</f>
        <v>383.6</v>
      </c>
      <c r="C35" s="6">
        <f>IFERROR(__xludf.DUMMYFUNCTION("""COMPUTED_VALUE"""),385.85)</f>
        <v>385.85</v>
      </c>
      <c r="D35" s="6">
        <f>IFERROR(__xludf.DUMMYFUNCTION("""COMPUTED_VALUE"""),372.5)</f>
        <v>372.5</v>
      </c>
      <c r="E35" s="6">
        <f>IFERROR(__xludf.DUMMYFUNCTION("""COMPUTED_VALUE"""),375.9)</f>
        <v>375.9</v>
      </c>
      <c r="F35" s="6">
        <f>IFERROR(__xludf.DUMMYFUNCTION("""COMPUTED_VALUE"""),7.4502885E7)</f>
        <v>74502885</v>
      </c>
    </row>
    <row r="36">
      <c r="A36" s="7">
        <f>IFERROR(__xludf.DUMMYFUNCTION("""COMPUTED_VALUE"""),45422.64583333333)</f>
        <v>45422.64583</v>
      </c>
      <c r="B36" s="6">
        <f>IFERROR(__xludf.DUMMYFUNCTION("""COMPUTED_VALUE"""),378.1)</f>
        <v>378.1</v>
      </c>
      <c r="C36" s="6">
        <f>IFERROR(__xludf.DUMMYFUNCTION("""COMPUTED_VALUE"""),378.9)</f>
        <v>378.9</v>
      </c>
      <c r="D36" s="6">
        <f>IFERROR(__xludf.DUMMYFUNCTION("""COMPUTED_VALUE"""),336.8)</f>
        <v>336.8</v>
      </c>
      <c r="E36" s="6">
        <f>IFERROR(__xludf.DUMMYFUNCTION("""COMPUTED_VALUE"""),347.85)</f>
        <v>347.85</v>
      </c>
      <c r="F36" s="6">
        <f>IFERROR(__xludf.DUMMYFUNCTION("""COMPUTED_VALUE"""),1.11172761E8)</f>
        <v>111172761</v>
      </c>
    </row>
    <row r="37">
      <c r="A37" s="7">
        <f>IFERROR(__xludf.DUMMYFUNCTION("""COMPUTED_VALUE"""),45436.64583333333)</f>
        <v>45436.64583</v>
      </c>
      <c r="B37" s="6">
        <f>IFERROR(__xludf.DUMMYFUNCTION("""COMPUTED_VALUE"""),361.0)</f>
        <v>361</v>
      </c>
      <c r="C37" s="6">
        <f>IFERROR(__xludf.DUMMYFUNCTION("""COMPUTED_VALUE"""),376.0)</f>
        <v>376</v>
      </c>
      <c r="D37" s="6">
        <f>IFERROR(__xludf.DUMMYFUNCTION("""COMPUTED_VALUE"""),355.2)</f>
        <v>355.2</v>
      </c>
      <c r="E37" s="6">
        <f>IFERROR(__xludf.DUMMYFUNCTION("""COMPUTED_VALUE"""),365.4)</f>
        <v>365.4</v>
      </c>
      <c r="F37" s="6">
        <f>IFERROR(__xludf.DUMMYFUNCTION("""COMPUTED_VALUE"""),7.9860936E7)</f>
        <v>79860936</v>
      </c>
    </row>
    <row r="38">
      <c r="A38" s="7">
        <f>IFERROR(__xludf.DUMMYFUNCTION("""COMPUTED_VALUE"""),45443.64583333333)</f>
        <v>45443.64583</v>
      </c>
      <c r="B38" s="6">
        <f>IFERROR(__xludf.DUMMYFUNCTION("""COMPUTED_VALUE"""),368.0)</f>
        <v>368</v>
      </c>
      <c r="C38" s="6">
        <f>IFERROR(__xludf.DUMMYFUNCTION("""COMPUTED_VALUE"""),368.6)</f>
        <v>368.6</v>
      </c>
      <c r="D38" s="6">
        <f>IFERROR(__xludf.DUMMYFUNCTION("""COMPUTED_VALUE"""),342.1)</f>
        <v>342.1</v>
      </c>
      <c r="E38" s="6">
        <f>IFERROR(__xludf.DUMMYFUNCTION("""COMPUTED_VALUE"""),344.35)</f>
        <v>344.35</v>
      </c>
      <c r="F38" s="6">
        <f>IFERROR(__xludf.DUMMYFUNCTION("""COMPUTED_VALUE"""),8.441227E7)</f>
        <v>84412270</v>
      </c>
    </row>
    <row r="39">
      <c r="A39" s="7">
        <f>IFERROR(__xludf.DUMMYFUNCTION("""COMPUTED_VALUE"""),45450.64583333333)</f>
        <v>45450.64583</v>
      </c>
      <c r="B39" s="6">
        <f>IFERROR(__xludf.DUMMYFUNCTION("""COMPUTED_VALUE"""),368.0)</f>
        <v>368</v>
      </c>
      <c r="C39" s="6">
        <f>IFERROR(__xludf.DUMMYFUNCTION("""COMPUTED_VALUE"""),368.0)</f>
        <v>368</v>
      </c>
      <c r="D39" s="6">
        <f>IFERROR(__xludf.DUMMYFUNCTION("""COMPUTED_VALUE"""),307.3)</f>
        <v>307.3</v>
      </c>
      <c r="E39" s="6">
        <f>IFERROR(__xludf.DUMMYFUNCTION("""COMPUTED_VALUE"""),353.15)</f>
        <v>353.15</v>
      </c>
      <c r="F39" s="6">
        <f>IFERROR(__xludf.DUMMYFUNCTION("""COMPUTED_VALUE"""),1.4697005E8)</f>
        <v>146970050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IFERROR(__xludf.DUMMYFUNCTION("""COMPUTED_VALUE"""),355.25)</f>
        <v>355.25</v>
      </c>
      <c r="C40" s="6">
        <f>IFERROR(__xludf.DUMMYFUNCTION("""COMPUTED_VALUE"""),366.4)</f>
        <v>366.4</v>
      </c>
      <c r="D40" s="6">
        <f>IFERROR(__xludf.DUMMYFUNCTION("""COMPUTED_VALUE"""),348.7)</f>
        <v>348.7</v>
      </c>
      <c r="E40" s="6">
        <f>IFERROR(__xludf.DUMMYFUNCTION("""COMPUTED_VALUE"""),357.0)</f>
        <v>357</v>
      </c>
      <c r="F40" s="6">
        <f>IFERROR(__xludf.DUMMYFUNCTION("""COMPUTED_VALUE"""),1.05713027E8)</f>
        <v>105713027</v>
      </c>
    </row>
    <row r="41">
      <c r="A41" s="7">
        <f>IFERROR(__xludf.DUMMYFUNCTION("""COMPUTED_VALUE"""),45464.64583333333)</f>
        <v>45464.64583</v>
      </c>
      <c r="B41" s="6">
        <f>IFERROR(__xludf.DUMMYFUNCTION("""COMPUTED_VALUE"""),358.75)</f>
        <v>358.75</v>
      </c>
      <c r="C41" s="6">
        <f>IFERROR(__xludf.DUMMYFUNCTION("""COMPUTED_VALUE"""),368.3)</f>
        <v>368.3</v>
      </c>
      <c r="D41" s="6">
        <f>IFERROR(__xludf.DUMMYFUNCTION("""COMPUTED_VALUE"""),357.05)</f>
        <v>357.05</v>
      </c>
      <c r="E41" s="6">
        <f>IFERROR(__xludf.DUMMYFUNCTION("""COMPUTED_VALUE"""),360.9)</f>
        <v>360.9</v>
      </c>
      <c r="F41" s="6">
        <f>IFERROR(__xludf.DUMMYFUNCTION("""COMPUTED_VALUE"""),9.3035108E7)</f>
        <v>93035108</v>
      </c>
    </row>
    <row r="42">
      <c r="A42" s="7">
        <f>IFERROR(__xludf.DUMMYFUNCTION("""COMPUTED_VALUE"""),45471.64583333333)</f>
        <v>45471.64583</v>
      </c>
      <c r="B42" s="6">
        <f>IFERROR(__xludf.DUMMYFUNCTION("""COMPUTED_VALUE"""),356.0)</f>
        <v>356</v>
      </c>
      <c r="C42" s="6">
        <f>IFERROR(__xludf.DUMMYFUNCTION("""COMPUTED_VALUE"""),362.5)</f>
        <v>362.5</v>
      </c>
      <c r="D42" s="6">
        <f>IFERROR(__xludf.DUMMYFUNCTION("""COMPUTED_VALUE"""),348.0)</f>
        <v>348</v>
      </c>
      <c r="E42" s="6">
        <f>IFERROR(__xludf.DUMMYFUNCTION("""COMPUTED_VALUE"""),358.15)</f>
        <v>358.15</v>
      </c>
      <c r="F42" s="6">
        <f>IFERROR(__xludf.DUMMYFUNCTION("""COMPUTED_VALUE"""),9.9378131E7)</f>
        <v>99378131</v>
      </c>
    </row>
    <row r="43">
      <c r="A43" s="7">
        <f>IFERROR(__xludf.DUMMYFUNCTION("""COMPUTED_VALUE"""),45478.64583333333)</f>
        <v>45478.64583</v>
      </c>
      <c r="B43" s="6">
        <f>IFERROR(__xludf.DUMMYFUNCTION("""COMPUTED_VALUE"""),358.15)</f>
        <v>358.15</v>
      </c>
      <c r="C43" s="6">
        <f>IFERROR(__xludf.DUMMYFUNCTION("""COMPUTED_VALUE"""),358.4)</f>
        <v>358.4</v>
      </c>
      <c r="D43" s="6">
        <f>IFERROR(__xludf.DUMMYFUNCTION("""COMPUTED_VALUE"""),349.1)</f>
        <v>349.1</v>
      </c>
      <c r="E43" s="6">
        <f>IFERROR(__xludf.DUMMYFUNCTION("""COMPUTED_VALUE"""),352.75)</f>
        <v>352.75</v>
      </c>
      <c r="F43" s="6">
        <f>IFERROR(__xludf.DUMMYFUNCTION("""COMPUTED_VALUE"""),6.7395804E7)</f>
        <v>67395804</v>
      </c>
    </row>
    <row r="44">
      <c r="A44" s="7">
        <f>IFERROR(__xludf.DUMMYFUNCTION("""COMPUTED_VALUE"""),45485.64583333333)</f>
        <v>45485.64583</v>
      </c>
      <c r="B44" s="6">
        <f>IFERROR(__xludf.DUMMYFUNCTION("""COMPUTED_VALUE"""),353.0)</f>
        <v>353</v>
      </c>
      <c r="C44" s="6">
        <f>IFERROR(__xludf.DUMMYFUNCTION("""COMPUTED_VALUE"""),356.4)</f>
        <v>356.4</v>
      </c>
      <c r="D44" s="6">
        <f>IFERROR(__xludf.DUMMYFUNCTION("""COMPUTED_VALUE"""),344.1)</f>
        <v>344.1</v>
      </c>
      <c r="E44" s="6">
        <f>IFERROR(__xludf.DUMMYFUNCTION("""COMPUTED_VALUE"""),350.35)</f>
        <v>350.35</v>
      </c>
      <c r="F44" s="6">
        <f>IFERROR(__xludf.DUMMYFUNCTION("""COMPUTED_VALUE"""),5.6364698E7)</f>
        <v>56364698</v>
      </c>
    </row>
    <row r="45">
      <c r="A45" s="7">
        <f>IFERROR(__xludf.DUMMYFUNCTION("""COMPUTED_VALUE"""),45492.64583333333)</f>
        <v>45492.64583</v>
      </c>
      <c r="B45" s="6">
        <f>IFERROR(__xludf.DUMMYFUNCTION("""COMPUTED_VALUE"""),354.3)</f>
        <v>354.3</v>
      </c>
      <c r="C45" s="6">
        <f>IFERROR(__xludf.DUMMYFUNCTION("""COMPUTED_VALUE"""),356.7)</f>
        <v>356.7</v>
      </c>
      <c r="D45" s="6">
        <f>IFERROR(__xludf.DUMMYFUNCTION("""COMPUTED_VALUE"""),332.05)</f>
        <v>332.05</v>
      </c>
      <c r="E45" s="6">
        <f>IFERROR(__xludf.DUMMYFUNCTION("""COMPUTED_VALUE"""),338.75)</f>
        <v>338.75</v>
      </c>
      <c r="F45" s="6">
        <f>IFERROR(__xludf.DUMMYFUNCTION("""COMPUTED_VALUE"""),8.1031882E7)</f>
        <v>81031882</v>
      </c>
    </row>
    <row r="46">
      <c r="A46" s="7">
        <f>IFERROR(__xludf.DUMMYFUNCTION("""COMPUTED_VALUE"""),45499.64583333333)</f>
        <v>45499.64583</v>
      </c>
      <c r="B46" s="6">
        <f>IFERROR(__xludf.DUMMYFUNCTION("""COMPUTED_VALUE"""),338.75)</f>
        <v>338.75</v>
      </c>
      <c r="C46" s="6">
        <f>IFERROR(__xludf.DUMMYFUNCTION("""COMPUTED_VALUE"""),343.0)</f>
        <v>343</v>
      </c>
      <c r="D46" s="6">
        <f>IFERROR(__xludf.DUMMYFUNCTION("""COMPUTED_VALUE"""),326.0)</f>
        <v>326</v>
      </c>
      <c r="E46" s="6">
        <f>IFERROR(__xludf.DUMMYFUNCTION("""COMPUTED_VALUE"""),331.9)</f>
        <v>331.9</v>
      </c>
      <c r="F46" s="6">
        <f>IFERROR(__xludf.DUMMYFUNCTION("""COMPUTED_VALUE"""),5.676159E7)</f>
        <v>56761590</v>
      </c>
    </row>
    <row r="47">
      <c r="A47" s="7">
        <f>IFERROR(__xludf.DUMMYFUNCTION("""COMPUTED_VALUE"""),45506.64583333333)</f>
        <v>45506.64583</v>
      </c>
      <c r="B47" s="6">
        <f>IFERROR(__xludf.DUMMYFUNCTION("""COMPUTED_VALUE"""),334.5)</f>
        <v>334.5</v>
      </c>
      <c r="C47" s="6">
        <f>IFERROR(__xludf.DUMMYFUNCTION("""COMPUTED_VALUE"""),335.2)</f>
        <v>335.2</v>
      </c>
      <c r="D47" s="6">
        <f>IFERROR(__xludf.DUMMYFUNCTION("""COMPUTED_VALUE"""),324.55)</f>
        <v>324.55</v>
      </c>
      <c r="E47" s="6">
        <f>IFERROR(__xludf.DUMMYFUNCTION("""COMPUTED_VALUE"""),326.25)</f>
        <v>326.25</v>
      </c>
      <c r="F47" s="6">
        <f>IFERROR(__xludf.DUMMYFUNCTION("""COMPUTED_VALUE"""),5.4157884E7)</f>
        <v>54157884</v>
      </c>
    </row>
    <row r="48">
      <c r="A48" s="7">
        <f>IFERROR(__xludf.DUMMYFUNCTION("""COMPUTED_VALUE"""),45513.64583333333)</f>
        <v>45513.64583</v>
      </c>
      <c r="B48" s="6">
        <f>IFERROR(__xludf.DUMMYFUNCTION("""COMPUTED_VALUE"""),317.95)</f>
        <v>317.95</v>
      </c>
      <c r="C48" s="6">
        <f>IFERROR(__xludf.DUMMYFUNCTION("""COMPUTED_VALUE"""),337.2)</f>
        <v>337.2</v>
      </c>
      <c r="D48" s="6">
        <f>IFERROR(__xludf.DUMMYFUNCTION("""COMPUTED_VALUE"""),310.0)</f>
        <v>310</v>
      </c>
      <c r="E48" s="6">
        <f>IFERROR(__xludf.DUMMYFUNCTION("""COMPUTED_VALUE"""),325.6)</f>
        <v>325.6</v>
      </c>
      <c r="F48" s="6">
        <f>IFERROR(__xludf.DUMMYFUNCTION("""COMPUTED_VALUE"""),6.7590273E7)</f>
        <v>67590273</v>
      </c>
    </row>
    <row r="49">
      <c r="A49" s="7">
        <f>IFERROR(__xludf.DUMMYFUNCTION("""COMPUTED_VALUE"""),45520.64583333333)</f>
        <v>45520.64583</v>
      </c>
      <c r="B49" s="6">
        <f>IFERROR(__xludf.DUMMYFUNCTION("""COMPUTED_VALUE"""),325.0)</f>
        <v>325</v>
      </c>
      <c r="C49" s="6">
        <f>IFERROR(__xludf.DUMMYFUNCTION("""COMPUTED_VALUE"""),336.5)</f>
        <v>336.5</v>
      </c>
      <c r="D49" s="6">
        <f>IFERROR(__xludf.DUMMYFUNCTION("""COMPUTED_VALUE"""),319.2)</f>
        <v>319.2</v>
      </c>
      <c r="E49" s="6">
        <f>IFERROR(__xludf.DUMMYFUNCTION("""COMPUTED_VALUE"""),328.15)</f>
        <v>328.15</v>
      </c>
      <c r="F49" s="6">
        <f>IFERROR(__xludf.DUMMYFUNCTION("""COMPUTED_VALUE"""),5.2122375E7)</f>
        <v>52122375</v>
      </c>
    </row>
    <row r="50">
      <c r="A50" s="7">
        <f>IFERROR(__xludf.DUMMYFUNCTION("""COMPUTED_VALUE"""),45527.64583333333)</f>
        <v>45527.64583</v>
      </c>
      <c r="B50" s="6">
        <f>IFERROR(__xludf.DUMMYFUNCTION("""COMPUTED_VALUE"""),331.95)</f>
        <v>331.95</v>
      </c>
      <c r="C50" s="6">
        <f>IFERROR(__xludf.DUMMYFUNCTION("""COMPUTED_VALUE"""),337.95)</f>
        <v>337.95</v>
      </c>
      <c r="D50" s="6">
        <f>IFERROR(__xludf.DUMMYFUNCTION("""COMPUTED_VALUE"""),326.7)</f>
        <v>326.7</v>
      </c>
      <c r="E50" s="6">
        <f>IFERROR(__xludf.DUMMYFUNCTION("""COMPUTED_VALUE"""),327.15)</f>
        <v>327.15</v>
      </c>
      <c r="F50" s="6">
        <f>IFERROR(__xludf.DUMMYFUNCTION("""COMPUTED_VALUE"""),6.5701418E7)</f>
        <v>65701418</v>
      </c>
    </row>
    <row r="51">
      <c r="A51" s="7">
        <f>IFERROR(__xludf.DUMMYFUNCTION("""COMPUTED_VALUE"""),45534.64583333333)</f>
        <v>45534.64583</v>
      </c>
      <c r="B51" s="6">
        <f>IFERROR(__xludf.DUMMYFUNCTION("""COMPUTED_VALUE"""),332.7)</f>
        <v>332.7</v>
      </c>
      <c r="C51" s="6">
        <f>IFERROR(__xludf.DUMMYFUNCTION("""COMPUTED_VALUE"""),334.2)</f>
        <v>334.2</v>
      </c>
      <c r="D51" s="6">
        <f>IFERROR(__xludf.DUMMYFUNCTION("""COMPUTED_VALUE"""),320.65)</f>
        <v>320.65</v>
      </c>
      <c r="E51" s="6">
        <f>IFERROR(__xludf.DUMMYFUNCTION("""COMPUTED_VALUE"""),321.7)</f>
        <v>321.7</v>
      </c>
      <c r="F51" s="6">
        <f>IFERROR(__xludf.DUMMYFUNCTION("""COMPUTED_VALUE"""),1.25495286E8)</f>
        <v>125495286</v>
      </c>
    </row>
    <row r="52">
      <c r="A52" s="7">
        <f>IFERROR(__xludf.DUMMYFUNCTION("""COMPUTED_VALUE"""),45541.64583333333)</f>
        <v>45541.64583</v>
      </c>
      <c r="B52" s="6">
        <f>IFERROR(__xludf.DUMMYFUNCTION("""COMPUTED_VALUE"""),323.9)</f>
        <v>323.9</v>
      </c>
      <c r="C52" s="6">
        <f>IFERROR(__xludf.DUMMYFUNCTION("""COMPUTED_VALUE"""),355.0)</f>
        <v>355</v>
      </c>
      <c r="D52" s="6">
        <f>IFERROR(__xludf.DUMMYFUNCTION("""COMPUTED_VALUE"""),323.15)</f>
        <v>323.15</v>
      </c>
      <c r="E52" s="6">
        <f>IFERROR(__xludf.DUMMYFUNCTION("""COMPUTED_VALUE"""),336.85)</f>
        <v>336.85</v>
      </c>
      <c r="F52" s="6">
        <f>IFERROR(__xludf.DUMMYFUNCTION("""COMPUTED_VALUE"""),1.86305244E8)</f>
        <v>186305244</v>
      </c>
    </row>
    <row r="53">
      <c r="A53" s="7">
        <f>IFERROR(__xludf.DUMMYFUNCTION("""COMPUTED_VALUE"""),45548.64583333333)</f>
        <v>45548.64583</v>
      </c>
      <c r="B53" s="6">
        <f>IFERROR(__xludf.DUMMYFUNCTION("""COMPUTED_VALUE"""),337.95)</f>
        <v>337.95</v>
      </c>
      <c r="C53" s="6">
        <f>IFERROR(__xludf.DUMMYFUNCTION("""COMPUTED_VALUE"""),359.75)</f>
        <v>359.75</v>
      </c>
      <c r="D53" s="6">
        <f>IFERROR(__xludf.DUMMYFUNCTION("""COMPUTED_VALUE"""),329.3)</f>
        <v>329.3</v>
      </c>
      <c r="E53" s="6">
        <f>IFERROR(__xludf.DUMMYFUNCTION("""COMPUTED_VALUE"""),351.9)</f>
        <v>351.9</v>
      </c>
      <c r="F53" s="6">
        <f>IFERROR(__xludf.DUMMYFUNCTION("""COMPUTED_VALUE"""),1.38900213E8)</f>
        <v>138900213</v>
      </c>
    </row>
    <row r="54">
      <c r="A54" s="7">
        <f>IFERROR(__xludf.DUMMYFUNCTION("""COMPUTED_VALUE"""),45555.64583333333)</f>
        <v>45555.64583</v>
      </c>
      <c r="B54" s="6">
        <f>IFERROR(__xludf.DUMMYFUNCTION("""COMPUTED_VALUE"""),352.0)</f>
        <v>352</v>
      </c>
      <c r="C54" s="6">
        <f>IFERROR(__xludf.DUMMYFUNCTION("""COMPUTED_VALUE"""),355.9)</f>
        <v>355.9</v>
      </c>
      <c r="D54" s="6">
        <f>IFERROR(__xludf.DUMMYFUNCTION("""COMPUTED_VALUE"""),338.45)</f>
        <v>338.45</v>
      </c>
      <c r="E54" s="6">
        <f>IFERROR(__xludf.DUMMYFUNCTION("""COMPUTED_VALUE"""),353.9)</f>
        <v>353.9</v>
      </c>
      <c r="F54" s="6">
        <f>IFERROR(__xludf.DUMMYFUNCTION("""COMPUTED_VALUE"""),9.4499209E7)</f>
        <v>94499209</v>
      </c>
    </row>
    <row r="55">
      <c r="A55" s="7">
        <f>IFERROR(__xludf.DUMMYFUNCTION("""COMPUTED_VALUE"""),45562.64583333333)</f>
        <v>45562.64583</v>
      </c>
      <c r="B55" s="6">
        <f>IFERROR(__xludf.DUMMYFUNCTION("""COMPUTED_VALUE"""),354.35)</f>
        <v>354.35</v>
      </c>
      <c r="C55" s="6">
        <f>IFERROR(__xludf.DUMMYFUNCTION("""COMPUTED_VALUE"""),363.0)</f>
        <v>363</v>
      </c>
      <c r="D55" s="6">
        <f>IFERROR(__xludf.DUMMYFUNCTION("""COMPUTED_VALUE"""),348.95)</f>
        <v>348.95</v>
      </c>
      <c r="E55" s="6">
        <f>IFERROR(__xludf.DUMMYFUNCTION("""COMPUTED_VALUE"""),359.15)</f>
        <v>359.15</v>
      </c>
      <c r="F55" s="6">
        <f>IFERROR(__xludf.DUMMYFUNCTION("""COMPUTED_VALUE"""),1.29753316E8)</f>
        <v>129753316</v>
      </c>
    </row>
    <row r="56">
      <c r="A56" s="7">
        <f>IFERROR(__xludf.DUMMYFUNCTION("""COMPUTED_VALUE"""),45569.64583333333)</f>
        <v>45569.64583</v>
      </c>
      <c r="B56" s="6">
        <f>IFERROR(__xludf.DUMMYFUNCTION("""COMPUTED_VALUE"""),357.0)</f>
        <v>357</v>
      </c>
      <c r="C56" s="6">
        <f>IFERROR(__xludf.DUMMYFUNCTION("""COMPUTED_VALUE"""),358.15)</f>
        <v>358.15</v>
      </c>
      <c r="D56" s="6">
        <f>IFERROR(__xludf.DUMMYFUNCTION("""COMPUTED_VALUE"""),336.5)</f>
        <v>336.5</v>
      </c>
      <c r="E56" s="6">
        <f>IFERROR(__xludf.DUMMYFUNCTION("""COMPUTED_VALUE"""),338.8)</f>
        <v>338.8</v>
      </c>
      <c r="F56" s="6">
        <f>IFERROR(__xludf.DUMMYFUNCTION("""COMPUTED_VALUE"""),8.6363262E7)</f>
        <v>86363262</v>
      </c>
    </row>
    <row r="57">
      <c r="A57" s="7">
        <f>IFERROR(__xludf.DUMMYFUNCTION("""COMPUTED_VALUE"""),45576.64583333333)</f>
        <v>45576.64583</v>
      </c>
      <c r="B57" s="6">
        <f>IFERROR(__xludf.DUMMYFUNCTION("""COMPUTED_VALUE"""),346.1)</f>
        <v>346.1</v>
      </c>
      <c r="C57" s="6">
        <f>IFERROR(__xludf.DUMMYFUNCTION("""COMPUTED_VALUE"""),349.7)</f>
        <v>349.7</v>
      </c>
      <c r="D57" s="6">
        <f>IFERROR(__xludf.DUMMYFUNCTION("""COMPUTED_VALUE"""),329.2)</f>
        <v>329.2</v>
      </c>
      <c r="E57" s="6">
        <f>IFERROR(__xludf.DUMMYFUNCTION("""COMPUTED_VALUE"""),341.5)</f>
        <v>341.5</v>
      </c>
      <c r="F57" s="6">
        <f>IFERROR(__xludf.DUMMYFUNCTION("""COMPUTED_VALUE"""),8.8568042E7)</f>
        <v>88568042</v>
      </c>
    </row>
    <row r="58">
      <c r="A58" s="7">
        <f>IFERROR(__xludf.DUMMYFUNCTION("""COMPUTED_VALUE"""),45583.64583333333)</f>
        <v>45583.64583</v>
      </c>
      <c r="B58" s="6">
        <f>IFERROR(__xludf.DUMMYFUNCTION("""COMPUTED_VALUE"""),342.8)</f>
        <v>342.8</v>
      </c>
      <c r="C58" s="6">
        <f>IFERROR(__xludf.DUMMYFUNCTION("""COMPUTED_VALUE"""),343.45)</f>
        <v>343.45</v>
      </c>
      <c r="D58" s="6">
        <f>IFERROR(__xludf.DUMMYFUNCTION("""COMPUTED_VALUE"""),325.5)</f>
        <v>325.5</v>
      </c>
      <c r="E58" s="6">
        <f>IFERROR(__xludf.DUMMYFUNCTION("""COMPUTED_VALUE"""),330.35)</f>
        <v>330.35</v>
      </c>
      <c r="F58" s="6">
        <f>IFERROR(__xludf.DUMMYFUNCTION("""COMPUTED_VALUE"""),4.6746489E7)</f>
        <v>46746489</v>
      </c>
    </row>
    <row r="59">
      <c r="A59" s="7">
        <f>IFERROR(__xludf.DUMMYFUNCTION("""COMPUTED_VALUE"""),45590.64583333333)</f>
        <v>45590.64583</v>
      </c>
      <c r="B59" s="6">
        <f>IFERROR(__xludf.DUMMYFUNCTION("""COMPUTED_VALUE"""),334.4)</f>
        <v>334.4</v>
      </c>
      <c r="C59" s="6">
        <f>IFERROR(__xludf.DUMMYFUNCTION("""COMPUTED_VALUE"""),334.4)</f>
        <v>334.4</v>
      </c>
      <c r="D59" s="6">
        <f>IFERROR(__xludf.DUMMYFUNCTION("""COMPUTED_VALUE"""),306.0)</f>
        <v>306</v>
      </c>
      <c r="E59" s="6">
        <f>IFERROR(__xludf.DUMMYFUNCTION("""COMPUTED_VALUE"""),311.2)</f>
        <v>311.2</v>
      </c>
      <c r="F59" s="6">
        <f>IFERROR(__xludf.DUMMYFUNCTION("""COMPUTED_VALUE"""),6.060201E7)</f>
        <v>60602010</v>
      </c>
    </row>
    <row r="60">
      <c r="A60" s="7">
        <f>IFERROR(__xludf.DUMMYFUNCTION("""COMPUTED_VALUE"""),45604.64583333333)</f>
        <v>45604.64583</v>
      </c>
      <c r="B60" s="6">
        <f>IFERROR(__xludf.DUMMYFUNCTION("""COMPUTED_VALUE"""),326.8)</f>
        <v>326.8</v>
      </c>
      <c r="C60" s="6">
        <f>IFERROR(__xludf.DUMMYFUNCTION("""COMPUTED_VALUE"""),328.5)</f>
        <v>328.5</v>
      </c>
      <c r="D60" s="6">
        <f>IFERROR(__xludf.DUMMYFUNCTION("""COMPUTED_VALUE"""),314.8)</f>
        <v>314.8</v>
      </c>
      <c r="E60" s="6">
        <f>IFERROR(__xludf.DUMMYFUNCTION("""COMPUTED_VALUE"""),316.05)</f>
        <v>316.05</v>
      </c>
      <c r="F60" s="6">
        <f>IFERROR(__xludf.DUMMYFUNCTION("""COMPUTED_VALUE"""),3.6198459E7)</f>
        <v>36198459</v>
      </c>
    </row>
    <row r="61">
      <c r="A61" s="7">
        <f>IFERROR(__xludf.DUMMYFUNCTION("""COMPUTED_VALUE"""),45610.64583333333)</f>
        <v>45610.64583</v>
      </c>
      <c r="B61" s="6">
        <f>IFERROR(__xludf.DUMMYFUNCTION("""COMPUTED_VALUE"""),314.0)</f>
        <v>314</v>
      </c>
      <c r="C61" s="6">
        <f>IFERROR(__xludf.DUMMYFUNCTION("""COMPUTED_VALUE"""),320.5)</f>
        <v>320.5</v>
      </c>
      <c r="D61" s="6">
        <f>IFERROR(__xludf.DUMMYFUNCTION("""COMPUTED_VALUE"""),298.0)</f>
        <v>298</v>
      </c>
      <c r="E61" s="6">
        <f>IFERROR(__xludf.DUMMYFUNCTION("""COMPUTED_VALUE"""),318.35)</f>
        <v>318.35</v>
      </c>
      <c r="F61" s="6">
        <f>IFERROR(__xludf.DUMMYFUNCTION("""COMPUTED_VALUE"""),7.1508861E7)</f>
        <v>71508861</v>
      </c>
    </row>
    <row r="62">
      <c r="A62" s="7">
        <f>IFERROR(__xludf.DUMMYFUNCTION("""COMPUTED_VALUE"""),45618.64583333333)</f>
        <v>45618.64583</v>
      </c>
      <c r="B62" s="6">
        <f>IFERROR(__xludf.DUMMYFUNCTION("""COMPUTED_VALUE"""),320.0)</f>
        <v>320</v>
      </c>
      <c r="C62" s="6">
        <f>IFERROR(__xludf.DUMMYFUNCTION("""COMPUTED_VALUE"""),323.8)</f>
        <v>323.8</v>
      </c>
      <c r="D62" s="6">
        <f>IFERROR(__xludf.DUMMYFUNCTION("""COMPUTED_VALUE"""),312.35)</f>
        <v>312.35</v>
      </c>
      <c r="E62" s="6">
        <f>IFERROR(__xludf.DUMMYFUNCTION("""COMPUTED_VALUE"""),313.8)</f>
        <v>313.8</v>
      </c>
      <c r="F62" s="6">
        <f>IFERROR(__xludf.DUMMYFUNCTION("""COMPUTED_VALUE"""),4.6322357E7)</f>
        <v>46322357</v>
      </c>
    </row>
    <row r="63">
      <c r="A63" s="7">
        <f>IFERROR(__xludf.DUMMYFUNCTION("""COMPUTED_VALUE"""),45625.64583333333)</f>
        <v>45625.64583</v>
      </c>
      <c r="B63" s="6">
        <f>IFERROR(__xludf.DUMMYFUNCTION("""COMPUTED_VALUE"""),318.85)</f>
        <v>318.85</v>
      </c>
      <c r="C63" s="6">
        <f>IFERROR(__xludf.DUMMYFUNCTION("""COMPUTED_VALUE"""),332.3)</f>
        <v>332.3</v>
      </c>
      <c r="D63" s="6">
        <f>IFERROR(__xludf.DUMMYFUNCTION("""COMPUTED_VALUE"""),318.0)</f>
        <v>318</v>
      </c>
      <c r="E63" s="6">
        <f>IFERROR(__xludf.DUMMYFUNCTION("""COMPUTED_VALUE"""),328.35)</f>
        <v>328.35</v>
      </c>
      <c r="F63" s="6">
        <f>IFERROR(__xludf.DUMMYFUNCTION("""COMPUTED_VALUE"""),7.6004159E7)</f>
        <v>76004159</v>
      </c>
    </row>
    <row r="64">
      <c r="A64" s="7">
        <f>IFERROR(__xludf.DUMMYFUNCTION("""COMPUTED_VALUE"""),45632.64583333333)</f>
        <v>45632.64583</v>
      </c>
      <c r="B64" s="6">
        <f>IFERROR(__xludf.DUMMYFUNCTION("""COMPUTED_VALUE"""),326.0)</f>
        <v>326</v>
      </c>
      <c r="C64" s="6">
        <f>IFERROR(__xludf.DUMMYFUNCTION("""COMPUTED_VALUE"""),347.35)</f>
        <v>347.35</v>
      </c>
      <c r="D64" s="6">
        <f>IFERROR(__xludf.DUMMYFUNCTION("""COMPUTED_VALUE"""),325.1)</f>
        <v>325.1</v>
      </c>
      <c r="E64" s="6">
        <f>IFERROR(__xludf.DUMMYFUNCTION("""COMPUTED_VALUE"""),338.9)</f>
        <v>338.9</v>
      </c>
      <c r="F64" s="6">
        <f>IFERROR(__xludf.DUMMYFUNCTION("""COMPUTED_VALUE"""),6.33299E7)</f>
        <v>63329900</v>
      </c>
    </row>
    <row r="65">
      <c r="A65" s="7">
        <f>IFERROR(__xludf.DUMMYFUNCTION("""COMPUTED_VALUE"""),45639.64583333333)</f>
        <v>45639.64583</v>
      </c>
      <c r="B65" s="6">
        <f>IFERROR(__xludf.DUMMYFUNCTION("""COMPUTED_VALUE"""),338.5)</f>
        <v>338.5</v>
      </c>
      <c r="C65" s="6">
        <f>IFERROR(__xludf.DUMMYFUNCTION("""COMPUTED_VALUE"""),346.3)</f>
        <v>346.3</v>
      </c>
      <c r="D65" s="6">
        <f>IFERROR(__xludf.DUMMYFUNCTION("""COMPUTED_VALUE"""),330.65)</f>
        <v>330.65</v>
      </c>
      <c r="E65" s="6">
        <f>IFERROR(__xludf.DUMMYFUNCTION("""COMPUTED_VALUE"""),339.75)</f>
        <v>339.75</v>
      </c>
      <c r="F65" s="6">
        <f>IFERROR(__xludf.DUMMYFUNCTION("""COMPUTED_VALUE"""),5.7821203E7)</f>
        <v>57821203</v>
      </c>
    </row>
    <row r="66">
      <c r="A66" s="7">
        <f>IFERROR(__xludf.DUMMYFUNCTION("""COMPUTED_VALUE"""),45646.64583333333)</f>
        <v>45646.64583</v>
      </c>
      <c r="B66" s="6">
        <f>IFERROR(__xludf.DUMMYFUNCTION("""COMPUTED_VALUE"""),339.25)</f>
        <v>339.25</v>
      </c>
      <c r="C66" s="6">
        <f>IFERROR(__xludf.DUMMYFUNCTION("""COMPUTED_VALUE"""),342.45)</f>
        <v>342.45</v>
      </c>
      <c r="D66" s="6">
        <f>IFERROR(__xludf.DUMMYFUNCTION("""COMPUTED_VALUE"""),302.8)</f>
        <v>302.8</v>
      </c>
      <c r="E66" s="6">
        <f>IFERROR(__xludf.DUMMYFUNCTION("""COMPUTED_VALUE"""),304.3)</f>
        <v>304.3</v>
      </c>
      <c r="F66" s="6">
        <f>IFERROR(__xludf.DUMMYFUNCTION("""COMPUTED_VALUE"""),6.9777706E7)</f>
        <v>69777706</v>
      </c>
    </row>
    <row r="67">
      <c r="A67" s="7">
        <f>IFERROR(__xludf.DUMMYFUNCTION("""COMPUTED_VALUE"""),45653.64583333333)</f>
        <v>45653.64583</v>
      </c>
      <c r="B67" s="6">
        <f>IFERROR(__xludf.DUMMYFUNCTION("""COMPUTED_VALUE"""),308.8)</f>
        <v>308.8</v>
      </c>
      <c r="C67" s="6">
        <f>IFERROR(__xludf.DUMMYFUNCTION("""COMPUTED_VALUE"""),308.85)</f>
        <v>308.85</v>
      </c>
      <c r="D67" s="6">
        <f>IFERROR(__xludf.DUMMYFUNCTION("""COMPUTED_VALUE"""),302.05)</f>
        <v>302.05</v>
      </c>
      <c r="E67" s="6">
        <f>IFERROR(__xludf.DUMMYFUNCTION("""COMPUTED_VALUE"""),304.95)</f>
        <v>304.95</v>
      </c>
      <c r="F67" s="6">
        <f>IFERROR(__xludf.DUMMYFUNCTION("""COMPUTED_VALUE"""),3.2422001E7)</f>
        <v>32422001</v>
      </c>
    </row>
    <row r="68">
      <c r="A68" s="7">
        <f>IFERROR(__xludf.DUMMYFUNCTION("""COMPUTED_VALUE"""),45660.64583333333)</f>
        <v>45660.64583</v>
      </c>
      <c r="B68" s="6">
        <f>IFERROR(__xludf.DUMMYFUNCTION("""COMPUTED_VALUE"""),305.0)</f>
        <v>305</v>
      </c>
      <c r="C68" s="6">
        <f>IFERROR(__xludf.DUMMYFUNCTION("""COMPUTED_VALUE"""),310.9)</f>
        <v>310.9</v>
      </c>
      <c r="D68" s="6">
        <f>IFERROR(__xludf.DUMMYFUNCTION("""COMPUTED_VALUE"""),296.25)</f>
        <v>296.25</v>
      </c>
      <c r="E68" s="6">
        <f>IFERROR(__xludf.DUMMYFUNCTION("""COMPUTED_VALUE"""),307.45)</f>
        <v>307.45</v>
      </c>
      <c r="F68" s="6">
        <f>IFERROR(__xludf.DUMMYFUNCTION("""COMPUTED_VALUE"""),1.16272418E8)</f>
        <v>116272418</v>
      </c>
    </row>
    <row r="69">
      <c r="A69" s="7">
        <f>IFERROR(__xludf.DUMMYFUNCTION("""COMPUTED_VALUE"""),45667.64583333333)</f>
        <v>45667.64583</v>
      </c>
      <c r="B69" s="6">
        <f>IFERROR(__xludf.DUMMYFUNCTION("""COMPUTED_VALUE"""),307.7)</f>
        <v>307.7</v>
      </c>
      <c r="C69" s="6">
        <f>IFERROR(__xludf.DUMMYFUNCTION("""COMPUTED_VALUE"""),308.45)</f>
        <v>308.45</v>
      </c>
      <c r="D69" s="6">
        <f>IFERROR(__xludf.DUMMYFUNCTION("""COMPUTED_VALUE"""),280.0)</f>
        <v>280</v>
      </c>
      <c r="E69" s="6">
        <f>IFERROR(__xludf.DUMMYFUNCTION("""COMPUTED_VALUE"""),280.55)</f>
        <v>280.55</v>
      </c>
      <c r="F69" s="6">
        <f>IFERROR(__xludf.DUMMYFUNCTION("""COMPUTED_VALUE"""),6.3447416E7)</f>
        <v>63447416</v>
      </c>
    </row>
    <row r="70">
      <c r="A70" s="7">
        <f>IFERROR(__xludf.DUMMYFUNCTION("""COMPUTED_VALUE"""),45674.64583333333)</f>
        <v>45674.64583</v>
      </c>
      <c r="B70" s="6">
        <f>IFERROR(__xludf.DUMMYFUNCTION("""COMPUTED_VALUE"""),277.8)</f>
        <v>277.8</v>
      </c>
      <c r="C70" s="6">
        <f>IFERROR(__xludf.DUMMYFUNCTION("""COMPUTED_VALUE"""),281.3)</f>
        <v>281.3</v>
      </c>
      <c r="D70" s="6">
        <f>IFERROR(__xludf.DUMMYFUNCTION("""COMPUTED_VALUE"""),264.2)</f>
        <v>264.2</v>
      </c>
      <c r="E70" s="6">
        <f>IFERROR(__xludf.DUMMYFUNCTION("""COMPUTED_VALUE"""),279.0)</f>
        <v>279</v>
      </c>
      <c r="F70" s="6">
        <f>IFERROR(__xludf.DUMMYFUNCTION("""COMPUTED_VALUE"""),7.8338441E7)</f>
        <v>78338441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IFERROR(__xludf.DUMMYFUNCTION("""COMPUTED_VALUE"""),279.0)</f>
        <v>279</v>
      </c>
      <c r="C71" s="6">
        <f>IFERROR(__xludf.DUMMYFUNCTION("""COMPUTED_VALUE"""),280.0)</f>
        <v>280</v>
      </c>
      <c r="D71" s="6">
        <f>IFERROR(__xludf.DUMMYFUNCTION("""COMPUTED_VALUE"""),243.55)</f>
        <v>243.55</v>
      </c>
      <c r="E71" s="6">
        <f>IFERROR(__xludf.DUMMYFUNCTION("""COMPUTED_VALUE"""),244.45)</f>
        <v>244.45</v>
      </c>
      <c r="F71" s="6">
        <f>IFERROR(__xludf.DUMMYFUNCTION("""COMPUTED_VALUE"""),1.2518033E8)</f>
        <v>125180330</v>
      </c>
    </row>
    <row r="72">
      <c r="A72" s="7">
        <f>IFERROR(__xludf.DUMMYFUNCTION("""COMPUTED_VALUE"""),45695.64583333333)</f>
        <v>45695.64583</v>
      </c>
      <c r="B72" s="6">
        <f>IFERROR(__xludf.DUMMYFUNCTION("""COMPUTED_VALUE"""),239.0)</f>
        <v>239</v>
      </c>
      <c r="C72" s="6">
        <f>IFERROR(__xludf.DUMMYFUNCTION("""COMPUTED_VALUE"""),254.34)</f>
        <v>254.34</v>
      </c>
      <c r="D72" s="6">
        <f>IFERROR(__xludf.DUMMYFUNCTION("""COMPUTED_VALUE"""),232.9)</f>
        <v>232.9</v>
      </c>
      <c r="E72" s="6">
        <f>IFERROR(__xludf.DUMMYFUNCTION("""COMPUTED_VALUE"""),249.45)</f>
        <v>249.45</v>
      </c>
      <c r="F72" s="6">
        <f>IFERROR(__xludf.DUMMYFUNCTION("""COMPUTED_VALUE"""),9.5237471E7)</f>
        <v>95237471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IFERROR(__xludf.DUMMYFUNCTION("""COMPUTED_VALUE"""),249.28)</f>
        <v>249.28</v>
      </c>
      <c r="C73" s="6">
        <f>IFERROR(__xludf.DUMMYFUNCTION("""COMPUTED_VALUE"""),250.0)</f>
        <v>250</v>
      </c>
      <c r="D73" s="6">
        <f>IFERROR(__xludf.DUMMYFUNCTION("""COMPUTED_VALUE"""),219.15)</f>
        <v>219.15</v>
      </c>
      <c r="E73" s="6">
        <f>IFERROR(__xludf.DUMMYFUNCTION("""COMPUTED_VALUE"""),222.29)</f>
        <v>222.29</v>
      </c>
      <c r="F73" s="6">
        <f>IFERROR(__xludf.DUMMYFUNCTION("""COMPUTED_VALUE"""),1.09691812E8)</f>
        <v>109691812</v>
      </c>
    </row>
    <row r="74">
      <c r="A74" s="7">
        <f>IFERROR(__xludf.DUMMYFUNCTION("""COMPUTED_VALUE"""),45709.64583333333)</f>
        <v>45709.64583</v>
      </c>
      <c r="B74" s="6">
        <f>IFERROR(__xludf.DUMMYFUNCTION("""COMPUTED_VALUE"""),222.25)</f>
        <v>222.25</v>
      </c>
      <c r="C74" s="6">
        <f>IFERROR(__xludf.DUMMYFUNCTION("""COMPUTED_VALUE"""),238.55)</f>
        <v>238.55</v>
      </c>
      <c r="D74" s="6">
        <f>IFERROR(__xludf.DUMMYFUNCTION("""COMPUTED_VALUE"""),217.01)</f>
        <v>217.01</v>
      </c>
      <c r="E74" s="6">
        <f>IFERROR(__xludf.DUMMYFUNCTION("""COMPUTED_VALUE"""),233.67)</f>
        <v>233.67</v>
      </c>
      <c r="F74" s="6">
        <f>IFERROR(__xludf.DUMMYFUNCTION("""COMPUTED_VALUE"""),8.604663E7)</f>
        <v>86046630</v>
      </c>
    </row>
    <row r="75">
      <c r="A75" s="7">
        <f>IFERROR(__xludf.DUMMYFUNCTION("""COMPUTED_VALUE"""),45716.64583333333)</f>
        <v>45716.64583</v>
      </c>
      <c r="B75" s="6">
        <f>IFERROR(__xludf.DUMMYFUNCTION("""COMPUTED_VALUE"""),231.0)</f>
        <v>231</v>
      </c>
      <c r="C75" s="6">
        <f>IFERROR(__xludf.DUMMYFUNCTION("""COMPUTED_VALUE"""),233.5)</f>
        <v>233.5</v>
      </c>
      <c r="D75" s="6">
        <f>IFERROR(__xludf.DUMMYFUNCTION("""COMPUTED_VALUE"""),207.0)</f>
        <v>207</v>
      </c>
      <c r="E75" s="6">
        <f>IFERROR(__xludf.DUMMYFUNCTION("""COMPUTED_VALUE"""),207.61)</f>
        <v>207.61</v>
      </c>
      <c r="F75" s="6">
        <f>IFERROR(__xludf.DUMMYFUNCTION("""COMPUTED_VALUE"""),9.3469008E7)</f>
        <v>93469008</v>
      </c>
    </row>
    <row r="76">
      <c r="A76" s="7">
        <f>IFERROR(__xludf.DUMMYFUNCTION("""COMPUTED_VALUE"""),45723.64583333333)</f>
        <v>45723.64583</v>
      </c>
      <c r="B76" s="6">
        <f>IFERROR(__xludf.DUMMYFUNCTION("""COMPUTED_VALUE"""),210.0)</f>
        <v>210</v>
      </c>
      <c r="C76" s="6">
        <f>IFERROR(__xludf.DUMMYFUNCTION("""COMPUTED_VALUE"""),224.5)</f>
        <v>224.5</v>
      </c>
      <c r="D76" s="6">
        <f>IFERROR(__xludf.DUMMYFUNCTION("""COMPUTED_VALUE"""),198.65)</f>
        <v>198.65</v>
      </c>
      <c r="E76" s="6">
        <f>IFERROR(__xludf.DUMMYFUNCTION("""COMPUTED_VALUE"""),221.81)</f>
        <v>221.81</v>
      </c>
      <c r="F76" s="6">
        <f>IFERROR(__xludf.DUMMYFUNCTION("""COMPUTED_VALUE"""),1.91140529E8)</f>
        <v>191140529</v>
      </c>
    </row>
    <row r="77">
      <c r="A77" s="7">
        <f>IFERROR(__xludf.DUMMYFUNCTION("""COMPUTED_VALUE"""),45729.64583333333)</f>
        <v>45729.64583</v>
      </c>
      <c r="B77" s="6">
        <f>IFERROR(__xludf.DUMMYFUNCTION("""COMPUTED_VALUE"""),222.6)</f>
        <v>222.6</v>
      </c>
      <c r="C77" s="6">
        <f>IFERROR(__xludf.DUMMYFUNCTION("""COMPUTED_VALUE"""),228.94)</f>
        <v>228.94</v>
      </c>
      <c r="D77" s="6">
        <f>IFERROR(__xludf.DUMMYFUNCTION("""COMPUTED_VALUE"""),213.01)</f>
        <v>213.01</v>
      </c>
      <c r="E77" s="6">
        <f>IFERROR(__xludf.DUMMYFUNCTION("""COMPUTED_VALUE"""),222.6)</f>
        <v>222.6</v>
      </c>
      <c r="F77" s="6">
        <f>IFERROR(__xludf.DUMMYFUNCTION("""COMPUTED_VALUE"""),9.3314462E7)</f>
        <v>93314462</v>
      </c>
    </row>
    <row r="78">
      <c r="A78" s="7">
        <f>IFERROR(__xludf.DUMMYFUNCTION("""COMPUTED_VALUE"""),45737.64583333333)</f>
        <v>45737.64583</v>
      </c>
      <c r="B78" s="6">
        <f>IFERROR(__xludf.DUMMYFUNCTION("""COMPUTED_VALUE"""),223.12)</f>
        <v>223.12</v>
      </c>
      <c r="C78" s="6">
        <f>IFERROR(__xludf.DUMMYFUNCTION("""COMPUTED_VALUE"""),235.94)</f>
        <v>235.94</v>
      </c>
      <c r="D78" s="6">
        <f>IFERROR(__xludf.DUMMYFUNCTION("""COMPUTED_VALUE"""),0.0)</f>
        <v>0</v>
      </c>
      <c r="E78" s="6">
        <f>IFERROR(__xludf.DUMMYFUNCTION("""COMPUTED_VALUE"""),229.12)</f>
        <v>229.12</v>
      </c>
      <c r="F78" s="6">
        <f>IFERROR(__xludf.DUMMYFUNCTION("""COMPUTED_VALUE"""),1.20844215E8)</f>
        <v>120844215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IFERROR(__xludf.DUMMYFUNCTION("""COMPUTED_VALUE"""),231.9)</f>
        <v>231.9</v>
      </c>
      <c r="C79" s="6">
        <f>IFERROR(__xludf.DUMMYFUNCTION("""COMPUTED_VALUE"""),234.46)</f>
        <v>234.46</v>
      </c>
      <c r="D79" s="6">
        <f>IFERROR(__xludf.DUMMYFUNCTION("""COMPUTED_VALUE"""),221.33)</f>
        <v>221.33</v>
      </c>
      <c r="E79" s="6">
        <f>IFERROR(__xludf.DUMMYFUNCTION("""COMPUTED_VALUE"""),227.51)</f>
        <v>227.51</v>
      </c>
      <c r="F79" s="6">
        <f>IFERROR(__xludf.DUMMYFUNCTION("""COMPUTED_VALUE"""),2.87697907E8)</f>
        <v>287697907</v>
      </c>
    </row>
    <row r="80">
      <c r="A80" s="7">
        <f>IFERROR(__xludf.DUMMYFUNCTION("""COMPUTED_VALUE"""),45751.64583333333)</f>
        <v>45751.64583</v>
      </c>
      <c r="B80" s="6">
        <f>IFERROR(__xludf.DUMMYFUNCTION("""COMPUTED_VALUE"""),227.0)</f>
        <v>227</v>
      </c>
      <c r="C80" s="6">
        <f>IFERROR(__xludf.DUMMYFUNCTION("""COMPUTED_VALUE"""),231.79)</f>
        <v>231.79</v>
      </c>
      <c r="D80" s="6">
        <f>IFERROR(__xludf.DUMMYFUNCTION("""COMPUTED_VALUE"""),220.8)</f>
        <v>220.8</v>
      </c>
      <c r="E80" s="6">
        <f>IFERROR(__xludf.DUMMYFUNCTION("""COMPUTED_VALUE"""),222.32)</f>
        <v>222.32</v>
      </c>
      <c r="F80" s="6">
        <f>IFERROR(__xludf.DUMMYFUNCTION("""COMPUTED_VALUE"""),6.7570121E7)</f>
        <v>67570121</v>
      </c>
    </row>
    <row r="81">
      <c r="A81" s="7">
        <f>IFERROR(__xludf.DUMMYFUNCTION("""COMPUTED_VALUE"""),45758.64583333333)</f>
        <v>45758.64583</v>
      </c>
      <c r="B81" s="6">
        <f>IFERROR(__xludf.DUMMYFUNCTION("""COMPUTED_VALUE"""),203.1)</f>
        <v>203.1</v>
      </c>
      <c r="C81" s="6">
        <f>IFERROR(__xludf.DUMMYFUNCTION("""COMPUTED_VALUE"""),230.98)</f>
        <v>230.98</v>
      </c>
      <c r="D81" s="6">
        <f>IFERROR(__xludf.DUMMYFUNCTION("""COMPUTED_VALUE"""),203.1)</f>
        <v>203.1</v>
      </c>
      <c r="E81" s="6">
        <f>IFERROR(__xludf.DUMMYFUNCTION("""COMPUTED_VALUE"""),230.02)</f>
        <v>230.02</v>
      </c>
      <c r="F81" s="6">
        <f>IFERROR(__xludf.DUMMYFUNCTION("""COMPUTED_VALUE"""),9.4906956E7)</f>
        <v>94906956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IFERROR(__xludf.DUMMYFUNCTION("""COMPUTED_VALUE"""),235.9)</f>
        <v>235.9</v>
      </c>
      <c r="C82" s="6">
        <f>IFERROR(__xludf.DUMMYFUNCTION("""COMPUTED_VALUE"""),248.0)</f>
        <v>248</v>
      </c>
      <c r="D82" s="6">
        <f>IFERROR(__xludf.DUMMYFUNCTION("""COMPUTED_VALUE"""),232.6)</f>
        <v>232.6</v>
      </c>
      <c r="E82" s="6">
        <f>IFERROR(__xludf.DUMMYFUNCTION("""COMPUTED_VALUE"""),246.47)</f>
        <v>246.47</v>
      </c>
      <c r="F82" s="6">
        <f>IFERROR(__xludf.DUMMYFUNCTION("""COMPUTED_VALUE"""),8.5806777E7)</f>
        <v>85806777</v>
      </c>
    </row>
    <row r="83">
      <c r="A83" s="7">
        <f>IFERROR(__xludf.DUMMYFUNCTION("""COMPUTED_VALUE"""),45772.64583333333)</f>
        <v>45772.64583</v>
      </c>
      <c r="B83" s="6">
        <f>IFERROR(__xludf.DUMMYFUNCTION("""COMPUTED_VALUE"""),250.0)</f>
        <v>250</v>
      </c>
      <c r="C83" s="6">
        <f>IFERROR(__xludf.DUMMYFUNCTION("""COMPUTED_VALUE"""),261.62)</f>
        <v>261.62</v>
      </c>
      <c r="D83" s="6">
        <f>IFERROR(__xludf.DUMMYFUNCTION("""COMPUTED_VALUE"""),243.7)</f>
        <v>243.7</v>
      </c>
      <c r="E83" s="6">
        <f>IFERROR(__xludf.DUMMYFUNCTION("""COMPUTED_VALUE"""),253.05)</f>
        <v>253.05</v>
      </c>
      <c r="F83" s="6">
        <f>IFERROR(__xludf.DUMMYFUNCTION("""COMPUTED_VALUE"""),1.50090935E8)</f>
        <v>150090935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IFERROR(__xludf.DUMMYFUNCTION("""COMPUTED_VALUE"""),252.39)</f>
        <v>252.39</v>
      </c>
      <c r="C84" s="6">
        <f>IFERROR(__xludf.DUMMYFUNCTION("""COMPUTED_VALUE"""),265.2)</f>
        <v>265.2</v>
      </c>
      <c r="D84" s="6">
        <f>IFERROR(__xludf.DUMMYFUNCTION("""COMPUTED_VALUE"""),252.3)</f>
        <v>252.3</v>
      </c>
      <c r="E84" s="6">
        <f>IFERROR(__xludf.DUMMYFUNCTION("""COMPUTED_VALUE"""),258.8)</f>
        <v>258.8</v>
      </c>
      <c r="F84" s="6">
        <f>IFERROR(__xludf.DUMMYFUNCTION("""COMPUTED_VALUE"""),8.086928E7)</f>
        <v>80869280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IFERROR(__xludf.DUMMYFUNCTION("""COMPUTED_VALUE"""),259.6)</f>
        <v>259.6</v>
      </c>
      <c r="C85" s="6">
        <f>IFERROR(__xludf.DUMMYFUNCTION("""COMPUTED_VALUE"""),262.4)</f>
        <v>262.4</v>
      </c>
      <c r="D85" s="6">
        <f>IFERROR(__xludf.DUMMYFUNCTION("""COMPUTED_VALUE"""),242.0)</f>
        <v>242</v>
      </c>
      <c r="E85" s="6">
        <f>IFERROR(__xludf.DUMMYFUNCTION("""COMPUTED_VALUE"""),248.35)</f>
        <v>248.35</v>
      </c>
      <c r="F85" s="6">
        <f>IFERROR(__xludf.DUMMYFUNCTION("""COMPUTED_VALUE"""),8.8809359E7)</f>
        <v>88809359</v>
      </c>
    </row>
    <row r="86">
      <c r="A86" s="7">
        <f>IFERROR(__xludf.DUMMYFUNCTION("""COMPUTED_VALUE"""),45793.64583333333)</f>
        <v>45793.64583</v>
      </c>
      <c r="B86" s="6">
        <f>IFERROR(__xludf.DUMMYFUNCTION("""COMPUTED_VALUE"""),258.95)</f>
        <v>258.95</v>
      </c>
      <c r="C86" s="6">
        <f>IFERROR(__xludf.DUMMYFUNCTION("""COMPUTED_VALUE"""),277.95)</f>
        <v>277.95</v>
      </c>
      <c r="D86" s="6">
        <f>IFERROR(__xludf.DUMMYFUNCTION("""COMPUTED_VALUE"""),257.0)</f>
        <v>257</v>
      </c>
      <c r="E86" s="6">
        <f>IFERROR(__xludf.DUMMYFUNCTION("""COMPUTED_VALUE"""),277.0)</f>
        <v>277</v>
      </c>
      <c r="F86" s="6">
        <f>IFERROR(__xludf.DUMMYFUNCTION("""COMPUTED_VALUE"""),8.164826E7)</f>
        <v>81648260</v>
      </c>
    </row>
    <row r="87">
      <c r="A87" s="7">
        <f>IFERROR(__xludf.DUMMYFUNCTION("""COMPUTED_VALUE"""),45800.64583333333)</f>
        <v>45800.64583</v>
      </c>
      <c r="B87" s="6">
        <f>IFERROR(__xludf.DUMMYFUNCTION("""COMPUTED_VALUE"""),277.0)</f>
        <v>277</v>
      </c>
      <c r="C87" s="6">
        <f>IFERROR(__xludf.DUMMYFUNCTION("""COMPUTED_VALUE"""),283.65)</f>
        <v>283.65</v>
      </c>
      <c r="D87" s="6">
        <f>IFERROR(__xludf.DUMMYFUNCTION("""COMPUTED_VALUE"""),270.35)</f>
        <v>270.35</v>
      </c>
      <c r="E87" s="6">
        <f>IFERROR(__xludf.DUMMYFUNCTION("""COMPUTED_VALUE"""),281.75)</f>
        <v>281.75</v>
      </c>
      <c r="F87" s="6">
        <f>IFERROR(__xludf.DUMMYFUNCTION("""COMPUTED_VALUE"""),6.031972E7)</f>
        <v>60319720</v>
      </c>
    </row>
    <row r="88">
      <c r="A88" s="7">
        <f>IFERROR(__xludf.DUMMYFUNCTION("""COMPUTED_VALUE"""),45807.64583333333)</f>
        <v>45807.64583</v>
      </c>
      <c r="B88" s="6">
        <f>IFERROR(__xludf.DUMMYFUNCTION("""COMPUTED_VALUE"""),282.75)</f>
        <v>282.75</v>
      </c>
      <c r="C88" s="6">
        <f>IFERROR(__xludf.DUMMYFUNCTION("""COMPUTED_VALUE"""),299.25)</f>
        <v>299.25</v>
      </c>
      <c r="D88" s="6">
        <f>IFERROR(__xludf.DUMMYFUNCTION("""COMPUTED_VALUE"""),279.1)</f>
        <v>279.1</v>
      </c>
      <c r="E88" s="6">
        <f>IFERROR(__xludf.DUMMYFUNCTION("""COMPUTED_VALUE"""),286.65)</f>
        <v>286.65</v>
      </c>
      <c r="F88" s="6">
        <f>IFERROR(__xludf.DUMMYFUNCTION("""COMPUTED_VALUE"""),1.03959672E8)</f>
        <v>103959672</v>
      </c>
    </row>
    <row r="89">
      <c r="A89" s="7">
        <f>IFERROR(__xludf.DUMMYFUNCTION("""COMPUTED_VALUE"""),45814.64583333333)</f>
        <v>45814.64583</v>
      </c>
      <c r="B89" s="6">
        <f>IFERROR(__xludf.DUMMYFUNCTION("""COMPUTED_VALUE"""),286.95)</f>
        <v>286.95</v>
      </c>
      <c r="C89" s="6">
        <f>IFERROR(__xludf.DUMMYFUNCTION("""COMPUTED_VALUE"""),296.9)</f>
        <v>296.9</v>
      </c>
      <c r="D89" s="6">
        <f>IFERROR(__xludf.DUMMYFUNCTION("""COMPUTED_VALUE"""),282.5)</f>
        <v>282.5</v>
      </c>
      <c r="E89" s="6">
        <f>IFERROR(__xludf.DUMMYFUNCTION("""COMPUTED_VALUE"""),294.0)</f>
        <v>294</v>
      </c>
      <c r="F89" s="6">
        <f>IFERROR(__xludf.DUMMYFUNCTION("""COMPUTED_VALUE"""),6.3281265E7)</f>
        <v>63281265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IFERROR(__xludf.DUMMYFUNCTION("""COMPUTED_VALUE"""),296.0)</f>
        <v>296</v>
      </c>
      <c r="C90" s="6">
        <f>IFERROR(__xludf.DUMMYFUNCTION("""COMPUTED_VALUE"""),306.85)</f>
        <v>306.85</v>
      </c>
      <c r="D90" s="6">
        <f>IFERROR(__xludf.DUMMYFUNCTION("""COMPUTED_VALUE"""),287.8)</f>
        <v>287.8</v>
      </c>
      <c r="E90" s="6">
        <f>IFERROR(__xludf.DUMMYFUNCTION("""COMPUTED_VALUE"""),294.05)</f>
        <v>294.05</v>
      </c>
      <c r="F90" s="6">
        <f>IFERROR(__xludf.DUMMYFUNCTION("""COMPUTED_VALUE"""),9.2489182E7)</f>
        <v>92489182</v>
      </c>
    </row>
    <row r="91">
      <c r="A91" s="7">
        <f>IFERROR(__xludf.DUMMYFUNCTION("""COMPUTED_VALUE"""),45828.64583333333)</f>
        <v>45828.64583</v>
      </c>
      <c r="B91" s="6">
        <f>IFERROR(__xludf.DUMMYFUNCTION("""COMPUTED_VALUE"""),293.5)</f>
        <v>293.5</v>
      </c>
      <c r="C91" s="6">
        <f>IFERROR(__xludf.DUMMYFUNCTION("""COMPUTED_VALUE"""),295.5)</f>
        <v>295.5</v>
      </c>
      <c r="D91" s="6">
        <f>IFERROR(__xludf.DUMMYFUNCTION("""COMPUTED_VALUE"""),282.7)</f>
        <v>282.7</v>
      </c>
      <c r="E91" s="6">
        <f>IFERROR(__xludf.DUMMYFUNCTION("""COMPUTED_VALUE"""),294.25)</f>
        <v>294.25</v>
      </c>
      <c r="F91" s="6">
        <f>IFERROR(__xludf.DUMMYFUNCTION("""COMPUTED_VALUE"""),6.8487369E7)</f>
        <v>68487369</v>
      </c>
    </row>
    <row r="92">
      <c r="A92" s="7">
        <f>IFERROR(__xludf.DUMMYFUNCTION("""COMPUTED_VALUE"""),45835.64583333333)</f>
        <v>45835.64583</v>
      </c>
      <c r="B92" s="6">
        <f>IFERROR(__xludf.DUMMYFUNCTION("""COMPUTED_VALUE"""),288.55)</f>
        <v>288.55</v>
      </c>
      <c r="C92" s="6">
        <f>IFERROR(__xludf.DUMMYFUNCTION("""COMPUTED_VALUE"""),329.3)</f>
        <v>329.3</v>
      </c>
      <c r="D92" s="6">
        <f>IFERROR(__xludf.DUMMYFUNCTION("""COMPUTED_VALUE"""),287.45)</f>
        <v>287.45</v>
      </c>
      <c r="E92" s="6">
        <f>IFERROR(__xludf.DUMMYFUNCTION("""COMPUTED_VALUE"""),323.45)</f>
        <v>323.45</v>
      </c>
      <c r="F92" s="6">
        <f>IFERROR(__xludf.DUMMYFUNCTION("""COMPUTED_VALUE"""),1.47161264E8)</f>
        <v>147161264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IFERROR(__xludf.DUMMYFUNCTION("""COMPUTED_VALUE"""),326.9)</f>
        <v>326.9</v>
      </c>
      <c r="C93" s="6">
        <f>IFERROR(__xludf.DUMMYFUNCTION("""COMPUTED_VALUE"""),331.9)</f>
        <v>331.9</v>
      </c>
      <c r="D93" s="6">
        <f>IFERROR(__xludf.DUMMYFUNCTION("""COMPUTED_VALUE"""),323.35)</f>
        <v>323.35</v>
      </c>
      <c r="E93" s="6">
        <f>IFERROR(__xludf.DUMMYFUNCTION("""COMPUTED_VALUE"""),324.95)</f>
        <v>324.95</v>
      </c>
      <c r="F93" s="6">
        <f>IFERROR(__xludf.DUMMYFUNCTION("""COMPUTED_VALUE"""),9.1935409E7)</f>
        <v>91935409</v>
      </c>
    </row>
    <row r="94">
      <c r="A94" s="7">
        <f>IFERROR(__xludf.DUMMYFUNCTION("""COMPUTED_VALUE"""),45849.64583333333)</f>
        <v>45849.64583</v>
      </c>
      <c r="B94" s="6">
        <f>IFERROR(__xludf.DUMMYFUNCTION("""COMPUTED_VALUE"""),324.95)</f>
        <v>324.95</v>
      </c>
      <c r="C94" s="6">
        <f>IFERROR(__xludf.DUMMYFUNCTION("""COMPUTED_VALUE"""),335.3)</f>
        <v>335.3</v>
      </c>
      <c r="D94" s="6">
        <f>IFERROR(__xludf.DUMMYFUNCTION("""COMPUTED_VALUE"""),323.05)</f>
        <v>323.05</v>
      </c>
      <c r="E94" s="6">
        <f>IFERROR(__xludf.DUMMYFUNCTION("""COMPUTED_VALUE"""),325.8)</f>
        <v>325.8</v>
      </c>
      <c r="F94" s="6">
        <f>IFERROR(__xludf.DUMMYFUNCTION("""COMPUTED_VALUE"""),8.0176872E7)</f>
        <v>80176872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IFERROR(__xludf.DUMMYFUNCTION("""COMPUTED_VALUE"""),325.0)</f>
        <v>325</v>
      </c>
      <c r="C95" s="6">
        <f>IFERROR(__xludf.DUMMYFUNCTION("""COMPUTED_VALUE"""),327.7)</f>
        <v>327.7</v>
      </c>
      <c r="D95" s="6">
        <f>IFERROR(__xludf.DUMMYFUNCTION("""COMPUTED_VALUE"""),313.75)</f>
        <v>313.75</v>
      </c>
      <c r="E95" s="6">
        <f>IFERROR(__xludf.DUMMYFUNCTION("""COMPUTED_VALUE"""),316.85)</f>
        <v>316.85</v>
      </c>
      <c r="F95" s="6">
        <f>IFERROR(__xludf.DUMMYFUNCTION("""COMPUTED_VALUE"""),8.6700168E7)</f>
        <v>86700168</v>
      </c>
    </row>
    <row r="96">
      <c r="A96" s="7">
        <f>IFERROR(__xludf.DUMMYFUNCTION("""COMPUTED_VALUE"""),45863.64583333333)</f>
        <v>45863.64583</v>
      </c>
      <c r="B96" s="6">
        <f>IFERROR(__xludf.DUMMYFUNCTION("""COMPUTED_VALUE"""),318.2)</f>
        <v>318.2</v>
      </c>
      <c r="C96" s="6">
        <f>IFERROR(__xludf.DUMMYFUNCTION("""COMPUTED_VALUE"""),320.8)</f>
        <v>320.8</v>
      </c>
      <c r="D96" s="6">
        <f>IFERROR(__xludf.DUMMYFUNCTION("""COMPUTED_VALUE"""),309.85)</f>
        <v>309.85</v>
      </c>
      <c r="E96" s="6">
        <f>IFERROR(__xludf.DUMMYFUNCTION("""COMPUTED_VALUE"""),311.25)</f>
        <v>311.25</v>
      </c>
      <c r="F96" s="6">
        <f>IFERROR(__xludf.DUMMYFUNCTION("""COMPUTED_VALUE"""),6.4826901E7)</f>
        <v>64826901</v>
      </c>
    </row>
    <row r="97">
      <c r="A97" s="7">
        <f>IFERROR(__xludf.DUMMYFUNCTION("""COMPUTED_VALUE"""),45870.64583333333)</f>
        <v>45870.64583</v>
      </c>
      <c r="B97" s="6">
        <f>IFERROR(__xludf.DUMMYFUNCTION("""COMPUTED_VALUE"""),311.25)</f>
        <v>311.25</v>
      </c>
      <c r="C97" s="6">
        <f>IFERROR(__xludf.DUMMYFUNCTION("""COMPUTED_VALUE"""),332.7)</f>
        <v>332.7</v>
      </c>
      <c r="D97" s="6">
        <f>IFERROR(__xludf.DUMMYFUNCTION("""COMPUTED_VALUE"""),306.3)</f>
        <v>306.3</v>
      </c>
      <c r="E97" s="6">
        <f>IFERROR(__xludf.DUMMYFUNCTION("""COMPUTED_VALUE"""),329.5)</f>
        <v>329.5</v>
      </c>
      <c r="F97" s="6">
        <f>IFERROR(__xludf.DUMMYFUNCTION("""COMPUTED_VALUE"""),1.27141444E8)</f>
        <v>127141444</v>
      </c>
    </row>
    <row r="98">
      <c r="A98" s="7">
        <f>IFERROR(__xludf.DUMMYFUNCTION("""COMPUTED_VALUE"""),45877.64583333333)</f>
        <v>45877.64583</v>
      </c>
      <c r="B98" s="6">
        <f>IFERROR(__xludf.DUMMYFUNCTION("""COMPUTED_VALUE"""),329.85)</f>
        <v>329.85</v>
      </c>
      <c r="C98" s="6">
        <f>IFERROR(__xludf.DUMMYFUNCTION("""COMPUTED_VALUE"""),338.6)</f>
        <v>338.6</v>
      </c>
      <c r="D98" s="6">
        <f>IFERROR(__xludf.DUMMYFUNCTION("""COMPUTED_VALUE"""),316.8)</f>
        <v>316.8</v>
      </c>
      <c r="E98" s="6">
        <f>IFERROR(__xludf.DUMMYFUNCTION("""COMPUTED_VALUE"""),321.15)</f>
        <v>321.15</v>
      </c>
      <c r="F98" s="6">
        <f>IFERROR(__xludf.DUMMYFUNCTION("""COMPUTED_VALUE"""),7.4293618E7)</f>
        <v>74293618</v>
      </c>
    </row>
    <row r="99">
      <c r="A99" s="7">
        <f>IFERROR(__xludf.DUMMYFUNCTION("""COMPUTED_VALUE"""),45883.64583333333)</f>
        <v>45883.64583</v>
      </c>
      <c r="B99" s="6">
        <f>IFERROR(__xludf.DUMMYFUNCTION("""COMPUTED_VALUE"""),321.0)</f>
        <v>321</v>
      </c>
      <c r="C99" s="6">
        <f>IFERROR(__xludf.DUMMYFUNCTION("""COMPUTED_VALUE"""),332.6)</f>
        <v>332.6</v>
      </c>
      <c r="D99" s="6">
        <f>IFERROR(__xludf.DUMMYFUNCTION("""COMPUTED_VALUE"""),320.8)</f>
        <v>320.8</v>
      </c>
      <c r="E99" s="6">
        <f>IFERROR(__xludf.DUMMYFUNCTION("""COMPUTED_VALUE"""),327.4)</f>
        <v>327.4</v>
      </c>
      <c r="F99" s="6">
        <f>IFERROR(__xludf.DUMMYFUNCTION("""COMPUTED_VALUE"""),4.0879837E7)</f>
        <v>40879837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IFERROR(__xludf.DUMMYFUNCTION("""COMPUTED_VALUE"""),331.25)</f>
        <v>331.25</v>
      </c>
      <c r="C100" s="6">
        <f>IFERROR(__xludf.DUMMYFUNCTION("""COMPUTED_VALUE"""),333.7)</f>
        <v>333.7</v>
      </c>
      <c r="D100" s="6">
        <f>IFERROR(__xludf.DUMMYFUNCTION("""COMPUTED_VALUE"""),320.1)</f>
        <v>320.1</v>
      </c>
      <c r="E100" s="6">
        <f>IFERROR(__xludf.DUMMYFUNCTION("""COMPUTED_VALUE"""),320.6)</f>
        <v>320.6</v>
      </c>
      <c r="F100" s="6">
        <f>IFERROR(__xludf.DUMMYFUNCTION("""COMPUTED_VALUE"""),4.6754533E7)</f>
        <v>46754533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IFERROR(__xludf.DUMMYFUNCTION("""COMPUTED_VALUE"""),322.0)</f>
        <v>322</v>
      </c>
      <c r="C101" s="6">
        <f>IFERROR(__xludf.DUMMYFUNCTION("""COMPUTED_VALUE"""),322.35)</f>
        <v>322.35</v>
      </c>
      <c r="D101" s="6">
        <f>IFERROR(__xludf.DUMMYFUNCTION("""COMPUTED_VALUE"""),314.2)</f>
        <v>314.2</v>
      </c>
      <c r="E101" s="6">
        <f>IFERROR(__xludf.DUMMYFUNCTION("""COMPUTED_VALUE"""),315.75)</f>
        <v>315.75</v>
      </c>
      <c r="F101" s="6">
        <f>IFERROR(__xludf.DUMMYFUNCTION("""COMPUTED_VALUE"""),1.76280636E8)</f>
        <v>176280636</v>
      </c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IFERROR(__xludf.DUMMYFUNCTION("GOOGLEFINANCE(""NSE:JSWENERGY"",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IFERROR(__xludf.DUMMYFUNCTION("""COMPUTED_VALUE"""),349.25)</f>
        <v>349.25</v>
      </c>
      <c r="C2" s="6">
        <f>IFERROR(__xludf.DUMMYFUNCTION("""COMPUTED_VALUE"""),372.75)</f>
        <v>372.75</v>
      </c>
      <c r="D2" s="6">
        <f>IFERROR(__xludf.DUMMYFUNCTION("""COMPUTED_VALUE"""),342.1)</f>
        <v>342.1</v>
      </c>
      <c r="E2" s="6">
        <f>IFERROR(__xludf.DUMMYFUNCTION("""COMPUTED_VALUE"""),354.25)</f>
        <v>354.25</v>
      </c>
      <c r="F2" s="6">
        <f>IFERROR(__xludf.DUMMYFUNCTION("""COMPUTED_VALUE"""),2.4763367E7)</f>
        <v>24763367</v>
      </c>
    </row>
    <row r="3">
      <c r="A3" s="7">
        <f>IFERROR(__xludf.DUMMYFUNCTION("""COMPUTED_VALUE"""),45177.64583333333)</f>
        <v>45177.64583</v>
      </c>
      <c r="B3" s="6">
        <f>IFERROR(__xludf.DUMMYFUNCTION("""COMPUTED_VALUE"""),355.0)</f>
        <v>355</v>
      </c>
      <c r="C3" s="6">
        <f>IFERROR(__xludf.DUMMYFUNCTION("""COMPUTED_VALUE"""),397.3)</f>
        <v>397.3</v>
      </c>
      <c r="D3" s="6">
        <f>IFERROR(__xludf.DUMMYFUNCTION("""COMPUTED_VALUE"""),352.55)</f>
        <v>352.55</v>
      </c>
      <c r="E3" s="6">
        <f>IFERROR(__xludf.DUMMYFUNCTION("""COMPUTED_VALUE"""),394.55)</f>
        <v>394.55</v>
      </c>
      <c r="F3" s="6">
        <f>IFERROR(__xludf.DUMMYFUNCTION("""COMPUTED_VALUE"""),3.1629303E7)</f>
        <v>31629303</v>
      </c>
    </row>
    <row r="4">
      <c r="A4" s="7">
        <f>IFERROR(__xludf.DUMMYFUNCTION("""COMPUTED_VALUE"""),45184.64583333333)</f>
        <v>45184.64583</v>
      </c>
      <c r="B4" s="6">
        <f>IFERROR(__xludf.DUMMYFUNCTION("""COMPUTED_VALUE"""),399.0)</f>
        <v>399</v>
      </c>
      <c r="C4" s="6">
        <f>IFERROR(__xludf.DUMMYFUNCTION("""COMPUTED_VALUE"""),437.4)</f>
        <v>437.4</v>
      </c>
      <c r="D4" s="6">
        <f>IFERROR(__xludf.DUMMYFUNCTION("""COMPUTED_VALUE"""),383.5)</f>
        <v>383.5</v>
      </c>
      <c r="E4" s="6">
        <f>IFERROR(__xludf.DUMMYFUNCTION("""COMPUTED_VALUE"""),398.85)</f>
        <v>398.85</v>
      </c>
      <c r="F4" s="6">
        <f>IFERROR(__xludf.DUMMYFUNCTION("""COMPUTED_VALUE"""),3.6181134E7)</f>
        <v>36181134</v>
      </c>
    </row>
    <row r="5">
      <c r="A5" s="7">
        <f>IFERROR(__xludf.DUMMYFUNCTION("""COMPUTED_VALUE"""),45191.64583333333)</f>
        <v>45191.64583</v>
      </c>
      <c r="B5" s="6">
        <f>IFERROR(__xludf.DUMMYFUNCTION("""COMPUTED_VALUE"""),398.85)</f>
        <v>398.85</v>
      </c>
      <c r="C5" s="6">
        <f>IFERROR(__xludf.DUMMYFUNCTION("""COMPUTED_VALUE"""),425.0)</f>
        <v>425</v>
      </c>
      <c r="D5" s="6">
        <f>IFERROR(__xludf.DUMMYFUNCTION("""COMPUTED_VALUE"""),389.75)</f>
        <v>389.75</v>
      </c>
      <c r="E5" s="6">
        <f>IFERROR(__xludf.DUMMYFUNCTION("""COMPUTED_VALUE"""),422.1)</f>
        <v>422.1</v>
      </c>
      <c r="F5" s="6">
        <f>IFERROR(__xludf.DUMMYFUNCTION("""COMPUTED_VALUE"""),2.3706735E7)</f>
        <v>23706735</v>
      </c>
    </row>
    <row r="6">
      <c r="A6" s="7">
        <f>IFERROR(__xludf.DUMMYFUNCTION("""COMPUTED_VALUE"""),45198.64583333333)</f>
        <v>45198.64583</v>
      </c>
      <c r="B6" s="6">
        <f>IFERROR(__xludf.DUMMYFUNCTION("""COMPUTED_VALUE"""),420.9)</f>
        <v>420.9</v>
      </c>
      <c r="C6" s="6">
        <f>IFERROR(__xludf.DUMMYFUNCTION("""COMPUTED_VALUE"""),444.9)</f>
        <v>444.9</v>
      </c>
      <c r="D6" s="6">
        <f>IFERROR(__xludf.DUMMYFUNCTION("""COMPUTED_VALUE"""),409.25)</f>
        <v>409.25</v>
      </c>
      <c r="E6" s="6">
        <f>IFERROR(__xludf.DUMMYFUNCTION("""COMPUTED_VALUE"""),437.4)</f>
        <v>437.4</v>
      </c>
      <c r="F6" s="6">
        <f>IFERROR(__xludf.DUMMYFUNCTION("""COMPUTED_VALUE"""),3.2674956E7)</f>
        <v>32674956</v>
      </c>
    </row>
    <row r="7">
      <c r="A7" s="7">
        <f>IFERROR(__xludf.DUMMYFUNCTION("""COMPUTED_VALUE"""),45205.64583333333)</f>
        <v>45205.64583</v>
      </c>
      <c r="B7" s="6">
        <f>IFERROR(__xludf.DUMMYFUNCTION("""COMPUTED_VALUE"""),437.4)</f>
        <v>437.4</v>
      </c>
      <c r="C7" s="6">
        <f>IFERROR(__xludf.DUMMYFUNCTION("""COMPUTED_VALUE"""),449.0)</f>
        <v>449</v>
      </c>
      <c r="D7" s="6">
        <f>IFERROR(__xludf.DUMMYFUNCTION("""COMPUTED_VALUE"""),409.5)</f>
        <v>409.5</v>
      </c>
      <c r="E7" s="6">
        <f>IFERROR(__xludf.DUMMYFUNCTION("""COMPUTED_VALUE"""),419.65)</f>
        <v>419.65</v>
      </c>
      <c r="F7" s="6">
        <f>IFERROR(__xludf.DUMMYFUNCTION("""COMPUTED_VALUE"""),2.395688E7)</f>
        <v>23956880</v>
      </c>
    </row>
    <row r="8">
      <c r="A8" s="7">
        <f>IFERROR(__xludf.DUMMYFUNCTION("""COMPUTED_VALUE"""),45212.64583333333)</f>
        <v>45212.64583</v>
      </c>
      <c r="B8" s="6">
        <f>IFERROR(__xludf.DUMMYFUNCTION("""COMPUTED_VALUE"""),410.0)</f>
        <v>410</v>
      </c>
      <c r="C8" s="6">
        <f>IFERROR(__xludf.DUMMYFUNCTION("""COMPUTED_VALUE"""),420.85)</f>
        <v>420.85</v>
      </c>
      <c r="D8" s="6">
        <f>IFERROR(__xludf.DUMMYFUNCTION("""COMPUTED_VALUE"""),390.05)</f>
        <v>390.05</v>
      </c>
      <c r="E8" s="6">
        <f>IFERROR(__xludf.DUMMYFUNCTION("""COMPUTED_VALUE"""),392.05)</f>
        <v>392.05</v>
      </c>
      <c r="F8" s="6">
        <f>IFERROR(__xludf.DUMMYFUNCTION("""COMPUTED_VALUE"""),2.8695879E7)</f>
        <v>28695879</v>
      </c>
    </row>
    <row r="9">
      <c r="A9" s="7">
        <f>IFERROR(__xludf.DUMMYFUNCTION("""COMPUTED_VALUE"""),45219.64583333333)</f>
        <v>45219.64583</v>
      </c>
      <c r="B9" s="6">
        <f>IFERROR(__xludf.DUMMYFUNCTION("""COMPUTED_VALUE"""),394.8)</f>
        <v>394.8</v>
      </c>
      <c r="C9" s="6">
        <f>IFERROR(__xludf.DUMMYFUNCTION("""COMPUTED_VALUE"""),408.8)</f>
        <v>408.8</v>
      </c>
      <c r="D9" s="6">
        <f>IFERROR(__xludf.DUMMYFUNCTION("""COMPUTED_VALUE"""),382.05)</f>
        <v>382.05</v>
      </c>
      <c r="E9" s="6">
        <f>IFERROR(__xludf.DUMMYFUNCTION("""COMPUTED_VALUE"""),387.8)</f>
        <v>387.8</v>
      </c>
      <c r="F9" s="6">
        <f>IFERROR(__xludf.DUMMYFUNCTION("""COMPUTED_VALUE"""),2.233194E7)</f>
        <v>22331940</v>
      </c>
    </row>
    <row r="10">
      <c r="A10" s="7">
        <f>IFERROR(__xludf.DUMMYFUNCTION("""COMPUTED_VALUE"""),45226.64583333333)</f>
        <v>45226.64583</v>
      </c>
      <c r="B10" s="6">
        <f>IFERROR(__xludf.DUMMYFUNCTION("""COMPUTED_VALUE"""),410.0)</f>
        <v>410</v>
      </c>
      <c r="C10" s="6">
        <f>IFERROR(__xludf.DUMMYFUNCTION("""COMPUTED_VALUE"""),410.0)</f>
        <v>410</v>
      </c>
      <c r="D10" s="6">
        <f>IFERROR(__xludf.DUMMYFUNCTION("""COMPUTED_VALUE"""),347.5)</f>
        <v>347.5</v>
      </c>
      <c r="E10" s="6">
        <f>IFERROR(__xludf.DUMMYFUNCTION("""COMPUTED_VALUE"""),393.75)</f>
        <v>393.75</v>
      </c>
      <c r="F10" s="6">
        <f>IFERROR(__xludf.DUMMYFUNCTION("""COMPUTED_VALUE"""),4.3686311E7)</f>
        <v>43686311</v>
      </c>
    </row>
    <row r="11">
      <c r="A11" s="7">
        <f>IFERROR(__xludf.DUMMYFUNCTION("""COMPUTED_VALUE"""),45233.64583333333)</f>
        <v>45233.64583</v>
      </c>
      <c r="B11" s="6">
        <f>IFERROR(__xludf.DUMMYFUNCTION("""COMPUTED_VALUE"""),392.8)</f>
        <v>392.8</v>
      </c>
      <c r="C11" s="6">
        <f>IFERROR(__xludf.DUMMYFUNCTION("""COMPUTED_VALUE"""),402.9)</f>
        <v>402.9</v>
      </c>
      <c r="D11" s="6">
        <f>IFERROR(__xludf.DUMMYFUNCTION("""COMPUTED_VALUE"""),375.1)</f>
        <v>375.1</v>
      </c>
      <c r="E11" s="6">
        <f>IFERROR(__xludf.DUMMYFUNCTION("""COMPUTED_VALUE"""),393.8)</f>
        <v>393.8</v>
      </c>
      <c r="F11" s="6">
        <f>IFERROR(__xludf.DUMMYFUNCTION("""COMPUTED_VALUE"""),1.3617256E7)</f>
        <v>13617256</v>
      </c>
    </row>
    <row r="12">
      <c r="A12" s="7">
        <f>IFERROR(__xludf.DUMMYFUNCTION("""COMPUTED_VALUE"""),45240.64583333333)</f>
        <v>45240.64583</v>
      </c>
      <c r="B12" s="6">
        <f>IFERROR(__xludf.DUMMYFUNCTION("""COMPUTED_VALUE"""),395.95)</f>
        <v>395.95</v>
      </c>
      <c r="C12" s="6">
        <f>IFERROR(__xludf.DUMMYFUNCTION("""COMPUTED_VALUE"""),397.25)</f>
        <v>397.25</v>
      </c>
      <c r="D12" s="6">
        <f>IFERROR(__xludf.DUMMYFUNCTION("""COMPUTED_VALUE"""),378.5)</f>
        <v>378.5</v>
      </c>
      <c r="E12" s="6">
        <f>IFERROR(__xludf.DUMMYFUNCTION("""COMPUTED_VALUE"""),382.7)</f>
        <v>382.7</v>
      </c>
      <c r="F12" s="6">
        <f>IFERROR(__xludf.DUMMYFUNCTION("""COMPUTED_VALUE"""),8835936.0)</f>
        <v>8835936</v>
      </c>
    </row>
    <row r="13">
      <c r="A13" s="7">
        <f>IFERROR(__xludf.DUMMYFUNCTION("""COMPUTED_VALUE"""),45247.64583333333)</f>
        <v>45247.64583</v>
      </c>
      <c r="B13" s="6">
        <f>IFERROR(__xludf.DUMMYFUNCTION("""COMPUTED_VALUE"""),385.4)</f>
        <v>385.4</v>
      </c>
      <c r="C13" s="6">
        <f>IFERROR(__xludf.DUMMYFUNCTION("""COMPUTED_VALUE"""),411.8)</f>
        <v>411.8</v>
      </c>
      <c r="D13" s="6">
        <f>IFERROR(__xludf.DUMMYFUNCTION("""COMPUTED_VALUE"""),384.8)</f>
        <v>384.8</v>
      </c>
      <c r="E13" s="6">
        <f>IFERROR(__xludf.DUMMYFUNCTION("""COMPUTED_VALUE"""),399.75)</f>
        <v>399.75</v>
      </c>
      <c r="F13" s="6">
        <f>IFERROR(__xludf.DUMMYFUNCTION("""COMPUTED_VALUE"""),2.0164999E7)</f>
        <v>20164999</v>
      </c>
    </row>
    <row r="14">
      <c r="A14" s="7">
        <f>IFERROR(__xludf.DUMMYFUNCTION("""COMPUTED_VALUE"""),45254.64583333333)</f>
        <v>45254.64583</v>
      </c>
      <c r="B14" s="6">
        <f>IFERROR(__xludf.DUMMYFUNCTION("""COMPUTED_VALUE"""),400.8)</f>
        <v>400.8</v>
      </c>
      <c r="C14" s="6">
        <f>IFERROR(__xludf.DUMMYFUNCTION("""COMPUTED_VALUE"""),429.0)</f>
        <v>429</v>
      </c>
      <c r="D14" s="6">
        <f>IFERROR(__xludf.DUMMYFUNCTION("""COMPUTED_VALUE"""),395.0)</f>
        <v>395</v>
      </c>
      <c r="E14" s="6">
        <f>IFERROR(__xludf.DUMMYFUNCTION("""COMPUTED_VALUE"""),420.95)</f>
        <v>420.95</v>
      </c>
      <c r="F14" s="6">
        <f>IFERROR(__xludf.DUMMYFUNCTION("""COMPUTED_VALUE"""),2.5336008E7)</f>
        <v>25336008</v>
      </c>
    </row>
    <row r="15">
      <c r="A15" s="7">
        <f>IFERROR(__xludf.DUMMYFUNCTION("""COMPUTED_VALUE"""),45261.64583333333)</f>
        <v>45261.64583</v>
      </c>
      <c r="B15" s="6">
        <f>IFERROR(__xludf.DUMMYFUNCTION("""COMPUTED_VALUE"""),422.0)</f>
        <v>422</v>
      </c>
      <c r="C15" s="6">
        <f>IFERROR(__xludf.DUMMYFUNCTION("""COMPUTED_VALUE"""),428.3)</f>
        <v>428.3</v>
      </c>
      <c r="D15" s="6">
        <f>IFERROR(__xludf.DUMMYFUNCTION("""COMPUTED_VALUE"""),406.85)</f>
        <v>406.85</v>
      </c>
      <c r="E15" s="6">
        <f>IFERROR(__xludf.DUMMYFUNCTION("""COMPUTED_VALUE"""),424.6)</f>
        <v>424.6</v>
      </c>
      <c r="F15" s="6">
        <f>IFERROR(__xludf.DUMMYFUNCTION("""COMPUTED_VALUE"""),1.5950604E7)</f>
        <v>15950604</v>
      </c>
    </row>
    <row r="16">
      <c r="A16" s="7">
        <f>IFERROR(__xludf.DUMMYFUNCTION("""COMPUTED_VALUE"""),45268.64583333333)</f>
        <v>45268.64583</v>
      </c>
      <c r="B16" s="6">
        <f>IFERROR(__xludf.DUMMYFUNCTION("""COMPUTED_VALUE"""),434.0)</f>
        <v>434</v>
      </c>
      <c r="C16" s="6">
        <f>IFERROR(__xludf.DUMMYFUNCTION("""COMPUTED_VALUE"""),477.0)</f>
        <v>477</v>
      </c>
      <c r="D16" s="6">
        <f>IFERROR(__xludf.DUMMYFUNCTION("""COMPUTED_VALUE"""),413.0)</f>
        <v>413</v>
      </c>
      <c r="E16" s="6">
        <f>IFERROR(__xludf.DUMMYFUNCTION("""COMPUTED_VALUE"""),451.8)</f>
        <v>451.8</v>
      </c>
      <c r="F16" s="6">
        <f>IFERROR(__xludf.DUMMYFUNCTION("""COMPUTED_VALUE"""),3.4466393E7)</f>
        <v>34466393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IFERROR(__xludf.DUMMYFUNCTION("""COMPUTED_VALUE"""),454.0)</f>
        <v>454</v>
      </c>
      <c r="C17" s="6">
        <f>IFERROR(__xludf.DUMMYFUNCTION("""COMPUTED_VALUE"""),465.55)</f>
        <v>465.55</v>
      </c>
      <c r="D17" s="6">
        <f>IFERROR(__xludf.DUMMYFUNCTION("""COMPUTED_VALUE"""),432.0)</f>
        <v>432</v>
      </c>
      <c r="E17" s="6">
        <f>IFERROR(__xludf.DUMMYFUNCTION("""COMPUTED_VALUE"""),434.75)</f>
        <v>434.75</v>
      </c>
      <c r="F17" s="6">
        <f>IFERROR(__xludf.DUMMYFUNCTION("""COMPUTED_VALUE"""),1.2790566E7)</f>
        <v>12790566</v>
      </c>
    </row>
    <row r="18">
      <c r="A18" s="7">
        <f>IFERROR(__xludf.DUMMYFUNCTION("""COMPUTED_VALUE"""),45282.64583333333)</f>
        <v>45282.64583</v>
      </c>
      <c r="B18" s="6">
        <f>IFERROR(__xludf.DUMMYFUNCTION("""COMPUTED_VALUE"""),414.55)</f>
        <v>414.55</v>
      </c>
      <c r="C18" s="6">
        <f>IFERROR(__xludf.DUMMYFUNCTION("""COMPUTED_VALUE"""),445.45)</f>
        <v>445.45</v>
      </c>
      <c r="D18" s="6">
        <f>IFERROR(__xludf.DUMMYFUNCTION("""COMPUTED_VALUE"""),397.65)</f>
        <v>397.65</v>
      </c>
      <c r="E18" s="6">
        <f>IFERROR(__xludf.DUMMYFUNCTION("""COMPUTED_VALUE"""),409.3)</f>
        <v>409.3</v>
      </c>
      <c r="F18" s="6">
        <f>IFERROR(__xludf.DUMMYFUNCTION("""COMPUTED_VALUE"""),1.8541566E7)</f>
        <v>18541566</v>
      </c>
    </row>
    <row r="19">
      <c r="A19" s="7">
        <f>IFERROR(__xludf.DUMMYFUNCTION("""COMPUTED_VALUE"""),45289.64583333333)</f>
        <v>45289.64583</v>
      </c>
      <c r="B19" s="6">
        <f>IFERROR(__xludf.DUMMYFUNCTION("""COMPUTED_VALUE"""),420.0)</f>
        <v>420</v>
      </c>
      <c r="C19" s="6">
        <f>IFERROR(__xludf.DUMMYFUNCTION("""COMPUTED_VALUE"""),423.2)</f>
        <v>423.2</v>
      </c>
      <c r="D19" s="6">
        <f>IFERROR(__xludf.DUMMYFUNCTION("""COMPUTED_VALUE"""),406.5)</f>
        <v>406.5</v>
      </c>
      <c r="E19" s="6">
        <f>IFERROR(__xludf.DUMMYFUNCTION("""COMPUTED_VALUE"""),409.05)</f>
        <v>409.05</v>
      </c>
      <c r="F19" s="6">
        <f>IFERROR(__xludf.DUMMYFUNCTION("""COMPUTED_VALUE"""),9123331.0)</f>
        <v>9123331</v>
      </c>
    </row>
    <row r="20">
      <c r="A20" s="7">
        <f>IFERROR(__xludf.DUMMYFUNCTION("""COMPUTED_VALUE"""),45296.64583333333)</f>
        <v>45296.64583</v>
      </c>
      <c r="B20" s="6">
        <f>IFERROR(__xludf.DUMMYFUNCTION("""COMPUTED_VALUE"""),412.9)</f>
        <v>412.9</v>
      </c>
      <c r="C20" s="6">
        <f>IFERROR(__xludf.DUMMYFUNCTION("""COMPUTED_VALUE"""),431.5)</f>
        <v>431.5</v>
      </c>
      <c r="D20" s="6">
        <f>IFERROR(__xludf.DUMMYFUNCTION("""COMPUTED_VALUE"""),404.15)</f>
        <v>404.15</v>
      </c>
      <c r="E20" s="6">
        <f>IFERROR(__xludf.DUMMYFUNCTION("""COMPUTED_VALUE"""),419.95)</f>
        <v>419.95</v>
      </c>
      <c r="F20" s="6">
        <f>IFERROR(__xludf.DUMMYFUNCTION("""COMPUTED_VALUE"""),1.5073711E7)</f>
        <v>15073711</v>
      </c>
    </row>
    <row r="21">
      <c r="A21" s="7">
        <f>IFERROR(__xludf.DUMMYFUNCTION("""COMPUTED_VALUE"""),45303.64583333333)</f>
        <v>45303.64583</v>
      </c>
      <c r="B21" s="6">
        <f>IFERROR(__xludf.DUMMYFUNCTION("""COMPUTED_VALUE"""),422.05)</f>
        <v>422.05</v>
      </c>
      <c r="C21" s="6">
        <f>IFERROR(__xludf.DUMMYFUNCTION("""COMPUTED_VALUE"""),484.9)</f>
        <v>484.9</v>
      </c>
      <c r="D21" s="6">
        <f>IFERROR(__xludf.DUMMYFUNCTION("""COMPUTED_VALUE"""),417.0)</f>
        <v>417</v>
      </c>
      <c r="E21" s="6">
        <f>IFERROR(__xludf.DUMMYFUNCTION("""COMPUTED_VALUE"""),483.5)</f>
        <v>483.5</v>
      </c>
      <c r="F21" s="6">
        <f>IFERROR(__xludf.DUMMYFUNCTION("""COMPUTED_VALUE"""),3.9572171E7)</f>
        <v>39572171</v>
      </c>
    </row>
    <row r="22">
      <c r="A22" s="7">
        <f>IFERROR(__xludf.DUMMYFUNCTION("""COMPUTED_VALUE"""),45316.64583333333)</f>
        <v>45316.64583</v>
      </c>
      <c r="B22" s="6">
        <f>IFERROR(__xludf.DUMMYFUNCTION("""COMPUTED_VALUE"""),513.0)</f>
        <v>513</v>
      </c>
      <c r="C22" s="6">
        <f>IFERROR(__xludf.DUMMYFUNCTION("""COMPUTED_VALUE"""),516.2)</f>
        <v>516.2</v>
      </c>
      <c r="D22" s="6">
        <f>IFERROR(__xludf.DUMMYFUNCTION("""COMPUTED_VALUE"""),467.1)</f>
        <v>467.1</v>
      </c>
      <c r="E22" s="6">
        <f>IFERROR(__xludf.DUMMYFUNCTION("""COMPUTED_VALUE"""),487.65)</f>
        <v>487.65</v>
      </c>
      <c r="F22" s="6">
        <f>IFERROR(__xludf.DUMMYFUNCTION("""COMPUTED_VALUE"""),1.2128267E7)</f>
        <v>12128267</v>
      </c>
    </row>
    <row r="23">
      <c r="A23" s="7">
        <f>IFERROR(__xludf.DUMMYFUNCTION("""COMPUTED_VALUE"""),45324.64583333333)</f>
        <v>45324.64583</v>
      </c>
      <c r="B23" s="6">
        <f>IFERROR(__xludf.DUMMYFUNCTION("""COMPUTED_VALUE"""),492.45)</f>
        <v>492.45</v>
      </c>
      <c r="C23" s="6">
        <f>IFERROR(__xludf.DUMMYFUNCTION("""COMPUTED_VALUE"""),508.6)</f>
        <v>508.6</v>
      </c>
      <c r="D23" s="6">
        <f>IFERROR(__xludf.DUMMYFUNCTION("""COMPUTED_VALUE"""),477.85)</f>
        <v>477.85</v>
      </c>
      <c r="E23" s="6">
        <f>IFERROR(__xludf.DUMMYFUNCTION("""COMPUTED_VALUE"""),482.9)</f>
        <v>482.9</v>
      </c>
      <c r="F23" s="6">
        <f>IFERROR(__xludf.DUMMYFUNCTION("""COMPUTED_VALUE"""),1.160409E7)</f>
        <v>11604090</v>
      </c>
    </row>
    <row r="24">
      <c r="A24" s="7">
        <f>IFERROR(__xludf.DUMMYFUNCTION("""COMPUTED_VALUE"""),45331.64583333333)</f>
        <v>45331.64583</v>
      </c>
      <c r="B24" s="6">
        <f>IFERROR(__xludf.DUMMYFUNCTION("""COMPUTED_VALUE"""),487.8)</f>
        <v>487.8</v>
      </c>
      <c r="C24" s="6">
        <f>IFERROR(__xludf.DUMMYFUNCTION("""COMPUTED_VALUE"""),520.0)</f>
        <v>520</v>
      </c>
      <c r="D24" s="6">
        <f>IFERROR(__xludf.DUMMYFUNCTION("""COMPUTED_VALUE"""),484.1)</f>
        <v>484.1</v>
      </c>
      <c r="E24" s="6">
        <f>IFERROR(__xludf.DUMMYFUNCTION("""COMPUTED_VALUE"""),500.2)</f>
        <v>500.2</v>
      </c>
      <c r="F24" s="6">
        <f>IFERROR(__xludf.DUMMYFUNCTION("""COMPUTED_VALUE"""),1.7235205E7)</f>
        <v>17235205</v>
      </c>
    </row>
    <row r="25">
      <c r="A25" s="7">
        <f>IFERROR(__xludf.DUMMYFUNCTION("""COMPUTED_VALUE"""),45338.64583333333)</f>
        <v>45338.64583</v>
      </c>
      <c r="B25" s="6">
        <f>IFERROR(__xludf.DUMMYFUNCTION("""COMPUTED_VALUE"""),507.65)</f>
        <v>507.65</v>
      </c>
      <c r="C25" s="6">
        <f>IFERROR(__xludf.DUMMYFUNCTION("""COMPUTED_VALUE"""),521.65)</f>
        <v>521.65</v>
      </c>
      <c r="D25" s="6">
        <f>IFERROR(__xludf.DUMMYFUNCTION("""COMPUTED_VALUE"""),474.0)</f>
        <v>474</v>
      </c>
      <c r="E25" s="6">
        <f>IFERROR(__xludf.DUMMYFUNCTION("""COMPUTED_VALUE"""),480.45)</f>
        <v>480.45</v>
      </c>
      <c r="F25" s="6">
        <f>IFERROR(__xludf.DUMMYFUNCTION("""COMPUTED_VALUE"""),1.5899358E7)</f>
        <v>15899358</v>
      </c>
    </row>
    <row r="26">
      <c r="A26" s="7">
        <f>IFERROR(__xludf.DUMMYFUNCTION("""COMPUTED_VALUE"""),45345.64583333333)</f>
        <v>45345.64583</v>
      </c>
      <c r="B26" s="6">
        <f>IFERROR(__xludf.DUMMYFUNCTION("""COMPUTED_VALUE"""),484.1)</f>
        <v>484.1</v>
      </c>
      <c r="C26" s="6">
        <f>IFERROR(__xludf.DUMMYFUNCTION("""COMPUTED_VALUE"""),510.75)</f>
        <v>510.75</v>
      </c>
      <c r="D26" s="6">
        <f>IFERROR(__xludf.DUMMYFUNCTION("""COMPUTED_VALUE"""),480.5)</f>
        <v>480.5</v>
      </c>
      <c r="E26" s="6">
        <f>IFERROR(__xludf.DUMMYFUNCTION("""COMPUTED_VALUE"""),506.85)</f>
        <v>506.85</v>
      </c>
      <c r="F26" s="6">
        <f>IFERROR(__xludf.DUMMYFUNCTION("""COMPUTED_VALUE"""),1.5952037E7)</f>
        <v>15952037</v>
      </c>
    </row>
    <row r="27">
      <c r="A27" s="7">
        <f>IFERROR(__xludf.DUMMYFUNCTION("""COMPUTED_VALUE"""),45358.64583333333)</f>
        <v>45358.64583</v>
      </c>
      <c r="B27" s="6">
        <f>IFERROR(__xludf.DUMMYFUNCTION("""COMPUTED_VALUE"""),506.8)</f>
        <v>506.8</v>
      </c>
      <c r="C27" s="6">
        <f>IFERROR(__xludf.DUMMYFUNCTION("""COMPUTED_VALUE"""),527.0)</f>
        <v>527</v>
      </c>
      <c r="D27" s="6">
        <f>IFERROR(__xludf.DUMMYFUNCTION("""COMPUTED_VALUE"""),494.25)</f>
        <v>494.25</v>
      </c>
      <c r="E27" s="6">
        <f>IFERROR(__xludf.DUMMYFUNCTION("""COMPUTED_VALUE"""),515.25)</f>
        <v>515.25</v>
      </c>
      <c r="F27" s="6">
        <f>IFERROR(__xludf.DUMMYFUNCTION("""COMPUTED_VALUE"""),1.32134E7)</f>
        <v>13213400</v>
      </c>
    </row>
    <row r="28">
      <c r="A28" s="7">
        <f>IFERROR(__xludf.DUMMYFUNCTION("""COMPUTED_VALUE"""),45366.64583333333)</f>
        <v>45366.64583</v>
      </c>
      <c r="B28" s="6">
        <f>IFERROR(__xludf.DUMMYFUNCTION("""COMPUTED_VALUE"""),516.0)</f>
        <v>516</v>
      </c>
      <c r="C28" s="6">
        <f>IFERROR(__xludf.DUMMYFUNCTION("""COMPUTED_VALUE"""),516.8)</f>
        <v>516.8</v>
      </c>
      <c r="D28" s="6">
        <f>IFERROR(__xludf.DUMMYFUNCTION("""COMPUTED_VALUE"""),452.2)</f>
        <v>452.2</v>
      </c>
      <c r="E28" s="6">
        <f>IFERROR(__xludf.DUMMYFUNCTION("""COMPUTED_VALUE"""),497.9)</f>
        <v>497.9</v>
      </c>
      <c r="F28" s="6">
        <f>IFERROR(__xludf.DUMMYFUNCTION("""COMPUTED_VALUE"""),1.9987162E7)</f>
        <v>19987162</v>
      </c>
    </row>
    <row r="29">
      <c r="A29" s="7">
        <f>IFERROR(__xludf.DUMMYFUNCTION("""COMPUTED_VALUE"""),45373.64583333333)</f>
        <v>45373.64583</v>
      </c>
      <c r="B29" s="6">
        <f>IFERROR(__xludf.DUMMYFUNCTION("""COMPUTED_VALUE"""),500.0)</f>
        <v>500</v>
      </c>
      <c r="C29" s="6">
        <f>IFERROR(__xludf.DUMMYFUNCTION("""COMPUTED_VALUE"""),517.5)</f>
        <v>517.5</v>
      </c>
      <c r="D29" s="6">
        <f>IFERROR(__xludf.DUMMYFUNCTION("""COMPUTED_VALUE"""),475.0)</f>
        <v>475</v>
      </c>
      <c r="E29" s="6">
        <f>IFERROR(__xludf.DUMMYFUNCTION("""COMPUTED_VALUE"""),515.45)</f>
        <v>515.45</v>
      </c>
      <c r="F29" s="6">
        <f>IFERROR(__xludf.DUMMYFUNCTION("""COMPUTED_VALUE"""),1.1315041E7)</f>
        <v>11315041</v>
      </c>
    </row>
    <row r="30">
      <c r="A30" s="7">
        <f>IFERROR(__xludf.DUMMYFUNCTION("""COMPUTED_VALUE"""),45379.64583333333)</f>
        <v>45379.64583</v>
      </c>
      <c r="B30" s="6">
        <f>IFERROR(__xludf.DUMMYFUNCTION("""COMPUTED_VALUE"""),520.95)</f>
        <v>520.95</v>
      </c>
      <c r="C30" s="6">
        <f>IFERROR(__xludf.DUMMYFUNCTION("""COMPUTED_VALUE"""),533.5)</f>
        <v>533.5</v>
      </c>
      <c r="D30" s="6">
        <f>IFERROR(__xludf.DUMMYFUNCTION("""COMPUTED_VALUE"""),509.45)</f>
        <v>509.45</v>
      </c>
      <c r="E30" s="6">
        <f>IFERROR(__xludf.DUMMYFUNCTION("""COMPUTED_VALUE"""),528.9)</f>
        <v>528.9</v>
      </c>
      <c r="F30" s="6">
        <f>IFERROR(__xludf.DUMMYFUNCTION("""COMPUTED_VALUE"""),9783394.0)</f>
        <v>9783394</v>
      </c>
    </row>
    <row r="31">
      <c r="A31" s="7">
        <f>IFERROR(__xludf.DUMMYFUNCTION("""COMPUTED_VALUE"""),45387.64583333333)</f>
        <v>45387.64583</v>
      </c>
      <c r="B31" s="6">
        <f>IFERROR(__xludf.DUMMYFUNCTION("""COMPUTED_VALUE"""),533.0)</f>
        <v>533</v>
      </c>
      <c r="C31" s="6">
        <f>IFERROR(__xludf.DUMMYFUNCTION("""COMPUTED_VALUE"""),604.0)</f>
        <v>604</v>
      </c>
      <c r="D31" s="6">
        <f>IFERROR(__xludf.DUMMYFUNCTION("""COMPUTED_VALUE"""),515.2)</f>
        <v>515.2</v>
      </c>
      <c r="E31" s="6">
        <f>IFERROR(__xludf.DUMMYFUNCTION("""COMPUTED_VALUE"""),599.1)</f>
        <v>599.1</v>
      </c>
      <c r="F31" s="6">
        <f>IFERROR(__xludf.DUMMYFUNCTION("""COMPUTED_VALUE"""),3.5805398E7)</f>
        <v>35805398</v>
      </c>
    </row>
    <row r="32">
      <c r="A32" s="7">
        <f>IFERROR(__xludf.DUMMYFUNCTION("""COMPUTED_VALUE"""),45394.64583333333)</f>
        <v>45394.64583</v>
      </c>
      <c r="B32" s="6">
        <f>IFERROR(__xludf.DUMMYFUNCTION("""COMPUTED_VALUE"""),602.0)</f>
        <v>602</v>
      </c>
      <c r="C32" s="6">
        <f>IFERROR(__xludf.DUMMYFUNCTION("""COMPUTED_VALUE"""),632.1)</f>
        <v>632.1</v>
      </c>
      <c r="D32" s="6">
        <f>IFERROR(__xludf.DUMMYFUNCTION("""COMPUTED_VALUE"""),596.35)</f>
        <v>596.35</v>
      </c>
      <c r="E32" s="6">
        <f>IFERROR(__xludf.DUMMYFUNCTION("""COMPUTED_VALUE"""),616.45)</f>
        <v>616.45</v>
      </c>
      <c r="F32" s="6">
        <f>IFERROR(__xludf.DUMMYFUNCTION("""COMPUTED_VALUE"""),2.254158E7)</f>
        <v>22541580</v>
      </c>
    </row>
    <row r="33">
      <c r="A33" s="7">
        <f>IFERROR(__xludf.DUMMYFUNCTION("""COMPUTED_VALUE"""),45401.64583333333)</f>
        <v>45401.64583</v>
      </c>
      <c r="B33" s="6">
        <f>IFERROR(__xludf.DUMMYFUNCTION("""COMPUTED_VALUE"""),591.2)</f>
        <v>591.2</v>
      </c>
      <c r="C33" s="6">
        <f>IFERROR(__xludf.DUMMYFUNCTION("""COMPUTED_VALUE"""),638.7)</f>
        <v>638.7</v>
      </c>
      <c r="D33" s="6">
        <f>IFERROR(__xludf.DUMMYFUNCTION("""COMPUTED_VALUE"""),588.35)</f>
        <v>588.35</v>
      </c>
      <c r="E33" s="6">
        <f>IFERROR(__xludf.DUMMYFUNCTION("""COMPUTED_VALUE"""),626.7)</f>
        <v>626.7</v>
      </c>
      <c r="F33" s="6">
        <f>IFERROR(__xludf.DUMMYFUNCTION("""COMPUTED_VALUE"""),1.680298E7)</f>
        <v>16802980</v>
      </c>
    </row>
    <row r="34">
      <c r="A34" s="7">
        <f>IFERROR(__xludf.DUMMYFUNCTION("""COMPUTED_VALUE"""),45408.64583333333)</f>
        <v>45408.64583</v>
      </c>
      <c r="B34" s="6">
        <f>IFERROR(__xludf.DUMMYFUNCTION("""COMPUTED_VALUE"""),650.0)</f>
        <v>650</v>
      </c>
      <c r="C34" s="6">
        <f>IFERROR(__xludf.DUMMYFUNCTION("""COMPUTED_VALUE"""),650.0)</f>
        <v>650</v>
      </c>
      <c r="D34" s="6">
        <f>IFERROR(__xludf.DUMMYFUNCTION("""COMPUTED_VALUE"""),595.0)</f>
        <v>595</v>
      </c>
      <c r="E34" s="6">
        <f>IFERROR(__xludf.DUMMYFUNCTION("""COMPUTED_VALUE"""),600.9)</f>
        <v>600.9</v>
      </c>
      <c r="F34" s="6">
        <f>IFERROR(__xludf.DUMMYFUNCTION("""COMPUTED_VALUE"""),1.4562147E7)</f>
        <v>14562147</v>
      </c>
    </row>
    <row r="35">
      <c r="A35" s="7">
        <f>IFERROR(__xludf.DUMMYFUNCTION("""COMPUTED_VALUE"""),45415.64583333333)</f>
        <v>45415.64583</v>
      </c>
      <c r="B35" s="6">
        <f>IFERROR(__xludf.DUMMYFUNCTION("""COMPUTED_VALUE"""),603.95)</f>
        <v>603.95</v>
      </c>
      <c r="C35" s="6">
        <f>IFERROR(__xludf.DUMMYFUNCTION("""COMPUTED_VALUE"""),646.35)</f>
        <v>646.35</v>
      </c>
      <c r="D35" s="6">
        <f>IFERROR(__xludf.DUMMYFUNCTION("""COMPUTED_VALUE"""),597.0)</f>
        <v>597</v>
      </c>
      <c r="E35" s="6">
        <f>IFERROR(__xludf.DUMMYFUNCTION("""COMPUTED_VALUE"""),642.2)</f>
        <v>642.2</v>
      </c>
      <c r="F35" s="6">
        <f>IFERROR(__xludf.DUMMYFUNCTION("""COMPUTED_VALUE"""),1.1566991E7)</f>
        <v>11566991</v>
      </c>
    </row>
    <row r="36">
      <c r="A36" s="7">
        <f>IFERROR(__xludf.DUMMYFUNCTION("""COMPUTED_VALUE"""),45422.64583333333)</f>
        <v>45422.64583</v>
      </c>
      <c r="B36" s="6">
        <f>IFERROR(__xludf.DUMMYFUNCTION("""COMPUTED_VALUE"""),642.25)</f>
        <v>642.25</v>
      </c>
      <c r="C36" s="6">
        <f>IFERROR(__xludf.DUMMYFUNCTION("""COMPUTED_VALUE"""),642.65)</f>
        <v>642.65</v>
      </c>
      <c r="D36" s="6">
        <f>IFERROR(__xludf.DUMMYFUNCTION("""COMPUTED_VALUE"""),520.2)</f>
        <v>520.2</v>
      </c>
      <c r="E36" s="6">
        <f>IFERROR(__xludf.DUMMYFUNCTION("""COMPUTED_VALUE"""),570.25)</f>
        <v>570.25</v>
      </c>
      <c r="F36" s="6">
        <f>IFERROR(__xludf.DUMMYFUNCTION("""COMPUTED_VALUE"""),3.9155141E7)</f>
        <v>39155141</v>
      </c>
    </row>
    <row r="37">
      <c r="A37" s="7">
        <f>IFERROR(__xludf.DUMMYFUNCTION("""COMPUTED_VALUE"""),45436.64583333333)</f>
        <v>45436.64583</v>
      </c>
      <c r="B37" s="6">
        <f>IFERROR(__xludf.DUMMYFUNCTION("""COMPUTED_VALUE"""),599.9)</f>
        <v>599.9</v>
      </c>
      <c r="C37" s="6">
        <f>IFERROR(__xludf.DUMMYFUNCTION("""COMPUTED_VALUE"""),627.45)</f>
        <v>627.45</v>
      </c>
      <c r="D37" s="6">
        <f>IFERROR(__xludf.DUMMYFUNCTION("""COMPUTED_VALUE"""),591.75)</f>
        <v>591.75</v>
      </c>
      <c r="E37" s="6">
        <f>IFERROR(__xludf.DUMMYFUNCTION("""COMPUTED_VALUE"""),600.65)</f>
        <v>600.65</v>
      </c>
      <c r="F37" s="6">
        <f>IFERROR(__xludf.DUMMYFUNCTION("""COMPUTED_VALUE"""),1.9409805E7)</f>
        <v>19409805</v>
      </c>
    </row>
    <row r="38">
      <c r="A38" s="7">
        <f>IFERROR(__xludf.DUMMYFUNCTION("""COMPUTED_VALUE"""),45443.64583333333)</f>
        <v>45443.64583</v>
      </c>
      <c r="B38" s="6">
        <f>IFERROR(__xludf.DUMMYFUNCTION("""COMPUTED_VALUE"""),603.8)</f>
        <v>603.8</v>
      </c>
      <c r="C38" s="6">
        <f>IFERROR(__xludf.DUMMYFUNCTION("""COMPUTED_VALUE"""),631.0)</f>
        <v>631</v>
      </c>
      <c r="D38" s="6">
        <f>IFERROR(__xludf.DUMMYFUNCTION("""COMPUTED_VALUE"""),596.05)</f>
        <v>596.05</v>
      </c>
      <c r="E38" s="6">
        <f>IFERROR(__xludf.DUMMYFUNCTION("""COMPUTED_VALUE"""),613.0)</f>
        <v>613</v>
      </c>
      <c r="F38" s="6">
        <f>IFERROR(__xludf.DUMMYFUNCTION("""COMPUTED_VALUE"""),6.566011E7)</f>
        <v>65660110</v>
      </c>
    </row>
    <row r="39">
      <c r="A39" s="7">
        <f>IFERROR(__xludf.DUMMYFUNCTION("""COMPUTED_VALUE"""),45450.64583333333)</f>
        <v>45450.64583</v>
      </c>
      <c r="B39" s="6">
        <f>IFERROR(__xludf.DUMMYFUNCTION("""COMPUTED_VALUE"""),644.0)</f>
        <v>644</v>
      </c>
      <c r="C39" s="6">
        <f>IFERROR(__xludf.DUMMYFUNCTION("""COMPUTED_VALUE"""),663.8)</f>
        <v>663.8</v>
      </c>
      <c r="D39" s="6">
        <f>IFERROR(__xludf.DUMMYFUNCTION("""COMPUTED_VALUE"""),528.0)</f>
        <v>528</v>
      </c>
      <c r="E39" s="6">
        <f>IFERROR(__xludf.DUMMYFUNCTION("""COMPUTED_VALUE"""),625.95)</f>
        <v>625.95</v>
      </c>
      <c r="F39" s="6">
        <f>IFERROR(__xludf.DUMMYFUNCTION("""COMPUTED_VALUE"""),2.9796322E7)</f>
        <v>29796322</v>
      </c>
    </row>
    <row r="40">
      <c r="A40" s="7">
        <f>IFERROR(__xludf.DUMMYFUNCTION("""COMPUTED_VALUE"""),45457.64583333333)</f>
        <v>45457.64583</v>
      </c>
      <c r="B40" s="6">
        <f>IFERROR(__xludf.DUMMYFUNCTION("""COMPUTED_VALUE"""),629.4)</f>
        <v>629.4</v>
      </c>
      <c r="C40" s="6">
        <f>IFERROR(__xludf.DUMMYFUNCTION("""COMPUTED_VALUE"""),687.35)</f>
        <v>687.35</v>
      </c>
      <c r="D40" s="6">
        <f>IFERROR(__xludf.DUMMYFUNCTION("""COMPUTED_VALUE"""),622.15)</f>
        <v>622.15</v>
      </c>
      <c r="E40" s="6">
        <f>IFERROR(__xludf.DUMMYFUNCTION("""COMPUTED_VALUE"""),683.6)</f>
        <v>683.6</v>
      </c>
      <c r="F40" s="6">
        <f>IFERROR(__xludf.DUMMYFUNCTION("""COMPUTED_VALUE"""),1.2511664E7)</f>
        <v>12511664</v>
      </c>
    </row>
    <row r="41">
      <c r="A41" s="7">
        <f>IFERROR(__xludf.DUMMYFUNCTION("""COMPUTED_VALUE"""),45464.64583333333)</f>
        <v>45464.64583</v>
      </c>
      <c r="B41" s="6">
        <f>IFERROR(__xludf.DUMMYFUNCTION("""COMPUTED_VALUE"""),694.0)</f>
        <v>694</v>
      </c>
      <c r="C41" s="6">
        <f>IFERROR(__xludf.DUMMYFUNCTION("""COMPUTED_VALUE"""),728.0)</f>
        <v>728</v>
      </c>
      <c r="D41" s="6">
        <f>IFERROR(__xludf.DUMMYFUNCTION("""COMPUTED_VALUE"""),683.9)</f>
        <v>683.9</v>
      </c>
      <c r="E41" s="6">
        <f>IFERROR(__xludf.DUMMYFUNCTION("""COMPUTED_VALUE"""),723.65)</f>
        <v>723.65</v>
      </c>
      <c r="F41" s="6">
        <f>IFERROR(__xludf.DUMMYFUNCTION("""COMPUTED_VALUE"""),2.1060642E7)</f>
        <v>21060642</v>
      </c>
    </row>
    <row r="42">
      <c r="A42" s="7">
        <f>IFERROR(__xludf.DUMMYFUNCTION("""COMPUTED_VALUE"""),45471.64583333333)</f>
        <v>45471.64583</v>
      </c>
      <c r="B42" s="6">
        <f>IFERROR(__xludf.DUMMYFUNCTION("""COMPUTED_VALUE"""),730.0)</f>
        <v>730</v>
      </c>
      <c r="C42" s="6">
        <f>IFERROR(__xludf.DUMMYFUNCTION("""COMPUTED_VALUE"""),750.0)</f>
        <v>750</v>
      </c>
      <c r="D42" s="6">
        <f>IFERROR(__xludf.DUMMYFUNCTION("""COMPUTED_VALUE"""),709.05)</f>
        <v>709.05</v>
      </c>
      <c r="E42" s="6">
        <f>IFERROR(__xludf.DUMMYFUNCTION("""COMPUTED_VALUE"""),734.5)</f>
        <v>734.5</v>
      </c>
      <c r="F42" s="6">
        <f>IFERROR(__xludf.DUMMYFUNCTION("""COMPUTED_VALUE"""),1.7743653E7)</f>
        <v>17743653</v>
      </c>
    </row>
    <row r="43">
      <c r="A43" s="7">
        <f>IFERROR(__xludf.DUMMYFUNCTION("""COMPUTED_VALUE"""),45478.64583333333)</f>
        <v>45478.64583</v>
      </c>
      <c r="B43" s="6">
        <f>IFERROR(__xludf.DUMMYFUNCTION("""COMPUTED_VALUE"""),739.85)</f>
        <v>739.85</v>
      </c>
      <c r="C43" s="6">
        <f>IFERROR(__xludf.DUMMYFUNCTION("""COMPUTED_VALUE"""),752.0)</f>
        <v>752</v>
      </c>
      <c r="D43" s="6">
        <f>IFERROR(__xludf.DUMMYFUNCTION("""COMPUTED_VALUE"""),716.4)</f>
        <v>716.4</v>
      </c>
      <c r="E43" s="6">
        <f>IFERROR(__xludf.DUMMYFUNCTION("""COMPUTED_VALUE"""),736.6)</f>
        <v>736.6</v>
      </c>
      <c r="F43" s="6">
        <f>IFERROR(__xludf.DUMMYFUNCTION("""COMPUTED_VALUE"""),1.094765E7)</f>
        <v>10947650</v>
      </c>
    </row>
    <row r="44">
      <c r="A44" s="7">
        <f>IFERROR(__xludf.DUMMYFUNCTION("""COMPUTED_VALUE"""),45485.64583333333)</f>
        <v>45485.64583</v>
      </c>
      <c r="B44" s="6">
        <f>IFERROR(__xludf.DUMMYFUNCTION("""COMPUTED_VALUE"""),742.8)</f>
        <v>742.8</v>
      </c>
      <c r="C44" s="6">
        <f>IFERROR(__xludf.DUMMYFUNCTION("""COMPUTED_VALUE"""),746.85)</f>
        <v>746.85</v>
      </c>
      <c r="D44" s="6">
        <f>IFERROR(__xludf.DUMMYFUNCTION("""COMPUTED_VALUE"""),695.85)</f>
        <v>695.85</v>
      </c>
      <c r="E44" s="6">
        <f>IFERROR(__xludf.DUMMYFUNCTION("""COMPUTED_VALUE"""),713.15)</f>
        <v>713.15</v>
      </c>
      <c r="F44" s="6">
        <f>IFERROR(__xludf.DUMMYFUNCTION("""COMPUTED_VALUE"""),8184091.0)</f>
        <v>8184091</v>
      </c>
    </row>
    <row r="45">
      <c r="A45" s="7">
        <f>IFERROR(__xludf.DUMMYFUNCTION("""COMPUTED_VALUE"""),45492.64583333333)</f>
        <v>45492.64583</v>
      </c>
      <c r="B45" s="6">
        <f>IFERROR(__xludf.DUMMYFUNCTION("""COMPUTED_VALUE"""),721.35)</f>
        <v>721.35</v>
      </c>
      <c r="C45" s="6">
        <f>IFERROR(__xludf.DUMMYFUNCTION("""COMPUTED_VALUE"""),724.0)</f>
        <v>724</v>
      </c>
      <c r="D45" s="6">
        <f>IFERROR(__xludf.DUMMYFUNCTION("""COMPUTED_VALUE"""),685.55)</f>
        <v>685.55</v>
      </c>
      <c r="E45" s="6">
        <f>IFERROR(__xludf.DUMMYFUNCTION("""COMPUTED_VALUE"""),705.0)</f>
        <v>705</v>
      </c>
      <c r="F45" s="6">
        <f>IFERROR(__xludf.DUMMYFUNCTION("""COMPUTED_VALUE"""),9377360.0)</f>
        <v>9377360</v>
      </c>
    </row>
    <row r="46">
      <c r="A46" s="7">
        <f>IFERROR(__xludf.DUMMYFUNCTION("""COMPUTED_VALUE"""),45499.64583333333)</f>
        <v>45499.64583</v>
      </c>
      <c r="B46" s="6">
        <f>IFERROR(__xludf.DUMMYFUNCTION("""COMPUTED_VALUE"""),717.0)</f>
        <v>717</v>
      </c>
      <c r="C46" s="6">
        <f>IFERROR(__xludf.DUMMYFUNCTION("""COMPUTED_VALUE"""),731.95)</f>
        <v>731.95</v>
      </c>
      <c r="D46" s="6">
        <f>IFERROR(__xludf.DUMMYFUNCTION("""COMPUTED_VALUE"""),666.0)</f>
        <v>666</v>
      </c>
      <c r="E46" s="6">
        <f>IFERROR(__xludf.DUMMYFUNCTION("""COMPUTED_VALUE"""),693.55)</f>
        <v>693.55</v>
      </c>
      <c r="F46" s="6">
        <f>IFERROR(__xludf.DUMMYFUNCTION("""COMPUTED_VALUE"""),1.7709034E7)</f>
        <v>17709034</v>
      </c>
    </row>
    <row r="47">
      <c r="A47" s="7">
        <f>IFERROR(__xludf.DUMMYFUNCTION("""COMPUTED_VALUE"""),45506.64583333333)</f>
        <v>45506.64583</v>
      </c>
      <c r="B47" s="6">
        <f>IFERROR(__xludf.DUMMYFUNCTION("""COMPUTED_VALUE"""),698.05)</f>
        <v>698.05</v>
      </c>
      <c r="C47" s="6">
        <f>IFERROR(__xludf.DUMMYFUNCTION("""COMPUTED_VALUE"""),748.0)</f>
        <v>748</v>
      </c>
      <c r="D47" s="6">
        <f>IFERROR(__xludf.DUMMYFUNCTION("""COMPUTED_VALUE"""),680.7)</f>
        <v>680.7</v>
      </c>
      <c r="E47" s="6">
        <f>IFERROR(__xludf.DUMMYFUNCTION("""COMPUTED_VALUE"""),722.05)</f>
        <v>722.05</v>
      </c>
      <c r="F47" s="6">
        <f>IFERROR(__xludf.DUMMYFUNCTION("""COMPUTED_VALUE"""),1.7567047E7)</f>
        <v>17567047</v>
      </c>
    </row>
    <row r="48">
      <c r="A48" s="7">
        <f>IFERROR(__xludf.DUMMYFUNCTION("""COMPUTED_VALUE"""),45513.64583333333)</f>
        <v>45513.64583</v>
      </c>
      <c r="B48" s="6">
        <f>IFERROR(__xludf.DUMMYFUNCTION("""COMPUTED_VALUE"""),691.0)</f>
        <v>691</v>
      </c>
      <c r="C48" s="6">
        <f>IFERROR(__xludf.DUMMYFUNCTION("""COMPUTED_VALUE"""),718.0)</f>
        <v>718</v>
      </c>
      <c r="D48" s="6">
        <f>IFERROR(__xludf.DUMMYFUNCTION("""COMPUTED_VALUE"""),676.0)</f>
        <v>676</v>
      </c>
      <c r="E48" s="6">
        <f>IFERROR(__xludf.DUMMYFUNCTION("""COMPUTED_VALUE"""),703.0)</f>
        <v>703</v>
      </c>
      <c r="F48" s="6">
        <f>IFERROR(__xludf.DUMMYFUNCTION("""COMPUTED_VALUE"""),1.2247517E7)</f>
        <v>12247517</v>
      </c>
    </row>
    <row r="49">
      <c r="A49" s="7">
        <f>IFERROR(__xludf.DUMMYFUNCTION("""COMPUTED_VALUE"""),45520.64583333333)</f>
        <v>45520.64583</v>
      </c>
      <c r="B49" s="6">
        <f>IFERROR(__xludf.DUMMYFUNCTION("""COMPUTED_VALUE"""),702.0)</f>
        <v>702</v>
      </c>
      <c r="C49" s="6">
        <f>IFERROR(__xludf.DUMMYFUNCTION("""COMPUTED_VALUE"""),702.0)</f>
        <v>702</v>
      </c>
      <c r="D49" s="6">
        <f>IFERROR(__xludf.DUMMYFUNCTION("""COMPUTED_VALUE"""),642.05)</f>
        <v>642.05</v>
      </c>
      <c r="E49" s="6">
        <f>IFERROR(__xludf.DUMMYFUNCTION("""COMPUTED_VALUE"""),665.05)</f>
        <v>665.05</v>
      </c>
      <c r="F49" s="6">
        <f>IFERROR(__xludf.DUMMYFUNCTION("""COMPUTED_VALUE"""),7596856.0)</f>
        <v>7596856</v>
      </c>
    </row>
    <row r="50">
      <c r="A50" s="7">
        <f>IFERROR(__xludf.DUMMYFUNCTION("""COMPUTED_VALUE"""),45527.64583333333)</f>
        <v>45527.64583</v>
      </c>
      <c r="B50" s="6">
        <f>IFERROR(__xludf.DUMMYFUNCTION("""COMPUTED_VALUE"""),665.1)</f>
        <v>665.1</v>
      </c>
      <c r="C50" s="6">
        <f>IFERROR(__xludf.DUMMYFUNCTION("""COMPUTED_VALUE"""),725.0)</f>
        <v>725</v>
      </c>
      <c r="D50" s="6">
        <f>IFERROR(__xludf.DUMMYFUNCTION("""COMPUTED_VALUE"""),664.0)</f>
        <v>664</v>
      </c>
      <c r="E50" s="6">
        <f>IFERROR(__xludf.DUMMYFUNCTION("""COMPUTED_VALUE"""),703.85)</f>
        <v>703.85</v>
      </c>
      <c r="F50" s="6">
        <f>IFERROR(__xludf.DUMMYFUNCTION("""COMPUTED_VALUE"""),9544321.0)</f>
        <v>9544321</v>
      </c>
    </row>
    <row r="51">
      <c r="A51" s="7">
        <f>IFERROR(__xludf.DUMMYFUNCTION("""COMPUTED_VALUE"""),45534.64583333333)</f>
        <v>45534.64583</v>
      </c>
      <c r="B51" s="6">
        <f>IFERROR(__xludf.DUMMYFUNCTION("""COMPUTED_VALUE"""),712.6)</f>
        <v>712.6</v>
      </c>
      <c r="C51" s="6">
        <f>IFERROR(__xludf.DUMMYFUNCTION("""COMPUTED_VALUE"""),751.35)</f>
        <v>751.35</v>
      </c>
      <c r="D51" s="6">
        <f>IFERROR(__xludf.DUMMYFUNCTION("""COMPUTED_VALUE"""),701.95)</f>
        <v>701.95</v>
      </c>
      <c r="E51" s="6">
        <f>IFERROR(__xludf.DUMMYFUNCTION("""COMPUTED_VALUE"""),711.15)</f>
        <v>711.15</v>
      </c>
      <c r="F51" s="6">
        <f>IFERROR(__xludf.DUMMYFUNCTION("""COMPUTED_VALUE"""),1.1499939E7)</f>
        <v>11499939</v>
      </c>
    </row>
    <row r="52">
      <c r="A52" s="7">
        <f>IFERROR(__xludf.DUMMYFUNCTION("""COMPUTED_VALUE"""),45541.64583333333)</f>
        <v>45541.64583</v>
      </c>
      <c r="B52" s="6">
        <f>IFERROR(__xludf.DUMMYFUNCTION("""COMPUTED_VALUE"""),715.5)</f>
        <v>715.5</v>
      </c>
      <c r="C52" s="6">
        <f>IFERROR(__xludf.DUMMYFUNCTION("""COMPUTED_VALUE"""),727.0)</f>
        <v>727</v>
      </c>
      <c r="D52" s="6">
        <f>IFERROR(__xludf.DUMMYFUNCTION("""COMPUTED_VALUE"""),676.25)</f>
        <v>676.25</v>
      </c>
      <c r="E52" s="6">
        <f>IFERROR(__xludf.DUMMYFUNCTION("""COMPUTED_VALUE"""),709.55)</f>
        <v>709.55</v>
      </c>
      <c r="F52" s="6">
        <f>IFERROR(__xludf.DUMMYFUNCTION("""COMPUTED_VALUE"""),1.2084517E7)</f>
        <v>12084517</v>
      </c>
    </row>
    <row r="53">
      <c r="A53" s="7">
        <f>IFERROR(__xludf.DUMMYFUNCTION("""COMPUTED_VALUE"""),45548.64583333333)</f>
        <v>45548.64583</v>
      </c>
      <c r="B53" s="6">
        <f>IFERROR(__xludf.DUMMYFUNCTION("""COMPUTED_VALUE"""),708.25)</f>
        <v>708.25</v>
      </c>
      <c r="C53" s="6">
        <f>IFERROR(__xludf.DUMMYFUNCTION("""COMPUTED_VALUE"""),775.6)</f>
        <v>775.6</v>
      </c>
      <c r="D53" s="6">
        <f>IFERROR(__xludf.DUMMYFUNCTION("""COMPUTED_VALUE"""),705.1)</f>
        <v>705.1</v>
      </c>
      <c r="E53" s="6">
        <f>IFERROR(__xludf.DUMMYFUNCTION("""COMPUTED_VALUE"""),768.25)</f>
        <v>768.25</v>
      </c>
      <c r="F53" s="6">
        <f>IFERROR(__xludf.DUMMYFUNCTION("""COMPUTED_VALUE"""),1.9191156E7)</f>
        <v>19191156</v>
      </c>
    </row>
    <row r="54">
      <c r="A54" s="7">
        <f>IFERROR(__xludf.DUMMYFUNCTION("""COMPUTED_VALUE"""),45555.64583333333)</f>
        <v>45555.64583</v>
      </c>
      <c r="B54" s="6">
        <f>IFERROR(__xludf.DUMMYFUNCTION("""COMPUTED_VALUE"""),776.0)</f>
        <v>776</v>
      </c>
      <c r="C54" s="6">
        <f>IFERROR(__xludf.DUMMYFUNCTION("""COMPUTED_VALUE"""),789.5)</f>
        <v>789.5</v>
      </c>
      <c r="D54" s="6">
        <f>IFERROR(__xludf.DUMMYFUNCTION("""COMPUTED_VALUE"""),731.0)</f>
        <v>731</v>
      </c>
      <c r="E54" s="6">
        <f>IFERROR(__xludf.DUMMYFUNCTION("""COMPUTED_VALUE"""),782.35)</f>
        <v>782.35</v>
      </c>
      <c r="F54" s="6">
        <f>IFERROR(__xludf.DUMMYFUNCTION("""COMPUTED_VALUE"""),1.6726832E7)</f>
        <v>16726832</v>
      </c>
    </row>
    <row r="55">
      <c r="A55" s="7">
        <f>IFERROR(__xludf.DUMMYFUNCTION("""COMPUTED_VALUE"""),45562.64583333333)</f>
        <v>45562.64583</v>
      </c>
      <c r="B55" s="6">
        <f>IFERROR(__xludf.DUMMYFUNCTION("""COMPUTED_VALUE"""),785.35)</f>
        <v>785.35</v>
      </c>
      <c r="C55" s="6">
        <f>IFERROR(__xludf.DUMMYFUNCTION("""COMPUTED_VALUE"""),804.9)</f>
        <v>804.9</v>
      </c>
      <c r="D55" s="6">
        <f>IFERROR(__xludf.DUMMYFUNCTION("""COMPUTED_VALUE"""),730.0)</f>
        <v>730</v>
      </c>
      <c r="E55" s="6">
        <f>IFERROR(__xludf.DUMMYFUNCTION("""COMPUTED_VALUE"""),740.3)</f>
        <v>740.3</v>
      </c>
      <c r="F55" s="6">
        <f>IFERROR(__xludf.DUMMYFUNCTION("""COMPUTED_VALUE"""),1.7687003E7)</f>
        <v>17687003</v>
      </c>
    </row>
    <row r="56">
      <c r="A56" s="7">
        <f>IFERROR(__xludf.DUMMYFUNCTION("""COMPUTED_VALUE"""),45569.64583333333)</f>
        <v>45569.64583</v>
      </c>
      <c r="B56" s="6">
        <f>IFERROR(__xludf.DUMMYFUNCTION("""COMPUTED_VALUE"""),735.0)</f>
        <v>735</v>
      </c>
      <c r="C56" s="6">
        <f>IFERROR(__xludf.DUMMYFUNCTION("""COMPUTED_VALUE"""),736.6)</f>
        <v>736.6</v>
      </c>
      <c r="D56" s="6">
        <f>IFERROR(__xludf.DUMMYFUNCTION("""COMPUTED_VALUE"""),691.25)</f>
        <v>691.25</v>
      </c>
      <c r="E56" s="6">
        <f>IFERROR(__xludf.DUMMYFUNCTION("""COMPUTED_VALUE"""),699.5)</f>
        <v>699.5</v>
      </c>
      <c r="F56" s="6">
        <f>IFERROR(__xludf.DUMMYFUNCTION("""COMPUTED_VALUE"""),9203056.0)</f>
        <v>9203056</v>
      </c>
    </row>
    <row r="57">
      <c r="A57" s="7">
        <f>IFERROR(__xludf.DUMMYFUNCTION("""COMPUTED_VALUE"""),45576.64583333333)</f>
        <v>45576.64583</v>
      </c>
      <c r="B57" s="6">
        <f>IFERROR(__xludf.DUMMYFUNCTION("""COMPUTED_VALUE"""),700.0)</f>
        <v>700</v>
      </c>
      <c r="C57" s="6">
        <f>IFERROR(__xludf.DUMMYFUNCTION("""COMPUTED_VALUE"""),741.45)</f>
        <v>741.45</v>
      </c>
      <c r="D57" s="6">
        <f>IFERROR(__xludf.DUMMYFUNCTION("""COMPUTED_VALUE"""),662.2)</f>
        <v>662.2</v>
      </c>
      <c r="E57" s="6">
        <f>IFERROR(__xludf.DUMMYFUNCTION("""COMPUTED_VALUE"""),706.7)</f>
        <v>706.7</v>
      </c>
      <c r="F57" s="6">
        <f>IFERROR(__xludf.DUMMYFUNCTION("""COMPUTED_VALUE"""),1.1889887E7)</f>
        <v>11889887</v>
      </c>
    </row>
    <row r="58">
      <c r="A58" s="7">
        <f>IFERROR(__xludf.DUMMYFUNCTION("""COMPUTED_VALUE"""),45583.64583333333)</f>
        <v>45583.64583</v>
      </c>
      <c r="B58" s="6">
        <f>IFERROR(__xludf.DUMMYFUNCTION("""COMPUTED_VALUE"""),715.5)</f>
        <v>715.5</v>
      </c>
      <c r="C58" s="6">
        <f>IFERROR(__xludf.DUMMYFUNCTION("""COMPUTED_VALUE"""),718.4)</f>
        <v>718.4</v>
      </c>
      <c r="D58" s="6">
        <f>IFERROR(__xludf.DUMMYFUNCTION("""COMPUTED_VALUE"""),666.1)</f>
        <v>666.1</v>
      </c>
      <c r="E58" s="6">
        <f>IFERROR(__xludf.DUMMYFUNCTION("""COMPUTED_VALUE"""),676.85)</f>
        <v>676.85</v>
      </c>
      <c r="F58" s="6">
        <f>IFERROR(__xludf.DUMMYFUNCTION("""COMPUTED_VALUE"""),7843730.0)</f>
        <v>7843730</v>
      </c>
    </row>
    <row r="59">
      <c r="A59" s="7">
        <f>IFERROR(__xludf.DUMMYFUNCTION("""COMPUTED_VALUE"""),45590.64583333333)</f>
        <v>45590.64583</v>
      </c>
      <c r="B59" s="6">
        <f>IFERROR(__xludf.DUMMYFUNCTION("""COMPUTED_VALUE"""),684.0)</f>
        <v>684</v>
      </c>
      <c r="C59" s="6">
        <f>IFERROR(__xludf.DUMMYFUNCTION("""COMPUTED_VALUE"""),697.2)</f>
        <v>697.2</v>
      </c>
      <c r="D59" s="6">
        <f>IFERROR(__xludf.DUMMYFUNCTION("""COMPUTED_VALUE"""),641.65)</f>
        <v>641.65</v>
      </c>
      <c r="E59" s="6">
        <f>IFERROR(__xludf.DUMMYFUNCTION("""COMPUTED_VALUE"""),668.9)</f>
        <v>668.9</v>
      </c>
      <c r="F59" s="6">
        <f>IFERROR(__xludf.DUMMYFUNCTION("""COMPUTED_VALUE"""),1.144291E7)</f>
        <v>11442910</v>
      </c>
    </row>
    <row r="60">
      <c r="A60" s="7">
        <f>IFERROR(__xludf.DUMMYFUNCTION("""COMPUTED_VALUE"""),45604.64583333333)</f>
        <v>45604.64583</v>
      </c>
      <c r="B60" s="6">
        <f>IFERROR(__xludf.DUMMYFUNCTION("""COMPUTED_VALUE"""),683.0)</f>
        <v>683</v>
      </c>
      <c r="C60" s="6">
        <f>IFERROR(__xludf.DUMMYFUNCTION("""COMPUTED_VALUE"""),721.85)</f>
        <v>721.85</v>
      </c>
      <c r="D60" s="6">
        <f>IFERROR(__xludf.DUMMYFUNCTION("""COMPUTED_VALUE"""),652.1)</f>
        <v>652.1</v>
      </c>
      <c r="E60" s="6">
        <f>IFERROR(__xludf.DUMMYFUNCTION("""COMPUTED_VALUE"""),712.05)</f>
        <v>712.05</v>
      </c>
      <c r="F60" s="6">
        <f>IFERROR(__xludf.DUMMYFUNCTION("""COMPUTED_VALUE"""),1.2620526E7)</f>
        <v>12620526</v>
      </c>
    </row>
    <row r="61">
      <c r="A61" s="7">
        <f>IFERROR(__xludf.DUMMYFUNCTION("""COMPUTED_VALUE"""),45610.64583333333)</f>
        <v>45610.64583</v>
      </c>
      <c r="B61" s="6">
        <f>IFERROR(__xludf.DUMMYFUNCTION("""COMPUTED_VALUE"""),709.85)</f>
        <v>709.85</v>
      </c>
      <c r="C61" s="6">
        <f>IFERROR(__xludf.DUMMYFUNCTION("""COMPUTED_VALUE"""),776.9)</f>
        <v>776.9</v>
      </c>
      <c r="D61" s="6">
        <f>IFERROR(__xludf.DUMMYFUNCTION("""COMPUTED_VALUE"""),706.15)</f>
        <v>706.15</v>
      </c>
      <c r="E61" s="6">
        <f>IFERROR(__xludf.DUMMYFUNCTION("""COMPUTED_VALUE"""),732.0)</f>
        <v>732</v>
      </c>
      <c r="F61" s="6">
        <f>IFERROR(__xludf.DUMMYFUNCTION("""COMPUTED_VALUE"""),1.855177E7)</f>
        <v>18551770</v>
      </c>
    </row>
    <row r="62">
      <c r="A62" s="7">
        <f>IFERROR(__xludf.DUMMYFUNCTION("""COMPUTED_VALUE"""),45618.64583333333)</f>
        <v>45618.64583</v>
      </c>
      <c r="B62" s="6">
        <f>IFERROR(__xludf.DUMMYFUNCTION("""COMPUTED_VALUE"""),736.0)</f>
        <v>736</v>
      </c>
      <c r="C62" s="6">
        <f>IFERROR(__xludf.DUMMYFUNCTION("""COMPUTED_VALUE"""),746.25)</f>
        <v>746.25</v>
      </c>
      <c r="D62" s="6">
        <f>IFERROR(__xludf.DUMMYFUNCTION("""COMPUTED_VALUE"""),682.1)</f>
        <v>682.1</v>
      </c>
      <c r="E62" s="6">
        <f>IFERROR(__xludf.DUMMYFUNCTION("""COMPUTED_VALUE"""),688.9)</f>
        <v>688.9</v>
      </c>
      <c r="F62" s="6">
        <f>IFERROR(__xludf.DUMMYFUNCTION("""COMPUTED_VALUE"""),6865445.0)</f>
        <v>6865445</v>
      </c>
    </row>
    <row r="63">
      <c r="A63" s="7">
        <f>IFERROR(__xludf.DUMMYFUNCTION("""COMPUTED_VALUE"""),45625.64583333333)</f>
        <v>45625.64583</v>
      </c>
      <c r="B63" s="6">
        <f>IFERROR(__xludf.DUMMYFUNCTION("""COMPUTED_VALUE"""),705.0)</f>
        <v>705</v>
      </c>
      <c r="C63" s="6">
        <f>IFERROR(__xludf.DUMMYFUNCTION("""COMPUTED_VALUE"""),711.5)</f>
        <v>711.5</v>
      </c>
      <c r="D63" s="6">
        <f>IFERROR(__xludf.DUMMYFUNCTION("""COMPUTED_VALUE"""),648.05)</f>
        <v>648.05</v>
      </c>
      <c r="E63" s="6">
        <f>IFERROR(__xludf.DUMMYFUNCTION("""COMPUTED_VALUE"""),654.65)</f>
        <v>654.65</v>
      </c>
      <c r="F63" s="6">
        <f>IFERROR(__xludf.DUMMYFUNCTION("""COMPUTED_VALUE"""),2.1040836E7)</f>
        <v>21040836</v>
      </c>
    </row>
    <row r="64">
      <c r="A64" s="7">
        <f>IFERROR(__xludf.DUMMYFUNCTION("""COMPUTED_VALUE"""),45632.64583333333)</f>
        <v>45632.64583</v>
      </c>
      <c r="B64" s="6">
        <f>IFERROR(__xludf.DUMMYFUNCTION("""COMPUTED_VALUE"""),655.0)</f>
        <v>655</v>
      </c>
      <c r="C64" s="6">
        <f>IFERROR(__xludf.DUMMYFUNCTION("""COMPUTED_VALUE"""),680.0)</f>
        <v>680</v>
      </c>
      <c r="D64" s="6">
        <f>IFERROR(__xludf.DUMMYFUNCTION("""COMPUTED_VALUE"""),640.25)</f>
        <v>640.25</v>
      </c>
      <c r="E64" s="6">
        <f>IFERROR(__xludf.DUMMYFUNCTION("""COMPUTED_VALUE"""),674.35)</f>
        <v>674.35</v>
      </c>
      <c r="F64" s="6">
        <f>IFERROR(__xludf.DUMMYFUNCTION("""COMPUTED_VALUE"""),1.4334962E7)</f>
        <v>14334962</v>
      </c>
    </row>
    <row r="65">
      <c r="A65" s="7">
        <f>IFERROR(__xludf.DUMMYFUNCTION("""COMPUTED_VALUE"""),45639.64583333333)</f>
        <v>45639.64583</v>
      </c>
      <c r="B65" s="6">
        <f>IFERROR(__xludf.DUMMYFUNCTION("""COMPUTED_VALUE"""),684.9)</f>
        <v>684.9</v>
      </c>
      <c r="C65" s="6">
        <f>IFERROR(__xludf.DUMMYFUNCTION("""COMPUTED_VALUE"""),688.0)</f>
        <v>688</v>
      </c>
      <c r="D65" s="6">
        <f>IFERROR(__xludf.DUMMYFUNCTION("""COMPUTED_VALUE"""),659.9)</f>
        <v>659.9</v>
      </c>
      <c r="E65" s="6">
        <f>IFERROR(__xludf.DUMMYFUNCTION("""COMPUTED_VALUE"""),678.6)</f>
        <v>678.6</v>
      </c>
      <c r="F65" s="6">
        <f>IFERROR(__xludf.DUMMYFUNCTION("""COMPUTED_VALUE"""),1.1379663E7)</f>
        <v>11379663</v>
      </c>
    </row>
    <row r="66">
      <c r="A66" s="7">
        <f>IFERROR(__xludf.DUMMYFUNCTION("""COMPUTED_VALUE"""),45646.64583333333)</f>
        <v>45646.64583</v>
      </c>
      <c r="B66" s="6">
        <f>IFERROR(__xludf.DUMMYFUNCTION("""COMPUTED_VALUE"""),685.0)</f>
        <v>685</v>
      </c>
      <c r="C66" s="6">
        <f>IFERROR(__xludf.DUMMYFUNCTION("""COMPUTED_VALUE"""),700.9)</f>
        <v>700.9</v>
      </c>
      <c r="D66" s="6">
        <f>IFERROR(__xludf.DUMMYFUNCTION("""COMPUTED_VALUE"""),665.0)</f>
        <v>665</v>
      </c>
      <c r="E66" s="6">
        <f>IFERROR(__xludf.DUMMYFUNCTION("""COMPUTED_VALUE"""),669.8)</f>
        <v>669.8</v>
      </c>
      <c r="F66" s="6">
        <f>IFERROR(__xludf.DUMMYFUNCTION("""COMPUTED_VALUE"""),1.070778E7)</f>
        <v>10707780</v>
      </c>
    </row>
    <row r="67">
      <c r="A67" s="7">
        <f>IFERROR(__xludf.DUMMYFUNCTION("""COMPUTED_VALUE"""),45653.64583333333)</f>
        <v>45653.64583</v>
      </c>
      <c r="B67" s="6">
        <f>IFERROR(__xludf.DUMMYFUNCTION("""COMPUTED_VALUE"""),677.85)</f>
        <v>677.85</v>
      </c>
      <c r="C67" s="6">
        <f>IFERROR(__xludf.DUMMYFUNCTION("""COMPUTED_VALUE"""),679.25)</f>
        <v>679.25</v>
      </c>
      <c r="D67" s="6">
        <f>IFERROR(__xludf.DUMMYFUNCTION("""COMPUTED_VALUE"""),623.15)</f>
        <v>623.15</v>
      </c>
      <c r="E67" s="6">
        <f>IFERROR(__xludf.DUMMYFUNCTION("""COMPUTED_VALUE"""),625.8)</f>
        <v>625.8</v>
      </c>
      <c r="F67" s="6">
        <f>IFERROR(__xludf.DUMMYFUNCTION("""COMPUTED_VALUE"""),7690172.0)</f>
        <v>7690172</v>
      </c>
    </row>
    <row r="68">
      <c r="A68" s="7">
        <f>IFERROR(__xludf.DUMMYFUNCTION("""COMPUTED_VALUE"""),45660.64583333333)</f>
        <v>45660.64583</v>
      </c>
      <c r="B68" s="6">
        <f>IFERROR(__xludf.DUMMYFUNCTION("""COMPUTED_VALUE"""),651.95)</f>
        <v>651.95</v>
      </c>
      <c r="C68" s="6">
        <f>IFERROR(__xludf.DUMMYFUNCTION("""COMPUTED_VALUE"""),674.0)</f>
        <v>674</v>
      </c>
      <c r="D68" s="6">
        <f>IFERROR(__xludf.DUMMYFUNCTION("""COMPUTED_VALUE"""),628.0)</f>
        <v>628</v>
      </c>
      <c r="E68" s="6">
        <f>IFERROR(__xludf.DUMMYFUNCTION("""COMPUTED_VALUE"""),634.4)</f>
        <v>634.4</v>
      </c>
      <c r="F68" s="6">
        <f>IFERROR(__xludf.DUMMYFUNCTION("""COMPUTED_VALUE"""),3.5041865E7)</f>
        <v>35041865</v>
      </c>
    </row>
    <row r="69">
      <c r="A69" s="7">
        <f>IFERROR(__xludf.DUMMYFUNCTION("""COMPUTED_VALUE"""),45667.64583333333)</f>
        <v>45667.64583</v>
      </c>
      <c r="B69" s="6">
        <f>IFERROR(__xludf.DUMMYFUNCTION("""COMPUTED_VALUE"""),615.0)</f>
        <v>615</v>
      </c>
      <c r="C69" s="6">
        <f>IFERROR(__xludf.DUMMYFUNCTION("""COMPUTED_VALUE"""),624.4)</f>
        <v>624.4</v>
      </c>
      <c r="D69" s="6">
        <f>IFERROR(__xludf.DUMMYFUNCTION("""COMPUTED_VALUE"""),536.65)</f>
        <v>536.65</v>
      </c>
      <c r="E69" s="6">
        <f>IFERROR(__xludf.DUMMYFUNCTION("""COMPUTED_VALUE"""),539.6)</f>
        <v>539.6</v>
      </c>
      <c r="F69" s="6">
        <f>IFERROR(__xludf.DUMMYFUNCTION("""COMPUTED_VALUE"""),1.9415079E7)</f>
        <v>19415079</v>
      </c>
    </row>
    <row r="70">
      <c r="A70" s="7">
        <f>IFERROR(__xludf.DUMMYFUNCTION("""COMPUTED_VALUE"""),45674.64583333333)</f>
        <v>45674.64583</v>
      </c>
      <c r="B70" s="6">
        <f>IFERROR(__xludf.DUMMYFUNCTION("""COMPUTED_VALUE"""),531.6)</f>
        <v>531.6</v>
      </c>
      <c r="C70" s="6">
        <f>IFERROR(__xludf.DUMMYFUNCTION("""COMPUTED_VALUE"""),578.45)</f>
        <v>578.45</v>
      </c>
      <c r="D70" s="6">
        <f>IFERROR(__xludf.DUMMYFUNCTION("""COMPUTED_VALUE"""),514.7)</f>
        <v>514.7</v>
      </c>
      <c r="E70" s="6">
        <f>IFERROR(__xludf.DUMMYFUNCTION("""COMPUTED_VALUE"""),568.0)</f>
        <v>568</v>
      </c>
      <c r="F70" s="6">
        <f>IFERROR(__xludf.DUMMYFUNCTION("""COMPUTED_VALUE"""),1.5737569E7)</f>
        <v>15737569</v>
      </c>
    </row>
    <row r="71">
      <c r="A71" s="7">
        <f>IFERROR(__xludf.DUMMYFUNCTION("""COMPUTED_VALUE"""),45681.64583333333)</f>
        <v>45681.64583</v>
      </c>
      <c r="B71" s="6">
        <f>IFERROR(__xludf.DUMMYFUNCTION("""COMPUTED_VALUE"""),566.0)</f>
        <v>566</v>
      </c>
      <c r="C71" s="6">
        <f>IFERROR(__xludf.DUMMYFUNCTION("""COMPUTED_VALUE"""),582.0)</f>
        <v>582</v>
      </c>
      <c r="D71" s="6">
        <f>IFERROR(__xludf.DUMMYFUNCTION("""COMPUTED_VALUE"""),538.1)</f>
        <v>538.1</v>
      </c>
      <c r="E71" s="6">
        <f>IFERROR(__xludf.DUMMYFUNCTION("""COMPUTED_VALUE"""),544.15)</f>
        <v>544.15</v>
      </c>
      <c r="F71" s="6">
        <f>IFERROR(__xludf.DUMMYFUNCTION("""COMPUTED_VALUE"""),1.0746613E7)</f>
        <v>10746613</v>
      </c>
    </row>
    <row r="72">
      <c r="A72" s="7">
        <f>IFERROR(__xludf.DUMMYFUNCTION("""COMPUTED_VALUE"""),45695.64583333333)</f>
        <v>45695.64583</v>
      </c>
      <c r="B72" s="6">
        <f>IFERROR(__xludf.DUMMYFUNCTION("""COMPUTED_VALUE"""),474.8)</f>
        <v>474.8</v>
      </c>
      <c r="C72" s="6">
        <f>IFERROR(__xludf.DUMMYFUNCTION("""COMPUTED_VALUE"""),501.5)</f>
        <v>501.5</v>
      </c>
      <c r="D72" s="6">
        <f>IFERROR(__xludf.DUMMYFUNCTION("""COMPUTED_VALUE"""),439.6)</f>
        <v>439.6</v>
      </c>
      <c r="E72" s="6">
        <f>IFERROR(__xludf.DUMMYFUNCTION("""COMPUTED_VALUE"""),484.65)</f>
        <v>484.65</v>
      </c>
      <c r="F72" s="6">
        <f>IFERROR(__xludf.DUMMYFUNCTION("""COMPUTED_VALUE"""),4.0357407E7)</f>
        <v>40357407</v>
      </c>
    </row>
    <row r="73">
      <c r="A73" s="7">
        <f>IFERROR(__xludf.DUMMYFUNCTION("""COMPUTED_VALUE"""),45702.64583333333)</f>
        <v>45702.64583</v>
      </c>
      <c r="B73" s="6">
        <f>IFERROR(__xludf.DUMMYFUNCTION("""COMPUTED_VALUE"""),483.6)</f>
        <v>483.6</v>
      </c>
      <c r="C73" s="6">
        <f>IFERROR(__xludf.DUMMYFUNCTION("""COMPUTED_VALUE"""),485.0)</f>
        <v>485</v>
      </c>
      <c r="D73" s="6">
        <f>IFERROR(__xludf.DUMMYFUNCTION("""COMPUTED_VALUE"""),434.3)</f>
        <v>434.3</v>
      </c>
      <c r="E73" s="6">
        <f>IFERROR(__xludf.DUMMYFUNCTION("""COMPUTED_VALUE"""),437.1)</f>
        <v>437.1</v>
      </c>
      <c r="F73" s="6">
        <f>IFERROR(__xludf.DUMMYFUNCTION("""COMPUTED_VALUE"""),1.8100097E7)</f>
        <v>18100097</v>
      </c>
    </row>
    <row r="74">
      <c r="A74" s="7">
        <f>IFERROR(__xludf.DUMMYFUNCTION("""COMPUTED_VALUE"""),45709.64583333333)</f>
        <v>45709.64583</v>
      </c>
      <c r="B74" s="6">
        <f>IFERROR(__xludf.DUMMYFUNCTION("""COMPUTED_VALUE"""),436.05)</f>
        <v>436.05</v>
      </c>
      <c r="C74" s="6">
        <f>IFERROR(__xludf.DUMMYFUNCTION("""COMPUTED_VALUE"""),506.7)</f>
        <v>506.7</v>
      </c>
      <c r="D74" s="6">
        <f>IFERROR(__xludf.DUMMYFUNCTION("""COMPUTED_VALUE"""),418.75)</f>
        <v>418.75</v>
      </c>
      <c r="E74" s="6">
        <f>IFERROR(__xludf.DUMMYFUNCTION("""COMPUTED_VALUE"""),496.6)</f>
        <v>496.6</v>
      </c>
      <c r="F74" s="6">
        <f>IFERROR(__xludf.DUMMYFUNCTION("""COMPUTED_VALUE"""),4.8611937E7)</f>
        <v>48611937</v>
      </c>
    </row>
    <row r="75">
      <c r="A75" s="7">
        <f>IFERROR(__xludf.DUMMYFUNCTION("""COMPUTED_VALUE"""),45716.64583333333)</f>
        <v>45716.64583</v>
      </c>
      <c r="B75" s="6">
        <f>IFERROR(__xludf.DUMMYFUNCTION("""COMPUTED_VALUE"""),494.0)</f>
        <v>494</v>
      </c>
      <c r="C75" s="6">
        <f>IFERROR(__xludf.DUMMYFUNCTION("""COMPUTED_VALUE"""),497.7)</f>
        <v>497.7</v>
      </c>
      <c r="D75" s="6">
        <f>IFERROR(__xludf.DUMMYFUNCTION("""COMPUTED_VALUE"""),442.35)</f>
        <v>442.35</v>
      </c>
      <c r="E75" s="6">
        <f>IFERROR(__xludf.DUMMYFUNCTION("""COMPUTED_VALUE"""),464.1)</f>
        <v>464.1</v>
      </c>
      <c r="F75" s="6">
        <f>IFERROR(__xludf.DUMMYFUNCTION("""COMPUTED_VALUE"""),1.7981995E7)</f>
        <v>17981995</v>
      </c>
    </row>
    <row r="76">
      <c r="A76" s="7">
        <f>IFERROR(__xludf.DUMMYFUNCTION("""COMPUTED_VALUE"""),45723.64583333333)</f>
        <v>45723.64583</v>
      </c>
      <c r="B76" s="6">
        <f>IFERROR(__xludf.DUMMYFUNCTION("""COMPUTED_VALUE"""),464.7)</f>
        <v>464.7</v>
      </c>
      <c r="C76" s="6">
        <f>IFERROR(__xludf.DUMMYFUNCTION("""COMPUTED_VALUE"""),517.0)</f>
        <v>517</v>
      </c>
      <c r="D76" s="6">
        <f>IFERROR(__xludf.DUMMYFUNCTION("""COMPUTED_VALUE"""),449.25)</f>
        <v>449.25</v>
      </c>
      <c r="E76" s="6">
        <f>IFERROR(__xludf.DUMMYFUNCTION("""COMPUTED_VALUE"""),491.7)</f>
        <v>491.7</v>
      </c>
      <c r="F76" s="6">
        <f>IFERROR(__xludf.DUMMYFUNCTION("""COMPUTED_VALUE"""),2.657763E7)</f>
        <v>26577630</v>
      </c>
    </row>
    <row r="77">
      <c r="A77" s="7">
        <f>IFERROR(__xludf.DUMMYFUNCTION("""COMPUTED_VALUE"""),45729.64583333333)</f>
        <v>45729.64583</v>
      </c>
      <c r="B77" s="6">
        <f>IFERROR(__xludf.DUMMYFUNCTION("""COMPUTED_VALUE"""),491.0)</f>
        <v>491</v>
      </c>
      <c r="C77" s="6">
        <f>IFERROR(__xludf.DUMMYFUNCTION("""COMPUTED_VALUE"""),523.85)</f>
        <v>523.85</v>
      </c>
      <c r="D77" s="6">
        <f>IFERROR(__xludf.DUMMYFUNCTION("""COMPUTED_VALUE"""),490.25)</f>
        <v>490.25</v>
      </c>
      <c r="E77" s="6">
        <f>IFERROR(__xludf.DUMMYFUNCTION("""COMPUTED_VALUE"""),514.1)</f>
        <v>514.1</v>
      </c>
      <c r="F77" s="6">
        <f>IFERROR(__xludf.DUMMYFUNCTION("""COMPUTED_VALUE"""),2.5357975E7)</f>
        <v>25357975</v>
      </c>
    </row>
    <row r="78">
      <c r="A78" s="7">
        <f>IFERROR(__xludf.DUMMYFUNCTION("""COMPUTED_VALUE"""),45737.64583333333)</f>
        <v>45737.64583</v>
      </c>
      <c r="B78" s="6">
        <f>IFERROR(__xludf.DUMMYFUNCTION("""COMPUTED_VALUE"""),533.95)</f>
        <v>533.95</v>
      </c>
      <c r="C78" s="6">
        <f>IFERROR(__xludf.DUMMYFUNCTION("""COMPUTED_VALUE"""),576.0)</f>
        <v>576</v>
      </c>
      <c r="D78" s="6">
        <f>IFERROR(__xludf.DUMMYFUNCTION("""COMPUTED_VALUE"""),525.15)</f>
        <v>525.15</v>
      </c>
      <c r="E78" s="6">
        <f>IFERROR(__xludf.DUMMYFUNCTION("""COMPUTED_VALUE"""),559.7)</f>
        <v>559.7</v>
      </c>
      <c r="F78" s="6">
        <f>IFERROR(__xludf.DUMMYFUNCTION("""COMPUTED_VALUE"""),2.0579393E7)</f>
        <v>20579393</v>
      </c>
    </row>
    <row r="79">
      <c r="A79" s="7">
        <f>IFERROR(__xludf.DUMMYFUNCTION("""COMPUTED_VALUE"""),45744.64583333333)</f>
        <v>45744.64583</v>
      </c>
      <c r="B79" s="6">
        <f>IFERROR(__xludf.DUMMYFUNCTION("""COMPUTED_VALUE"""),562.55)</f>
        <v>562.55</v>
      </c>
      <c r="C79" s="6">
        <f>IFERROR(__xludf.DUMMYFUNCTION("""COMPUTED_VALUE"""),579.0)</f>
        <v>579</v>
      </c>
      <c r="D79" s="6">
        <f>IFERROR(__xludf.DUMMYFUNCTION("""COMPUTED_VALUE"""),534.0)</f>
        <v>534</v>
      </c>
      <c r="E79" s="6">
        <f>IFERROR(__xludf.DUMMYFUNCTION("""COMPUTED_VALUE"""),537.9)</f>
        <v>537.9</v>
      </c>
      <c r="F79" s="6">
        <f>IFERROR(__xludf.DUMMYFUNCTION("""COMPUTED_VALUE"""),2.1291585E7)</f>
        <v>21291585</v>
      </c>
    </row>
    <row r="80">
      <c r="A80" s="7">
        <f>IFERROR(__xludf.DUMMYFUNCTION("""COMPUTED_VALUE"""),45751.64583333333)</f>
        <v>45751.64583</v>
      </c>
      <c r="B80" s="6">
        <f>IFERROR(__xludf.DUMMYFUNCTION("""COMPUTED_VALUE"""),532.05)</f>
        <v>532.05</v>
      </c>
      <c r="C80" s="6">
        <f>IFERROR(__xludf.DUMMYFUNCTION("""COMPUTED_VALUE"""),540.85)</f>
        <v>540.85</v>
      </c>
      <c r="D80" s="6">
        <f>IFERROR(__xludf.DUMMYFUNCTION("""COMPUTED_VALUE"""),500.6)</f>
        <v>500.6</v>
      </c>
      <c r="E80" s="6">
        <f>IFERROR(__xludf.DUMMYFUNCTION("""COMPUTED_VALUE"""),506.4)</f>
        <v>506.4</v>
      </c>
      <c r="F80" s="6">
        <f>IFERROR(__xludf.DUMMYFUNCTION("""COMPUTED_VALUE"""),1.6819417E7)</f>
        <v>16819417</v>
      </c>
    </row>
    <row r="81">
      <c r="A81" s="7">
        <f>IFERROR(__xludf.DUMMYFUNCTION("""COMPUTED_VALUE"""),45758.64583333333)</f>
        <v>45758.64583</v>
      </c>
      <c r="B81" s="6">
        <f>IFERROR(__xludf.DUMMYFUNCTION("""COMPUTED_VALUE"""),460.0)</f>
        <v>460</v>
      </c>
      <c r="C81" s="6">
        <f>IFERROR(__xludf.DUMMYFUNCTION("""COMPUTED_VALUE"""),503.55)</f>
        <v>503.55</v>
      </c>
      <c r="D81" s="6">
        <f>IFERROR(__xludf.DUMMYFUNCTION("""COMPUTED_VALUE"""),460.0)</f>
        <v>460</v>
      </c>
      <c r="E81" s="6">
        <f>IFERROR(__xludf.DUMMYFUNCTION("""COMPUTED_VALUE"""),493.95)</f>
        <v>493.95</v>
      </c>
      <c r="F81" s="6">
        <f>IFERROR(__xludf.DUMMYFUNCTION("""COMPUTED_VALUE"""),9898622.0)</f>
        <v>9898622</v>
      </c>
    </row>
    <row r="82">
      <c r="A82" s="7">
        <f>IFERROR(__xludf.DUMMYFUNCTION("""COMPUTED_VALUE"""),45764.64583333333)</f>
        <v>45764.64583</v>
      </c>
      <c r="B82" s="6">
        <f>IFERROR(__xludf.DUMMYFUNCTION("""COMPUTED_VALUE"""),499.9)</f>
        <v>499.9</v>
      </c>
      <c r="C82" s="6">
        <f>IFERROR(__xludf.DUMMYFUNCTION("""COMPUTED_VALUE"""),521.5)</f>
        <v>521.5</v>
      </c>
      <c r="D82" s="6">
        <f>IFERROR(__xludf.DUMMYFUNCTION("""COMPUTED_VALUE"""),499.75)</f>
        <v>499.75</v>
      </c>
      <c r="E82" s="6">
        <f>IFERROR(__xludf.DUMMYFUNCTION("""COMPUTED_VALUE"""),507.9)</f>
        <v>507.9</v>
      </c>
      <c r="F82" s="6">
        <f>IFERROR(__xludf.DUMMYFUNCTION("""COMPUTED_VALUE"""),7866278.0)</f>
        <v>7866278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IFERROR(__xludf.DUMMYFUNCTION("""COMPUTED_VALUE"""),510.9)</f>
        <v>510.9</v>
      </c>
      <c r="C83" s="6">
        <f>IFERROR(__xludf.DUMMYFUNCTION("""COMPUTED_VALUE"""),527.5)</f>
        <v>527.5</v>
      </c>
      <c r="D83" s="6">
        <f>IFERROR(__xludf.DUMMYFUNCTION("""COMPUTED_VALUE"""),478.2)</f>
        <v>478.2</v>
      </c>
      <c r="E83" s="6">
        <f>IFERROR(__xludf.DUMMYFUNCTION("""COMPUTED_VALUE"""),482.7)</f>
        <v>482.7</v>
      </c>
      <c r="F83" s="6">
        <f>IFERROR(__xludf.DUMMYFUNCTION("""COMPUTED_VALUE"""),1.8902317E7)</f>
        <v>18902317</v>
      </c>
    </row>
    <row r="84">
      <c r="A84" s="7">
        <f>IFERROR(__xludf.DUMMYFUNCTION("""COMPUTED_VALUE"""),45779.64583333333)</f>
        <v>45779.64583</v>
      </c>
      <c r="B84" s="6">
        <f>IFERROR(__xludf.DUMMYFUNCTION("""COMPUTED_VALUE"""),476.85)</f>
        <v>476.85</v>
      </c>
      <c r="C84" s="6">
        <f>IFERROR(__xludf.DUMMYFUNCTION("""COMPUTED_VALUE"""),489.9)</f>
        <v>489.9</v>
      </c>
      <c r="D84" s="6">
        <f>IFERROR(__xludf.DUMMYFUNCTION("""COMPUTED_VALUE"""),463.0)</f>
        <v>463</v>
      </c>
      <c r="E84" s="6">
        <f>IFERROR(__xludf.DUMMYFUNCTION("""COMPUTED_VALUE"""),469.6)</f>
        <v>469.6</v>
      </c>
      <c r="F84" s="6">
        <f>IFERROR(__xludf.DUMMYFUNCTION("""COMPUTED_VALUE"""),1.9870025E7)</f>
        <v>19870025</v>
      </c>
    </row>
    <row r="85">
      <c r="A85" s="7">
        <f>IFERROR(__xludf.DUMMYFUNCTION("""COMPUTED_VALUE"""),45786.64583333333)</f>
        <v>45786.64583</v>
      </c>
      <c r="B85" s="6">
        <f>IFERROR(__xludf.DUMMYFUNCTION("""COMPUTED_VALUE"""),472.0)</f>
        <v>472</v>
      </c>
      <c r="C85" s="6">
        <f>IFERROR(__xludf.DUMMYFUNCTION("""COMPUTED_VALUE"""),484.7)</f>
        <v>484.7</v>
      </c>
      <c r="D85" s="6">
        <f>IFERROR(__xludf.DUMMYFUNCTION("""COMPUTED_VALUE"""),441.0)</f>
        <v>441</v>
      </c>
      <c r="E85" s="6">
        <f>IFERROR(__xludf.DUMMYFUNCTION("""COMPUTED_VALUE"""),459.85)</f>
        <v>459.85</v>
      </c>
      <c r="F85" s="6">
        <f>IFERROR(__xludf.DUMMYFUNCTION("""COMPUTED_VALUE"""),1.2731209E7)</f>
        <v>12731209</v>
      </c>
    </row>
    <row r="86">
      <c r="A86" s="7">
        <f>IFERROR(__xludf.DUMMYFUNCTION("""COMPUTED_VALUE"""),45793.64583333333)</f>
        <v>45793.64583</v>
      </c>
      <c r="B86" s="6">
        <f>IFERROR(__xludf.DUMMYFUNCTION("""COMPUTED_VALUE"""),475.0)</f>
        <v>475</v>
      </c>
      <c r="C86" s="6">
        <f>IFERROR(__xludf.DUMMYFUNCTION("""COMPUTED_VALUE"""),506.65)</f>
        <v>506.65</v>
      </c>
      <c r="D86" s="6">
        <f>IFERROR(__xludf.DUMMYFUNCTION("""COMPUTED_VALUE"""),470.35)</f>
        <v>470.35</v>
      </c>
      <c r="E86" s="6">
        <f>IFERROR(__xludf.DUMMYFUNCTION("""COMPUTED_VALUE"""),503.85)</f>
        <v>503.85</v>
      </c>
      <c r="F86" s="6">
        <f>IFERROR(__xludf.DUMMYFUNCTION("""COMPUTED_VALUE"""),2.3416476E7)</f>
        <v>23416476</v>
      </c>
    </row>
    <row r="87">
      <c r="A87" s="7">
        <f>IFERROR(__xludf.DUMMYFUNCTION("""COMPUTED_VALUE"""),45800.64583333333)</f>
        <v>45800.64583</v>
      </c>
      <c r="B87" s="6">
        <f>IFERROR(__xludf.DUMMYFUNCTION("""COMPUTED_VALUE"""),506.0)</f>
        <v>506</v>
      </c>
      <c r="C87" s="6">
        <f>IFERROR(__xludf.DUMMYFUNCTION("""COMPUTED_VALUE"""),524.85)</f>
        <v>524.85</v>
      </c>
      <c r="D87" s="6">
        <f>IFERROR(__xludf.DUMMYFUNCTION("""COMPUTED_VALUE"""),492.5)</f>
        <v>492.5</v>
      </c>
      <c r="E87" s="6">
        <f>IFERROR(__xludf.DUMMYFUNCTION("""COMPUTED_VALUE"""),496.6)</f>
        <v>496.6</v>
      </c>
      <c r="F87" s="6">
        <f>IFERROR(__xludf.DUMMYFUNCTION("""COMPUTED_VALUE"""),1.7972854E7)</f>
        <v>17972854</v>
      </c>
    </row>
    <row r="88">
      <c r="A88" s="7">
        <f>IFERROR(__xludf.DUMMYFUNCTION("""COMPUTED_VALUE"""),45807.64583333333)</f>
        <v>45807.64583</v>
      </c>
      <c r="B88" s="6">
        <f>IFERROR(__xludf.DUMMYFUNCTION("""COMPUTED_VALUE"""),496.9)</f>
        <v>496.9</v>
      </c>
      <c r="C88" s="6">
        <f>IFERROR(__xludf.DUMMYFUNCTION("""COMPUTED_VALUE"""),507.5)</f>
        <v>507.5</v>
      </c>
      <c r="D88" s="6">
        <f>IFERROR(__xludf.DUMMYFUNCTION("""COMPUTED_VALUE"""),486.85)</f>
        <v>486.85</v>
      </c>
      <c r="E88" s="6">
        <f>IFERROR(__xludf.DUMMYFUNCTION("""COMPUTED_VALUE"""),487.95)</f>
        <v>487.95</v>
      </c>
      <c r="F88" s="6">
        <f>IFERROR(__xludf.DUMMYFUNCTION("""COMPUTED_VALUE"""),1.3010366E7)</f>
        <v>13010366</v>
      </c>
    </row>
    <row r="89">
      <c r="A89" s="7">
        <f>IFERROR(__xludf.DUMMYFUNCTION("""COMPUTED_VALUE"""),45814.64583333333)</f>
        <v>45814.64583</v>
      </c>
      <c r="B89" s="6">
        <f>IFERROR(__xludf.DUMMYFUNCTION("""COMPUTED_VALUE"""),487.95)</f>
        <v>487.95</v>
      </c>
      <c r="C89" s="6">
        <f>IFERROR(__xludf.DUMMYFUNCTION("""COMPUTED_VALUE"""),523.95)</f>
        <v>523.95</v>
      </c>
      <c r="D89" s="6">
        <f>IFERROR(__xludf.DUMMYFUNCTION("""COMPUTED_VALUE"""),484.1)</f>
        <v>484.1</v>
      </c>
      <c r="E89" s="6">
        <f>IFERROR(__xludf.DUMMYFUNCTION("""COMPUTED_VALUE"""),522.85)</f>
        <v>522.85</v>
      </c>
      <c r="F89" s="6">
        <f>IFERROR(__xludf.DUMMYFUNCTION("""COMPUTED_VALUE"""),1.4437882E7)</f>
        <v>14437882</v>
      </c>
    </row>
    <row r="90">
      <c r="A90" s="7">
        <f>IFERROR(__xludf.DUMMYFUNCTION("""COMPUTED_VALUE"""),45821.64583333333)</f>
        <v>45821.64583</v>
      </c>
      <c r="B90" s="6">
        <f>IFERROR(__xludf.DUMMYFUNCTION("""COMPUTED_VALUE"""),526.8)</f>
        <v>526.8</v>
      </c>
      <c r="C90" s="6">
        <f>IFERROR(__xludf.DUMMYFUNCTION("""COMPUTED_VALUE"""),543.1)</f>
        <v>543.1</v>
      </c>
      <c r="D90" s="6">
        <f>IFERROR(__xludf.DUMMYFUNCTION("""COMPUTED_VALUE"""),502.3)</f>
        <v>502.3</v>
      </c>
      <c r="E90" s="6">
        <f>IFERROR(__xludf.DUMMYFUNCTION("""COMPUTED_VALUE"""),506.85)</f>
        <v>506.85</v>
      </c>
      <c r="F90" s="6">
        <f>IFERROR(__xludf.DUMMYFUNCTION("""COMPUTED_VALUE"""),1.8067339E7)</f>
        <v>18067339</v>
      </c>
    </row>
    <row r="91">
      <c r="A91" s="7">
        <f>IFERROR(__xludf.DUMMYFUNCTION("""COMPUTED_VALUE"""),45828.64583333333)</f>
        <v>45828.64583</v>
      </c>
      <c r="B91" s="6">
        <f>IFERROR(__xludf.DUMMYFUNCTION("""COMPUTED_VALUE"""),507.8)</f>
        <v>507.8</v>
      </c>
      <c r="C91" s="6">
        <f>IFERROR(__xludf.DUMMYFUNCTION("""COMPUTED_VALUE"""),515.9)</f>
        <v>515.9</v>
      </c>
      <c r="D91" s="6">
        <f>IFERROR(__xludf.DUMMYFUNCTION("""COMPUTED_VALUE"""),479.0)</f>
        <v>479</v>
      </c>
      <c r="E91" s="6">
        <f>IFERROR(__xludf.DUMMYFUNCTION("""COMPUTED_VALUE"""),499.3)</f>
        <v>499.3</v>
      </c>
      <c r="F91" s="6">
        <f>IFERROR(__xludf.DUMMYFUNCTION("""COMPUTED_VALUE"""),1.7563443E7)</f>
        <v>17563443</v>
      </c>
    </row>
    <row r="92">
      <c r="A92" s="7">
        <f>IFERROR(__xludf.DUMMYFUNCTION("""COMPUTED_VALUE"""),45835.64583333333)</f>
        <v>45835.64583</v>
      </c>
      <c r="B92" s="6">
        <f>IFERROR(__xludf.DUMMYFUNCTION("""COMPUTED_VALUE"""),495.0)</f>
        <v>495</v>
      </c>
      <c r="C92" s="6">
        <f>IFERROR(__xludf.DUMMYFUNCTION("""COMPUTED_VALUE"""),528.5)</f>
        <v>528.5</v>
      </c>
      <c r="D92" s="6">
        <f>IFERROR(__xludf.DUMMYFUNCTION("""COMPUTED_VALUE"""),489.5)</f>
        <v>489.5</v>
      </c>
      <c r="E92" s="6">
        <f>IFERROR(__xludf.DUMMYFUNCTION("""COMPUTED_VALUE"""),522.5)</f>
        <v>522.5</v>
      </c>
      <c r="F92" s="6">
        <f>IFERROR(__xludf.DUMMYFUNCTION("""COMPUTED_VALUE"""),2.2814441E7)</f>
        <v>22814441</v>
      </c>
    </row>
    <row r="93">
      <c r="A93" s="7">
        <f>IFERROR(__xludf.DUMMYFUNCTION("""COMPUTED_VALUE"""),45842.64583333333)</f>
        <v>45842.64583</v>
      </c>
      <c r="B93" s="6">
        <f>IFERROR(__xludf.DUMMYFUNCTION("""COMPUTED_VALUE"""),523.3)</f>
        <v>523.3</v>
      </c>
      <c r="C93" s="6">
        <f>IFERROR(__xludf.DUMMYFUNCTION("""COMPUTED_VALUE"""),532.65)</f>
        <v>532.65</v>
      </c>
      <c r="D93" s="6">
        <f>IFERROR(__xludf.DUMMYFUNCTION("""COMPUTED_VALUE"""),502.1)</f>
        <v>502.1</v>
      </c>
      <c r="E93" s="6">
        <f>IFERROR(__xludf.DUMMYFUNCTION("""COMPUTED_VALUE"""),512.0)</f>
        <v>512</v>
      </c>
      <c r="F93" s="6">
        <f>IFERROR(__xludf.DUMMYFUNCTION("""COMPUTED_VALUE"""),1.5110488E7)</f>
        <v>15110488</v>
      </c>
    </row>
    <row r="94">
      <c r="A94" s="7">
        <f>IFERROR(__xludf.DUMMYFUNCTION("""COMPUTED_VALUE"""),45849.64583333333)</f>
        <v>45849.64583</v>
      </c>
      <c r="B94" s="6">
        <f>IFERROR(__xludf.DUMMYFUNCTION("""COMPUTED_VALUE"""),513.65)</f>
        <v>513.65</v>
      </c>
      <c r="C94" s="6">
        <f>IFERROR(__xludf.DUMMYFUNCTION("""COMPUTED_VALUE"""),536.6)</f>
        <v>536.6</v>
      </c>
      <c r="D94" s="6">
        <f>IFERROR(__xludf.DUMMYFUNCTION("""COMPUTED_VALUE"""),504.35)</f>
        <v>504.35</v>
      </c>
      <c r="E94" s="6">
        <f>IFERROR(__xludf.DUMMYFUNCTION("""COMPUTED_VALUE"""),523.7)</f>
        <v>523.7</v>
      </c>
      <c r="F94" s="6">
        <f>IFERROR(__xludf.DUMMYFUNCTION("""COMPUTED_VALUE"""),2.1857794E7)</f>
        <v>21857794</v>
      </c>
    </row>
    <row r="95">
      <c r="A95" s="7">
        <f>IFERROR(__xludf.DUMMYFUNCTION("""COMPUTED_VALUE"""),45856.64583333333)</f>
        <v>45856.64583</v>
      </c>
      <c r="B95" s="6">
        <f>IFERROR(__xludf.DUMMYFUNCTION("""COMPUTED_VALUE"""),525.0)</f>
        <v>525</v>
      </c>
      <c r="C95" s="6">
        <f>IFERROR(__xludf.DUMMYFUNCTION("""COMPUTED_VALUE"""),538.75)</f>
        <v>538.75</v>
      </c>
      <c r="D95" s="6">
        <f>IFERROR(__xludf.DUMMYFUNCTION("""COMPUTED_VALUE"""),521.55)</f>
        <v>521.55</v>
      </c>
      <c r="E95" s="6">
        <f>IFERROR(__xludf.DUMMYFUNCTION("""COMPUTED_VALUE"""),530.4)</f>
        <v>530.4</v>
      </c>
      <c r="F95" s="6">
        <f>IFERROR(__xludf.DUMMYFUNCTION("""COMPUTED_VALUE"""),1.8276872E7)</f>
        <v>18276872</v>
      </c>
    </row>
    <row r="96">
      <c r="A96" s="7">
        <f>IFERROR(__xludf.DUMMYFUNCTION("""COMPUTED_VALUE"""),45863.64583333333)</f>
        <v>45863.64583</v>
      </c>
      <c r="B96" s="6">
        <f>IFERROR(__xludf.DUMMYFUNCTION("""COMPUTED_VALUE"""),530.4)</f>
        <v>530.4</v>
      </c>
      <c r="C96" s="6">
        <f>IFERROR(__xludf.DUMMYFUNCTION("""COMPUTED_VALUE"""),537.0)</f>
        <v>537</v>
      </c>
      <c r="D96" s="6">
        <f>IFERROR(__xludf.DUMMYFUNCTION("""COMPUTED_VALUE"""),512.0)</f>
        <v>512</v>
      </c>
      <c r="E96" s="6">
        <f>IFERROR(__xludf.DUMMYFUNCTION("""COMPUTED_VALUE"""),518.1)</f>
        <v>518.1</v>
      </c>
      <c r="F96" s="6">
        <f>IFERROR(__xludf.DUMMYFUNCTION("""COMPUTED_VALUE"""),1.4227844E7)</f>
        <v>14227844</v>
      </c>
    </row>
    <row r="97">
      <c r="A97" s="7">
        <f>IFERROR(__xludf.DUMMYFUNCTION("""COMPUTED_VALUE"""),45870.64583333333)</f>
        <v>45870.64583</v>
      </c>
      <c r="B97" s="6">
        <f>IFERROR(__xludf.DUMMYFUNCTION("""COMPUTED_VALUE"""),515.0)</f>
        <v>515</v>
      </c>
      <c r="C97" s="6">
        <f>IFERROR(__xludf.DUMMYFUNCTION("""COMPUTED_VALUE"""),533.9)</f>
        <v>533.9</v>
      </c>
      <c r="D97" s="6">
        <f>IFERROR(__xludf.DUMMYFUNCTION("""COMPUTED_VALUE"""),509.4)</f>
        <v>509.4</v>
      </c>
      <c r="E97" s="6">
        <f>IFERROR(__xludf.DUMMYFUNCTION("""COMPUTED_VALUE"""),511.65)</f>
        <v>511.65</v>
      </c>
      <c r="F97" s="6">
        <f>IFERROR(__xludf.DUMMYFUNCTION("""COMPUTED_VALUE"""),1.9697474E7)</f>
        <v>19697474</v>
      </c>
    </row>
    <row r="98">
      <c r="A98" s="7">
        <f>IFERROR(__xludf.DUMMYFUNCTION("""COMPUTED_VALUE"""),45877.64583333333)</f>
        <v>45877.64583</v>
      </c>
      <c r="B98" s="6">
        <f>IFERROR(__xludf.DUMMYFUNCTION("""COMPUTED_VALUE"""),515.0)</f>
        <v>515</v>
      </c>
      <c r="C98" s="6">
        <f>IFERROR(__xludf.DUMMYFUNCTION("""COMPUTED_VALUE"""),548.4)</f>
        <v>548.4</v>
      </c>
      <c r="D98" s="6">
        <f>IFERROR(__xludf.DUMMYFUNCTION("""COMPUTED_VALUE"""),512.3)</f>
        <v>512.3</v>
      </c>
      <c r="E98" s="6">
        <f>IFERROR(__xludf.DUMMYFUNCTION("""COMPUTED_VALUE"""),518.3)</f>
        <v>518.3</v>
      </c>
      <c r="F98" s="6">
        <f>IFERROR(__xludf.DUMMYFUNCTION("""COMPUTED_VALUE"""),2.6831652E7)</f>
        <v>26831652</v>
      </c>
    </row>
    <row r="99">
      <c r="A99" s="7">
        <f>IFERROR(__xludf.DUMMYFUNCTION("""COMPUTED_VALUE"""),45883.64583333333)</f>
        <v>45883.64583</v>
      </c>
      <c r="B99" s="6">
        <f>IFERROR(__xludf.DUMMYFUNCTION("""COMPUTED_VALUE"""),521.5)</f>
        <v>521.5</v>
      </c>
      <c r="C99" s="6">
        <f>IFERROR(__xludf.DUMMYFUNCTION("""COMPUTED_VALUE"""),539.4)</f>
        <v>539.4</v>
      </c>
      <c r="D99" s="6">
        <f>IFERROR(__xludf.DUMMYFUNCTION("""COMPUTED_VALUE"""),518.3)</f>
        <v>518.3</v>
      </c>
      <c r="E99" s="6">
        <f>IFERROR(__xludf.DUMMYFUNCTION("""COMPUTED_VALUE"""),529.15)</f>
        <v>529.15</v>
      </c>
      <c r="F99" s="6">
        <f>IFERROR(__xludf.DUMMYFUNCTION("""COMPUTED_VALUE"""),6362327.0)</f>
        <v>6362327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IFERROR(__xludf.DUMMYFUNCTION("""COMPUTED_VALUE"""),534.5)</f>
        <v>534.5</v>
      </c>
      <c r="C100" s="6">
        <f>IFERROR(__xludf.DUMMYFUNCTION("""COMPUTED_VALUE"""),540.65)</f>
        <v>540.65</v>
      </c>
      <c r="D100" s="6">
        <f>IFERROR(__xludf.DUMMYFUNCTION("""COMPUTED_VALUE"""),513.3)</f>
        <v>513.3</v>
      </c>
      <c r="E100" s="6">
        <f>IFERROR(__xludf.DUMMYFUNCTION("""COMPUTED_VALUE"""),517.9)</f>
        <v>517.9</v>
      </c>
      <c r="F100" s="6">
        <f>IFERROR(__xludf.DUMMYFUNCTION("""COMPUTED_VALUE"""),1.1005501E7)</f>
        <v>11005501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IFERROR(__xludf.DUMMYFUNCTION("""COMPUTED_VALUE"""),518.9)</f>
        <v>518.9</v>
      </c>
      <c r="C101" s="6">
        <f>IFERROR(__xludf.DUMMYFUNCTION("""COMPUTED_VALUE"""),525.8)</f>
        <v>525.8</v>
      </c>
      <c r="D101" s="6">
        <f>IFERROR(__xludf.DUMMYFUNCTION("""COMPUTED_VALUE"""),511.45)</f>
        <v>511.45</v>
      </c>
      <c r="E101" s="6">
        <f>IFERROR(__xludf.DUMMYFUNCTION("""COMPUTED_VALUE"""),513.1)</f>
        <v>513.1</v>
      </c>
      <c r="F101" s="6">
        <f>IFERROR(__xludf.DUMMYFUNCTION("""COMPUTED_VALUE"""),4.689833E7)</f>
        <v>46898330</v>
      </c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IFERROR(__xludf.DUMMYFUNCTION("GOOGLEFINANCE(""NSE:JSWSTEEL"",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IFERROR(__xludf.DUMMYFUNCTION("""COMPUTED_VALUE"""),775.5)</f>
        <v>775.5</v>
      </c>
      <c r="C2" s="6">
        <f>IFERROR(__xludf.DUMMYFUNCTION("""COMPUTED_VALUE"""),807.7)</f>
        <v>807.7</v>
      </c>
      <c r="D2" s="6">
        <f>IFERROR(__xludf.DUMMYFUNCTION("""COMPUTED_VALUE"""),771.0)</f>
        <v>771</v>
      </c>
      <c r="E2" s="6">
        <f>IFERROR(__xludf.DUMMYFUNCTION("""COMPUTED_VALUE"""),806.4)</f>
        <v>806.4</v>
      </c>
      <c r="F2" s="6">
        <f>IFERROR(__xludf.DUMMYFUNCTION("""COMPUTED_VALUE"""),1.3068854E7)</f>
        <v>13068854</v>
      </c>
    </row>
    <row r="3">
      <c r="A3" s="7">
        <f>IFERROR(__xludf.DUMMYFUNCTION("""COMPUTED_VALUE"""),45177.64583333333)</f>
        <v>45177.64583</v>
      </c>
      <c r="B3" s="6">
        <f>IFERROR(__xludf.DUMMYFUNCTION("""COMPUTED_VALUE"""),811.95)</f>
        <v>811.95</v>
      </c>
      <c r="C3" s="6">
        <f>IFERROR(__xludf.DUMMYFUNCTION("""COMPUTED_VALUE"""),826.6)</f>
        <v>826.6</v>
      </c>
      <c r="D3" s="6">
        <f>IFERROR(__xludf.DUMMYFUNCTION("""COMPUTED_VALUE"""),800.5)</f>
        <v>800.5</v>
      </c>
      <c r="E3" s="6">
        <f>IFERROR(__xludf.DUMMYFUNCTION("""COMPUTED_VALUE"""),815.75)</f>
        <v>815.75</v>
      </c>
      <c r="F3" s="6">
        <f>IFERROR(__xludf.DUMMYFUNCTION("""COMPUTED_VALUE"""),1.2085082E7)</f>
        <v>12085082</v>
      </c>
    </row>
    <row r="4">
      <c r="A4" s="7">
        <f>IFERROR(__xludf.DUMMYFUNCTION("""COMPUTED_VALUE"""),45184.64583333333)</f>
        <v>45184.64583</v>
      </c>
      <c r="B4" s="6">
        <f>IFERROR(__xludf.DUMMYFUNCTION("""COMPUTED_VALUE"""),820.0)</f>
        <v>820</v>
      </c>
      <c r="C4" s="6">
        <f>IFERROR(__xludf.DUMMYFUNCTION("""COMPUTED_VALUE"""),840.0)</f>
        <v>840</v>
      </c>
      <c r="D4" s="6">
        <f>IFERROR(__xludf.DUMMYFUNCTION("""COMPUTED_VALUE"""),805.0)</f>
        <v>805</v>
      </c>
      <c r="E4" s="6">
        <f>IFERROR(__xludf.DUMMYFUNCTION("""COMPUTED_VALUE"""),812.85)</f>
        <v>812.85</v>
      </c>
      <c r="F4" s="6">
        <f>IFERROR(__xludf.DUMMYFUNCTION("""COMPUTED_VALUE"""),1.2724861E7)</f>
        <v>12724861</v>
      </c>
    </row>
    <row r="5">
      <c r="A5" s="7">
        <f>IFERROR(__xludf.DUMMYFUNCTION("""COMPUTED_VALUE"""),45191.64583333333)</f>
        <v>45191.64583</v>
      </c>
      <c r="B5" s="6">
        <f>IFERROR(__xludf.DUMMYFUNCTION("""COMPUTED_VALUE"""),812.85)</f>
        <v>812.85</v>
      </c>
      <c r="C5" s="6">
        <f>IFERROR(__xludf.DUMMYFUNCTION("""COMPUTED_VALUE"""),814.95)</f>
        <v>814.95</v>
      </c>
      <c r="D5" s="6">
        <f>IFERROR(__xludf.DUMMYFUNCTION("""COMPUTED_VALUE"""),772.7)</f>
        <v>772.7</v>
      </c>
      <c r="E5" s="6">
        <f>IFERROR(__xludf.DUMMYFUNCTION("""COMPUTED_VALUE"""),774.05)</f>
        <v>774.05</v>
      </c>
      <c r="F5" s="6">
        <f>IFERROR(__xludf.DUMMYFUNCTION("""COMPUTED_VALUE"""),9718527.0)</f>
        <v>9718527</v>
      </c>
    </row>
    <row r="6">
      <c r="A6" s="7">
        <f>IFERROR(__xludf.DUMMYFUNCTION("""COMPUTED_VALUE"""),45198.64583333333)</f>
        <v>45198.64583</v>
      </c>
      <c r="B6" s="6">
        <f>IFERROR(__xludf.DUMMYFUNCTION("""COMPUTED_VALUE"""),776.95)</f>
        <v>776.95</v>
      </c>
      <c r="C6" s="6">
        <f>IFERROR(__xludf.DUMMYFUNCTION("""COMPUTED_VALUE"""),788.4)</f>
        <v>788.4</v>
      </c>
      <c r="D6" s="6">
        <f>IFERROR(__xludf.DUMMYFUNCTION("""COMPUTED_VALUE"""),764.35)</f>
        <v>764.35</v>
      </c>
      <c r="E6" s="6">
        <f>IFERROR(__xludf.DUMMYFUNCTION("""COMPUTED_VALUE"""),779.6)</f>
        <v>779.6</v>
      </c>
      <c r="F6" s="6">
        <f>IFERROR(__xludf.DUMMYFUNCTION("""COMPUTED_VALUE"""),1.15283E7)</f>
        <v>11528300</v>
      </c>
    </row>
    <row r="7">
      <c r="A7" s="7">
        <f>IFERROR(__xludf.DUMMYFUNCTION("""COMPUTED_VALUE"""),45205.64583333333)</f>
        <v>45205.64583</v>
      </c>
      <c r="B7" s="6">
        <f>IFERROR(__xludf.DUMMYFUNCTION("""COMPUTED_VALUE"""),776.55)</f>
        <v>776.55</v>
      </c>
      <c r="C7" s="6">
        <f>IFERROR(__xludf.DUMMYFUNCTION("""COMPUTED_VALUE"""),776.55)</f>
        <v>776.55</v>
      </c>
      <c r="D7" s="6">
        <f>IFERROR(__xludf.DUMMYFUNCTION("""COMPUTED_VALUE"""),752.9)</f>
        <v>752.9</v>
      </c>
      <c r="E7" s="6">
        <f>IFERROR(__xludf.DUMMYFUNCTION("""COMPUTED_VALUE"""),765.2)</f>
        <v>765.2</v>
      </c>
      <c r="F7" s="6">
        <f>IFERROR(__xludf.DUMMYFUNCTION("""COMPUTED_VALUE"""),6240594.0)</f>
        <v>6240594</v>
      </c>
    </row>
    <row r="8">
      <c r="A8" s="7">
        <f>IFERROR(__xludf.DUMMYFUNCTION("""COMPUTED_VALUE"""),45212.64583333333)</f>
        <v>45212.64583</v>
      </c>
      <c r="B8" s="6">
        <f>IFERROR(__xludf.DUMMYFUNCTION("""COMPUTED_VALUE"""),756.5)</f>
        <v>756.5</v>
      </c>
      <c r="C8" s="6">
        <f>IFERROR(__xludf.DUMMYFUNCTION("""COMPUTED_VALUE"""),789.95)</f>
        <v>789.95</v>
      </c>
      <c r="D8" s="6">
        <f>IFERROR(__xludf.DUMMYFUNCTION("""COMPUTED_VALUE"""),749.15)</f>
        <v>749.15</v>
      </c>
      <c r="E8" s="6">
        <f>IFERROR(__xludf.DUMMYFUNCTION("""COMPUTED_VALUE"""),777.25)</f>
        <v>777.25</v>
      </c>
      <c r="F8" s="6">
        <f>IFERROR(__xludf.DUMMYFUNCTION("""COMPUTED_VALUE"""),7056788.0)</f>
        <v>7056788</v>
      </c>
    </row>
    <row r="9">
      <c r="A9" s="7">
        <f>IFERROR(__xludf.DUMMYFUNCTION("""COMPUTED_VALUE"""),45219.64583333333)</f>
        <v>45219.64583</v>
      </c>
      <c r="B9" s="6">
        <f>IFERROR(__xludf.DUMMYFUNCTION("""COMPUTED_VALUE"""),777.25)</f>
        <v>777.25</v>
      </c>
      <c r="C9" s="6">
        <f>IFERROR(__xludf.DUMMYFUNCTION("""COMPUTED_VALUE"""),801.0)</f>
        <v>801</v>
      </c>
      <c r="D9" s="6">
        <f>IFERROR(__xludf.DUMMYFUNCTION("""COMPUTED_VALUE"""),761.9)</f>
        <v>761.9</v>
      </c>
      <c r="E9" s="6">
        <f>IFERROR(__xludf.DUMMYFUNCTION("""COMPUTED_VALUE"""),769.4)</f>
        <v>769.4</v>
      </c>
      <c r="F9" s="6">
        <f>IFERROR(__xludf.DUMMYFUNCTION("""COMPUTED_VALUE"""),8091155.0)</f>
        <v>8091155</v>
      </c>
    </row>
    <row r="10">
      <c r="A10" s="7">
        <f>IFERROR(__xludf.DUMMYFUNCTION("""COMPUTED_VALUE"""),45226.64583333333)</f>
        <v>45226.64583</v>
      </c>
      <c r="B10" s="6">
        <f>IFERROR(__xludf.DUMMYFUNCTION("""COMPUTED_VALUE"""),770.8)</f>
        <v>770.8</v>
      </c>
      <c r="C10" s="6">
        <f>IFERROR(__xludf.DUMMYFUNCTION("""COMPUTED_VALUE"""),774.8)</f>
        <v>774.8</v>
      </c>
      <c r="D10" s="6">
        <f>IFERROR(__xludf.DUMMYFUNCTION("""COMPUTED_VALUE"""),725.25)</f>
        <v>725.25</v>
      </c>
      <c r="E10" s="6">
        <f>IFERROR(__xludf.DUMMYFUNCTION("""COMPUTED_VALUE"""),732.0)</f>
        <v>732</v>
      </c>
      <c r="F10" s="6">
        <f>IFERROR(__xludf.DUMMYFUNCTION("""COMPUTED_VALUE"""),8242044.0)</f>
        <v>8242044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IFERROR(__xludf.DUMMYFUNCTION("""COMPUTED_VALUE"""),734.8)</f>
        <v>734.8</v>
      </c>
      <c r="C11" s="6">
        <f>IFERROR(__xludf.DUMMYFUNCTION("""COMPUTED_VALUE"""),748.0)</f>
        <v>748</v>
      </c>
      <c r="D11" s="6">
        <f>IFERROR(__xludf.DUMMYFUNCTION("""COMPUTED_VALUE"""),723.0)</f>
        <v>723</v>
      </c>
      <c r="E11" s="6">
        <f>IFERROR(__xludf.DUMMYFUNCTION("""COMPUTED_VALUE"""),746.05)</f>
        <v>746.05</v>
      </c>
      <c r="F11" s="6">
        <f>IFERROR(__xludf.DUMMYFUNCTION("""COMPUTED_VALUE"""),7992224.0)</f>
        <v>7992224</v>
      </c>
    </row>
    <row r="12">
      <c r="A12" s="7">
        <f>IFERROR(__xludf.DUMMYFUNCTION("""COMPUTED_VALUE"""),45240.64583333333)</f>
        <v>45240.64583</v>
      </c>
      <c r="B12" s="6">
        <f>IFERROR(__xludf.DUMMYFUNCTION("""COMPUTED_VALUE"""),748.1)</f>
        <v>748.1</v>
      </c>
      <c r="C12" s="6">
        <f>IFERROR(__xludf.DUMMYFUNCTION("""COMPUTED_VALUE"""),759.9)</f>
        <v>759.9</v>
      </c>
      <c r="D12" s="6">
        <f>IFERROR(__xludf.DUMMYFUNCTION("""COMPUTED_VALUE"""),744.9)</f>
        <v>744.9</v>
      </c>
      <c r="E12" s="6">
        <f>IFERROR(__xludf.DUMMYFUNCTION("""COMPUTED_VALUE"""),754.75)</f>
        <v>754.75</v>
      </c>
      <c r="F12" s="6">
        <f>IFERROR(__xludf.DUMMYFUNCTION("""COMPUTED_VALUE"""),1.1424225E7)</f>
        <v>11424225</v>
      </c>
    </row>
    <row r="13">
      <c r="A13" s="7">
        <f>IFERROR(__xludf.DUMMYFUNCTION("""COMPUTED_VALUE"""),45247.64583333333)</f>
        <v>45247.64583</v>
      </c>
      <c r="B13" s="6">
        <f>IFERROR(__xludf.DUMMYFUNCTION("""COMPUTED_VALUE"""),760.0)</f>
        <v>760</v>
      </c>
      <c r="C13" s="6">
        <f>IFERROR(__xludf.DUMMYFUNCTION("""COMPUTED_VALUE"""),782.5)</f>
        <v>782.5</v>
      </c>
      <c r="D13" s="6">
        <f>IFERROR(__xludf.DUMMYFUNCTION("""COMPUTED_VALUE"""),753.0)</f>
        <v>753</v>
      </c>
      <c r="E13" s="6">
        <f>IFERROR(__xludf.DUMMYFUNCTION("""COMPUTED_VALUE"""),768.8)</f>
        <v>768.8</v>
      </c>
      <c r="F13" s="6">
        <f>IFERROR(__xludf.DUMMYFUNCTION("""COMPUTED_VALUE"""),6787355.0)</f>
        <v>6787355</v>
      </c>
    </row>
    <row r="14">
      <c r="A14" s="7">
        <f>IFERROR(__xludf.DUMMYFUNCTION("""COMPUTED_VALUE"""),45254.64583333333)</f>
        <v>45254.64583</v>
      </c>
      <c r="B14" s="6">
        <f>IFERROR(__xludf.DUMMYFUNCTION("""COMPUTED_VALUE"""),769.9)</f>
        <v>769.9</v>
      </c>
      <c r="C14" s="6">
        <f>IFERROR(__xludf.DUMMYFUNCTION("""COMPUTED_VALUE"""),786.25)</f>
        <v>786.25</v>
      </c>
      <c r="D14" s="6">
        <f>IFERROR(__xludf.DUMMYFUNCTION("""COMPUTED_VALUE"""),760.65)</f>
        <v>760.65</v>
      </c>
      <c r="E14" s="6">
        <f>IFERROR(__xludf.DUMMYFUNCTION("""COMPUTED_VALUE"""),782.05)</f>
        <v>782.05</v>
      </c>
      <c r="F14" s="6">
        <f>IFERROR(__xludf.DUMMYFUNCTION("""COMPUTED_VALUE"""),7322102.0)</f>
        <v>7322102</v>
      </c>
    </row>
    <row r="15">
      <c r="A15" s="7">
        <f>IFERROR(__xludf.DUMMYFUNCTION("""COMPUTED_VALUE"""),45261.64583333333)</f>
        <v>45261.64583</v>
      </c>
      <c r="B15" s="6">
        <f>IFERROR(__xludf.DUMMYFUNCTION("""COMPUTED_VALUE"""),785.0)</f>
        <v>785</v>
      </c>
      <c r="C15" s="6">
        <f>IFERROR(__xludf.DUMMYFUNCTION("""COMPUTED_VALUE"""),815.0)</f>
        <v>815</v>
      </c>
      <c r="D15" s="6">
        <f>IFERROR(__xludf.DUMMYFUNCTION("""COMPUTED_VALUE"""),778.75)</f>
        <v>778.75</v>
      </c>
      <c r="E15" s="6">
        <f>IFERROR(__xludf.DUMMYFUNCTION("""COMPUTED_VALUE"""),810.8)</f>
        <v>810.8</v>
      </c>
      <c r="F15" s="6">
        <f>IFERROR(__xludf.DUMMYFUNCTION("""COMPUTED_VALUE"""),7546753.0)</f>
        <v>7546753</v>
      </c>
    </row>
    <row r="16">
      <c r="A16" s="7">
        <f>IFERROR(__xludf.DUMMYFUNCTION("""COMPUTED_VALUE"""),45268.64583333333)</f>
        <v>45268.64583</v>
      </c>
      <c r="B16" s="6">
        <f>IFERROR(__xludf.DUMMYFUNCTION("""COMPUTED_VALUE"""),820.0)</f>
        <v>820</v>
      </c>
      <c r="C16" s="6">
        <f>IFERROR(__xludf.DUMMYFUNCTION("""COMPUTED_VALUE"""),853.45)</f>
        <v>853.45</v>
      </c>
      <c r="D16" s="6">
        <f>IFERROR(__xludf.DUMMYFUNCTION("""COMPUTED_VALUE"""),812.35)</f>
        <v>812.35</v>
      </c>
      <c r="E16" s="6">
        <f>IFERROR(__xludf.DUMMYFUNCTION("""COMPUTED_VALUE"""),839.35)</f>
        <v>839.35</v>
      </c>
      <c r="F16" s="6">
        <f>IFERROR(__xludf.DUMMYFUNCTION("""COMPUTED_VALUE"""),1.4531771E7)</f>
        <v>14531771</v>
      </c>
    </row>
    <row r="17">
      <c r="A17" s="7">
        <f>IFERROR(__xludf.DUMMYFUNCTION("""COMPUTED_VALUE"""),45275.64583333333)</f>
        <v>45275.64583</v>
      </c>
      <c r="B17" s="6">
        <f>IFERROR(__xludf.DUMMYFUNCTION("""COMPUTED_VALUE"""),841.55)</f>
        <v>841.55</v>
      </c>
      <c r="C17" s="6">
        <f>IFERROR(__xludf.DUMMYFUNCTION("""COMPUTED_VALUE"""),870.55)</f>
        <v>870.55</v>
      </c>
      <c r="D17" s="6">
        <f>IFERROR(__xludf.DUMMYFUNCTION("""COMPUTED_VALUE"""),831.8)</f>
        <v>831.8</v>
      </c>
      <c r="E17" s="6">
        <f>IFERROR(__xludf.DUMMYFUNCTION("""COMPUTED_VALUE"""),867.2)</f>
        <v>867.2</v>
      </c>
      <c r="F17" s="6">
        <f>IFERROR(__xludf.DUMMYFUNCTION("""COMPUTED_VALUE"""),1.3090004E7)</f>
        <v>13090004</v>
      </c>
    </row>
    <row r="18">
      <c r="A18" s="7">
        <f>IFERROR(__xludf.DUMMYFUNCTION("""COMPUTED_VALUE"""),45282.64583333333)</f>
        <v>45282.64583</v>
      </c>
      <c r="B18" s="6">
        <f>IFERROR(__xludf.DUMMYFUNCTION("""COMPUTED_VALUE"""),844.0)</f>
        <v>844</v>
      </c>
      <c r="C18" s="6">
        <f>IFERROR(__xludf.DUMMYFUNCTION("""COMPUTED_VALUE"""),865.55)</f>
        <v>865.55</v>
      </c>
      <c r="D18" s="6">
        <f>IFERROR(__xludf.DUMMYFUNCTION("""COMPUTED_VALUE"""),820.1)</f>
        <v>820.1</v>
      </c>
      <c r="E18" s="6">
        <f>IFERROR(__xludf.DUMMYFUNCTION("""COMPUTED_VALUE"""),855.3)</f>
        <v>855.3</v>
      </c>
      <c r="F18" s="6">
        <f>IFERROR(__xludf.DUMMYFUNCTION("""COMPUTED_VALUE"""),1.1328732E7)</f>
        <v>11328732</v>
      </c>
    </row>
    <row r="19">
      <c r="A19" s="7">
        <f>IFERROR(__xludf.DUMMYFUNCTION("""COMPUTED_VALUE"""),45289.64583333333)</f>
        <v>45289.64583</v>
      </c>
      <c r="B19" s="6">
        <f>IFERROR(__xludf.DUMMYFUNCTION("""COMPUTED_VALUE"""),857.5)</f>
        <v>857.5</v>
      </c>
      <c r="C19" s="6">
        <f>IFERROR(__xludf.DUMMYFUNCTION("""COMPUTED_VALUE"""),895.75)</f>
        <v>895.75</v>
      </c>
      <c r="D19" s="6">
        <f>IFERROR(__xludf.DUMMYFUNCTION("""COMPUTED_VALUE"""),849.95)</f>
        <v>849.95</v>
      </c>
      <c r="E19" s="6">
        <f>IFERROR(__xludf.DUMMYFUNCTION("""COMPUTED_VALUE"""),880.25)</f>
        <v>880.25</v>
      </c>
      <c r="F19" s="6">
        <f>IFERROR(__xludf.DUMMYFUNCTION("""COMPUTED_VALUE"""),1.0149739E7)</f>
        <v>10149739</v>
      </c>
    </row>
    <row r="20">
      <c r="A20" s="7">
        <f>IFERROR(__xludf.DUMMYFUNCTION("""COMPUTED_VALUE"""),45296.64583333333)</f>
        <v>45296.64583</v>
      </c>
      <c r="B20" s="6">
        <f>IFERROR(__xludf.DUMMYFUNCTION("""COMPUTED_VALUE"""),880.25)</f>
        <v>880.25</v>
      </c>
      <c r="C20" s="6">
        <f>IFERROR(__xludf.DUMMYFUNCTION("""COMPUTED_VALUE"""),884.8)</f>
        <v>884.8</v>
      </c>
      <c r="D20" s="6">
        <f>IFERROR(__xludf.DUMMYFUNCTION("""COMPUTED_VALUE"""),827.2)</f>
        <v>827.2</v>
      </c>
      <c r="E20" s="6">
        <f>IFERROR(__xludf.DUMMYFUNCTION("""COMPUTED_VALUE"""),829.4)</f>
        <v>829.4</v>
      </c>
      <c r="F20" s="6">
        <f>IFERROR(__xludf.DUMMYFUNCTION("""COMPUTED_VALUE"""),1.0316057E7)</f>
        <v>10316057</v>
      </c>
    </row>
    <row r="21">
      <c r="A21" s="7">
        <f>IFERROR(__xludf.DUMMYFUNCTION("""COMPUTED_VALUE"""),45303.64583333333)</f>
        <v>45303.64583</v>
      </c>
      <c r="B21" s="6">
        <f>IFERROR(__xludf.DUMMYFUNCTION("""COMPUTED_VALUE"""),835.75)</f>
        <v>835.75</v>
      </c>
      <c r="C21" s="6">
        <f>IFERROR(__xludf.DUMMYFUNCTION("""COMPUTED_VALUE"""),836.75)</f>
        <v>836.75</v>
      </c>
      <c r="D21" s="6">
        <f>IFERROR(__xludf.DUMMYFUNCTION("""COMPUTED_VALUE"""),811.2)</f>
        <v>811.2</v>
      </c>
      <c r="E21" s="6">
        <f>IFERROR(__xludf.DUMMYFUNCTION("""COMPUTED_VALUE"""),825.8)</f>
        <v>825.8</v>
      </c>
      <c r="F21" s="6">
        <f>IFERROR(__xludf.DUMMYFUNCTION("""COMPUTED_VALUE"""),6363829.0)</f>
        <v>6363829</v>
      </c>
    </row>
    <row r="22">
      <c r="A22" s="7">
        <f>IFERROR(__xludf.DUMMYFUNCTION("""COMPUTED_VALUE"""),45316.64583333333)</f>
        <v>45316.64583</v>
      </c>
      <c r="B22" s="6">
        <f>IFERROR(__xludf.DUMMYFUNCTION("""COMPUTED_VALUE"""),808.25)</f>
        <v>808.25</v>
      </c>
      <c r="C22" s="6">
        <f>IFERROR(__xludf.DUMMYFUNCTION("""COMPUTED_VALUE"""),821.0)</f>
        <v>821</v>
      </c>
      <c r="D22" s="6">
        <f>IFERROR(__xludf.DUMMYFUNCTION("""COMPUTED_VALUE"""),784.0)</f>
        <v>784</v>
      </c>
      <c r="E22" s="6">
        <f>IFERROR(__xludf.DUMMYFUNCTION("""COMPUTED_VALUE"""),815.7)</f>
        <v>815.7</v>
      </c>
      <c r="F22" s="6">
        <f>IFERROR(__xludf.DUMMYFUNCTION("""COMPUTED_VALUE"""),6263802.0)</f>
        <v>6263802</v>
      </c>
    </row>
    <row r="23">
      <c r="A23" s="7">
        <f>IFERROR(__xludf.DUMMYFUNCTION("""COMPUTED_VALUE"""),45324.64583333333)</f>
        <v>45324.64583</v>
      </c>
      <c r="B23" s="6">
        <f>IFERROR(__xludf.DUMMYFUNCTION("""COMPUTED_VALUE"""),819.05)</f>
        <v>819.05</v>
      </c>
      <c r="C23" s="6">
        <f>IFERROR(__xludf.DUMMYFUNCTION("""COMPUTED_VALUE"""),829.35)</f>
        <v>829.35</v>
      </c>
      <c r="D23" s="6">
        <f>IFERROR(__xludf.DUMMYFUNCTION("""COMPUTED_VALUE"""),800.1)</f>
        <v>800.1</v>
      </c>
      <c r="E23" s="6">
        <f>IFERROR(__xludf.DUMMYFUNCTION("""COMPUTED_VALUE"""),823.55)</f>
        <v>823.55</v>
      </c>
      <c r="F23" s="6">
        <f>IFERROR(__xludf.DUMMYFUNCTION("""COMPUTED_VALUE"""),1.0580244E7)</f>
        <v>10580244</v>
      </c>
    </row>
    <row r="24">
      <c r="A24" s="7">
        <f>IFERROR(__xludf.DUMMYFUNCTION("""COMPUTED_VALUE"""),45331.64583333333)</f>
        <v>45331.64583</v>
      </c>
      <c r="B24" s="6">
        <f>IFERROR(__xludf.DUMMYFUNCTION("""COMPUTED_VALUE"""),824.15)</f>
        <v>824.15</v>
      </c>
      <c r="C24" s="6">
        <f>IFERROR(__xludf.DUMMYFUNCTION("""COMPUTED_VALUE"""),842.9)</f>
        <v>842.9</v>
      </c>
      <c r="D24" s="6">
        <f>IFERROR(__xludf.DUMMYFUNCTION("""COMPUTED_VALUE"""),800.45)</f>
        <v>800.45</v>
      </c>
      <c r="E24" s="6">
        <f>IFERROR(__xludf.DUMMYFUNCTION("""COMPUTED_VALUE"""),811.75)</f>
        <v>811.75</v>
      </c>
      <c r="F24" s="6">
        <f>IFERROR(__xludf.DUMMYFUNCTION("""COMPUTED_VALUE"""),1.094193E7)</f>
        <v>10941930</v>
      </c>
    </row>
    <row r="25">
      <c r="A25" s="7">
        <f>IFERROR(__xludf.DUMMYFUNCTION("""COMPUTED_VALUE"""),45338.64583333333)</f>
        <v>45338.64583</v>
      </c>
      <c r="B25" s="6">
        <f>IFERROR(__xludf.DUMMYFUNCTION("""COMPUTED_VALUE"""),818.0)</f>
        <v>818</v>
      </c>
      <c r="C25" s="6">
        <f>IFERROR(__xludf.DUMMYFUNCTION("""COMPUTED_VALUE"""),824.4)</f>
        <v>824.4</v>
      </c>
      <c r="D25" s="6">
        <f>IFERROR(__xludf.DUMMYFUNCTION("""COMPUTED_VALUE"""),790.55)</f>
        <v>790.55</v>
      </c>
      <c r="E25" s="6">
        <f>IFERROR(__xludf.DUMMYFUNCTION("""COMPUTED_VALUE"""),819.95)</f>
        <v>819.95</v>
      </c>
      <c r="F25" s="6">
        <f>IFERROR(__xludf.DUMMYFUNCTION("""COMPUTED_VALUE"""),7888060.0)</f>
        <v>7888060</v>
      </c>
    </row>
    <row r="26">
      <c r="A26" s="7">
        <f>IFERROR(__xludf.DUMMYFUNCTION("""COMPUTED_VALUE"""),45345.64583333333)</f>
        <v>45345.64583</v>
      </c>
      <c r="B26" s="6">
        <f>IFERROR(__xludf.DUMMYFUNCTION("""COMPUTED_VALUE"""),825.95)</f>
        <v>825.95</v>
      </c>
      <c r="C26" s="6">
        <f>IFERROR(__xludf.DUMMYFUNCTION("""COMPUTED_VALUE"""),850.0)</f>
        <v>850</v>
      </c>
      <c r="D26" s="6">
        <f>IFERROR(__xludf.DUMMYFUNCTION("""COMPUTED_VALUE"""),811.8)</f>
        <v>811.8</v>
      </c>
      <c r="E26" s="6">
        <f>IFERROR(__xludf.DUMMYFUNCTION("""COMPUTED_VALUE"""),821.0)</f>
        <v>821</v>
      </c>
      <c r="F26" s="6">
        <f>IFERROR(__xludf.DUMMYFUNCTION("""COMPUTED_VALUE"""),1.2736376E7)</f>
        <v>12736376</v>
      </c>
    </row>
    <row r="27">
      <c r="A27" s="7">
        <f>IFERROR(__xludf.DUMMYFUNCTION("""COMPUTED_VALUE"""),45358.64583333333)</f>
        <v>45358.64583</v>
      </c>
      <c r="B27" s="6">
        <f>IFERROR(__xludf.DUMMYFUNCTION("""COMPUTED_VALUE"""),839.0)</f>
        <v>839</v>
      </c>
      <c r="C27" s="6">
        <f>IFERROR(__xludf.DUMMYFUNCTION("""COMPUTED_VALUE"""),844.9)</f>
        <v>844.9</v>
      </c>
      <c r="D27" s="6">
        <f>IFERROR(__xludf.DUMMYFUNCTION("""COMPUTED_VALUE"""),800.0)</f>
        <v>800</v>
      </c>
      <c r="E27" s="6">
        <f>IFERROR(__xludf.DUMMYFUNCTION("""COMPUTED_VALUE"""),830.0)</f>
        <v>830</v>
      </c>
      <c r="F27" s="6">
        <f>IFERROR(__xludf.DUMMYFUNCTION("""COMPUTED_VALUE"""),1.3568673E7)</f>
        <v>13568673</v>
      </c>
    </row>
    <row r="28">
      <c r="A28" s="7">
        <f>IFERROR(__xludf.DUMMYFUNCTION("""COMPUTED_VALUE"""),45366.64583333333)</f>
        <v>45366.64583</v>
      </c>
      <c r="B28" s="6">
        <f>IFERROR(__xludf.DUMMYFUNCTION("""COMPUTED_VALUE"""),832.0)</f>
        <v>832</v>
      </c>
      <c r="C28" s="6">
        <f>IFERROR(__xludf.DUMMYFUNCTION("""COMPUTED_VALUE"""),836.6)</f>
        <v>836.6</v>
      </c>
      <c r="D28" s="6">
        <f>IFERROR(__xludf.DUMMYFUNCTION("""COMPUTED_VALUE"""),761.75)</f>
        <v>761.75</v>
      </c>
      <c r="E28" s="6">
        <f>IFERROR(__xludf.DUMMYFUNCTION("""COMPUTED_VALUE"""),780.65)</f>
        <v>780.65</v>
      </c>
      <c r="F28" s="6">
        <f>IFERROR(__xludf.DUMMYFUNCTION("""COMPUTED_VALUE"""),1.5157506E7)</f>
        <v>15157506</v>
      </c>
    </row>
    <row r="29">
      <c r="A29" s="7">
        <f>IFERROR(__xludf.DUMMYFUNCTION("""COMPUTED_VALUE"""),45373.64583333333)</f>
        <v>45373.64583</v>
      </c>
      <c r="B29" s="6">
        <f>IFERROR(__xludf.DUMMYFUNCTION("""COMPUTED_VALUE"""),780.65)</f>
        <v>780.65</v>
      </c>
      <c r="C29" s="6">
        <f>IFERROR(__xludf.DUMMYFUNCTION("""COMPUTED_VALUE"""),832.95)</f>
        <v>832.95</v>
      </c>
      <c r="D29" s="6">
        <f>IFERROR(__xludf.DUMMYFUNCTION("""COMPUTED_VALUE"""),778.5)</f>
        <v>778.5</v>
      </c>
      <c r="E29" s="6">
        <f>IFERROR(__xludf.DUMMYFUNCTION("""COMPUTED_VALUE"""),824.8)</f>
        <v>824.8</v>
      </c>
      <c r="F29" s="6">
        <f>IFERROR(__xludf.DUMMYFUNCTION("""COMPUTED_VALUE"""),1.4059069E7)</f>
        <v>14059069</v>
      </c>
    </row>
    <row r="30">
      <c r="A30" s="7">
        <f>IFERROR(__xludf.DUMMYFUNCTION("""COMPUTED_VALUE"""),45379.64583333333)</f>
        <v>45379.64583</v>
      </c>
      <c r="B30" s="6">
        <f>IFERROR(__xludf.DUMMYFUNCTION("""COMPUTED_VALUE"""),820.55)</f>
        <v>820.55</v>
      </c>
      <c r="C30" s="6">
        <f>IFERROR(__xludf.DUMMYFUNCTION("""COMPUTED_VALUE"""),840.85)</f>
        <v>840.85</v>
      </c>
      <c r="D30" s="6">
        <f>IFERROR(__xludf.DUMMYFUNCTION("""COMPUTED_VALUE"""),815.4)</f>
        <v>815.4</v>
      </c>
      <c r="E30" s="6">
        <f>IFERROR(__xludf.DUMMYFUNCTION("""COMPUTED_VALUE"""),830.2)</f>
        <v>830.2</v>
      </c>
      <c r="F30" s="6">
        <f>IFERROR(__xludf.DUMMYFUNCTION("""COMPUTED_VALUE"""),8061172.0)</f>
        <v>8061172</v>
      </c>
    </row>
    <row r="31">
      <c r="A31" s="7">
        <f>IFERROR(__xludf.DUMMYFUNCTION("""COMPUTED_VALUE"""),45387.64583333333)</f>
        <v>45387.64583</v>
      </c>
      <c r="B31" s="6">
        <f>IFERROR(__xludf.DUMMYFUNCTION("""COMPUTED_VALUE"""),838.0)</f>
        <v>838</v>
      </c>
      <c r="C31" s="6">
        <f>IFERROR(__xludf.DUMMYFUNCTION("""COMPUTED_VALUE"""),881.85)</f>
        <v>881.85</v>
      </c>
      <c r="D31" s="6">
        <f>IFERROR(__xludf.DUMMYFUNCTION("""COMPUTED_VALUE"""),838.0)</f>
        <v>838</v>
      </c>
      <c r="E31" s="6">
        <f>IFERROR(__xludf.DUMMYFUNCTION("""COMPUTED_VALUE"""),857.1)</f>
        <v>857.1</v>
      </c>
      <c r="F31" s="6">
        <f>IFERROR(__xludf.DUMMYFUNCTION("""COMPUTED_VALUE"""),1.5455948E7)</f>
        <v>15455948</v>
      </c>
    </row>
    <row r="32">
      <c r="A32" s="7">
        <f>IFERROR(__xludf.DUMMYFUNCTION("""COMPUTED_VALUE"""),45394.64583333333)</f>
        <v>45394.64583</v>
      </c>
      <c r="B32" s="6">
        <f>IFERROR(__xludf.DUMMYFUNCTION("""COMPUTED_VALUE"""),864.0)</f>
        <v>864</v>
      </c>
      <c r="C32" s="6">
        <f>IFERROR(__xludf.DUMMYFUNCTION("""COMPUTED_VALUE"""),891.45)</f>
        <v>891.45</v>
      </c>
      <c r="D32" s="6">
        <f>IFERROR(__xludf.DUMMYFUNCTION("""COMPUTED_VALUE"""),860.25)</f>
        <v>860.25</v>
      </c>
      <c r="E32" s="6">
        <f>IFERROR(__xludf.DUMMYFUNCTION("""COMPUTED_VALUE"""),866.45)</f>
        <v>866.45</v>
      </c>
      <c r="F32" s="6">
        <f>IFERROR(__xludf.DUMMYFUNCTION("""COMPUTED_VALUE"""),1.1623919E7)</f>
        <v>11623919</v>
      </c>
    </row>
    <row r="33">
      <c r="A33" s="7">
        <f>IFERROR(__xludf.DUMMYFUNCTION("""COMPUTED_VALUE"""),45401.64583333333)</f>
        <v>45401.64583</v>
      </c>
      <c r="B33" s="6">
        <f>IFERROR(__xludf.DUMMYFUNCTION("""COMPUTED_VALUE"""),862.9)</f>
        <v>862.9</v>
      </c>
      <c r="C33" s="6">
        <f>IFERROR(__xludf.DUMMYFUNCTION("""COMPUTED_VALUE"""),882.0)</f>
        <v>882</v>
      </c>
      <c r="D33" s="6">
        <f>IFERROR(__xludf.DUMMYFUNCTION("""COMPUTED_VALUE"""),833.2)</f>
        <v>833.2</v>
      </c>
      <c r="E33" s="6">
        <f>IFERROR(__xludf.DUMMYFUNCTION("""COMPUTED_VALUE"""),864.8)</f>
        <v>864.8</v>
      </c>
      <c r="F33" s="6">
        <f>IFERROR(__xludf.DUMMYFUNCTION("""COMPUTED_VALUE"""),1.0277096E7)</f>
        <v>10277096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IFERROR(__xludf.DUMMYFUNCTION("""COMPUTED_VALUE"""),867.1)</f>
        <v>867.1</v>
      </c>
      <c r="C34" s="6">
        <f>IFERROR(__xludf.DUMMYFUNCTION("""COMPUTED_VALUE"""),914.0)</f>
        <v>914</v>
      </c>
      <c r="D34" s="6">
        <f>IFERROR(__xludf.DUMMYFUNCTION("""COMPUTED_VALUE"""),848.55)</f>
        <v>848.55</v>
      </c>
      <c r="E34" s="6">
        <f>IFERROR(__xludf.DUMMYFUNCTION("""COMPUTED_VALUE"""),887.25)</f>
        <v>887.25</v>
      </c>
      <c r="F34" s="6">
        <f>IFERROR(__xludf.DUMMYFUNCTION("""COMPUTED_VALUE"""),1.6118172E7)</f>
        <v>16118172</v>
      </c>
    </row>
    <row r="35">
      <c r="A35" s="7">
        <f>IFERROR(__xludf.DUMMYFUNCTION("""COMPUTED_VALUE"""),45415.64583333333)</f>
        <v>45415.64583</v>
      </c>
      <c r="B35" s="6">
        <f>IFERROR(__xludf.DUMMYFUNCTION("""COMPUTED_VALUE"""),898.4)</f>
        <v>898.4</v>
      </c>
      <c r="C35" s="6">
        <f>IFERROR(__xludf.DUMMYFUNCTION("""COMPUTED_VALUE"""),903.7)</f>
        <v>903.7</v>
      </c>
      <c r="D35" s="6">
        <f>IFERROR(__xludf.DUMMYFUNCTION("""COMPUTED_VALUE"""),866.0)</f>
        <v>866</v>
      </c>
      <c r="E35" s="6">
        <f>IFERROR(__xludf.DUMMYFUNCTION("""COMPUTED_VALUE"""),874.2)</f>
        <v>874.2</v>
      </c>
      <c r="F35" s="6">
        <f>IFERROR(__xludf.DUMMYFUNCTION("""COMPUTED_VALUE"""),9908657.0)</f>
        <v>9908657</v>
      </c>
    </row>
    <row r="36">
      <c r="A36" s="7">
        <f>IFERROR(__xludf.DUMMYFUNCTION("""COMPUTED_VALUE"""),45422.64583333333)</f>
        <v>45422.64583</v>
      </c>
      <c r="B36" s="6">
        <f>IFERROR(__xludf.DUMMYFUNCTION("""COMPUTED_VALUE"""),879.7)</f>
        <v>879.7</v>
      </c>
      <c r="C36" s="6">
        <f>IFERROR(__xludf.DUMMYFUNCTION("""COMPUTED_VALUE"""),893.0)</f>
        <v>893</v>
      </c>
      <c r="D36" s="6">
        <f>IFERROR(__xludf.DUMMYFUNCTION("""COMPUTED_VALUE"""),831.05)</f>
        <v>831.05</v>
      </c>
      <c r="E36" s="6">
        <f>IFERROR(__xludf.DUMMYFUNCTION("""COMPUTED_VALUE"""),853.6)</f>
        <v>853.6</v>
      </c>
      <c r="F36" s="6">
        <f>IFERROR(__xludf.DUMMYFUNCTION("""COMPUTED_VALUE"""),1.1004995E7)</f>
        <v>11004995</v>
      </c>
    </row>
    <row r="37">
      <c r="A37" s="7">
        <f>IFERROR(__xludf.DUMMYFUNCTION("""COMPUTED_VALUE"""),45436.64583333333)</f>
        <v>45436.64583</v>
      </c>
      <c r="B37" s="6">
        <f>IFERROR(__xludf.DUMMYFUNCTION("""COMPUTED_VALUE"""),892.0)</f>
        <v>892</v>
      </c>
      <c r="C37" s="6">
        <f>IFERROR(__xludf.DUMMYFUNCTION("""COMPUTED_VALUE"""),928.95)</f>
        <v>928.95</v>
      </c>
      <c r="D37" s="6">
        <f>IFERROR(__xludf.DUMMYFUNCTION("""COMPUTED_VALUE"""),890.7)</f>
        <v>890.7</v>
      </c>
      <c r="E37" s="6">
        <f>IFERROR(__xludf.DUMMYFUNCTION("""COMPUTED_VALUE"""),908.65)</f>
        <v>908.65</v>
      </c>
      <c r="F37" s="6">
        <f>IFERROR(__xludf.DUMMYFUNCTION("""COMPUTED_VALUE"""),1.4790536E7)</f>
        <v>14790536</v>
      </c>
    </row>
    <row r="38">
      <c r="A38" s="7">
        <f>IFERROR(__xludf.DUMMYFUNCTION("""COMPUTED_VALUE"""),45443.64583333333)</f>
        <v>45443.64583</v>
      </c>
      <c r="B38" s="6">
        <f>IFERROR(__xludf.DUMMYFUNCTION("""COMPUTED_VALUE"""),910.5)</f>
        <v>910.5</v>
      </c>
      <c r="C38" s="6">
        <f>IFERROR(__xludf.DUMMYFUNCTION("""COMPUTED_VALUE"""),919.15)</f>
        <v>919.15</v>
      </c>
      <c r="D38" s="6">
        <f>IFERROR(__xludf.DUMMYFUNCTION("""COMPUTED_VALUE"""),873.25)</f>
        <v>873.25</v>
      </c>
      <c r="E38" s="6">
        <f>IFERROR(__xludf.DUMMYFUNCTION("""COMPUTED_VALUE"""),880.55)</f>
        <v>880.55</v>
      </c>
      <c r="F38" s="6">
        <f>IFERROR(__xludf.DUMMYFUNCTION("""COMPUTED_VALUE"""),1.48089E7)</f>
        <v>14808900</v>
      </c>
    </row>
    <row r="39">
      <c r="A39" s="7">
        <f>IFERROR(__xludf.DUMMYFUNCTION("""COMPUTED_VALUE"""),45450.64583333333)</f>
        <v>45450.64583</v>
      </c>
      <c r="B39" s="6">
        <f>IFERROR(__xludf.DUMMYFUNCTION("""COMPUTED_VALUE"""),912.0)</f>
        <v>912</v>
      </c>
      <c r="C39" s="6">
        <f>IFERROR(__xludf.DUMMYFUNCTION("""COMPUTED_VALUE"""),917.7)</f>
        <v>917.7</v>
      </c>
      <c r="D39" s="6">
        <f>IFERROR(__xludf.DUMMYFUNCTION("""COMPUTED_VALUE"""),823.8)</f>
        <v>823.8</v>
      </c>
      <c r="E39" s="6">
        <f>IFERROR(__xludf.DUMMYFUNCTION("""COMPUTED_VALUE"""),912.15)</f>
        <v>912.15</v>
      </c>
      <c r="F39" s="6">
        <f>IFERROR(__xludf.DUMMYFUNCTION("""COMPUTED_VALUE"""),1.5239685E7)</f>
        <v>15239685</v>
      </c>
    </row>
    <row r="40">
      <c r="A40" s="7">
        <f>IFERROR(__xludf.DUMMYFUNCTION("""COMPUTED_VALUE"""),45457.64583333333)</f>
        <v>45457.64583</v>
      </c>
      <c r="B40" s="6">
        <f>IFERROR(__xludf.DUMMYFUNCTION("""COMPUTED_VALUE"""),907.0)</f>
        <v>907</v>
      </c>
      <c r="C40" s="6">
        <f>IFERROR(__xludf.DUMMYFUNCTION("""COMPUTED_VALUE"""),925.05)</f>
        <v>925.05</v>
      </c>
      <c r="D40" s="6">
        <f>IFERROR(__xludf.DUMMYFUNCTION("""COMPUTED_VALUE"""),900.75)</f>
        <v>900.75</v>
      </c>
      <c r="E40" s="6">
        <f>IFERROR(__xludf.DUMMYFUNCTION("""COMPUTED_VALUE"""),921.15)</f>
        <v>921.15</v>
      </c>
      <c r="F40" s="6">
        <f>IFERROR(__xludf.DUMMYFUNCTION("""COMPUTED_VALUE"""),9967139.0)</f>
        <v>9967139</v>
      </c>
    </row>
    <row r="41">
      <c r="A41" s="7">
        <f>IFERROR(__xludf.DUMMYFUNCTION("""COMPUTED_VALUE"""),45464.64583333333)</f>
        <v>45464.64583</v>
      </c>
      <c r="B41" s="6">
        <f>IFERROR(__xludf.DUMMYFUNCTION("""COMPUTED_VALUE"""),921.15)</f>
        <v>921.15</v>
      </c>
      <c r="C41" s="6">
        <f>IFERROR(__xludf.DUMMYFUNCTION("""COMPUTED_VALUE"""),944.0)</f>
        <v>944</v>
      </c>
      <c r="D41" s="6">
        <f>IFERROR(__xludf.DUMMYFUNCTION("""COMPUTED_VALUE"""),911.3)</f>
        <v>911.3</v>
      </c>
      <c r="E41" s="6">
        <f>IFERROR(__xludf.DUMMYFUNCTION("""COMPUTED_VALUE"""),936.9)</f>
        <v>936.9</v>
      </c>
      <c r="F41" s="6">
        <f>IFERROR(__xludf.DUMMYFUNCTION("""COMPUTED_VALUE"""),1.1608236E7)</f>
        <v>11608236</v>
      </c>
    </row>
    <row r="42">
      <c r="A42" s="7">
        <f>IFERROR(__xludf.DUMMYFUNCTION("""COMPUTED_VALUE"""),45471.64583333333)</f>
        <v>45471.64583</v>
      </c>
      <c r="B42" s="6">
        <f>IFERROR(__xludf.DUMMYFUNCTION("""COMPUTED_VALUE"""),936.0)</f>
        <v>936</v>
      </c>
      <c r="C42" s="6">
        <f>IFERROR(__xludf.DUMMYFUNCTION("""COMPUTED_VALUE"""),949.4)</f>
        <v>949.4</v>
      </c>
      <c r="D42" s="6">
        <f>IFERROR(__xludf.DUMMYFUNCTION("""COMPUTED_VALUE"""),915.3)</f>
        <v>915.3</v>
      </c>
      <c r="E42" s="6">
        <f>IFERROR(__xludf.DUMMYFUNCTION("""COMPUTED_VALUE"""),931.5)</f>
        <v>931.5</v>
      </c>
      <c r="F42" s="6">
        <f>IFERROR(__xludf.DUMMYFUNCTION("""COMPUTED_VALUE"""),1.2035999E7)</f>
        <v>12035999</v>
      </c>
    </row>
    <row r="43">
      <c r="A43" s="7">
        <f>IFERROR(__xludf.DUMMYFUNCTION("""COMPUTED_VALUE"""),45478.64583333333)</f>
        <v>45478.64583</v>
      </c>
      <c r="B43" s="6">
        <f>IFERROR(__xludf.DUMMYFUNCTION("""COMPUTED_VALUE"""),935.0)</f>
        <v>935</v>
      </c>
      <c r="C43" s="6">
        <f>IFERROR(__xludf.DUMMYFUNCTION("""COMPUTED_VALUE"""),959.4)</f>
        <v>959.4</v>
      </c>
      <c r="D43" s="6">
        <f>IFERROR(__xludf.DUMMYFUNCTION("""COMPUTED_VALUE"""),931.6)</f>
        <v>931.6</v>
      </c>
      <c r="E43" s="6">
        <f>IFERROR(__xludf.DUMMYFUNCTION("""COMPUTED_VALUE"""),954.05)</f>
        <v>954.05</v>
      </c>
      <c r="F43" s="6">
        <f>IFERROR(__xludf.DUMMYFUNCTION("""COMPUTED_VALUE"""),8835886.0)</f>
        <v>8835886</v>
      </c>
    </row>
    <row r="44">
      <c r="A44" s="7">
        <f>IFERROR(__xludf.DUMMYFUNCTION("""COMPUTED_VALUE"""),45485.64583333333)</f>
        <v>45485.64583</v>
      </c>
      <c r="B44" s="6">
        <f>IFERROR(__xludf.DUMMYFUNCTION("""COMPUTED_VALUE"""),955.9)</f>
        <v>955.9</v>
      </c>
      <c r="C44" s="6">
        <f>IFERROR(__xludf.DUMMYFUNCTION("""COMPUTED_VALUE"""),955.9)</f>
        <v>955.9</v>
      </c>
      <c r="D44" s="6">
        <f>IFERROR(__xludf.DUMMYFUNCTION("""COMPUTED_VALUE"""),915.45)</f>
        <v>915.45</v>
      </c>
      <c r="E44" s="6">
        <f>IFERROR(__xludf.DUMMYFUNCTION("""COMPUTED_VALUE"""),934.4)</f>
        <v>934.4</v>
      </c>
      <c r="F44" s="6">
        <f>IFERROR(__xludf.DUMMYFUNCTION("""COMPUTED_VALUE"""),8390644.0)</f>
        <v>8390644</v>
      </c>
    </row>
    <row r="45">
      <c r="A45" s="7">
        <f>IFERROR(__xludf.DUMMYFUNCTION("""COMPUTED_VALUE"""),45492.64583333333)</f>
        <v>45492.64583</v>
      </c>
      <c r="B45" s="6">
        <f>IFERROR(__xludf.DUMMYFUNCTION("""COMPUTED_VALUE"""),937.95)</f>
        <v>937.95</v>
      </c>
      <c r="C45" s="6">
        <f>IFERROR(__xludf.DUMMYFUNCTION("""COMPUTED_VALUE"""),939.35)</f>
        <v>939.35</v>
      </c>
      <c r="D45" s="6">
        <f>IFERROR(__xludf.DUMMYFUNCTION("""COMPUTED_VALUE"""),886.55)</f>
        <v>886.55</v>
      </c>
      <c r="E45" s="6">
        <f>IFERROR(__xludf.DUMMYFUNCTION("""COMPUTED_VALUE"""),889.45)</f>
        <v>889.45</v>
      </c>
      <c r="F45" s="6">
        <f>IFERROR(__xludf.DUMMYFUNCTION("""COMPUTED_VALUE"""),7594601.0)</f>
        <v>7594601</v>
      </c>
    </row>
    <row r="46">
      <c r="A46" s="7">
        <f>IFERROR(__xludf.DUMMYFUNCTION("""COMPUTED_VALUE"""),45499.64583333333)</f>
        <v>45499.64583</v>
      </c>
      <c r="B46" s="6">
        <f>IFERROR(__xludf.DUMMYFUNCTION("""COMPUTED_VALUE"""),875.5)</f>
        <v>875.5</v>
      </c>
      <c r="C46" s="6">
        <f>IFERROR(__xludf.DUMMYFUNCTION("""COMPUTED_VALUE"""),908.8)</f>
        <v>908.8</v>
      </c>
      <c r="D46" s="6">
        <f>IFERROR(__xludf.DUMMYFUNCTION("""COMPUTED_VALUE"""),862.4)</f>
        <v>862.4</v>
      </c>
      <c r="E46" s="6">
        <f>IFERROR(__xludf.DUMMYFUNCTION("""COMPUTED_VALUE"""),900.55)</f>
        <v>900.55</v>
      </c>
      <c r="F46" s="6">
        <f>IFERROR(__xludf.DUMMYFUNCTION("""COMPUTED_VALUE"""),9578480.0)</f>
        <v>9578480</v>
      </c>
    </row>
    <row r="47">
      <c r="A47" s="7">
        <f>IFERROR(__xludf.DUMMYFUNCTION("""COMPUTED_VALUE"""),45506.64583333333)</f>
        <v>45506.64583</v>
      </c>
      <c r="B47" s="6">
        <f>IFERROR(__xludf.DUMMYFUNCTION("""COMPUTED_VALUE"""),909.9)</f>
        <v>909.9</v>
      </c>
      <c r="C47" s="6">
        <f>IFERROR(__xludf.DUMMYFUNCTION("""COMPUTED_VALUE"""),957.95)</f>
        <v>957.95</v>
      </c>
      <c r="D47" s="6">
        <f>IFERROR(__xludf.DUMMYFUNCTION("""COMPUTED_VALUE"""),890.15)</f>
        <v>890.15</v>
      </c>
      <c r="E47" s="6">
        <f>IFERROR(__xludf.DUMMYFUNCTION("""COMPUTED_VALUE"""),899.55)</f>
        <v>899.55</v>
      </c>
      <c r="F47" s="6">
        <f>IFERROR(__xludf.DUMMYFUNCTION("""COMPUTED_VALUE"""),1.2107641E7)</f>
        <v>12107641</v>
      </c>
    </row>
    <row r="48">
      <c r="A48" s="7">
        <f>IFERROR(__xludf.DUMMYFUNCTION("""COMPUTED_VALUE"""),45513.64583333333)</f>
        <v>45513.64583</v>
      </c>
      <c r="B48" s="6">
        <f>IFERROR(__xludf.DUMMYFUNCTION("""COMPUTED_VALUE"""),884.0)</f>
        <v>884</v>
      </c>
      <c r="C48" s="6">
        <f>IFERROR(__xludf.DUMMYFUNCTION("""COMPUTED_VALUE"""),914.75)</f>
        <v>914.75</v>
      </c>
      <c r="D48" s="6">
        <f>IFERROR(__xludf.DUMMYFUNCTION("""COMPUTED_VALUE"""),854.15)</f>
        <v>854.15</v>
      </c>
      <c r="E48" s="6">
        <f>IFERROR(__xludf.DUMMYFUNCTION("""COMPUTED_VALUE"""),905.1)</f>
        <v>905.1</v>
      </c>
      <c r="F48" s="6">
        <f>IFERROR(__xludf.DUMMYFUNCTION("""COMPUTED_VALUE"""),1.3506038E7)</f>
        <v>13506038</v>
      </c>
    </row>
    <row r="49">
      <c r="A49" s="7">
        <f>IFERROR(__xludf.DUMMYFUNCTION("""COMPUTED_VALUE"""),45520.64583333333)</f>
        <v>45520.64583</v>
      </c>
      <c r="B49" s="6">
        <f>IFERROR(__xludf.DUMMYFUNCTION("""COMPUTED_VALUE"""),904.8)</f>
        <v>904.8</v>
      </c>
      <c r="C49" s="6">
        <f>IFERROR(__xludf.DUMMYFUNCTION("""COMPUTED_VALUE"""),927.5)</f>
        <v>927.5</v>
      </c>
      <c r="D49" s="6">
        <f>IFERROR(__xludf.DUMMYFUNCTION("""COMPUTED_VALUE"""),882.55)</f>
        <v>882.55</v>
      </c>
      <c r="E49" s="6">
        <f>IFERROR(__xludf.DUMMYFUNCTION("""COMPUTED_VALUE"""),908.45)</f>
        <v>908.45</v>
      </c>
      <c r="F49" s="6">
        <f>IFERROR(__xludf.DUMMYFUNCTION("""COMPUTED_VALUE"""),9385613.0)</f>
        <v>9385613</v>
      </c>
    </row>
    <row r="50">
      <c r="A50" s="7">
        <f>IFERROR(__xludf.DUMMYFUNCTION("""COMPUTED_VALUE"""),45527.64583333333)</f>
        <v>45527.64583</v>
      </c>
      <c r="B50" s="6">
        <f>IFERROR(__xludf.DUMMYFUNCTION("""COMPUTED_VALUE"""),910.0)</f>
        <v>910</v>
      </c>
      <c r="C50" s="6">
        <f>IFERROR(__xludf.DUMMYFUNCTION("""COMPUTED_VALUE"""),943.95)</f>
        <v>943.95</v>
      </c>
      <c r="D50" s="6">
        <f>IFERROR(__xludf.DUMMYFUNCTION("""COMPUTED_VALUE"""),903.9)</f>
        <v>903.9</v>
      </c>
      <c r="E50" s="6">
        <f>IFERROR(__xludf.DUMMYFUNCTION("""COMPUTED_VALUE"""),941.05)</f>
        <v>941.05</v>
      </c>
      <c r="F50" s="6">
        <f>IFERROR(__xludf.DUMMYFUNCTION("""COMPUTED_VALUE"""),5659218.0)</f>
        <v>5659218</v>
      </c>
    </row>
    <row r="51">
      <c r="A51" s="7">
        <f>IFERROR(__xludf.DUMMYFUNCTION("""COMPUTED_VALUE"""),45534.64583333333)</f>
        <v>45534.64583</v>
      </c>
      <c r="B51" s="6">
        <f>IFERROR(__xludf.DUMMYFUNCTION("""COMPUTED_VALUE"""),945.5)</f>
        <v>945.5</v>
      </c>
      <c r="C51" s="6">
        <f>IFERROR(__xludf.DUMMYFUNCTION("""COMPUTED_VALUE"""),968.9)</f>
        <v>968.9</v>
      </c>
      <c r="D51" s="6">
        <f>IFERROR(__xludf.DUMMYFUNCTION("""COMPUTED_VALUE"""),930.8)</f>
        <v>930.8</v>
      </c>
      <c r="E51" s="6">
        <f>IFERROR(__xludf.DUMMYFUNCTION("""COMPUTED_VALUE"""),941.1)</f>
        <v>941.1</v>
      </c>
      <c r="F51" s="6">
        <f>IFERROR(__xludf.DUMMYFUNCTION("""COMPUTED_VALUE"""),1.2260446E7)</f>
        <v>12260446</v>
      </c>
    </row>
    <row r="52">
      <c r="A52" s="7">
        <f>IFERROR(__xludf.DUMMYFUNCTION("""COMPUTED_VALUE"""),45541.64583333333)</f>
        <v>45541.64583</v>
      </c>
      <c r="B52" s="6">
        <f>IFERROR(__xludf.DUMMYFUNCTION("""COMPUTED_VALUE"""),941.1)</f>
        <v>941.1</v>
      </c>
      <c r="C52" s="6">
        <f>IFERROR(__xludf.DUMMYFUNCTION("""COMPUTED_VALUE"""),951.45)</f>
        <v>951.45</v>
      </c>
      <c r="D52" s="6">
        <f>IFERROR(__xludf.DUMMYFUNCTION("""COMPUTED_VALUE"""),911.7)</f>
        <v>911.7</v>
      </c>
      <c r="E52" s="6">
        <f>IFERROR(__xludf.DUMMYFUNCTION("""COMPUTED_VALUE"""),932.8)</f>
        <v>932.8</v>
      </c>
      <c r="F52" s="6">
        <f>IFERROR(__xludf.DUMMYFUNCTION("""COMPUTED_VALUE"""),8920549.0)</f>
        <v>8920549</v>
      </c>
    </row>
    <row r="53">
      <c r="A53" s="7">
        <f>IFERROR(__xludf.DUMMYFUNCTION("""COMPUTED_VALUE"""),45548.64583333333)</f>
        <v>45548.64583</v>
      </c>
      <c r="B53" s="6">
        <f>IFERROR(__xludf.DUMMYFUNCTION("""COMPUTED_VALUE"""),923.0)</f>
        <v>923</v>
      </c>
      <c r="C53" s="6">
        <f>IFERROR(__xludf.DUMMYFUNCTION("""COMPUTED_VALUE"""),972.45)</f>
        <v>972.45</v>
      </c>
      <c r="D53" s="6">
        <f>IFERROR(__xludf.DUMMYFUNCTION("""COMPUTED_VALUE"""),919.05)</f>
        <v>919.05</v>
      </c>
      <c r="E53" s="6">
        <f>IFERROR(__xludf.DUMMYFUNCTION("""COMPUTED_VALUE"""),954.55)</f>
        <v>954.55</v>
      </c>
      <c r="F53" s="6">
        <f>IFERROR(__xludf.DUMMYFUNCTION("""COMPUTED_VALUE"""),9775828.0)</f>
        <v>9775828</v>
      </c>
    </row>
    <row r="54">
      <c r="A54" s="7">
        <f>IFERROR(__xludf.DUMMYFUNCTION("""COMPUTED_VALUE"""),45555.64583333333)</f>
        <v>45555.64583</v>
      </c>
      <c r="B54" s="6">
        <f>IFERROR(__xludf.DUMMYFUNCTION("""COMPUTED_VALUE"""),961.4)</f>
        <v>961.4</v>
      </c>
      <c r="C54" s="6">
        <f>IFERROR(__xludf.DUMMYFUNCTION("""COMPUTED_VALUE"""),988.0)</f>
        <v>988</v>
      </c>
      <c r="D54" s="6">
        <f>IFERROR(__xludf.DUMMYFUNCTION("""COMPUTED_VALUE"""),944.0)</f>
        <v>944</v>
      </c>
      <c r="E54" s="6">
        <f>IFERROR(__xludf.DUMMYFUNCTION("""COMPUTED_VALUE"""),981.55)</f>
        <v>981.55</v>
      </c>
      <c r="F54" s="6">
        <f>IFERROR(__xludf.DUMMYFUNCTION("""COMPUTED_VALUE"""),1.2688625E7)</f>
        <v>12688625</v>
      </c>
    </row>
    <row r="55">
      <c r="A55" s="7">
        <f>IFERROR(__xludf.DUMMYFUNCTION("""COMPUTED_VALUE"""),45562.64583333333)</f>
        <v>45562.64583</v>
      </c>
      <c r="B55" s="6">
        <f>IFERROR(__xludf.DUMMYFUNCTION("""COMPUTED_VALUE"""),986.0)</f>
        <v>986</v>
      </c>
      <c r="C55" s="6">
        <f>IFERROR(__xludf.DUMMYFUNCTION("""COMPUTED_VALUE"""),1018.9)</f>
        <v>1018.9</v>
      </c>
      <c r="D55" s="6">
        <f>IFERROR(__xludf.DUMMYFUNCTION("""COMPUTED_VALUE"""),972.7)</f>
        <v>972.7</v>
      </c>
      <c r="E55" s="6">
        <f>IFERROR(__xludf.DUMMYFUNCTION("""COMPUTED_VALUE"""),1001.55)</f>
        <v>1001.55</v>
      </c>
      <c r="F55" s="6">
        <f>IFERROR(__xludf.DUMMYFUNCTION("""COMPUTED_VALUE"""),1.4033454E7)</f>
        <v>14033454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IFERROR(__xludf.DUMMYFUNCTION("""COMPUTED_VALUE"""),1004.0)</f>
        <v>1004</v>
      </c>
      <c r="C56" s="6">
        <f>IFERROR(__xludf.DUMMYFUNCTION("""COMPUTED_VALUE"""),1063.0)</f>
        <v>1063</v>
      </c>
      <c r="D56" s="6">
        <f>IFERROR(__xludf.DUMMYFUNCTION("""COMPUTED_VALUE"""),1004.0)</f>
        <v>1004</v>
      </c>
      <c r="E56" s="6">
        <f>IFERROR(__xludf.DUMMYFUNCTION("""COMPUTED_VALUE"""),1033.75)</f>
        <v>1033.75</v>
      </c>
      <c r="F56" s="6">
        <f>IFERROR(__xludf.DUMMYFUNCTION("""COMPUTED_VALUE"""),1.7114566E7)</f>
        <v>17114566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IFERROR(__xludf.DUMMYFUNCTION("""COMPUTED_VALUE"""),1039.95)</f>
        <v>1039.95</v>
      </c>
      <c r="C57" s="6">
        <f>IFERROR(__xludf.DUMMYFUNCTION("""COMPUTED_VALUE"""),1044.1)</f>
        <v>1044.1</v>
      </c>
      <c r="D57" s="6">
        <f>IFERROR(__xludf.DUMMYFUNCTION("""COMPUTED_VALUE"""),984.0)</f>
        <v>984</v>
      </c>
      <c r="E57" s="6">
        <f>IFERROR(__xludf.DUMMYFUNCTION("""COMPUTED_VALUE"""),1012.05)</f>
        <v>1012.05</v>
      </c>
      <c r="F57" s="6">
        <f>IFERROR(__xludf.DUMMYFUNCTION("""COMPUTED_VALUE"""),1.2289747E7)</f>
        <v>12289747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IFERROR(__xludf.DUMMYFUNCTION("""COMPUTED_VALUE"""),1017.0)</f>
        <v>1017</v>
      </c>
      <c r="C58" s="6">
        <f>IFERROR(__xludf.DUMMYFUNCTION("""COMPUTED_VALUE"""),1032.0)</f>
        <v>1032</v>
      </c>
      <c r="D58" s="6">
        <f>IFERROR(__xludf.DUMMYFUNCTION("""COMPUTED_VALUE"""),969.75)</f>
        <v>969.75</v>
      </c>
      <c r="E58" s="6">
        <f>IFERROR(__xludf.DUMMYFUNCTION("""COMPUTED_VALUE"""),992.6)</f>
        <v>992.6</v>
      </c>
      <c r="F58" s="6">
        <f>IFERROR(__xludf.DUMMYFUNCTION("""COMPUTED_VALUE"""),6895225.0)</f>
        <v>6895225</v>
      </c>
    </row>
    <row r="59">
      <c r="A59" s="7">
        <f>IFERROR(__xludf.DUMMYFUNCTION("""COMPUTED_VALUE"""),45590.64583333333)</f>
        <v>45590.64583</v>
      </c>
      <c r="B59" s="6">
        <f>IFERROR(__xludf.DUMMYFUNCTION("""COMPUTED_VALUE"""),997.0)</f>
        <v>997</v>
      </c>
      <c r="C59" s="6">
        <f>IFERROR(__xludf.DUMMYFUNCTION("""COMPUTED_VALUE"""),1005.0)</f>
        <v>1005</v>
      </c>
      <c r="D59" s="6">
        <f>IFERROR(__xludf.DUMMYFUNCTION("""COMPUTED_VALUE"""),926.8)</f>
        <v>926.8</v>
      </c>
      <c r="E59" s="6">
        <f>IFERROR(__xludf.DUMMYFUNCTION("""COMPUTED_VALUE"""),943.85)</f>
        <v>943.85</v>
      </c>
      <c r="F59" s="6">
        <f>IFERROR(__xludf.DUMMYFUNCTION("""COMPUTED_VALUE"""),6769477.0)</f>
        <v>6769477</v>
      </c>
    </row>
    <row r="60">
      <c r="A60" s="7">
        <f>IFERROR(__xludf.DUMMYFUNCTION("""COMPUTED_VALUE"""),45604.64583333333)</f>
        <v>45604.64583</v>
      </c>
      <c r="B60" s="6">
        <f>IFERROR(__xludf.DUMMYFUNCTION("""COMPUTED_VALUE"""),965.05)</f>
        <v>965.05</v>
      </c>
      <c r="C60" s="6">
        <f>IFERROR(__xludf.DUMMYFUNCTION("""COMPUTED_VALUE"""),1018.95)</f>
        <v>1018.95</v>
      </c>
      <c r="D60" s="6">
        <f>IFERROR(__xludf.DUMMYFUNCTION("""COMPUTED_VALUE"""),941.1)</f>
        <v>941.1</v>
      </c>
      <c r="E60" s="6">
        <f>IFERROR(__xludf.DUMMYFUNCTION("""COMPUTED_VALUE"""),996.4)</f>
        <v>996.4</v>
      </c>
      <c r="F60" s="6">
        <f>IFERROR(__xludf.DUMMYFUNCTION("""COMPUTED_VALUE"""),1.4942574E7)</f>
        <v>14942574</v>
      </c>
    </row>
    <row r="61">
      <c r="A61" s="7">
        <f>IFERROR(__xludf.DUMMYFUNCTION("""COMPUTED_VALUE"""),45610.64583333333)</f>
        <v>45610.64583</v>
      </c>
      <c r="B61" s="6">
        <f>IFERROR(__xludf.DUMMYFUNCTION("""COMPUTED_VALUE"""),988.0)</f>
        <v>988</v>
      </c>
      <c r="C61" s="6">
        <f>IFERROR(__xludf.DUMMYFUNCTION("""COMPUTED_VALUE"""),995.45)</f>
        <v>995.45</v>
      </c>
      <c r="D61" s="6">
        <f>IFERROR(__xludf.DUMMYFUNCTION("""COMPUTED_VALUE"""),928.05)</f>
        <v>928.05</v>
      </c>
      <c r="E61" s="6">
        <f>IFERROR(__xludf.DUMMYFUNCTION("""COMPUTED_VALUE"""),939.05)</f>
        <v>939.05</v>
      </c>
      <c r="F61" s="6">
        <f>IFERROR(__xludf.DUMMYFUNCTION("""COMPUTED_VALUE"""),4898241.0)</f>
        <v>4898241</v>
      </c>
    </row>
    <row r="62">
      <c r="A62" s="7">
        <f>IFERROR(__xludf.DUMMYFUNCTION("""COMPUTED_VALUE"""),45618.64583333333)</f>
        <v>45618.64583</v>
      </c>
      <c r="B62" s="6">
        <f>IFERROR(__xludf.DUMMYFUNCTION("""COMPUTED_VALUE"""),935.05)</f>
        <v>935.05</v>
      </c>
      <c r="C62" s="6">
        <f>IFERROR(__xludf.DUMMYFUNCTION("""COMPUTED_VALUE"""),981.3)</f>
        <v>981.3</v>
      </c>
      <c r="D62" s="6">
        <f>IFERROR(__xludf.DUMMYFUNCTION("""COMPUTED_VALUE"""),934.9)</f>
        <v>934.9</v>
      </c>
      <c r="E62" s="6">
        <f>IFERROR(__xludf.DUMMYFUNCTION("""COMPUTED_VALUE"""),977.35)</f>
        <v>977.35</v>
      </c>
      <c r="F62" s="6">
        <f>IFERROR(__xludf.DUMMYFUNCTION("""COMPUTED_VALUE"""),5320404.0)</f>
        <v>5320404</v>
      </c>
    </row>
    <row r="63">
      <c r="A63" s="7">
        <f>IFERROR(__xludf.DUMMYFUNCTION("""COMPUTED_VALUE"""),45625.64583333333)</f>
        <v>45625.64583</v>
      </c>
      <c r="B63" s="6">
        <f>IFERROR(__xludf.DUMMYFUNCTION("""COMPUTED_VALUE"""),975.0)</f>
        <v>975</v>
      </c>
      <c r="C63" s="6">
        <f>IFERROR(__xludf.DUMMYFUNCTION("""COMPUTED_VALUE"""),980.45)</f>
        <v>980.45</v>
      </c>
      <c r="D63" s="6">
        <f>IFERROR(__xludf.DUMMYFUNCTION("""COMPUTED_VALUE"""),945.65)</f>
        <v>945.65</v>
      </c>
      <c r="E63" s="6">
        <f>IFERROR(__xludf.DUMMYFUNCTION("""COMPUTED_VALUE"""),966.0)</f>
        <v>966</v>
      </c>
      <c r="F63" s="6">
        <f>IFERROR(__xludf.DUMMYFUNCTION("""COMPUTED_VALUE"""),1.1360662E7)</f>
        <v>11360662</v>
      </c>
    </row>
    <row r="64">
      <c r="A64" s="7">
        <f>IFERROR(__xludf.DUMMYFUNCTION("""COMPUTED_VALUE"""),45632.64583333333)</f>
        <v>45632.64583</v>
      </c>
      <c r="B64" s="6">
        <f>IFERROR(__xludf.DUMMYFUNCTION("""COMPUTED_VALUE"""),965.9)</f>
        <v>965.9</v>
      </c>
      <c r="C64" s="6">
        <f>IFERROR(__xludf.DUMMYFUNCTION("""COMPUTED_VALUE"""),1015.5)</f>
        <v>1015.5</v>
      </c>
      <c r="D64" s="6">
        <f>IFERROR(__xludf.DUMMYFUNCTION("""COMPUTED_VALUE"""),961.75)</f>
        <v>961.75</v>
      </c>
      <c r="E64" s="6">
        <f>IFERROR(__xludf.DUMMYFUNCTION("""COMPUTED_VALUE"""),1003.8)</f>
        <v>1003.8</v>
      </c>
      <c r="F64" s="6">
        <f>IFERROR(__xludf.DUMMYFUNCTION("""COMPUTED_VALUE"""),7863515.0)</f>
        <v>7863515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IFERROR(__xludf.DUMMYFUNCTION("""COMPUTED_VALUE"""),1005.5)</f>
        <v>1005.5</v>
      </c>
      <c r="C65" s="6">
        <f>IFERROR(__xludf.DUMMYFUNCTION("""COMPUTED_VALUE"""),1023.5)</f>
        <v>1023.5</v>
      </c>
      <c r="D65" s="6">
        <f>IFERROR(__xludf.DUMMYFUNCTION("""COMPUTED_VALUE"""),973.05)</f>
        <v>973.05</v>
      </c>
      <c r="E65" s="6">
        <f>IFERROR(__xludf.DUMMYFUNCTION("""COMPUTED_VALUE"""),999.85)</f>
        <v>999.85</v>
      </c>
      <c r="F65" s="6">
        <f>IFERROR(__xludf.DUMMYFUNCTION("""COMPUTED_VALUE"""),8885813.0)</f>
        <v>8885813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IFERROR(__xludf.DUMMYFUNCTION("""COMPUTED_VALUE"""),1004.0)</f>
        <v>1004</v>
      </c>
      <c r="C66" s="6">
        <f>IFERROR(__xludf.DUMMYFUNCTION("""COMPUTED_VALUE"""),1006.3)</f>
        <v>1006.3</v>
      </c>
      <c r="D66" s="6">
        <f>IFERROR(__xludf.DUMMYFUNCTION("""COMPUTED_VALUE"""),912.05)</f>
        <v>912.05</v>
      </c>
      <c r="E66" s="6">
        <f>IFERROR(__xludf.DUMMYFUNCTION("""COMPUTED_VALUE"""),917.35)</f>
        <v>917.35</v>
      </c>
      <c r="F66" s="6">
        <f>IFERROR(__xludf.DUMMYFUNCTION("""COMPUTED_VALUE"""),3.5435766E7)</f>
        <v>35435766</v>
      </c>
    </row>
    <row r="67">
      <c r="A67" s="7">
        <f>IFERROR(__xludf.DUMMYFUNCTION("""COMPUTED_VALUE"""),45653.64583333333)</f>
        <v>45653.64583</v>
      </c>
      <c r="B67" s="6">
        <f>IFERROR(__xludf.DUMMYFUNCTION("""COMPUTED_VALUE"""),936.0)</f>
        <v>936</v>
      </c>
      <c r="C67" s="6">
        <f>IFERROR(__xludf.DUMMYFUNCTION("""COMPUTED_VALUE"""),950.95)</f>
        <v>950.95</v>
      </c>
      <c r="D67" s="6">
        <f>IFERROR(__xludf.DUMMYFUNCTION("""COMPUTED_VALUE"""),911.25)</f>
        <v>911.25</v>
      </c>
      <c r="E67" s="6">
        <f>IFERROR(__xludf.DUMMYFUNCTION("""COMPUTED_VALUE"""),913.3)</f>
        <v>913.3</v>
      </c>
      <c r="F67" s="6">
        <f>IFERROR(__xludf.DUMMYFUNCTION("""COMPUTED_VALUE"""),1.0010433E7)</f>
        <v>10010433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IFERROR(__xludf.DUMMYFUNCTION("""COMPUTED_VALUE"""),913.3)</f>
        <v>913.3</v>
      </c>
      <c r="C68" s="6">
        <f>IFERROR(__xludf.DUMMYFUNCTION("""COMPUTED_VALUE"""),924.7)</f>
        <v>924.7</v>
      </c>
      <c r="D68" s="6">
        <f>IFERROR(__xludf.DUMMYFUNCTION("""COMPUTED_VALUE"""),890.7)</f>
        <v>890.7</v>
      </c>
      <c r="E68" s="6">
        <f>IFERROR(__xludf.DUMMYFUNCTION("""COMPUTED_VALUE"""),915.05)</f>
        <v>915.05</v>
      </c>
      <c r="F68" s="6">
        <f>IFERROR(__xludf.DUMMYFUNCTION("""COMPUTED_VALUE"""),8339226.0)</f>
        <v>8339226</v>
      </c>
    </row>
    <row r="69">
      <c r="A69" s="7">
        <f>IFERROR(__xludf.DUMMYFUNCTION("""COMPUTED_VALUE"""),45667.64583333333)</f>
        <v>45667.64583</v>
      </c>
      <c r="B69" s="6">
        <f>IFERROR(__xludf.DUMMYFUNCTION("""COMPUTED_VALUE"""),915.05)</f>
        <v>915.05</v>
      </c>
      <c r="C69" s="6">
        <f>IFERROR(__xludf.DUMMYFUNCTION("""COMPUTED_VALUE"""),919.85)</f>
        <v>919.85</v>
      </c>
      <c r="D69" s="6">
        <f>IFERROR(__xludf.DUMMYFUNCTION("""COMPUTED_VALUE"""),880.25)</f>
        <v>880.25</v>
      </c>
      <c r="E69" s="6">
        <f>IFERROR(__xludf.DUMMYFUNCTION("""COMPUTED_VALUE"""),900.1)</f>
        <v>900.1</v>
      </c>
      <c r="F69" s="6">
        <f>IFERROR(__xludf.DUMMYFUNCTION("""COMPUTED_VALUE"""),5611200.0)</f>
        <v>5611200</v>
      </c>
    </row>
    <row r="70">
      <c r="A70" s="7">
        <f>IFERROR(__xludf.DUMMYFUNCTION("""COMPUTED_VALUE"""),45674.64583333333)</f>
        <v>45674.64583</v>
      </c>
      <c r="B70" s="6">
        <f>IFERROR(__xludf.DUMMYFUNCTION("""COMPUTED_VALUE"""),895.95)</f>
        <v>895.95</v>
      </c>
      <c r="C70" s="6">
        <f>IFERROR(__xludf.DUMMYFUNCTION("""COMPUTED_VALUE"""),917.5)</f>
        <v>917.5</v>
      </c>
      <c r="D70" s="6">
        <f>IFERROR(__xludf.DUMMYFUNCTION("""COMPUTED_VALUE"""),880.0)</f>
        <v>880</v>
      </c>
      <c r="E70" s="6">
        <f>IFERROR(__xludf.DUMMYFUNCTION("""COMPUTED_VALUE"""),908.6)</f>
        <v>908.6</v>
      </c>
      <c r="F70" s="6">
        <f>IFERROR(__xludf.DUMMYFUNCTION("""COMPUTED_VALUE"""),7804524.0)</f>
        <v>7804524</v>
      </c>
    </row>
    <row r="71">
      <c r="A71" s="7">
        <f>IFERROR(__xludf.DUMMYFUNCTION("""COMPUTED_VALUE"""),45681.64583333333)</f>
        <v>45681.64583</v>
      </c>
      <c r="B71" s="6">
        <f>IFERROR(__xludf.DUMMYFUNCTION("""COMPUTED_VALUE"""),908.6)</f>
        <v>908.6</v>
      </c>
      <c r="C71" s="6">
        <f>IFERROR(__xludf.DUMMYFUNCTION("""COMPUTED_VALUE"""),953.0)</f>
        <v>953</v>
      </c>
      <c r="D71" s="6">
        <f>IFERROR(__xludf.DUMMYFUNCTION("""COMPUTED_VALUE"""),900.5)</f>
        <v>900.5</v>
      </c>
      <c r="E71" s="6">
        <f>IFERROR(__xludf.DUMMYFUNCTION("""COMPUTED_VALUE"""),932.45)</f>
        <v>932.45</v>
      </c>
      <c r="F71" s="6">
        <f>IFERROR(__xludf.DUMMYFUNCTION("""COMPUTED_VALUE"""),8661359.0)</f>
        <v>8661359</v>
      </c>
    </row>
    <row r="72">
      <c r="A72" s="7">
        <f>IFERROR(__xludf.DUMMYFUNCTION("""COMPUTED_VALUE"""),45695.64583333333)</f>
        <v>45695.64583</v>
      </c>
      <c r="B72" s="6">
        <f>IFERROR(__xludf.DUMMYFUNCTION("""COMPUTED_VALUE"""),915.0)</f>
        <v>915</v>
      </c>
      <c r="C72" s="6">
        <f>IFERROR(__xludf.DUMMYFUNCTION("""COMPUTED_VALUE"""),985.0)</f>
        <v>985</v>
      </c>
      <c r="D72" s="6">
        <f>IFERROR(__xludf.DUMMYFUNCTION("""COMPUTED_VALUE"""),914.0)</f>
        <v>914</v>
      </c>
      <c r="E72" s="6">
        <f>IFERROR(__xludf.DUMMYFUNCTION("""COMPUTED_VALUE"""),980.75)</f>
        <v>980.75</v>
      </c>
      <c r="F72" s="6">
        <f>IFERROR(__xludf.DUMMYFUNCTION("""COMPUTED_VALUE"""),9508858.0)</f>
        <v>9508858</v>
      </c>
    </row>
    <row r="73">
      <c r="A73" s="7">
        <f>IFERROR(__xludf.DUMMYFUNCTION("""COMPUTED_VALUE"""),45702.64583333333)</f>
        <v>45702.64583</v>
      </c>
      <c r="B73" s="6">
        <f>IFERROR(__xludf.DUMMYFUNCTION("""COMPUTED_VALUE"""),974.0)</f>
        <v>974</v>
      </c>
      <c r="C73" s="6">
        <f>IFERROR(__xludf.DUMMYFUNCTION("""COMPUTED_VALUE"""),984.0)</f>
        <v>984</v>
      </c>
      <c r="D73" s="6">
        <f>IFERROR(__xludf.DUMMYFUNCTION("""COMPUTED_VALUE"""),938.1)</f>
        <v>938.1</v>
      </c>
      <c r="E73" s="6">
        <f>IFERROR(__xludf.DUMMYFUNCTION("""COMPUTED_VALUE"""),964.6)</f>
        <v>964.6</v>
      </c>
      <c r="F73" s="6">
        <f>IFERROR(__xludf.DUMMYFUNCTION("""COMPUTED_VALUE"""),1.1074242E7)</f>
        <v>11074242</v>
      </c>
    </row>
    <row r="74">
      <c r="A74" s="7">
        <f>IFERROR(__xludf.DUMMYFUNCTION("""COMPUTED_VALUE"""),45709.64583333333)</f>
        <v>45709.64583</v>
      </c>
      <c r="B74" s="6">
        <f>IFERROR(__xludf.DUMMYFUNCTION("""COMPUTED_VALUE"""),964.6)</f>
        <v>964.6</v>
      </c>
      <c r="C74" s="6">
        <f>IFERROR(__xludf.DUMMYFUNCTION("""COMPUTED_VALUE"""),990.95)</f>
        <v>990.95</v>
      </c>
      <c r="D74" s="6">
        <f>IFERROR(__xludf.DUMMYFUNCTION("""COMPUTED_VALUE"""),954.1)</f>
        <v>954.1</v>
      </c>
      <c r="E74" s="6">
        <f>IFERROR(__xludf.DUMMYFUNCTION("""COMPUTED_VALUE"""),981.9)</f>
        <v>981.9</v>
      </c>
      <c r="F74" s="6">
        <f>IFERROR(__xludf.DUMMYFUNCTION("""COMPUTED_VALUE"""),7776630.0)</f>
        <v>7776630</v>
      </c>
    </row>
    <row r="75">
      <c r="A75" s="7">
        <f>IFERROR(__xludf.DUMMYFUNCTION("""COMPUTED_VALUE"""),45716.64583333333)</f>
        <v>45716.64583</v>
      </c>
      <c r="B75" s="6">
        <f>IFERROR(__xludf.DUMMYFUNCTION("""COMPUTED_VALUE"""),971.0)</f>
        <v>971</v>
      </c>
      <c r="C75" s="6">
        <f>IFERROR(__xludf.DUMMYFUNCTION("""COMPUTED_VALUE"""),984.9)</f>
        <v>984.9</v>
      </c>
      <c r="D75" s="6">
        <f>IFERROR(__xludf.DUMMYFUNCTION("""COMPUTED_VALUE"""),940.55)</f>
        <v>940.55</v>
      </c>
      <c r="E75" s="6">
        <f>IFERROR(__xludf.DUMMYFUNCTION("""COMPUTED_VALUE"""),950.7)</f>
        <v>950.7</v>
      </c>
      <c r="F75" s="6">
        <f>IFERROR(__xludf.DUMMYFUNCTION("""COMPUTED_VALUE"""),7598001.0)</f>
        <v>7598001</v>
      </c>
    </row>
    <row r="76">
      <c r="A76" s="7">
        <f>IFERROR(__xludf.DUMMYFUNCTION("""COMPUTED_VALUE"""),45723.64583333333)</f>
        <v>45723.64583</v>
      </c>
      <c r="B76" s="6">
        <f>IFERROR(__xludf.DUMMYFUNCTION("""COMPUTED_VALUE"""),959.0)</f>
        <v>959</v>
      </c>
      <c r="C76" s="6">
        <f>IFERROR(__xludf.DUMMYFUNCTION("""COMPUTED_VALUE"""),1020.4)</f>
        <v>1020.4</v>
      </c>
      <c r="D76" s="6">
        <f>IFERROR(__xludf.DUMMYFUNCTION("""COMPUTED_VALUE"""),953.0)</f>
        <v>953</v>
      </c>
      <c r="E76" s="6">
        <f>IFERROR(__xludf.DUMMYFUNCTION("""COMPUTED_VALUE"""),1011.15)</f>
        <v>1011.15</v>
      </c>
      <c r="F76" s="6">
        <f>IFERROR(__xludf.DUMMYFUNCTION("""COMPUTED_VALUE"""),8257347.0)</f>
        <v>8257347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IFERROR(__xludf.DUMMYFUNCTION("""COMPUTED_VALUE"""),1011.15)</f>
        <v>1011.15</v>
      </c>
      <c r="C77" s="6">
        <f>IFERROR(__xludf.DUMMYFUNCTION("""COMPUTED_VALUE"""),1032.75)</f>
        <v>1032.75</v>
      </c>
      <c r="D77" s="6">
        <f>IFERROR(__xludf.DUMMYFUNCTION("""COMPUTED_VALUE"""),994.1)</f>
        <v>994.1</v>
      </c>
      <c r="E77" s="6">
        <f>IFERROR(__xludf.DUMMYFUNCTION("""COMPUTED_VALUE"""),1001.2)</f>
        <v>1001.2</v>
      </c>
      <c r="F77" s="6">
        <f>IFERROR(__xludf.DUMMYFUNCTION("""COMPUTED_VALUE"""),5932652.0)</f>
        <v>5932652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IFERROR(__xludf.DUMMYFUNCTION("""COMPUTED_VALUE"""),1007.55)</f>
        <v>1007.55</v>
      </c>
      <c r="C78" s="6">
        <f>IFERROR(__xludf.DUMMYFUNCTION("""COMPUTED_VALUE"""),1062.55)</f>
        <v>1062.55</v>
      </c>
      <c r="D78" s="6">
        <f>IFERROR(__xludf.DUMMYFUNCTION("""COMPUTED_VALUE"""),1000.15)</f>
        <v>1000.15</v>
      </c>
      <c r="E78" s="6">
        <f>IFERROR(__xludf.DUMMYFUNCTION("""COMPUTED_VALUE"""),1058.7)</f>
        <v>1058.7</v>
      </c>
      <c r="F78" s="6">
        <f>IFERROR(__xludf.DUMMYFUNCTION("""COMPUTED_VALUE"""),1.0176235E7)</f>
        <v>10176235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IFERROR(__xludf.DUMMYFUNCTION("""COMPUTED_VALUE"""),1063.0)</f>
        <v>1063</v>
      </c>
      <c r="C79" s="6">
        <f>IFERROR(__xludf.DUMMYFUNCTION("""COMPUTED_VALUE"""),1074.9)</f>
        <v>1074.9</v>
      </c>
      <c r="D79" s="6">
        <f>IFERROR(__xludf.DUMMYFUNCTION("""COMPUTED_VALUE"""),1050.0)</f>
        <v>1050</v>
      </c>
      <c r="E79" s="6">
        <f>IFERROR(__xludf.DUMMYFUNCTION("""COMPUTED_VALUE"""),1063.2)</f>
        <v>1063.2</v>
      </c>
      <c r="F79" s="6">
        <f>IFERROR(__xludf.DUMMYFUNCTION("""COMPUTED_VALUE"""),9281692.0)</f>
        <v>9281692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IFERROR(__xludf.DUMMYFUNCTION("""COMPUTED_VALUE"""),1063.0)</f>
        <v>1063</v>
      </c>
      <c r="C80" s="6">
        <f>IFERROR(__xludf.DUMMYFUNCTION("""COMPUTED_VALUE"""),1070.45)</f>
        <v>1070.45</v>
      </c>
      <c r="D80" s="6">
        <f>IFERROR(__xludf.DUMMYFUNCTION("""COMPUTED_VALUE"""),997.85)</f>
        <v>997.85</v>
      </c>
      <c r="E80" s="6">
        <f>IFERROR(__xludf.DUMMYFUNCTION("""COMPUTED_VALUE"""),1005.75)</f>
        <v>1005.75</v>
      </c>
      <c r="F80" s="6">
        <f>IFERROR(__xludf.DUMMYFUNCTION("""COMPUTED_VALUE"""),8081557.0)</f>
        <v>8081557</v>
      </c>
    </row>
    <row r="81">
      <c r="A81" s="7">
        <f>IFERROR(__xludf.DUMMYFUNCTION("""COMPUTED_VALUE"""),45758.64583333333)</f>
        <v>45758.64583</v>
      </c>
      <c r="B81" s="6">
        <f>IFERROR(__xludf.DUMMYFUNCTION("""COMPUTED_VALUE"""),906.0)</f>
        <v>906</v>
      </c>
      <c r="C81" s="6">
        <f>IFERROR(__xludf.DUMMYFUNCTION("""COMPUTED_VALUE"""),997.0)</f>
        <v>997</v>
      </c>
      <c r="D81" s="6">
        <f>IFERROR(__xludf.DUMMYFUNCTION("""COMPUTED_VALUE"""),905.2)</f>
        <v>905.2</v>
      </c>
      <c r="E81" s="6">
        <f>IFERROR(__xludf.DUMMYFUNCTION("""COMPUTED_VALUE"""),990.25)</f>
        <v>990.25</v>
      </c>
      <c r="F81" s="6">
        <f>IFERROR(__xludf.DUMMYFUNCTION("""COMPUTED_VALUE"""),1.1714506E7)</f>
        <v>11714506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IFERROR(__xludf.DUMMYFUNCTION("""COMPUTED_VALUE"""),1010.0)</f>
        <v>1010</v>
      </c>
      <c r="C82" s="6">
        <f>IFERROR(__xludf.DUMMYFUNCTION("""COMPUTED_VALUE"""),1015.7)</f>
        <v>1015.7</v>
      </c>
      <c r="D82" s="6">
        <f>IFERROR(__xludf.DUMMYFUNCTION("""COMPUTED_VALUE"""),987.1)</f>
        <v>987.1</v>
      </c>
      <c r="E82" s="6">
        <f>IFERROR(__xludf.DUMMYFUNCTION("""COMPUTED_VALUE"""),1007.2)</f>
        <v>1007.2</v>
      </c>
      <c r="F82" s="6">
        <f>IFERROR(__xludf.DUMMYFUNCTION("""COMPUTED_VALUE"""),4642956.0)</f>
        <v>4642956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IFERROR(__xludf.DUMMYFUNCTION("""COMPUTED_VALUE"""),1001.0)</f>
        <v>1001</v>
      </c>
      <c r="C83" s="6">
        <f>IFERROR(__xludf.DUMMYFUNCTION("""COMPUTED_VALUE"""),1060.4)</f>
        <v>1060.4</v>
      </c>
      <c r="D83" s="6">
        <f>IFERROR(__xludf.DUMMYFUNCTION("""COMPUTED_VALUE"""),1000.5)</f>
        <v>1000.5</v>
      </c>
      <c r="E83" s="6">
        <f>IFERROR(__xludf.DUMMYFUNCTION("""COMPUTED_VALUE"""),1028.4)</f>
        <v>1028.4</v>
      </c>
      <c r="F83" s="6">
        <f>IFERROR(__xludf.DUMMYFUNCTION("""COMPUTED_VALUE"""),8419745.0)</f>
        <v>8419745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IFERROR(__xludf.DUMMYFUNCTION("""COMPUTED_VALUE"""),1021.4)</f>
        <v>1021.4</v>
      </c>
      <c r="C84" s="6">
        <f>IFERROR(__xludf.DUMMYFUNCTION("""COMPUTED_VALUE"""),1061.6)</f>
        <v>1061.6</v>
      </c>
      <c r="D84" s="6">
        <f>IFERROR(__xludf.DUMMYFUNCTION("""COMPUTED_VALUE"""),948.3)</f>
        <v>948.3</v>
      </c>
      <c r="E84" s="6">
        <f>IFERROR(__xludf.DUMMYFUNCTION("""COMPUTED_VALUE"""),973.2)</f>
        <v>973.2</v>
      </c>
      <c r="F84" s="6">
        <f>IFERROR(__xludf.DUMMYFUNCTION("""COMPUTED_VALUE"""),1.0657768E7)</f>
        <v>10657768</v>
      </c>
    </row>
    <row r="85">
      <c r="A85" s="7">
        <f>IFERROR(__xludf.DUMMYFUNCTION("""COMPUTED_VALUE"""),45786.64583333333)</f>
        <v>45786.64583</v>
      </c>
      <c r="B85" s="6">
        <f>IFERROR(__xludf.DUMMYFUNCTION("""COMPUTED_VALUE"""),959.8)</f>
        <v>959.8</v>
      </c>
      <c r="C85" s="6">
        <f>IFERROR(__xludf.DUMMYFUNCTION("""COMPUTED_VALUE"""),975.0)</f>
        <v>975</v>
      </c>
      <c r="D85" s="6">
        <f>IFERROR(__xludf.DUMMYFUNCTION("""COMPUTED_VALUE"""),935.0)</f>
        <v>935</v>
      </c>
      <c r="E85" s="6">
        <f>IFERROR(__xludf.DUMMYFUNCTION("""COMPUTED_VALUE"""),957.0)</f>
        <v>957</v>
      </c>
      <c r="F85" s="6">
        <f>IFERROR(__xludf.DUMMYFUNCTION("""COMPUTED_VALUE"""),7250855.0)</f>
        <v>7250855</v>
      </c>
    </row>
    <row r="86">
      <c r="A86" s="7">
        <f>IFERROR(__xludf.DUMMYFUNCTION("""COMPUTED_VALUE"""),45793.64583333333)</f>
        <v>45793.64583</v>
      </c>
      <c r="B86" s="6">
        <f>IFERROR(__xludf.DUMMYFUNCTION("""COMPUTED_VALUE"""),973.0)</f>
        <v>973</v>
      </c>
      <c r="C86" s="6">
        <f>IFERROR(__xludf.DUMMYFUNCTION("""COMPUTED_VALUE"""),1044.6)</f>
        <v>1044.6</v>
      </c>
      <c r="D86" s="6">
        <f>IFERROR(__xludf.DUMMYFUNCTION("""COMPUTED_VALUE"""),969.7)</f>
        <v>969.7</v>
      </c>
      <c r="E86" s="6">
        <f>IFERROR(__xludf.DUMMYFUNCTION("""COMPUTED_VALUE"""),1021.8)</f>
        <v>1021.8</v>
      </c>
      <c r="F86" s="6">
        <f>IFERROR(__xludf.DUMMYFUNCTION("""COMPUTED_VALUE"""),1.0266094E7)</f>
        <v>10266094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IFERROR(__xludf.DUMMYFUNCTION("""COMPUTED_VALUE"""),1033.9)</f>
        <v>1033.9</v>
      </c>
      <c r="C87" s="6">
        <f>IFERROR(__xludf.DUMMYFUNCTION("""COMPUTED_VALUE"""),1034.5)</f>
        <v>1034.5</v>
      </c>
      <c r="D87" s="6">
        <f>IFERROR(__xludf.DUMMYFUNCTION("""COMPUTED_VALUE"""),987.9)</f>
        <v>987.9</v>
      </c>
      <c r="E87" s="6">
        <f>IFERROR(__xludf.DUMMYFUNCTION("""COMPUTED_VALUE"""),1008.5)</f>
        <v>1008.5</v>
      </c>
      <c r="F87" s="6">
        <f>IFERROR(__xludf.DUMMYFUNCTION("""COMPUTED_VALUE"""),6785653.0)</f>
        <v>6785653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IFERROR(__xludf.DUMMYFUNCTION("""COMPUTED_VALUE"""),1009.2)</f>
        <v>1009.2</v>
      </c>
      <c r="C88" s="6">
        <f>IFERROR(__xludf.DUMMYFUNCTION("""COMPUTED_VALUE"""),1036.0)</f>
        <v>1036</v>
      </c>
      <c r="D88" s="6">
        <f>IFERROR(__xludf.DUMMYFUNCTION("""COMPUTED_VALUE"""),979.5)</f>
        <v>979.5</v>
      </c>
      <c r="E88" s="6">
        <f>IFERROR(__xludf.DUMMYFUNCTION("""COMPUTED_VALUE"""),993.5)</f>
        <v>993.5</v>
      </c>
      <c r="F88" s="6">
        <f>IFERROR(__xludf.DUMMYFUNCTION("""COMPUTED_VALUE"""),1.2658507E7)</f>
        <v>12658507</v>
      </c>
    </row>
    <row r="89">
      <c r="A89" s="7">
        <f>IFERROR(__xludf.DUMMYFUNCTION("""COMPUTED_VALUE"""),45814.64583333333)</f>
        <v>45814.64583</v>
      </c>
      <c r="B89" s="6">
        <f>IFERROR(__xludf.DUMMYFUNCTION("""COMPUTED_VALUE"""),987.0)</f>
        <v>987</v>
      </c>
      <c r="C89" s="6">
        <f>IFERROR(__xludf.DUMMYFUNCTION("""COMPUTED_VALUE"""),1010.65)</f>
        <v>1010.65</v>
      </c>
      <c r="D89" s="6">
        <f>IFERROR(__xludf.DUMMYFUNCTION("""COMPUTED_VALUE"""),962.15)</f>
        <v>962.15</v>
      </c>
      <c r="E89" s="6">
        <f>IFERROR(__xludf.DUMMYFUNCTION("""COMPUTED_VALUE"""),1004.9)</f>
        <v>1004.9</v>
      </c>
      <c r="F89" s="6">
        <f>IFERROR(__xludf.DUMMYFUNCTION("""COMPUTED_VALUE"""),9598919.0)</f>
        <v>9598919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IFERROR(__xludf.DUMMYFUNCTION("""COMPUTED_VALUE"""),1006.3)</f>
        <v>1006.3</v>
      </c>
      <c r="C90" s="6">
        <f>IFERROR(__xludf.DUMMYFUNCTION("""COMPUTED_VALUE"""),1019.15)</f>
        <v>1019.15</v>
      </c>
      <c r="D90" s="6">
        <f>IFERROR(__xludf.DUMMYFUNCTION("""COMPUTED_VALUE"""),981.35)</f>
        <v>981.35</v>
      </c>
      <c r="E90" s="6">
        <f>IFERROR(__xludf.DUMMYFUNCTION("""COMPUTED_VALUE"""),987.25)</f>
        <v>987.25</v>
      </c>
      <c r="F90" s="6">
        <f>IFERROR(__xludf.DUMMYFUNCTION("""COMPUTED_VALUE"""),7883034.0)</f>
        <v>7883034</v>
      </c>
    </row>
    <row r="91">
      <c r="A91" s="7">
        <f>IFERROR(__xludf.DUMMYFUNCTION("""COMPUTED_VALUE"""),45828.64583333333)</f>
        <v>45828.64583</v>
      </c>
      <c r="B91" s="6">
        <f>IFERROR(__xludf.DUMMYFUNCTION("""COMPUTED_VALUE"""),987.25)</f>
        <v>987.25</v>
      </c>
      <c r="C91" s="6">
        <f>IFERROR(__xludf.DUMMYFUNCTION("""COMPUTED_VALUE"""),1024.0)</f>
        <v>1024</v>
      </c>
      <c r="D91" s="6">
        <f>IFERROR(__xludf.DUMMYFUNCTION("""COMPUTED_VALUE"""),983.75)</f>
        <v>983.75</v>
      </c>
      <c r="E91" s="6">
        <f>IFERROR(__xludf.DUMMYFUNCTION("""COMPUTED_VALUE"""),1005.55)</f>
        <v>1005.55</v>
      </c>
      <c r="F91" s="6">
        <f>IFERROR(__xludf.DUMMYFUNCTION("""COMPUTED_VALUE"""),1.388937E7)</f>
        <v>13889370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IFERROR(__xludf.DUMMYFUNCTION("""COMPUTED_VALUE"""),1005.0)</f>
        <v>1005</v>
      </c>
      <c r="C92" s="6">
        <f>IFERROR(__xludf.DUMMYFUNCTION("""COMPUTED_VALUE"""),1045.7)</f>
        <v>1045.7</v>
      </c>
      <c r="D92" s="6">
        <f>IFERROR(__xludf.DUMMYFUNCTION("""COMPUTED_VALUE"""),983.5)</f>
        <v>983.5</v>
      </c>
      <c r="E92" s="6">
        <f>IFERROR(__xludf.DUMMYFUNCTION("""COMPUTED_VALUE"""),1028.9)</f>
        <v>1028.9</v>
      </c>
      <c r="F92" s="6">
        <f>IFERROR(__xludf.DUMMYFUNCTION("""COMPUTED_VALUE"""),1.043072E7)</f>
        <v>10430720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IFERROR(__xludf.DUMMYFUNCTION("""COMPUTED_VALUE"""),1033.05)</f>
        <v>1033.05</v>
      </c>
      <c r="C93" s="6">
        <f>IFERROR(__xludf.DUMMYFUNCTION("""COMPUTED_VALUE"""),1067.8)</f>
        <v>1067.8</v>
      </c>
      <c r="D93" s="6">
        <f>IFERROR(__xludf.DUMMYFUNCTION("""COMPUTED_VALUE"""),1014.5)</f>
        <v>1014.5</v>
      </c>
      <c r="E93" s="6">
        <f>IFERROR(__xludf.DUMMYFUNCTION("""COMPUTED_VALUE"""),1041.4)</f>
        <v>1041.4</v>
      </c>
      <c r="F93" s="6">
        <f>IFERROR(__xludf.DUMMYFUNCTION("""COMPUTED_VALUE"""),7586186.0)</f>
        <v>7586186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IFERROR(__xludf.DUMMYFUNCTION("""COMPUTED_VALUE"""),1041.0)</f>
        <v>1041</v>
      </c>
      <c r="C94" s="6">
        <f>IFERROR(__xludf.DUMMYFUNCTION("""COMPUTED_VALUE"""),1052.0)</f>
        <v>1052</v>
      </c>
      <c r="D94" s="6">
        <f>IFERROR(__xludf.DUMMYFUNCTION("""COMPUTED_VALUE"""),1033.4)</f>
        <v>1033.4</v>
      </c>
      <c r="E94" s="6">
        <f>IFERROR(__xludf.DUMMYFUNCTION("""COMPUTED_VALUE"""),1037.2)</f>
        <v>1037.2</v>
      </c>
      <c r="F94" s="6">
        <f>IFERROR(__xludf.DUMMYFUNCTION("""COMPUTED_VALUE"""),5400110.0)</f>
        <v>5400110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IFERROR(__xludf.DUMMYFUNCTION("""COMPUTED_VALUE"""),1040.0)</f>
        <v>1040</v>
      </c>
      <c r="C95" s="6">
        <f>IFERROR(__xludf.DUMMYFUNCTION("""COMPUTED_VALUE"""),1053.5)</f>
        <v>1053.5</v>
      </c>
      <c r="D95" s="6">
        <f>IFERROR(__xludf.DUMMYFUNCTION("""COMPUTED_VALUE"""),1020.5)</f>
        <v>1020.5</v>
      </c>
      <c r="E95" s="6">
        <f>IFERROR(__xludf.DUMMYFUNCTION("""COMPUTED_VALUE"""),1034.4)</f>
        <v>1034.4</v>
      </c>
      <c r="F95" s="6">
        <f>IFERROR(__xludf.DUMMYFUNCTION("""COMPUTED_VALUE"""),6568601.0)</f>
        <v>6568601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IFERROR(__xludf.DUMMYFUNCTION("""COMPUTED_VALUE"""),1051.0)</f>
        <v>1051</v>
      </c>
      <c r="C96" s="6">
        <f>IFERROR(__xludf.DUMMYFUNCTION("""COMPUTED_VALUE"""),1053.5)</f>
        <v>1053.5</v>
      </c>
      <c r="D96" s="6">
        <f>IFERROR(__xludf.DUMMYFUNCTION("""COMPUTED_VALUE"""),1018.3)</f>
        <v>1018.3</v>
      </c>
      <c r="E96" s="6">
        <f>IFERROR(__xludf.DUMMYFUNCTION("""COMPUTED_VALUE"""),1026.9)</f>
        <v>1026.9</v>
      </c>
      <c r="F96" s="6">
        <f>IFERROR(__xludf.DUMMYFUNCTION("""COMPUTED_VALUE"""),7575741.0)</f>
        <v>7575741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IFERROR(__xludf.DUMMYFUNCTION("""COMPUTED_VALUE"""),1029.0)</f>
        <v>1029</v>
      </c>
      <c r="C97" s="6">
        <f>IFERROR(__xludf.DUMMYFUNCTION("""COMPUTED_VALUE"""),1058.6)</f>
        <v>1058.6</v>
      </c>
      <c r="D97" s="6">
        <f>IFERROR(__xludf.DUMMYFUNCTION("""COMPUTED_VALUE"""),1017.4)</f>
        <v>1017.4</v>
      </c>
      <c r="E97" s="6">
        <f>IFERROR(__xludf.DUMMYFUNCTION("""COMPUTED_VALUE"""),1027.8)</f>
        <v>1027.8</v>
      </c>
      <c r="F97" s="6">
        <f>IFERROR(__xludf.DUMMYFUNCTION("""COMPUTED_VALUE"""),1.0585245E7)</f>
        <v>10585245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IFERROR(__xludf.DUMMYFUNCTION("""COMPUTED_VALUE"""),1029.7)</f>
        <v>1029.7</v>
      </c>
      <c r="C98" s="6">
        <f>IFERROR(__xludf.DUMMYFUNCTION("""COMPUTED_VALUE"""),1074.9)</f>
        <v>1074.9</v>
      </c>
      <c r="D98" s="6">
        <f>IFERROR(__xludf.DUMMYFUNCTION("""COMPUTED_VALUE"""),1026.4)</f>
        <v>1026.4</v>
      </c>
      <c r="E98" s="6">
        <f>IFERROR(__xludf.DUMMYFUNCTION("""COMPUTED_VALUE"""),1049.2)</f>
        <v>1049.2</v>
      </c>
      <c r="F98" s="6">
        <f>IFERROR(__xludf.DUMMYFUNCTION("""COMPUTED_VALUE"""),9230215.0)</f>
        <v>9230215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IFERROR(__xludf.DUMMYFUNCTION("""COMPUTED_VALUE"""),1049.2)</f>
        <v>1049.2</v>
      </c>
      <c r="C99" s="6">
        <f>IFERROR(__xludf.DUMMYFUNCTION("""COMPUTED_VALUE"""),1065.0)</f>
        <v>1065</v>
      </c>
      <c r="D99" s="6">
        <f>IFERROR(__xludf.DUMMYFUNCTION("""COMPUTED_VALUE"""),1038.9)</f>
        <v>1038.9</v>
      </c>
      <c r="E99" s="6">
        <f>IFERROR(__xludf.DUMMYFUNCTION("""COMPUTED_VALUE"""),1045.5)</f>
        <v>1045.5</v>
      </c>
      <c r="F99" s="6">
        <f>IFERROR(__xludf.DUMMYFUNCTION("""COMPUTED_VALUE"""),4720781.0)</f>
        <v>4720781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IFERROR(__xludf.DUMMYFUNCTION("""COMPUTED_VALUE"""),1060.0)</f>
        <v>1060</v>
      </c>
      <c r="C100" s="6">
        <f>IFERROR(__xludf.DUMMYFUNCTION("""COMPUTED_VALUE"""),1089.2)</f>
        <v>1089.2</v>
      </c>
      <c r="D100" s="6">
        <f>IFERROR(__xludf.DUMMYFUNCTION("""COMPUTED_VALUE"""),1050.0)</f>
        <v>1050</v>
      </c>
      <c r="E100" s="6">
        <f>IFERROR(__xludf.DUMMYFUNCTION("""COMPUTED_VALUE"""),1054.6)</f>
        <v>1054.6</v>
      </c>
      <c r="F100" s="6">
        <f>IFERROR(__xludf.DUMMYFUNCTION("""COMPUTED_VALUE"""),1.0460892E7)</f>
        <v>10460892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IFERROR(__xludf.DUMMYFUNCTION("""COMPUTED_VALUE"""),1059.5)</f>
        <v>1059.5</v>
      </c>
      <c r="C101" s="6">
        <f>IFERROR(__xludf.DUMMYFUNCTION("""COMPUTED_VALUE"""),1062.7)</f>
        <v>1062.7</v>
      </c>
      <c r="D101" s="6">
        <f>IFERROR(__xludf.DUMMYFUNCTION("""COMPUTED_VALUE"""),1044.7)</f>
        <v>1044.7</v>
      </c>
      <c r="E101" s="6">
        <f>IFERROR(__xludf.DUMMYFUNCTION("""COMPUTED_VALUE"""),1047.1)</f>
        <v>1047.1</v>
      </c>
      <c r="F101" s="6">
        <f>IFERROR(__xludf.DUMMYFUNCTION("""COMPUTED_VALUE"""),2.5657086E7)</f>
        <v>25657086</v>
      </c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IFERROR(__xludf.DUMMYFUNCTION("GOOGLEFINANCE(""NSE:JUBLFOOD"",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IFERROR(__xludf.DUMMYFUNCTION("""COMPUTED_VALUE"""),486.0)</f>
        <v>486</v>
      </c>
      <c r="C2" s="6">
        <f>IFERROR(__xludf.DUMMYFUNCTION("""COMPUTED_VALUE"""),518.95)</f>
        <v>518.95</v>
      </c>
      <c r="D2" s="6">
        <f>IFERROR(__xludf.DUMMYFUNCTION("""COMPUTED_VALUE"""),483.25)</f>
        <v>483.25</v>
      </c>
      <c r="E2" s="6">
        <f>IFERROR(__xludf.DUMMYFUNCTION("""COMPUTED_VALUE"""),506.05)</f>
        <v>506.05</v>
      </c>
      <c r="F2" s="6">
        <f>IFERROR(__xludf.DUMMYFUNCTION("""COMPUTED_VALUE"""),1.5950314E7)</f>
        <v>15950314</v>
      </c>
    </row>
    <row r="3">
      <c r="A3" s="7">
        <f>IFERROR(__xludf.DUMMYFUNCTION("""COMPUTED_VALUE"""),45177.64583333333)</f>
        <v>45177.64583</v>
      </c>
      <c r="B3" s="6">
        <f>IFERROR(__xludf.DUMMYFUNCTION("""COMPUTED_VALUE"""),506.05)</f>
        <v>506.05</v>
      </c>
      <c r="C3" s="6">
        <f>IFERROR(__xludf.DUMMYFUNCTION("""COMPUTED_VALUE"""),544.0)</f>
        <v>544</v>
      </c>
      <c r="D3" s="6">
        <f>IFERROR(__xludf.DUMMYFUNCTION("""COMPUTED_VALUE"""),501.05)</f>
        <v>501.05</v>
      </c>
      <c r="E3" s="6">
        <f>IFERROR(__xludf.DUMMYFUNCTION("""COMPUTED_VALUE"""),532.7)</f>
        <v>532.7</v>
      </c>
      <c r="F3" s="6">
        <f>IFERROR(__xludf.DUMMYFUNCTION("""COMPUTED_VALUE"""),1.9882401E7)</f>
        <v>19882401</v>
      </c>
    </row>
    <row r="4">
      <c r="A4" s="7">
        <f>IFERROR(__xludf.DUMMYFUNCTION("""COMPUTED_VALUE"""),45184.64583333333)</f>
        <v>45184.64583</v>
      </c>
      <c r="B4" s="6">
        <f>IFERROR(__xludf.DUMMYFUNCTION("""COMPUTED_VALUE"""),533.0)</f>
        <v>533</v>
      </c>
      <c r="C4" s="6">
        <f>IFERROR(__xludf.DUMMYFUNCTION("""COMPUTED_VALUE"""),549.0)</f>
        <v>549</v>
      </c>
      <c r="D4" s="6">
        <f>IFERROR(__xludf.DUMMYFUNCTION("""COMPUTED_VALUE"""),514.0)</f>
        <v>514</v>
      </c>
      <c r="E4" s="6">
        <f>IFERROR(__xludf.DUMMYFUNCTION("""COMPUTED_VALUE"""),533.4)</f>
        <v>533.4</v>
      </c>
      <c r="F4" s="6">
        <f>IFERROR(__xludf.DUMMYFUNCTION("""COMPUTED_VALUE"""),1.4413001E7)</f>
        <v>14413001</v>
      </c>
    </row>
    <row r="5">
      <c r="A5" s="7">
        <f>IFERROR(__xludf.DUMMYFUNCTION("""COMPUTED_VALUE"""),45191.64583333333)</f>
        <v>45191.64583</v>
      </c>
      <c r="B5" s="6">
        <f>IFERROR(__xludf.DUMMYFUNCTION("""COMPUTED_VALUE"""),531.9)</f>
        <v>531.9</v>
      </c>
      <c r="C5" s="6">
        <f>IFERROR(__xludf.DUMMYFUNCTION("""COMPUTED_VALUE"""),544.9)</f>
        <v>544.9</v>
      </c>
      <c r="D5" s="6">
        <f>IFERROR(__xludf.DUMMYFUNCTION("""COMPUTED_VALUE"""),525.25)</f>
        <v>525.25</v>
      </c>
      <c r="E5" s="6">
        <f>IFERROR(__xludf.DUMMYFUNCTION("""COMPUTED_VALUE"""),531.0)</f>
        <v>531</v>
      </c>
      <c r="F5" s="6">
        <f>IFERROR(__xludf.DUMMYFUNCTION("""COMPUTED_VALUE"""),7941795.0)</f>
        <v>7941795</v>
      </c>
    </row>
    <row r="6">
      <c r="A6" s="7">
        <f>IFERROR(__xludf.DUMMYFUNCTION("""COMPUTED_VALUE"""),45198.64583333333)</f>
        <v>45198.64583</v>
      </c>
      <c r="B6" s="6">
        <f>IFERROR(__xludf.DUMMYFUNCTION("""COMPUTED_VALUE"""),530.15)</f>
        <v>530.15</v>
      </c>
      <c r="C6" s="6">
        <f>IFERROR(__xludf.DUMMYFUNCTION("""COMPUTED_VALUE"""),556.5)</f>
        <v>556.5</v>
      </c>
      <c r="D6" s="6">
        <f>IFERROR(__xludf.DUMMYFUNCTION("""COMPUTED_VALUE"""),529.85)</f>
        <v>529.85</v>
      </c>
      <c r="E6" s="6">
        <f>IFERROR(__xludf.DUMMYFUNCTION("""COMPUTED_VALUE"""),533.1)</f>
        <v>533.1</v>
      </c>
      <c r="F6" s="6">
        <f>IFERROR(__xludf.DUMMYFUNCTION("""COMPUTED_VALUE"""),2.2971553E7)</f>
        <v>22971553</v>
      </c>
    </row>
    <row r="7">
      <c r="A7" s="7">
        <f>IFERROR(__xludf.DUMMYFUNCTION("""COMPUTED_VALUE"""),45205.64583333333)</f>
        <v>45205.64583</v>
      </c>
      <c r="B7" s="6">
        <f>IFERROR(__xludf.DUMMYFUNCTION("""COMPUTED_VALUE"""),533.1)</f>
        <v>533.1</v>
      </c>
      <c r="C7" s="6">
        <f>IFERROR(__xludf.DUMMYFUNCTION("""COMPUTED_VALUE"""),544.95)</f>
        <v>544.95</v>
      </c>
      <c r="D7" s="6">
        <f>IFERROR(__xludf.DUMMYFUNCTION("""COMPUTED_VALUE"""),528.65)</f>
        <v>528.65</v>
      </c>
      <c r="E7" s="6">
        <f>IFERROR(__xludf.DUMMYFUNCTION("""COMPUTED_VALUE"""),532.9)</f>
        <v>532.9</v>
      </c>
      <c r="F7" s="6">
        <f>IFERROR(__xludf.DUMMYFUNCTION("""COMPUTED_VALUE"""),1.1443809E7)</f>
        <v>11443809</v>
      </c>
    </row>
    <row r="8">
      <c r="A8" s="7">
        <f>IFERROR(__xludf.DUMMYFUNCTION("""COMPUTED_VALUE"""),45212.64583333333)</f>
        <v>45212.64583</v>
      </c>
      <c r="B8" s="6">
        <f>IFERROR(__xludf.DUMMYFUNCTION("""COMPUTED_VALUE"""),530.1)</f>
        <v>530.1</v>
      </c>
      <c r="C8" s="6">
        <f>IFERROR(__xludf.DUMMYFUNCTION("""COMPUTED_VALUE"""),547.5)</f>
        <v>547.5</v>
      </c>
      <c r="D8" s="6">
        <f>IFERROR(__xludf.DUMMYFUNCTION("""COMPUTED_VALUE"""),525.65)</f>
        <v>525.65</v>
      </c>
      <c r="E8" s="6">
        <f>IFERROR(__xludf.DUMMYFUNCTION("""COMPUTED_VALUE"""),538.15)</f>
        <v>538.15</v>
      </c>
      <c r="F8" s="6">
        <f>IFERROR(__xludf.DUMMYFUNCTION("""COMPUTED_VALUE"""),1.2168576E7)</f>
        <v>12168576</v>
      </c>
    </row>
    <row r="9">
      <c r="A9" s="7">
        <f>IFERROR(__xludf.DUMMYFUNCTION("""COMPUTED_VALUE"""),45219.64583333333)</f>
        <v>45219.64583</v>
      </c>
      <c r="B9" s="6">
        <f>IFERROR(__xludf.DUMMYFUNCTION("""COMPUTED_VALUE"""),537.0)</f>
        <v>537</v>
      </c>
      <c r="C9" s="6">
        <f>IFERROR(__xludf.DUMMYFUNCTION("""COMPUTED_VALUE"""),538.7)</f>
        <v>538.7</v>
      </c>
      <c r="D9" s="6">
        <f>IFERROR(__xludf.DUMMYFUNCTION("""COMPUTED_VALUE"""),522.6)</f>
        <v>522.6</v>
      </c>
      <c r="E9" s="6">
        <f>IFERROR(__xludf.DUMMYFUNCTION("""COMPUTED_VALUE"""),527.0)</f>
        <v>527</v>
      </c>
      <c r="F9" s="6">
        <f>IFERROR(__xludf.DUMMYFUNCTION("""COMPUTED_VALUE"""),8883378.0)</f>
        <v>8883378</v>
      </c>
    </row>
    <row r="10">
      <c r="A10" s="7">
        <f>IFERROR(__xludf.DUMMYFUNCTION("""COMPUTED_VALUE"""),45226.64583333333)</f>
        <v>45226.64583</v>
      </c>
      <c r="B10" s="6">
        <f>IFERROR(__xludf.DUMMYFUNCTION("""COMPUTED_VALUE"""),527.2)</f>
        <v>527.2</v>
      </c>
      <c r="C10" s="6">
        <f>IFERROR(__xludf.DUMMYFUNCTION("""COMPUTED_VALUE"""),538.8)</f>
        <v>538.8</v>
      </c>
      <c r="D10" s="6">
        <f>IFERROR(__xludf.DUMMYFUNCTION("""COMPUTED_VALUE"""),495.25)</f>
        <v>495.25</v>
      </c>
      <c r="E10" s="6">
        <f>IFERROR(__xludf.DUMMYFUNCTION("""COMPUTED_VALUE"""),505.0)</f>
        <v>505</v>
      </c>
      <c r="F10" s="6">
        <f>IFERROR(__xludf.DUMMYFUNCTION("""COMPUTED_VALUE"""),1.7229874E7)</f>
        <v>17229874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IFERROR(__xludf.DUMMYFUNCTION("""COMPUTED_VALUE"""),503.0)</f>
        <v>503</v>
      </c>
      <c r="C11" s="6">
        <f>IFERROR(__xludf.DUMMYFUNCTION("""COMPUTED_VALUE"""),509.8)</f>
        <v>509.8</v>
      </c>
      <c r="D11" s="6">
        <f>IFERROR(__xludf.DUMMYFUNCTION("""COMPUTED_VALUE"""),491.25)</f>
        <v>491.25</v>
      </c>
      <c r="E11" s="6">
        <f>IFERROR(__xludf.DUMMYFUNCTION("""COMPUTED_VALUE"""),506.8)</f>
        <v>506.8</v>
      </c>
      <c r="F11" s="6">
        <f>IFERROR(__xludf.DUMMYFUNCTION("""COMPUTED_VALUE"""),6704060.0)</f>
        <v>6704060</v>
      </c>
    </row>
    <row r="12">
      <c r="A12" s="7">
        <f>IFERROR(__xludf.DUMMYFUNCTION("""COMPUTED_VALUE"""),45240.64583333333)</f>
        <v>45240.64583</v>
      </c>
      <c r="B12" s="6">
        <f>IFERROR(__xludf.DUMMYFUNCTION("""COMPUTED_VALUE"""),512.05)</f>
        <v>512.05</v>
      </c>
      <c r="C12" s="6">
        <f>IFERROR(__xludf.DUMMYFUNCTION("""COMPUTED_VALUE"""),512.9)</f>
        <v>512.9</v>
      </c>
      <c r="D12" s="6">
        <f>IFERROR(__xludf.DUMMYFUNCTION("""COMPUTED_VALUE"""),503.0)</f>
        <v>503</v>
      </c>
      <c r="E12" s="6">
        <f>IFERROR(__xludf.DUMMYFUNCTION("""COMPUTED_VALUE"""),507.6)</f>
        <v>507.6</v>
      </c>
      <c r="F12" s="6">
        <f>IFERROR(__xludf.DUMMYFUNCTION("""COMPUTED_VALUE"""),3225873.0)</f>
        <v>3225873</v>
      </c>
    </row>
    <row r="13">
      <c r="A13" s="7">
        <f>IFERROR(__xludf.DUMMYFUNCTION("""COMPUTED_VALUE"""),45247.64583333333)</f>
        <v>45247.64583</v>
      </c>
      <c r="B13" s="6">
        <f>IFERROR(__xludf.DUMMYFUNCTION("""COMPUTED_VALUE"""),510.0)</f>
        <v>510</v>
      </c>
      <c r="C13" s="6">
        <f>IFERROR(__xludf.DUMMYFUNCTION("""COMPUTED_VALUE"""),531.85)</f>
        <v>531.85</v>
      </c>
      <c r="D13" s="6">
        <f>IFERROR(__xludf.DUMMYFUNCTION("""COMPUTED_VALUE"""),500.65)</f>
        <v>500.65</v>
      </c>
      <c r="E13" s="6">
        <f>IFERROR(__xludf.DUMMYFUNCTION("""COMPUTED_VALUE"""),528.05)</f>
        <v>528.05</v>
      </c>
      <c r="F13" s="6">
        <f>IFERROR(__xludf.DUMMYFUNCTION("""COMPUTED_VALUE"""),8651937.0)</f>
        <v>8651937</v>
      </c>
    </row>
    <row r="14">
      <c r="A14" s="7">
        <f>IFERROR(__xludf.DUMMYFUNCTION("""COMPUTED_VALUE"""),45254.64583333333)</f>
        <v>45254.64583</v>
      </c>
      <c r="B14" s="6">
        <f>IFERROR(__xludf.DUMMYFUNCTION("""COMPUTED_VALUE"""),528.0)</f>
        <v>528</v>
      </c>
      <c r="C14" s="6">
        <f>IFERROR(__xludf.DUMMYFUNCTION("""COMPUTED_VALUE"""),546.95)</f>
        <v>546.95</v>
      </c>
      <c r="D14" s="6">
        <f>IFERROR(__xludf.DUMMYFUNCTION("""COMPUTED_VALUE"""),517.0)</f>
        <v>517</v>
      </c>
      <c r="E14" s="6">
        <f>IFERROR(__xludf.DUMMYFUNCTION("""COMPUTED_VALUE"""),544.85)</f>
        <v>544.85</v>
      </c>
      <c r="F14" s="6">
        <f>IFERROR(__xludf.DUMMYFUNCTION("""COMPUTED_VALUE"""),1.4072665E7)</f>
        <v>14072665</v>
      </c>
    </row>
    <row r="15">
      <c r="A15" s="7">
        <f>IFERROR(__xludf.DUMMYFUNCTION("""COMPUTED_VALUE"""),45261.64583333333)</f>
        <v>45261.64583</v>
      </c>
      <c r="B15" s="6">
        <f>IFERROR(__xludf.DUMMYFUNCTION("""COMPUTED_VALUE"""),544.85)</f>
        <v>544.85</v>
      </c>
      <c r="C15" s="6">
        <f>IFERROR(__xludf.DUMMYFUNCTION("""COMPUTED_VALUE"""),567.4)</f>
        <v>567.4</v>
      </c>
      <c r="D15" s="6">
        <f>IFERROR(__xludf.DUMMYFUNCTION("""COMPUTED_VALUE"""),539.8)</f>
        <v>539.8</v>
      </c>
      <c r="E15" s="6">
        <f>IFERROR(__xludf.DUMMYFUNCTION("""COMPUTED_VALUE"""),565.4)</f>
        <v>565.4</v>
      </c>
      <c r="F15" s="6">
        <f>IFERROR(__xludf.DUMMYFUNCTION("""COMPUTED_VALUE"""),1.3846555E7)</f>
        <v>13846555</v>
      </c>
    </row>
    <row r="16">
      <c r="A16" s="7">
        <f>IFERROR(__xludf.DUMMYFUNCTION("""COMPUTED_VALUE"""),45268.64583333333)</f>
        <v>45268.64583</v>
      </c>
      <c r="B16" s="6">
        <f>IFERROR(__xludf.DUMMYFUNCTION("""COMPUTED_VALUE"""),567.0)</f>
        <v>567</v>
      </c>
      <c r="C16" s="6">
        <f>IFERROR(__xludf.DUMMYFUNCTION("""COMPUTED_VALUE"""),576.1)</f>
        <v>576.1</v>
      </c>
      <c r="D16" s="6">
        <f>IFERROR(__xludf.DUMMYFUNCTION("""COMPUTED_VALUE"""),551.2)</f>
        <v>551.2</v>
      </c>
      <c r="E16" s="6">
        <f>IFERROR(__xludf.DUMMYFUNCTION("""COMPUTED_VALUE"""),559.75)</f>
        <v>559.75</v>
      </c>
      <c r="F16" s="6">
        <f>IFERROR(__xludf.DUMMYFUNCTION("""COMPUTED_VALUE"""),8274453.0)</f>
        <v>8274453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IFERROR(__xludf.DUMMYFUNCTION("""COMPUTED_VALUE"""),558.0)</f>
        <v>558</v>
      </c>
      <c r="C17" s="6">
        <f>IFERROR(__xludf.DUMMYFUNCTION("""COMPUTED_VALUE"""),577.95)</f>
        <v>577.95</v>
      </c>
      <c r="D17" s="6">
        <f>IFERROR(__xludf.DUMMYFUNCTION("""COMPUTED_VALUE"""),554.0)</f>
        <v>554</v>
      </c>
      <c r="E17" s="6">
        <f>IFERROR(__xludf.DUMMYFUNCTION("""COMPUTED_VALUE"""),565.45)</f>
        <v>565.45</v>
      </c>
      <c r="F17" s="6">
        <f>IFERROR(__xludf.DUMMYFUNCTION("""COMPUTED_VALUE"""),6757664.0)</f>
        <v>6757664</v>
      </c>
    </row>
    <row r="18">
      <c r="A18" s="7">
        <f>IFERROR(__xludf.DUMMYFUNCTION("""COMPUTED_VALUE"""),45282.64583333333)</f>
        <v>45282.64583</v>
      </c>
      <c r="B18" s="6">
        <f>IFERROR(__xludf.DUMMYFUNCTION("""COMPUTED_VALUE"""),565.45)</f>
        <v>565.45</v>
      </c>
      <c r="C18" s="6">
        <f>IFERROR(__xludf.DUMMYFUNCTION("""COMPUTED_VALUE"""),586.95)</f>
        <v>586.95</v>
      </c>
      <c r="D18" s="6">
        <f>IFERROR(__xludf.DUMMYFUNCTION("""COMPUTED_VALUE"""),552.65)</f>
        <v>552.65</v>
      </c>
      <c r="E18" s="6">
        <f>IFERROR(__xludf.DUMMYFUNCTION("""COMPUTED_VALUE"""),581.45)</f>
        <v>581.45</v>
      </c>
      <c r="F18" s="6">
        <f>IFERROR(__xludf.DUMMYFUNCTION("""COMPUTED_VALUE"""),1.6057476E7)</f>
        <v>16057476</v>
      </c>
    </row>
    <row r="19">
      <c r="A19" s="7">
        <f>IFERROR(__xludf.DUMMYFUNCTION("""COMPUTED_VALUE"""),45289.64583333333)</f>
        <v>45289.64583</v>
      </c>
      <c r="B19" s="6">
        <f>IFERROR(__xludf.DUMMYFUNCTION("""COMPUTED_VALUE"""),585.0)</f>
        <v>585</v>
      </c>
      <c r="C19" s="6">
        <f>IFERROR(__xludf.DUMMYFUNCTION("""COMPUTED_VALUE"""),585.0)</f>
        <v>585</v>
      </c>
      <c r="D19" s="6">
        <f>IFERROR(__xludf.DUMMYFUNCTION("""COMPUTED_VALUE"""),561.0)</f>
        <v>561</v>
      </c>
      <c r="E19" s="6">
        <f>IFERROR(__xludf.DUMMYFUNCTION("""COMPUTED_VALUE"""),565.05)</f>
        <v>565.05</v>
      </c>
      <c r="F19" s="6">
        <f>IFERROR(__xludf.DUMMYFUNCTION("""COMPUTED_VALUE"""),7271810.0)</f>
        <v>7271810</v>
      </c>
    </row>
    <row r="20">
      <c r="A20" s="7">
        <f>IFERROR(__xludf.DUMMYFUNCTION("""COMPUTED_VALUE"""),45296.64583333333)</f>
        <v>45296.64583</v>
      </c>
      <c r="B20" s="6">
        <f>IFERROR(__xludf.DUMMYFUNCTION("""COMPUTED_VALUE"""),567.0)</f>
        <v>567</v>
      </c>
      <c r="C20" s="6">
        <f>IFERROR(__xludf.DUMMYFUNCTION("""COMPUTED_VALUE"""),567.75)</f>
        <v>567.75</v>
      </c>
      <c r="D20" s="6">
        <f>IFERROR(__xludf.DUMMYFUNCTION("""COMPUTED_VALUE"""),551.05)</f>
        <v>551.05</v>
      </c>
      <c r="E20" s="6">
        <f>IFERROR(__xludf.DUMMYFUNCTION("""COMPUTED_VALUE"""),555.55)</f>
        <v>555.55</v>
      </c>
      <c r="F20" s="6">
        <f>IFERROR(__xludf.DUMMYFUNCTION("""COMPUTED_VALUE"""),9001846.0)</f>
        <v>9001846</v>
      </c>
    </row>
    <row r="21">
      <c r="A21" s="7">
        <f>IFERROR(__xludf.DUMMYFUNCTION("""COMPUTED_VALUE"""),45303.64583333333)</f>
        <v>45303.64583</v>
      </c>
      <c r="B21" s="6">
        <f>IFERROR(__xludf.DUMMYFUNCTION("""COMPUTED_VALUE"""),554.7)</f>
        <v>554.7</v>
      </c>
      <c r="C21" s="6">
        <f>IFERROR(__xludf.DUMMYFUNCTION("""COMPUTED_VALUE"""),556.5)</f>
        <v>556.5</v>
      </c>
      <c r="D21" s="6">
        <f>IFERROR(__xludf.DUMMYFUNCTION("""COMPUTED_VALUE"""),517.2)</f>
        <v>517.2</v>
      </c>
      <c r="E21" s="6">
        <f>IFERROR(__xludf.DUMMYFUNCTION("""COMPUTED_VALUE"""),525.65)</f>
        <v>525.65</v>
      </c>
      <c r="F21" s="6">
        <f>IFERROR(__xludf.DUMMYFUNCTION("""COMPUTED_VALUE"""),9931260.0)</f>
        <v>9931260</v>
      </c>
    </row>
    <row r="22">
      <c r="A22" s="7">
        <f>IFERROR(__xludf.DUMMYFUNCTION("""COMPUTED_VALUE"""),45316.64583333333)</f>
        <v>45316.64583</v>
      </c>
      <c r="B22" s="6">
        <f>IFERROR(__xludf.DUMMYFUNCTION("""COMPUTED_VALUE"""),527.9)</f>
        <v>527.9</v>
      </c>
      <c r="C22" s="6">
        <f>IFERROR(__xludf.DUMMYFUNCTION("""COMPUTED_VALUE"""),528.3)</f>
        <v>528.3</v>
      </c>
      <c r="D22" s="6">
        <f>IFERROR(__xludf.DUMMYFUNCTION("""COMPUTED_VALUE"""),506.0)</f>
        <v>506</v>
      </c>
      <c r="E22" s="6">
        <f>IFERROR(__xludf.DUMMYFUNCTION("""COMPUTED_VALUE"""),508.25)</f>
        <v>508.25</v>
      </c>
      <c r="F22" s="6">
        <f>IFERROR(__xludf.DUMMYFUNCTION("""COMPUTED_VALUE"""),1.0527627E7)</f>
        <v>10527627</v>
      </c>
    </row>
    <row r="23">
      <c r="A23" s="7">
        <f>IFERROR(__xludf.DUMMYFUNCTION("""COMPUTED_VALUE"""),45324.64583333333)</f>
        <v>45324.64583</v>
      </c>
      <c r="B23" s="6">
        <f>IFERROR(__xludf.DUMMYFUNCTION("""COMPUTED_VALUE"""),508.75)</f>
        <v>508.75</v>
      </c>
      <c r="C23" s="6">
        <f>IFERROR(__xludf.DUMMYFUNCTION("""COMPUTED_VALUE"""),526.15)</f>
        <v>526.15</v>
      </c>
      <c r="D23" s="6">
        <f>IFERROR(__xludf.DUMMYFUNCTION("""COMPUTED_VALUE"""),493.8)</f>
        <v>493.8</v>
      </c>
      <c r="E23" s="6">
        <f>IFERROR(__xludf.DUMMYFUNCTION("""COMPUTED_VALUE"""),494.85)</f>
        <v>494.85</v>
      </c>
      <c r="F23" s="6">
        <f>IFERROR(__xludf.DUMMYFUNCTION("""COMPUTED_VALUE"""),2.4026157E7)</f>
        <v>24026157</v>
      </c>
    </row>
    <row r="24">
      <c r="A24" s="7">
        <f>IFERROR(__xludf.DUMMYFUNCTION("""COMPUTED_VALUE"""),45331.64583333333)</f>
        <v>45331.64583</v>
      </c>
      <c r="B24" s="6">
        <f>IFERROR(__xludf.DUMMYFUNCTION("""COMPUTED_VALUE"""),495.1)</f>
        <v>495.1</v>
      </c>
      <c r="C24" s="6">
        <f>IFERROR(__xludf.DUMMYFUNCTION("""COMPUTED_VALUE"""),503.4)</f>
        <v>503.4</v>
      </c>
      <c r="D24" s="6">
        <f>IFERROR(__xludf.DUMMYFUNCTION("""COMPUTED_VALUE"""),471.05)</f>
        <v>471.05</v>
      </c>
      <c r="E24" s="6">
        <f>IFERROR(__xludf.DUMMYFUNCTION("""COMPUTED_VALUE"""),482.05)</f>
        <v>482.05</v>
      </c>
      <c r="F24" s="6">
        <f>IFERROR(__xludf.DUMMYFUNCTION("""COMPUTED_VALUE"""),1.8366844E7)</f>
        <v>18366844</v>
      </c>
    </row>
    <row r="25">
      <c r="A25" s="7">
        <f>IFERROR(__xludf.DUMMYFUNCTION("""COMPUTED_VALUE"""),45338.64583333333)</f>
        <v>45338.64583</v>
      </c>
      <c r="B25" s="6">
        <f>IFERROR(__xludf.DUMMYFUNCTION("""COMPUTED_VALUE"""),484.8)</f>
        <v>484.8</v>
      </c>
      <c r="C25" s="6">
        <f>IFERROR(__xludf.DUMMYFUNCTION("""COMPUTED_VALUE"""),497.6)</f>
        <v>497.6</v>
      </c>
      <c r="D25" s="6">
        <f>IFERROR(__xludf.DUMMYFUNCTION("""COMPUTED_VALUE"""),464.05)</f>
        <v>464.05</v>
      </c>
      <c r="E25" s="6">
        <f>IFERROR(__xludf.DUMMYFUNCTION("""COMPUTED_VALUE"""),496.0)</f>
        <v>496</v>
      </c>
      <c r="F25" s="6">
        <f>IFERROR(__xludf.DUMMYFUNCTION("""COMPUTED_VALUE"""),1.4845324E7)</f>
        <v>14845324</v>
      </c>
    </row>
    <row r="26">
      <c r="A26" s="7">
        <f>IFERROR(__xludf.DUMMYFUNCTION("""COMPUTED_VALUE"""),45345.64583333333)</f>
        <v>45345.64583</v>
      </c>
      <c r="B26" s="6">
        <f>IFERROR(__xludf.DUMMYFUNCTION("""COMPUTED_VALUE"""),496.3)</f>
        <v>496.3</v>
      </c>
      <c r="C26" s="6">
        <f>IFERROR(__xludf.DUMMYFUNCTION("""COMPUTED_VALUE"""),520.0)</f>
        <v>520</v>
      </c>
      <c r="D26" s="6">
        <f>IFERROR(__xludf.DUMMYFUNCTION("""COMPUTED_VALUE"""),485.25)</f>
        <v>485.25</v>
      </c>
      <c r="E26" s="6">
        <f>IFERROR(__xludf.DUMMYFUNCTION("""COMPUTED_VALUE"""),493.5)</f>
        <v>493.5</v>
      </c>
      <c r="F26" s="6">
        <f>IFERROR(__xludf.DUMMYFUNCTION("""COMPUTED_VALUE"""),1.525095E7)</f>
        <v>15250950</v>
      </c>
    </row>
    <row r="27">
      <c r="A27" s="7">
        <f>IFERROR(__xludf.DUMMYFUNCTION("""COMPUTED_VALUE"""),45358.64583333333)</f>
        <v>45358.64583</v>
      </c>
      <c r="B27" s="6">
        <f>IFERROR(__xludf.DUMMYFUNCTION("""COMPUTED_VALUE"""),470.0)</f>
        <v>470</v>
      </c>
      <c r="C27" s="6">
        <f>IFERROR(__xludf.DUMMYFUNCTION("""COMPUTED_VALUE"""),475.4)</f>
        <v>475.4</v>
      </c>
      <c r="D27" s="6">
        <f>IFERROR(__xludf.DUMMYFUNCTION("""COMPUTED_VALUE"""),446.25)</f>
        <v>446.25</v>
      </c>
      <c r="E27" s="6">
        <f>IFERROR(__xludf.DUMMYFUNCTION("""COMPUTED_VALUE"""),453.4)</f>
        <v>453.4</v>
      </c>
      <c r="F27" s="6">
        <f>IFERROR(__xludf.DUMMYFUNCTION("""COMPUTED_VALUE"""),7499681.0)</f>
        <v>7499681</v>
      </c>
    </row>
    <row r="28">
      <c r="A28" s="7">
        <f>IFERROR(__xludf.DUMMYFUNCTION("""COMPUTED_VALUE"""),45366.64583333333)</f>
        <v>45366.64583</v>
      </c>
      <c r="B28" s="6">
        <f>IFERROR(__xludf.DUMMYFUNCTION("""COMPUTED_VALUE"""),455.0)</f>
        <v>455</v>
      </c>
      <c r="C28" s="6">
        <f>IFERROR(__xludf.DUMMYFUNCTION("""COMPUTED_VALUE"""),458.0)</f>
        <v>458</v>
      </c>
      <c r="D28" s="6">
        <f>IFERROR(__xludf.DUMMYFUNCTION("""COMPUTED_VALUE"""),421.05)</f>
        <v>421.05</v>
      </c>
      <c r="E28" s="6">
        <f>IFERROR(__xludf.DUMMYFUNCTION("""COMPUTED_VALUE"""),447.55)</f>
        <v>447.55</v>
      </c>
      <c r="F28" s="6">
        <f>IFERROR(__xludf.DUMMYFUNCTION("""COMPUTED_VALUE"""),1.6226284E7)</f>
        <v>16226284</v>
      </c>
    </row>
    <row r="29">
      <c r="A29" s="7">
        <f>IFERROR(__xludf.DUMMYFUNCTION("""COMPUTED_VALUE"""),45373.64583333333)</f>
        <v>45373.64583</v>
      </c>
      <c r="B29" s="6">
        <f>IFERROR(__xludf.DUMMYFUNCTION("""COMPUTED_VALUE"""),447.55)</f>
        <v>447.55</v>
      </c>
      <c r="C29" s="6">
        <f>IFERROR(__xludf.DUMMYFUNCTION("""COMPUTED_VALUE"""),456.25)</f>
        <v>456.25</v>
      </c>
      <c r="D29" s="6">
        <f>IFERROR(__xludf.DUMMYFUNCTION("""COMPUTED_VALUE"""),435.5)</f>
        <v>435.5</v>
      </c>
      <c r="E29" s="6">
        <f>IFERROR(__xludf.DUMMYFUNCTION("""COMPUTED_VALUE"""),452.45)</f>
        <v>452.45</v>
      </c>
      <c r="F29" s="6">
        <f>IFERROR(__xludf.DUMMYFUNCTION("""COMPUTED_VALUE"""),1.0940838E7)</f>
        <v>10940838</v>
      </c>
    </row>
    <row r="30">
      <c r="A30" s="7">
        <f>IFERROR(__xludf.DUMMYFUNCTION("""COMPUTED_VALUE"""),45379.64583333333)</f>
        <v>45379.64583</v>
      </c>
      <c r="B30" s="6">
        <f>IFERROR(__xludf.DUMMYFUNCTION("""COMPUTED_VALUE"""),453.3)</f>
        <v>453.3</v>
      </c>
      <c r="C30" s="6">
        <f>IFERROR(__xludf.DUMMYFUNCTION("""COMPUTED_VALUE"""),468.8)</f>
        <v>468.8</v>
      </c>
      <c r="D30" s="6">
        <f>IFERROR(__xludf.DUMMYFUNCTION("""COMPUTED_VALUE"""),447.35)</f>
        <v>447.35</v>
      </c>
      <c r="E30" s="6">
        <f>IFERROR(__xludf.DUMMYFUNCTION("""COMPUTED_VALUE"""),448.85)</f>
        <v>448.85</v>
      </c>
      <c r="F30" s="6">
        <f>IFERROR(__xludf.DUMMYFUNCTION("""COMPUTED_VALUE"""),1.1496472E7)</f>
        <v>11496472</v>
      </c>
    </row>
    <row r="31">
      <c r="A31" s="7">
        <f>IFERROR(__xludf.DUMMYFUNCTION("""COMPUTED_VALUE"""),45387.64583333333)</f>
        <v>45387.64583</v>
      </c>
      <c r="B31" s="6">
        <f>IFERROR(__xludf.DUMMYFUNCTION("""COMPUTED_VALUE"""),451.0)</f>
        <v>451</v>
      </c>
      <c r="C31" s="6">
        <f>IFERROR(__xludf.DUMMYFUNCTION("""COMPUTED_VALUE"""),468.75)</f>
        <v>468.75</v>
      </c>
      <c r="D31" s="6">
        <f>IFERROR(__xludf.DUMMYFUNCTION("""COMPUTED_VALUE"""),449.15)</f>
        <v>449.15</v>
      </c>
      <c r="E31" s="6">
        <f>IFERROR(__xludf.DUMMYFUNCTION("""COMPUTED_VALUE"""),460.5)</f>
        <v>460.5</v>
      </c>
      <c r="F31" s="6">
        <f>IFERROR(__xludf.DUMMYFUNCTION("""COMPUTED_VALUE"""),1.5825269E7)</f>
        <v>15825269</v>
      </c>
    </row>
    <row r="32">
      <c r="A32" s="7">
        <f>IFERROR(__xludf.DUMMYFUNCTION("""COMPUTED_VALUE"""),45394.64583333333)</f>
        <v>45394.64583</v>
      </c>
      <c r="B32" s="6">
        <f>IFERROR(__xludf.DUMMYFUNCTION("""COMPUTED_VALUE"""),461.05)</f>
        <v>461.05</v>
      </c>
      <c r="C32" s="6">
        <f>IFERROR(__xludf.DUMMYFUNCTION("""COMPUTED_VALUE"""),462.9)</f>
        <v>462.9</v>
      </c>
      <c r="D32" s="6">
        <f>IFERROR(__xludf.DUMMYFUNCTION("""COMPUTED_VALUE"""),445.0)</f>
        <v>445</v>
      </c>
      <c r="E32" s="6">
        <f>IFERROR(__xludf.DUMMYFUNCTION("""COMPUTED_VALUE"""),461.35)</f>
        <v>461.35</v>
      </c>
      <c r="F32" s="6">
        <f>IFERROR(__xludf.DUMMYFUNCTION("""COMPUTED_VALUE"""),1.7431148E7)</f>
        <v>17431148</v>
      </c>
    </row>
    <row r="33">
      <c r="A33" s="7">
        <f>IFERROR(__xludf.DUMMYFUNCTION("""COMPUTED_VALUE"""),45401.64583333333)</f>
        <v>45401.64583</v>
      </c>
      <c r="B33" s="6">
        <f>IFERROR(__xludf.DUMMYFUNCTION("""COMPUTED_VALUE"""),458.95)</f>
        <v>458.95</v>
      </c>
      <c r="C33" s="6">
        <f>IFERROR(__xludf.DUMMYFUNCTION("""COMPUTED_VALUE"""),458.95)</f>
        <v>458.95</v>
      </c>
      <c r="D33" s="6">
        <f>IFERROR(__xludf.DUMMYFUNCTION("""COMPUTED_VALUE"""),429.6)</f>
        <v>429.6</v>
      </c>
      <c r="E33" s="6">
        <f>IFERROR(__xludf.DUMMYFUNCTION("""COMPUTED_VALUE"""),435.65)</f>
        <v>435.65</v>
      </c>
      <c r="F33" s="6">
        <f>IFERROR(__xludf.DUMMYFUNCTION("""COMPUTED_VALUE"""),1.003686E7)</f>
        <v>10036860</v>
      </c>
    </row>
    <row r="34">
      <c r="A34" s="7">
        <f>IFERROR(__xludf.DUMMYFUNCTION("""COMPUTED_VALUE"""),45408.64583333333)</f>
        <v>45408.64583</v>
      </c>
      <c r="B34" s="6">
        <f>IFERROR(__xludf.DUMMYFUNCTION("""COMPUTED_VALUE"""),440.85)</f>
        <v>440.85</v>
      </c>
      <c r="C34" s="6">
        <f>IFERROR(__xludf.DUMMYFUNCTION("""COMPUTED_VALUE"""),445.0)</f>
        <v>445</v>
      </c>
      <c r="D34" s="6">
        <f>IFERROR(__xludf.DUMMYFUNCTION("""COMPUTED_VALUE"""),435.2)</f>
        <v>435.2</v>
      </c>
      <c r="E34" s="6">
        <f>IFERROR(__xludf.DUMMYFUNCTION("""COMPUTED_VALUE"""),437.35)</f>
        <v>437.35</v>
      </c>
      <c r="F34" s="6">
        <f>IFERROR(__xludf.DUMMYFUNCTION("""COMPUTED_VALUE"""),6765399.0)</f>
        <v>6765399</v>
      </c>
    </row>
    <row r="35">
      <c r="A35" s="7">
        <f>IFERROR(__xludf.DUMMYFUNCTION("""COMPUTED_VALUE"""),45415.64583333333)</f>
        <v>45415.64583</v>
      </c>
      <c r="B35" s="6">
        <f>IFERROR(__xludf.DUMMYFUNCTION("""COMPUTED_VALUE"""),439.95)</f>
        <v>439.95</v>
      </c>
      <c r="C35" s="6">
        <f>IFERROR(__xludf.DUMMYFUNCTION("""COMPUTED_VALUE"""),469.85)</f>
        <v>469.85</v>
      </c>
      <c r="D35" s="6">
        <f>IFERROR(__xludf.DUMMYFUNCTION("""COMPUTED_VALUE"""),437.65)</f>
        <v>437.65</v>
      </c>
      <c r="E35" s="6">
        <f>IFERROR(__xludf.DUMMYFUNCTION("""COMPUTED_VALUE"""),462.75)</f>
        <v>462.75</v>
      </c>
      <c r="F35" s="6">
        <f>IFERROR(__xludf.DUMMYFUNCTION("""COMPUTED_VALUE"""),1.844521E7)</f>
        <v>18445210</v>
      </c>
    </row>
    <row r="36">
      <c r="A36" s="7">
        <f>IFERROR(__xludf.DUMMYFUNCTION("""COMPUTED_VALUE"""),45422.64583333333)</f>
        <v>45422.64583</v>
      </c>
      <c r="B36" s="6">
        <f>IFERROR(__xludf.DUMMYFUNCTION("""COMPUTED_VALUE"""),464.0)</f>
        <v>464</v>
      </c>
      <c r="C36" s="6">
        <f>IFERROR(__xludf.DUMMYFUNCTION("""COMPUTED_VALUE"""),497.85)</f>
        <v>497.85</v>
      </c>
      <c r="D36" s="6">
        <f>IFERROR(__xludf.DUMMYFUNCTION("""COMPUTED_VALUE"""),452.4)</f>
        <v>452.4</v>
      </c>
      <c r="E36" s="6">
        <f>IFERROR(__xludf.DUMMYFUNCTION("""COMPUTED_VALUE"""),462.6)</f>
        <v>462.6</v>
      </c>
      <c r="F36" s="6">
        <f>IFERROR(__xludf.DUMMYFUNCTION("""COMPUTED_VALUE"""),2.3838515E7)</f>
        <v>23838515</v>
      </c>
    </row>
    <row r="37">
      <c r="A37" s="7">
        <f>IFERROR(__xludf.DUMMYFUNCTION("""COMPUTED_VALUE"""),45436.64583333333)</f>
        <v>45436.64583</v>
      </c>
      <c r="B37" s="6">
        <f>IFERROR(__xludf.DUMMYFUNCTION("""COMPUTED_VALUE"""),469.0)</f>
        <v>469</v>
      </c>
      <c r="C37" s="6">
        <f>IFERROR(__xludf.DUMMYFUNCTION("""COMPUTED_VALUE"""),502.4)</f>
        <v>502.4</v>
      </c>
      <c r="D37" s="6">
        <f>IFERROR(__xludf.DUMMYFUNCTION("""COMPUTED_VALUE"""),463.1)</f>
        <v>463.1</v>
      </c>
      <c r="E37" s="6">
        <f>IFERROR(__xludf.DUMMYFUNCTION("""COMPUTED_VALUE"""),466.75)</f>
        <v>466.75</v>
      </c>
      <c r="F37" s="6">
        <f>IFERROR(__xludf.DUMMYFUNCTION("""COMPUTED_VALUE"""),2.0917542E7)</f>
        <v>20917542</v>
      </c>
    </row>
    <row r="38">
      <c r="A38" s="7">
        <f>IFERROR(__xludf.DUMMYFUNCTION("""COMPUTED_VALUE"""),45443.64583333333)</f>
        <v>45443.64583</v>
      </c>
      <c r="B38" s="6">
        <f>IFERROR(__xludf.DUMMYFUNCTION("""COMPUTED_VALUE"""),467.4)</f>
        <v>467.4</v>
      </c>
      <c r="C38" s="6">
        <f>IFERROR(__xludf.DUMMYFUNCTION("""COMPUTED_VALUE"""),523.5)</f>
        <v>523.5</v>
      </c>
      <c r="D38" s="6">
        <f>IFERROR(__xludf.DUMMYFUNCTION("""COMPUTED_VALUE"""),465.2)</f>
        <v>465.2</v>
      </c>
      <c r="E38" s="6">
        <f>IFERROR(__xludf.DUMMYFUNCTION("""COMPUTED_VALUE"""),494.0)</f>
        <v>494</v>
      </c>
      <c r="F38" s="6">
        <f>IFERROR(__xludf.DUMMYFUNCTION("""COMPUTED_VALUE"""),4.3253216E7)</f>
        <v>43253216</v>
      </c>
    </row>
    <row r="39">
      <c r="A39" s="7">
        <f>IFERROR(__xludf.DUMMYFUNCTION("""COMPUTED_VALUE"""),45450.64583333333)</f>
        <v>45450.64583</v>
      </c>
      <c r="B39" s="6">
        <f>IFERROR(__xludf.DUMMYFUNCTION("""COMPUTED_VALUE"""),512.0)</f>
        <v>512</v>
      </c>
      <c r="C39" s="6">
        <f>IFERROR(__xludf.DUMMYFUNCTION("""COMPUTED_VALUE"""),542.95)</f>
        <v>542.95</v>
      </c>
      <c r="D39" s="6">
        <f>IFERROR(__xludf.DUMMYFUNCTION("""COMPUTED_VALUE"""),468.7)</f>
        <v>468.7</v>
      </c>
      <c r="E39" s="6">
        <f>IFERROR(__xludf.DUMMYFUNCTION("""COMPUTED_VALUE"""),518.5)</f>
        <v>518.5</v>
      </c>
      <c r="F39" s="6">
        <f>IFERROR(__xludf.DUMMYFUNCTION("""COMPUTED_VALUE"""),2.4844151E7)</f>
        <v>24844151</v>
      </c>
    </row>
    <row r="40">
      <c r="A40" s="7">
        <f>IFERROR(__xludf.DUMMYFUNCTION("""COMPUTED_VALUE"""),45457.64583333333)</f>
        <v>45457.64583</v>
      </c>
      <c r="B40" s="6">
        <f>IFERROR(__xludf.DUMMYFUNCTION("""COMPUTED_VALUE"""),521.5)</f>
        <v>521.5</v>
      </c>
      <c r="C40" s="6">
        <f>IFERROR(__xludf.DUMMYFUNCTION("""COMPUTED_VALUE"""),542.7)</f>
        <v>542.7</v>
      </c>
      <c r="D40" s="6">
        <f>IFERROR(__xludf.DUMMYFUNCTION("""COMPUTED_VALUE"""),515.0)</f>
        <v>515</v>
      </c>
      <c r="E40" s="6">
        <f>IFERROR(__xludf.DUMMYFUNCTION("""COMPUTED_VALUE"""),530.65)</f>
        <v>530.65</v>
      </c>
      <c r="F40" s="6">
        <f>IFERROR(__xludf.DUMMYFUNCTION("""COMPUTED_VALUE"""),1.1991312E7)</f>
        <v>11991312</v>
      </c>
    </row>
    <row r="41">
      <c r="A41" s="7">
        <f>IFERROR(__xludf.DUMMYFUNCTION("""COMPUTED_VALUE"""),45464.64583333333)</f>
        <v>45464.64583</v>
      </c>
      <c r="B41" s="6">
        <f>IFERROR(__xludf.DUMMYFUNCTION("""COMPUTED_VALUE"""),534.35)</f>
        <v>534.35</v>
      </c>
      <c r="C41" s="6">
        <f>IFERROR(__xludf.DUMMYFUNCTION("""COMPUTED_VALUE"""),556.6)</f>
        <v>556.6</v>
      </c>
      <c r="D41" s="6">
        <f>IFERROR(__xludf.DUMMYFUNCTION("""COMPUTED_VALUE"""),532.0)</f>
        <v>532</v>
      </c>
      <c r="E41" s="6">
        <f>IFERROR(__xludf.DUMMYFUNCTION("""COMPUTED_VALUE"""),551.95)</f>
        <v>551.95</v>
      </c>
      <c r="F41" s="6">
        <f>IFERROR(__xludf.DUMMYFUNCTION("""COMPUTED_VALUE"""),1.5355676E7)</f>
        <v>15355676</v>
      </c>
    </row>
    <row r="42">
      <c r="A42" s="7">
        <f>IFERROR(__xludf.DUMMYFUNCTION("""COMPUTED_VALUE"""),45471.64583333333)</f>
        <v>45471.64583</v>
      </c>
      <c r="B42" s="6">
        <f>IFERROR(__xludf.DUMMYFUNCTION("""COMPUTED_VALUE"""),549.95)</f>
        <v>549.95</v>
      </c>
      <c r="C42" s="6">
        <f>IFERROR(__xludf.DUMMYFUNCTION("""COMPUTED_VALUE"""),584.65)</f>
        <v>584.65</v>
      </c>
      <c r="D42" s="6">
        <f>IFERROR(__xludf.DUMMYFUNCTION("""COMPUTED_VALUE"""),542.15)</f>
        <v>542.15</v>
      </c>
      <c r="E42" s="6">
        <f>IFERROR(__xludf.DUMMYFUNCTION("""COMPUTED_VALUE"""),563.25)</f>
        <v>563.25</v>
      </c>
      <c r="F42" s="6">
        <f>IFERROR(__xludf.DUMMYFUNCTION("""COMPUTED_VALUE"""),2.0902222E7)</f>
        <v>20902222</v>
      </c>
    </row>
    <row r="43">
      <c r="A43" s="7">
        <f>IFERROR(__xludf.DUMMYFUNCTION("""COMPUTED_VALUE"""),45478.64583333333)</f>
        <v>45478.64583</v>
      </c>
      <c r="B43" s="6">
        <f>IFERROR(__xludf.DUMMYFUNCTION("""COMPUTED_VALUE"""),564.0)</f>
        <v>564</v>
      </c>
      <c r="C43" s="6">
        <f>IFERROR(__xludf.DUMMYFUNCTION("""COMPUTED_VALUE"""),580.0)</f>
        <v>580</v>
      </c>
      <c r="D43" s="6">
        <f>IFERROR(__xludf.DUMMYFUNCTION("""COMPUTED_VALUE"""),559.85)</f>
        <v>559.85</v>
      </c>
      <c r="E43" s="6">
        <f>IFERROR(__xludf.DUMMYFUNCTION("""COMPUTED_VALUE"""),570.55)</f>
        <v>570.55</v>
      </c>
      <c r="F43" s="6">
        <f>IFERROR(__xludf.DUMMYFUNCTION("""COMPUTED_VALUE"""),7808366.0)</f>
        <v>7808366</v>
      </c>
    </row>
    <row r="44">
      <c r="A44" s="7">
        <f>IFERROR(__xludf.DUMMYFUNCTION("""COMPUTED_VALUE"""),45485.64583333333)</f>
        <v>45485.64583</v>
      </c>
      <c r="B44" s="6">
        <f>IFERROR(__xludf.DUMMYFUNCTION("""COMPUTED_VALUE"""),570.0)</f>
        <v>570</v>
      </c>
      <c r="C44" s="6">
        <f>IFERROR(__xludf.DUMMYFUNCTION("""COMPUTED_VALUE"""),587.0)</f>
        <v>587</v>
      </c>
      <c r="D44" s="6">
        <f>IFERROR(__xludf.DUMMYFUNCTION("""COMPUTED_VALUE"""),564.1)</f>
        <v>564.1</v>
      </c>
      <c r="E44" s="6">
        <f>IFERROR(__xludf.DUMMYFUNCTION("""COMPUTED_VALUE"""),582.05)</f>
        <v>582.05</v>
      </c>
      <c r="F44" s="6">
        <f>IFERROR(__xludf.DUMMYFUNCTION("""COMPUTED_VALUE"""),1.0773956E7)</f>
        <v>10773956</v>
      </c>
    </row>
    <row r="45">
      <c r="A45" s="7">
        <f>IFERROR(__xludf.DUMMYFUNCTION("""COMPUTED_VALUE"""),45492.64583333333)</f>
        <v>45492.64583</v>
      </c>
      <c r="B45" s="6">
        <f>IFERROR(__xludf.DUMMYFUNCTION("""COMPUTED_VALUE"""),582.05)</f>
        <v>582.05</v>
      </c>
      <c r="C45" s="6">
        <f>IFERROR(__xludf.DUMMYFUNCTION("""COMPUTED_VALUE"""),594.0)</f>
        <v>594</v>
      </c>
      <c r="D45" s="6">
        <f>IFERROR(__xludf.DUMMYFUNCTION("""COMPUTED_VALUE"""),558.5)</f>
        <v>558.5</v>
      </c>
      <c r="E45" s="6">
        <f>IFERROR(__xludf.DUMMYFUNCTION("""COMPUTED_VALUE"""),560.15)</f>
        <v>560.15</v>
      </c>
      <c r="F45" s="6">
        <f>IFERROR(__xludf.DUMMYFUNCTION("""COMPUTED_VALUE"""),8723233.0)</f>
        <v>8723233</v>
      </c>
    </row>
    <row r="46">
      <c r="A46" s="7">
        <f>IFERROR(__xludf.DUMMYFUNCTION("""COMPUTED_VALUE"""),45499.64583333333)</f>
        <v>45499.64583</v>
      </c>
      <c r="B46" s="6">
        <f>IFERROR(__xludf.DUMMYFUNCTION("""COMPUTED_VALUE"""),555.8)</f>
        <v>555.8</v>
      </c>
      <c r="C46" s="6">
        <f>IFERROR(__xludf.DUMMYFUNCTION("""COMPUTED_VALUE"""),584.95)</f>
        <v>584.95</v>
      </c>
      <c r="D46" s="6">
        <f>IFERROR(__xludf.DUMMYFUNCTION("""COMPUTED_VALUE"""),548.75)</f>
        <v>548.75</v>
      </c>
      <c r="E46" s="6">
        <f>IFERROR(__xludf.DUMMYFUNCTION("""COMPUTED_VALUE"""),581.35)</f>
        <v>581.35</v>
      </c>
      <c r="F46" s="6">
        <f>IFERROR(__xludf.DUMMYFUNCTION("""COMPUTED_VALUE"""),9772031.0)</f>
        <v>9772031</v>
      </c>
    </row>
    <row r="47">
      <c r="A47" s="7">
        <f>IFERROR(__xludf.DUMMYFUNCTION("""COMPUTED_VALUE"""),45506.64583333333)</f>
        <v>45506.64583</v>
      </c>
      <c r="B47" s="6">
        <f>IFERROR(__xludf.DUMMYFUNCTION("""COMPUTED_VALUE"""),583.1)</f>
        <v>583.1</v>
      </c>
      <c r="C47" s="6">
        <f>IFERROR(__xludf.DUMMYFUNCTION("""COMPUTED_VALUE"""),615.45)</f>
        <v>615.45</v>
      </c>
      <c r="D47" s="6">
        <f>IFERROR(__xludf.DUMMYFUNCTION("""COMPUTED_VALUE"""),577.35)</f>
        <v>577.35</v>
      </c>
      <c r="E47" s="6">
        <f>IFERROR(__xludf.DUMMYFUNCTION("""COMPUTED_VALUE"""),606.7)</f>
        <v>606.7</v>
      </c>
      <c r="F47" s="6">
        <f>IFERROR(__xludf.DUMMYFUNCTION("""COMPUTED_VALUE"""),1.3351108E7)</f>
        <v>13351108</v>
      </c>
    </row>
    <row r="48">
      <c r="A48" s="7">
        <f>IFERROR(__xludf.DUMMYFUNCTION("""COMPUTED_VALUE"""),45513.64583333333)</f>
        <v>45513.64583</v>
      </c>
      <c r="B48" s="6">
        <f>IFERROR(__xludf.DUMMYFUNCTION("""COMPUTED_VALUE"""),595.5)</f>
        <v>595.5</v>
      </c>
      <c r="C48" s="6">
        <f>IFERROR(__xludf.DUMMYFUNCTION("""COMPUTED_VALUE"""),614.3)</f>
        <v>614.3</v>
      </c>
      <c r="D48" s="6">
        <f>IFERROR(__xludf.DUMMYFUNCTION("""COMPUTED_VALUE"""),582.0)</f>
        <v>582</v>
      </c>
      <c r="E48" s="6">
        <f>IFERROR(__xludf.DUMMYFUNCTION("""COMPUTED_VALUE"""),598.9)</f>
        <v>598.9</v>
      </c>
      <c r="F48" s="6">
        <f>IFERROR(__xludf.DUMMYFUNCTION("""COMPUTED_VALUE"""),1.1610394E7)</f>
        <v>11610394</v>
      </c>
    </row>
    <row r="49">
      <c r="A49" s="7">
        <f>IFERROR(__xludf.DUMMYFUNCTION("""COMPUTED_VALUE"""),45520.64583333333)</f>
        <v>45520.64583</v>
      </c>
      <c r="B49" s="6">
        <f>IFERROR(__xludf.DUMMYFUNCTION("""COMPUTED_VALUE"""),616.45)</f>
        <v>616.45</v>
      </c>
      <c r="C49" s="6">
        <f>IFERROR(__xludf.DUMMYFUNCTION("""COMPUTED_VALUE"""),656.0)</f>
        <v>656</v>
      </c>
      <c r="D49" s="6">
        <f>IFERROR(__xludf.DUMMYFUNCTION("""COMPUTED_VALUE"""),604.2)</f>
        <v>604.2</v>
      </c>
      <c r="E49" s="6">
        <f>IFERROR(__xludf.DUMMYFUNCTION("""COMPUTED_VALUE"""),645.0)</f>
        <v>645</v>
      </c>
      <c r="F49" s="6">
        <f>IFERROR(__xludf.DUMMYFUNCTION("""COMPUTED_VALUE"""),2.7410483E7)</f>
        <v>27410483</v>
      </c>
    </row>
    <row r="50">
      <c r="A50" s="7">
        <f>IFERROR(__xludf.DUMMYFUNCTION("""COMPUTED_VALUE"""),45527.64583333333)</f>
        <v>45527.64583</v>
      </c>
      <c r="B50" s="6">
        <f>IFERROR(__xludf.DUMMYFUNCTION("""COMPUTED_VALUE"""),645.0)</f>
        <v>645</v>
      </c>
      <c r="C50" s="6">
        <f>IFERROR(__xludf.DUMMYFUNCTION("""COMPUTED_VALUE"""),663.1)</f>
        <v>663.1</v>
      </c>
      <c r="D50" s="6">
        <f>IFERROR(__xludf.DUMMYFUNCTION("""COMPUTED_VALUE"""),624.1)</f>
        <v>624.1</v>
      </c>
      <c r="E50" s="6">
        <f>IFERROR(__xludf.DUMMYFUNCTION("""COMPUTED_VALUE"""),650.25)</f>
        <v>650.25</v>
      </c>
      <c r="F50" s="6">
        <f>IFERROR(__xludf.DUMMYFUNCTION("""COMPUTED_VALUE"""),1.5291807E7)</f>
        <v>15291807</v>
      </c>
    </row>
    <row r="51">
      <c r="A51" s="7">
        <f>IFERROR(__xludf.DUMMYFUNCTION("""COMPUTED_VALUE"""),45534.64583333333)</f>
        <v>45534.64583</v>
      </c>
      <c r="B51" s="6">
        <f>IFERROR(__xludf.DUMMYFUNCTION("""COMPUTED_VALUE"""),650.25)</f>
        <v>650.25</v>
      </c>
      <c r="C51" s="6">
        <f>IFERROR(__xludf.DUMMYFUNCTION("""COMPUTED_VALUE"""),667.65)</f>
        <v>667.65</v>
      </c>
      <c r="D51" s="6">
        <f>IFERROR(__xludf.DUMMYFUNCTION("""COMPUTED_VALUE"""),648.1)</f>
        <v>648.1</v>
      </c>
      <c r="E51" s="6">
        <f>IFERROR(__xludf.DUMMYFUNCTION("""COMPUTED_VALUE"""),650.3)</f>
        <v>650.3</v>
      </c>
      <c r="F51" s="6">
        <f>IFERROR(__xludf.DUMMYFUNCTION("""COMPUTED_VALUE"""),8419869.0)</f>
        <v>8419869</v>
      </c>
    </row>
    <row r="52">
      <c r="A52" s="7">
        <f>IFERROR(__xludf.DUMMYFUNCTION("""COMPUTED_VALUE"""),45541.64583333333)</f>
        <v>45541.64583</v>
      </c>
      <c r="B52" s="6">
        <f>IFERROR(__xludf.DUMMYFUNCTION("""COMPUTED_VALUE"""),654.0)</f>
        <v>654</v>
      </c>
      <c r="C52" s="6">
        <f>IFERROR(__xludf.DUMMYFUNCTION("""COMPUTED_VALUE"""),659.0)</f>
        <v>659</v>
      </c>
      <c r="D52" s="6">
        <f>IFERROR(__xludf.DUMMYFUNCTION("""COMPUTED_VALUE"""),639.35)</f>
        <v>639.35</v>
      </c>
      <c r="E52" s="6">
        <f>IFERROR(__xludf.DUMMYFUNCTION("""COMPUTED_VALUE"""),647.65)</f>
        <v>647.65</v>
      </c>
      <c r="F52" s="6">
        <f>IFERROR(__xludf.DUMMYFUNCTION("""COMPUTED_VALUE"""),5027209.0)</f>
        <v>5027209</v>
      </c>
    </row>
    <row r="53">
      <c r="A53" s="7">
        <f>IFERROR(__xludf.DUMMYFUNCTION("""COMPUTED_VALUE"""),45548.64583333333)</f>
        <v>45548.64583</v>
      </c>
      <c r="B53" s="6">
        <f>IFERROR(__xludf.DUMMYFUNCTION("""COMPUTED_VALUE"""),643.0)</f>
        <v>643</v>
      </c>
      <c r="C53" s="6">
        <f>IFERROR(__xludf.DUMMYFUNCTION("""COMPUTED_VALUE"""),684.5)</f>
        <v>684.5</v>
      </c>
      <c r="D53" s="6">
        <f>IFERROR(__xludf.DUMMYFUNCTION("""COMPUTED_VALUE"""),634.8)</f>
        <v>634.8</v>
      </c>
      <c r="E53" s="6">
        <f>IFERROR(__xludf.DUMMYFUNCTION("""COMPUTED_VALUE"""),679.05)</f>
        <v>679.05</v>
      </c>
      <c r="F53" s="6">
        <f>IFERROR(__xludf.DUMMYFUNCTION("""COMPUTED_VALUE"""),1.0575726E7)</f>
        <v>10575726</v>
      </c>
    </row>
    <row r="54">
      <c r="A54" s="7">
        <f>IFERROR(__xludf.DUMMYFUNCTION("""COMPUTED_VALUE"""),45555.64583333333)</f>
        <v>45555.64583</v>
      </c>
      <c r="B54" s="6">
        <f>IFERROR(__xludf.DUMMYFUNCTION("""COMPUTED_VALUE"""),682.0)</f>
        <v>682</v>
      </c>
      <c r="C54" s="6">
        <f>IFERROR(__xludf.DUMMYFUNCTION("""COMPUTED_VALUE"""),707.05)</f>
        <v>707.05</v>
      </c>
      <c r="D54" s="6">
        <f>IFERROR(__xludf.DUMMYFUNCTION("""COMPUTED_VALUE"""),662.75)</f>
        <v>662.75</v>
      </c>
      <c r="E54" s="6">
        <f>IFERROR(__xludf.DUMMYFUNCTION("""COMPUTED_VALUE"""),703.4)</f>
        <v>703.4</v>
      </c>
      <c r="F54" s="6">
        <f>IFERROR(__xludf.DUMMYFUNCTION("""COMPUTED_VALUE"""),1.2429314E7)</f>
        <v>12429314</v>
      </c>
    </row>
    <row r="55">
      <c r="A55" s="7">
        <f>IFERROR(__xludf.DUMMYFUNCTION("""COMPUTED_VALUE"""),45562.64583333333)</f>
        <v>45562.64583</v>
      </c>
      <c r="B55" s="6">
        <f>IFERROR(__xludf.DUMMYFUNCTION("""COMPUTED_VALUE"""),705.15)</f>
        <v>705.15</v>
      </c>
      <c r="C55" s="6">
        <f>IFERROR(__xludf.DUMMYFUNCTION("""COMPUTED_VALUE"""),715.45)</f>
        <v>715.45</v>
      </c>
      <c r="D55" s="6">
        <f>IFERROR(__xludf.DUMMYFUNCTION("""COMPUTED_VALUE"""),681.65)</f>
        <v>681.65</v>
      </c>
      <c r="E55" s="6">
        <f>IFERROR(__xludf.DUMMYFUNCTION("""COMPUTED_VALUE"""),688.25)</f>
        <v>688.25</v>
      </c>
      <c r="F55" s="6">
        <f>IFERROR(__xludf.DUMMYFUNCTION("""COMPUTED_VALUE"""),9784416.0)</f>
        <v>9784416</v>
      </c>
    </row>
    <row r="56">
      <c r="A56" s="7">
        <f>IFERROR(__xludf.DUMMYFUNCTION("""COMPUTED_VALUE"""),45569.64583333333)</f>
        <v>45569.64583</v>
      </c>
      <c r="B56" s="6">
        <f>IFERROR(__xludf.DUMMYFUNCTION("""COMPUTED_VALUE"""),684.0)</f>
        <v>684</v>
      </c>
      <c r="C56" s="6">
        <f>IFERROR(__xludf.DUMMYFUNCTION("""COMPUTED_VALUE"""),691.25)</f>
        <v>691.25</v>
      </c>
      <c r="D56" s="6">
        <f>IFERROR(__xludf.DUMMYFUNCTION("""COMPUTED_VALUE"""),624.9)</f>
        <v>624.9</v>
      </c>
      <c r="E56" s="6">
        <f>IFERROR(__xludf.DUMMYFUNCTION("""COMPUTED_VALUE"""),629.15)</f>
        <v>629.15</v>
      </c>
      <c r="F56" s="6">
        <f>IFERROR(__xludf.DUMMYFUNCTION("""COMPUTED_VALUE"""),1.0297274E7)</f>
        <v>10297274</v>
      </c>
    </row>
    <row r="57">
      <c r="A57" s="7">
        <f>IFERROR(__xludf.DUMMYFUNCTION("""COMPUTED_VALUE"""),45576.64583333333)</f>
        <v>45576.64583</v>
      </c>
      <c r="B57" s="6">
        <f>IFERROR(__xludf.DUMMYFUNCTION("""COMPUTED_VALUE"""),629.15)</f>
        <v>629.15</v>
      </c>
      <c r="C57" s="6">
        <f>IFERROR(__xludf.DUMMYFUNCTION("""COMPUTED_VALUE"""),634.95)</f>
        <v>634.95</v>
      </c>
      <c r="D57" s="6">
        <f>IFERROR(__xludf.DUMMYFUNCTION("""COMPUTED_VALUE"""),611.1)</f>
        <v>611.1</v>
      </c>
      <c r="E57" s="6">
        <f>IFERROR(__xludf.DUMMYFUNCTION("""COMPUTED_VALUE"""),629.7)</f>
        <v>629.7</v>
      </c>
      <c r="F57" s="6">
        <f>IFERROR(__xludf.DUMMYFUNCTION("""COMPUTED_VALUE"""),8153541.0)</f>
        <v>8153541</v>
      </c>
    </row>
    <row r="58">
      <c r="A58" s="7">
        <f>IFERROR(__xludf.DUMMYFUNCTION("""COMPUTED_VALUE"""),45583.64583333333)</f>
        <v>45583.64583</v>
      </c>
      <c r="B58" s="6">
        <f>IFERROR(__xludf.DUMMYFUNCTION("""COMPUTED_VALUE"""),629.7)</f>
        <v>629.7</v>
      </c>
      <c r="C58" s="6">
        <f>IFERROR(__xludf.DUMMYFUNCTION("""COMPUTED_VALUE"""),632.7)</f>
        <v>632.7</v>
      </c>
      <c r="D58" s="6">
        <f>IFERROR(__xludf.DUMMYFUNCTION("""COMPUTED_VALUE"""),604.3)</f>
        <v>604.3</v>
      </c>
      <c r="E58" s="6">
        <f>IFERROR(__xludf.DUMMYFUNCTION("""COMPUTED_VALUE"""),625.0)</f>
        <v>625</v>
      </c>
      <c r="F58" s="6">
        <f>IFERROR(__xludf.DUMMYFUNCTION("""COMPUTED_VALUE"""),8476720.0)</f>
        <v>8476720</v>
      </c>
    </row>
    <row r="59">
      <c r="A59" s="7">
        <f>IFERROR(__xludf.DUMMYFUNCTION("""COMPUTED_VALUE"""),45590.64583333333)</f>
        <v>45590.64583</v>
      </c>
      <c r="B59" s="6">
        <f>IFERROR(__xludf.DUMMYFUNCTION("""COMPUTED_VALUE"""),623.45)</f>
        <v>623.45</v>
      </c>
      <c r="C59" s="6">
        <f>IFERROR(__xludf.DUMMYFUNCTION("""COMPUTED_VALUE"""),637.35)</f>
        <v>637.35</v>
      </c>
      <c r="D59" s="6">
        <f>IFERROR(__xludf.DUMMYFUNCTION("""COMPUTED_VALUE"""),581.65)</f>
        <v>581.65</v>
      </c>
      <c r="E59" s="6">
        <f>IFERROR(__xludf.DUMMYFUNCTION("""COMPUTED_VALUE"""),585.25)</f>
        <v>585.25</v>
      </c>
      <c r="F59" s="6">
        <f>IFERROR(__xludf.DUMMYFUNCTION("""COMPUTED_VALUE"""),8556612.0)</f>
        <v>8556612</v>
      </c>
    </row>
    <row r="60">
      <c r="A60" s="7">
        <f>IFERROR(__xludf.DUMMYFUNCTION("""COMPUTED_VALUE"""),45604.64583333333)</f>
        <v>45604.64583</v>
      </c>
      <c r="B60" s="6">
        <f>IFERROR(__xludf.DUMMYFUNCTION("""COMPUTED_VALUE"""),577.55)</f>
        <v>577.55</v>
      </c>
      <c r="C60" s="6">
        <f>IFERROR(__xludf.DUMMYFUNCTION("""COMPUTED_VALUE"""),608.9)</f>
        <v>608.9</v>
      </c>
      <c r="D60" s="6">
        <f>IFERROR(__xludf.DUMMYFUNCTION("""COMPUTED_VALUE"""),558.25)</f>
        <v>558.25</v>
      </c>
      <c r="E60" s="6">
        <f>IFERROR(__xludf.DUMMYFUNCTION("""COMPUTED_VALUE"""),607.25)</f>
        <v>607.25</v>
      </c>
      <c r="F60" s="6">
        <f>IFERROR(__xludf.DUMMYFUNCTION("""COMPUTED_VALUE"""),1.0229909E7)</f>
        <v>10229909</v>
      </c>
    </row>
    <row r="61">
      <c r="A61" s="7">
        <f>IFERROR(__xludf.DUMMYFUNCTION("""COMPUTED_VALUE"""),45610.64583333333)</f>
        <v>45610.64583</v>
      </c>
      <c r="B61" s="6">
        <f>IFERROR(__xludf.DUMMYFUNCTION("""COMPUTED_VALUE"""),610.0)</f>
        <v>610</v>
      </c>
      <c r="C61" s="6">
        <f>IFERROR(__xludf.DUMMYFUNCTION("""COMPUTED_VALUE"""),655.95)</f>
        <v>655.95</v>
      </c>
      <c r="D61" s="6">
        <f>IFERROR(__xludf.DUMMYFUNCTION("""COMPUTED_VALUE"""),594.4)</f>
        <v>594.4</v>
      </c>
      <c r="E61" s="6">
        <f>IFERROR(__xludf.DUMMYFUNCTION("""COMPUTED_VALUE"""),608.15)</f>
        <v>608.15</v>
      </c>
      <c r="F61" s="6">
        <f>IFERROR(__xludf.DUMMYFUNCTION("""COMPUTED_VALUE"""),2.4751923E7)</f>
        <v>24751923</v>
      </c>
    </row>
    <row r="62">
      <c r="A62" s="7">
        <f>IFERROR(__xludf.DUMMYFUNCTION("""COMPUTED_VALUE"""),45618.64583333333)</f>
        <v>45618.64583</v>
      </c>
      <c r="B62" s="6">
        <f>IFERROR(__xludf.DUMMYFUNCTION("""COMPUTED_VALUE"""),615.0)</f>
        <v>615</v>
      </c>
      <c r="C62" s="6">
        <f>IFERROR(__xludf.DUMMYFUNCTION("""COMPUTED_VALUE"""),644.65)</f>
        <v>644.65</v>
      </c>
      <c r="D62" s="6">
        <f>IFERROR(__xludf.DUMMYFUNCTION("""COMPUTED_VALUE"""),603.65)</f>
        <v>603.65</v>
      </c>
      <c r="E62" s="6">
        <f>IFERROR(__xludf.DUMMYFUNCTION("""COMPUTED_VALUE"""),637.65)</f>
        <v>637.65</v>
      </c>
      <c r="F62" s="6">
        <f>IFERROR(__xludf.DUMMYFUNCTION("""COMPUTED_VALUE"""),4750951.0)</f>
        <v>4750951</v>
      </c>
    </row>
    <row r="63">
      <c r="A63" s="7">
        <f>IFERROR(__xludf.DUMMYFUNCTION("""COMPUTED_VALUE"""),45625.64583333333)</f>
        <v>45625.64583</v>
      </c>
      <c r="B63" s="6">
        <f>IFERROR(__xludf.DUMMYFUNCTION("""COMPUTED_VALUE"""),645.85)</f>
        <v>645.85</v>
      </c>
      <c r="C63" s="6">
        <f>IFERROR(__xludf.DUMMYFUNCTION("""COMPUTED_VALUE"""),658.45)</f>
        <v>658.45</v>
      </c>
      <c r="D63" s="6">
        <f>IFERROR(__xludf.DUMMYFUNCTION("""COMPUTED_VALUE"""),631.15)</f>
        <v>631.15</v>
      </c>
      <c r="E63" s="6">
        <f>IFERROR(__xludf.DUMMYFUNCTION("""COMPUTED_VALUE"""),644.55)</f>
        <v>644.55</v>
      </c>
      <c r="F63" s="6">
        <f>IFERROR(__xludf.DUMMYFUNCTION("""COMPUTED_VALUE"""),8227013.0)</f>
        <v>8227013</v>
      </c>
    </row>
    <row r="64">
      <c r="A64" s="7">
        <f>IFERROR(__xludf.DUMMYFUNCTION("""COMPUTED_VALUE"""),45632.64583333333)</f>
        <v>45632.64583</v>
      </c>
      <c r="B64" s="6">
        <f>IFERROR(__xludf.DUMMYFUNCTION("""COMPUTED_VALUE"""),644.55)</f>
        <v>644.55</v>
      </c>
      <c r="C64" s="6">
        <f>IFERROR(__xludf.DUMMYFUNCTION("""COMPUTED_VALUE"""),697.15)</f>
        <v>697.15</v>
      </c>
      <c r="D64" s="6">
        <f>IFERROR(__xludf.DUMMYFUNCTION("""COMPUTED_VALUE"""),638.9)</f>
        <v>638.9</v>
      </c>
      <c r="E64" s="6">
        <f>IFERROR(__xludf.DUMMYFUNCTION("""COMPUTED_VALUE"""),694.5)</f>
        <v>694.5</v>
      </c>
      <c r="F64" s="6">
        <f>IFERROR(__xludf.DUMMYFUNCTION("""COMPUTED_VALUE"""),8483594.0)</f>
        <v>8483594</v>
      </c>
    </row>
    <row r="65">
      <c r="A65" s="7">
        <f>IFERROR(__xludf.DUMMYFUNCTION("""COMPUTED_VALUE"""),45639.64583333333)</f>
        <v>45639.64583</v>
      </c>
      <c r="B65" s="6">
        <f>IFERROR(__xludf.DUMMYFUNCTION("""COMPUTED_VALUE"""),693.0)</f>
        <v>693</v>
      </c>
      <c r="C65" s="6">
        <f>IFERROR(__xludf.DUMMYFUNCTION("""COMPUTED_VALUE"""),713.9)</f>
        <v>713.9</v>
      </c>
      <c r="D65" s="6">
        <f>IFERROR(__xludf.DUMMYFUNCTION("""COMPUTED_VALUE"""),665.6)</f>
        <v>665.6</v>
      </c>
      <c r="E65" s="6">
        <f>IFERROR(__xludf.DUMMYFUNCTION("""COMPUTED_VALUE"""),681.3)</f>
        <v>681.3</v>
      </c>
      <c r="F65" s="6">
        <f>IFERROR(__xludf.DUMMYFUNCTION("""COMPUTED_VALUE"""),1.1449136E7)</f>
        <v>11449136</v>
      </c>
    </row>
    <row r="66">
      <c r="A66" s="7">
        <f>IFERROR(__xludf.DUMMYFUNCTION("""COMPUTED_VALUE"""),45646.64583333333)</f>
        <v>45646.64583</v>
      </c>
      <c r="B66" s="6">
        <f>IFERROR(__xludf.DUMMYFUNCTION("""COMPUTED_VALUE"""),681.3)</f>
        <v>681.3</v>
      </c>
      <c r="C66" s="6">
        <f>IFERROR(__xludf.DUMMYFUNCTION("""COMPUTED_VALUE"""),701.4)</f>
        <v>701.4</v>
      </c>
      <c r="D66" s="6">
        <f>IFERROR(__xludf.DUMMYFUNCTION("""COMPUTED_VALUE"""),662.0)</f>
        <v>662</v>
      </c>
      <c r="E66" s="6">
        <f>IFERROR(__xludf.DUMMYFUNCTION("""COMPUTED_VALUE"""),672.7)</f>
        <v>672.7</v>
      </c>
      <c r="F66" s="6">
        <f>IFERROR(__xludf.DUMMYFUNCTION("""COMPUTED_VALUE"""),5371618.0)</f>
        <v>5371618</v>
      </c>
    </row>
    <row r="67">
      <c r="A67" s="7">
        <f>IFERROR(__xludf.DUMMYFUNCTION("""COMPUTED_VALUE"""),45653.64583333333)</f>
        <v>45653.64583</v>
      </c>
      <c r="B67" s="6">
        <f>IFERROR(__xludf.DUMMYFUNCTION("""COMPUTED_VALUE"""),670.05)</f>
        <v>670.05</v>
      </c>
      <c r="C67" s="6">
        <f>IFERROR(__xludf.DUMMYFUNCTION("""COMPUTED_VALUE"""),724.9)</f>
        <v>724.9</v>
      </c>
      <c r="D67" s="6">
        <f>IFERROR(__xludf.DUMMYFUNCTION("""COMPUTED_VALUE"""),669.45)</f>
        <v>669.45</v>
      </c>
      <c r="E67" s="6">
        <f>IFERROR(__xludf.DUMMYFUNCTION("""COMPUTED_VALUE"""),708.1)</f>
        <v>708.1</v>
      </c>
      <c r="F67" s="6">
        <f>IFERROR(__xludf.DUMMYFUNCTION("""COMPUTED_VALUE"""),1.035951E7)</f>
        <v>10359510</v>
      </c>
    </row>
    <row r="68">
      <c r="A68" s="7">
        <f>IFERROR(__xludf.DUMMYFUNCTION("""COMPUTED_VALUE"""),45660.64583333333)</f>
        <v>45660.64583</v>
      </c>
      <c r="B68" s="6">
        <f>IFERROR(__xludf.DUMMYFUNCTION("""COMPUTED_VALUE"""),708.45)</f>
        <v>708.45</v>
      </c>
      <c r="C68" s="6">
        <f>IFERROR(__xludf.DUMMYFUNCTION("""COMPUTED_VALUE"""),774.8)</f>
        <v>774.8</v>
      </c>
      <c r="D68" s="6">
        <f>IFERROR(__xludf.DUMMYFUNCTION("""COMPUTED_VALUE"""),705.1)</f>
        <v>705.1</v>
      </c>
      <c r="E68" s="6">
        <f>IFERROR(__xludf.DUMMYFUNCTION("""COMPUTED_VALUE"""),759.1)</f>
        <v>759.1</v>
      </c>
      <c r="F68" s="6">
        <f>IFERROR(__xludf.DUMMYFUNCTION("""COMPUTED_VALUE"""),1.2203878E7)</f>
        <v>12203878</v>
      </c>
    </row>
    <row r="69">
      <c r="A69" s="7">
        <f>IFERROR(__xludf.DUMMYFUNCTION("""COMPUTED_VALUE"""),45667.64583333333)</f>
        <v>45667.64583</v>
      </c>
      <c r="B69" s="6">
        <f>IFERROR(__xludf.DUMMYFUNCTION("""COMPUTED_VALUE"""),779.15)</f>
        <v>779.15</v>
      </c>
      <c r="C69" s="6">
        <f>IFERROR(__xludf.DUMMYFUNCTION("""COMPUTED_VALUE"""),796.75)</f>
        <v>796.75</v>
      </c>
      <c r="D69" s="6">
        <f>IFERROR(__xludf.DUMMYFUNCTION("""COMPUTED_VALUE"""),730.05)</f>
        <v>730.05</v>
      </c>
      <c r="E69" s="6">
        <f>IFERROR(__xludf.DUMMYFUNCTION("""COMPUTED_VALUE"""),737.0)</f>
        <v>737</v>
      </c>
      <c r="F69" s="6">
        <f>IFERROR(__xludf.DUMMYFUNCTION("""COMPUTED_VALUE"""),1.5285155E7)</f>
        <v>15285155</v>
      </c>
    </row>
    <row r="70">
      <c r="A70" s="7">
        <f>IFERROR(__xludf.DUMMYFUNCTION("""COMPUTED_VALUE"""),45674.64583333333)</f>
        <v>45674.64583</v>
      </c>
      <c r="B70" s="6">
        <f>IFERROR(__xludf.DUMMYFUNCTION("""COMPUTED_VALUE"""),728.05)</f>
        <v>728.05</v>
      </c>
      <c r="C70" s="6">
        <f>IFERROR(__xludf.DUMMYFUNCTION("""COMPUTED_VALUE"""),733.55)</f>
        <v>733.55</v>
      </c>
      <c r="D70" s="6">
        <f>IFERROR(__xludf.DUMMYFUNCTION("""COMPUTED_VALUE"""),683.95)</f>
        <v>683.95</v>
      </c>
      <c r="E70" s="6">
        <f>IFERROR(__xludf.DUMMYFUNCTION("""COMPUTED_VALUE"""),692.7)</f>
        <v>692.7</v>
      </c>
      <c r="F70" s="6">
        <f>IFERROR(__xludf.DUMMYFUNCTION("""COMPUTED_VALUE"""),9970068.0)</f>
        <v>9970068</v>
      </c>
    </row>
    <row r="71">
      <c r="A71" s="7">
        <f>IFERROR(__xludf.DUMMYFUNCTION("""COMPUTED_VALUE"""),45681.64583333333)</f>
        <v>45681.64583</v>
      </c>
      <c r="B71" s="6">
        <f>IFERROR(__xludf.DUMMYFUNCTION("""COMPUTED_VALUE"""),693.0)</f>
        <v>693</v>
      </c>
      <c r="C71" s="6">
        <f>IFERROR(__xludf.DUMMYFUNCTION("""COMPUTED_VALUE"""),747.95)</f>
        <v>747.95</v>
      </c>
      <c r="D71" s="6">
        <f>IFERROR(__xludf.DUMMYFUNCTION("""COMPUTED_VALUE"""),656.0)</f>
        <v>656</v>
      </c>
      <c r="E71" s="6">
        <f>IFERROR(__xludf.DUMMYFUNCTION("""COMPUTED_VALUE"""),671.0)</f>
        <v>671</v>
      </c>
      <c r="F71" s="6">
        <f>IFERROR(__xludf.DUMMYFUNCTION("""COMPUTED_VALUE"""),7747797.0)</f>
        <v>7747797</v>
      </c>
    </row>
    <row r="72">
      <c r="A72" s="7">
        <f>IFERROR(__xludf.DUMMYFUNCTION("""COMPUTED_VALUE"""),45695.64583333333)</f>
        <v>45695.64583</v>
      </c>
      <c r="B72" s="6">
        <f>IFERROR(__xludf.DUMMYFUNCTION("""COMPUTED_VALUE"""),735.0)</f>
        <v>735</v>
      </c>
      <c r="C72" s="6">
        <f>IFERROR(__xludf.DUMMYFUNCTION("""COMPUTED_VALUE"""),760.5)</f>
        <v>760.5</v>
      </c>
      <c r="D72" s="6">
        <f>IFERROR(__xludf.DUMMYFUNCTION("""COMPUTED_VALUE"""),681.3)</f>
        <v>681.3</v>
      </c>
      <c r="E72" s="6">
        <f>IFERROR(__xludf.DUMMYFUNCTION("""COMPUTED_VALUE"""),688.4)</f>
        <v>688.4</v>
      </c>
      <c r="F72" s="6">
        <f>IFERROR(__xludf.DUMMYFUNCTION("""COMPUTED_VALUE"""),9128207.0)</f>
        <v>9128207</v>
      </c>
    </row>
    <row r="73">
      <c r="A73" s="7">
        <f>IFERROR(__xludf.DUMMYFUNCTION("""COMPUTED_VALUE"""),45702.64583333333)</f>
        <v>45702.64583</v>
      </c>
      <c r="B73" s="6">
        <f>IFERROR(__xludf.DUMMYFUNCTION("""COMPUTED_VALUE"""),684.1)</f>
        <v>684.1</v>
      </c>
      <c r="C73" s="6">
        <f>IFERROR(__xludf.DUMMYFUNCTION("""COMPUTED_VALUE"""),693.1)</f>
        <v>693.1</v>
      </c>
      <c r="D73" s="6">
        <f>IFERROR(__xludf.DUMMYFUNCTION("""COMPUTED_VALUE"""),628.5)</f>
        <v>628.5</v>
      </c>
      <c r="E73" s="6">
        <f>IFERROR(__xludf.DUMMYFUNCTION("""COMPUTED_VALUE"""),669.3)</f>
        <v>669.3</v>
      </c>
      <c r="F73" s="6">
        <f>IFERROR(__xludf.DUMMYFUNCTION("""COMPUTED_VALUE"""),1.5598681E7)</f>
        <v>15598681</v>
      </c>
    </row>
    <row r="74">
      <c r="A74" s="7">
        <f>IFERROR(__xludf.DUMMYFUNCTION("""COMPUTED_VALUE"""),45709.64583333333)</f>
        <v>45709.64583</v>
      </c>
      <c r="B74" s="6">
        <f>IFERROR(__xludf.DUMMYFUNCTION("""COMPUTED_VALUE"""),665.1)</f>
        <v>665.1</v>
      </c>
      <c r="C74" s="6">
        <f>IFERROR(__xludf.DUMMYFUNCTION("""COMPUTED_VALUE"""),719.9)</f>
        <v>719.9</v>
      </c>
      <c r="D74" s="6">
        <f>IFERROR(__xludf.DUMMYFUNCTION("""COMPUTED_VALUE"""),658.0)</f>
        <v>658</v>
      </c>
      <c r="E74" s="6">
        <f>IFERROR(__xludf.DUMMYFUNCTION("""COMPUTED_VALUE"""),692.35)</f>
        <v>692.35</v>
      </c>
      <c r="F74" s="6">
        <f>IFERROR(__xludf.DUMMYFUNCTION("""COMPUTED_VALUE"""),9527261.0)</f>
        <v>9527261</v>
      </c>
    </row>
    <row r="75">
      <c r="A75" s="7">
        <f>IFERROR(__xludf.DUMMYFUNCTION("""COMPUTED_VALUE"""),45716.64583333333)</f>
        <v>45716.64583</v>
      </c>
      <c r="B75" s="6">
        <f>IFERROR(__xludf.DUMMYFUNCTION("""COMPUTED_VALUE"""),690.0)</f>
        <v>690</v>
      </c>
      <c r="C75" s="6">
        <f>IFERROR(__xludf.DUMMYFUNCTION("""COMPUTED_VALUE"""),697.3)</f>
        <v>697.3</v>
      </c>
      <c r="D75" s="6">
        <f>IFERROR(__xludf.DUMMYFUNCTION("""COMPUTED_VALUE"""),623.0)</f>
        <v>623</v>
      </c>
      <c r="E75" s="6">
        <f>IFERROR(__xludf.DUMMYFUNCTION("""COMPUTED_VALUE"""),626.1)</f>
        <v>626.1</v>
      </c>
      <c r="F75" s="6">
        <f>IFERROR(__xludf.DUMMYFUNCTION("""COMPUTED_VALUE"""),1.2316777E7)</f>
        <v>12316777</v>
      </c>
    </row>
    <row r="76">
      <c r="A76" s="7">
        <f>IFERROR(__xludf.DUMMYFUNCTION("""COMPUTED_VALUE"""),45723.64583333333)</f>
        <v>45723.64583</v>
      </c>
      <c r="B76" s="6">
        <f>IFERROR(__xludf.DUMMYFUNCTION("""COMPUTED_VALUE"""),626.95)</f>
        <v>626.95</v>
      </c>
      <c r="C76" s="6">
        <f>IFERROR(__xludf.DUMMYFUNCTION("""COMPUTED_VALUE"""),635.2)</f>
        <v>635.2</v>
      </c>
      <c r="D76" s="6">
        <f>IFERROR(__xludf.DUMMYFUNCTION("""COMPUTED_VALUE"""),594.5)</f>
        <v>594.5</v>
      </c>
      <c r="E76" s="6">
        <f>IFERROR(__xludf.DUMMYFUNCTION("""COMPUTED_VALUE"""),602.8)</f>
        <v>602.8</v>
      </c>
      <c r="F76" s="6">
        <f>IFERROR(__xludf.DUMMYFUNCTION("""COMPUTED_VALUE"""),1.247192E7)</f>
        <v>12471920</v>
      </c>
    </row>
    <row r="77">
      <c r="A77" s="7">
        <f>IFERROR(__xludf.DUMMYFUNCTION("""COMPUTED_VALUE"""),45729.64583333333)</f>
        <v>45729.64583</v>
      </c>
      <c r="B77" s="6">
        <f>IFERROR(__xludf.DUMMYFUNCTION("""COMPUTED_VALUE"""),601.0)</f>
        <v>601</v>
      </c>
      <c r="C77" s="6">
        <f>IFERROR(__xludf.DUMMYFUNCTION("""COMPUTED_VALUE"""),616.55)</f>
        <v>616.55</v>
      </c>
      <c r="D77" s="6">
        <f>IFERROR(__xludf.DUMMYFUNCTION("""COMPUTED_VALUE"""),592.0)</f>
        <v>592</v>
      </c>
      <c r="E77" s="6">
        <f>IFERROR(__xludf.DUMMYFUNCTION("""COMPUTED_VALUE"""),596.35)</f>
        <v>596.35</v>
      </c>
      <c r="F77" s="6">
        <f>IFERROR(__xludf.DUMMYFUNCTION("""COMPUTED_VALUE"""),5364901.0)</f>
        <v>5364901</v>
      </c>
    </row>
    <row r="78">
      <c r="A78" s="7">
        <f>IFERROR(__xludf.DUMMYFUNCTION("""COMPUTED_VALUE"""),45737.64583333333)</f>
        <v>45737.64583</v>
      </c>
      <c r="B78" s="6">
        <f>IFERROR(__xludf.DUMMYFUNCTION("""COMPUTED_VALUE"""),622.45)</f>
        <v>622.45</v>
      </c>
      <c r="C78" s="6">
        <f>IFERROR(__xludf.DUMMYFUNCTION("""COMPUTED_VALUE"""),649.7)</f>
        <v>649.7</v>
      </c>
      <c r="D78" s="6">
        <f>IFERROR(__xludf.DUMMYFUNCTION("""COMPUTED_VALUE"""),613.3)</f>
        <v>613.3</v>
      </c>
      <c r="E78" s="6">
        <f>IFERROR(__xludf.DUMMYFUNCTION("""COMPUTED_VALUE"""),629.05)</f>
        <v>629.05</v>
      </c>
      <c r="F78" s="6">
        <f>IFERROR(__xludf.DUMMYFUNCTION("""COMPUTED_VALUE"""),8930708.0)</f>
        <v>8930708</v>
      </c>
    </row>
    <row r="79">
      <c r="A79" s="7">
        <f>IFERROR(__xludf.DUMMYFUNCTION("""COMPUTED_VALUE"""),45744.64583333333)</f>
        <v>45744.64583</v>
      </c>
      <c r="B79" s="6">
        <f>IFERROR(__xludf.DUMMYFUNCTION("""COMPUTED_VALUE"""),630.0)</f>
        <v>630</v>
      </c>
      <c r="C79" s="6">
        <f>IFERROR(__xludf.DUMMYFUNCTION("""COMPUTED_VALUE"""),679.0)</f>
        <v>679</v>
      </c>
      <c r="D79" s="6">
        <f>IFERROR(__xludf.DUMMYFUNCTION("""COMPUTED_VALUE"""),627.5)</f>
        <v>627.5</v>
      </c>
      <c r="E79" s="6">
        <f>IFERROR(__xludf.DUMMYFUNCTION("""COMPUTED_VALUE"""),664.35)</f>
        <v>664.35</v>
      </c>
      <c r="F79" s="6">
        <f>IFERROR(__xludf.DUMMYFUNCTION("""COMPUTED_VALUE"""),1.2980532E7)</f>
        <v>12980532</v>
      </c>
    </row>
    <row r="80">
      <c r="A80" s="7">
        <f>IFERROR(__xludf.DUMMYFUNCTION("""COMPUTED_VALUE"""),45751.64583333333)</f>
        <v>45751.64583</v>
      </c>
      <c r="B80" s="6">
        <f>IFERROR(__xludf.DUMMYFUNCTION("""COMPUTED_VALUE"""),662.0)</f>
        <v>662</v>
      </c>
      <c r="C80" s="6">
        <f>IFERROR(__xludf.DUMMYFUNCTION("""COMPUTED_VALUE"""),694.45)</f>
        <v>694.45</v>
      </c>
      <c r="D80" s="6">
        <f>IFERROR(__xludf.DUMMYFUNCTION("""COMPUTED_VALUE"""),646.3)</f>
        <v>646.3</v>
      </c>
      <c r="E80" s="6">
        <f>IFERROR(__xludf.DUMMYFUNCTION("""COMPUTED_VALUE"""),679.6)</f>
        <v>679.6</v>
      </c>
      <c r="F80" s="6">
        <f>IFERROR(__xludf.DUMMYFUNCTION("""COMPUTED_VALUE"""),6919542.0)</f>
        <v>6919542</v>
      </c>
    </row>
    <row r="81">
      <c r="A81" s="7">
        <f>IFERROR(__xludf.DUMMYFUNCTION("""COMPUTED_VALUE"""),45758.64583333333)</f>
        <v>45758.64583</v>
      </c>
      <c r="B81" s="6">
        <f>IFERROR(__xludf.DUMMYFUNCTION("""COMPUTED_VALUE"""),660.0)</f>
        <v>660</v>
      </c>
      <c r="C81" s="6">
        <f>IFERROR(__xludf.DUMMYFUNCTION("""COMPUTED_VALUE"""),693.45)</f>
        <v>693.45</v>
      </c>
      <c r="D81" s="6">
        <f>IFERROR(__xludf.DUMMYFUNCTION("""COMPUTED_VALUE"""),648.2)</f>
        <v>648.2</v>
      </c>
      <c r="E81" s="6">
        <f>IFERROR(__xludf.DUMMYFUNCTION("""COMPUTED_VALUE"""),685.3)</f>
        <v>685.3</v>
      </c>
      <c r="F81" s="6">
        <f>IFERROR(__xludf.DUMMYFUNCTION("""COMPUTED_VALUE"""),6385621.0)</f>
        <v>6385621</v>
      </c>
    </row>
    <row r="82">
      <c r="A82" s="7">
        <f>IFERROR(__xludf.DUMMYFUNCTION("""COMPUTED_VALUE"""),45764.64583333333)</f>
        <v>45764.64583</v>
      </c>
      <c r="B82" s="6">
        <f>IFERROR(__xludf.DUMMYFUNCTION("""COMPUTED_VALUE"""),692.0)</f>
        <v>692</v>
      </c>
      <c r="C82" s="6">
        <f>IFERROR(__xludf.DUMMYFUNCTION("""COMPUTED_VALUE"""),708.7)</f>
        <v>708.7</v>
      </c>
      <c r="D82" s="6">
        <f>IFERROR(__xludf.DUMMYFUNCTION("""COMPUTED_VALUE"""),688.85)</f>
        <v>688.85</v>
      </c>
      <c r="E82" s="6">
        <f>IFERROR(__xludf.DUMMYFUNCTION("""COMPUTED_VALUE"""),697.75)</f>
        <v>697.75</v>
      </c>
      <c r="F82" s="6">
        <f>IFERROR(__xludf.DUMMYFUNCTION("""COMPUTED_VALUE"""),3948899.0)</f>
        <v>3948899</v>
      </c>
    </row>
    <row r="83">
      <c r="A83" s="7">
        <f>IFERROR(__xludf.DUMMYFUNCTION("""COMPUTED_VALUE"""),45772.64583333333)</f>
        <v>45772.64583</v>
      </c>
      <c r="B83" s="6">
        <f>IFERROR(__xludf.DUMMYFUNCTION("""COMPUTED_VALUE"""),699.0)</f>
        <v>699</v>
      </c>
      <c r="C83" s="6">
        <f>IFERROR(__xludf.DUMMYFUNCTION("""COMPUTED_VALUE"""),719.8)</f>
        <v>719.8</v>
      </c>
      <c r="D83" s="6">
        <f>IFERROR(__xludf.DUMMYFUNCTION("""COMPUTED_VALUE"""),689.85)</f>
        <v>689.85</v>
      </c>
      <c r="E83" s="6">
        <f>IFERROR(__xludf.DUMMYFUNCTION("""COMPUTED_VALUE"""),694.3)</f>
        <v>694.3</v>
      </c>
      <c r="F83" s="6">
        <f>IFERROR(__xludf.DUMMYFUNCTION("""COMPUTED_VALUE"""),8108522.0)</f>
        <v>8108522</v>
      </c>
    </row>
    <row r="84">
      <c r="A84" s="7">
        <f>IFERROR(__xludf.DUMMYFUNCTION("""COMPUTED_VALUE"""),45779.64583333333)</f>
        <v>45779.64583</v>
      </c>
      <c r="B84" s="6">
        <f>IFERROR(__xludf.DUMMYFUNCTION("""COMPUTED_VALUE"""),692.7)</f>
        <v>692.7</v>
      </c>
      <c r="C84" s="6">
        <f>IFERROR(__xludf.DUMMYFUNCTION("""COMPUTED_VALUE"""),725.95)</f>
        <v>725.95</v>
      </c>
      <c r="D84" s="6">
        <f>IFERROR(__xludf.DUMMYFUNCTION("""COMPUTED_VALUE"""),691.1)</f>
        <v>691.1</v>
      </c>
      <c r="E84" s="6">
        <f>IFERROR(__xludf.DUMMYFUNCTION("""COMPUTED_VALUE"""),699.95)</f>
        <v>699.95</v>
      </c>
      <c r="F84" s="6">
        <f>IFERROR(__xludf.DUMMYFUNCTION("""COMPUTED_VALUE"""),5280570.0)</f>
        <v>5280570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IFERROR(__xludf.DUMMYFUNCTION("""COMPUTED_VALUE"""),700.0)</f>
        <v>700</v>
      </c>
      <c r="C85" s="6">
        <f>IFERROR(__xludf.DUMMYFUNCTION("""COMPUTED_VALUE"""),727.95)</f>
        <v>727.95</v>
      </c>
      <c r="D85" s="6">
        <f>IFERROR(__xludf.DUMMYFUNCTION("""COMPUTED_VALUE"""),652.0)</f>
        <v>652</v>
      </c>
      <c r="E85" s="6">
        <f>IFERROR(__xludf.DUMMYFUNCTION("""COMPUTED_VALUE"""),670.2)</f>
        <v>670.2</v>
      </c>
      <c r="F85" s="6">
        <f>IFERROR(__xludf.DUMMYFUNCTION("""COMPUTED_VALUE"""),6256819.0)</f>
        <v>6256819</v>
      </c>
    </row>
    <row r="86">
      <c r="A86" s="7">
        <f>IFERROR(__xludf.DUMMYFUNCTION("""COMPUTED_VALUE"""),45793.64583333333)</f>
        <v>45793.64583</v>
      </c>
      <c r="B86" s="6">
        <f>IFERROR(__xludf.DUMMYFUNCTION("""COMPUTED_VALUE"""),680.8)</f>
        <v>680.8</v>
      </c>
      <c r="C86" s="6">
        <f>IFERROR(__xludf.DUMMYFUNCTION("""COMPUTED_VALUE"""),712.35)</f>
        <v>712.35</v>
      </c>
      <c r="D86" s="6">
        <f>IFERROR(__xludf.DUMMYFUNCTION("""COMPUTED_VALUE"""),670.45)</f>
        <v>670.45</v>
      </c>
      <c r="E86" s="6">
        <f>IFERROR(__xludf.DUMMYFUNCTION("""COMPUTED_VALUE"""),674.3)</f>
        <v>674.3</v>
      </c>
      <c r="F86" s="6">
        <f>IFERROR(__xludf.DUMMYFUNCTION("""COMPUTED_VALUE"""),1.5143659E7)</f>
        <v>15143659</v>
      </c>
    </row>
    <row r="87">
      <c r="A87" s="7">
        <f>IFERROR(__xludf.DUMMYFUNCTION("""COMPUTED_VALUE"""),45800.64583333333)</f>
        <v>45800.64583</v>
      </c>
      <c r="B87" s="6">
        <f>IFERROR(__xludf.DUMMYFUNCTION("""COMPUTED_VALUE"""),674.65)</f>
        <v>674.65</v>
      </c>
      <c r="C87" s="6">
        <f>IFERROR(__xludf.DUMMYFUNCTION("""COMPUTED_VALUE"""),703.0)</f>
        <v>703</v>
      </c>
      <c r="D87" s="6">
        <f>IFERROR(__xludf.DUMMYFUNCTION("""COMPUTED_VALUE"""),662.8)</f>
        <v>662.8</v>
      </c>
      <c r="E87" s="6">
        <f>IFERROR(__xludf.DUMMYFUNCTION("""COMPUTED_VALUE"""),664.45)</f>
        <v>664.45</v>
      </c>
      <c r="F87" s="6">
        <f>IFERROR(__xludf.DUMMYFUNCTION("""COMPUTED_VALUE"""),9313784.0)</f>
        <v>9313784</v>
      </c>
    </row>
    <row r="88">
      <c r="A88" s="7">
        <f>IFERROR(__xludf.DUMMYFUNCTION("""COMPUTED_VALUE"""),45807.64583333333)</f>
        <v>45807.64583</v>
      </c>
      <c r="B88" s="6">
        <f>IFERROR(__xludf.DUMMYFUNCTION("""COMPUTED_VALUE"""),664.45)</f>
        <v>664.45</v>
      </c>
      <c r="C88" s="6">
        <f>IFERROR(__xludf.DUMMYFUNCTION("""COMPUTED_VALUE"""),672.05)</f>
        <v>672.05</v>
      </c>
      <c r="D88" s="6">
        <f>IFERROR(__xludf.DUMMYFUNCTION("""COMPUTED_VALUE"""),653.05)</f>
        <v>653.05</v>
      </c>
      <c r="E88" s="6">
        <f>IFERROR(__xludf.DUMMYFUNCTION("""COMPUTED_VALUE"""),655.55)</f>
        <v>655.55</v>
      </c>
      <c r="F88" s="6">
        <f>IFERROR(__xludf.DUMMYFUNCTION("""COMPUTED_VALUE"""),8789474.0)</f>
        <v>8789474</v>
      </c>
    </row>
    <row r="89">
      <c r="A89" s="7">
        <f>IFERROR(__xludf.DUMMYFUNCTION("""COMPUTED_VALUE"""),45814.64583333333)</f>
        <v>45814.64583</v>
      </c>
      <c r="B89" s="6">
        <f>IFERROR(__xludf.DUMMYFUNCTION("""COMPUTED_VALUE"""),655.0)</f>
        <v>655</v>
      </c>
      <c r="C89" s="6">
        <f>IFERROR(__xludf.DUMMYFUNCTION("""COMPUTED_VALUE"""),697.9)</f>
        <v>697.9</v>
      </c>
      <c r="D89" s="6">
        <f>IFERROR(__xludf.DUMMYFUNCTION("""COMPUTED_VALUE"""),650.05)</f>
        <v>650.05</v>
      </c>
      <c r="E89" s="6">
        <f>IFERROR(__xludf.DUMMYFUNCTION("""COMPUTED_VALUE"""),695.2)</f>
        <v>695.2</v>
      </c>
      <c r="F89" s="6">
        <f>IFERROR(__xludf.DUMMYFUNCTION("""COMPUTED_VALUE"""),9737413.0)</f>
        <v>9737413</v>
      </c>
    </row>
    <row r="90">
      <c r="A90" s="7">
        <f>IFERROR(__xludf.DUMMYFUNCTION("""COMPUTED_VALUE"""),45821.64583333333)</f>
        <v>45821.64583</v>
      </c>
      <c r="B90" s="6">
        <f>IFERROR(__xludf.DUMMYFUNCTION("""COMPUTED_VALUE"""),697.0)</f>
        <v>697</v>
      </c>
      <c r="C90" s="6">
        <f>IFERROR(__xludf.DUMMYFUNCTION("""COMPUTED_VALUE"""),701.95)</f>
        <v>701.95</v>
      </c>
      <c r="D90" s="6">
        <f>IFERROR(__xludf.DUMMYFUNCTION("""COMPUTED_VALUE"""),661.3)</f>
        <v>661.3</v>
      </c>
      <c r="E90" s="6">
        <f>IFERROR(__xludf.DUMMYFUNCTION("""COMPUTED_VALUE"""),681.45)</f>
        <v>681.45</v>
      </c>
      <c r="F90" s="6">
        <f>IFERROR(__xludf.DUMMYFUNCTION("""COMPUTED_VALUE"""),5044582.0)</f>
        <v>5044582</v>
      </c>
    </row>
    <row r="91">
      <c r="A91" s="7">
        <f>IFERROR(__xludf.DUMMYFUNCTION("""COMPUTED_VALUE"""),45828.64583333333)</f>
        <v>45828.64583</v>
      </c>
      <c r="B91" s="6">
        <f>IFERROR(__xludf.DUMMYFUNCTION("""COMPUTED_VALUE"""),681.45)</f>
        <v>681.45</v>
      </c>
      <c r="C91" s="6">
        <f>IFERROR(__xludf.DUMMYFUNCTION("""COMPUTED_VALUE"""),697.7)</f>
        <v>697.7</v>
      </c>
      <c r="D91" s="6">
        <f>IFERROR(__xludf.DUMMYFUNCTION("""COMPUTED_VALUE"""),673.7)</f>
        <v>673.7</v>
      </c>
      <c r="E91" s="6">
        <f>IFERROR(__xludf.DUMMYFUNCTION("""COMPUTED_VALUE"""),695.8)</f>
        <v>695.8</v>
      </c>
      <c r="F91" s="6">
        <f>IFERROR(__xludf.DUMMYFUNCTION("""COMPUTED_VALUE"""),7998068.0)</f>
        <v>7998068</v>
      </c>
    </row>
    <row r="92">
      <c r="A92" s="7">
        <f>IFERROR(__xludf.DUMMYFUNCTION("""COMPUTED_VALUE"""),45835.64583333333)</f>
        <v>45835.64583</v>
      </c>
      <c r="B92" s="6">
        <f>IFERROR(__xludf.DUMMYFUNCTION("""COMPUTED_VALUE"""),690.0)</f>
        <v>690</v>
      </c>
      <c r="C92" s="6">
        <f>IFERROR(__xludf.DUMMYFUNCTION("""COMPUTED_VALUE"""),718.9)</f>
        <v>718.9</v>
      </c>
      <c r="D92" s="6">
        <f>IFERROR(__xludf.DUMMYFUNCTION("""COMPUTED_VALUE"""),681.15)</f>
        <v>681.15</v>
      </c>
      <c r="E92" s="6">
        <f>IFERROR(__xludf.DUMMYFUNCTION("""COMPUTED_VALUE"""),709.95)</f>
        <v>709.95</v>
      </c>
      <c r="F92" s="6">
        <f>IFERROR(__xludf.DUMMYFUNCTION("""COMPUTED_VALUE"""),8797884.0)</f>
        <v>8797884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IFERROR(__xludf.DUMMYFUNCTION("""COMPUTED_VALUE"""),709.95)</f>
        <v>709.95</v>
      </c>
      <c r="C93" s="6">
        <f>IFERROR(__xludf.DUMMYFUNCTION("""COMPUTED_VALUE"""),718.95)</f>
        <v>718.95</v>
      </c>
      <c r="D93" s="6">
        <f>IFERROR(__xludf.DUMMYFUNCTION("""COMPUTED_VALUE"""),699.95)</f>
        <v>699.95</v>
      </c>
      <c r="E93" s="6">
        <f>IFERROR(__xludf.DUMMYFUNCTION("""COMPUTED_VALUE"""),710.05)</f>
        <v>710.05</v>
      </c>
      <c r="F93" s="6">
        <f>IFERROR(__xludf.DUMMYFUNCTION("""COMPUTED_VALUE"""),4864450.0)</f>
        <v>4864450</v>
      </c>
    </row>
    <row r="94">
      <c r="A94" s="7">
        <f>IFERROR(__xludf.DUMMYFUNCTION("""COMPUTED_VALUE"""),45849.64583333333)</f>
        <v>45849.64583</v>
      </c>
      <c r="B94" s="6">
        <f>IFERROR(__xludf.DUMMYFUNCTION("""COMPUTED_VALUE"""),713.15)</f>
        <v>713.15</v>
      </c>
      <c r="C94" s="6">
        <f>IFERROR(__xludf.DUMMYFUNCTION("""COMPUTED_VALUE"""),714.7)</f>
        <v>714.7</v>
      </c>
      <c r="D94" s="6">
        <f>IFERROR(__xludf.DUMMYFUNCTION("""COMPUTED_VALUE"""),674.3)</f>
        <v>674.3</v>
      </c>
      <c r="E94" s="6">
        <f>IFERROR(__xludf.DUMMYFUNCTION("""COMPUTED_VALUE"""),678.6)</f>
        <v>678.6</v>
      </c>
      <c r="F94" s="6">
        <f>IFERROR(__xludf.DUMMYFUNCTION("""COMPUTED_VALUE"""),6511212.0)</f>
        <v>6511212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IFERROR(__xludf.DUMMYFUNCTION("""COMPUTED_VALUE"""),682.5)</f>
        <v>682.5</v>
      </c>
      <c r="C95" s="6">
        <f>IFERROR(__xludf.DUMMYFUNCTION("""COMPUTED_VALUE"""),695.5)</f>
        <v>695.5</v>
      </c>
      <c r="D95" s="6">
        <f>IFERROR(__xludf.DUMMYFUNCTION("""COMPUTED_VALUE"""),673.1)</f>
        <v>673.1</v>
      </c>
      <c r="E95" s="6">
        <f>IFERROR(__xludf.DUMMYFUNCTION("""COMPUTED_VALUE"""),681.8)</f>
        <v>681.8</v>
      </c>
      <c r="F95" s="6">
        <f>IFERROR(__xludf.DUMMYFUNCTION("""COMPUTED_VALUE"""),3216078.0)</f>
        <v>3216078</v>
      </c>
    </row>
    <row r="96">
      <c r="A96" s="7">
        <f>IFERROR(__xludf.DUMMYFUNCTION("""COMPUTED_VALUE"""),45863.64583333333)</f>
        <v>45863.64583</v>
      </c>
      <c r="B96" s="6">
        <f>IFERROR(__xludf.DUMMYFUNCTION("""COMPUTED_VALUE"""),678.1)</f>
        <v>678.1</v>
      </c>
      <c r="C96" s="6">
        <f>IFERROR(__xludf.DUMMYFUNCTION("""COMPUTED_VALUE"""),682.65)</f>
        <v>682.65</v>
      </c>
      <c r="D96" s="6">
        <f>IFERROR(__xludf.DUMMYFUNCTION("""COMPUTED_VALUE"""),646.05)</f>
        <v>646.05</v>
      </c>
      <c r="E96" s="6">
        <f>IFERROR(__xludf.DUMMYFUNCTION("""COMPUTED_VALUE"""),649.05)</f>
        <v>649.05</v>
      </c>
      <c r="F96" s="6">
        <f>IFERROR(__xludf.DUMMYFUNCTION("""COMPUTED_VALUE"""),3310299.0)</f>
        <v>3310299</v>
      </c>
    </row>
    <row r="97">
      <c r="A97" s="7">
        <f>IFERROR(__xludf.DUMMYFUNCTION("""COMPUTED_VALUE"""),45870.64583333333)</f>
        <v>45870.64583</v>
      </c>
      <c r="B97" s="6">
        <f>IFERROR(__xludf.DUMMYFUNCTION("""COMPUTED_VALUE"""),649.0)</f>
        <v>649</v>
      </c>
      <c r="C97" s="6">
        <f>IFERROR(__xludf.DUMMYFUNCTION("""COMPUTED_VALUE"""),660.6)</f>
        <v>660.6</v>
      </c>
      <c r="D97" s="6">
        <f>IFERROR(__xludf.DUMMYFUNCTION("""COMPUTED_VALUE"""),640.2)</f>
        <v>640.2</v>
      </c>
      <c r="E97" s="6">
        <f>IFERROR(__xludf.DUMMYFUNCTION("""COMPUTED_VALUE"""),641.95)</f>
        <v>641.95</v>
      </c>
      <c r="F97" s="6">
        <f>IFERROR(__xludf.DUMMYFUNCTION("""COMPUTED_VALUE"""),4181765.0)</f>
        <v>4181765</v>
      </c>
    </row>
    <row r="98">
      <c r="A98" s="7">
        <f>IFERROR(__xludf.DUMMYFUNCTION("""COMPUTED_VALUE"""),45877.64583333333)</f>
        <v>45877.64583</v>
      </c>
      <c r="B98" s="6">
        <f>IFERROR(__xludf.DUMMYFUNCTION("""COMPUTED_VALUE"""),645.0)</f>
        <v>645</v>
      </c>
      <c r="C98" s="6">
        <f>IFERROR(__xludf.DUMMYFUNCTION("""COMPUTED_VALUE"""),656.5)</f>
        <v>656.5</v>
      </c>
      <c r="D98" s="6">
        <f>IFERROR(__xludf.DUMMYFUNCTION("""COMPUTED_VALUE"""),620.95)</f>
        <v>620.95</v>
      </c>
      <c r="E98" s="6">
        <f>IFERROR(__xludf.DUMMYFUNCTION("""COMPUTED_VALUE"""),624.45)</f>
        <v>624.45</v>
      </c>
      <c r="F98" s="6">
        <f>IFERROR(__xludf.DUMMYFUNCTION("""COMPUTED_VALUE"""),7535931.0)</f>
        <v>7535931</v>
      </c>
    </row>
    <row r="99">
      <c r="A99" s="7">
        <f>IFERROR(__xludf.DUMMYFUNCTION("""COMPUTED_VALUE"""),45883.64583333333)</f>
        <v>45883.64583</v>
      </c>
      <c r="B99" s="6">
        <f>IFERROR(__xludf.DUMMYFUNCTION("""COMPUTED_VALUE"""),621.9)</f>
        <v>621.9</v>
      </c>
      <c r="C99" s="6">
        <f>IFERROR(__xludf.DUMMYFUNCTION("""COMPUTED_VALUE"""),670.45)</f>
        <v>670.45</v>
      </c>
      <c r="D99" s="6">
        <f>IFERROR(__xludf.DUMMYFUNCTION("""COMPUTED_VALUE"""),620.0)</f>
        <v>620</v>
      </c>
      <c r="E99" s="6">
        <f>IFERROR(__xludf.DUMMYFUNCTION("""COMPUTED_VALUE"""),631.85)</f>
        <v>631.85</v>
      </c>
      <c r="F99" s="6">
        <f>IFERROR(__xludf.DUMMYFUNCTION("""COMPUTED_VALUE"""),1.1048605E7)</f>
        <v>11048605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IFERROR(__xludf.DUMMYFUNCTION("""COMPUTED_VALUE"""),634.75)</f>
        <v>634.75</v>
      </c>
      <c r="C100" s="6">
        <f>IFERROR(__xludf.DUMMYFUNCTION("""COMPUTED_VALUE"""),650.05)</f>
        <v>650.05</v>
      </c>
      <c r="D100" s="6">
        <f>IFERROR(__xludf.DUMMYFUNCTION("""COMPUTED_VALUE"""),616.5)</f>
        <v>616.5</v>
      </c>
      <c r="E100" s="6">
        <f>IFERROR(__xludf.DUMMYFUNCTION("""COMPUTED_VALUE"""),619.15)</f>
        <v>619.15</v>
      </c>
      <c r="F100" s="6">
        <f>IFERROR(__xludf.DUMMYFUNCTION("""COMPUTED_VALUE"""),6690403.0)</f>
        <v>6690403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IFERROR(__xludf.DUMMYFUNCTION("""COMPUTED_VALUE"""),619.95)</f>
        <v>619.95</v>
      </c>
      <c r="C101" s="6">
        <f>IFERROR(__xludf.DUMMYFUNCTION("""COMPUTED_VALUE"""),650.75)</f>
        <v>650.75</v>
      </c>
      <c r="D101" s="6">
        <f>IFERROR(__xludf.DUMMYFUNCTION("""COMPUTED_VALUE"""),616.5)</f>
        <v>616.5</v>
      </c>
      <c r="E101" s="6">
        <f>IFERROR(__xludf.DUMMYFUNCTION("""COMPUTED_VALUE"""),640.8)</f>
        <v>640.8</v>
      </c>
      <c r="F101" s="6">
        <f>IFERROR(__xludf.DUMMYFUNCTION("""COMPUTED_VALUE"""),6.8587833E7)</f>
        <v>68587833</v>
      </c>
    </row>
  </sheetData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IFERROR(__xludf.DUMMYFUNCTION("GOOGLEFINANCE(""NSE:KALYANKJIL"",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IFERROR(__xludf.DUMMYFUNCTION("""COMPUTED_VALUE"""),214.0)</f>
        <v>214</v>
      </c>
      <c r="C2" s="6">
        <f>IFERROR(__xludf.DUMMYFUNCTION("""COMPUTED_VALUE"""),261.9)</f>
        <v>261.9</v>
      </c>
      <c r="D2" s="6">
        <f>IFERROR(__xludf.DUMMYFUNCTION("""COMPUTED_VALUE"""),214.0)</f>
        <v>214</v>
      </c>
      <c r="E2" s="6">
        <f>IFERROR(__xludf.DUMMYFUNCTION("""COMPUTED_VALUE"""),245.5)</f>
        <v>245.5</v>
      </c>
      <c r="F2" s="6">
        <f>IFERROR(__xludf.DUMMYFUNCTION("""COMPUTED_VALUE"""),3.2185365E7)</f>
        <v>32185365</v>
      </c>
    </row>
    <row r="3">
      <c r="A3" s="7">
        <f>IFERROR(__xludf.DUMMYFUNCTION("""COMPUTED_VALUE"""),45177.64583333333)</f>
        <v>45177.64583</v>
      </c>
      <c r="B3" s="6">
        <f>IFERROR(__xludf.DUMMYFUNCTION("""COMPUTED_VALUE"""),247.5)</f>
        <v>247.5</v>
      </c>
      <c r="C3" s="6">
        <f>IFERROR(__xludf.DUMMYFUNCTION("""COMPUTED_VALUE"""),261.6)</f>
        <v>261.6</v>
      </c>
      <c r="D3" s="6">
        <f>IFERROR(__xludf.DUMMYFUNCTION("""COMPUTED_VALUE"""),234.0)</f>
        <v>234</v>
      </c>
      <c r="E3" s="6">
        <f>IFERROR(__xludf.DUMMYFUNCTION("""COMPUTED_VALUE"""),246.5)</f>
        <v>246.5</v>
      </c>
      <c r="F3" s="6">
        <f>IFERROR(__xludf.DUMMYFUNCTION("""COMPUTED_VALUE"""),1.5010244E7)</f>
        <v>15010244</v>
      </c>
    </row>
    <row r="4">
      <c r="A4" s="7">
        <f>IFERROR(__xludf.DUMMYFUNCTION("""COMPUTED_VALUE"""),45184.64583333333)</f>
        <v>45184.64583</v>
      </c>
      <c r="B4" s="6">
        <f>IFERROR(__xludf.DUMMYFUNCTION("""COMPUTED_VALUE"""),247.6)</f>
        <v>247.6</v>
      </c>
      <c r="C4" s="6">
        <f>IFERROR(__xludf.DUMMYFUNCTION("""COMPUTED_VALUE"""),249.0)</f>
        <v>249</v>
      </c>
      <c r="D4" s="6">
        <f>IFERROR(__xludf.DUMMYFUNCTION("""COMPUTED_VALUE"""),214.15)</f>
        <v>214.15</v>
      </c>
      <c r="E4" s="6">
        <f>IFERROR(__xludf.DUMMYFUNCTION("""COMPUTED_VALUE"""),228.65)</f>
        <v>228.65</v>
      </c>
      <c r="F4" s="6">
        <f>IFERROR(__xludf.DUMMYFUNCTION("""COMPUTED_VALUE"""),1.780543E7)</f>
        <v>17805430</v>
      </c>
    </row>
    <row r="5">
      <c r="A5" s="7">
        <f>IFERROR(__xludf.DUMMYFUNCTION("""COMPUTED_VALUE"""),45191.64583333333)</f>
        <v>45191.64583</v>
      </c>
      <c r="B5" s="6">
        <f>IFERROR(__xludf.DUMMYFUNCTION("""COMPUTED_VALUE"""),231.0)</f>
        <v>231</v>
      </c>
      <c r="C5" s="6">
        <f>IFERROR(__xludf.DUMMYFUNCTION("""COMPUTED_VALUE"""),234.2)</f>
        <v>234.2</v>
      </c>
      <c r="D5" s="6">
        <f>IFERROR(__xludf.DUMMYFUNCTION("""COMPUTED_VALUE"""),210.05)</f>
        <v>210.05</v>
      </c>
      <c r="E5" s="6">
        <f>IFERROR(__xludf.DUMMYFUNCTION("""COMPUTED_VALUE"""),215.7)</f>
        <v>215.7</v>
      </c>
      <c r="F5" s="6">
        <f>IFERROR(__xludf.DUMMYFUNCTION("""COMPUTED_VALUE"""),1.041009E7)</f>
        <v>10410090</v>
      </c>
    </row>
    <row r="6">
      <c r="A6" s="7">
        <f>IFERROR(__xludf.DUMMYFUNCTION("""COMPUTED_VALUE"""),45198.64583333333)</f>
        <v>45198.64583</v>
      </c>
      <c r="B6" s="6">
        <f>IFERROR(__xludf.DUMMYFUNCTION("""COMPUTED_VALUE"""),216.85)</f>
        <v>216.85</v>
      </c>
      <c r="C6" s="6">
        <f>IFERROR(__xludf.DUMMYFUNCTION("""COMPUTED_VALUE"""),231.9)</f>
        <v>231.9</v>
      </c>
      <c r="D6" s="6">
        <f>IFERROR(__xludf.DUMMYFUNCTION("""COMPUTED_VALUE"""),202.8)</f>
        <v>202.8</v>
      </c>
      <c r="E6" s="6">
        <f>IFERROR(__xludf.DUMMYFUNCTION("""COMPUTED_VALUE"""),227.55)</f>
        <v>227.55</v>
      </c>
      <c r="F6" s="6">
        <f>IFERROR(__xludf.DUMMYFUNCTION("""COMPUTED_VALUE"""),2.1054465E7)</f>
        <v>21054465</v>
      </c>
    </row>
    <row r="7">
      <c r="A7" s="7">
        <f>IFERROR(__xludf.DUMMYFUNCTION("""COMPUTED_VALUE"""),45205.64583333333)</f>
        <v>45205.64583</v>
      </c>
      <c r="B7" s="6">
        <f>IFERROR(__xludf.DUMMYFUNCTION("""COMPUTED_VALUE"""),228.0)</f>
        <v>228</v>
      </c>
      <c r="C7" s="6">
        <f>IFERROR(__xludf.DUMMYFUNCTION("""COMPUTED_VALUE"""),261.0)</f>
        <v>261</v>
      </c>
      <c r="D7" s="6">
        <f>IFERROR(__xludf.DUMMYFUNCTION("""COMPUTED_VALUE"""),221.65)</f>
        <v>221.65</v>
      </c>
      <c r="E7" s="6">
        <f>IFERROR(__xludf.DUMMYFUNCTION("""COMPUTED_VALUE"""),258.15)</f>
        <v>258.15</v>
      </c>
      <c r="F7" s="6">
        <f>IFERROR(__xludf.DUMMYFUNCTION("""COMPUTED_VALUE"""),2.1688201E7)</f>
        <v>21688201</v>
      </c>
    </row>
    <row r="8">
      <c r="A8" s="7">
        <f>IFERROR(__xludf.DUMMYFUNCTION("""COMPUTED_VALUE"""),45212.64583333333)</f>
        <v>45212.64583</v>
      </c>
      <c r="B8" s="6">
        <f>IFERROR(__xludf.DUMMYFUNCTION("""COMPUTED_VALUE"""),257.25)</f>
        <v>257.25</v>
      </c>
      <c r="C8" s="6">
        <f>IFERROR(__xludf.DUMMYFUNCTION("""COMPUTED_VALUE"""),277.7)</f>
        <v>277.7</v>
      </c>
      <c r="D8" s="6">
        <f>IFERROR(__xludf.DUMMYFUNCTION("""COMPUTED_VALUE"""),241.5)</f>
        <v>241.5</v>
      </c>
      <c r="E8" s="6">
        <f>IFERROR(__xludf.DUMMYFUNCTION("""COMPUTED_VALUE"""),274.4)</f>
        <v>274.4</v>
      </c>
      <c r="F8" s="6">
        <f>IFERROR(__xludf.DUMMYFUNCTION("""COMPUTED_VALUE"""),2.5588194E7)</f>
        <v>25588194</v>
      </c>
    </row>
    <row r="9">
      <c r="A9" s="7">
        <f>IFERROR(__xludf.DUMMYFUNCTION("""COMPUTED_VALUE"""),45219.64583333333)</f>
        <v>45219.64583</v>
      </c>
      <c r="B9" s="6">
        <f>IFERROR(__xludf.DUMMYFUNCTION("""COMPUTED_VALUE"""),275.15)</f>
        <v>275.15</v>
      </c>
      <c r="C9" s="6">
        <f>IFERROR(__xludf.DUMMYFUNCTION("""COMPUTED_VALUE"""),309.75)</f>
        <v>309.75</v>
      </c>
      <c r="D9" s="6">
        <f>IFERROR(__xludf.DUMMYFUNCTION("""COMPUTED_VALUE"""),265.65)</f>
        <v>265.65</v>
      </c>
      <c r="E9" s="6">
        <f>IFERROR(__xludf.DUMMYFUNCTION("""COMPUTED_VALUE"""),300.1)</f>
        <v>300.1</v>
      </c>
      <c r="F9" s="6">
        <f>IFERROR(__xludf.DUMMYFUNCTION("""COMPUTED_VALUE"""),2.4113843E7)</f>
        <v>24113843</v>
      </c>
    </row>
    <row r="10">
      <c r="A10" s="7">
        <f>IFERROR(__xludf.DUMMYFUNCTION("""COMPUTED_VALUE"""),45226.64583333333)</f>
        <v>45226.64583</v>
      </c>
      <c r="B10" s="6">
        <f>IFERROR(__xludf.DUMMYFUNCTION("""COMPUTED_VALUE"""),301.45)</f>
        <v>301.45</v>
      </c>
      <c r="C10" s="6">
        <f>IFERROR(__xludf.DUMMYFUNCTION("""COMPUTED_VALUE"""),303.4)</f>
        <v>303.4</v>
      </c>
      <c r="D10" s="6">
        <f>IFERROR(__xludf.DUMMYFUNCTION("""COMPUTED_VALUE"""),278.1)</f>
        <v>278.1</v>
      </c>
      <c r="E10" s="6">
        <f>IFERROR(__xludf.DUMMYFUNCTION("""COMPUTED_VALUE"""),287.45)</f>
        <v>287.45</v>
      </c>
      <c r="F10" s="6">
        <f>IFERROR(__xludf.DUMMYFUNCTION("""COMPUTED_VALUE"""),1.8702954E7)</f>
        <v>18702954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IFERROR(__xludf.DUMMYFUNCTION("""COMPUTED_VALUE"""),288.45)</f>
        <v>288.45</v>
      </c>
      <c r="C11" s="6">
        <f>IFERROR(__xludf.DUMMYFUNCTION("""COMPUTED_VALUE"""),306.0)</f>
        <v>306</v>
      </c>
      <c r="D11" s="6">
        <f>IFERROR(__xludf.DUMMYFUNCTION("""COMPUTED_VALUE"""),280.25)</f>
        <v>280.25</v>
      </c>
      <c r="E11" s="6">
        <f>IFERROR(__xludf.DUMMYFUNCTION("""COMPUTED_VALUE"""),304.65)</f>
        <v>304.65</v>
      </c>
      <c r="F11" s="6">
        <f>IFERROR(__xludf.DUMMYFUNCTION("""COMPUTED_VALUE"""),1.425872E7)</f>
        <v>14258720</v>
      </c>
    </row>
    <row r="12">
      <c r="A12" s="7">
        <f>IFERROR(__xludf.DUMMYFUNCTION("""COMPUTED_VALUE"""),45240.64583333333)</f>
        <v>45240.64583</v>
      </c>
      <c r="B12" s="6">
        <f>IFERROR(__xludf.DUMMYFUNCTION("""COMPUTED_VALUE"""),308.0)</f>
        <v>308</v>
      </c>
      <c r="C12" s="6">
        <f>IFERROR(__xludf.DUMMYFUNCTION("""COMPUTED_VALUE"""),359.15)</f>
        <v>359.15</v>
      </c>
      <c r="D12" s="6">
        <f>IFERROR(__xludf.DUMMYFUNCTION("""COMPUTED_VALUE"""),307.05)</f>
        <v>307.05</v>
      </c>
      <c r="E12" s="6">
        <f>IFERROR(__xludf.DUMMYFUNCTION("""COMPUTED_VALUE"""),338.5)</f>
        <v>338.5</v>
      </c>
      <c r="F12" s="6">
        <f>IFERROR(__xludf.DUMMYFUNCTION("""COMPUTED_VALUE"""),2.6908132E7)</f>
        <v>26908132</v>
      </c>
    </row>
    <row r="13">
      <c r="A13" s="7">
        <f>IFERROR(__xludf.DUMMYFUNCTION("""COMPUTED_VALUE"""),45247.64583333333)</f>
        <v>45247.64583</v>
      </c>
      <c r="B13" s="6">
        <f>IFERROR(__xludf.DUMMYFUNCTION("""COMPUTED_VALUE"""),341.9)</f>
        <v>341.9</v>
      </c>
      <c r="C13" s="6">
        <f>IFERROR(__xludf.DUMMYFUNCTION("""COMPUTED_VALUE"""),348.0)</f>
        <v>348</v>
      </c>
      <c r="D13" s="6">
        <f>IFERROR(__xludf.DUMMYFUNCTION("""COMPUTED_VALUE"""),306.95)</f>
        <v>306.95</v>
      </c>
      <c r="E13" s="6">
        <f>IFERROR(__xludf.DUMMYFUNCTION("""COMPUTED_VALUE"""),317.1)</f>
        <v>317.1</v>
      </c>
      <c r="F13" s="6">
        <f>IFERROR(__xludf.DUMMYFUNCTION("""COMPUTED_VALUE"""),1.7696405E7)</f>
        <v>17696405</v>
      </c>
    </row>
    <row r="14">
      <c r="A14" s="7">
        <f>IFERROR(__xludf.DUMMYFUNCTION("""COMPUTED_VALUE"""),45254.64583333333)</f>
        <v>45254.64583</v>
      </c>
      <c r="B14" s="6">
        <f>IFERROR(__xludf.DUMMYFUNCTION("""COMPUTED_VALUE"""),319.95)</f>
        <v>319.95</v>
      </c>
      <c r="C14" s="6">
        <f>IFERROR(__xludf.DUMMYFUNCTION("""COMPUTED_VALUE"""),341.0)</f>
        <v>341</v>
      </c>
      <c r="D14" s="6">
        <f>IFERROR(__xludf.DUMMYFUNCTION("""COMPUTED_VALUE"""),308.05)</f>
        <v>308.05</v>
      </c>
      <c r="E14" s="6">
        <f>IFERROR(__xludf.DUMMYFUNCTION("""COMPUTED_VALUE"""),329.2)</f>
        <v>329.2</v>
      </c>
      <c r="F14" s="6">
        <f>IFERROR(__xludf.DUMMYFUNCTION("""COMPUTED_VALUE"""),1.4548102E7)</f>
        <v>14548102</v>
      </c>
    </row>
    <row r="15">
      <c r="A15" s="7">
        <f>IFERROR(__xludf.DUMMYFUNCTION("""COMPUTED_VALUE"""),45261.64583333333)</f>
        <v>45261.64583</v>
      </c>
      <c r="B15" s="6">
        <f>IFERROR(__xludf.DUMMYFUNCTION("""COMPUTED_VALUE"""),330.0)</f>
        <v>330</v>
      </c>
      <c r="C15" s="6">
        <f>IFERROR(__xludf.DUMMYFUNCTION("""COMPUTED_VALUE"""),337.35)</f>
        <v>337.35</v>
      </c>
      <c r="D15" s="6">
        <f>IFERROR(__xludf.DUMMYFUNCTION("""COMPUTED_VALUE"""),304.1)</f>
        <v>304.1</v>
      </c>
      <c r="E15" s="6">
        <f>IFERROR(__xludf.DUMMYFUNCTION("""COMPUTED_VALUE"""),334.85)</f>
        <v>334.85</v>
      </c>
      <c r="F15" s="6">
        <f>IFERROR(__xludf.DUMMYFUNCTION("""COMPUTED_VALUE"""),7903143.0)</f>
        <v>7903143</v>
      </c>
    </row>
    <row r="16">
      <c r="A16" s="7">
        <f>IFERROR(__xludf.DUMMYFUNCTION("""COMPUTED_VALUE"""),45268.64583333333)</f>
        <v>45268.64583</v>
      </c>
      <c r="B16" s="6">
        <f>IFERROR(__xludf.DUMMYFUNCTION("""COMPUTED_VALUE"""),340.0)</f>
        <v>340</v>
      </c>
      <c r="C16" s="6">
        <f>IFERROR(__xludf.DUMMYFUNCTION("""COMPUTED_VALUE"""),341.0)</f>
        <v>341</v>
      </c>
      <c r="D16" s="6">
        <f>IFERROR(__xludf.DUMMYFUNCTION("""COMPUTED_VALUE"""),320.05)</f>
        <v>320.05</v>
      </c>
      <c r="E16" s="6">
        <f>IFERROR(__xludf.DUMMYFUNCTION("""COMPUTED_VALUE"""),323.6)</f>
        <v>323.6</v>
      </c>
      <c r="F16" s="6">
        <f>IFERROR(__xludf.DUMMYFUNCTION("""COMPUTED_VALUE"""),8071653.0)</f>
        <v>8071653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IFERROR(__xludf.DUMMYFUNCTION("""COMPUTED_VALUE"""),324.9)</f>
        <v>324.9</v>
      </c>
      <c r="C17" s="6">
        <f>IFERROR(__xludf.DUMMYFUNCTION("""COMPUTED_VALUE"""),329.0)</f>
        <v>329</v>
      </c>
      <c r="D17" s="6">
        <f>IFERROR(__xludf.DUMMYFUNCTION("""COMPUTED_VALUE"""),311.05)</f>
        <v>311.05</v>
      </c>
      <c r="E17" s="6">
        <f>IFERROR(__xludf.DUMMYFUNCTION("""COMPUTED_VALUE"""),316.2)</f>
        <v>316.2</v>
      </c>
      <c r="F17" s="6">
        <f>IFERROR(__xludf.DUMMYFUNCTION("""COMPUTED_VALUE"""),1.0519959E7)</f>
        <v>10519959</v>
      </c>
    </row>
    <row r="18">
      <c r="A18" s="7">
        <f>IFERROR(__xludf.DUMMYFUNCTION("""COMPUTED_VALUE"""),45282.64583333333)</f>
        <v>45282.64583</v>
      </c>
      <c r="B18" s="6">
        <f>IFERROR(__xludf.DUMMYFUNCTION("""COMPUTED_VALUE"""),318.4)</f>
        <v>318.4</v>
      </c>
      <c r="C18" s="6">
        <f>IFERROR(__xludf.DUMMYFUNCTION("""COMPUTED_VALUE"""),339.2)</f>
        <v>339.2</v>
      </c>
      <c r="D18" s="6">
        <f>IFERROR(__xludf.DUMMYFUNCTION("""COMPUTED_VALUE"""),312.2)</f>
        <v>312.2</v>
      </c>
      <c r="E18" s="6">
        <f>IFERROR(__xludf.DUMMYFUNCTION("""COMPUTED_VALUE"""),333.7)</f>
        <v>333.7</v>
      </c>
      <c r="F18" s="6">
        <f>IFERROR(__xludf.DUMMYFUNCTION("""COMPUTED_VALUE"""),1.3152396E7)</f>
        <v>13152396</v>
      </c>
    </row>
    <row r="19">
      <c r="A19" s="7">
        <f>IFERROR(__xludf.DUMMYFUNCTION("""COMPUTED_VALUE"""),45289.64583333333)</f>
        <v>45289.64583</v>
      </c>
      <c r="B19" s="6">
        <f>IFERROR(__xludf.DUMMYFUNCTION("""COMPUTED_VALUE"""),335.8)</f>
        <v>335.8</v>
      </c>
      <c r="C19" s="6">
        <f>IFERROR(__xludf.DUMMYFUNCTION("""COMPUTED_VALUE"""),362.0)</f>
        <v>362</v>
      </c>
      <c r="D19" s="6">
        <f>IFERROR(__xludf.DUMMYFUNCTION("""COMPUTED_VALUE"""),334.7)</f>
        <v>334.7</v>
      </c>
      <c r="E19" s="6">
        <f>IFERROR(__xludf.DUMMYFUNCTION("""COMPUTED_VALUE"""),354.1)</f>
        <v>354.1</v>
      </c>
      <c r="F19" s="6">
        <f>IFERROR(__xludf.DUMMYFUNCTION("""COMPUTED_VALUE"""),1.1582914E7)</f>
        <v>11582914</v>
      </c>
    </row>
    <row r="20">
      <c r="A20" s="7">
        <f>IFERROR(__xludf.DUMMYFUNCTION("""COMPUTED_VALUE"""),45296.64583333333)</f>
        <v>45296.64583</v>
      </c>
      <c r="B20" s="6">
        <f>IFERROR(__xludf.DUMMYFUNCTION("""COMPUTED_VALUE"""),355.15)</f>
        <v>355.15</v>
      </c>
      <c r="C20" s="6">
        <f>IFERROR(__xludf.DUMMYFUNCTION("""COMPUTED_VALUE"""),379.75)</f>
        <v>379.75</v>
      </c>
      <c r="D20" s="6">
        <f>IFERROR(__xludf.DUMMYFUNCTION("""COMPUTED_VALUE"""),350.1)</f>
        <v>350.1</v>
      </c>
      <c r="E20" s="6">
        <f>IFERROR(__xludf.DUMMYFUNCTION("""COMPUTED_VALUE"""),357.75)</f>
        <v>357.75</v>
      </c>
      <c r="F20" s="6">
        <f>IFERROR(__xludf.DUMMYFUNCTION("""COMPUTED_VALUE"""),1.5484523E7)</f>
        <v>15484523</v>
      </c>
    </row>
    <row r="21">
      <c r="A21" s="7">
        <f>IFERROR(__xludf.DUMMYFUNCTION("""COMPUTED_VALUE"""),45303.64583333333)</f>
        <v>45303.64583</v>
      </c>
      <c r="B21" s="6">
        <f>IFERROR(__xludf.DUMMYFUNCTION("""COMPUTED_VALUE"""),360.05)</f>
        <v>360.05</v>
      </c>
      <c r="C21" s="6">
        <f>IFERROR(__xludf.DUMMYFUNCTION("""COMPUTED_VALUE"""),395.0)</f>
        <v>395</v>
      </c>
      <c r="D21" s="6">
        <f>IFERROR(__xludf.DUMMYFUNCTION("""COMPUTED_VALUE"""),359.0)</f>
        <v>359</v>
      </c>
      <c r="E21" s="6">
        <f>IFERROR(__xludf.DUMMYFUNCTION("""COMPUTED_VALUE"""),389.4)</f>
        <v>389.4</v>
      </c>
      <c r="F21" s="6">
        <f>IFERROR(__xludf.DUMMYFUNCTION("""COMPUTED_VALUE"""),1.3853719E7)</f>
        <v>13853719</v>
      </c>
    </row>
    <row r="22">
      <c r="A22" s="7">
        <f>IFERROR(__xludf.DUMMYFUNCTION("""COMPUTED_VALUE"""),45316.64583333333)</f>
        <v>45316.64583</v>
      </c>
      <c r="B22" s="6">
        <f>IFERROR(__xludf.DUMMYFUNCTION("""COMPUTED_VALUE"""),363.35)</f>
        <v>363.35</v>
      </c>
      <c r="C22" s="6">
        <f>IFERROR(__xludf.DUMMYFUNCTION("""COMPUTED_VALUE"""),366.2)</f>
        <v>366.2</v>
      </c>
      <c r="D22" s="6">
        <f>IFERROR(__xludf.DUMMYFUNCTION("""COMPUTED_VALUE"""),343.0)</f>
        <v>343</v>
      </c>
      <c r="E22" s="6">
        <f>IFERROR(__xludf.DUMMYFUNCTION("""COMPUTED_VALUE"""),354.95)</f>
        <v>354.95</v>
      </c>
      <c r="F22" s="6">
        <f>IFERROR(__xludf.DUMMYFUNCTION("""COMPUTED_VALUE"""),5605195.0)</f>
        <v>5605195</v>
      </c>
    </row>
    <row r="23">
      <c r="A23" s="7">
        <f>IFERROR(__xludf.DUMMYFUNCTION("""COMPUTED_VALUE"""),45324.64583333333)</f>
        <v>45324.64583</v>
      </c>
      <c r="B23" s="6">
        <f>IFERROR(__xludf.DUMMYFUNCTION("""COMPUTED_VALUE"""),356.0)</f>
        <v>356</v>
      </c>
      <c r="C23" s="6">
        <f>IFERROR(__xludf.DUMMYFUNCTION("""COMPUTED_VALUE"""),379.2)</f>
        <v>379.2</v>
      </c>
      <c r="D23" s="6">
        <f>IFERROR(__xludf.DUMMYFUNCTION("""COMPUTED_VALUE"""),321.95)</f>
        <v>321.95</v>
      </c>
      <c r="E23" s="6">
        <f>IFERROR(__xludf.DUMMYFUNCTION("""COMPUTED_VALUE"""),347.9)</f>
        <v>347.9</v>
      </c>
      <c r="F23" s="6">
        <f>IFERROR(__xludf.DUMMYFUNCTION("""COMPUTED_VALUE"""),2.4834795E7)</f>
        <v>24834795</v>
      </c>
    </row>
    <row r="24">
      <c r="A24" s="7">
        <f>IFERROR(__xludf.DUMMYFUNCTION("""COMPUTED_VALUE"""),45331.64583333333)</f>
        <v>45331.64583</v>
      </c>
      <c r="B24" s="6">
        <f>IFERROR(__xludf.DUMMYFUNCTION("""COMPUTED_VALUE"""),348.95)</f>
        <v>348.95</v>
      </c>
      <c r="C24" s="6">
        <f>IFERROR(__xludf.DUMMYFUNCTION("""COMPUTED_VALUE"""),368.7)</f>
        <v>368.7</v>
      </c>
      <c r="D24" s="6">
        <f>IFERROR(__xludf.DUMMYFUNCTION("""COMPUTED_VALUE"""),329.15)</f>
        <v>329.15</v>
      </c>
      <c r="E24" s="6">
        <f>IFERROR(__xludf.DUMMYFUNCTION("""COMPUTED_VALUE"""),357.95)</f>
        <v>357.95</v>
      </c>
      <c r="F24" s="6">
        <f>IFERROR(__xludf.DUMMYFUNCTION("""COMPUTED_VALUE"""),3.3313364E7)</f>
        <v>33313364</v>
      </c>
    </row>
    <row r="25">
      <c r="A25" s="7">
        <f>IFERROR(__xludf.DUMMYFUNCTION("""COMPUTED_VALUE"""),45338.64583333333)</f>
        <v>45338.64583</v>
      </c>
      <c r="B25" s="6">
        <f>IFERROR(__xludf.DUMMYFUNCTION("""COMPUTED_VALUE"""),358.4)</f>
        <v>358.4</v>
      </c>
      <c r="C25" s="6">
        <f>IFERROR(__xludf.DUMMYFUNCTION("""COMPUTED_VALUE"""),409.7)</f>
        <v>409.7</v>
      </c>
      <c r="D25" s="6">
        <f>IFERROR(__xludf.DUMMYFUNCTION("""COMPUTED_VALUE"""),351.2)</f>
        <v>351.2</v>
      </c>
      <c r="E25" s="6">
        <f>IFERROR(__xludf.DUMMYFUNCTION("""COMPUTED_VALUE"""),384.6)</f>
        <v>384.6</v>
      </c>
      <c r="F25" s="6">
        <f>IFERROR(__xludf.DUMMYFUNCTION("""COMPUTED_VALUE"""),1.8385211E7)</f>
        <v>18385211</v>
      </c>
    </row>
    <row r="26">
      <c r="A26" s="7">
        <f>IFERROR(__xludf.DUMMYFUNCTION("""COMPUTED_VALUE"""),45345.64583333333)</f>
        <v>45345.64583</v>
      </c>
      <c r="B26" s="6">
        <f>IFERROR(__xludf.DUMMYFUNCTION("""COMPUTED_VALUE"""),384.45)</f>
        <v>384.45</v>
      </c>
      <c r="C26" s="6">
        <f>IFERROR(__xludf.DUMMYFUNCTION("""COMPUTED_VALUE"""),388.4)</f>
        <v>388.4</v>
      </c>
      <c r="D26" s="6">
        <f>IFERROR(__xludf.DUMMYFUNCTION("""COMPUTED_VALUE"""),363.0)</f>
        <v>363</v>
      </c>
      <c r="E26" s="6">
        <f>IFERROR(__xludf.DUMMYFUNCTION("""COMPUTED_VALUE"""),384.65)</f>
        <v>384.65</v>
      </c>
      <c r="F26" s="6">
        <f>IFERROR(__xludf.DUMMYFUNCTION("""COMPUTED_VALUE"""),1.0121856E7)</f>
        <v>10121856</v>
      </c>
    </row>
    <row r="27">
      <c r="A27" s="7">
        <f>IFERROR(__xludf.DUMMYFUNCTION("""COMPUTED_VALUE"""),45358.64583333333)</f>
        <v>45358.64583</v>
      </c>
      <c r="B27" s="6">
        <f>IFERROR(__xludf.DUMMYFUNCTION("""COMPUTED_VALUE"""),414.0)</f>
        <v>414</v>
      </c>
      <c r="C27" s="6">
        <f>IFERROR(__xludf.DUMMYFUNCTION("""COMPUTED_VALUE"""),414.35)</f>
        <v>414.35</v>
      </c>
      <c r="D27" s="6">
        <f>IFERROR(__xludf.DUMMYFUNCTION("""COMPUTED_VALUE"""),391.7)</f>
        <v>391.7</v>
      </c>
      <c r="E27" s="6">
        <f>IFERROR(__xludf.DUMMYFUNCTION("""COMPUTED_VALUE"""),409.45)</f>
        <v>409.45</v>
      </c>
      <c r="F27" s="6">
        <f>IFERROR(__xludf.DUMMYFUNCTION("""COMPUTED_VALUE"""),6407240.0)</f>
        <v>6407240</v>
      </c>
    </row>
    <row r="28">
      <c r="A28" s="7">
        <f>IFERROR(__xludf.DUMMYFUNCTION("""COMPUTED_VALUE"""),45366.64583333333)</f>
        <v>45366.64583</v>
      </c>
      <c r="B28" s="6">
        <f>IFERROR(__xludf.DUMMYFUNCTION("""COMPUTED_VALUE"""),409.45)</f>
        <v>409.45</v>
      </c>
      <c r="C28" s="6">
        <f>IFERROR(__xludf.DUMMYFUNCTION("""COMPUTED_VALUE"""),419.0)</f>
        <v>419</v>
      </c>
      <c r="D28" s="6">
        <f>IFERROR(__xludf.DUMMYFUNCTION("""COMPUTED_VALUE"""),352.15)</f>
        <v>352.15</v>
      </c>
      <c r="E28" s="6">
        <f>IFERROR(__xludf.DUMMYFUNCTION("""COMPUTED_VALUE"""),370.05)</f>
        <v>370.05</v>
      </c>
      <c r="F28" s="6">
        <f>IFERROR(__xludf.DUMMYFUNCTION("""COMPUTED_VALUE"""),1.2782967E7)</f>
        <v>12782967</v>
      </c>
    </row>
    <row r="29">
      <c r="A29" s="7">
        <f>IFERROR(__xludf.DUMMYFUNCTION("""COMPUTED_VALUE"""),45373.64583333333)</f>
        <v>45373.64583</v>
      </c>
      <c r="B29" s="6">
        <f>IFERROR(__xludf.DUMMYFUNCTION("""COMPUTED_VALUE"""),371.0)</f>
        <v>371</v>
      </c>
      <c r="C29" s="6">
        <f>IFERROR(__xludf.DUMMYFUNCTION("""COMPUTED_VALUE"""),397.0)</f>
        <v>397</v>
      </c>
      <c r="D29" s="6">
        <f>IFERROR(__xludf.DUMMYFUNCTION("""COMPUTED_VALUE"""),357.4)</f>
        <v>357.4</v>
      </c>
      <c r="E29" s="6">
        <f>IFERROR(__xludf.DUMMYFUNCTION("""COMPUTED_VALUE"""),385.2)</f>
        <v>385.2</v>
      </c>
      <c r="F29" s="6">
        <f>IFERROR(__xludf.DUMMYFUNCTION("""COMPUTED_VALUE"""),5603754.0)</f>
        <v>5603754</v>
      </c>
    </row>
    <row r="30">
      <c r="A30" s="7">
        <f>IFERROR(__xludf.DUMMYFUNCTION("""COMPUTED_VALUE"""),45379.64583333333)</f>
        <v>45379.64583</v>
      </c>
      <c r="B30" s="6">
        <f>IFERROR(__xludf.DUMMYFUNCTION("""COMPUTED_VALUE"""),390.0)</f>
        <v>390</v>
      </c>
      <c r="C30" s="6">
        <f>IFERROR(__xludf.DUMMYFUNCTION("""COMPUTED_VALUE"""),439.0)</f>
        <v>439</v>
      </c>
      <c r="D30" s="6">
        <f>IFERROR(__xludf.DUMMYFUNCTION("""COMPUTED_VALUE"""),384.3)</f>
        <v>384.3</v>
      </c>
      <c r="E30" s="6">
        <f>IFERROR(__xludf.DUMMYFUNCTION("""COMPUTED_VALUE"""),427.8)</f>
        <v>427.8</v>
      </c>
      <c r="F30" s="6">
        <f>IFERROR(__xludf.DUMMYFUNCTION("""COMPUTED_VALUE"""),1.2645278E7)</f>
        <v>12645278</v>
      </c>
    </row>
    <row r="31">
      <c r="A31" s="7">
        <f>IFERROR(__xludf.DUMMYFUNCTION("""COMPUTED_VALUE"""),45387.64583333333)</f>
        <v>45387.64583</v>
      </c>
      <c r="B31" s="6">
        <f>IFERROR(__xludf.DUMMYFUNCTION("""COMPUTED_VALUE"""),437.95)</f>
        <v>437.95</v>
      </c>
      <c r="C31" s="6">
        <f>IFERROR(__xludf.DUMMYFUNCTION("""COMPUTED_VALUE"""),449.7)</f>
        <v>449.7</v>
      </c>
      <c r="D31" s="6">
        <f>IFERROR(__xludf.DUMMYFUNCTION("""COMPUTED_VALUE"""),419.65)</f>
        <v>419.65</v>
      </c>
      <c r="E31" s="6">
        <f>IFERROR(__xludf.DUMMYFUNCTION("""COMPUTED_VALUE"""),430.5)</f>
        <v>430.5</v>
      </c>
      <c r="F31" s="6">
        <f>IFERROR(__xludf.DUMMYFUNCTION("""COMPUTED_VALUE"""),1.2572018E7)</f>
        <v>12572018</v>
      </c>
    </row>
    <row r="32">
      <c r="A32" s="7">
        <f>IFERROR(__xludf.DUMMYFUNCTION("""COMPUTED_VALUE"""),45394.64583333333)</f>
        <v>45394.64583</v>
      </c>
      <c r="B32" s="6">
        <f>IFERROR(__xludf.DUMMYFUNCTION("""COMPUTED_VALUE"""),436.05)</f>
        <v>436.05</v>
      </c>
      <c r="C32" s="6">
        <f>IFERROR(__xludf.DUMMYFUNCTION("""COMPUTED_VALUE"""),439.0)</f>
        <v>439</v>
      </c>
      <c r="D32" s="6">
        <f>IFERROR(__xludf.DUMMYFUNCTION("""COMPUTED_VALUE"""),412.7)</f>
        <v>412.7</v>
      </c>
      <c r="E32" s="6">
        <f>IFERROR(__xludf.DUMMYFUNCTION("""COMPUTED_VALUE"""),427.75)</f>
        <v>427.75</v>
      </c>
      <c r="F32" s="6">
        <f>IFERROR(__xludf.DUMMYFUNCTION("""COMPUTED_VALUE"""),6164972.0)</f>
        <v>6164972</v>
      </c>
    </row>
    <row r="33">
      <c r="A33" s="7">
        <f>IFERROR(__xludf.DUMMYFUNCTION("""COMPUTED_VALUE"""),45401.64583333333)</f>
        <v>45401.64583</v>
      </c>
      <c r="B33" s="6">
        <f>IFERROR(__xludf.DUMMYFUNCTION("""COMPUTED_VALUE"""),419.15)</f>
        <v>419.15</v>
      </c>
      <c r="C33" s="6">
        <f>IFERROR(__xludf.DUMMYFUNCTION("""COMPUTED_VALUE"""),437.8)</f>
        <v>437.8</v>
      </c>
      <c r="D33" s="6">
        <f>IFERROR(__xludf.DUMMYFUNCTION("""COMPUTED_VALUE"""),396.8)</f>
        <v>396.8</v>
      </c>
      <c r="E33" s="6">
        <f>IFERROR(__xludf.DUMMYFUNCTION("""COMPUTED_VALUE"""),408.55)</f>
        <v>408.55</v>
      </c>
      <c r="F33" s="6">
        <f>IFERROR(__xludf.DUMMYFUNCTION("""COMPUTED_VALUE"""),8408531.0)</f>
        <v>8408531</v>
      </c>
    </row>
    <row r="34">
      <c r="A34" s="7">
        <f>IFERROR(__xludf.DUMMYFUNCTION("""COMPUTED_VALUE"""),45408.64583333333)</f>
        <v>45408.64583</v>
      </c>
      <c r="B34" s="6">
        <f>IFERROR(__xludf.DUMMYFUNCTION("""COMPUTED_VALUE"""),415.0)</f>
        <v>415</v>
      </c>
      <c r="C34" s="6">
        <f>IFERROR(__xludf.DUMMYFUNCTION("""COMPUTED_VALUE"""),424.0)</f>
        <v>424</v>
      </c>
      <c r="D34" s="6">
        <f>IFERROR(__xludf.DUMMYFUNCTION("""COMPUTED_VALUE"""),400.15)</f>
        <v>400.15</v>
      </c>
      <c r="E34" s="6">
        <f>IFERROR(__xludf.DUMMYFUNCTION("""COMPUTED_VALUE"""),419.4)</f>
        <v>419.4</v>
      </c>
      <c r="F34" s="6">
        <f>IFERROR(__xludf.DUMMYFUNCTION("""COMPUTED_VALUE"""),7173379.0)</f>
        <v>7173379</v>
      </c>
    </row>
    <row r="35">
      <c r="A35" s="7">
        <f>IFERROR(__xludf.DUMMYFUNCTION("""COMPUTED_VALUE"""),45415.64583333333)</f>
        <v>45415.64583</v>
      </c>
      <c r="B35" s="6">
        <f>IFERROR(__xludf.DUMMYFUNCTION("""COMPUTED_VALUE"""),422.8)</f>
        <v>422.8</v>
      </c>
      <c r="C35" s="6">
        <f>IFERROR(__xludf.DUMMYFUNCTION("""COMPUTED_VALUE"""),425.0)</f>
        <v>425</v>
      </c>
      <c r="D35" s="6">
        <f>IFERROR(__xludf.DUMMYFUNCTION("""COMPUTED_VALUE"""),403.5)</f>
        <v>403.5</v>
      </c>
      <c r="E35" s="6">
        <f>IFERROR(__xludf.DUMMYFUNCTION("""COMPUTED_VALUE"""),406.1)</f>
        <v>406.1</v>
      </c>
      <c r="F35" s="6">
        <f>IFERROR(__xludf.DUMMYFUNCTION("""COMPUTED_VALUE"""),5473335.0)</f>
        <v>5473335</v>
      </c>
    </row>
    <row r="36">
      <c r="A36" s="7">
        <f>IFERROR(__xludf.DUMMYFUNCTION("""COMPUTED_VALUE"""),45422.64583333333)</f>
        <v>45422.64583</v>
      </c>
      <c r="B36" s="6">
        <f>IFERROR(__xludf.DUMMYFUNCTION("""COMPUTED_VALUE"""),408.0)</f>
        <v>408</v>
      </c>
      <c r="C36" s="6">
        <f>IFERROR(__xludf.DUMMYFUNCTION("""COMPUTED_VALUE"""),420.0)</f>
        <v>420</v>
      </c>
      <c r="D36" s="6">
        <f>IFERROR(__xludf.DUMMYFUNCTION("""COMPUTED_VALUE"""),378.9)</f>
        <v>378.9</v>
      </c>
      <c r="E36" s="6">
        <f>IFERROR(__xludf.DUMMYFUNCTION("""COMPUTED_VALUE"""),410.55)</f>
        <v>410.55</v>
      </c>
      <c r="F36" s="6">
        <f>IFERROR(__xludf.DUMMYFUNCTION("""COMPUTED_VALUE"""),7977037.0)</f>
        <v>7977037</v>
      </c>
    </row>
    <row r="37">
      <c r="A37" s="7">
        <f>IFERROR(__xludf.DUMMYFUNCTION("""COMPUTED_VALUE"""),45436.64583333333)</f>
        <v>45436.64583</v>
      </c>
      <c r="B37" s="6">
        <f>IFERROR(__xludf.DUMMYFUNCTION("""COMPUTED_VALUE"""),413.2)</f>
        <v>413.2</v>
      </c>
      <c r="C37" s="6">
        <f>IFERROR(__xludf.DUMMYFUNCTION("""COMPUTED_VALUE"""),415.5)</f>
        <v>415.5</v>
      </c>
      <c r="D37" s="6">
        <f>IFERROR(__xludf.DUMMYFUNCTION("""COMPUTED_VALUE"""),397.7)</f>
        <v>397.7</v>
      </c>
      <c r="E37" s="6">
        <f>IFERROR(__xludf.DUMMYFUNCTION("""COMPUTED_VALUE"""),401.95)</f>
        <v>401.95</v>
      </c>
      <c r="F37" s="6">
        <f>IFERROR(__xludf.DUMMYFUNCTION("""COMPUTED_VALUE"""),3749007.0)</f>
        <v>3749007</v>
      </c>
    </row>
    <row r="38">
      <c r="A38" s="7">
        <f>IFERROR(__xludf.DUMMYFUNCTION("""COMPUTED_VALUE"""),45443.64583333333)</f>
        <v>45443.64583</v>
      </c>
      <c r="B38" s="6">
        <f>IFERROR(__xludf.DUMMYFUNCTION("""COMPUTED_VALUE"""),400.0)</f>
        <v>400</v>
      </c>
      <c r="C38" s="6">
        <f>IFERROR(__xludf.DUMMYFUNCTION("""COMPUTED_VALUE"""),409.95)</f>
        <v>409.95</v>
      </c>
      <c r="D38" s="6">
        <f>IFERROR(__xludf.DUMMYFUNCTION("""COMPUTED_VALUE"""),377.05)</f>
        <v>377.05</v>
      </c>
      <c r="E38" s="6">
        <f>IFERROR(__xludf.DUMMYFUNCTION("""COMPUTED_VALUE"""),388.45)</f>
        <v>388.45</v>
      </c>
      <c r="F38" s="6">
        <f>IFERROR(__xludf.DUMMYFUNCTION("""COMPUTED_VALUE"""),6631546.0)</f>
        <v>6631546</v>
      </c>
    </row>
    <row r="39">
      <c r="A39" s="7">
        <f>IFERROR(__xludf.DUMMYFUNCTION("""COMPUTED_VALUE"""),45450.64583333333)</f>
        <v>45450.64583</v>
      </c>
      <c r="B39" s="6">
        <f>IFERROR(__xludf.DUMMYFUNCTION("""COMPUTED_VALUE"""),394.0)</f>
        <v>394</v>
      </c>
      <c r="C39" s="6">
        <f>IFERROR(__xludf.DUMMYFUNCTION("""COMPUTED_VALUE"""),420.0)</f>
        <v>420</v>
      </c>
      <c r="D39" s="6">
        <f>IFERROR(__xludf.DUMMYFUNCTION("""COMPUTED_VALUE"""),336.05)</f>
        <v>336.05</v>
      </c>
      <c r="E39" s="6">
        <f>IFERROR(__xludf.DUMMYFUNCTION("""COMPUTED_VALUE"""),407.85)</f>
        <v>407.85</v>
      </c>
      <c r="F39" s="6">
        <f>IFERROR(__xludf.DUMMYFUNCTION("""COMPUTED_VALUE"""),1.1327191E7)</f>
        <v>11327191</v>
      </c>
    </row>
    <row r="40">
      <c r="A40" s="7">
        <f>IFERROR(__xludf.DUMMYFUNCTION("""COMPUTED_VALUE"""),45457.64583333333)</f>
        <v>45457.64583</v>
      </c>
      <c r="B40" s="6">
        <f>IFERROR(__xludf.DUMMYFUNCTION("""COMPUTED_VALUE"""),410.0)</f>
        <v>410</v>
      </c>
      <c r="C40" s="6">
        <f>IFERROR(__xludf.DUMMYFUNCTION("""COMPUTED_VALUE"""),416.0)</f>
        <v>416</v>
      </c>
      <c r="D40" s="6">
        <f>IFERROR(__xludf.DUMMYFUNCTION("""COMPUTED_VALUE"""),398.0)</f>
        <v>398</v>
      </c>
      <c r="E40" s="6">
        <f>IFERROR(__xludf.DUMMYFUNCTION("""COMPUTED_VALUE"""),400.5)</f>
        <v>400.5</v>
      </c>
      <c r="F40" s="6">
        <f>IFERROR(__xludf.DUMMYFUNCTION("""COMPUTED_VALUE"""),6390872.0)</f>
        <v>6390872</v>
      </c>
    </row>
    <row r="41">
      <c r="A41" s="7">
        <f>IFERROR(__xludf.DUMMYFUNCTION("""COMPUTED_VALUE"""),45464.64583333333)</f>
        <v>45464.64583</v>
      </c>
      <c r="B41" s="6">
        <f>IFERROR(__xludf.DUMMYFUNCTION("""COMPUTED_VALUE"""),400.75)</f>
        <v>400.75</v>
      </c>
      <c r="C41" s="6">
        <f>IFERROR(__xludf.DUMMYFUNCTION("""COMPUTED_VALUE"""),464.95)</f>
        <v>464.95</v>
      </c>
      <c r="D41" s="6">
        <f>IFERROR(__xludf.DUMMYFUNCTION("""COMPUTED_VALUE"""),398.85)</f>
        <v>398.85</v>
      </c>
      <c r="E41" s="6">
        <f>IFERROR(__xludf.DUMMYFUNCTION("""COMPUTED_VALUE"""),453.0)</f>
        <v>453</v>
      </c>
      <c r="F41" s="6">
        <f>IFERROR(__xludf.DUMMYFUNCTION("""COMPUTED_VALUE"""),2.9638006E7)</f>
        <v>29638006</v>
      </c>
    </row>
    <row r="42">
      <c r="A42" s="7">
        <f>IFERROR(__xludf.DUMMYFUNCTION("""COMPUTED_VALUE"""),45471.64583333333)</f>
        <v>45471.64583</v>
      </c>
      <c r="B42" s="6">
        <f>IFERROR(__xludf.DUMMYFUNCTION("""COMPUTED_VALUE"""),452.5)</f>
        <v>452.5</v>
      </c>
      <c r="C42" s="6">
        <f>IFERROR(__xludf.DUMMYFUNCTION("""COMPUTED_VALUE"""),546.0)</f>
        <v>546</v>
      </c>
      <c r="D42" s="6">
        <f>IFERROR(__xludf.DUMMYFUNCTION("""COMPUTED_VALUE"""),435.0)</f>
        <v>435</v>
      </c>
      <c r="E42" s="6">
        <f>IFERROR(__xludf.DUMMYFUNCTION("""COMPUTED_VALUE"""),501.15)</f>
        <v>501.15</v>
      </c>
      <c r="F42" s="6">
        <f>IFERROR(__xludf.DUMMYFUNCTION("""COMPUTED_VALUE"""),2.0823648E7)</f>
        <v>20823648</v>
      </c>
    </row>
    <row r="43">
      <c r="A43" s="7">
        <f>IFERROR(__xludf.DUMMYFUNCTION("""COMPUTED_VALUE"""),45478.64583333333)</f>
        <v>45478.64583</v>
      </c>
      <c r="B43" s="6">
        <f>IFERROR(__xludf.DUMMYFUNCTION("""COMPUTED_VALUE"""),504.25)</f>
        <v>504.25</v>
      </c>
      <c r="C43" s="6">
        <f>IFERROR(__xludf.DUMMYFUNCTION("""COMPUTED_VALUE"""),505.7)</f>
        <v>505.7</v>
      </c>
      <c r="D43" s="6">
        <f>IFERROR(__xludf.DUMMYFUNCTION("""COMPUTED_VALUE"""),483.0)</f>
        <v>483</v>
      </c>
      <c r="E43" s="6">
        <f>IFERROR(__xludf.DUMMYFUNCTION("""COMPUTED_VALUE"""),495.3)</f>
        <v>495.3</v>
      </c>
      <c r="F43" s="6">
        <f>IFERROR(__xludf.DUMMYFUNCTION("""COMPUTED_VALUE"""),1.1041786E7)</f>
        <v>11041786</v>
      </c>
    </row>
    <row r="44">
      <c r="A44" s="7">
        <f>IFERROR(__xludf.DUMMYFUNCTION("""COMPUTED_VALUE"""),45485.64583333333)</f>
        <v>45485.64583</v>
      </c>
      <c r="B44" s="6">
        <f>IFERROR(__xludf.DUMMYFUNCTION("""COMPUTED_VALUE"""),497.75)</f>
        <v>497.75</v>
      </c>
      <c r="C44" s="6">
        <f>IFERROR(__xludf.DUMMYFUNCTION("""COMPUTED_VALUE"""),518.0)</f>
        <v>518</v>
      </c>
      <c r="D44" s="6">
        <f>IFERROR(__xludf.DUMMYFUNCTION("""COMPUTED_VALUE"""),490.0)</f>
        <v>490</v>
      </c>
      <c r="E44" s="6">
        <f>IFERROR(__xludf.DUMMYFUNCTION("""COMPUTED_VALUE"""),505.25)</f>
        <v>505.25</v>
      </c>
      <c r="F44" s="6">
        <f>IFERROR(__xludf.DUMMYFUNCTION("""COMPUTED_VALUE"""),8497629.0)</f>
        <v>8497629</v>
      </c>
    </row>
    <row r="45">
      <c r="A45" s="7">
        <f>IFERROR(__xludf.DUMMYFUNCTION("""COMPUTED_VALUE"""),45492.64583333333)</f>
        <v>45492.64583</v>
      </c>
      <c r="B45" s="6">
        <f>IFERROR(__xludf.DUMMYFUNCTION("""COMPUTED_VALUE"""),506.6)</f>
        <v>506.6</v>
      </c>
      <c r="C45" s="6">
        <f>IFERROR(__xludf.DUMMYFUNCTION("""COMPUTED_VALUE"""),536.0)</f>
        <v>536</v>
      </c>
      <c r="D45" s="6">
        <f>IFERROR(__xludf.DUMMYFUNCTION("""COMPUTED_VALUE"""),499.0)</f>
        <v>499</v>
      </c>
      <c r="E45" s="6">
        <f>IFERROR(__xludf.DUMMYFUNCTION("""COMPUTED_VALUE"""),528.95)</f>
        <v>528.95</v>
      </c>
      <c r="F45" s="6">
        <f>IFERROR(__xludf.DUMMYFUNCTION("""COMPUTED_VALUE"""),8064197.0)</f>
        <v>8064197</v>
      </c>
    </row>
    <row r="46">
      <c r="A46" s="7">
        <f>IFERROR(__xludf.DUMMYFUNCTION("""COMPUTED_VALUE"""),45499.64583333333)</f>
        <v>45499.64583</v>
      </c>
      <c r="B46" s="6">
        <f>IFERROR(__xludf.DUMMYFUNCTION("""COMPUTED_VALUE"""),531.4)</f>
        <v>531.4</v>
      </c>
      <c r="C46" s="6">
        <f>IFERROR(__xludf.DUMMYFUNCTION("""COMPUTED_VALUE"""),633.6)</f>
        <v>633.6</v>
      </c>
      <c r="D46" s="6">
        <f>IFERROR(__xludf.DUMMYFUNCTION("""COMPUTED_VALUE"""),497.55)</f>
        <v>497.55</v>
      </c>
      <c r="E46" s="6">
        <f>IFERROR(__xludf.DUMMYFUNCTION("""COMPUTED_VALUE"""),567.8)</f>
        <v>567.8</v>
      </c>
      <c r="F46" s="6">
        <f>IFERROR(__xludf.DUMMYFUNCTION("""COMPUTED_VALUE"""),2.7374508E7)</f>
        <v>27374508</v>
      </c>
    </row>
    <row r="47">
      <c r="A47" s="7">
        <f>IFERROR(__xludf.DUMMYFUNCTION("""COMPUTED_VALUE"""),45506.64583333333)</f>
        <v>45506.64583</v>
      </c>
      <c r="B47" s="6">
        <f>IFERROR(__xludf.DUMMYFUNCTION("""COMPUTED_VALUE"""),571.95)</f>
        <v>571.95</v>
      </c>
      <c r="C47" s="6">
        <f>IFERROR(__xludf.DUMMYFUNCTION("""COMPUTED_VALUE"""),593.0)</f>
        <v>593</v>
      </c>
      <c r="D47" s="6">
        <f>IFERROR(__xludf.DUMMYFUNCTION("""COMPUTED_VALUE"""),551.0)</f>
        <v>551</v>
      </c>
      <c r="E47" s="6">
        <f>IFERROR(__xludf.DUMMYFUNCTION("""COMPUTED_VALUE"""),559.75)</f>
        <v>559.75</v>
      </c>
      <c r="F47" s="6">
        <f>IFERROR(__xludf.DUMMYFUNCTION("""COMPUTED_VALUE"""),1.013411E7)</f>
        <v>10134110</v>
      </c>
    </row>
    <row r="48">
      <c r="A48" s="7">
        <f>IFERROR(__xludf.DUMMYFUNCTION("""COMPUTED_VALUE"""),45513.64583333333)</f>
        <v>45513.64583</v>
      </c>
      <c r="B48" s="6">
        <f>IFERROR(__xludf.DUMMYFUNCTION("""COMPUTED_VALUE"""),535.0)</f>
        <v>535</v>
      </c>
      <c r="C48" s="6">
        <f>IFERROR(__xludf.DUMMYFUNCTION("""COMPUTED_VALUE"""),556.95)</f>
        <v>556.95</v>
      </c>
      <c r="D48" s="6">
        <f>IFERROR(__xludf.DUMMYFUNCTION("""COMPUTED_VALUE"""),515.95)</f>
        <v>515.95</v>
      </c>
      <c r="E48" s="6">
        <f>IFERROR(__xludf.DUMMYFUNCTION("""COMPUTED_VALUE"""),538.8)</f>
        <v>538.8</v>
      </c>
      <c r="F48" s="6">
        <f>IFERROR(__xludf.DUMMYFUNCTION("""COMPUTED_VALUE"""),1.0262992E7)</f>
        <v>10262992</v>
      </c>
    </row>
    <row r="49">
      <c r="A49" s="7">
        <f>IFERROR(__xludf.DUMMYFUNCTION("""COMPUTED_VALUE"""),45520.64583333333)</f>
        <v>45520.64583</v>
      </c>
      <c r="B49" s="6">
        <f>IFERROR(__xludf.DUMMYFUNCTION("""COMPUTED_VALUE"""),534.0)</f>
        <v>534</v>
      </c>
      <c r="C49" s="6">
        <f>IFERROR(__xludf.DUMMYFUNCTION("""COMPUTED_VALUE"""),578.0)</f>
        <v>578</v>
      </c>
      <c r="D49" s="6">
        <f>IFERROR(__xludf.DUMMYFUNCTION("""COMPUTED_VALUE"""),528.7)</f>
        <v>528.7</v>
      </c>
      <c r="E49" s="6">
        <f>IFERROR(__xludf.DUMMYFUNCTION("""COMPUTED_VALUE"""),572.95)</f>
        <v>572.95</v>
      </c>
      <c r="F49" s="6">
        <f>IFERROR(__xludf.DUMMYFUNCTION("""COMPUTED_VALUE"""),4956380.0)</f>
        <v>4956380</v>
      </c>
    </row>
    <row r="50">
      <c r="A50" s="7">
        <f>IFERROR(__xludf.DUMMYFUNCTION("""COMPUTED_VALUE"""),45527.64583333333)</f>
        <v>45527.64583</v>
      </c>
      <c r="B50" s="6">
        <f>IFERROR(__xludf.DUMMYFUNCTION("""COMPUTED_VALUE"""),577.95)</f>
        <v>577.95</v>
      </c>
      <c r="C50" s="6">
        <f>IFERROR(__xludf.DUMMYFUNCTION("""COMPUTED_VALUE"""),618.7)</f>
        <v>618.7</v>
      </c>
      <c r="D50" s="6">
        <f>IFERROR(__xludf.DUMMYFUNCTION("""COMPUTED_VALUE"""),530.65)</f>
        <v>530.65</v>
      </c>
      <c r="E50" s="6">
        <f>IFERROR(__xludf.DUMMYFUNCTION("""COMPUTED_VALUE"""),588.9)</f>
        <v>588.9</v>
      </c>
      <c r="F50" s="6">
        <f>IFERROR(__xludf.DUMMYFUNCTION("""COMPUTED_VALUE"""),7.856031E7)</f>
        <v>78560310</v>
      </c>
    </row>
    <row r="51">
      <c r="A51" s="7">
        <f>IFERROR(__xludf.DUMMYFUNCTION("""COMPUTED_VALUE"""),45534.64583333333)</f>
        <v>45534.64583</v>
      </c>
      <c r="B51" s="6">
        <f>IFERROR(__xludf.DUMMYFUNCTION("""COMPUTED_VALUE"""),589.0)</f>
        <v>589</v>
      </c>
      <c r="C51" s="6">
        <f>IFERROR(__xludf.DUMMYFUNCTION("""COMPUTED_VALUE"""),624.95)</f>
        <v>624.95</v>
      </c>
      <c r="D51" s="6">
        <f>IFERROR(__xludf.DUMMYFUNCTION("""COMPUTED_VALUE"""),580.4)</f>
        <v>580.4</v>
      </c>
      <c r="E51" s="6">
        <f>IFERROR(__xludf.DUMMYFUNCTION("""COMPUTED_VALUE"""),615.2)</f>
        <v>615.2</v>
      </c>
      <c r="F51" s="6">
        <f>IFERROR(__xludf.DUMMYFUNCTION("""COMPUTED_VALUE"""),3.0596687E7)</f>
        <v>30596687</v>
      </c>
    </row>
    <row r="52">
      <c r="A52" s="7">
        <f>IFERROR(__xludf.DUMMYFUNCTION("""COMPUTED_VALUE"""),45541.64583333333)</f>
        <v>45541.64583</v>
      </c>
      <c r="B52" s="6">
        <f>IFERROR(__xludf.DUMMYFUNCTION("""COMPUTED_VALUE"""),617.45)</f>
        <v>617.45</v>
      </c>
      <c r="C52" s="6">
        <f>IFERROR(__xludf.DUMMYFUNCTION("""COMPUTED_VALUE"""),662.75)</f>
        <v>662.75</v>
      </c>
      <c r="D52" s="6">
        <f>IFERROR(__xludf.DUMMYFUNCTION("""COMPUTED_VALUE"""),616.0)</f>
        <v>616</v>
      </c>
      <c r="E52" s="6">
        <f>IFERROR(__xludf.DUMMYFUNCTION("""COMPUTED_VALUE"""),648.2)</f>
        <v>648.2</v>
      </c>
      <c r="F52" s="6">
        <f>IFERROR(__xludf.DUMMYFUNCTION("""COMPUTED_VALUE"""),3.5491753E7)</f>
        <v>35491753</v>
      </c>
    </row>
    <row r="53">
      <c r="A53" s="7">
        <f>IFERROR(__xludf.DUMMYFUNCTION("""COMPUTED_VALUE"""),45548.64583333333)</f>
        <v>45548.64583</v>
      </c>
      <c r="B53" s="6">
        <f>IFERROR(__xludf.DUMMYFUNCTION("""COMPUTED_VALUE"""),649.0)</f>
        <v>649</v>
      </c>
      <c r="C53" s="6">
        <f>IFERROR(__xludf.DUMMYFUNCTION("""COMPUTED_VALUE"""),749.0)</f>
        <v>749</v>
      </c>
      <c r="D53" s="6">
        <f>IFERROR(__xludf.DUMMYFUNCTION("""COMPUTED_VALUE"""),636.5)</f>
        <v>636.5</v>
      </c>
      <c r="E53" s="6">
        <f>IFERROR(__xludf.DUMMYFUNCTION("""COMPUTED_VALUE"""),716.05)</f>
        <v>716.05</v>
      </c>
      <c r="F53" s="6">
        <f>IFERROR(__xludf.DUMMYFUNCTION("""COMPUTED_VALUE"""),5.7252429E7)</f>
        <v>57252429</v>
      </c>
    </row>
    <row r="54">
      <c r="A54" s="7">
        <f>IFERROR(__xludf.DUMMYFUNCTION("""COMPUTED_VALUE"""),45555.64583333333)</f>
        <v>45555.64583</v>
      </c>
      <c r="B54" s="6">
        <f>IFERROR(__xludf.DUMMYFUNCTION("""COMPUTED_VALUE"""),723.2)</f>
        <v>723.2</v>
      </c>
      <c r="C54" s="6">
        <f>IFERROR(__xludf.DUMMYFUNCTION("""COMPUTED_VALUE"""),734.0)</f>
        <v>734</v>
      </c>
      <c r="D54" s="6">
        <f>IFERROR(__xludf.DUMMYFUNCTION("""COMPUTED_VALUE"""),675.9)</f>
        <v>675.9</v>
      </c>
      <c r="E54" s="6">
        <f>IFERROR(__xludf.DUMMYFUNCTION("""COMPUTED_VALUE"""),730.5)</f>
        <v>730.5</v>
      </c>
      <c r="F54" s="6">
        <f>IFERROR(__xludf.DUMMYFUNCTION("""COMPUTED_VALUE"""),4.2636311E7)</f>
        <v>42636311</v>
      </c>
    </row>
    <row r="55">
      <c r="A55" s="7">
        <f>IFERROR(__xludf.DUMMYFUNCTION("""COMPUTED_VALUE"""),45562.64583333333)</f>
        <v>45562.64583</v>
      </c>
      <c r="B55" s="6">
        <f>IFERROR(__xludf.DUMMYFUNCTION("""COMPUTED_VALUE"""),733.4)</f>
        <v>733.4</v>
      </c>
      <c r="C55" s="6">
        <f>IFERROR(__xludf.DUMMYFUNCTION("""COMPUTED_VALUE"""),786.25)</f>
        <v>786.25</v>
      </c>
      <c r="D55" s="6">
        <f>IFERROR(__xludf.DUMMYFUNCTION("""COMPUTED_VALUE"""),704.0)</f>
        <v>704</v>
      </c>
      <c r="E55" s="6">
        <f>IFERROR(__xludf.DUMMYFUNCTION("""COMPUTED_VALUE"""),706.7)</f>
        <v>706.7</v>
      </c>
      <c r="F55" s="6">
        <f>IFERROR(__xludf.DUMMYFUNCTION("""COMPUTED_VALUE"""),6.6072747E7)</f>
        <v>66072747</v>
      </c>
    </row>
    <row r="56">
      <c r="A56" s="7">
        <f>IFERROR(__xludf.DUMMYFUNCTION("""COMPUTED_VALUE"""),45569.64583333333)</f>
        <v>45569.64583</v>
      </c>
      <c r="B56" s="6">
        <f>IFERROR(__xludf.DUMMYFUNCTION("""COMPUTED_VALUE"""),709.75)</f>
        <v>709.75</v>
      </c>
      <c r="C56" s="6">
        <f>IFERROR(__xludf.DUMMYFUNCTION("""COMPUTED_VALUE"""),757.9)</f>
        <v>757.9</v>
      </c>
      <c r="D56" s="6">
        <f>IFERROR(__xludf.DUMMYFUNCTION("""COMPUTED_VALUE"""),705.7)</f>
        <v>705.7</v>
      </c>
      <c r="E56" s="6">
        <f>IFERROR(__xludf.DUMMYFUNCTION("""COMPUTED_VALUE"""),712.95)</f>
        <v>712.95</v>
      </c>
      <c r="F56" s="6">
        <f>IFERROR(__xludf.DUMMYFUNCTION("""COMPUTED_VALUE"""),3.7132439E7)</f>
        <v>37132439</v>
      </c>
    </row>
    <row r="57">
      <c r="A57" s="7">
        <f>IFERROR(__xludf.DUMMYFUNCTION("""COMPUTED_VALUE"""),45576.64583333333)</f>
        <v>45576.64583</v>
      </c>
      <c r="B57" s="6">
        <f>IFERROR(__xludf.DUMMYFUNCTION("""COMPUTED_VALUE"""),727.0)</f>
        <v>727</v>
      </c>
      <c r="C57" s="6">
        <f>IFERROR(__xludf.DUMMYFUNCTION("""COMPUTED_VALUE"""),735.4)</f>
        <v>735.4</v>
      </c>
      <c r="D57" s="6">
        <f>IFERROR(__xludf.DUMMYFUNCTION("""COMPUTED_VALUE"""),673.4)</f>
        <v>673.4</v>
      </c>
      <c r="E57" s="6">
        <f>IFERROR(__xludf.DUMMYFUNCTION("""COMPUTED_VALUE"""),720.3)</f>
        <v>720.3</v>
      </c>
      <c r="F57" s="6">
        <f>IFERROR(__xludf.DUMMYFUNCTION("""COMPUTED_VALUE"""),3.4581933E7)</f>
        <v>34581933</v>
      </c>
    </row>
    <row r="58">
      <c r="A58" s="7">
        <f>IFERROR(__xludf.DUMMYFUNCTION("""COMPUTED_VALUE"""),45583.64583333333)</f>
        <v>45583.64583</v>
      </c>
      <c r="B58" s="6">
        <f>IFERROR(__xludf.DUMMYFUNCTION("""COMPUTED_VALUE"""),722.0)</f>
        <v>722</v>
      </c>
      <c r="C58" s="6">
        <f>IFERROR(__xludf.DUMMYFUNCTION("""COMPUTED_VALUE"""),773.0)</f>
        <v>773</v>
      </c>
      <c r="D58" s="6">
        <f>IFERROR(__xludf.DUMMYFUNCTION("""COMPUTED_VALUE"""),708.0)</f>
        <v>708</v>
      </c>
      <c r="E58" s="6">
        <f>IFERROR(__xludf.DUMMYFUNCTION("""COMPUTED_VALUE"""),718.95)</f>
        <v>718.95</v>
      </c>
      <c r="F58" s="6">
        <f>IFERROR(__xludf.DUMMYFUNCTION("""COMPUTED_VALUE"""),3.8525514E7)</f>
        <v>38525514</v>
      </c>
    </row>
    <row r="59">
      <c r="A59" s="7">
        <f>IFERROR(__xludf.DUMMYFUNCTION("""COMPUTED_VALUE"""),45590.64583333333)</f>
        <v>45590.64583</v>
      </c>
      <c r="B59" s="6">
        <f>IFERROR(__xludf.DUMMYFUNCTION("""COMPUTED_VALUE"""),724.9)</f>
        <v>724.9</v>
      </c>
      <c r="C59" s="6">
        <f>IFERROR(__xludf.DUMMYFUNCTION("""COMPUTED_VALUE"""),728.05)</f>
        <v>728.05</v>
      </c>
      <c r="D59" s="6">
        <f>IFERROR(__xludf.DUMMYFUNCTION("""COMPUTED_VALUE"""),658.85)</f>
        <v>658.85</v>
      </c>
      <c r="E59" s="6">
        <f>IFERROR(__xludf.DUMMYFUNCTION("""COMPUTED_VALUE"""),671.7)</f>
        <v>671.7</v>
      </c>
      <c r="F59" s="6">
        <f>IFERROR(__xludf.DUMMYFUNCTION("""COMPUTED_VALUE"""),2.9273142E7)</f>
        <v>29273142</v>
      </c>
    </row>
    <row r="60">
      <c r="A60" s="7">
        <f>IFERROR(__xludf.DUMMYFUNCTION("""COMPUTED_VALUE"""),45604.64583333333)</f>
        <v>45604.64583</v>
      </c>
      <c r="B60" s="6">
        <f>IFERROR(__xludf.DUMMYFUNCTION("""COMPUTED_VALUE"""),664.1)</f>
        <v>664.1</v>
      </c>
      <c r="C60" s="6">
        <f>IFERROR(__xludf.DUMMYFUNCTION("""COMPUTED_VALUE"""),718.3)</f>
        <v>718.3</v>
      </c>
      <c r="D60" s="6">
        <f>IFERROR(__xludf.DUMMYFUNCTION("""COMPUTED_VALUE"""),632.4)</f>
        <v>632.4</v>
      </c>
      <c r="E60" s="6">
        <f>IFERROR(__xludf.DUMMYFUNCTION("""COMPUTED_VALUE"""),694.1)</f>
        <v>694.1</v>
      </c>
      <c r="F60" s="6">
        <f>IFERROR(__xludf.DUMMYFUNCTION("""COMPUTED_VALUE"""),3.7602454E7)</f>
        <v>37602454</v>
      </c>
    </row>
    <row r="61">
      <c r="A61" s="7">
        <f>IFERROR(__xludf.DUMMYFUNCTION("""COMPUTED_VALUE"""),45610.64583333333)</f>
        <v>45610.64583</v>
      </c>
      <c r="B61" s="6">
        <f>IFERROR(__xludf.DUMMYFUNCTION("""COMPUTED_VALUE"""),692.05)</f>
        <v>692.05</v>
      </c>
      <c r="C61" s="6">
        <f>IFERROR(__xludf.DUMMYFUNCTION("""COMPUTED_VALUE"""),719.45)</f>
        <v>719.45</v>
      </c>
      <c r="D61" s="6">
        <f>IFERROR(__xludf.DUMMYFUNCTION("""COMPUTED_VALUE"""),642.65)</f>
        <v>642.65</v>
      </c>
      <c r="E61" s="6">
        <f>IFERROR(__xludf.DUMMYFUNCTION("""COMPUTED_VALUE"""),653.9)</f>
        <v>653.9</v>
      </c>
      <c r="F61" s="6">
        <f>IFERROR(__xludf.DUMMYFUNCTION("""COMPUTED_VALUE"""),2.4497023E7)</f>
        <v>24497023</v>
      </c>
    </row>
    <row r="62">
      <c r="A62" s="7">
        <f>IFERROR(__xludf.DUMMYFUNCTION("""COMPUTED_VALUE"""),45618.64583333333)</f>
        <v>45618.64583</v>
      </c>
      <c r="B62" s="6">
        <f>IFERROR(__xludf.DUMMYFUNCTION("""COMPUTED_VALUE"""),656.0)</f>
        <v>656</v>
      </c>
      <c r="C62" s="6">
        <f>IFERROR(__xludf.DUMMYFUNCTION("""COMPUTED_VALUE"""),720.0)</f>
        <v>720</v>
      </c>
      <c r="D62" s="6">
        <f>IFERROR(__xludf.DUMMYFUNCTION("""COMPUTED_VALUE"""),654.1)</f>
        <v>654.1</v>
      </c>
      <c r="E62" s="6">
        <f>IFERROR(__xludf.DUMMYFUNCTION("""COMPUTED_VALUE"""),706.45)</f>
        <v>706.45</v>
      </c>
      <c r="F62" s="6">
        <f>IFERROR(__xludf.DUMMYFUNCTION("""COMPUTED_VALUE"""),2.7794847E7)</f>
        <v>27794847</v>
      </c>
    </row>
    <row r="63">
      <c r="A63" s="7">
        <f>IFERROR(__xludf.DUMMYFUNCTION("""COMPUTED_VALUE"""),45625.64583333333)</f>
        <v>45625.64583</v>
      </c>
      <c r="B63" s="6">
        <f>IFERROR(__xludf.DUMMYFUNCTION("""COMPUTED_VALUE"""),722.85)</f>
        <v>722.85</v>
      </c>
      <c r="C63" s="6">
        <f>IFERROR(__xludf.DUMMYFUNCTION("""COMPUTED_VALUE"""),736.8)</f>
        <v>736.8</v>
      </c>
      <c r="D63" s="6">
        <f>IFERROR(__xludf.DUMMYFUNCTION("""COMPUTED_VALUE"""),681.8)</f>
        <v>681.8</v>
      </c>
      <c r="E63" s="6">
        <f>IFERROR(__xludf.DUMMYFUNCTION("""COMPUTED_VALUE"""),724.45)</f>
        <v>724.45</v>
      </c>
      <c r="F63" s="6">
        <f>IFERROR(__xludf.DUMMYFUNCTION("""COMPUTED_VALUE"""),6.8241504E7)</f>
        <v>68241504</v>
      </c>
    </row>
    <row r="64">
      <c r="A64" s="7">
        <f>IFERROR(__xludf.DUMMYFUNCTION("""COMPUTED_VALUE"""),45632.64583333333)</f>
        <v>45632.64583</v>
      </c>
      <c r="B64" s="6">
        <f>IFERROR(__xludf.DUMMYFUNCTION("""COMPUTED_VALUE"""),722.5)</f>
        <v>722.5</v>
      </c>
      <c r="C64" s="6">
        <f>IFERROR(__xludf.DUMMYFUNCTION("""COMPUTED_VALUE"""),750.0)</f>
        <v>750</v>
      </c>
      <c r="D64" s="6">
        <f>IFERROR(__xludf.DUMMYFUNCTION("""COMPUTED_VALUE"""),701.0)</f>
        <v>701</v>
      </c>
      <c r="E64" s="6">
        <f>IFERROR(__xludf.DUMMYFUNCTION("""COMPUTED_VALUE"""),730.5)</f>
        <v>730.5</v>
      </c>
      <c r="F64" s="6">
        <f>IFERROR(__xludf.DUMMYFUNCTION("""COMPUTED_VALUE"""),2.4365723E7)</f>
        <v>24365723</v>
      </c>
    </row>
    <row r="65">
      <c r="A65" s="7">
        <f>IFERROR(__xludf.DUMMYFUNCTION("""COMPUTED_VALUE"""),45639.64583333333)</f>
        <v>45639.64583</v>
      </c>
      <c r="B65" s="6">
        <f>IFERROR(__xludf.DUMMYFUNCTION("""COMPUTED_VALUE"""),731.85)</f>
        <v>731.85</v>
      </c>
      <c r="C65" s="6">
        <f>IFERROR(__xludf.DUMMYFUNCTION("""COMPUTED_VALUE"""),784.45)</f>
        <v>784.45</v>
      </c>
      <c r="D65" s="6">
        <f>IFERROR(__xludf.DUMMYFUNCTION("""COMPUTED_VALUE"""),731.85)</f>
        <v>731.85</v>
      </c>
      <c r="E65" s="6">
        <f>IFERROR(__xludf.DUMMYFUNCTION("""COMPUTED_VALUE"""),747.1)</f>
        <v>747.1</v>
      </c>
      <c r="F65" s="6">
        <f>IFERROR(__xludf.DUMMYFUNCTION("""COMPUTED_VALUE"""),3.3961653E7)</f>
        <v>33961653</v>
      </c>
    </row>
    <row r="66">
      <c r="A66" s="7">
        <f>IFERROR(__xludf.DUMMYFUNCTION("""COMPUTED_VALUE"""),45646.64583333333)</f>
        <v>45646.64583</v>
      </c>
      <c r="B66" s="6">
        <f>IFERROR(__xludf.DUMMYFUNCTION("""COMPUTED_VALUE"""),750.45)</f>
        <v>750.45</v>
      </c>
      <c r="C66" s="6">
        <f>IFERROR(__xludf.DUMMYFUNCTION("""COMPUTED_VALUE"""),768.85)</f>
        <v>768.85</v>
      </c>
      <c r="D66" s="6">
        <f>IFERROR(__xludf.DUMMYFUNCTION("""COMPUTED_VALUE"""),715.35)</f>
        <v>715.35</v>
      </c>
      <c r="E66" s="6">
        <f>IFERROR(__xludf.DUMMYFUNCTION("""COMPUTED_VALUE"""),719.2)</f>
        <v>719.2</v>
      </c>
      <c r="F66" s="6">
        <f>IFERROR(__xludf.DUMMYFUNCTION("""COMPUTED_VALUE"""),1.421021E7)</f>
        <v>14210210</v>
      </c>
    </row>
    <row r="67">
      <c r="A67" s="7">
        <f>IFERROR(__xludf.DUMMYFUNCTION("""COMPUTED_VALUE"""),45653.64583333333)</f>
        <v>45653.64583</v>
      </c>
      <c r="B67" s="6">
        <f>IFERROR(__xludf.DUMMYFUNCTION("""COMPUTED_VALUE"""),727.7)</f>
        <v>727.7</v>
      </c>
      <c r="C67" s="6">
        <f>IFERROR(__xludf.DUMMYFUNCTION("""COMPUTED_VALUE"""),738.9)</f>
        <v>738.9</v>
      </c>
      <c r="D67" s="6">
        <f>IFERROR(__xludf.DUMMYFUNCTION("""COMPUTED_VALUE"""),712.25)</f>
        <v>712.25</v>
      </c>
      <c r="E67" s="6">
        <f>IFERROR(__xludf.DUMMYFUNCTION("""COMPUTED_VALUE"""),721.65)</f>
        <v>721.65</v>
      </c>
      <c r="F67" s="6">
        <f>IFERROR(__xludf.DUMMYFUNCTION("""COMPUTED_VALUE"""),7841326.0)</f>
        <v>7841326</v>
      </c>
    </row>
    <row r="68">
      <c r="A68" s="7">
        <f>IFERROR(__xludf.DUMMYFUNCTION("""COMPUTED_VALUE"""),45660.64583333333)</f>
        <v>45660.64583</v>
      </c>
      <c r="B68" s="6">
        <f>IFERROR(__xludf.DUMMYFUNCTION("""COMPUTED_VALUE"""),723.75)</f>
        <v>723.75</v>
      </c>
      <c r="C68" s="6">
        <f>IFERROR(__xludf.DUMMYFUNCTION("""COMPUTED_VALUE"""),795.4)</f>
        <v>795.4</v>
      </c>
      <c r="D68" s="6">
        <f>IFERROR(__xludf.DUMMYFUNCTION("""COMPUTED_VALUE"""),715.0)</f>
        <v>715</v>
      </c>
      <c r="E68" s="6">
        <f>IFERROR(__xludf.DUMMYFUNCTION("""COMPUTED_VALUE"""),777.8)</f>
        <v>777.8</v>
      </c>
      <c r="F68" s="6">
        <f>IFERROR(__xludf.DUMMYFUNCTION("""COMPUTED_VALUE"""),2.9801884E7)</f>
        <v>29801884</v>
      </c>
    </row>
    <row r="69">
      <c r="A69" s="7">
        <f>IFERROR(__xludf.DUMMYFUNCTION("""COMPUTED_VALUE"""),45667.64583333333)</f>
        <v>45667.64583</v>
      </c>
      <c r="B69" s="6">
        <f>IFERROR(__xludf.DUMMYFUNCTION("""COMPUTED_VALUE"""),781.55)</f>
        <v>781.55</v>
      </c>
      <c r="C69" s="6">
        <f>IFERROR(__xludf.DUMMYFUNCTION("""COMPUTED_VALUE"""),793.45)</f>
        <v>793.45</v>
      </c>
      <c r="D69" s="6">
        <f>IFERROR(__xludf.DUMMYFUNCTION("""COMPUTED_VALUE"""),614.65)</f>
        <v>614.65</v>
      </c>
      <c r="E69" s="6">
        <f>IFERROR(__xludf.DUMMYFUNCTION("""COMPUTED_VALUE"""),626.75)</f>
        <v>626.75</v>
      </c>
      <c r="F69" s="6">
        <f>IFERROR(__xludf.DUMMYFUNCTION("""COMPUTED_VALUE"""),6.5984243E7)</f>
        <v>65984243</v>
      </c>
    </row>
    <row r="70">
      <c r="A70" s="7">
        <f>IFERROR(__xludf.DUMMYFUNCTION("""COMPUTED_VALUE"""),45674.64583333333)</f>
        <v>45674.64583</v>
      </c>
      <c r="B70" s="6">
        <f>IFERROR(__xludf.DUMMYFUNCTION("""COMPUTED_VALUE"""),600.0)</f>
        <v>600</v>
      </c>
      <c r="C70" s="6">
        <f>IFERROR(__xludf.DUMMYFUNCTION("""COMPUTED_VALUE"""),609.7)</f>
        <v>609.7</v>
      </c>
      <c r="D70" s="6">
        <f>IFERROR(__xludf.DUMMYFUNCTION("""COMPUTED_VALUE"""),498.0)</f>
        <v>498</v>
      </c>
      <c r="E70" s="6">
        <f>IFERROR(__xludf.DUMMYFUNCTION("""COMPUTED_VALUE"""),501.5)</f>
        <v>501.5</v>
      </c>
      <c r="F70" s="6">
        <f>IFERROR(__xludf.DUMMYFUNCTION("""COMPUTED_VALUE"""),1.33382621E8)</f>
        <v>133382621</v>
      </c>
    </row>
    <row r="71">
      <c r="A71" s="7">
        <f>IFERROR(__xludf.DUMMYFUNCTION("""COMPUTED_VALUE"""),45681.64583333333)</f>
        <v>45681.64583</v>
      </c>
      <c r="B71" s="6">
        <f>IFERROR(__xludf.DUMMYFUNCTION("""COMPUTED_VALUE"""),525.0)</f>
        <v>525</v>
      </c>
      <c r="C71" s="6">
        <f>IFERROR(__xludf.DUMMYFUNCTION("""COMPUTED_VALUE"""),549.0)</f>
        <v>549</v>
      </c>
      <c r="D71" s="6">
        <f>IFERROR(__xludf.DUMMYFUNCTION("""COMPUTED_VALUE"""),455.25)</f>
        <v>455.25</v>
      </c>
      <c r="E71" s="6">
        <f>IFERROR(__xludf.DUMMYFUNCTION("""COMPUTED_VALUE"""),458.75)</f>
        <v>458.75</v>
      </c>
      <c r="F71" s="6">
        <f>IFERROR(__xludf.DUMMYFUNCTION("""COMPUTED_VALUE"""),1.88738756E8)</f>
        <v>188738756</v>
      </c>
    </row>
    <row r="72">
      <c r="A72" s="7">
        <f>IFERROR(__xludf.DUMMYFUNCTION("""COMPUTED_VALUE"""),45695.64583333333)</f>
        <v>45695.64583</v>
      </c>
      <c r="B72" s="6">
        <f>IFERROR(__xludf.DUMMYFUNCTION("""COMPUTED_VALUE"""),502.45)</f>
        <v>502.45</v>
      </c>
      <c r="C72" s="6">
        <f>IFERROR(__xludf.DUMMYFUNCTION("""COMPUTED_VALUE"""),594.0)</f>
        <v>594</v>
      </c>
      <c r="D72" s="6">
        <f>IFERROR(__xludf.DUMMYFUNCTION("""COMPUTED_VALUE"""),485.1)</f>
        <v>485.1</v>
      </c>
      <c r="E72" s="6">
        <f>IFERROR(__xludf.DUMMYFUNCTION("""COMPUTED_VALUE"""),539.4)</f>
        <v>539.4</v>
      </c>
      <c r="F72" s="6">
        <f>IFERROR(__xludf.DUMMYFUNCTION("""COMPUTED_VALUE"""),1.68263751E8)</f>
        <v>168263751</v>
      </c>
    </row>
    <row r="73">
      <c r="A73" s="7">
        <f>IFERROR(__xludf.DUMMYFUNCTION("""COMPUTED_VALUE"""),45702.64583333333)</f>
        <v>45702.64583</v>
      </c>
      <c r="B73" s="6">
        <f>IFERROR(__xludf.DUMMYFUNCTION("""COMPUTED_VALUE"""),537.05)</f>
        <v>537.05</v>
      </c>
      <c r="C73" s="6">
        <f>IFERROR(__xludf.DUMMYFUNCTION("""COMPUTED_VALUE"""),545.0)</f>
        <v>545</v>
      </c>
      <c r="D73" s="6">
        <f>IFERROR(__xludf.DUMMYFUNCTION("""COMPUTED_VALUE"""),480.15)</f>
        <v>480.15</v>
      </c>
      <c r="E73" s="6">
        <f>IFERROR(__xludf.DUMMYFUNCTION("""COMPUTED_VALUE"""),488.4)</f>
        <v>488.4</v>
      </c>
      <c r="F73" s="6">
        <f>IFERROR(__xludf.DUMMYFUNCTION("""COMPUTED_VALUE"""),5.5273557E7)</f>
        <v>55273557</v>
      </c>
    </row>
    <row r="74">
      <c r="A74" s="7">
        <f>IFERROR(__xludf.DUMMYFUNCTION("""COMPUTED_VALUE"""),45709.64583333333)</f>
        <v>45709.64583</v>
      </c>
      <c r="B74" s="6">
        <f>IFERROR(__xludf.DUMMYFUNCTION("""COMPUTED_VALUE"""),484.45)</f>
        <v>484.45</v>
      </c>
      <c r="C74" s="6">
        <f>IFERROR(__xludf.DUMMYFUNCTION("""COMPUTED_VALUE"""),509.95)</f>
        <v>509.95</v>
      </c>
      <c r="D74" s="6">
        <f>IFERROR(__xludf.DUMMYFUNCTION("""COMPUTED_VALUE"""),474.8)</f>
        <v>474.8</v>
      </c>
      <c r="E74" s="6">
        <f>IFERROR(__xludf.DUMMYFUNCTION("""COMPUTED_VALUE"""),485.25)</f>
        <v>485.25</v>
      </c>
      <c r="F74" s="6">
        <f>IFERROR(__xludf.DUMMYFUNCTION("""COMPUTED_VALUE"""),6.0825487E7)</f>
        <v>60825487</v>
      </c>
    </row>
    <row r="75">
      <c r="A75" s="7">
        <f>IFERROR(__xludf.DUMMYFUNCTION("""COMPUTED_VALUE"""),45716.64583333333)</f>
        <v>45716.64583</v>
      </c>
      <c r="B75" s="6">
        <f>IFERROR(__xludf.DUMMYFUNCTION("""COMPUTED_VALUE"""),482.95)</f>
        <v>482.95</v>
      </c>
      <c r="C75" s="6">
        <f>IFERROR(__xludf.DUMMYFUNCTION("""COMPUTED_VALUE"""),487.9)</f>
        <v>487.9</v>
      </c>
      <c r="D75" s="6">
        <f>IFERROR(__xludf.DUMMYFUNCTION("""COMPUTED_VALUE"""),452.55)</f>
        <v>452.55</v>
      </c>
      <c r="E75" s="6">
        <f>IFERROR(__xludf.DUMMYFUNCTION("""COMPUTED_VALUE"""),462.25)</f>
        <v>462.25</v>
      </c>
      <c r="F75" s="6">
        <f>IFERROR(__xludf.DUMMYFUNCTION("""COMPUTED_VALUE"""),3.0454016E7)</f>
        <v>30454016</v>
      </c>
    </row>
    <row r="76">
      <c r="A76" s="7">
        <f>IFERROR(__xludf.DUMMYFUNCTION("""COMPUTED_VALUE"""),45723.64583333333)</f>
        <v>45723.64583</v>
      </c>
      <c r="B76" s="6">
        <f>IFERROR(__xludf.DUMMYFUNCTION("""COMPUTED_VALUE"""),464.05)</f>
        <v>464.05</v>
      </c>
      <c r="C76" s="6">
        <f>IFERROR(__xludf.DUMMYFUNCTION("""COMPUTED_VALUE"""),475.5)</f>
        <v>475.5</v>
      </c>
      <c r="D76" s="6">
        <f>IFERROR(__xludf.DUMMYFUNCTION("""COMPUTED_VALUE"""),426.0)</f>
        <v>426</v>
      </c>
      <c r="E76" s="6">
        <f>IFERROR(__xludf.DUMMYFUNCTION("""COMPUTED_VALUE"""),431.7)</f>
        <v>431.7</v>
      </c>
      <c r="F76" s="6">
        <f>IFERROR(__xludf.DUMMYFUNCTION("""COMPUTED_VALUE"""),4.5469952E7)</f>
        <v>45469952</v>
      </c>
    </row>
    <row r="77">
      <c r="A77" s="7">
        <f>IFERROR(__xludf.DUMMYFUNCTION("""COMPUTED_VALUE"""),45729.64583333333)</f>
        <v>45729.64583</v>
      </c>
      <c r="B77" s="6">
        <f>IFERROR(__xludf.DUMMYFUNCTION("""COMPUTED_VALUE"""),438.0)</f>
        <v>438</v>
      </c>
      <c r="C77" s="6">
        <f>IFERROR(__xludf.DUMMYFUNCTION("""COMPUTED_VALUE"""),439.1)</f>
        <v>439.1</v>
      </c>
      <c r="D77" s="6">
        <f>IFERROR(__xludf.DUMMYFUNCTION("""COMPUTED_VALUE"""),399.4)</f>
        <v>399.4</v>
      </c>
      <c r="E77" s="6">
        <f>IFERROR(__xludf.DUMMYFUNCTION("""COMPUTED_VALUE"""),430.9)</f>
        <v>430.9</v>
      </c>
      <c r="F77" s="6">
        <f>IFERROR(__xludf.DUMMYFUNCTION("""COMPUTED_VALUE"""),7.2050909E7)</f>
        <v>72050909</v>
      </c>
    </row>
    <row r="78">
      <c r="A78" s="7">
        <f>IFERROR(__xludf.DUMMYFUNCTION("""COMPUTED_VALUE"""),45737.64583333333)</f>
        <v>45737.64583</v>
      </c>
      <c r="B78" s="6">
        <f>IFERROR(__xludf.DUMMYFUNCTION("""COMPUTED_VALUE"""),429.95)</f>
        <v>429.95</v>
      </c>
      <c r="C78" s="6">
        <f>IFERROR(__xludf.DUMMYFUNCTION("""COMPUTED_VALUE"""),484.0)</f>
        <v>484</v>
      </c>
      <c r="D78" s="6">
        <f>IFERROR(__xludf.DUMMYFUNCTION("""COMPUTED_VALUE"""),428.15)</f>
        <v>428.15</v>
      </c>
      <c r="E78" s="6">
        <f>IFERROR(__xludf.DUMMYFUNCTION("""COMPUTED_VALUE"""),471.2)</f>
        <v>471.2</v>
      </c>
      <c r="F78" s="6">
        <f>IFERROR(__xludf.DUMMYFUNCTION("""COMPUTED_VALUE"""),3.6939498E7)</f>
        <v>36939498</v>
      </c>
    </row>
    <row r="79">
      <c r="A79" s="7">
        <f>IFERROR(__xludf.DUMMYFUNCTION("""COMPUTED_VALUE"""),45744.64583333333)</f>
        <v>45744.64583</v>
      </c>
      <c r="B79" s="6">
        <f>IFERROR(__xludf.DUMMYFUNCTION("""COMPUTED_VALUE"""),474.05)</f>
        <v>474.05</v>
      </c>
      <c r="C79" s="6">
        <f>IFERROR(__xludf.DUMMYFUNCTION("""COMPUTED_VALUE"""),500.7)</f>
        <v>500.7</v>
      </c>
      <c r="D79" s="6">
        <f>IFERROR(__xludf.DUMMYFUNCTION("""COMPUTED_VALUE"""),462.9)</f>
        <v>462.9</v>
      </c>
      <c r="E79" s="6">
        <f>IFERROR(__xludf.DUMMYFUNCTION("""COMPUTED_VALUE"""),467.25)</f>
        <v>467.25</v>
      </c>
      <c r="F79" s="6">
        <f>IFERROR(__xludf.DUMMYFUNCTION("""COMPUTED_VALUE"""),3.8587626E7)</f>
        <v>38587626</v>
      </c>
    </row>
    <row r="80">
      <c r="A80" s="7">
        <f>IFERROR(__xludf.DUMMYFUNCTION("""COMPUTED_VALUE"""),45751.64583333333)</f>
        <v>45751.64583</v>
      </c>
      <c r="B80" s="6">
        <f>IFERROR(__xludf.DUMMYFUNCTION("""COMPUTED_VALUE"""),467.5)</f>
        <v>467.5</v>
      </c>
      <c r="C80" s="6">
        <f>IFERROR(__xludf.DUMMYFUNCTION("""COMPUTED_VALUE"""),518.4)</f>
        <v>518.4</v>
      </c>
      <c r="D80" s="6">
        <f>IFERROR(__xludf.DUMMYFUNCTION("""COMPUTED_VALUE"""),452.6)</f>
        <v>452.6</v>
      </c>
      <c r="E80" s="6">
        <f>IFERROR(__xludf.DUMMYFUNCTION("""COMPUTED_VALUE"""),487.15)</f>
        <v>487.15</v>
      </c>
      <c r="F80" s="6">
        <f>IFERROR(__xludf.DUMMYFUNCTION("""COMPUTED_VALUE"""),6.8028784E7)</f>
        <v>68028784</v>
      </c>
    </row>
    <row r="81">
      <c r="A81" s="7">
        <f>IFERROR(__xludf.DUMMYFUNCTION("""COMPUTED_VALUE"""),45758.64583333333)</f>
        <v>45758.64583</v>
      </c>
      <c r="B81" s="6">
        <f>IFERROR(__xludf.DUMMYFUNCTION("""COMPUTED_VALUE"""),443.05)</f>
        <v>443.05</v>
      </c>
      <c r="C81" s="6">
        <f>IFERROR(__xludf.DUMMYFUNCTION("""COMPUTED_VALUE"""),517.2)</f>
        <v>517.2</v>
      </c>
      <c r="D81" s="6">
        <f>IFERROR(__xludf.DUMMYFUNCTION("""COMPUTED_VALUE"""),443.05)</f>
        <v>443.05</v>
      </c>
      <c r="E81" s="6">
        <f>IFERROR(__xludf.DUMMYFUNCTION("""COMPUTED_VALUE"""),510.75)</f>
        <v>510.75</v>
      </c>
      <c r="F81" s="6">
        <f>IFERROR(__xludf.DUMMYFUNCTION("""COMPUTED_VALUE"""),3.1821671E7)</f>
        <v>31821671</v>
      </c>
    </row>
    <row r="82">
      <c r="A82" s="7">
        <f>IFERROR(__xludf.DUMMYFUNCTION("""COMPUTED_VALUE"""),45764.64583333333)</f>
        <v>45764.64583</v>
      </c>
      <c r="B82" s="6">
        <f>IFERROR(__xludf.DUMMYFUNCTION("""COMPUTED_VALUE"""),518.05)</f>
        <v>518.05</v>
      </c>
      <c r="C82" s="6">
        <f>IFERROR(__xludf.DUMMYFUNCTION("""COMPUTED_VALUE"""),533.3)</f>
        <v>533.3</v>
      </c>
      <c r="D82" s="6">
        <f>IFERROR(__xludf.DUMMYFUNCTION("""COMPUTED_VALUE"""),511.45)</f>
        <v>511.45</v>
      </c>
      <c r="E82" s="6">
        <f>IFERROR(__xludf.DUMMYFUNCTION("""COMPUTED_VALUE"""),524.65)</f>
        <v>524.65</v>
      </c>
      <c r="F82" s="6">
        <f>IFERROR(__xludf.DUMMYFUNCTION("""COMPUTED_VALUE"""),1.7521765E7)</f>
        <v>17521765</v>
      </c>
    </row>
    <row r="83">
      <c r="A83" s="7">
        <f>IFERROR(__xludf.DUMMYFUNCTION("""COMPUTED_VALUE"""),45772.64583333333)</f>
        <v>45772.64583</v>
      </c>
      <c r="B83" s="6">
        <f>IFERROR(__xludf.DUMMYFUNCTION("""COMPUTED_VALUE"""),527.75)</f>
        <v>527.75</v>
      </c>
      <c r="C83" s="6">
        <f>IFERROR(__xludf.DUMMYFUNCTION("""COMPUTED_VALUE"""),545.4)</f>
        <v>545.4</v>
      </c>
      <c r="D83" s="6">
        <f>IFERROR(__xludf.DUMMYFUNCTION("""COMPUTED_VALUE"""),495.2)</f>
        <v>495.2</v>
      </c>
      <c r="E83" s="6">
        <f>IFERROR(__xludf.DUMMYFUNCTION("""COMPUTED_VALUE"""),501.25)</f>
        <v>501.25</v>
      </c>
      <c r="F83" s="6">
        <f>IFERROR(__xludf.DUMMYFUNCTION("""COMPUTED_VALUE"""),2.6346395E7)</f>
        <v>26346395</v>
      </c>
    </row>
    <row r="84">
      <c r="A84" s="7">
        <f>IFERROR(__xludf.DUMMYFUNCTION("""COMPUTED_VALUE"""),45779.64583333333)</f>
        <v>45779.64583</v>
      </c>
      <c r="B84" s="6">
        <f>IFERROR(__xludf.DUMMYFUNCTION("""COMPUTED_VALUE"""),501.2)</f>
        <v>501.2</v>
      </c>
      <c r="C84" s="6">
        <f>IFERROR(__xludf.DUMMYFUNCTION("""COMPUTED_VALUE"""),525.6)</f>
        <v>525.6</v>
      </c>
      <c r="D84" s="6">
        <f>IFERROR(__xludf.DUMMYFUNCTION("""COMPUTED_VALUE"""),501.0)</f>
        <v>501</v>
      </c>
      <c r="E84" s="6">
        <f>IFERROR(__xludf.DUMMYFUNCTION("""COMPUTED_VALUE"""),508.45)</f>
        <v>508.45</v>
      </c>
      <c r="F84" s="6">
        <f>IFERROR(__xludf.DUMMYFUNCTION("""COMPUTED_VALUE"""),1.6597588E7)</f>
        <v>16597588</v>
      </c>
    </row>
    <row r="85">
      <c r="A85" s="7">
        <f>IFERROR(__xludf.DUMMYFUNCTION("""COMPUTED_VALUE"""),45786.64583333333)</f>
        <v>45786.64583</v>
      </c>
      <c r="B85" s="6">
        <f>IFERROR(__xludf.DUMMYFUNCTION("""COMPUTED_VALUE"""),512.9)</f>
        <v>512.9</v>
      </c>
      <c r="C85" s="6">
        <f>IFERROR(__xludf.DUMMYFUNCTION("""COMPUTED_VALUE"""),534.8)</f>
        <v>534.8</v>
      </c>
      <c r="D85" s="6">
        <f>IFERROR(__xludf.DUMMYFUNCTION("""COMPUTED_VALUE"""),493.65)</f>
        <v>493.65</v>
      </c>
      <c r="E85" s="6">
        <f>IFERROR(__xludf.DUMMYFUNCTION("""COMPUTED_VALUE"""),519.15)</f>
        <v>519.15</v>
      </c>
      <c r="F85" s="6">
        <f>IFERROR(__xludf.DUMMYFUNCTION("""COMPUTED_VALUE"""),2.899676E7)</f>
        <v>28996760</v>
      </c>
    </row>
    <row r="86">
      <c r="A86" s="7">
        <f>IFERROR(__xludf.DUMMYFUNCTION("""COMPUTED_VALUE"""),45793.64583333333)</f>
        <v>45793.64583</v>
      </c>
      <c r="B86" s="6">
        <f>IFERROR(__xludf.DUMMYFUNCTION("""COMPUTED_VALUE"""),535.0)</f>
        <v>535</v>
      </c>
      <c r="C86" s="6">
        <f>IFERROR(__xludf.DUMMYFUNCTION("""COMPUTED_VALUE"""),565.0)</f>
        <v>565</v>
      </c>
      <c r="D86" s="6">
        <f>IFERROR(__xludf.DUMMYFUNCTION("""COMPUTED_VALUE"""),530.05)</f>
        <v>530.05</v>
      </c>
      <c r="E86" s="6">
        <f>IFERROR(__xludf.DUMMYFUNCTION("""COMPUTED_VALUE"""),560.4)</f>
        <v>560.4</v>
      </c>
      <c r="F86" s="6">
        <f>IFERROR(__xludf.DUMMYFUNCTION("""COMPUTED_VALUE"""),2.330563E7)</f>
        <v>23305630</v>
      </c>
    </row>
    <row r="87">
      <c r="A87" s="7">
        <f>IFERROR(__xludf.DUMMYFUNCTION("""COMPUTED_VALUE"""),45800.64583333333)</f>
        <v>45800.64583</v>
      </c>
      <c r="B87" s="6">
        <f>IFERROR(__xludf.DUMMYFUNCTION("""COMPUTED_VALUE"""),560.4)</f>
        <v>560.4</v>
      </c>
      <c r="C87" s="6">
        <f>IFERROR(__xludf.DUMMYFUNCTION("""COMPUTED_VALUE"""),565.0)</f>
        <v>565</v>
      </c>
      <c r="D87" s="6">
        <f>IFERROR(__xludf.DUMMYFUNCTION("""COMPUTED_VALUE"""),542.7)</f>
        <v>542.7</v>
      </c>
      <c r="E87" s="6">
        <f>IFERROR(__xludf.DUMMYFUNCTION("""COMPUTED_VALUE"""),553.6)</f>
        <v>553.6</v>
      </c>
      <c r="F87" s="6">
        <f>IFERROR(__xludf.DUMMYFUNCTION("""COMPUTED_VALUE"""),1.1064087E7)</f>
        <v>11064087</v>
      </c>
    </row>
    <row r="88">
      <c r="A88" s="7">
        <f>IFERROR(__xludf.DUMMYFUNCTION("""COMPUTED_VALUE"""),45807.64583333333)</f>
        <v>45807.64583</v>
      </c>
      <c r="B88" s="6">
        <f>IFERROR(__xludf.DUMMYFUNCTION("""COMPUTED_VALUE"""),553.5)</f>
        <v>553.5</v>
      </c>
      <c r="C88" s="6">
        <f>IFERROR(__xludf.DUMMYFUNCTION("""COMPUTED_VALUE"""),575.9)</f>
        <v>575.9</v>
      </c>
      <c r="D88" s="6">
        <f>IFERROR(__xludf.DUMMYFUNCTION("""COMPUTED_VALUE"""),553.15)</f>
        <v>553.15</v>
      </c>
      <c r="E88" s="6">
        <f>IFERROR(__xludf.DUMMYFUNCTION("""COMPUTED_VALUE"""),560.4)</f>
        <v>560.4</v>
      </c>
      <c r="F88" s="6">
        <f>IFERROR(__xludf.DUMMYFUNCTION("""COMPUTED_VALUE"""),1.5847938E7)</f>
        <v>15847938</v>
      </c>
    </row>
    <row r="89">
      <c r="A89" s="7">
        <f>IFERROR(__xludf.DUMMYFUNCTION("""COMPUTED_VALUE"""),45814.64583333333)</f>
        <v>45814.64583</v>
      </c>
      <c r="B89" s="6">
        <f>IFERROR(__xludf.DUMMYFUNCTION("""COMPUTED_VALUE"""),560.95)</f>
        <v>560.95</v>
      </c>
      <c r="C89" s="6">
        <f>IFERROR(__xludf.DUMMYFUNCTION("""COMPUTED_VALUE"""),567.2)</f>
        <v>567.2</v>
      </c>
      <c r="D89" s="6">
        <f>IFERROR(__xludf.DUMMYFUNCTION("""COMPUTED_VALUE"""),550.2)</f>
        <v>550.2</v>
      </c>
      <c r="E89" s="6">
        <f>IFERROR(__xludf.DUMMYFUNCTION("""COMPUTED_VALUE"""),563.1)</f>
        <v>563.1</v>
      </c>
      <c r="F89" s="6">
        <f>IFERROR(__xludf.DUMMYFUNCTION("""COMPUTED_VALUE"""),1.2027052E7)</f>
        <v>12027052</v>
      </c>
    </row>
    <row r="90">
      <c r="A90" s="7">
        <f>IFERROR(__xludf.DUMMYFUNCTION("""COMPUTED_VALUE"""),45821.64583333333)</f>
        <v>45821.64583</v>
      </c>
      <c r="B90" s="6">
        <f>IFERROR(__xludf.DUMMYFUNCTION("""COMPUTED_VALUE"""),563.9)</f>
        <v>563.9</v>
      </c>
      <c r="C90" s="6">
        <f>IFERROR(__xludf.DUMMYFUNCTION("""COMPUTED_VALUE"""),566.05)</f>
        <v>566.05</v>
      </c>
      <c r="D90" s="6">
        <f>IFERROR(__xludf.DUMMYFUNCTION("""COMPUTED_VALUE"""),507.75)</f>
        <v>507.75</v>
      </c>
      <c r="E90" s="6">
        <f>IFERROR(__xludf.DUMMYFUNCTION("""COMPUTED_VALUE"""),518.95)</f>
        <v>518.95</v>
      </c>
      <c r="F90" s="6">
        <f>IFERROR(__xludf.DUMMYFUNCTION("""COMPUTED_VALUE"""),1.5943011E7)</f>
        <v>15943011</v>
      </c>
    </row>
    <row r="91">
      <c r="A91" s="7">
        <f>IFERROR(__xludf.DUMMYFUNCTION("""COMPUTED_VALUE"""),45828.64583333333)</f>
        <v>45828.64583</v>
      </c>
      <c r="B91" s="6">
        <f>IFERROR(__xludf.DUMMYFUNCTION("""COMPUTED_VALUE"""),518.0)</f>
        <v>518</v>
      </c>
      <c r="C91" s="6">
        <f>IFERROR(__xludf.DUMMYFUNCTION("""COMPUTED_VALUE"""),525.95)</f>
        <v>525.95</v>
      </c>
      <c r="D91" s="6">
        <f>IFERROR(__xludf.DUMMYFUNCTION("""COMPUTED_VALUE"""),506.6)</f>
        <v>506.6</v>
      </c>
      <c r="E91" s="6">
        <f>IFERROR(__xludf.DUMMYFUNCTION("""COMPUTED_VALUE"""),518.35)</f>
        <v>518.35</v>
      </c>
      <c r="F91" s="6">
        <f>IFERROR(__xludf.DUMMYFUNCTION("""COMPUTED_VALUE"""),9946292.0)</f>
        <v>9946292</v>
      </c>
    </row>
    <row r="92">
      <c r="A92" s="7">
        <f>IFERROR(__xludf.DUMMYFUNCTION("""COMPUTED_VALUE"""),45835.64583333333)</f>
        <v>45835.64583</v>
      </c>
      <c r="B92" s="6">
        <f>IFERROR(__xludf.DUMMYFUNCTION("""COMPUTED_VALUE"""),512.1)</f>
        <v>512.1</v>
      </c>
      <c r="C92" s="6">
        <f>IFERROR(__xludf.DUMMYFUNCTION("""COMPUTED_VALUE"""),557.45)</f>
        <v>557.45</v>
      </c>
      <c r="D92" s="6">
        <f>IFERROR(__xludf.DUMMYFUNCTION("""COMPUTED_VALUE"""),502.35)</f>
        <v>502.35</v>
      </c>
      <c r="E92" s="6">
        <f>IFERROR(__xludf.DUMMYFUNCTION("""COMPUTED_VALUE"""),544.75)</f>
        <v>544.75</v>
      </c>
      <c r="F92" s="6">
        <f>IFERROR(__xludf.DUMMYFUNCTION("""COMPUTED_VALUE"""),2.8938756E7)</f>
        <v>28938756</v>
      </c>
    </row>
    <row r="93">
      <c r="A93" s="7">
        <f>IFERROR(__xludf.DUMMYFUNCTION("""COMPUTED_VALUE"""),45842.64583333333)</f>
        <v>45842.64583</v>
      </c>
      <c r="B93" s="6">
        <f>IFERROR(__xludf.DUMMYFUNCTION("""COMPUTED_VALUE"""),546.0)</f>
        <v>546</v>
      </c>
      <c r="C93" s="6">
        <f>IFERROR(__xludf.DUMMYFUNCTION("""COMPUTED_VALUE"""),593.6)</f>
        <v>593.6</v>
      </c>
      <c r="D93" s="6">
        <f>IFERROR(__xludf.DUMMYFUNCTION("""COMPUTED_VALUE"""),542.25)</f>
        <v>542.25</v>
      </c>
      <c r="E93" s="6">
        <f>IFERROR(__xludf.DUMMYFUNCTION("""COMPUTED_VALUE"""),585.65)</f>
        <v>585.65</v>
      </c>
      <c r="F93" s="6">
        <f>IFERROR(__xludf.DUMMYFUNCTION("""COMPUTED_VALUE"""),2.6595703E7)</f>
        <v>26595703</v>
      </c>
    </row>
    <row r="94">
      <c r="A94" s="7">
        <f>IFERROR(__xludf.DUMMYFUNCTION("""COMPUTED_VALUE"""),45849.64583333333)</f>
        <v>45849.64583</v>
      </c>
      <c r="B94" s="6">
        <f>IFERROR(__xludf.DUMMYFUNCTION("""COMPUTED_VALUE"""),587.4)</f>
        <v>587.4</v>
      </c>
      <c r="C94" s="6">
        <f>IFERROR(__xludf.DUMMYFUNCTION("""COMPUTED_VALUE"""),592.95)</f>
        <v>592.95</v>
      </c>
      <c r="D94" s="6">
        <f>IFERROR(__xludf.DUMMYFUNCTION("""COMPUTED_VALUE"""),562.95)</f>
        <v>562.95</v>
      </c>
      <c r="E94" s="6">
        <f>IFERROR(__xludf.DUMMYFUNCTION("""COMPUTED_VALUE"""),582.15)</f>
        <v>582.15</v>
      </c>
      <c r="F94" s="6">
        <f>IFERROR(__xludf.DUMMYFUNCTION("""COMPUTED_VALUE"""),2.2236836E7)</f>
        <v>22236836</v>
      </c>
    </row>
    <row r="95">
      <c r="A95" s="7">
        <f>IFERROR(__xludf.DUMMYFUNCTION("""COMPUTED_VALUE"""),45856.64583333333)</f>
        <v>45856.64583</v>
      </c>
      <c r="B95" s="6">
        <f>IFERROR(__xludf.DUMMYFUNCTION("""COMPUTED_VALUE"""),586.2)</f>
        <v>586.2</v>
      </c>
      <c r="C95" s="6">
        <f>IFERROR(__xludf.DUMMYFUNCTION("""COMPUTED_VALUE"""),609.5)</f>
        <v>609.5</v>
      </c>
      <c r="D95" s="6">
        <f>IFERROR(__xludf.DUMMYFUNCTION("""COMPUTED_VALUE"""),580.2)</f>
        <v>580.2</v>
      </c>
      <c r="E95" s="6">
        <f>IFERROR(__xludf.DUMMYFUNCTION("""COMPUTED_VALUE"""),590.15)</f>
        <v>590.15</v>
      </c>
      <c r="F95" s="6">
        <f>IFERROR(__xludf.DUMMYFUNCTION("""COMPUTED_VALUE"""),1.7200951E7)</f>
        <v>17200951</v>
      </c>
    </row>
    <row r="96">
      <c r="A96" s="7">
        <f>IFERROR(__xludf.DUMMYFUNCTION("""COMPUTED_VALUE"""),45863.64583333333)</f>
        <v>45863.64583</v>
      </c>
      <c r="B96" s="6">
        <f>IFERROR(__xludf.DUMMYFUNCTION("""COMPUTED_VALUE"""),591.0)</f>
        <v>591</v>
      </c>
      <c r="C96" s="6">
        <f>IFERROR(__xludf.DUMMYFUNCTION("""COMPUTED_VALUE"""),617.7)</f>
        <v>617.7</v>
      </c>
      <c r="D96" s="6">
        <f>IFERROR(__xludf.DUMMYFUNCTION("""COMPUTED_VALUE"""),583.5)</f>
        <v>583.5</v>
      </c>
      <c r="E96" s="6">
        <f>IFERROR(__xludf.DUMMYFUNCTION("""COMPUTED_VALUE"""),594.0)</f>
        <v>594</v>
      </c>
      <c r="F96" s="6">
        <f>IFERROR(__xludf.DUMMYFUNCTION("""COMPUTED_VALUE"""),2.0223969E7)</f>
        <v>20223969</v>
      </c>
    </row>
    <row r="97">
      <c r="A97" s="7">
        <f>IFERROR(__xludf.DUMMYFUNCTION("""COMPUTED_VALUE"""),45870.64583333333)</f>
        <v>45870.64583</v>
      </c>
      <c r="B97" s="6">
        <f>IFERROR(__xludf.DUMMYFUNCTION("""COMPUTED_VALUE"""),590.9)</f>
        <v>590.9</v>
      </c>
      <c r="C97" s="6">
        <f>IFERROR(__xludf.DUMMYFUNCTION("""COMPUTED_VALUE"""),610.0)</f>
        <v>610</v>
      </c>
      <c r="D97" s="6">
        <f>IFERROR(__xludf.DUMMYFUNCTION("""COMPUTED_VALUE"""),580.8)</f>
        <v>580.8</v>
      </c>
      <c r="E97" s="6">
        <f>IFERROR(__xludf.DUMMYFUNCTION("""COMPUTED_VALUE"""),582.85)</f>
        <v>582.85</v>
      </c>
      <c r="F97" s="6">
        <f>IFERROR(__xludf.DUMMYFUNCTION("""COMPUTED_VALUE"""),1.5323477E7)</f>
        <v>15323477</v>
      </c>
    </row>
    <row r="98">
      <c r="A98" s="7">
        <f>IFERROR(__xludf.DUMMYFUNCTION("""COMPUTED_VALUE"""),45877.64583333333)</f>
        <v>45877.64583</v>
      </c>
      <c r="B98" s="6">
        <f>IFERROR(__xludf.DUMMYFUNCTION("""COMPUTED_VALUE"""),583.0)</f>
        <v>583</v>
      </c>
      <c r="C98" s="6">
        <f>IFERROR(__xludf.DUMMYFUNCTION("""COMPUTED_VALUE"""),616.0)</f>
        <v>616</v>
      </c>
      <c r="D98" s="6">
        <f>IFERROR(__xludf.DUMMYFUNCTION("""COMPUTED_VALUE"""),515.55)</f>
        <v>515.55</v>
      </c>
      <c r="E98" s="6">
        <f>IFERROR(__xludf.DUMMYFUNCTION("""COMPUTED_VALUE"""),528.1)</f>
        <v>528.1</v>
      </c>
      <c r="F98" s="6">
        <f>IFERROR(__xludf.DUMMYFUNCTION("""COMPUTED_VALUE"""),5.0356306E7)</f>
        <v>50356306</v>
      </c>
    </row>
    <row r="99">
      <c r="A99" s="7">
        <f>IFERROR(__xludf.DUMMYFUNCTION("""COMPUTED_VALUE"""),45883.64583333333)</f>
        <v>45883.64583</v>
      </c>
      <c r="B99" s="6">
        <f>IFERROR(__xludf.DUMMYFUNCTION("""COMPUTED_VALUE"""),528.1)</f>
        <v>528.1</v>
      </c>
      <c r="C99" s="6">
        <f>IFERROR(__xludf.DUMMYFUNCTION("""COMPUTED_VALUE"""),546.3)</f>
        <v>546.3</v>
      </c>
      <c r="D99" s="6">
        <f>IFERROR(__xludf.DUMMYFUNCTION("""COMPUTED_VALUE"""),511.45)</f>
        <v>511.45</v>
      </c>
      <c r="E99" s="6">
        <f>IFERROR(__xludf.DUMMYFUNCTION("""COMPUTED_VALUE"""),533.5)</f>
        <v>533.5</v>
      </c>
      <c r="F99" s="6">
        <f>IFERROR(__xludf.DUMMYFUNCTION("""COMPUTED_VALUE"""),3.7778676E7)</f>
        <v>37778676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IFERROR(__xludf.DUMMYFUNCTION("""COMPUTED_VALUE"""),535.0)</f>
        <v>535</v>
      </c>
      <c r="C100" s="6">
        <f>IFERROR(__xludf.DUMMYFUNCTION("""COMPUTED_VALUE"""),539.9)</f>
        <v>539.9</v>
      </c>
      <c r="D100" s="6">
        <f>IFERROR(__xludf.DUMMYFUNCTION("""COMPUTED_VALUE"""),503.8)</f>
        <v>503.8</v>
      </c>
      <c r="E100" s="6">
        <f>IFERROR(__xludf.DUMMYFUNCTION("""COMPUTED_VALUE"""),511.15)</f>
        <v>511.15</v>
      </c>
      <c r="F100" s="6">
        <f>IFERROR(__xludf.DUMMYFUNCTION("""COMPUTED_VALUE"""),3.2449561E7)</f>
        <v>32449561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IFERROR(__xludf.DUMMYFUNCTION("""COMPUTED_VALUE"""),512.0)</f>
        <v>512</v>
      </c>
      <c r="C101" s="6">
        <f>IFERROR(__xludf.DUMMYFUNCTION("""COMPUTED_VALUE"""),515.0)</f>
        <v>515</v>
      </c>
      <c r="D101" s="6">
        <f>IFERROR(__xludf.DUMMYFUNCTION("""COMPUTED_VALUE"""),495.1)</f>
        <v>495.1</v>
      </c>
      <c r="E101" s="6">
        <f>IFERROR(__xludf.DUMMYFUNCTION("""COMPUTED_VALUE"""),498.4)</f>
        <v>498.4</v>
      </c>
      <c r="F101" s="6">
        <f>IFERROR(__xludf.DUMMYFUNCTION("""COMPUTED_VALUE"""),6.8830495E7)</f>
        <v>68830495</v>
      </c>
    </row>
  </sheetData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IFERROR(__xludf.DUMMYFUNCTION("GOOGLEFINANCE(""NSE:KOTAKBANK"",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IFERROR(__xludf.DUMMYFUNCTION("""COMPUTED_VALUE"""),1778.85)</f>
        <v>1778.85</v>
      </c>
      <c r="C2" s="6">
        <f>IFERROR(__xludf.DUMMYFUNCTION("""COMPUTED_VALUE"""),1797.55)</f>
        <v>1797.55</v>
      </c>
      <c r="D2" s="6">
        <f>IFERROR(__xludf.DUMMYFUNCTION("""COMPUTED_VALUE"""),1754.3)</f>
        <v>1754.3</v>
      </c>
      <c r="E2" s="6">
        <f>IFERROR(__xludf.DUMMYFUNCTION("""COMPUTED_VALUE"""),1771.1)</f>
        <v>1771.1</v>
      </c>
      <c r="F2" s="6">
        <f>IFERROR(__xludf.DUMMYFUNCTION("""COMPUTED_VALUE"""),1.8294344E7)</f>
        <v>18294344</v>
      </c>
    </row>
    <row r="3">
      <c r="A3" s="7">
        <f>IFERROR(__xludf.DUMMYFUNCTION("""COMPUTED_VALUE"""),45177.64583333333)</f>
        <v>45177.64583</v>
      </c>
      <c r="B3" s="6">
        <f>IFERROR(__xludf.DUMMYFUNCTION("""COMPUTED_VALUE"""),1777.4)</f>
        <v>1777.4</v>
      </c>
      <c r="C3" s="6">
        <f>IFERROR(__xludf.DUMMYFUNCTION("""COMPUTED_VALUE"""),1805.0)</f>
        <v>1805</v>
      </c>
      <c r="D3" s="6">
        <f>IFERROR(__xludf.DUMMYFUNCTION("""COMPUTED_VALUE"""),1757.3)</f>
        <v>1757.3</v>
      </c>
      <c r="E3" s="6">
        <f>IFERROR(__xludf.DUMMYFUNCTION("""COMPUTED_VALUE"""),1793.2)</f>
        <v>1793.2</v>
      </c>
      <c r="F3" s="6">
        <f>IFERROR(__xludf.DUMMYFUNCTION("""COMPUTED_VALUE"""),1.976952E7)</f>
        <v>19769520</v>
      </c>
    </row>
    <row r="4">
      <c r="A4" s="7">
        <f>IFERROR(__xludf.DUMMYFUNCTION("""COMPUTED_VALUE"""),45184.64583333333)</f>
        <v>45184.64583</v>
      </c>
      <c r="B4" s="6">
        <f>IFERROR(__xludf.DUMMYFUNCTION("""COMPUTED_VALUE"""),1800.0)</f>
        <v>1800</v>
      </c>
      <c r="C4" s="6">
        <f>IFERROR(__xludf.DUMMYFUNCTION("""COMPUTED_VALUE"""),1836.0)</f>
        <v>1836</v>
      </c>
      <c r="D4" s="6">
        <f>IFERROR(__xludf.DUMMYFUNCTION("""COMPUTED_VALUE"""),1795.25)</f>
        <v>1795.25</v>
      </c>
      <c r="E4" s="6">
        <f>IFERROR(__xludf.DUMMYFUNCTION("""COMPUTED_VALUE"""),1813.9)</f>
        <v>1813.9</v>
      </c>
      <c r="F4" s="6">
        <f>IFERROR(__xludf.DUMMYFUNCTION("""COMPUTED_VALUE"""),1.8338701E7)</f>
        <v>18338701</v>
      </c>
    </row>
    <row r="5">
      <c r="A5" s="7">
        <f>IFERROR(__xludf.DUMMYFUNCTION("""COMPUTED_VALUE"""),45191.64583333333)</f>
        <v>45191.64583</v>
      </c>
      <c r="B5" s="6">
        <f>IFERROR(__xludf.DUMMYFUNCTION("""COMPUTED_VALUE"""),1811.0)</f>
        <v>1811</v>
      </c>
      <c r="C5" s="6">
        <f>IFERROR(__xludf.DUMMYFUNCTION("""COMPUTED_VALUE"""),1812.0)</f>
        <v>1812</v>
      </c>
      <c r="D5" s="6">
        <f>IFERROR(__xludf.DUMMYFUNCTION("""COMPUTED_VALUE"""),1751.0)</f>
        <v>1751</v>
      </c>
      <c r="E5" s="6">
        <f>IFERROR(__xludf.DUMMYFUNCTION("""COMPUTED_VALUE"""),1756.45)</f>
        <v>1756.45</v>
      </c>
      <c r="F5" s="6">
        <f>IFERROR(__xludf.DUMMYFUNCTION("""COMPUTED_VALUE"""),1.7833129E7)</f>
        <v>17833129</v>
      </c>
    </row>
    <row r="6">
      <c r="A6" s="7">
        <f>IFERROR(__xludf.DUMMYFUNCTION("""COMPUTED_VALUE"""),45198.64583333333)</f>
        <v>45198.64583</v>
      </c>
      <c r="B6" s="6">
        <f>IFERROR(__xludf.DUMMYFUNCTION("""COMPUTED_VALUE"""),1764.0)</f>
        <v>1764</v>
      </c>
      <c r="C6" s="6">
        <f>IFERROR(__xludf.DUMMYFUNCTION("""COMPUTED_VALUE"""),1789.3)</f>
        <v>1789.3</v>
      </c>
      <c r="D6" s="6">
        <f>IFERROR(__xludf.DUMMYFUNCTION("""COMPUTED_VALUE"""),1729.0)</f>
        <v>1729</v>
      </c>
      <c r="E6" s="6">
        <f>IFERROR(__xludf.DUMMYFUNCTION("""COMPUTED_VALUE"""),1735.7)</f>
        <v>1735.7</v>
      </c>
      <c r="F6" s="6">
        <f>IFERROR(__xludf.DUMMYFUNCTION("""COMPUTED_VALUE"""),2.0721866E7)</f>
        <v>20721866</v>
      </c>
    </row>
    <row r="7">
      <c r="A7" s="7">
        <f>IFERROR(__xludf.DUMMYFUNCTION("""COMPUTED_VALUE"""),45205.64583333333)</f>
        <v>45205.64583</v>
      </c>
      <c r="B7" s="6">
        <f>IFERROR(__xludf.DUMMYFUNCTION("""COMPUTED_VALUE"""),1730.0)</f>
        <v>1730</v>
      </c>
      <c r="C7" s="6">
        <f>IFERROR(__xludf.DUMMYFUNCTION("""COMPUTED_VALUE"""),1747.0)</f>
        <v>1747</v>
      </c>
      <c r="D7" s="6">
        <f>IFERROR(__xludf.DUMMYFUNCTION("""COMPUTED_VALUE"""),1709.0)</f>
        <v>1709</v>
      </c>
      <c r="E7" s="6">
        <f>IFERROR(__xludf.DUMMYFUNCTION("""COMPUTED_VALUE"""),1743.9)</f>
        <v>1743.9</v>
      </c>
      <c r="F7" s="6">
        <f>IFERROR(__xludf.DUMMYFUNCTION("""COMPUTED_VALUE"""),1.6714972E7)</f>
        <v>16714972</v>
      </c>
    </row>
    <row r="8">
      <c r="A8" s="7">
        <f>IFERROR(__xludf.DUMMYFUNCTION("""COMPUTED_VALUE"""),45212.64583333333)</f>
        <v>45212.64583</v>
      </c>
      <c r="B8" s="6">
        <f>IFERROR(__xludf.DUMMYFUNCTION("""COMPUTED_VALUE"""),1730.0)</f>
        <v>1730</v>
      </c>
      <c r="C8" s="6">
        <f>IFERROR(__xludf.DUMMYFUNCTION("""COMPUTED_VALUE"""),1779.95)</f>
        <v>1779.95</v>
      </c>
      <c r="D8" s="6">
        <f>IFERROR(__xludf.DUMMYFUNCTION("""COMPUTED_VALUE"""),1717.05)</f>
        <v>1717.05</v>
      </c>
      <c r="E8" s="6">
        <f>IFERROR(__xludf.DUMMYFUNCTION("""COMPUTED_VALUE"""),1762.0)</f>
        <v>1762</v>
      </c>
      <c r="F8" s="6">
        <f>IFERROR(__xludf.DUMMYFUNCTION("""COMPUTED_VALUE"""),1.3216093E7)</f>
        <v>13216093</v>
      </c>
    </row>
    <row r="9">
      <c r="A9" s="7">
        <f>IFERROR(__xludf.DUMMYFUNCTION("""COMPUTED_VALUE"""),45219.64583333333)</f>
        <v>45219.64583</v>
      </c>
      <c r="B9" s="6">
        <f>IFERROR(__xludf.DUMMYFUNCTION("""COMPUTED_VALUE"""),1761.0)</f>
        <v>1761</v>
      </c>
      <c r="C9" s="6">
        <f>IFERROR(__xludf.DUMMYFUNCTION("""COMPUTED_VALUE"""),1775.2)</f>
        <v>1775.2</v>
      </c>
      <c r="D9" s="6">
        <f>IFERROR(__xludf.DUMMYFUNCTION("""COMPUTED_VALUE"""),1732.65)</f>
        <v>1732.65</v>
      </c>
      <c r="E9" s="6">
        <f>IFERROR(__xludf.DUMMYFUNCTION("""COMPUTED_VALUE"""),1769.6)</f>
        <v>1769.6</v>
      </c>
      <c r="F9" s="6">
        <f>IFERROR(__xludf.DUMMYFUNCTION("""COMPUTED_VALUE"""),1.3914556E7)</f>
        <v>13914556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IFERROR(__xludf.DUMMYFUNCTION("""COMPUTED_VALUE"""),1769.0)</f>
        <v>1769</v>
      </c>
      <c r="C10" s="6">
        <f>IFERROR(__xludf.DUMMYFUNCTION("""COMPUTED_VALUE"""),1769.0)</f>
        <v>1769</v>
      </c>
      <c r="D10" s="6">
        <f>IFERROR(__xludf.DUMMYFUNCTION("""COMPUTED_VALUE"""),1689.0)</f>
        <v>1689</v>
      </c>
      <c r="E10" s="6">
        <f>IFERROR(__xludf.DUMMYFUNCTION("""COMPUTED_VALUE"""),1702.7)</f>
        <v>1702.7</v>
      </c>
      <c r="F10" s="6">
        <f>IFERROR(__xludf.DUMMYFUNCTION("""COMPUTED_VALUE"""),2.031322E7)</f>
        <v>20313220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IFERROR(__xludf.DUMMYFUNCTION("""COMPUTED_VALUE"""),1702.0)</f>
        <v>1702</v>
      </c>
      <c r="C11" s="6">
        <f>IFERROR(__xludf.DUMMYFUNCTION("""COMPUTED_VALUE"""),1758.65)</f>
        <v>1758.65</v>
      </c>
      <c r="D11" s="6">
        <f>IFERROR(__xludf.DUMMYFUNCTION("""COMPUTED_VALUE"""),1688.4)</f>
        <v>1688.4</v>
      </c>
      <c r="E11" s="6">
        <f>IFERROR(__xludf.DUMMYFUNCTION("""COMPUTED_VALUE"""),1733.25)</f>
        <v>1733.25</v>
      </c>
      <c r="F11" s="6">
        <f>IFERROR(__xludf.DUMMYFUNCTION("""COMPUTED_VALUE"""),1.298852E7)</f>
        <v>12988520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IFERROR(__xludf.DUMMYFUNCTION("""COMPUTED_VALUE"""),1744.0)</f>
        <v>1744</v>
      </c>
      <c r="C12" s="6">
        <f>IFERROR(__xludf.DUMMYFUNCTION("""COMPUTED_VALUE"""),1760.95)</f>
        <v>1760.95</v>
      </c>
      <c r="D12" s="6">
        <f>IFERROR(__xludf.DUMMYFUNCTION("""COMPUTED_VALUE"""),1726.1)</f>
        <v>1726.1</v>
      </c>
      <c r="E12" s="6">
        <f>IFERROR(__xludf.DUMMYFUNCTION("""COMPUTED_VALUE"""),1745.45)</f>
        <v>1745.45</v>
      </c>
      <c r="F12" s="6">
        <f>IFERROR(__xludf.DUMMYFUNCTION("""COMPUTED_VALUE"""),1.2007635E7)</f>
        <v>12007635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IFERROR(__xludf.DUMMYFUNCTION("""COMPUTED_VALUE"""),1752.0)</f>
        <v>1752</v>
      </c>
      <c r="C13" s="6">
        <f>IFERROR(__xludf.DUMMYFUNCTION("""COMPUTED_VALUE"""),1784.25)</f>
        <v>1784.25</v>
      </c>
      <c r="D13" s="6">
        <f>IFERROR(__xludf.DUMMYFUNCTION("""COMPUTED_VALUE"""),1733.5)</f>
        <v>1733.5</v>
      </c>
      <c r="E13" s="6">
        <f>IFERROR(__xludf.DUMMYFUNCTION("""COMPUTED_VALUE"""),1764.6)</f>
        <v>1764.6</v>
      </c>
      <c r="F13" s="6">
        <f>IFERROR(__xludf.DUMMYFUNCTION("""COMPUTED_VALUE"""),1.12779E7)</f>
        <v>11277900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IFERROR(__xludf.DUMMYFUNCTION("""COMPUTED_VALUE"""),1756.0)</f>
        <v>1756</v>
      </c>
      <c r="C14" s="6">
        <f>IFERROR(__xludf.DUMMYFUNCTION("""COMPUTED_VALUE"""),1778.95)</f>
        <v>1778.95</v>
      </c>
      <c r="D14" s="6">
        <f>IFERROR(__xludf.DUMMYFUNCTION("""COMPUTED_VALUE"""),1733.7)</f>
        <v>1733.7</v>
      </c>
      <c r="E14" s="6">
        <f>IFERROR(__xludf.DUMMYFUNCTION("""COMPUTED_VALUE"""),1744.0)</f>
        <v>1744</v>
      </c>
      <c r="F14" s="6">
        <f>IFERROR(__xludf.DUMMYFUNCTION("""COMPUTED_VALUE"""),1.4541416E7)</f>
        <v>14541416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IFERROR(__xludf.DUMMYFUNCTION("""COMPUTED_VALUE"""),1745.0)</f>
        <v>1745</v>
      </c>
      <c r="C15" s="6">
        <f>IFERROR(__xludf.DUMMYFUNCTION("""COMPUTED_VALUE"""),1766.0)</f>
        <v>1766</v>
      </c>
      <c r="D15" s="6">
        <f>IFERROR(__xludf.DUMMYFUNCTION("""COMPUTED_VALUE"""),1738.0)</f>
        <v>1738</v>
      </c>
      <c r="E15" s="6">
        <f>IFERROR(__xludf.DUMMYFUNCTION("""COMPUTED_VALUE"""),1750.5)</f>
        <v>1750.5</v>
      </c>
      <c r="F15" s="6">
        <f>IFERROR(__xludf.DUMMYFUNCTION("""COMPUTED_VALUE"""),1.5079757E7)</f>
        <v>15079757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IFERROR(__xludf.DUMMYFUNCTION("""COMPUTED_VALUE"""),1770.0)</f>
        <v>1770</v>
      </c>
      <c r="C16" s="6">
        <f>IFERROR(__xludf.DUMMYFUNCTION("""COMPUTED_VALUE"""),1843.0)</f>
        <v>1843</v>
      </c>
      <c r="D16" s="6">
        <f>IFERROR(__xludf.DUMMYFUNCTION("""COMPUTED_VALUE"""),1752.65)</f>
        <v>1752.65</v>
      </c>
      <c r="E16" s="6">
        <f>IFERROR(__xludf.DUMMYFUNCTION("""COMPUTED_VALUE"""),1838.45)</f>
        <v>1838.45</v>
      </c>
      <c r="F16" s="6">
        <f>IFERROR(__xludf.DUMMYFUNCTION("""COMPUTED_VALUE"""),2.0332633E7)</f>
        <v>20332633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IFERROR(__xludf.DUMMYFUNCTION("""COMPUTED_VALUE"""),1845.0)</f>
        <v>1845</v>
      </c>
      <c r="C17" s="6">
        <f>IFERROR(__xludf.DUMMYFUNCTION("""COMPUTED_VALUE"""),1865.45)</f>
        <v>1865.45</v>
      </c>
      <c r="D17" s="6">
        <f>IFERROR(__xludf.DUMMYFUNCTION("""COMPUTED_VALUE"""),1813.1)</f>
        <v>1813.1</v>
      </c>
      <c r="E17" s="6">
        <f>IFERROR(__xludf.DUMMYFUNCTION("""COMPUTED_VALUE"""),1850.6)</f>
        <v>1850.6</v>
      </c>
      <c r="F17" s="6">
        <f>IFERROR(__xludf.DUMMYFUNCTION("""COMPUTED_VALUE"""),1.9028187E7)</f>
        <v>19028187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IFERROR(__xludf.DUMMYFUNCTION("""COMPUTED_VALUE"""),1845.2)</f>
        <v>1845.2</v>
      </c>
      <c r="C18" s="6">
        <f>IFERROR(__xludf.DUMMYFUNCTION("""COMPUTED_VALUE"""),1879.65)</f>
        <v>1879.65</v>
      </c>
      <c r="D18" s="6">
        <f>IFERROR(__xludf.DUMMYFUNCTION("""COMPUTED_VALUE"""),1805.0)</f>
        <v>1805</v>
      </c>
      <c r="E18" s="6">
        <f>IFERROR(__xludf.DUMMYFUNCTION("""COMPUTED_VALUE"""),1860.5)</f>
        <v>1860.5</v>
      </c>
      <c r="F18" s="6">
        <f>IFERROR(__xludf.DUMMYFUNCTION("""COMPUTED_VALUE"""),1.652935E7)</f>
        <v>16529350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IFERROR(__xludf.DUMMYFUNCTION("""COMPUTED_VALUE"""),1867.0)</f>
        <v>1867</v>
      </c>
      <c r="C19" s="6">
        <f>IFERROR(__xludf.DUMMYFUNCTION("""COMPUTED_VALUE"""),1926.5)</f>
        <v>1926.5</v>
      </c>
      <c r="D19" s="6">
        <f>IFERROR(__xludf.DUMMYFUNCTION("""COMPUTED_VALUE"""),1857.15)</f>
        <v>1857.15</v>
      </c>
      <c r="E19" s="6">
        <f>IFERROR(__xludf.DUMMYFUNCTION("""COMPUTED_VALUE"""),1908.1)</f>
        <v>1908.1</v>
      </c>
      <c r="F19" s="6">
        <f>IFERROR(__xludf.DUMMYFUNCTION("""COMPUTED_VALUE"""),1.5154096E7)</f>
        <v>15154096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IFERROR(__xludf.DUMMYFUNCTION("""COMPUTED_VALUE"""),1909.0)</f>
        <v>1909</v>
      </c>
      <c r="C20" s="6">
        <f>IFERROR(__xludf.DUMMYFUNCTION("""COMPUTED_VALUE"""),1919.0)</f>
        <v>1919</v>
      </c>
      <c r="D20" s="6">
        <f>IFERROR(__xludf.DUMMYFUNCTION("""COMPUTED_VALUE"""),1841.4)</f>
        <v>1841.4</v>
      </c>
      <c r="E20" s="6">
        <f>IFERROR(__xludf.DUMMYFUNCTION("""COMPUTED_VALUE"""),1847.6)</f>
        <v>1847.6</v>
      </c>
      <c r="F20" s="6">
        <f>IFERROR(__xludf.DUMMYFUNCTION("""COMPUTED_VALUE"""),2.099332E7)</f>
        <v>20993320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IFERROR(__xludf.DUMMYFUNCTION("""COMPUTED_VALUE"""),1848.0)</f>
        <v>1848</v>
      </c>
      <c r="C21" s="6">
        <f>IFERROR(__xludf.DUMMYFUNCTION("""COMPUTED_VALUE"""),1858.0)</f>
        <v>1858</v>
      </c>
      <c r="D21" s="6">
        <f>IFERROR(__xludf.DUMMYFUNCTION("""COMPUTED_VALUE"""),1811.6)</f>
        <v>1811.6</v>
      </c>
      <c r="E21" s="6">
        <f>IFERROR(__xludf.DUMMYFUNCTION("""COMPUTED_VALUE"""),1833.25)</f>
        <v>1833.25</v>
      </c>
      <c r="F21" s="6">
        <f>IFERROR(__xludf.DUMMYFUNCTION("""COMPUTED_VALUE"""),2.9987839E7)</f>
        <v>29987839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IFERROR(__xludf.DUMMYFUNCTION("""COMPUTED_VALUE"""),1801.0)</f>
        <v>1801</v>
      </c>
      <c r="C22" s="6">
        <f>IFERROR(__xludf.DUMMYFUNCTION("""COMPUTED_VALUE"""),1824.9)</f>
        <v>1824.9</v>
      </c>
      <c r="D22" s="6">
        <f>IFERROR(__xludf.DUMMYFUNCTION("""COMPUTED_VALUE"""),1752.4)</f>
        <v>1752.4</v>
      </c>
      <c r="E22" s="6">
        <f>IFERROR(__xludf.DUMMYFUNCTION("""COMPUTED_VALUE"""),1768.4)</f>
        <v>1768.4</v>
      </c>
      <c r="F22" s="6">
        <f>IFERROR(__xludf.DUMMYFUNCTION("""COMPUTED_VALUE"""),1.6751345E7)</f>
        <v>16751345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IFERROR(__xludf.DUMMYFUNCTION("""COMPUTED_VALUE"""),1785.3)</f>
        <v>1785.3</v>
      </c>
      <c r="C23" s="6">
        <f>IFERROR(__xludf.DUMMYFUNCTION("""COMPUTED_VALUE"""),1850.0)</f>
        <v>1850</v>
      </c>
      <c r="D23" s="6">
        <f>IFERROR(__xludf.DUMMYFUNCTION("""COMPUTED_VALUE"""),1776.0)</f>
        <v>1776</v>
      </c>
      <c r="E23" s="6">
        <f>IFERROR(__xludf.DUMMYFUNCTION("""COMPUTED_VALUE"""),1822.95)</f>
        <v>1822.95</v>
      </c>
      <c r="F23" s="6">
        <f>IFERROR(__xludf.DUMMYFUNCTION("""COMPUTED_VALUE"""),2.430478E7)</f>
        <v>24304780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IFERROR(__xludf.DUMMYFUNCTION("""COMPUTED_VALUE"""),1825.0)</f>
        <v>1825</v>
      </c>
      <c r="C24" s="6">
        <f>IFERROR(__xludf.DUMMYFUNCTION("""COMPUTED_VALUE"""),1826.95)</f>
        <v>1826.95</v>
      </c>
      <c r="D24" s="6">
        <f>IFERROR(__xludf.DUMMYFUNCTION("""COMPUTED_VALUE"""),1719.0)</f>
        <v>1719</v>
      </c>
      <c r="E24" s="6">
        <f>IFERROR(__xludf.DUMMYFUNCTION("""COMPUTED_VALUE"""),1742.45)</f>
        <v>1742.45</v>
      </c>
      <c r="F24" s="6">
        <f>IFERROR(__xludf.DUMMYFUNCTION("""COMPUTED_VALUE"""),2.1351677E7)</f>
        <v>21351677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IFERROR(__xludf.DUMMYFUNCTION("""COMPUTED_VALUE"""),1743.0)</f>
        <v>1743</v>
      </c>
      <c r="C25" s="6">
        <f>IFERROR(__xludf.DUMMYFUNCTION("""COMPUTED_VALUE"""),1764.8)</f>
        <v>1764.8</v>
      </c>
      <c r="D25" s="6">
        <f>IFERROR(__xludf.DUMMYFUNCTION("""COMPUTED_VALUE"""),1691.1)</f>
        <v>1691.1</v>
      </c>
      <c r="E25" s="6">
        <f>IFERROR(__xludf.DUMMYFUNCTION("""COMPUTED_VALUE"""),1735.25)</f>
        <v>1735.25</v>
      </c>
      <c r="F25" s="6">
        <f>IFERROR(__xludf.DUMMYFUNCTION("""COMPUTED_VALUE"""),1.7033962E7)</f>
        <v>17033962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IFERROR(__xludf.DUMMYFUNCTION("""COMPUTED_VALUE"""),1744.0)</f>
        <v>1744</v>
      </c>
      <c r="C26" s="6">
        <f>IFERROR(__xludf.DUMMYFUNCTION("""COMPUTED_VALUE"""),1769.0)</f>
        <v>1769</v>
      </c>
      <c r="D26" s="6">
        <f>IFERROR(__xludf.DUMMYFUNCTION("""COMPUTED_VALUE"""),1714.2)</f>
        <v>1714.2</v>
      </c>
      <c r="E26" s="6">
        <f>IFERROR(__xludf.DUMMYFUNCTION("""COMPUTED_VALUE"""),1724.0)</f>
        <v>1724</v>
      </c>
      <c r="F26" s="6">
        <f>IFERROR(__xludf.DUMMYFUNCTION("""COMPUTED_VALUE"""),2.5898475E7)</f>
        <v>25898475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IFERROR(__xludf.DUMMYFUNCTION("""COMPUTED_VALUE"""),1727.95)</f>
        <v>1727.95</v>
      </c>
      <c r="C27" s="6">
        <f>IFERROR(__xludf.DUMMYFUNCTION("""COMPUTED_VALUE"""),1771.95)</f>
        <v>1771.95</v>
      </c>
      <c r="D27" s="6">
        <f>IFERROR(__xludf.DUMMYFUNCTION("""COMPUTED_VALUE"""),1708.95)</f>
        <v>1708.95</v>
      </c>
      <c r="E27" s="6">
        <f>IFERROR(__xludf.DUMMYFUNCTION("""COMPUTED_VALUE"""),1748.05)</f>
        <v>1748.05</v>
      </c>
      <c r="F27" s="6">
        <f>IFERROR(__xludf.DUMMYFUNCTION("""COMPUTED_VALUE"""),1.6490464E7)</f>
        <v>16490464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IFERROR(__xludf.DUMMYFUNCTION("""COMPUTED_VALUE"""),1765.9)</f>
        <v>1765.9</v>
      </c>
      <c r="C28" s="6">
        <f>IFERROR(__xludf.DUMMYFUNCTION("""COMPUTED_VALUE"""),1769.85)</f>
        <v>1769.85</v>
      </c>
      <c r="D28" s="6">
        <f>IFERROR(__xludf.DUMMYFUNCTION("""COMPUTED_VALUE"""),1707.35)</f>
        <v>1707.35</v>
      </c>
      <c r="E28" s="6">
        <f>IFERROR(__xludf.DUMMYFUNCTION("""COMPUTED_VALUE"""),1738.3)</f>
        <v>1738.3</v>
      </c>
      <c r="F28" s="6">
        <f>IFERROR(__xludf.DUMMYFUNCTION("""COMPUTED_VALUE"""),4.0016611E7)</f>
        <v>40016611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IFERROR(__xludf.DUMMYFUNCTION("""COMPUTED_VALUE"""),1737.4)</f>
        <v>1737.4</v>
      </c>
      <c r="C29" s="6">
        <f>IFERROR(__xludf.DUMMYFUNCTION("""COMPUTED_VALUE"""),1790.65)</f>
        <v>1790.65</v>
      </c>
      <c r="D29" s="6">
        <f>IFERROR(__xludf.DUMMYFUNCTION("""COMPUTED_VALUE"""),1715.3)</f>
        <v>1715.3</v>
      </c>
      <c r="E29" s="6">
        <f>IFERROR(__xludf.DUMMYFUNCTION("""COMPUTED_VALUE"""),1776.4)</f>
        <v>1776.4</v>
      </c>
      <c r="F29" s="6">
        <f>IFERROR(__xludf.DUMMYFUNCTION("""COMPUTED_VALUE"""),2.2061068E7)</f>
        <v>22061068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IFERROR(__xludf.DUMMYFUNCTION("""COMPUTED_VALUE"""),1765.0)</f>
        <v>1765</v>
      </c>
      <c r="C30" s="6">
        <f>IFERROR(__xludf.DUMMYFUNCTION("""COMPUTED_VALUE"""),1803.9)</f>
        <v>1803.9</v>
      </c>
      <c r="D30" s="6">
        <f>IFERROR(__xludf.DUMMYFUNCTION("""COMPUTED_VALUE"""),1750.0)</f>
        <v>1750</v>
      </c>
      <c r="E30" s="6">
        <f>IFERROR(__xludf.DUMMYFUNCTION("""COMPUTED_VALUE"""),1785.5)</f>
        <v>1785.5</v>
      </c>
      <c r="F30" s="6">
        <f>IFERROR(__xludf.DUMMYFUNCTION("""COMPUTED_VALUE"""),2.0164832E7)</f>
        <v>20164832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IFERROR(__xludf.DUMMYFUNCTION("""COMPUTED_VALUE"""),1795.0)</f>
        <v>1795</v>
      </c>
      <c r="C31" s="6">
        <f>IFERROR(__xludf.DUMMYFUNCTION("""COMPUTED_VALUE"""),1817.65)</f>
        <v>1817.65</v>
      </c>
      <c r="D31" s="6">
        <f>IFERROR(__xludf.DUMMYFUNCTION("""COMPUTED_VALUE"""),1723.3)</f>
        <v>1723.3</v>
      </c>
      <c r="E31" s="6">
        <f>IFERROR(__xludf.DUMMYFUNCTION("""COMPUTED_VALUE"""),1785.15)</f>
        <v>1785.15</v>
      </c>
      <c r="F31" s="6">
        <f>IFERROR(__xludf.DUMMYFUNCTION("""COMPUTED_VALUE"""),4.2103936E7)</f>
        <v>42103936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IFERROR(__xludf.DUMMYFUNCTION("""COMPUTED_VALUE"""),1793.8)</f>
        <v>1793.8</v>
      </c>
      <c r="C32" s="6">
        <f>IFERROR(__xludf.DUMMYFUNCTION("""COMPUTED_VALUE"""),1829.9)</f>
        <v>1829.9</v>
      </c>
      <c r="D32" s="6">
        <f>IFERROR(__xludf.DUMMYFUNCTION("""COMPUTED_VALUE"""),1775.7)</f>
        <v>1775.7</v>
      </c>
      <c r="E32" s="6">
        <f>IFERROR(__xludf.DUMMYFUNCTION("""COMPUTED_VALUE"""),1813.05)</f>
        <v>1813.05</v>
      </c>
      <c r="F32" s="6">
        <f>IFERROR(__xludf.DUMMYFUNCTION("""COMPUTED_VALUE"""),1.4500087E7)</f>
        <v>14500087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IFERROR(__xludf.DUMMYFUNCTION("""COMPUTED_VALUE"""),1789.95)</f>
        <v>1789.95</v>
      </c>
      <c r="C33" s="6">
        <f>IFERROR(__xludf.DUMMYFUNCTION("""COMPUTED_VALUE"""),1813.0)</f>
        <v>1813</v>
      </c>
      <c r="D33" s="6">
        <f>IFERROR(__xludf.DUMMYFUNCTION("""COMPUTED_VALUE"""),1763.0)</f>
        <v>1763</v>
      </c>
      <c r="E33" s="6">
        <f>IFERROR(__xludf.DUMMYFUNCTION("""COMPUTED_VALUE"""),1792.65)</f>
        <v>1792.65</v>
      </c>
      <c r="F33" s="6">
        <f>IFERROR(__xludf.DUMMYFUNCTION("""COMPUTED_VALUE"""),1.6537766E7)</f>
        <v>16537766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IFERROR(__xludf.DUMMYFUNCTION("""COMPUTED_VALUE"""),1813.0)</f>
        <v>1813</v>
      </c>
      <c r="C34" s="6">
        <f>IFERROR(__xludf.DUMMYFUNCTION("""COMPUTED_VALUE"""),1845.5)</f>
        <v>1845.5</v>
      </c>
      <c r="D34" s="6">
        <f>IFERROR(__xludf.DUMMYFUNCTION("""COMPUTED_VALUE"""),1602.0)</f>
        <v>1602</v>
      </c>
      <c r="E34" s="6">
        <f>IFERROR(__xludf.DUMMYFUNCTION("""COMPUTED_VALUE"""),1608.5)</f>
        <v>1608.5</v>
      </c>
      <c r="F34" s="6">
        <f>IFERROR(__xludf.DUMMYFUNCTION("""COMPUTED_VALUE"""),1.03728149E8)</f>
        <v>103728149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IFERROR(__xludf.DUMMYFUNCTION("""COMPUTED_VALUE"""),1610.1)</f>
        <v>1610.1</v>
      </c>
      <c r="C35" s="6">
        <f>IFERROR(__xludf.DUMMYFUNCTION("""COMPUTED_VALUE"""),1647.25)</f>
        <v>1647.25</v>
      </c>
      <c r="D35" s="6">
        <f>IFERROR(__xludf.DUMMYFUNCTION("""COMPUTED_VALUE"""),1543.85)</f>
        <v>1543.85</v>
      </c>
      <c r="E35" s="6">
        <f>IFERROR(__xludf.DUMMYFUNCTION("""COMPUTED_VALUE"""),1546.7)</f>
        <v>1546.7</v>
      </c>
      <c r="F35" s="6">
        <f>IFERROR(__xludf.DUMMYFUNCTION("""COMPUTED_VALUE"""),7.2197924E7)</f>
        <v>72197924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IFERROR(__xludf.DUMMYFUNCTION("""COMPUTED_VALUE"""),1605.0)</f>
        <v>1605</v>
      </c>
      <c r="C36" s="6">
        <f>IFERROR(__xludf.DUMMYFUNCTION("""COMPUTED_VALUE"""),1661.85)</f>
        <v>1661.85</v>
      </c>
      <c r="D36" s="6">
        <f>IFERROR(__xludf.DUMMYFUNCTION("""COMPUTED_VALUE"""),1594.0)</f>
        <v>1594</v>
      </c>
      <c r="E36" s="6">
        <f>IFERROR(__xludf.DUMMYFUNCTION("""COMPUTED_VALUE"""),1627.95)</f>
        <v>1627.95</v>
      </c>
      <c r="F36" s="6">
        <f>IFERROR(__xludf.DUMMYFUNCTION("""COMPUTED_VALUE"""),5.7754195E7)</f>
        <v>57754195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IFERROR(__xludf.DUMMYFUNCTION("""COMPUTED_VALUE"""),1692.0)</f>
        <v>1692</v>
      </c>
      <c r="C37" s="6">
        <f>IFERROR(__xludf.DUMMYFUNCTION("""COMPUTED_VALUE"""),1717.85)</f>
        <v>1717.85</v>
      </c>
      <c r="D37" s="6">
        <f>IFERROR(__xludf.DUMMYFUNCTION("""COMPUTED_VALUE"""),1681.1)</f>
        <v>1681.1</v>
      </c>
      <c r="E37" s="6">
        <f>IFERROR(__xludf.DUMMYFUNCTION("""COMPUTED_VALUE"""),1703.45)</f>
        <v>1703.45</v>
      </c>
      <c r="F37" s="6">
        <f>IFERROR(__xludf.DUMMYFUNCTION("""COMPUTED_VALUE"""),2.2486336E7)</f>
        <v>22486336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IFERROR(__xludf.DUMMYFUNCTION("""COMPUTED_VALUE"""),1703.45)</f>
        <v>1703.45</v>
      </c>
      <c r="C38" s="6">
        <f>IFERROR(__xludf.DUMMYFUNCTION("""COMPUTED_VALUE"""),1722.0)</f>
        <v>1722</v>
      </c>
      <c r="D38" s="6">
        <f>IFERROR(__xludf.DUMMYFUNCTION("""COMPUTED_VALUE"""),1660.55)</f>
        <v>1660.55</v>
      </c>
      <c r="E38" s="6">
        <f>IFERROR(__xludf.DUMMYFUNCTION("""COMPUTED_VALUE"""),1680.4)</f>
        <v>1680.4</v>
      </c>
      <c r="F38" s="6">
        <f>IFERROR(__xludf.DUMMYFUNCTION("""COMPUTED_VALUE"""),3.0507865E7)</f>
        <v>30507865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IFERROR(__xludf.DUMMYFUNCTION("""COMPUTED_VALUE"""),1721.45)</f>
        <v>1721.45</v>
      </c>
      <c r="C39" s="6">
        <f>IFERROR(__xludf.DUMMYFUNCTION("""COMPUTED_VALUE"""),1758.65)</f>
        <v>1758.65</v>
      </c>
      <c r="D39" s="6">
        <f>IFERROR(__xludf.DUMMYFUNCTION("""COMPUTED_VALUE"""),1602.45)</f>
        <v>1602.45</v>
      </c>
      <c r="E39" s="6">
        <f>IFERROR(__xludf.DUMMYFUNCTION("""COMPUTED_VALUE"""),1753.7)</f>
        <v>1753.7</v>
      </c>
      <c r="F39" s="6">
        <f>IFERROR(__xludf.DUMMYFUNCTION("""COMPUTED_VALUE"""),5.0424904E7)</f>
        <v>50424904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IFERROR(__xludf.DUMMYFUNCTION("""COMPUTED_VALUE"""),1750.1)</f>
        <v>1750.1</v>
      </c>
      <c r="C40" s="6">
        <f>IFERROR(__xludf.DUMMYFUNCTION("""COMPUTED_VALUE"""),1773.45)</f>
        <v>1773.45</v>
      </c>
      <c r="D40" s="6">
        <f>IFERROR(__xludf.DUMMYFUNCTION("""COMPUTED_VALUE"""),1710.4)</f>
        <v>1710.4</v>
      </c>
      <c r="E40" s="6">
        <f>IFERROR(__xludf.DUMMYFUNCTION("""COMPUTED_VALUE"""),1717.2)</f>
        <v>1717.2</v>
      </c>
      <c r="F40" s="6">
        <f>IFERROR(__xludf.DUMMYFUNCTION("""COMPUTED_VALUE"""),2.4005078E7)</f>
        <v>24005078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IFERROR(__xludf.DUMMYFUNCTION("""COMPUTED_VALUE"""),1718.6)</f>
        <v>1718.6</v>
      </c>
      <c r="C41" s="6">
        <f>IFERROR(__xludf.DUMMYFUNCTION("""COMPUTED_VALUE"""),1789.85)</f>
        <v>1789.85</v>
      </c>
      <c r="D41" s="6">
        <f>IFERROR(__xludf.DUMMYFUNCTION("""COMPUTED_VALUE"""),1703.25)</f>
        <v>1703.25</v>
      </c>
      <c r="E41" s="6">
        <f>IFERROR(__xludf.DUMMYFUNCTION("""COMPUTED_VALUE"""),1775.65)</f>
        <v>1775.65</v>
      </c>
      <c r="F41" s="6">
        <f>IFERROR(__xludf.DUMMYFUNCTION("""COMPUTED_VALUE"""),4.3941921E7)</f>
        <v>43941921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IFERROR(__xludf.DUMMYFUNCTION("""COMPUTED_VALUE"""),1757.15)</f>
        <v>1757.15</v>
      </c>
      <c r="C42" s="6">
        <f>IFERROR(__xludf.DUMMYFUNCTION("""COMPUTED_VALUE"""),1847.95)</f>
        <v>1847.95</v>
      </c>
      <c r="D42" s="6">
        <f>IFERROR(__xludf.DUMMYFUNCTION("""COMPUTED_VALUE"""),1749.75)</f>
        <v>1749.75</v>
      </c>
      <c r="E42" s="6">
        <f>IFERROR(__xludf.DUMMYFUNCTION("""COMPUTED_VALUE"""),1802.5)</f>
        <v>1802.5</v>
      </c>
      <c r="F42" s="6">
        <f>IFERROR(__xludf.DUMMYFUNCTION("""COMPUTED_VALUE"""),3.5160455E7)</f>
        <v>35160455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IFERROR(__xludf.DUMMYFUNCTION("""COMPUTED_VALUE"""),1802.5)</f>
        <v>1802.5</v>
      </c>
      <c r="C43" s="6">
        <f>IFERROR(__xludf.DUMMYFUNCTION("""COMPUTED_VALUE"""),1857.95)</f>
        <v>1857.95</v>
      </c>
      <c r="D43" s="6">
        <f>IFERROR(__xludf.DUMMYFUNCTION("""COMPUTED_VALUE"""),1737.1)</f>
        <v>1737.1</v>
      </c>
      <c r="E43" s="6">
        <f>IFERROR(__xludf.DUMMYFUNCTION("""COMPUTED_VALUE"""),1852.7)</f>
        <v>1852.7</v>
      </c>
      <c r="F43" s="6">
        <f>IFERROR(__xludf.DUMMYFUNCTION("""COMPUTED_VALUE"""),3.0042076E7)</f>
        <v>30042076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IFERROR(__xludf.DUMMYFUNCTION("""COMPUTED_VALUE"""),1854.0)</f>
        <v>1854</v>
      </c>
      <c r="C44" s="6">
        <f>IFERROR(__xludf.DUMMYFUNCTION("""COMPUTED_VALUE"""),1870.0)</f>
        <v>1870</v>
      </c>
      <c r="D44" s="6">
        <f>IFERROR(__xludf.DUMMYFUNCTION("""COMPUTED_VALUE"""),1820.2)</f>
        <v>1820.2</v>
      </c>
      <c r="E44" s="6">
        <f>IFERROR(__xludf.DUMMYFUNCTION("""COMPUTED_VALUE"""),1832.85)</f>
        <v>1832.85</v>
      </c>
      <c r="F44" s="6">
        <f>IFERROR(__xludf.DUMMYFUNCTION("""COMPUTED_VALUE"""),2.226743E7)</f>
        <v>22267430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IFERROR(__xludf.DUMMYFUNCTION("""COMPUTED_VALUE"""),1839.0)</f>
        <v>1839</v>
      </c>
      <c r="C45" s="6">
        <f>IFERROR(__xludf.DUMMYFUNCTION("""COMPUTED_VALUE"""),1857.9)</f>
        <v>1857.9</v>
      </c>
      <c r="D45" s="6">
        <f>IFERROR(__xludf.DUMMYFUNCTION("""COMPUTED_VALUE"""),1793.15)</f>
        <v>1793.15</v>
      </c>
      <c r="E45" s="6">
        <f>IFERROR(__xludf.DUMMYFUNCTION("""COMPUTED_VALUE"""),1821.6)</f>
        <v>1821.6</v>
      </c>
      <c r="F45" s="6">
        <f>IFERROR(__xludf.DUMMYFUNCTION("""COMPUTED_VALUE"""),2.4182401E7)</f>
        <v>24182401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IFERROR(__xludf.DUMMYFUNCTION("""COMPUTED_VALUE"""),1821.0)</f>
        <v>1821</v>
      </c>
      <c r="C46" s="6">
        <f>IFERROR(__xludf.DUMMYFUNCTION("""COMPUTED_VALUE"""),1829.85)</f>
        <v>1829.85</v>
      </c>
      <c r="D46" s="6">
        <f>IFERROR(__xludf.DUMMYFUNCTION("""COMPUTED_VALUE"""),1729.05)</f>
        <v>1729.05</v>
      </c>
      <c r="E46" s="6">
        <f>IFERROR(__xludf.DUMMYFUNCTION("""COMPUTED_VALUE"""),1813.85)</f>
        <v>1813.85</v>
      </c>
      <c r="F46" s="6">
        <f>IFERROR(__xludf.DUMMYFUNCTION("""COMPUTED_VALUE"""),3.2790512E7)</f>
        <v>32790512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IFERROR(__xludf.DUMMYFUNCTION("""COMPUTED_VALUE"""),1824.7)</f>
        <v>1824.7</v>
      </c>
      <c r="C47" s="6">
        <f>IFERROR(__xludf.DUMMYFUNCTION("""COMPUTED_VALUE"""),1827.0)</f>
        <v>1827</v>
      </c>
      <c r="D47" s="6">
        <f>IFERROR(__xludf.DUMMYFUNCTION("""COMPUTED_VALUE"""),1773.15)</f>
        <v>1773.15</v>
      </c>
      <c r="E47" s="6">
        <f>IFERROR(__xludf.DUMMYFUNCTION("""COMPUTED_VALUE"""),1803.45)</f>
        <v>1803.45</v>
      </c>
      <c r="F47" s="6">
        <f>IFERROR(__xludf.DUMMYFUNCTION("""COMPUTED_VALUE"""),2.6550794E7)</f>
        <v>26550794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IFERROR(__xludf.DUMMYFUNCTION("""COMPUTED_VALUE"""),1770.2)</f>
        <v>1770.2</v>
      </c>
      <c r="C48" s="6">
        <f>IFERROR(__xludf.DUMMYFUNCTION("""COMPUTED_VALUE"""),1805.6)</f>
        <v>1805.6</v>
      </c>
      <c r="D48" s="6">
        <f>IFERROR(__xludf.DUMMYFUNCTION("""COMPUTED_VALUE"""),1760.0)</f>
        <v>1760</v>
      </c>
      <c r="E48" s="6">
        <f>IFERROR(__xludf.DUMMYFUNCTION("""COMPUTED_VALUE"""),1769.65)</f>
        <v>1769.65</v>
      </c>
      <c r="F48" s="6">
        <f>IFERROR(__xludf.DUMMYFUNCTION("""COMPUTED_VALUE"""),1.7310249E7)</f>
        <v>17310249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IFERROR(__xludf.DUMMYFUNCTION("""COMPUTED_VALUE"""),1761.0)</f>
        <v>1761</v>
      </c>
      <c r="C49" s="6">
        <f>IFERROR(__xludf.DUMMYFUNCTION("""COMPUTED_VALUE"""),1791.5)</f>
        <v>1791.5</v>
      </c>
      <c r="D49" s="6">
        <f>IFERROR(__xludf.DUMMYFUNCTION("""COMPUTED_VALUE"""),1744.55)</f>
        <v>1744.55</v>
      </c>
      <c r="E49" s="6">
        <f>IFERROR(__xludf.DUMMYFUNCTION("""COMPUTED_VALUE"""),1777.3)</f>
        <v>1777.3</v>
      </c>
      <c r="F49" s="6">
        <f>IFERROR(__xludf.DUMMYFUNCTION("""COMPUTED_VALUE"""),1.3622282E7)</f>
        <v>13622282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IFERROR(__xludf.DUMMYFUNCTION("""COMPUTED_VALUE"""),1780.55)</f>
        <v>1780.55</v>
      </c>
      <c r="C50" s="6">
        <f>IFERROR(__xludf.DUMMYFUNCTION("""COMPUTED_VALUE"""),1827.9)</f>
        <v>1827.9</v>
      </c>
      <c r="D50" s="6">
        <f>IFERROR(__xludf.DUMMYFUNCTION("""COMPUTED_VALUE"""),1771.0)</f>
        <v>1771</v>
      </c>
      <c r="E50" s="6">
        <f>IFERROR(__xludf.DUMMYFUNCTION("""COMPUTED_VALUE"""),1818.0)</f>
        <v>1818</v>
      </c>
      <c r="F50" s="6">
        <f>IFERROR(__xludf.DUMMYFUNCTION("""COMPUTED_VALUE"""),1.6038129E7)</f>
        <v>16038129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IFERROR(__xludf.DUMMYFUNCTION("""COMPUTED_VALUE"""),1820.0)</f>
        <v>1820</v>
      </c>
      <c r="C51" s="6">
        <f>IFERROR(__xludf.DUMMYFUNCTION("""COMPUTED_VALUE"""),1822.95)</f>
        <v>1822.95</v>
      </c>
      <c r="D51" s="6">
        <f>IFERROR(__xludf.DUMMYFUNCTION("""COMPUTED_VALUE"""),1773.0)</f>
        <v>1773</v>
      </c>
      <c r="E51" s="6">
        <f>IFERROR(__xludf.DUMMYFUNCTION("""COMPUTED_VALUE"""),1780.8)</f>
        <v>1780.8</v>
      </c>
      <c r="F51" s="6">
        <f>IFERROR(__xludf.DUMMYFUNCTION("""COMPUTED_VALUE"""),2.4168079E7)</f>
        <v>24168079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IFERROR(__xludf.DUMMYFUNCTION("""COMPUTED_VALUE"""),1782.0)</f>
        <v>1782</v>
      </c>
      <c r="C52" s="6">
        <f>IFERROR(__xludf.DUMMYFUNCTION("""COMPUTED_VALUE"""),1793.45)</f>
        <v>1793.45</v>
      </c>
      <c r="D52" s="6">
        <f>IFERROR(__xludf.DUMMYFUNCTION("""COMPUTED_VALUE"""),1756.5)</f>
        <v>1756.5</v>
      </c>
      <c r="E52" s="6">
        <f>IFERROR(__xludf.DUMMYFUNCTION("""COMPUTED_VALUE"""),1764.15)</f>
        <v>1764.15</v>
      </c>
      <c r="F52" s="6">
        <f>IFERROR(__xludf.DUMMYFUNCTION("""COMPUTED_VALUE"""),1.9265121E7)</f>
        <v>19265121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IFERROR(__xludf.DUMMYFUNCTION("""COMPUTED_VALUE"""),1767.7)</f>
        <v>1767.7</v>
      </c>
      <c r="C53" s="6">
        <f>IFERROR(__xludf.DUMMYFUNCTION("""COMPUTED_VALUE"""),1837.0)</f>
        <v>1837</v>
      </c>
      <c r="D53" s="6">
        <f>IFERROR(__xludf.DUMMYFUNCTION("""COMPUTED_VALUE"""),1758.45)</f>
        <v>1758.45</v>
      </c>
      <c r="E53" s="6">
        <f>IFERROR(__xludf.DUMMYFUNCTION("""COMPUTED_VALUE"""),1820.35)</f>
        <v>1820.35</v>
      </c>
      <c r="F53" s="6">
        <f>IFERROR(__xludf.DUMMYFUNCTION("""COMPUTED_VALUE"""),1.9090173E7)</f>
        <v>19090173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IFERROR(__xludf.DUMMYFUNCTION("""COMPUTED_VALUE"""),1833.0)</f>
        <v>1833</v>
      </c>
      <c r="C54" s="6">
        <f>IFERROR(__xludf.DUMMYFUNCTION("""COMPUTED_VALUE"""),1926.3)</f>
        <v>1926.3</v>
      </c>
      <c r="D54" s="6">
        <f>IFERROR(__xludf.DUMMYFUNCTION("""COMPUTED_VALUE"""),1828.3)</f>
        <v>1828.3</v>
      </c>
      <c r="E54" s="6">
        <f>IFERROR(__xludf.DUMMYFUNCTION("""COMPUTED_VALUE"""),1904.5)</f>
        <v>1904.5</v>
      </c>
      <c r="F54" s="6">
        <f>IFERROR(__xludf.DUMMYFUNCTION("""COMPUTED_VALUE"""),3.5025004E7)</f>
        <v>35025004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IFERROR(__xludf.DUMMYFUNCTION("""COMPUTED_VALUE"""),1914.95)</f>
        <v>1914.95</v>
      </c>
      <c r="C55" s="6">
        <f>IFERROR(__xludf.DUMMYFUNCTION("""COMPUTED_VALUE"""),1942.0)</f>
        <v>1942</v>
      </c>
      <c r="D55" s="6">
        <f>IFERROR(__xludf.DUMMYFUNCTION("""COMPUTED_VALUE"""),1866.3)</f>
        <v>1866.3</v>
      </c>
      <c r="E55" s="6">
        <f>IFERROR(__xludf.DUMMYFUNCTION("""COMPUTED_VALUE"""),1872.45)</f>
        <v>1872.45</v>
      </c>
      <c r="F55" s="6">
        <f>IFERROR(__xludf.DUMMYFUNCTION("""COMPUTED_VALUE"""),2.155075E7)</f>
        <v>21550750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IFERROR(__xludf.DUMMYFUNCTION("""COMPUTED_VALUE"""),1856.7)</f>
        <v>1856.7</v>
      </c>
      <c r="C56" s="6">
        <f>IFERROR(__xludf.DUMMYFUNCTION("""COMPUTED_VALUE"""),1884.75)</f>
        <v>1884.75</v>
      </c>
      <c r="D56" s="6">
        <f>IFERROR(__xludf.DUMMYFUNCTION("""COMPUTED_VALUE"""),1798.35)</f>
        <v>1798.35</v>
      </c>
      <c r="E56" s="6">
        <f>IFERROR(__xludf.DUMMYFUNCTION("""COMPUTED_VALUE"""),1809.0)</f>
        <v>1809</v>
      </c>
      <c r="F56" s="6">
        <f>IFERROR(__xludf.DUMMYFUNCTION("""COMPUTED_VALUE"""),1.821623E7)</f>
        <v>18216230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IFERROR(__xludf.DUMMYFUNCTION("""COMPUTED_VALUE"""),1810.0)</f>
        <v>1810</v>
      </c>
      <c r="C57" s="6">
        <f>IFERROR(__xludf.DUMMYFUNCTION("""COMPUTED_VALUE"""),1893.6)</f>
        <v>1893.6</v>
      </c>
      <c r="D57" s="6">
        <f>IFERROR(__xludf.DUMMYFUNCTION("""COMPUTED_VALUE"""),1769.4)</f>
        <v>1769.4</v>
      </c>
      <c r="E57" s="6">
        <f>IFERROR(__xludf.DUMMYFUNCTION("""COMPUTED_VALUE"""),1882.4)</f>
        <v>1882.4</v>
      </c>
      <c r="F57" s="6">
        <f>IFERROR(__xludf.DUMMYFUNCTION("""COMPUTED_VALUE"""),3.0739916E7)</f>
        <v>30739916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IFERROR(__xludf.DUMMYFUNCTION("""COMPUTED_VALUE"""),1885.05)</f>
        <v>1885.05</v>
      </c>
      <c r="C58" s="6">
        <f>IFERROR(__xludf.DUMMYFUNCTION("""COMPUTED_VALUE"""),1916.0)</f>
        <v>1916</v>
      </c>
      <c r="D58" s="6">
        <f>IFERROR(__xludf.DUMMYFUNCTION("""COMPUTED_VALUE"""),1848.0)</f>
        <v>1848</v>
      </c>
      <c r="E58" s="6">
        <f>IFERROR(__xludf.DUMMYFUNCTION("""COMPUTED_VALUE"""),1871.05)</f>
        <v>1871.05</v>
      </c>
      <c r="F58" s="6">
        <f>IFERROR(__xludf.DUMMYFUNCTION("""COMPUTED_VALUE"""),1.9208386E7)</f>
        <v>19208386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IFERROR(__xludf.DUMMYFUNCTION("""COMPUTED_VALUE"""),1850.0)</f>
        <v>1850</v>
      </c>
      <c r="C59" s="6">
        <f>IFERROR(__xludf.DUMMYFUNCTION("""COMPUTED_VALUE"""),1855.0)</f>
        <v>1855</v>
      </c>
      <c r="D59" s="6">
        <f>IFERROR(__xludf.DUMMYFUNCTION("""COMPUTED_VALUE"""),1735.0)</f>
        <v>1735</v>
      </c>
      <c r="E59" s="6">
        <f>IFERROR(__xludf.DUMMYFUNCTION("""COMPUTED_VALUE"""),1768.85)</f>
        <v>1768.85</v>
      </c>
      <c r="F59" s="6">
        <f>IFERROR(__xludf.DUMMYFUNCTION("""COMPUTED_VALUE"""),2.6654703E7)</f>
        <v>26654703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IFERROR(__xludf.DUMMYFUNCTION("""COMPUTED_VALUE"""),1744.0)</f>
        <v>1744</v>
      </c>
      <c r="C60" s="6">
        <f>IFERROR(__xludf.DUMMYFUNCTION("""COMPUTED_VALUE"""),1768.45)</f>
        <v>1768.45</v>
      </c>
      <c r="D60" s="6">
        <f>IFERROR(__xludf.DUMMYFUNCTION("""COMPUTED_VALUE"""),1711.0)</f>
        <v>1711</v>
      </c>
      <c r="E60" s="6">
        <f>IFERROR(__xludf.DUMMYFUNCTION("""COMPUTED_VALUE"""),1745.8)</f>
        <v>1745.8</v>
      </c>
      <c r="F60" s="6">
        <f>IFERROR(__xludf.DUMMYFUNCTION("""COMPUTED_VALUE"""),1.7273506E7)</f>
        <v>17273506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IFERROR(__xludf.DUMMYFUNCTION("""COMPUTED_VALUE"""),1745.0)</f>
        <v>1745</v>
      </c>
      <c r="C61" s="6">
        <f>IFERROR(__xludf.DUMMYFUNCTION("""COMPUTED_VALUE"""),1763.3)</f>
        <v>1763.3</v>
      </c>
      <c r="D61" s="6">
        <f>IFERROR(__xludf.DUMMYFUNCTION("""COMPUTED_VALUE"""),1679.05)</f>
        <v>1679.05</v>
      </c>
      <c r="E61" s="6">
        <f>IFERROR(__xludf.DUMMYFUNCTION("""COMPUTED_VALUE"""),1707.9)</f>
        <v>1707.9</v>
      </c>
      <c r="F61" s="6">
        <f>IFERROR(__xludf.DUMMYFUNCTION("""COMPUTED_VALUE"""),1.3354668E7)</f>
        <v>13354668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IFERROR(__xludf.DUMMYFUNCTION("""COMPUTED_VALUE"""),1714.0)</f>
        <v>1714</v>
      </c>
      <c r="C62" s="6">
        <f>IFERROR(__xludf.DUMMYFUNCTION("""COMPUTED_VALUE"""),1772.2)</f>
        <v>1772.2</v>
      </c>
      <c r="D62" s="6">
        <f>IFERROR(__xludf.DUMMYFUNCTION("""COMPUTED_VALUE"""),1699.7)</f>
        <v>1699.7</v>
      </c>
      <c r="E62" s="6">
        <f>IFERROR(__xludf.DUMMYFUNCTION("""COMPUTED_VALUE"""),1761.45)</f>
        <v>1761.45</v>
      </c>
      <c r="F62" s="6">
        <f>IFERROR(__xludf.DUMMYFUNCTION("""COMPUTED_VALUE"""),1.1689863E7)</f>
        <v>11689863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IFERROR(__xludf.DUMMYFUNCTION("""COMPUTED_VALUE"""),1782.0)</f>
        <v>1782</v>
      </c>
      <c r="C63" s="6">
        <f>IFERROR(__xludf.DUMMYFUNCTION("""COMPUTED_VALUE"""),1805.5)</f>
        <v>1805.5</v>
      </c>
      <c r="D63" s="6">
        <f>IFERROR(__xludf.DUMMYFUNCTION("""COMPUTED_VALUE"""),1753.5)</f>
        <v>1753.5</v>
      </c>
      <c r="E63" s="6">
        <f>IFERROR(__xludf.DUMMYFUNCTION("""COMPUTED_VALUE"""),1765.25)</f>
        <v>1765.25</v>
      </c>
      <c r="F63" s="6">
        <f>IFERROR(__xludf.DUMMYFUNCTION("""COMPUTED_VALUE"""),1.9346004E7)</f>
        <v>19346004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IFERROR(__xludf.DUMMYFUNCTION("""COMPUTED_VALUE"""),1765.0)</f>
        <v>1765</v>
      </c>
      <c r="C64" s="6">
        <f>IFERROR(__xludf.DUMMYFUNCTION("""COMPUTED_VALUE"""),1788.65)</f>
        <v>1788.65</v>
      </c>
      <c r="D64" s="6">
        <f>IFERROR(__xludf.DUMMYFUNCTION("""COMPUTED_VALUE"""),1740.0)</f>
        <v>1740</v>
      </c>
      <c r="E64" s="6">
        <f>IFERROR(__xludf.DUMMYFUNCTION("""COMPUTED_VALUE"""),1776.95)</f>
        <v>1776.95</v>
      </c>
      <c r="F64" s="6">
        <f>IFERROR(__xludf.DUMMYFUNCTION("""COMPUTED_VALUE"""),1.9716827E7)</f>
        <v>19716827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IFERROR(__xludf.DUMMYFUNCTION("""COMPUTED_VALUE"""),1768.1)</f>
        <v>1768.1</v>
      </c>
      <c r="C65" s="6">
        <f>IFERROR(__xludf.DUMMYFUNCTION("""COMPUTED_VALUE"""),1809.0)</f>
        <v>1809</v>
      </c>
      <c r="D65" s="6">
        <f>IFERROR(__xludf.DUMMYFUNCTION("""COMPUTED_VALUE"""),1748.05)</f>
        <v>1748.05</v>
      </c>
      <c r="E65" s="6">
        <f>IFERROR(__xludf.DUMMYFUNCTION("""COMPUTED_VALUE"""),1805.65)</f>
        <v>1805.65</v>
      </c>
      <c r="F65" s="6">
        <f>IFERROR(__xludf.DUMMYFUNCTION("""COMPUTED_VALUE"""),1.4309125E7)</f>
        <v>14309125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IFERROR(__xludf.DUMMYFUNCTION("""COMPUTED_VALUE"""),1803.0)</f>
        <v>1803</v>
      </c>
      <c r="C66" s="6">
        <f>IFERROR(__xludf.DUMMYFUNCTION("""COMPUTED_VALUE"""),1813.0)</f>
        <v>1813</v>
      </c>
      <c r="D66" s="6">
        <f>IFERROR(__xludf.DUMMYFUNCTION("""COMPUTED_VALUE"""),1733.35)</f>
        <v>1733.35</v>
      </c>
      <c r="E66" s="6">
        <f>IFERROR(__xludf.DUMMYFUNCTION("""COMPUTED_VALUE"""),1743.55)</f>
        <v>1743.55</v>
      </c>
      <c r="F66" s="6">
        <f>IFERROR(__xludf.DUMMYFUNCTION("""COMPUTED_VALUE"""),2.8871452E7)</f>
        <v>28871452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IFERROR(__xludf.DUMMYFUNCTION("""COMPUTED_VALUE"""),1747.5)</f>
        <v>1747.5</v>
      </c>
      <c r="C67" s="6">
        <f>IFERROR(__xludf.DUMMYFUNCTION("""COMPUTED_VALUE"""),1777.2)</f>
        <v>1777.2</v>
      </c>
      <c r="D67" s="6">
        <f>IFERROR(__xludf.DUMMYFUNCTION("""COMPUTED_VALUE"""),1738.05)</f>
        <v>1738.05</v>
      </c>
      <c r="E67" s="6">
        <f>IFERROR(__xludf.DUMMYFUNCTION("""COMPUTED_VALUE"""),1759.9)</f>
        <v>1759.9</v>
      </c>
      <c r="F67" s="6">
        <f>IFERROR(__xludf.DUMMYFUNCTION("""COMPUTED_VALUE"""),9040938.0)</f>
        <v>9040938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IFERROR(__xludf.DUMMYFUNCTION("""COMPUTED_VALUE"""),1765.0)</f>
        <v>1765</v>
      </c>
      <c r="C68" s="6">
        <f>IFERROR(__xludf.DUMMYFUNCTION("""COMPUTED_VALUE"""),1853.0)</f>
        <v>1853</v>
      </c>
      <c r="D68" s="6">
        <f>IFERROR(__xludf.DUMMYFUNCTION("""COMPUTED_VALUE"""),1733.5)</f>
        <v>1733.5</v>
      </c>
      <c r="E68" s="6">
        <f>IFERROR(__xludf.DUMMYFUNCTION("""COMPUTED_VALUE"""),1838.65)</f>
        <v>1838.65</v>
      </c>
      <c r="F68" s="6">
        <f>IFERROR(__xludf.DUMMYFUNCTION("""COMPUTED_VALUE"""),2.1093434E7)</f>
        <v>21093434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IFERROR(__xludf.DUMMYFUNCTION("""COMPUTED_VALUE"""),1821.0)</f>
        <v>1821</v>
      </c>
      <c r="C69" s="6">
        <f>IFERROR(__xludf.DUMMYFUNCTION("""COMPUTED_VALUE"""),1825.0)</f>
        <v>1825</v>
      </c>
      <c r="D69" s="6">
        <f>IFERROR(__xludf.DUMMYFUNCTION("""COMPUTED_VALUE"""),1753.35)</f>
        <v>1753.35</v>
      </c>
      <c r="E69" s="6">
        <f>IFERROR(__xludf.DUMMYFUNCTION("""COMPUTED_VALUE"""),1756.2)</f>
        <v>1756.2</v>
      </c>
      <c r="F69" s="6">
        <f>IFERROR(__xludf.DUMMYFUNCTION("""COMPUTED_VALUE"""),2.1729457E7)</f>
        <v>21729457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IFERROR(__xludf.DUMMYFUNCTION("""COMPUTED_VALUE"""),1732.9)</f>
        <v>1732.9</v>
      </c>
      <c r="C70" s="6">
        <f>IFERROR(__xludf.DUMMYFUNCTION("""COMPUTED_VALUE"""),1814.95)</f>
        <v>1814.95</v>
      </c>
      <c r="D70" s="6">
        <f>IFERROR(__xludf.DUMMYFUNCTION("""COMPUTED_VALUE"""),1723.75)</f>
        <v>1723.75</v>
      </c>
      <c r="E70" s="6">
        <f>IFERROR(__xludf.DUMMYFUNCTION("""COMPUTED_VALUE"""),1758.6)</f>
        <v>1758.6</v>
      </c>
      <c r="F70" s="6">
        <f>IFERROR(__xludf.DUMMYFUNCTION("""COMPUTED_VALUE"""),1.9524472E7)</f>
        <v>19524472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IFERROR(__xludf.DUMMYFUNCTION("""COMPUTED_VALUE"""),1890.0)</f>
        <v>1890</v>
      </c>
      <c r="C71" s="6">
        <f>IFERROR(__xludf.DUMMYFUNCTION("""COMPUTED_VALUE"""),1929.9)</f>
        <v>1929.9</v>
      </c>
      <c r="D71" s="6">
        <f>IFERROR(__xludf.DUMMYFUNCTION("""COMPUTED_VALUE"""),1866.0)</f>
        <v>1866</v>
      </c>
      <c r="E71" s="6">
        <f>IFERROR(__xludf.DUMMYFUNCTION("""COMPUTED_VALUE"""),1886.2)</f>
        <v>1886.2</v>
      </c>
      <c r="F71" s="6">
        <f>IFERROR(__xludf.DUMMYFUNCTION("""COMPUTED_VALUE"""),2.9103172E7)</f>
        <v>29103172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IFERROR(__xludf.DUMMYFUNCTION("""COMPUTED_VALUE"""),1893.6)</f>
        <v>1893.6</v>
      </c>
      <c r="C72" s="6">
        <f>IFERROR(__xludf.DUMMYFUNCTION("""COMPUTED_VALUE"""),1960.6)</f>
        <v>1960.6</v>
      </c>
      <c r="D72" s="6">
        <f>IFERROR(__xludf.DUMMYFUNCTION("""COMPUTED_VALUE"""),1877.2)</f>
        <v>1877.2</v>
      </c>
      <c r="E72" s="6">
        <f>IFERROR(__xludf.DUMMYFUNCTION("""COMPUTED_VALUE"""),1929.25)</f>
        <v>1929.25</v>
      </c>
      <c r="F72" s="6">
        <f>IFERROR(__xludf.DUMMYFUNCTION("""COMPUTED_VALUE"""),1.9687956E7)</f>
        <v>19687956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IFERROR(__xludf.DUMMYFUNCTION("""COMPUTED_VALUE"""),1935.3)</f>
        <v>1935.3</v>
      </c>
      <c r="C73" s="6">
        <f>IFERROR(__xludf.DUMMYFUNCTION("""COMPUTED_VALUE"""),1992.8)</f>
        <v>1992.8</v>
      </c>
      <c r="D73" s="6">
        <f>IFERROR(__xludf.DUMMYFUNCTION("""COMPUTED_VALUE"""),1904.95)</f>
        <v>1904.95</v>
      </c>
      <c r="E73" s="6">
        <f>IFERROR(__xludf.DUMMYFUNCTION("""COMPUTED_VALUE"""),1952.4)</f>
        <v>1952.4</v>
      </c>
      <c r="F73" s="6">
        <f>IFERROR(__xludf.DUMMYFUNCTION("""COMPUTED_VALUE"""),2.558348E7)</f>
        <v>25583480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IFERROR(__xludf.DUMMYFUNCTION("""COMPUTED_VALUE"""),1955.0)</f>
        <v>1955</v>
      </c>
      <c r="C74" s="6">
        <f>IFERROR(__xludf.DUMMYFUNCTION("""COMPUTED_VALUE"""),1994.9)</f>
        <v>1994.9</v>
      </c>
      <c r="D74" s="6">
        <f>IFERROR(__xludf.DUMMYFUNCTION("""COMPUTED_VALUE"""),1932.65)</f>
        <v>1932.65</v>
      </c>
      <c r="E74" s="6">
        <f>IFERROR(__xludf.DUMMYFUNCTION("""COMPUTED_VALUE"""),1953.05)</f>
        <v>1953.05</v>
      </c>
      <c r="F74" s="6">
        <f>IFERROR(__xludf.DUMMYFUNCTION("""COMPUTED_VALUE"""),1.9291333E7)</f>
        <v>19291333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IFERROR(__xludf.DUMMYFUNCTION("""COMPUTED_VALUE"""),1938.3)</f>
        <v>1938.3</v>
      </c>
      <c r="C75" s="6">
        <f>IFERROR(__xludf.DUMMYFUNCTION("""COMPUTED_VALUE"""),1979.55)</f>
        <v>1979.55</v>
      </c>
      <c r="D75" s="6">
        <f>IFERROR(__xludf.DUMMYFUNCTION("""COMPUTED_VALUE"""),1893.9)</f>
        <v>1893.9</v>
      </c>
      <c r="E75" s="6">
        <f>IFERROR(__xludf.DUMMYFUNCTION("""COMPUTED_VALUE"""),1902.95)</f>
        <v>1902.95</v>
      </c>
      <c r="F75" s="6">
        <f>IFERROR(__xludf.DUMMYFUNCTION("""COMPUTED_VALUE"""),1.6916358E7)</f>
        <v>16916358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IFERROR(__xludf.DUMMYFUNCTION("""COMPUTED_VALUE"""),1905.55)</f>
        <v>1905.55</v>
      </c>
      <c r="C76" s="6">
        <f>IFERROR(__xludf.DUMMYFUNCTION("""COMPUTED_VALUE"""),1953.65)</f>
        <v>1953.65</v>
      </c>
      <c r="D76" s="6">
        <f>IFERROR(__xludf.DUMMYFUNCTION("""COMPUTED_VALUE"""),1895.2)</f>
        <v>1895.2</v>
      </c>
      <c r="E76" s="6">
        <f>IFERROR(__xludf.DUMMYFUNCTION("""COMPUTED_VALUE"""),1935.4)</f>
        <v>1935.4</v>
      </c>
      <c r="F76" s="6">
        <f>IFERROR(__xludf.DUMMYFUNCTION("""COMPUTED_VALUE"""),1.7564959E7)</f>
        <v>17564959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IFERROR(__xludf.DUMMYFUNCTION("""COMPUTED_VALUE"""),1932.5)</f>
        <v>1932.5</v>
      </c>
      <c r="C77" s="6">
        <f>IFERROR(__xludf.DUMMYFUNCTION("""COMPUTED_VALUE"""),1997.7)</f>
        <v>1997.7</v>
      </c>
      <c r="D77" s="6">
        <f>IFERROR(__xludf.DUMMYFUNCTION("""COMPUTED_VALUE"""),1904.45)</f>
        <v>1904.45</v>
      </c>
      <c r="E77" s="6">
        <f>IFERROR(__xludf.DUMMYFUNCTION("""COMPUTED_VALUE"""),1985.1)</f>
        <v>1985.1</v>
      </c>
      <c r="F77" s="6">
        <f>IFERROR(__xludf.DUMMYFUNCTION("""COMPUTED_VALUE"""),1.7065874E7)</f>
        <v>17065874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IFERROR(__xludf.DUMMYFUNCTION("""COMPUTED_VALUE"""),1980.1)</f>
        <v>1980.1</v>
      </c>
      <c r="C78" s="6">
        <f>IFERROR(__xludf.DUMMYFUNCTION("""COMPUTED_VALUE"""),2097.6)</f>
        <v>2097.6</v>
      </c>
      <c r="D78" s="6">
        <f>IFERROR(__xludf.DUMMYFUNCTION("""COMPUTED_VALUE"""),1974.25)</f>
        <v>1974.25</v>
      </c>
      <c r="E78" s="6">
        <f>IFERROR(__xludf.DUMMYFUNCTION("""COMPUTED_VALUE"""),2079.0)</f>
        <v>2079</v>
      </c>
      <c r="F78" s="6">
        <f>IFERROR(__xludf.DUMMYFUNCTION("""COMPUTED_VALUE"""),3.5427619E7)</f>
        <v>35427619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IFERROR(__xludf.DUMMYFUNCTION("""COMPUTED_VALUE"""),2100.0)</f>
        <v>2100</v>
      </c>
      <c r="C79" s="6">
        <f>IFERROR(__xludf.DUMMYFUNCTION("""COMPUTED_VALUE"""),2202.5)</f>
        <v>2202.5</v>
      </c>
      <c r="D79" s="6">
        <f>IFERROR(__xludf.DUMMYFUNCTION("""COMPUTED_VALUE"""),2090.25)</f>
        <v>2090.25</v>
      </c>
      <c r="E79" s="6">
        <f>IFERROR(__xludf.DUMMYFUNCTION("""COMPUTED_VALUE"""),2171.2)</f>
        <v>2171.2</v>
      </c>
      <c r="F79" s="6">
        <f>IFERROR(__xludf.DUMMYFUNCTION("""COMPUTED_VALUE"""),3.1961177E7)</f>
        <v>31961177</v>
      </c>
    </row>
    <row r="80">
      <c r="A80" s="7">
        <f>IFERROR(__xludf.DUMMYFUNCTION("""COMPUTED_VALUE"""),45751.64583333333)</f>
        <v>45751.64583</v>
      </c>
      <c r="B80" s="6">
        <f>IFERROR(__xludf.DUMMYFUNCTION("""COMPUTED_VALUE"""),2174.3)</f>
        <v>2174.3</v>
      </c>
      <c r="C80" s="6">
        <f>IFERROR(__xludf.DUMMYFUNCTION("""COMPUTED_VALUE"""),2178.5)</f>
        <v>2178.5</v>
      </c>
      <c r="D80" s="6">
        <f>IFERROR(__xludf.DUMMYFUNCTION("""COMPUTED_VALUE"""),2118.15)</f>
        <v>2118.15</v>
      </c>
      <c r="E80" s="6">
        <f>IFERROR(__xludf.DUMMYFUNCTION("""COMPUTED_VALUE"""),2131.95)</f>
        <v>2131.95</v>
      </c>
      <c r="F80" s="6">
        <f>IFERROR(__xludf.DUMMYFUNCTION("""COMPUTED_VALUE"""),1.1365572E7)</f>
        <v>11365572</v>
      </c>
    </row>
    <row r="81">
      <c r="A81" s="7">
        <f>IFERROR(__xludf.DUMMYFUNCTION("""COMPUTED_VALUE"""),45758.64583333333)</f>
        <v>45758.64583</v>
      </c>
      <c r="B81" s="6">
        <f>IFERROR(__xludf.DUMMYFUNCTION("""COMPUTED_VALUE"""),2018.7)</f>
        <v>2018.7</v>
      </c>
      <c r="C81" s="6">
        <f>IFERROR(__xludf.DUMMYFUNCTION("""COMPUTED_VALUE"""),2139.5)</f>
        <v>2139.5</v>
      </c>
      <c r="D81" s="6">
        <f>IFERROR(__xludf.DUMMYFUNCTION("""COMPUTED_VALUE"""),2000.8)</f>
        <v>2000.8</v>
      </c>
      <c r="E81" s="6">
        <f>IFERROR(__xludf.DUMMYFUNCTION("""COMPUTED_VALUE"""),2111.2)</f>
        <v>2111.2</v>
      </c>
      <c r="F81" s="6">
        <f>IFERROR(__xludf.DUMMYFUNCTION("""COMPUTED_VALUE"""),2.0747655E7)</f>
        <v>20747655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IFERROR(__xludf.DUMMYFUNCTION("""COMPUTED_VALUE"""),2145.0)</f>
        <v>2145</v>
      </c>
      <c r="C82" s="6">
        <f>IFERROR(__xludf.DUMMYFUNCTION("""COMPUTED_VALUE"""),2193.9)</f>
        <v>2193.9</v>
      </c>
      <c r="D82" s="6">
        <f>IFERROR(__xludf.DUMMYFUNCTION("""COMPUTED_VALUE"""),2097.7)</f>
        <v>2097.7</v>
      </c>
      <c r="E82" s="6">
        <f>IFERROR(__xludf.DUMMYFUNCTION("""COMPUTED_VALUE"""),2188.1)</f>
        <v>2188.1</v>
      </c>
      <c r="F82" s="6">
        <f>IFERROR(__xludf.DUMMYFUNCTION("""COMPUTED_VALUE"""),1.3924075E7)</f>
        <v>13924075</v>
      </c>
    </row>
    <row r="83">
      <c r="A83" s="7">
        <f>IFERROR(__xludf.DUMMYFUNCTION("""COMPUTED_VALUE"""),45772.64583333333)</f>
        <v>45772.64583</v>
      </c>
      <c r="B83" s="6">
        <f>IFERROR(__xludf.DUMMYFUNCTION("""COMPUTED_VALUE"""),2195.0)</f>
        <v>2195</v>
      </c>
      <c r="C83" s="6">
        <f>IFERROR(__xludf.DUMMYFUNCTION("""COMPUTED_VALUE"""),2301.9)</f>
        <v>2301.9</v>
      </c>
      <c r="D83" s="6">
        <f>IFERROR(__xludf.DUMMYFUNCTION("""COMPUTED_VALUE"""),2175.4)</f>
        <v>2175.4</v>
      </c>
      <c r="E83" s="6">
        <f>IFERROR(__xludf.DUMMYFUNCTION("""COMPUTED_VALUE"""),2204.4)</f>
        <v>2204.4</v>
      </c>
      <c r="F83" s="6">
        <f>IFERROR(__xludf.DUMMYFUNCTION("""COMPUTED_VALUE"""),2.14479E7)</f>
        <v>21447900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IFERROR(__xludf.DUMMYFUNCTION("""COMPUTED_VALUE"""),2197.0)</f>
        <v>2197</v>
      </c>
      <c r="C84" s="6">
        <f>IFERROR(__xludf.DUMMYFUNCTION("""COMPUTED_VALUE"""),2247.0)</f>
        <v>2247</v>
      </c>
      <c r="D84" s="6">
        <f>IFERROR(__xludf.DUMMYFUNCTION("""COMPUTED_VALUE"""),2171.2)</f>
        <v>2171.2</v>
      </c>
      <c r="E84" s="6">
        <f>IFERROR(__xludf.DUMMYFUNCTION("""COMPUTED_VALUE"""),2185.2)</f>
        <v>2185.2</v>
      </c>
      <c r="F84" s="6">
        <f>IFERROR(__xludf.DUMMYFUNCTION("""COMPUTED_VALUE"""),1.1935166E7)</f>
        <v>11935166</v>
      </c>
    </row>
    <row r="85">
      <c r="A85" s="7">
        <f>IFERROR(__xludf.DUMMYFUNCTION("""COMPUTED_VALUE"""),45786.64583333333)</f>
        <v>45786.64583</v>
      </c>
      <c r="B85" s="6">
        <f>IFERROR(__xludf.DUMMYFUNCTION("""COMPUTED_VALUE"""),2105.1)</f>
        <v>2105.1</v>
      </c>
      <c r="C85" s="6">
        <f>IFERROR(__xludf.DUMMYFUNCTION("""COMPUTED_VALUE"""),2138.7)</f>
        <v>2138.7</v>
      </c>
      <c r="D85" s="6">
        <f>IFERROR(__xludf.DUMMYFUNCTION("""COMPUTED_VALUE"""),2054.5)</f>
        <v>2054.5</v>
      </c>
      <c r="E85" s="6">
        <f>IFERROR(__xludf.DUMMYFUNCTION("""COMPUTED_VALUE"""),2103.1)</f>
        <v>2103.1</v>
      </c>
      <c r="F85" s="6">
        <f>IFERROR(__xludf.DUMMYFUNCTION("""COMPUTED_VALUE"""),2.7545341E7)</f>
        <v>27545341</v>
      </c>
    </row>
    <row r="86">
      <c r="A86" s="7">
        <f>IFERROR(__xludf.DUMMYFUNCTION("""COMPUTED_VALUE"""),45793.64583333333)</f>
        <v>45793.64583</v>
      </c>
      <c r="B86" s="6">
        <f>IFERROR(__xludf.DUMMYFUNCTION("""COMPUTED_VALUE"""),2134.0)</f>
        <v>2134</v>
      </c>
      <c r="C86" s="6">
        <f>IFERROR(__xludf.DUMMYFUNCTION("""COMPUTED_VALUE"""),2163.6)</f>
        <v>2163.6</v>
      </c>
      <c r="D86" s="6">
        <f>IFERROR(__xludf.DUMMYFUNCTION("""COMPUTED_VALUE"""),2065.4)</f>
        <v>2065.4</v>
      </c>
      <c r="E86" s="6">
        <f>IFERROR(__xludf.DUMMYFUNCTION("""COMPUTED_VALUE"""),2108.2)</f>
        <v>2108.2</v>
      </c>
      <c r="F86" s="6">
        <f>IFERROR(__xludf.DUMMYFUNCTION("""COMPUTED_VALUE"""),1.5787559E7)</f>
        <v>15787559</v>
      </c>
    </row>
    <row r="87">
      <c r="A87" s="7">
        <f>IFERROR(__xludf.DUMMYFUNCTION("""COMPUTED_VALUE"""),45800.64583333333)</f>
        <v>45800.64583</v>
      </c>
      <c r="B87" s="6">
        <f>IFERROR(__xludf.DUMMYFUNCTION("""COMPUTED_VALUE"""),2102.0)</f>
        <v>2102</v>
      </c>
      <c r="C87" s="6">
        <f>IFERROR(__xludf.DUMMYFUNCTION("""COMPUTED_VALUE"""),2124.0)</f>
        <v>2124</v>
      </c>
      <c r="D87" s="6">
        <f>IFERROR(__xludf.DUMMYFUNCTION("""COMPUTED_VALUE"""),2050.7)</f>
        <v>2050.7</v>
      </c>
      <c r="E87" s="6">
        <f>IFERROR(__xludf.DUMMYFUNCTION("""COMPUTED_VALUE"""),2100.8)</f>
        <v>2100.8</v>
      </c>
      <c r="F87" s="6">
        <f>IFERROR(__xludf.DUMMYFUNCTION("""COMPUTED_VALUE"""),1.2496823E7)</f>
        <v>12496823</v>
      </c>
    </row>
    <row r="88">
      <c r="A88" s="7">
        <f>IFERROR(__xludf.DUMMYFUNCTION("""COMPUTED_VALUE"""),45807.64583333333)</f>
        <v>45807.64583</v>
      </c>
      <c r="B88" s="6">
        <f>IFERROR(__xludf.DUMMYFUNCTION("""COMPUTED_VALUE"""),2090.1)</f>
        <v>2090.1</v>
      </c>
      <c r="C88" s="6">
        <f>IFERROR(__xludf.DUMMYFUNCTION("""COMPUTED_VALUE"""),2112.0)</f>
        <v>2112</v>
      </c>
      <c r="D88" s="6">
        <f>IFERROR(__xludf.DUMMYFUNCTION("""COMPUTED_VALUE"""),2055.0)</f>
        <v>2055</v>
      </c>
      <c r="E88" s="6">
        <f>IFERROR(__xludf.DUMMYFUNCTION("""COMPUTED_VALUE"""),2074.7)</f>
        <v>2074.7</v>
      </c>
      <c r="F88" s="6">
        <f>IFERROR(__xludf.DUMMYFUNCTION("""COMPUTED_VALUE"""),2.1929971E7)</f>
        <v>21929971</v>
      </c>
    </row>
    <row r="89">
      <c r="A89" s="7">
        <f>IFERROR(__xludf.DUMMYFUNCTION("""COMPUTED_VALUE"""),45814.64583333333)</f>
        <v>45814.64583</v>
      </c>
      <c r="B89" s="6">
        <f>IFERROR(__xludf.DUMMYFUNCTION("""COMPUTED_VALUE"""),2067.0)</f>
        <v>2067</v>
      </c>
      <c r="C89" s="6">
        <f>IFERROR(__xludf.DUMMYFUNCTION("""COMPUTED_VALUE"""),2084.9)</f>
        <v>2084.9</v>
      </c>
      <c r="D89" s="6">
        <f>IFERROR(__xludf.DUMMYFUNCTION("""COMPUTED_VALUE"""),2033.8)</f>
        <v>2033.8</v>
      </c>
      <c r="E89" s="6">
        <f>IFERROR(__xludf.DUMMYFUNCTION("""COMPUTED_VALUE"""),2073.4)</f>
        <v>2073.4</v>
      </c>
      <c r="F89" s="6">
        <f>IFERROR(__xludf.DUMMYFUNCTION("""COMPUTED_VALUE"""),1.9645728E7)</f>
        <v>19645728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IFERROR(__xludf.DUMMYFUNCTION("""COMPUTED_VALUE"""),2111.0)</f>
        <v>2111</v>
      </c>
      <c r="C90" s="6">
        <f>IFERROR(__xludf.DUMMYFUNCTION("""COMPUTED_VALUE"""),2172.9)</f>
        <v>2172.9</v>
      </c>
      <c r="D90" s="6">
        <f>IFERROR(__xludf.DUMMYFUNCTION("""COMPUTED_VALUE"""),2072.0)</f>
        <v>2072</v>
      </c>
      <c r="E90" s="6">
        <f>IFERROR(__xludf.DUMMYFUNCTION("""COMPUTED_VALUE"""),2107.4)</f>
        <v>2107.4</v>
      </c>
      <c r="F90" s="6">
        <f>IFERROR(__xludf.DUMMYFUNCTION("""COMPUTED_VALUE"""),1.9922337E7)</f>
        <v>19922337</v>
      </c>
    </row>
    <row r="91">
      <c r="A91" s="7">
        <f>IFERROR(__xludf.DUMMYFUNCTION("""COMPUTED_VALUE"""),45828.64583333333)</f>
        <v>45828.64583</v>
      </c>
      <c r="B91" s="6">
        <f>IFERROR(__xludf.DUMMYFUNCTION("""COMPUTED_VALUE"""),2107.9)</f>
        <v>2107.9</v>
      </c>
      <c r="C91" s="6">
        <f>IFERROR(__xludf.DUMMYFUNCTION("""COMPUTED_VALUE"""),2176.0)</f>
        <v>2176</v>
      </c>
      <c r="D91" s="6">
        <f>IFERROR(__xludf.DUMMYFUNCTION("""COMPUTED_VALUE"""),2088.8)</f>
        <v>2088.8</v>
      </c>
      <c r="E91" s="6">
        <f>IFERROR(__xludf.DUMMYFUNCTION("""COMPUTED_VALUE"""),2169.8)</f>
        <v>2169.8</v>
      </c>
      <c r="F91" s="6">
        <f>IFERROR(__xludf.DUMMYFUNCTION("""COMPUTED_VALUE"""),1.6728382E7)</f>
        <v>16728382</v>
      </c>
    </row>
    <row r="92">
      <c r="A92" s="7">
        <f>IFERROR(__xludf.DUMMYFUNCTION("""COMPUTED_VALUE"""),45835.64583333333)</f>
        <v>45835.64583</v>
      </c>
      <c r="B92" s="6">
        <f>IFERROR(__xludf.DUMMYFUNCTION("""COMPUTED_VALUE"""),2158.1)</f>
        <v>2158.1</v>
      </c>
      <c r="C92" s="6">
        <f>IFERROR(__xludf.DUMMYFUNCTION("""COMPUTED_VALUE"""),2233.6)</f>
        <v>2233.6</v>
      </c>
      <c r="D92" s="6">
        <f>IFERROR(__xludf.DUMMYFUNCTION("""COMPUTED_VALUE"""),2151.2)</f>
        <v>2151.2</v>
      </c>
      <c r="E92" s="6">
        <f>IFERROR(__xludf.DUMMYFUNCTION("""COMPUTED_VALUE"""),2207.9)</f>
        <v>2207.9</v>
      </c>
      <c r="F92" s="6">
        <f>IFERROR(__xludf.DUMMYFUNCTION("""COMPUTED_VALUE"""),2.6220129E7)</f>
        <v>26220129</v>
      </c>
    </row>
    <row r="93">
      <c r="A93" s="7">
        <f>IFERROR(__xludf.DUMMYFUNCTION("""COMPUTED_VALUE"""),45842.64583333333)</f>
        <v>45842.64583</v>
      </c>
      <c r="B93" s="6">
        <f>IFERROR(__xludf.DUMMYFUNCTION("""COMPUTED_VALUE"""),2207.9)</f>
        <v>2207.9</v>
      </c>
      <c r="C93" s="6">
        <f>IFERROR(__xludf.DUMMYFUNCTION("""COMPUTED_VALUE"""),2209.0)</f>
        <v>2209</v>
      </c>
      <c r="D93" s="6">
        <f>IFERROR(__xludf.DUMMYFUNCTION("""COMPUTED_VALUE"""),2111.0)</f>
        <v>2111</v>
      </c>
      <c r="E93" s="6">
        <f>IFERROR(__xludf.DUMMYFUNCTION("""COMPUTED_VALUE"""),2129.8)</f>
        <v>2129.8</v>
      </c>
      <c r="F93" s="6">
        <f>IFERROR(__xludf.DUMMYFUNCTION("""COMPUTED_VALUE"""),1.5983536E7)</f>
        <v>15983536</v>
      </c>
    </row>
    <row r="94">
      <c r="A94" s="7">
        <f>IFERROR(__xludf.DUMMYFUNCTION("""COMPUTED_VALUE"""),45849.64583333333)</f>
        <v>45849.64583</v>
      </c>
      <c r="B94" s="6">
        <f>IFERROR(__xludf.DUMMYFUNCTION("""COMPUTED_VALUE"""),2130.0)</f>
        <v>2130</v>
      </c>
      <c r="C94" s="6">
        <f>IFERROR(__xludf.DUMMYFUNCTION("""COMPUTED_VALUE"""),2242.7)</f>
        <v>2242.7</v>
      </c>
      <c r="D94" s="6">
        <f>IFERROR(__xludf.DUMMYFUNCTION("""COMPUTED_VALUE"""),2121.8)</f>
        <v>2121.8</v>
      </c>
      <c r="E94" s="6">
        <f>IFERROR(__xludf.DUMMYFUNCTION("""COMPUTED_VALUE"""),2220.6)</f>
        <v>2220.6</v>
      </c>
      <c r="F94" s="6">
        <f>IFERROR(__xludf.DUMMYFUNCTION("""COMPUTED_VALUE"""),2.0118757E7)</f>
        <v>20118757</v>
      </c>
    </row>
    <row r="95">
      <c r="A95" s="7">
        <f>IFERROR(__xludf.DUMMYFUNCTION("""COMPUTED_VALUE"""),45856.64583333333)</f>
        <v>45856.64583</v>
      </c>
      <c r="B95" s="6">
        <f>IFERROR(__xludf.DUMMYFUNCTION("""COMPUTED_VALUE"""),2223.9)</f>
        <v>2223.9</v>
      </c>
      <c r="C95" s="6">
        <f>IFERROR(__xludf.DUMMYFUNCTION("""COMPUTED_VALUE"""),2233.6)</f>
        <v>2233.6</v>
      </c>
      <c r="D95" s="6">
        <f>IFERROR(__xludf.DUMMYFUNCTION("""COMPUTED_VALUE"""),2131.0)</f>
        <v>2131</v>
      </c>
      <c r="E95" s="6">
        <f>IFERROR(__xludf.DUMMYFUNCTION("""COMPUTED_VALUE"""),2140.5)</f>
        <v>2140.5</v>
      </c>
      <c r="F95" s="6">
        <f>IFERROR(__xludf.DUMMYFUNCTION("""COMPUTED_VALUE"""),1.2403287E7)</f>
        <v>12403287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IFERROR(__xludf.DUMMYFUNCTION("""COMPUTED_VALUE"""),2138.1)</f>
        <v>2138.1</v>
      </c>
      <c r="C96" s="6">
        <f>IFERROR(__xludf.DUMMYFUNCTION("""COMPUTED_VALUE"""),2179.8)</f>
        <v>2179.8</v>
      </c>
      <c r="D96" s="6">
        <f>IFERROR(__xludf.DUMMYFUNCTION("""COMPUTED_VALUE"""),2118.3)</f>
        <v>2118.3</v>
      </c>
      <c r="E96" s="6">
        <f>IFERROR(__xludf.DUMMYFUNCTION("""COMPUTED_VALUE"""),2124.6)</f>
        <v>2124.6</v>
      </c>
      <c r="F96" s="6">
        <f>IFERROR(__xludf.DUMMYFUNCTION("""COMPUTED_VALUE"""),9986077.0)</f>
        <v>9986077</v>
      </c>
    </row>
    <row r="97">
      <c r="A97" s="7">
        <f>IFERROR(__xludf.DUMMYFUNCTION("""COMPUTED_VALUE"""),45870.64583333333)</f>
        <v>45870.64583</v>
      </c>
      <c r="B97" s="6">
        <f>IFERROR(__xludf.DUMMYFUNCTION("""COMPUTED_VALUE"""),2025.3)</f>
        <v>2025.3</v>
      </c>
      <c r="C97" s="6">
        <f>IFERROR(__xludf.DUMMYFUNCTION("""COMPUTED_VALUE"""),2055.3)</f>
        <v>2055.3</v>
      </c>
      <c r="D97" s="6">
        <f>IFERROR(__xludf.DUMMYFUNCTION("""COMPUTED_VALUE"""),1935.0)</f>
        <v>1935</v>
      </c>
      <c r="E97" s="6">
        <f>IFERROR(__xludf.DUMMYFUNCTION("""COMPUTED_VALUE"""),1992.4)</f>
        <v>1992.4</v>
      </c>
      <c r="F97" s="6">
        <f>IFERROR(__xludf.DUMMYFUNCTION("""COMPUTED_VALUE"""),2.9434915E7)</f>
        <v>29434915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IFERROR(__xludf.DUMMYFUNCTION("""COMPUTED_VALUE"""),1987.0)</f>
        <v>1987</v>
      </c>
      <c r="C98" s="6">
        <f>IFERROR(__xludf.DUMMYFUNCTION("""COMPUTED_VALUE"""),2025.6)</f>
        <v>2025.6</v>
      </c>
      <c r="D98" s="6">
        <f>IFERROR(__xludf.DUMMYFUNCTION("""COMPUTED_VALUE"""),1948.2)</f>
        <v>1948.2</v>
      </c>
      <c r="E98" s="6">
        <f>IFERROR(__xludf.DUMMYFUNCTION("""COMPUTED_VALUE"""),1952.7)</f>
        <v>1952.7</v>
      </c>
      <c r="F98" s="6">
        <f>IFERROR(__xludf.DUMMYFUNCTION("""COMPUTED_VALUE"""),2.33648E7)</f>
        <v>23364800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IFERROR(__xludf.DUMMYFUNCTION("""COMPUTED_VALUE"""),1964.0)</f>
        <v>1964</v>
      </c>
      <c r="C99" s="6">
        <f>IFERROR(__xludf.DUMMYFUNCTION("""COMPUTED_VALUE"""),2024.0)</f>
        <v>2024</v>
      </c>
      <c r="D99" s="6">
        <f>IFERROR(__xludf.DUMMYFUNCTION("""COMPUTED_VALUE"""),1956.4)</f>
        <v>1956.4</v>
      </c>
      <c r="E99" s="6">
        <f>IFERROR(__xludf.DUMMYFUNCTION("""COMPUTED_VALUE"""),1978.2)</f>
        <v>1978.2</v>
      </c>
      <c r="F99" s="6">
        <f>IFERROR(__xludf.DUMMYFUNCTION("""COMPUTED_VALUE"""),8511663.0)</f>
        <v>8511663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IFERROR(__xludf.DUMMYFUNCTION("""COMPUTED_VALUE"""),1997.9)</f>
        <v>1997.9</v>
      </c>
      <c r="C100" s="6">
        <f>IFERROR(__xludf.DUMMYFUNCTION("""COMPUTED_VALUE"""),2039.0)</f>
        <v>2039</v>
      </c>
      <c r="D100" s="6">
        <f>IFERROR(__xludf.DUMMYFUNCTION("""COMPUTED_VALUE"""),1980.2)</f>
        <v>1980.2</v>
      </c>
      <c r="E100" s="6">
        <f>IFERROR(__xludf.DUMMYFUNCTION("""COMPUTED_VALUE"""),1986.6)</f>
        <v>1986.6</v>
      </c>
      <c r="F100" s="6">
        <f>IFERROR(__xludf.DUMMYFUNCTION("""COMPUTED_VALUE"""),1.4733134E7)</f>
        <v>14733134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IFERROR(__xludf.DUMMYFUNCTION("""COMPUTED_VALUE"""),1987.0)</f>
        <v>1987</v>
      </c>
      <c r="C101" s="6">
        <f>IFERROR(__xludf.DUMMYFUNCTION("""COMPUTED_VALUE"""),1998.8)</f>
        <v>1998.8</v>
      </c>
      <c r="D101" s="6">
        <f>IFERROR(__xludf.DUMMYFUNCTION("""COMPUTED_VALUE"""),1961.2)</f>
        <v>1961.2</v>
      </c>
      <c r="E101" s="6">
        <f>IFERROR(__xludf.DUMMYFUNCTION("""COMPUTED_VALUE"""),1965.7)</f>
        <v>1965.7</v>
      </c>
      <c r="F101" s="6">
        <f>IFERROR(__xludf.DUMMYFUNCTION("""COMPUTED_VALUE"""),4.3278308E7)</f>
        <v>43278308</v>
      </c>
    </row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IFERROR(__xludf.DUMMYFUNCTION("GOOGLEFINANCE(""NSE:KPITTECH"",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IFERROR(__xludf.DUMMYFUNCTION("""COMPUTED_VALUE"""),1153.15)</f>
        <v>1153.15</v>
      </c>
      <c r="C2" s="6">
        <f>IFERROR(__xludf.DUMMYFUNCTION("""COMPUTED_VALUE"""),1219.3)</f>
        <v>1219.3</v>
      </c>
      <c r="D2" s="6">
        <f>IFERROR(__xludf.DUMMYFUNCTION("""COMPUTED_VALUE"""),1133.0)</f>
        <v>1133</v>
      </c>
      <c r="E2" s="6">
        <f>IFERROR(__xludf.DUMMYFUNCTION("""COMPUTED_VALUE"""),1200.7)</f>
        <v>1200.7</v>
      </c>
      <c r="F2" s="6">
        <f>IFERROR(__xludf.DUMMYFUNCTION("""COMPUTED_VALUE"""),3369712.0)</f>
        <v>3369712</v>
      </c>
    </row>
    <row r="3">
      <c r="A3" s="7">
        <f>IFERROR(__xludf.DUMMYFUNCTION("""COMPUTED_VALUE"""),45177.64583333333)</f>
        <v>45177.64583</v>
      </c>
      <c r="B3" s="6">
        <f>IFERROR(__xludf.DUMMYFUNCTION("""COMPUTED_VALUE"""),1201.15)</f>
        <v>1201.15</v>
      </c>
      <c r="C3" s="6">
        <f>IFERROR(__xludf.DUMMYFUNCTION("""COMPUTED_VALUE"""),1211.4)</f>
        <v>1211.4</v>
      </c>
      <c r="D3" s="6">
        <f>IFERROR(__xludf.DUMMYFUNCTION("""COMPUTED_VALUE"""),1158.95)</f>
        <v>1158.95</v>
      </c>
      <c r="E3" s="6">
        <f>IFERROR(__xludf.DUMMYFUNCTION("""COMPUTED_VALUE"""),1164.5)</f>
        <v>1164.5</v>
      </c>
      <c r="F3" s="6">
        <f>IFERROR(__xludf.DUMMYFUNCTION("""COMPUTED_VALUE"""),2935925.0)</f>
        <v>2935925</v>
      </c>
    </row>
    <row r="4">
      <c r="A4" s="7">
        <f>IFERROR(__xludf.DUMMYFUNCTION("""COMPUTED_VALUE"""),45184.64583333333)</f>
        <v>45184.64583</v>
      </c>
      <c r="B4" s="6">
        <f>IFERROR(__xludf.DUMMYFUNCTION("""COMPUTED_VALUE"""),1170.55)</f>
        <v>1170.55</v>
      </c>
      <c r="C4" s="6">
        <f>IFERROR(__xludf.DUMMYFUNCTION("""COMPUTED_VALUE"""),1191.0)</f>
        <v>1191</v>
      </c>
      <c r="D4" s="6">
        <f>IFERROR(__xludf.DUMMYFUNCTION("""COMPUTED_VALUE"""),1112.15)</f>
        <v>1112.15</v>
      </c>
      <c r="E4" s="6">
        <f>IFERROR(__xludf.DUMMYFUNCTION("""COMPUTED_VALUE"""),1169.65)</f>
        <v>1169.65</v>
      </c>
      <c r="F4" s="6">
        <f>IFERROR(__xludf.DUMMYFUNCTION("""COMPUTED_VALUE"""),3010719.0)</f>
        <v>3010719</v>
      </c>
    </row>
    <row r="5">
      <c r="A5" s="7">
        <f>IFERROR(__xludf.DUMMYFUNCTION("""COMPUTED_VALUE"""),45191.64583333333)</f>
        <v>45191.64583</v>
      </c>
      <c r="B5" s="6">
        <f>IFERROR(__xludf.DUMMYFUNCTION("""COMPUTED_VALUE"""),1169.6)</f>
        <v>1169.6</v>
      </c>
      <c r="C5" s="6">
        <f>IFERROR(__xludf.DUMMYFUNCTION("""COMPUTED_VALUE"""),1169.6)</f>
        <v>1169.6</v>
      </c>
      <c r="D5" s="6">
        <f>IFERROR(__xludf.DUMMYFUNCTION("""COMPUTED_VALUE"""),1045.0)</f>
        <v>1045</v>
      </c>
      <c r="E5" s="6">
        <f>IFERROR(__xludf.DUMMYFUNCTION("""COMPUTED_VALUE"""),1073.75)</f>
        <v>1073.75</v>
      </c>
      <c r="F5" s="6">
        <f>IFERROR(__xludf.DUMMYFUNCTION("""COMPUTED_VALUE"""),3129872.0)</f>
        <v>3129872</v>
      </c>
    </row>
    <row r="6">
      <c r="A6" s="7">
        <f>IFERROR(__xludf.DUMMYFUNCTION("""COMPUTED_VALUE"""),45198.64583333333)</f>
        <v>45198.64583</v>
      </c>
      <c r="B6" s="6">
        <f>IFERROR(__xludf.DUMMYFUNCTION("""COMPUTED_VALUE"""),1078.9)</f>
        <v>1078.9</v>
      </c>
      <c r="C6" s="6">
        <f>IFERROR(__xludf.DUMMYFUNCTION("""COMPUTED_VALUE"""),1174.0)</f>
        <v>1174</v>
      </c>
      <c r="D6" s="6">
        <f>IFERROR(__xludf.DUMMYFUNCTION("""COMPUTED_VALUE"""),1038.0)</f>
        <v>1038</v>
      </c>
      <c r="E6" s="6">
        <f>IFERROR(__xludf.DUMMYFUNCTION("""COMPUTED_VALUE"""),1152.3)</f>
        <v>1152.3</v>
      </c>
      <c r="F6" s="6">
        <f>IFERROR(__xludf.DUMMYFUNCTION("""COMPUTED_VALUE"""),5395841.0)</f>
        <v>5395841</v>
      </c>
    </row>
    <row r="7">
      <c r="A7" s="7">
        <f>IFERROR(__xludf.DUMMYFUNCTION("""COMPUTED_VALUE"""),45205.64583333333)</f>
        <v>45205.64583</v>
      </c>
      <c r="B7" s="6">
        <f>IFERROR(__xludf.DUMMYFUNCTION("""COMPUTED_VALUE"""),1152.4)</f>
        <v>1152.4</v>
      </c>
      <c r="C7" s="6">
        <f>IFERROR(__xludf.DUMMYFUNCTION("""COMPUTED_VALUE"""),1171.9)</f>
        <v>1171.9</v>
      </c>
      <c r="D7" s="6">
        <f>IFERROR(__xludf.DUMMYFUNCTION("""COMPUTED_VALUE"""),1103.25)</f>
        <v>1103.25</v>
      </c>
      <c r="E7" s="6">
        <f>IFERROR(__xludf.DUMMYFUNCTION("""COMPUTED_VALUE"""),1146.8)</f>
        <v>1146.8</v>
      </c>
      <c r="F7" s="6">
        <f>IFERROR(__xludf.DUMMYFUNCTION("""COMPUTED_VALUE"""),3166966.0)</f>
        <v>3166966</v>
      </c>
    </row>
    <row r="8">
      <c r="A8" s="7">
        <f>IFERROR(__xludf.DUMMYFUNCTION("""COMPUTED_VALUE"""),45212.64583333333)</f>
        <v>45212.64583</v>
      </c>
      <c r="B8" s="6">
        <f>IFERROR(__xludf.DUMMYFUNCTION("""COMPUTED_VALUE"""),1135.0)</f>
        <v>1135</v>
      </c>
      <c r="C8" s="6">
        <f>IFERROR(__xludf.DUMMYFUNCTION("""COMPUTED_VALUE"""),1238.0)</f>
        <v>1238</v>
      </c>
      <c r="D8" s="6">
        <f>IFERROR(__xludf.DUMMYFUNCTION("""COMPUTED_VALUE"""),1110.0)</f>
        <v>1110</v>
      </c>
      <c r="E8" s="6">
        <f>IFERROR(__xludf.DUMMYFUNCTION("""COMPUTED_VALUE"""),1201.2)</f>
        <v>1201.2</v>
      </c>
      <c r="F8" s="6">
        <f>IFERROR(__xludf.DUMMYFUNCTION("""COMPUTED_VALUE"""),6069591.0)</f>
        <v>6069591</v>
      </c>
    </row>
    <row r="9">
      <c r="A9" s="7">
        <f>IFERROR(__xludf.DUMMYFUNCTION("""COMPUTED_VALUE"""),45219.64583333333)</f>
        <v>45219.64583</v>
      </c>
      <c r="B9" s="6">
        <f>IFERROR(__xludf.DUMMYFUNCTION("""COMPUTED_VALUE"""),1180.0)</f>
        <v>1180</v>
      </c>
      <c r="C9" s="6">
        <f>IFERROR(__xludf.DUMMYFUNCTION("""COMPUTED_VALUE"""),1236.0)</f>
        <v>1236</v>
      </c>
      <c r="D9" s="6">
        <f>IFERROR(__xludf.DUMMYFUNCTION("""COMPUTED_VALUE"""),1175.0)</f>
        <v>1175</v>
      </c>
      <c r="E9" s="6">
        <f>IFERROR(__xludf.DUMMYFUNCTION("""COMPUTED_VALUE"""),1195.4)</f>
        <v>1195.4</v>
      </c>
      <c r="F9" s="6">
        <f>IFERROR(__xludf.DUMMYFUNCTION("""COMPUTED_VALUE"""),3835994.0)</f>
        <v>3835994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IFERROR(__xludf.DUMMYFUNCTION("""COMPUTED_VALUE"""),1197.1)</f>
        <v>1197.1</v>
      </c>
      <c r="C10" s="6">
        <f>IFERROR(__xludf.DUMMYFUNCTION("""COMPUTED_VALUE"""),1202.25)</f>
        <v>1202.25</v>
      </c>
      <c r="D10" s="6">
        <f>IFERROR(__xludf.DUMMYFUNCTION("""COMPUTED_VALUE"""),1091.2)</f>
        <v>1091.2</v>
      </c>
      <c r="E10" s="6">
        <f>IFERROR(__xludf.DUMMYFUNCTION("""COMPUTED_VALUE"""),1128.5)</f>
        <v>1128.5</v>
      </c>
      <c r="F10" s="6">
        <f>IFERROR(__xludf.DUMMYFUNCTION("""COMPUTED_VALUE"""),3389282.0)</f>
        <v>3389282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IFERROR(__xludf.DUMMYFUNCTION("""COMPUTED_VALUE"""),1135.05)</f>
        <v>1135.05</v>
      </c>
      <c r="C11" s="6">
        <f>IFERROR(__xludf.DUMMYFUNCTION("""COMPUTED_VALUE"""),1279.0)</f>
        <v>1279</v>
      </c>
      <c r="D11" s="6">
        <f>IFERROR(__xludf.DUMMYFUNCTION("""COMPUTED_VALUE"""),1128.0)</f>
        <v>1128</v>
      </c>
      <c r="E11" s="6">
        <f>IFERROR(__xludf.DUMMYFUNCTION("""COMPUTED_VALUE"""),1241.5)</f>
        <v>1241.5</v>
      </c>
      <c r="F11" s="6">
        <f>IFERROR(__xludf.DUMMYFUNCTION("""COMPUTED_VALUE"""),1.2484257E7)</f>
        <v>12484257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IFERROR(__xludf.DUMMYFUNCTION("""COMPUTED_VALUE"""),1250.1)</f>
        <v>1250.1</v>
      </c>
      <c r="C12" s="6">
        <f>IFERROR(__xludf.DUMMYFUNCTION("""COMPUTED_VALUE"""),1377.35)</f>
        <v>1377.35</v>
      </c>
      <c r="D12" s="6">
        <f>IFERROR(__xludf.DUMMYFUNCTION("""COMPUTED_VALUE"""),1247.5)</f>
        <v>1247.5</v>
      </c>
      <c r="E12" s="6">
        <f>IFERROR(__xludf.DUMMYFUNCTION("""COMPUTED_VALUE"""),1369.2)</f>
        <v>1369.2</v>
      </c>
      <c r="F12" s="6">
        <f>IFERROR(__xludf.DUMMYFUNCTION("""COMPUTED_VALUE"""),5949832.0)</f>
        <v>5949832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IFERROR(__xludf.DUMMYFUNCTION("""COMPUTED_VALUE"""),1376.95)</f>
        <v>1376.95</v>
      </c>
      <c r="C13" s="6">
        <f>IFERROR(__xludf.DUMMYFUNCTION("""COMPUTED_VALUE"""),1549.0)</f>
        <v>1549</v>
      </c>
      <c r="D13" s="6">
        <f>IFERROR(__xludf.DUMMYFUNCTION("""COMPUTED_VALUE"""),1373.05)</f>
        <v>1373.05</v>
      </c>
      <c r="E13" s="6">
        <f>IFERROR(__xludf.DUMMYFUNCTION("""COMPUTED_VALUE"""),1536.65)</f>
        <v>1536.65</v>
      </c>
      <c r="F13" s="6">
        <f>IFERROR(__xludf.DUMMYFUNCTION("""COMPUTED_VALUE"""),7523312.0)</f>
        <v>7523312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IFERROR(__xludf.DUMMYFUNCTION("""COMPUTED_VALUE"""),1539.1)</f>
        <v>1539.1</v>
      </c>
      <c r="C14" s="6">
        <f>IFERROR(__xludf.DUMMYFUNCTION("""COMPUTED_VALUE"""),1640.0)</f>
        <v>1640</v>
      </c>
      <c r="D14" s="6">
        <f>IFERROR(__xludf.DUMMYFUNCTION("""COMPUTED_VALUE"""),1417.65)</f>
        <v>1417.65</v>
      </c>
      <c r="E14" s="6">
        <f>IFERROR(__xludf.DUMMYFUNCTION("""COMPUTED_VALUE"""),1468.75)</f>
        <v>1468.75</v>
      </c>
      <c r="F14" s="6">
        <f>IFERROR(__xludf.DUMMYFUNCTION("""COMPUTED_VALUE"""),1.6748047E7)</f>
        <v>16748047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IFERROR(__xludf.DUMMYFUNCTION("""COMPUTED_VALUE"""),1482.85)</f>
        <v>1482.85</v>
      </c>
      <c r="C15" s="6">
        <f>IFERROR(__xludf.DUMMYFUNCTION("""COMPUTED_VALUE"""),1510.95)</f>
        <v>1510.95</v>
      </c>
      <c r="D15" s="6">
        <f>IFERROR(__xludf.DUMMYFUNCTION("""COMPUTED_VALUE"""),1462.4)</f>
        <v>1462.4</v>
      </c>
      <c r="E15" s="6">
        <f>IFERROR(__xludf.DUMMYFUNCTION("""COMPUTED_VALUE"""),1483.05)</f>
        <v>1483.05</v>
      </c>
      <c r="F15" s="6">
        <f>IFERROR(__xludf.DUMMYFUNCTION("""COMPUTED_VALUE"""),4124759.0)</f>
        <v>4124759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IFERROR(__xludf.DUMMYFUNCTION("""COMPUTED_VALUE"""),1500.0)</f>
        <v>1500</v>
      </c>
      <c r="C16" s="6">
        <f>IFERROR(__xludf.DUMMYFUNCTION("""COMPUTED_VALUE"""),1513.95)</f>
        <v>1513.95</v>
      </c>
      <c r="D16" s="6">
        <f>IFERROR(__xludf.DUMMYFUNCTION("""COMPUTED_VALUE"""),1445.6)</f>
        <v>1445.6</v>
      </c>
      <c r="E16" s="6">
        <f>IFERROR(__xludf.DUMMYFUNCTION("""COMPUTED_VALUE"""),1478.6)</f>
        <v>1478.6</v>
      </c>
      <c r="F16" s="6">
        <f>IFERROR(__xludf.DUMMYFUNCTION("""COMPUTED_VALUE"""),4643204.0)</f>
        <v>4643204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IFERROR(__xludf.DUMMYFUNCTION("""COMPUTED_VALUE"""),1487.0)</f>
        <v>1487</v>
      </c>
      <c r="C17" s="6">
        <f>IFERROR(__xludf.DUMMYFUNCTION("""COMPUTED_VALUE"""),1549.9)</f>
        <v>1549.9</v>
      </c>
      <c r="D17" s="6">
        <f>IFERROR(__xludf.DUMMYFUNCTION("""COMPUTED_VALUE"""),1427.15)</f>
        <v>1427.15</v>
      </c>
      <c r="E17" s="6">
        <f>IFERROR(__xludf.DUMMYFUNCTION("""COMPUTED_VALUE"""),1518.6)</f>
        <v>1518.6</v>
      </c>
      <c r="F17" s="6">
        <f>IFERROR(__xludf.DUMMYFUNCTION("""COMPUTED_VALUE"""),8687797.0)</f>
        <v>8687797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IFERROR(__xludf.DUMMYFUNCTION("""COMPUTED_VALUE"""),1518.6)</f>
        <v>1518.6</v>
      </c>
      <c r="C18" s="6">
        <f>IFERROR(__xludf.DUMMYFUNCTION("""COMPUTED_VALUE"""),1545.9)</f>
        <v>1545.9</v>
      </c>
      <c r="D18" s="6">
        <f>IFERROR(__xludf.DUMMYFUNCTION("""COMPUTED_VALUE"""),1426.1)</f>
        <v>1426.1</v>
      </c>
      <c r="E18" s="6">
        <f>IFERROR(__xludf.DUMMYFUNCTION("""COMPUTED_VALUE"""),1539.35)</f>
        <v>1539.35</v>
      </c>
      <c r="F18" s="6">
        <f>IFERROR(__xludf.DUMMYFUNCTION("""COMPUTED_VALUE"""),6525091.0)</f>
        <v>6525091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IFERROR(__xludf.DUMMYFUNCTION("""COMPUTED_VALUE"""),1547.3)</f>
        <v>1547.3</v>
      </c>
      <c r="C19" s="6">
        <f>IFERROR(__xludf.DUMMYFUNCTION("""COMPUTED_VALUE"""),1558.0)</f>
        <v>1558</v>
      </c>
      <c r="D19" s="6">
        <f>IFERROR(__xludf.DUMMYFUNCTION("""COMPUTED_VALUE"""),1492.0)</f>
        <v>1492</v>
      </c>
      <c r="E19" s="6">
        <f>IFERROR(__xludf.DUMMYFUNCTION("""COMPUTED_VALUE"""),1513.85)</f>
        <v>1513.85</v>
      </c>
      <c r="F19" s="6">
        <f>IFERROR(__xludf.DUMMYFUNCTION("""COMPUTED_VALUE"""),3565287.0)</f>
        <v>3565287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IFERROR(__xludf.DUMMYFUNCTION("""COMPUTED_VALUE"""),1513.85)</f>
        <v>1513.85</v>
      </c>
      <c r="C20" s="6">
        <f>IFERROR(__xludf.DUMMYFUNCTION("""COMPUTED_VALUE"""),1515.9)</f>
        <v>1515.9</v>
      </c>
      <c r="D20" s="6">
        <f>IFERROR(__xludf.DUMMYFUNCTION("""COMPUTED_VALUE"""),1455.1)</f>
        <v>1455.1</v>
      </c>
      <c r="E20" s="6">
        <f>IFERROR(__xludf.DUMMYFUNCTION("""COMPUTED_VALUE"""),1506.55)</f>
        <v>1506.55</v>
      </c>
      <c r="F20" s="6">
        <f>IFERROR(__xludf.DUMMYFUNCTION("""COMPUTED_VALUE"""),3994876.0)</f>
        <v>3994876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IFERROR(__xludf.DUMMYFUNCTION("""COMPUTED_VALUE"""),1514.25)</f>
        <v>1514.25</v>
      </c>
      <c r="C21" s="6">
        <f>IFERROR(__xludf.DUMMYFUNCTION("""COMPUTED_VALUE"""),1562.0)</f>
        <v>1562</v>
      </c>
      <c r="D21" s="6">
        <f>IFERROR(__xludf.DUMMYFUNCTION("""COMPUTED_VALUE"""),1491.6)</f>
        <v>1491.6</v>
      </c>
      <c r="E21" s="6">
        <f>IFERROR(__xludf.DUMMYFUNCTION("""COMPUTED_VALUE"""),1550.3)</f>
        <v>1550.3</v>
      </c>
      <c r="F21" s="6">
        <f>IFERROR(__xludf.DUMMYFUNCTION("""COMPUTED_VALUE"""),3959301.0)</f>
        <v>3959301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IFERROR(__xludf.DUMMYFUNCTION("""COMPUTED_VALUE"""),1530.0)</f>
        <v>1530</v>
      </c>
      <c r="C22" s="6">
        <f>IFERROR(__xludf.DUMMYFUNCTION("""COMPUTED_VALUE"""),1560.2)</f>
        <v>1560.2</v>
      </c>
      <c r="D22" s="6">
        <f>IFERROR(__xludf.DUMMYFUNCTION("""COMPUTED_VALUE"""),1392.35)</f>
        <v>1392.35</v>
      </c>
      <c r="E22" s="6">
        <f>IFERROR(__xludf.DUMMYFUNCTION("""COMPUTED_VALUE"""),1415.45)</f>
        <v>1415.45</v>
      </c>
      <c r="F22" s="6">
        <f>IFERROR(__xludf.DUMMYFUNCTION("""COMPUTED_VALUE"""),5071839.0)</f>
        <v>5071839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IFERROR(__xludf.DUMMYFUNCTION("""COMPUTED_VALUE"""),1415.45)</f>
        <v>1415.45</v>
      </c>
      <c r="C23" s="6">
        <f>IFERROR(__xludf.DUMMYFUNCTION("""COMPUTED_VALUE"""),1597.0)</f>
        <v>1597</v>
      </c>
      <c r="D23" s="6">
        <f>IFERROR(__xludf.DUMMYFUNCTION("""COMPUTED_VALUE"""),1326.55)</f>
        <v>1326.55</v>
      </c>
      <c r="E23" s="6">
        <f>IFERROR(__xludf.DUMMYFUNCTION("""COMPUTED_VALUE"""),1577.1)</f>
        <v>1577.1</v>
      </c>
      <c r="F23" s="6">
        <f>IFERROR(__xludf.DUMMYFUNCTION("""COMPUTED_VALUE"""),1.4941594E7)</f>
        <v>14941594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IFERROR(__xludf.DUMMYFUNCTION("""COMPUTED_VALUE"""),1589.9)</f>
        <v>1589.9</v>
      </c>
      <c r="C24" s="6">
        <f>IFERROR(__xludf.DUMMYFUNCTION("""COMPUTED_VALUE"""),1736.0)</f>
        <v>1736</v>
      </c>
      <c r="D24" s="6">
        <f>IFERROR(__xludf.DUMMYFUNCTION("""COMPUTED_VALUE"""),1572.7)</f>
        <v>1572.7</v>
      </c>
      <c r="E24" s="6">
        <f>IFERROR(__xludf.DUMMYFUNCTION("""COMPUTED_VALUE"""),1727.85)</f>
        <v>1727.85</v>
      </c>
      <c r="F24" s="6">
        <f>IFERROR(__xludf.DUMMYFUNCTION("""COMPUTED_VALUE"""),8046490.0)</f>
        <v>8046490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IFERROR(__xludf.DUMMYFUNCTION("""COMPUTED_VALUE"""),1727.85)</f>
        <v>1727.85</v>
      </c>
      <c r="C25" s="6">
        <f>IFERROR(__xludf.DUMMYFUNCTION("""COMPUTED_VALUE"""),1764.0)</f>
        <v>1764</v>
      </c>
      <c r="D25" s="6">
        <f>IFERROR(__xludf.DUMMYFUNCTION("""COMPUTED_VALUE"""),1555.05)</f>
        <v>1555.05</v>
      </c>
      <c r="E25" s="6">
        <f>IFERROR(__xludf.DUMMYFUNCTION("""COMPUTED_VALUE"""),1673.6)</f>
        <v>1673.6</v>
      </c>
      <c r="F25" s="6">
        <f>IFERROR(__xludf.DUMMYFUNCTION("""COMPUTED_VALUE"""),6112865.0)</f>
        <v>6112865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IFERROR(__xludf.DUMMYFUNCTION("""COMPUTED_VALUE"""),1685.0)</f>
        <v>1685</v>
      </c>
      <c r="C26" s="6">
        <f>IFERROR(__xludf.DUMMYFUNCTION("""COMPUTED_VALUE"""),1689.9)</f>
        <v>1689.9</v>
      </c>
      <c r="D26" s="6">
        <f>IFERROR(__xludf.DUMMYFUNCTION("""COMPUTED_VALUE"""),1540.65)</f>
        <v>1540.65</v>
      </c>
      <c r="E26" s="6">
        <f>IFERROR(__xludf.DUMMYFUNCTION("""COMPUTED_VALUE"""),1583.65)</f>
        <v>1583.65</v>
      </c>
      <c r="F26" s="6">
        <f>IFERROR(__xludf.DUMMYFUNCTION("""COMPUTED_VALUE"""),4508002.0)</f>
        <v>4508002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IFERROR(__xludf.DUMMYFUNCTION("""COMPUTED_VALUE"""),1582.95)</f>
        <v>1582.95</v>
      </c>
      <c r="C27" s="6">
        <f>IFERROR(__xludf.DUMMYFUNCTION("""COMPUTED_VALUE"""),1583.9)</f>
        <v>1583.9</v>
      </c>
      <c r="D27" s="6">
        <f>IFERROR(__xludf.DUMMYFUNCTION("""COMPUTED_VALUE"""),1468.0)</f>
        <v>1468</v>
      </c>
      <c r="E27" s="6">
        <f>IFERROR(__xludf.DUMMYFUNCTION("""COMPUTED_VALUE"""),1496.3)</f>
        <v>1496.3</v>
      </c>
      <c r="F27" s="6">
        <f>IFERROR(__xludf.DUMMYFUNCTION("""COMPUTED_VALUE"""),3487255.0)</f>
        <v>3487255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IFERROR(__xludf.DUMMYFUNCTION("""COMPUTED_VALUE"""),1500.0)</f>
        <v>1500</v>
      </c>
      <c r="C28" s="6">
        <f>IFERROR(__xludf.DUMMYFUNCTION("""COMPUTED_VALUE"""),1514.45)</f>
        <v>1514.45</v>
      </c>
      <c r="D28" s="6">
        <f>IFERROR(__xludf.DUMMYFUNCTION("""COMPUTED_VALUE"""),1355.05)</f>
        <v>1355.05</v>
      </c>
      <c r="E28" s="6">
        <f>IFERROR(__xludf.DUMMYFUNCTION("""COMPUTED_VALUE"""),1429.35)</f>
        <v>1429.35</v>
      </c>
      <c r="F28" s="6">
        <f>IFERROR(__xludf.DUMMYFUNCTION("""COMPUTED_VALUE"""),7809938.0)</f>
        <v>7809938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IFERROR(__xludf.DUMMYFUNCTION("""COMPUTED_VALUE"""),1427.05)</f>
        <v>1427.05</v>
      </c>
      <c r="C29" s="6">
        <f>IFERROR(__xludf.DUMMYFUNCTION("""COMPUTED_VALUE"""),1428.0)</f>
        <v>1428</v>
      </c>
      <c r="D29" s="6">
        <f>IFERROR(__xludf.DUMMYFUNCTION("""COMPUTED_VALUE"""),1328.4)</f>
        <v>1328.4</v>
      </c>
      <c r="E29" s="6">
        <f>IFERROR(__xludf.DUMMYFUNCTION("""COMPUTED_VALUE"""),1385.7)</f>
        <v>1385.7</v>
      </c>
      <c r="F29" s="6">
        <f>IFERROR(__xludf.DUMMYFUNCTION("""COMPUTED_VALUE"""),6931044.0)</f>
        <v>6931044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IFERROR(__xludf.DUMMYFUNCTION("""COMPUTED_VALUE"""),1388.0)</f>
        <v>1388</v>
      </c>
      <c r="C30" s="6">
        <f>IFERROR(__xludf.DUMMYFUNCTION("""COMPUTED_VALUE"""),1498.7)</f>
        <v>1498.7</v>
      </c>
      <c r="D30" s="6">
        <f>IFERROR(__xludf.DUMMYFUNCTION("""COMPUTED_VALUE"""),1377.35)</f>
        <v>1377.35</v>
      </c>
      <c r="E30" s="6">
        <f>IFERROR(__xludf.DUMMYFUNCTION("""COMPUTED_VALUE"""),1486.4)</f>
        <v>1486.4</v>
      </c>
      <c r="F30" s="6">
        <f>IFERROR(__xludf.DUMMYFUNCTION("""COMPUTED_VALUE"""),5216367.0)</f>
        <v>5216367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IFERROR(__xludf.DUMMYFUNCTION("""COMPUTED_VALUE"""),1497.0)</f>
        <v>1497</v>
      </c>
      <c r="C31" s="6">
        <f>IFERROR(__xludf.DUMMYFUNCTION("""COMPUTED_VALUE"""),1561.9)</f>
        <v>1561.9</v>
      </c>
      <c r="D31" s="6">
        <f>IFERROR(__xludf.DUMMYFUNCTION("""COMPUTED_VALUE"""),1482.0)</f>
        <v>1482</v>
      </c>
      <c r="E31" s="6">
        <f>IFERROR(__xludf.DUMMYFUNCTION("""COMPUTED_VALUE"""),1511.5)</f>
        <v>1511.5</v>
      </c>
      <c r="F31" s="6">
        <f>IFERROR(__xludf.DUMMYFUNCTION("""COMPUTED_VALUE"""),5188299.0)</f>
        <v>5188299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IFERROR(__xludf.DUMMYFUNCTION("""COMPUTED_VALUE"""),1523.85)</f>
        <v>1523.85</v>
      </c>
      <c r="C32" s="6">
        <f>IFERROR(__xludf.DUMMYFUNCTION("""COMPUTED_VALUE"""),1532.0)</f>
        <v>1532</v>
      </c>
      <c r="D32" s="6">
        <f>IFERROR(__xludf.DUMMYFUNCTION("""COMPUTED_VALUE"""),1453.05)</f>
        <v>1453.05</v>
      </c>
      <c r="E32" s="6">
        <f>IFERROR(__xludf.DUMMYFUNCTION("""COMPUTED_VALUE"""),1474.75)</f>
        <v>1474.75</v>
      </c>
      <c r="F32" s="6">
        <f>IFERROR(__xludf.DUMMYFUNCTION("""COMPUTED_VALUE"""),2579990.0)</f>
        <v>2579990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IFERROR(__xludf.DUMMYFUNCTION("""COMPUTED_VALUE"""),1418.0)</f>
        <v>1418</v>
      </c>
      <c r="C33" s="6">
        <f>IFERROR(__xludf.DUMMYFUNCTION("""COMPUTED_VALUE"""),1453.95)</f>
        <v>1453.95</v>
      </c>
      <c r="D33" s="6">
        <f>IFERROR(__xludf.DUMMYFUNCTION("""COMPUTED_VALUE"""),1361.0)</f>
        <v>1361</v>
      </c>
      <c r="E33" s="6">
        <f>IFERROR(__xludf.DUMMYFUNCTION("""COMPUTED_VALUE"""),1409.3)</f>
        <v>1409.3</v>
      </c>
      <c r="F33" s="6">
        <f>IFERROR(__xludf.DUMMYFUNCTION("""COMPUTED_VALUE"""),2728989.0)</f>
        <v>2728989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IFERROR(__xludf.DUMMYFUNCTION("""COMPUTED_VALUE"""),1419.9)</f>
        <v>1419.9</v>
      </c>
      <c r="C34" s="6">
        <f>IFERROR(__xludf.DUMMYFUNCTION("""COMPUTED_VALUE"""),1456.0)</f>
        <v>1456</v>
      </c>
      <c r="D34" s="6">
        <f>IFERROR(__xludf.DUMMYFUNCTION("""COMPUTED_VALUE"""),1361.55)</f>
        <v>1361.55</v>
      </c>
      <c r="E34" s="6">
        <f>IFERROR(__xludf.DUMMYFUNCTION("""COMPUTED_VALUE"""),1416.45)</f>
        <v>1416.45</v>
      </c>
      <c r="F34" s="6">
        <f>IFERROR(__xludf.DUMMYFUNCTION("""COMPUTED_VALUE"""),5079358.0)</f>
        <v>5079358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IFERROR(__xludf.DUMMYFUNCTION("""COMPUTED_VALUE"""),1439.0)</f>
        <v>1439</v>
      </c>
      <c r="C35" s="6">
        <f>IFERROR(__xludf.DUMMYFUNCTION("""COMPUTED_VALUE"""),1554.0)</f>
        <v>1554</v>
      </c>
      <c r="D35" s="6">
        <f>IFERROR(__xludf.DUMMYFUNCTION("""COMPUTED_VALUE"""),1407.0)</f>
        <v>1407</v>
      </c>
      <c r="E35" s="6">
        <f>IFERROR(__xludf.DUMMYFUNCTION("""COMPUTED_VALUE"""),1537.25)</f>
        <v>1537.25</v>
      </c>
      <c r="F35" s="6">
        <f>IFERROR(__xludf.DUMMYFUNCTION("""COMPUTED_VALUE"""),1.1329344E7)</f>
        <v>11329344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IFERROR(__xludf.DUMMYFUNCTION("""COMPUTED_VALUE"""),1543.25)</f>
        <v>1543.25</v>
      </c>
      <c r="C36" s="6">
        <f>IFERROR(__xludf.DUMMYFUNCTION("""COMPUTED_VALUE"""),1544.9)</f>
        <v>1544.9</v>
      </c>
      <c r="D36" s="6">
        <f>IFERROR(__xludf.DUMMYFUNCTION("""COMPUTED_VALUE"""),1436.05)</f>
        <v>1436.05</v>
      </c>
      <c r="E36" s="6">
        <f>IFERROR(__xludf.DUMMYFUNCTION("""COMPUTED_VALUE"""),1463.9)</f>
        <v>1463.9</v>
      </c>
      <c r="F36" s="6">
        <f>IFERROR(__xludf.DUMMYFUNCTION("""COMPUTED_VALUE"""),3005842.0)</f>
        <v>3005842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IFERROR(__xludf.DUMMYFUNCTION("""COMPUTED_VALUE"""),1510.0)</f>
        <v>1510</v>
      </c>
      <c r="C37" s="6">
        <f>IFERROR(__xludf.DUMMYFUNCTION("""COMPUTED_VALUE"""),1569.9)</f>
        <v>1569.9</v>
      </c>
      <c r="D37" s="6">
        <f>IFERROR(__xludf.DUMMYFUNCTION("""COMPUTED_VALUE"""),1474.1)</f>
        <v>1474.1</v>
      </c>
      <c r="E37" s="6">
        <f>IFERROR(__xludf.DUMMYFUNCTION("""COMPUTED_VALUE"""),1551.55)</f>
        <v>1551.55</v>
      </c>
      <c r="F37" s="6">
        <f>IFERROR(__xludf.DUMMYFUNCTION("""COMPUTED_VALUE"""),3783727.0)</f>
        <v>3783727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IFERROR(__xludf.DUMMYFUNCTION("""COMPUTED_VALUE"""),1567.0)</f>
        <v>1567</v>
      </c>
      <c r="C38" s="6">
        <f>IFERROR(__xludf.DUMMYFUNCTION("""COMPUTED_VALUE"""),1616.0)</f>
        <v>1616</v>
      </c>
      <c r="D38" s="6">
        <f>IFERROR(__xludf.DUMMYFUNCTION("""COMPUTED_VALUE"""),1440.25)</f>
        <v>1440.25</v>
      </c>
      <c r="E38" s="6">
        <f>IFERROR(__xludf.DUMMYFUNCTION("""COMPUTED_VALUE"""),1457.25)</f>
        <v>1457.25</v>
      </c>
      <c r="F38" s="6">
        <f>IFERROR(__xludf.DUMMYFUNCTION("""COMPUTED_VALUE"""),4096847.0)</f>
        <v>4096847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IFERROR(__xludf.DUMMYFUNCTION("""COMPUTED_VALUE"""),1525.0)</f>
        <v>1525</v>
      </c>
      <c r="C39" s="6">
        <f>IFERROR(__xludf.DUMMYFUNCTION("""COMPUTED_VALUE"""),1535.0)</f>
        <v>1535</v>
      </c>
      <c r="D39" s="6">
        <f>IFERROR(__xludf.DUMMYFUNCTION("""COMPUTED_VALUE"""),1293.05)</f>
        <v>1293.05</v>
      </c>
      <c r="E39" s="6">
        <f>IFERROR(__xludf.DUMMYFUNCTION("""COMPUTED_VALUE"""),1524.7)</f>
        <v>1524.7</v>
      </c>
      <c r="F39" s="6">
        <f>IFERROR(__xludf.DUMMYFUNCTION("""COMPUTED_VALUE"""),7038176.0)</f>
        <v>7038176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IFERROR(__xludf.DUMMYFUNCTION("""COMPUTED_VALUE"""),1521.95)</f>
        <v>1521.95</v>
      </c>
      <c r="C40" s="6">
        <f>IFERROR(__xludf.DUMMYFUNCTION("""COMPUTED_VALUE"""),1524.7)</f>
        <v>1524.7</v>
      </c>
      <c r="D40" s="6">
        <f>IFERROR(__xludf.DUMMYFUNCTION("""COMPUTED_VALUE"""),1470.0)</f>
        <v>1470</v>
      </c>
      <c r="E40" s="6">
        <f>IFERROR(__xludf.DUMMYFUNCTION("""COMPUTED_VALUE"""),1479.95)</f>
        <v>1479.95</v>
      </c>
      <c r="F40" s="6">
        <f>IFERROR(__xludf.DUMMYFUNCTION("""COMPUTED_VALUE"""),5151633.0)</f>
        <v>5151633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IFERROR(__xludf.DUMMYFUNCTION("""COMPUTED_VALUE"""),1480.0)</f>
        <v>1480</v>
      </c>
      <c r="C41" s="6">
        <f>IFERROR(__xludf.DUMMYFUNCTION("""COMPUTED_VALUE"""),1638.65)</f>
        <v>1638.65</v>
      </c>
      <c r="D41" s="6">
        <f>IFERROR(__xludf.DUMMYFUNCTION("""COMPUTED_VALUE"""),1473.4)</f>
        <v>1473.4</v>
      </c>
      <c r="E41" s="6">
        <f>IFERROR(__xludf.DUMMYFUNCTION("""COMPUTED_VALUE"""),1588.75)</f>
        <v>1588.75</v>
      </c>
      <c r="F41" s="6">
        <f>IFERROR(__xludf.DUMMYFUNCTION("""COMPUTED_VALUE"""),5037056.0)</f>
        <v>5037056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IFERROR(__xludf.DUMMYFUNCTION("""COMPUTED_VALUE"""),1592.45)</f>
        <v>1592.45</v>
      </c>
      <c r="C42" s="6">
        <f>IFERROR(__xludf.DUMMYFUNCTION("""COMPUTED_VALUE"""),1698.7)</f>
        <v>1698.7</v>
      </c>
      <c r="D42" s="6">
        <f>IFERROR(__xludf.DUMMYFUNCTION("""COMPUTED_VALUE"""),1550.0)</f>
        <v>1550</v>
      </c>
      <c r="E42" s="6">
        <f>IFERROR(__xludf.DUMMYFUNCTION("""COMPUTED_VALUE"""),1634.75)</f>
        <v>1634.75</v>
      </c>
      <c r="F42" s="6">
        <f>IFERROR(__xludf.DUMMYFUNCTION("""COMPUTED_VALUE"""),7356414.0)</f>
        <v>7356414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IFERROR(__xludf.DUMMYFUNCTION("""COMPUTED_VALUE"""),1650.0)</f>
        <v>1650</v>
      </c>
      <c r="C43" s="6">
        <f>IFERROR(__xludf.DUMMYFUNCTION("""COMPUTED_VALUE"""),1774.1)</f>
        <v>1774.1</v>
      </c>
      <c r="D43" s="6">
        <f>IFERROR(__xludf.DUMMYFUNCTION("""COMPUTED_VALUE"""),1636.0)</f>
        <v>1636</v>
      </c>
      <c r="E43" s="6">
        <f>IFERROR(__xludf.DUMMYFUNCTION("""COMPUTED_VALUE"""),1693.95)</f>
        <v>1693.95</v>
      </c>
      <c r="F43" s="6">
        <f>IFERROR(__xludf.DUMMYFUNCTION("""COMPUTED_VALUE"""),7245721.0)</f>
        <v>7245721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IFERROR(__xludf.DUMMYFUNCTION("""COMPUTED_VALUE"""),1693.95)</f>
        <v>1693.95</v>
      </c>
      <c r="C44" s="6">
        <f>IFERROR(__xludf.DUMMYFUNCTION("""COMPUTED_VALUE"""),1928.7)</f>
        <v>1928.7</v>
      </c>
      <c r="D44" s="6">
        <f>IFERROR(__xludf.DUMMYFUNCTION("""COMPUTED_VALUE"""),1653.75)</f>
        <v>1653.75</v>
      </c>
      <c r="E44" s="6">
        <f>IFERROR(__xludf.DUMMYFUNCTION("""COMPUTED_VALUE"""),1865.55)</f>
        <v>1865.55</v>
      </c>
      <c r="F44" s="6">
        <f>IFERROR(__xludf.DUMMYFUNCTION("""COMPUTED_VALUE"""),9587488.0)</f>
        <v>9587488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IFERROR(__xludf.DUMMYFUNCTION("""COMPUTED_VALUE"""),1882.3)</f>
        <v>1882.3</v>
      </c>
      <c r="C45" s="6">
        <f>IFERROR(__xludf.DUMMYFUNCTION("""COMPUTED_VALUE"""),1909.0)</f>
        <v>1909</v>
      </c>
      <c r="D45" s="6">
        <f>IFERROR(__xludf.DUMMYFUNCTION("""COMPUTED_VALUE"""),1810.0)</f>
        <v>1810</v>
      </c>
      <c r="E45" s="6">
        <f>IFERROR(__xludf.DUMMYFUNCTION("""COMPUTED_VALUE"""),1819.7)</f>
        <v>1819.7</v>
      </c>
      <c r="F45" s="6">
        <f>IFERROR(__xludf.DUMMYFUNCTION("""COMPUTED_VALUE"""),6510024.0)</f>
        <v>6510024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IFERROR(__xludf.DUMMYFUNCTION("""COMPUTED_VALUE"""),1800.0)</f>
        <v>1800</v>
      </c>
      <c r="C46" s="6">
        <f>IFERROR(__xludf.DUMMYFUNCTION("""COMPUTED_VALUE"""),1885.5)</f>
        <v>1885.5</v>
      </c>
      <c r="D46" s="6">
        <f>IFERROR(__xludf.DUMMYFUNCTION("""COMPUTED_VALUE"""),1705.55)</f>
        <v>1705.55</v>
      </c>
      <c r="E46" s="6">
        <f>IFERROR(__xludf.DUMMYFUNCTION("""COMPUTED_VALUE"""),1788.95)</f>
        <v>1788.95</v>
      </c>
      <c r="F46" s="6">
        <f>IFERROR(__xludf.DUMMYFUNCTION("""COMPUTED_VALUE"""),6500989.0)</f>
        <v>6500989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IFERROR(__xludf.DUMMYFUNCTION("""COMPUTED_VALUE"""),1800.0)</f>
        <v>1800</v>
      </c>
      <c r="C47" s="6">
        <f>IFERROR(__xludf.DUMMYFUNCTION("""COMPUTED_VALUE"""),1910.0)</f>
        <v>1910</v>
      </c>
      <c r="D47" s="6">
        <f>IFERROR(__xludf.DUMMYFUNCTION("""COMPUTED_VALUE"""),1774.2)</f>
        <v>1774.2</v>
      </c>
      <c r="E47" s="6">
        <f>IFERROR(__xludf.DUMMYFUNCTION("""COMPUTED_VALUE"""),1823.95)</f>
        <v>1823.95</v>
      </c>
      <c r="F47" s="6">
        <f>IFERROR(__xludf.DUMMYFUNCTION("""COMPUTED_VALUE"""),5159465.0)</f>
        <v>5159465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IFERROR(__xludf.DUMMYFUNCTION("""COMPUTED_VALUE"""),1769.55)</f>
        <v>1769.55</v>
      </c>
      <c r="C48" s="6">
        <f>IFERROR(__xludf.DUMMYFUNCTION("""COMPUTED_VALUE"""),1794.95)</f>
        <v>1794.95</v>
      </c>
      <c r="D48" s="6">
        <f>IFERROR(__xludf.DUMMYFUNCTION("""COMPUTED_VALUE"""),1685.0)</f>
        <v>1685</v>
      </c>
      <c r="E48" s="6">
        <f>IFERROR(__xludf.DUMMYFUNCTION("""COMPUTED_VALUE"""),1758.25)</f>
        <v>1758.25</v>
      </c>
      <c r="F48" s="6">
        <f>IFERROR(__xludf.DUMMYFUNCTION("""COMPUTED_VALUE"""),3544267.0)</f>
        <v>3544267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IFERROR(__xludf.DUMMYFUNCTION("""COMPUTED_VALUE"""),1743.0)</f>
        <v>1743</v>
      </c>
      <c r="C49" s="6">
        <f>IFERROR(__xludf.DUMMYFUNCTION("""COMPUTED_VALUE"""),1855.95)</f>
        <v>1855.95</v>
      </c>
      <c r="D49" s="6">
        <f>IFERROR(__xludf.DUMMYFUNCTION("""COMPUTED_VALUE"""),1716.0)</f>
        <v>1716</v>
      </c>
      <c r="E49" s="6">
        <f>IFERROR(__xludf.DUMMYFUNCTION("""COMPUTED_VALUE"""),1815.4)</f>
        <v>1815.4</v>
      </c>
      <c r="F49" s="6">
        <f>IFERROR(__xludf.DUMMYFUNCTION("""COMPUTED_VALUE"""),3402361.0)</f>
        <v>3402361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IFERROR(__xludf.DUMMYFUNCTION("""COMPUTED_VALUE"""),1831.9)</f>
        <v>1831.9</v>
      </c>
      <c r="C50" s="6">
        <f>IFERROR(__xludf.DUMMYFUNCTION("""COMPUTED_VALUE"""),1899.0)</f>
        <v>1899</v>
      </c>
      <c r="D50" s="6">
        <f>IFERROR(__xludf.DUMMYFUNCTION("""COMPUTED_VALUE"""),1801.0)</f>
        <v>1801</v>
      </c>
      <c r="E50" s="6">
        <f>IFERROR(__xludf.DUMMYFUNCTION("""COMPUTED_VALUE"""),1826.5)</f>
        <v>1826.5</v>
      </c>
      <c r="F50" s="6">
        <f>IFERROR(__xludf.DUMMYFUNCTION("""COMPUTED_VALUE"""),2909822.0)</f>
        <v>2909822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IFERROR(__xludf.DUMMYFUNCTION("""COMPUTED_VALUE"""),1845.0)</f>
        <v>1845</v>
      </c>
      <c r="C51" s="6">
        <f>IFERROR(__xludf.DUMMYFUNCTION("""COMPUTED_VALUE"""),1921.0)</f>
        <v>1921</v>
      </c>
      <c r="D51" s="6">
        <f>IFERROR(__xludf.DUMMYFUNCTION("""COMPUTED_VALUE"""),1807.0)</f>
        <v>1807</v>
      </c>
      <c r="E51" s="6">
        <f>IFERROR(__xludf.DUMMYFUNCTION("""COMPUTED_VALUE"""),1815.15)</f>
        <v>1815.15</v>
      </c>
      <c r="F51" s="6">
        <f>IFERROR(__xludf.DUMMYFUNCTION("""COMPUTED_VALUE"""),4126338.0)</f>
        <v>4126338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IFERROR(__xludf.DUMMYFUNCTION("""COMPUTED_VALUE"""),1815.15)</f>
        <v>1815.15</v>
      </c>
      <c r="C52" s="6">
        <f>IFERROR(__xludf.DUMMYFUNCTION("""COMPUTED_VALUE"""),1824.3)</f>
        <v>1824.3</v>
      </c>
      <c r="D52" s="6">
        <f>IFERROR(__xludf.DUMMYFUNCTION("""COMPUTED_VALUE"""),1715.45)</f>
        <v>1715.45</v>
      </c>
      <c r="E52" s="6">
        <f>IFERROR(__xludf.DUMMYFUNCTION("""COMPUTED_VALUE"""),1730.3)</f>
        <v>1730.3</v>
      </c>
      <c r="F52" s="6">
        <f>IFERROR(__xludf.DUMMYFUNCTION("""COMPUTED_VALUE"""),3357562.0)</f>
        <v>3357562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IFERROR(__xludf.DUMMYFUNCTION("""COMPUTED_VALUE"""),1718.25)</f>
        <v>1718.25</v>
      </c>
      <c r="C53" s="6">
        <f>IFERROR(__xludf.DUMMYFUNCTION("""COMPUTED_VALUE"""),1859.95)</f>
        <v>1859.95</v>
      </c>
      <c r="D53" s="6">
        <f>IFERROR(__xludf.DUMMYFUNCTION("""COMPUTED_VALUE"""),1707.15)</f>
        <v>1707.15</v>
      </c>
      <c r="E53" s="6">
        <f>IFERROR(__xludf.DUMMYFUNCTION("""COMPUTED_VALUE"""),1826.05)</f>
        <v>1826.05</v>
      </c>
      <c r="F53" s="6">
        <f>IFERROR(__xludf.DUMMYFUNCTION("""COMPUTED_VALUE"""),3103712.0)</f>
        <v>3103712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IFERROR(__xludf.DUMMYFUNCTION("""COMPUTED_VALUE"""),1832.0)</f>
        <v>1832</v>
      </c>
      <c r="C54" s="6">
        <f>IFERROR(__xludf.DUMMYFUNCTION("""COMPUTED_VALUE"""),1832.0)</f>
        <v>1832</v>
      </c>
      <c r="D54" s="6">
        <f>IFERROR(__xludf.DUMMYFUNCTION("""COMPUTED_VALUE"""),1626.1)</f>
        <v>1626.1</v>
      </c>
      <c r="E54" s="6">
        <f>IFERROR(__xludf.DUMMYFUNCTION("""COMPUTED_VALUE"""),1662.0)</f>
        <v>1662</v>
      </c>
      <c r="F54" s="6">
        <f>IFERROR(__xludf.DUMMYFUNCTION("""COMPUTED_VALUE"""),4075198.0)</f>
        <v>4075198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IFERROR(__xludf.DUMMYFUNCTION("""COMPUTED_VALUE"""),1680.0)</f>
        <v>1680</v>
      </c>
      <c r="C55" s="6">
        <f>IFERROR(__xludf.DUMMYFUNCTION("""COMPUTED_VALUE"""),1713.7)</f>
        <v>1713.7</v>
      </c>
      <c r="D55" s="6">
        <f>IFERROR(__xludf.DUMMYFUNCTION("""COMPUTED_VALUE"""),1630.0)</f>
        <v>1630</v>
      </c>
      <c r="E55" s="6">
        <f>IFERROR(__xludf.DUMMYFUNCTION("""COMPUTED_VALUE"""),1671.0)</f>
        <v>1671</v>
      </c>
      <c r="F55" s="6">
        <f>IFERROR(__xludf.DUMMYFUNCTION("""COMPUTED_VALUE"""),5640959.0)</f>
        <v>5640959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IFERROR(__xludf.DUMMYFUNCTION("""COMPUTED_VALUE"""),1637.8)</f>
        <v>1637.8</v>
      </c>
      <c r="C56" s="6">
        <f>IFERROR(__xludf.DUMMYFUNCTION("""COMPUTED_VALUE"""),1713.3)</f>
        <v>1713.3</v>
      </c>
      <c r="D56" s="6">
        <f>IFERROR(__xludf.DUMMYFUNCTION("""COMPUTED_VALUE"""),1625.0)</f>
        <v>1625</v>
      </c>
      <c r="E56" s="6">
        <f>IFERROR(__xludf.DUMMYFUNCTION("""COMPUTED_VALUE"""),1691.25)</f>
        <v>1691.25</v>
      </c>
      <c r="F56" s="6">
        <f>IFERROR(__xludf.DUMMYFUNCTION("""COMPUTED_VALUE"""),4643500.0)</f>
        <v>4643500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IFERROR(__xludf.DUMMYFUNCTION("""COMPUTED_VALUE"""),1699.0)</f>
        <v>1699</v>
      </c>
      <c r="C57" s="6">
        <f>IFERROR(__xludf.DUMMYFUNCTION("""COMPUTED_VALUE"""),1797.0)</f>
        <v>1797</v>
      </c>
      <c r="D57" s="6">
        <f>IFERROR(__xludf.DUMMYFUNCTION("""COMPUTED_VALUE"""),1641.8)</f>
        <v>1641.8</v>
      </c>
      <c r="E57" s="6">
        <f>IFERROR(__xludf.DUMMYFUNCTION("""COMPUTED_VALUE"""),1789.05)</f>
        <v>1789.05</v>
      </c>
      <c r="F57" s="6">
        <f>IFERROR(__xludf.DUMMYFUNCTION("""COMPUTED_VALUE"""),3609958.0)</f>
        <v>3609958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IFERROR(__xludf.DUMMYFUNCTION("""COMPUTED_VALUE"""),1790.0)</f>
        <v>1790</v>
      </c>
      <c r="C58" s="6">
        <f>IFERROR(__xludf.DUMMYFUNCTION("""COMPUTED_VALUE"""),1822.9)</f>
        <v>1822.9</v>
      </c>
      <c r="D58" s="6">
        <f>IFERROR(__xludf.DUMMYFUNCTION("""COMPUTED_VALUE"""),1750.05)</f>
        <v>1750.05</v>
      </c>
      <c r="E58" s="6">
        <f>IFERROR(__xludf.DUMMYFUNCTION("""COMPUTED_VALUE"""),1786.35)</f>
        <v>1786.35</v>
      </c>
      <c r="F58" s="6">
        <f>IFERROR(__xludf.DUMMYFUNCTION("""COMPUTED_VALUE"""),2531418.0)</f>
        <v>2531418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IFERROR(__xludf.DUMMYFUNCTION("""COMPUTED_VALUE"""),1790.0)</f>
        <v>1790</v>
      </c>
      <c r="C59" s="6">
        <f>IFERROR(__xludf.DUMMYFUNCTION("""COMPUTED_VALUE"""),1797.6)</f>
        <v>1797.6</v>
      </c>
      <c r="D59" s="6">
        <f>IFERROR(__xludf.DUMMYFUNCTION("""COMPUTED_VALUE"""),1338.45)</f>
        <v>1338.45</v>
      </c>
      <c r="E59" s="6">
        <f>IFERROR(__xludf.DUMMYFUNCTION("""COMPUTED_VALUE"""),1373.6)</f>
        <v>1373.6</v>
      </c>
      <c r="F59" s="6">
        <f>IFERROR(__xludf.DUMMYFUNCTION("""COMPUTED_VALUE"""),1.8055673E7)</f>
        <v>18055673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IFERROR(__xludf.DUMMYFUNCTION("""COMPUTED_VALUE"""),1430.05)</f>
        <v>1430.05</v>
      </c>
      <c r="C60" s="6">
        <f>IFERROR(__xludf.DUMMYFUNCTION("""COMPUTED_VALUE"""),1520.0)</f>
        <v>1520</v>
      </c>
      <c r="D60" s="6">
        <f>IFERROR(__xludf.DUMMYFUNCTION("""COMPUTED_VALUE"""),1378.0)</f>
        <v>1378</v>
      </c>
      <c r="E60" s="6">
        <f>IFERROR(__xludf.DUMMYFUNCTION("""COMPUTED_VALUE"""),1422.35)</f>
        <v>1422.35</v>
      </c>
      <c r="F60" s="6">
        <f>IFERROR(__xludf.DUMMYFUNCTION("""COMPUTED_VALUE"""),6845019.0)</f>
        <v>6845019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IFERROR(__xludf.DUMMYFUNCTION("""COMPUTED_VALUE"""),1422.35)</f>
        <v>1422.35</v>
      </c>
      <c r="C61" s="6">
        <f>IFERROR(__xludf.DUMMYFUNCTION("""COMPUTED_VALUE"""),1447.45)</f>
        <v>1447.45</v>
      </c>
      <c r="D61" s="6">
        <f>IFERROR(__xludf.DUMMYFUNCTION("""COMPUTED_VALUE"""),1339.0)</f>
        <v>1339</v>
      </c>
      <c r="E61" s="6">
        <f>IFERROR(__xludf.DUMMYFUNCTION("""COMPUTED_VALUE"""),1356.95)</f>
        <v>1356.95</v>
      </c>
      <c r="F61" s="6">
        <f>IFERROR(__xludf.DUMMYFUNCTION("""COMPUTED_VALUE"""),3346714.0)</f>
        <v>3346714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IFERROR(__xludf.DUMMYFUNCTION("""COMPUTED_VALUE"""),1350.25)</f>
        <v>1350.25</v>
      </c>
      <c r="C62" s="6">
        <f>IFERROR(__xludf.DUMMYFUNCTION("""COMPUTED_VALUE"""),1356.4)</f>
        <v>1356.4</v>
      </c>
      <c r="D62" s="6">
        <f>IFERROR(__xludf.DUMMYFUNCTION("""COMPUTED_VALUE"""),1283.25)</f>
        <v>1283.25</v>
      </c>
      <c r="E62" s="6">
        <f>IFERROR(__xludf.DUMMYFUNCTION("""COMPUTED_VALUE"""),1308.45)</f>
        <v>1308.45</v>
      </c>
      <c r="F62" s="6">
        <f>IFERROR(__xludf.DUMMYFUNCTION("""COMPUTED_VALUE"""),4656848.0)</f>
        <v>4656848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IFERROR(__xludf.DUMMYFUNCTION("""COMPUTED_VALUE"""),1308.45)</f>
        <v>1308.45</v>
      </c>
      <c r="C63" s="6">
        <f>IFERROR(__xludf.DUMMYFUNCTION("""COMPUTED_VALUE"""),1424.5)</f>
        <v>1424.5</v>
      </c>
      <c r="D63" s="6">
        <f>IFERROR(__xludf.DUMMYFUNCTION("""COMPUTED_VALUE"""),1308.45)</f>
        <v>1308.45</v>
      </c>
      <c r="E63" s="6">
        <f>IFERROR(__xludf.DUMMYFUNCTION("""COMPUTED_VALUE"""),1368.8)</f>
        <v>1368.8</v>
      </c>
      <c r="F63" s="6">
        <f>IFERROR(__xludf.DUMMYFUNCTION("""COMPUTED_VALUE"""),6260192.0)</f>
        <v>6260192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IFERROR(__xludf.DUMMYFUNCTION("""COMPUTED_VALUE"""),1361.0)</f>
        <v>1361</v>
      </c>
      <c r="C64" s="6">
        <f>IFERROR(__xludf.DUMMYFUNCTION("""COMPUTED_VALUE"""),1503.75)</f>
        <v>1503.75</v>
      </c>
      <c r="D64" s="6">
        <f>IFERROR(__xludf.DUMMYFUNCTION("""COMPUTED_VALUE"""),1340.0)</f>
        <v>1340</v>
      </c>
      <c r="E64" s="6">
        <f>IFERROR(__xludf.DUMMYFUNCTION("""COMPUTED_VALUE"""),1481.1)</f>
        <v>1481.1</v>
      </c>
      <c r="F64" s="6">
        <f>IFERROR(__xludf.DUMMYFUNCTION("""COMPUTED_VALUE"""),1.2355971E7)</f>
        <v>12355971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IFERROR(__xludf.DUMMYFUNCTION("""COMPUTED_VALUE"""),1482.0)</f>
        <v>1482</v>
      </c>
      <c r="C65" s="6">
        <f>IFERROR(__xludf.DUMMYFUNCTION("""COMPUTED_VALUE"""),1563.35)</f>
        <v>1563.35</v>
      </c>
      <c r="D65" s="6">
        <f>IFERROR(__xludf.DUMMYFUNCTION("""COMPUTED_VALUE"""),1480.55)</f>
        <v>1480.55</v>
      </c>
      <c r="E65" s="6">
        <f>IFERROR(__xludf.DUMMYFUNCTION("""COMPUTED_VALUE"""),1533.1)</f>
        <v>1533.1</v>
      </c>
      <c r="F65" s="6">
        <f>IFERROR(__xludf.DUMMYFUNCTION("""COMPUTED_VALUE"""),6076152.0)</f>
        <v>6076152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IFERROR(__xludf.DUMMYFUNCTION("""COMPUTED_VALUE"""),1535.0)</f>
        <v>1535</v>
      </c>
      <c r="C66" s="6">
        <f>IFERROR(__xludf.DUMMYFUNCTION("""COMPUTED_VALUE"""),1555.0)</f>
        <v>1555</v>
      </c>
      <c r="D66" s="6">
        <f>IFERROR(__xludf.DUMMYFUNCTION("""COMPUTED_VALUE"""),1438.9)</f>
        <v>1438.9</v>
      </c>
      <c r="E66" s="6">
        <f>IFERROR(__xludf.DUMMYFUNCTION("""COMPUTED_VALUE"""),1451.25)</f>
        <v>1451.25</v>
      </c>
      <c r="F66" s="6">
        <f>IFERROR(__xludf.DUMMYFUNCTION("""COMPUTED_VALUE"""),4704310.0)</f>
        <v>4704310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IFERROR(__xludf.DUMMYFUNCTION("""COMPUTED_VALUE"""),1467.4)</f>
        <v>1467.4</v>
      </c>
      <c r="C67" s="6">
        <f>IFERROR(__xludf.DUMMYFUNCTION("""COMPUTED_VALUE"""),1474.85)</f>
        <v>1474.85</v>
      </c>
      <c r="D67" s="6">
        <f>IFERROR(__xludf.DUMMYFUNCTION("""COMPUTED_VALUE"""),1408.05)</f>
        <v>1408.05</v>
      </c>
      <c r="E67" s="6">
        <f>IFERROR(__xludf.DUMMYFUNCTION("""COMPUTED_VALUE"""),1460.6)</f>
        <v>1460.6</v>
      </c>
      <c r="F67" s="6">
        <f>IFERROR(__xludf.DUMMYFUNCTION("""COMPUTED_VALUE"""),2695423.0)</f>
        <v>2695423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IFERROR(__xludf.DUMMYFUNCTION("""COMPUTED_VALUE"""),1461.0)</f>
        <v>1461</v>
      </c>
      <c r="C68" s="6">
        <f>IFERROR(__xludf.DUMMYFUNCTION("""COMPUTED_VALUE"""),1500.0)</f>
        <v>1500</v>
      </c>
      <c r="D68" s="6">
        <f>IFERROR(__xludf.DUMMYFUNCTION("""COMPUTED_VALUE"""),1428.05)</f>
        <v>1428.05</v>
      </c>
      <c r="E68" s="6">
        <f>IFERROR(__xludf.DUMMYFUNCTION("""COMPUTED_VALUE"""),1449.95)</f>
        <v>1449.95</v>
      </c>
      <c r="F68" s="6">
        <f>IFERROR(__xludf.DUMMYFUNCTION("""COMPUTED_VALUE"""),3773380.0)</f>
        <v>3773380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IFERROR(__xludf.DUMMYFUNCTION("""COMPUTED_VALUE"""),1454.65)</f>
        <v>1454.65</v>
      </c>
      <c r="C69" s="6">
        <f>IFERROR(__xludf.DUMMYFUNCTION("""COMPUTED_VALUE"""),1483.85)</f>
        <v>1483.85</v>
      </c>
      <c r="D69" s="6">
        <f>IFERROR(__xludf.DUMMYFUNCTION("""COMPUTED_VALUE"""),1357.95)</f>
        <v>1357.95</v>
      </c>
      <c r="E69" s="6">
        <f>IFERROR(__xludf.DUMMYFUNCTION("""COMPUTED_VALUE"""),1369.65)</f>
        <v>1369.65</v>
      </c>
      <c r="F69" s="6">
        <f>IFERROR(__xludf.DUMMYFUNCTION("""COMPUTED_VALUE"""),5720494.0)</f>
        <v>5720494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IFERROR(__xludf.DUMMYFUNCTION("""COMPUTED_VALUE"""),1352.0)</f>
        <v>1352</v>
      </c>
      <c r="C70" s="6">
        <f>IFERROR(__xludf.DUMMYFUNCTION("""COMPUTED_VALUE"""),1381.85)</f>
        <v>1381.85</v>
      </c>
      <c r="D70" s="6">
        <f>IFERROR(__xludf.DUMMYFUNCTION("""COMPUTED_VALUE"""),1300.0)</f>
        <v>1300</v>
      </c>
      <c r="E70" s="6">
        <f>IFERROR(__xludf.DUMMYFUNCTION("""COMPUTED_VALUE"""),1314.65)</f>
        <v>1314.65</v>
      </c>
      <c r="F70" s="6">
        <f>IFERROR(__xludf.DUMMYFUNCTION("""COMPUTED_VALUE"""),4688242.0)</f>
        <v>4688242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IFERROR(__xludf.DUMMYFUNCTION("""COMPUTED_VALUE"""),1329.95)</f>
        <v>1329.95</v>
      </c>
      <c r="C71" s="6">
        <f>IFERROR(__xludf.DUMMYFUNCTION("""COMPUTED_VALUE"""),1372.25)</f>
        <v>1372.25</v>
      </c>
      <c r="D71" s="6">
        <f>IFERROR(__xludf.DUMMYFUNCTION("""COMPUTED_VALUE"""),1268.95)</f>
        <v>1268.95</v>
      </c>
      <c r="E71" s="6">
        <f>IFERROR(__xludf.DUMMYFUNCTION("""COMPUTED_VALUE"""),1322.9)</f>
        <v>1322.9</v>
      </c>
      <c r="F71" s="6">
        <f>IFERROR(__xludf.DUMMYFUNCTION("""COMPUTED_VALUE"""),5520474.0)</f>
        <v>5520474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IFERROR(__xludf.DUMMYFUNCTION("""COMPUTED_VALUE"""),1420.0)</f>
        <v>1420</v>
      </c>
      <c r="C72" s="6">
        <f>IFERROR(__xludf.DUMMYFUNCTION("""COMPUTED_VALUE"""),1475.0)</f>
        <v>1475</v>
      </c>
      <c r="D72" s="6">
        <f>IFERROR(__xludf.DUMMYFUNCTION("""COMPUTED_VALUE"""),1392.55)</f>
        <v>1392.55</v>
      </c>
      <c r="E72" s="6">
        <f>IFERROR(__xludf.DUMMYFUNCTION("""COMPUTED_VALUE"""),1447.8)</f>
        <v>1447.8</v>
      </c>
      <c r="F72" s="6">
        <f>IFERROR(__xludf.DUMMYFUNCTION("""COMPUTED_VALUE"""),4773114.0)</f>
        <v>4773114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IFERROR(__xludf.DUMMYFUNCTION("""COMPUTED_VALUE"""),1447.7)</f>
        <v>1447.7</v>
      </c>
      <c r="C73" s="6">
        <f>IFERROR(__xludf.DUMMYFUNCTION("""COMPUTED_VALUE"""),1454.55)</f>
        <v>1454.55</v>
      </c>
      <c r="D73" s="6">
        <f>IFERROR(__xludf.DUMMYFUNCTION("""COMPUTED_VALUE"""),1308.5)</f>
        <v>1308.5</v>
      </c>
      <c r="E73" s="6">
        <f>IFERROR(__xludf.DUMMYFUNCTION("""COMPUTED_VALUE"""),1342.65)</f>
        <v>1342.65</v>
      </c>
      <c r="F73" s="6">
        <f>IFERROR(__xludf.DUMMYFUNCTION("""COMPUTED_VALUE"""),3529460.0)</f>
        <v>3529460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IFERROR(__xludf.DUMMYFUNCTION("""COMPUTED_VALUE"""),1341.05)</f>
        <v>1341.05</v>
      </c>
      <c r="C74" s="6">
        <f>IFERROR(__xludf.DUMMYFUNCTION("""COMPUTED_VALUE"""),1354.35)</f>
        <v>1354.35</v>
      </c>
      <c r="D74" s="6">
        <f>IFERROR(__xludf.DUMMYFUNCTION("""COMPUTED_VALUE"""),1294.0)</f>
        <v>1294</v>
      </c>
      <c r="E74" s="6">
        <f>IFERROR(__xludf.DUMMYFUNCTION("""COMPUTED_VALUE"""),1310.1)</f>
        <v>1310.1</v>
      </c>
      <c r="F74" s="6">
        <f>IFERROR(__xludf.DUMMYFUNCTION("""COMPUTED_VALUE"""),3810539.0)</f>
        <v>3810539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IFERROR(__xludf.DUMMYFUNCTION("""COMPUTED_VALUE"""),1303.05)</f>
        <v>1303.05</v>
      </c>
      <c r="C75" s="6">
        <f>IFERROR(__xludf.DUMMYFUNCTION("""COMPUTED_VALUE"""),1303.55)</f>
        <v>1303.55</v>
      </c>
      <c r="D75" s="6">
        <f>IFERROR(__xludf.DUMMYFUNCTION("""COMPUTED_VALUE"""),1192.0)</f>
        <v>1192</v>
      </c>
      <c r="E75" s="6">
        <f>IFERROR(__xludf.DUMMYFUNCTION("""COMPUTED_VALUE"""),1197.4)</f>
        <v>1197.4</v>
      </c>
      <c r="F75" s="6">
        <f>IFERROR(__xludf.DUMMYFUNCTION("""COMPUTED_VALUE"""),3386360.0)</f>
        <v>3386360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IFERROR(__xludf.DUMMYFUNCTION("""COMPUTED_VALUE"""),1194.95)</f>
        <v>1194.95</v>
      </c>
      <c r="C76" s="6">
        <f>IFERROR(__xludf.DUMMYFUNCTION("""COMPUTED_VALUE"""),1331.45)</f>
        <v>1331.45</v>
      </c>
      <c r="D76" s="6">
        <f>IFERROR(__xludf.DUMMYFUNCTION("""COMPUTED_VALUE"""),1142.3)</f>
        <v>1142.3</v>
      </c>
      <c r="E76" s="6">
        <f>IFERROR(__xludf.DUMMYFUNCTION("""COMPUTED_VALUE"""),1305.4)</f>
        <v>1305.4</v>
      </c>
      <c r="F76" s="6">
        <f>IFERROR(__xludf.DUMMYFUNCTION("""COMPUTED_VALUE"""),5779421.0)</f>
        <v>5779421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IFERROR(__xludf.DUMMYFUNCTION("""COMPUTED_VALUE"""),1305.95)</f>
        <v>1305.95</v>
      </c>
      <c r="C77" s="6">
        <f>IFERROR(__xludf.DUMMYFUNCTION("""COMPUTED_VALUE"""),1314.35)</f>
        <v>1314.35</v>
      </c>
      <c r="D77" s="6">
        <f>IFERROR(__xludf.DUMMYFUNCTION("""COMPUTED_VALUE"""),1200.0)</f>
        <v>1200</v>
      </c>
      <c r="E77" s="6">
        <f>IFERROR(__xludf.DUMMYFUNCTION("""COMPUTED_VALUE"""),1206.45)</f>
        <v>1206.45</v>
      </c>
      <c r="F77" s="6">
        <f>IFERROR(__xludf.DUMMYFUNCTION("""COMPUTED_VALUE"""),2314823.0)</f>
        <v>2314823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IFERROR(__xludf.DUMMYFUNCTION("""COMPUTED_VALUE"""),1215.05)</f>
        <v>1215.05</v>
      </c>
      <c r="C78" s="6">
        <f>IFERROR(__xludf.DUMMYFUNCTION("""COMPUTED_VALUE"""),1328.0)</f>
        <v>1328</v>
      </c>
      <c r="D78" s="6">
        <f>IFERROR(__xludf.DUMMYFUNCTION("""COMPUTED_VALUE"""),1215.05)</f>
        <v>1215.05</v>
      </c>
      <c r="E78" s="6">
        <f>IFERROR(__xludf.DUMMYFUNCTION("""COMPUTED_VALUE"""),1323.4)</f>
        <v>1323.4</v>
      </c>
      <c r="F78" s="6">
        <f>IFERROR(__xludf.DUMMYFUNCTION("""COMPUTED_VALUE"""),5475769.0)</f>
        <v>5475769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IFERROR(__xludf.DUMMYFUNCTION("""COMPUTED_VALUE"""),1331.8)</f>
        <v>1331.8</v>
      </c>
      <c r="C79" s="6">
        <f>IFERROR(__xludf.DUMMYFUNCTION("""COMPUTED_VALUE"""),1414.0)</f>
        <v>1414</v>
      </c>
      <c r="D79" s="6">
        <f>IFERROR(__xludf.DUMMYFUNCTION("""COMPUTED_VALUE"""),1300.0)</f>
        <v>1300</v>
      </c>
      <c r="E79" s="6">
        <f>IFERROR(__xludf.DUMMYFUNCTION("""COMPUTED_VALUE"""),1307.45)</f>
        <v>1307.45</v>
      </c>
      <c r="F79" s="6">
        <f>IFERROR(__xludf.DUMMYFUNCTION("""COMPUTED_VALUE"""),5059355.0)</f>
        <v>5059355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IFERROR(__xludf.DUMMYFUNCTION("""COMPUTED_VALUE"""),1306.6)</f>
        <v>1306.6</v>
      </c>
      <c r="C80" s="6">
        <f>IFERROR(__xludf.DUMMYFUNCTION("""COMPUTED_VALUE"""),1328.8)</f>
        <v>1328.8</v>
      </c>
      <c r="D80" s="6">
        <f>IFERROR(__xludf.DUMMYFUNCTION("""COMPUTED_VALUE"""),1115.5)</f>
        <v>1115.5</v>
      </c>
      <c r="E80" s="6">
        <f>IFERROR(__xludf.DUMMYFUNCTION("""COMPUTED_VALUE"""),1134.0)</f>
        <v>1134</v>
      </c>
      <c r="F80" s="6">
        <f>IFERROR(__xludf.DUMMYFUNCTION("""COMPUTED_VALUE"""),8422321.0)</f>
        <v>8422321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IFERROR(__xludf.DUMMYFUNCTION("""COMPUTED_VALUE"""),1020.6)</f>
        <v>1020.6</v>
      </c>
      <c r="C81" s="6">
        <f>IFERROR(__xludf.DUMMYFUNCTION("""COMPUTED_VALUE"""),1138.55)</f>
        <v>1138.55</v>
      </c>
      <c r="D81" s="6">
        <f>IFERROR(__xludf.DUMMYFUNCTION("""COMPUTED_VALUE"""),1020.6)</f>
        <v>1020.6</v>
      </c>
      <c r="E81" s="6">
        <f>IFERROR(__xludf.DUMMYFUNCTION("""COMPUTED_VALUE"""),1118.95)</f>
        <v>1118.95</v>
      </c>
      <c r="F81" s="6">
        <f>IFERROR(__xludf.DUMMYFUNCTION("""COMPUTED_VALUE"""),7870980.0)</f>
        <v>7870980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IFERROR(__xludf.DUMMYFUNCTION("""COMPUTED_VALUE"""),1130.0)</f>
        <v>1130</v>
      </c>
      <c r="C82" s="6">
        <f>IFERROR(__xludf.DUMMYFUNCTION("""COMPUTED_VALUE"""),1169.5)</f>
        <v>1169.5</v>
      </c>
      <c r="D82" s="6">
        <f>IFERROR(__xludf.DUMMYFUNCTION("""COMPUTED_VALUE"""),1116.1)</f>
        <v>1116.1</v>
      </c>
      <c r="E82" s="6">
        <f>IFERROR(__xludf.DUMMYFUNCTION("""COMPUTED_VALUE"""),1136.2)</f>
        <v>1136.2</v>
      </c>
      <c r="F82" s="6">
        <f>IFERROR(__xludf.DUMMYFUNCTION("""COMPUTED_VALUE"""),3236443.0)</f>
        <v>3236443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IFERROR(__xludf.DUMMYFUNCTION("""COMPUTED_VALUE"""),1140.0)</f>
        <v>1140</v>
      </c>
      <c r="C83" s="6">
        <f>IFERROR(__xludf.DUMMYFUNCTION("""COMPUTED_VALUE"""),1238.6)</f>
        <v>1238.6</v>
      </c>
      <c r="D83" s="6">
        <f>IFERROR(__xludf.DUMMYFUNCTION("""COMPUTED_VALUE"""),1137.0)</f>
        <v>1137</v>
      </c>
      <c r="E83" s="6">
        <f>IFERROR(__xludf.DUMMYFUNCTION("""COMPUTED_VALUE"""),1221.0)</f>
        <v>1221</v>
      </c>
      <c r="F83" s="6">
        <f>IFERROR(__xludf.DUMMYFUNCTION("""COMPUTED_VALUE"""),7823205.0)</f>
        <v>7823205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IFERROR(__xludf.DUMMYFUNCTION("""COMPUTED_VALUE"""),1221.0)</f>
        <v>1221</v>
      </c>
      <c r="C84" s="6">
        <f>IFERROR(__xludf.DUMMYFUNCTION("""COMPUTED_VALUE"""),1287.0)</f>
        <v>1287</v>
      </c>
      <c r="D84" s="6">
        <f>IFERROR(__xludf.DUMMYFUNCTION("""COMPUTED_VALUE"""),1192.8)</f>
        <v>1192.8</v>
      </c>
      <c r="E84" s="6">
        <f>IFERROR(__xludf.DUMMYFUNCTION("""COMPUTED_VALUE"""),1233.4)</f>
        <v>1233.4</v>
      </c>
      <c r="F84" s="6">
        <f>IFERROR(__xludf.DUMMYFUNCTION("""COMPUTED_VALUE"""),1.3181254E7)</f>
        <v>13181254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IFERROR(__xludf.DUMMYFUNCTION("""COMPUTED_VALUE"""),1233.6)</f>
        <v>1233.6</v>
      </c>
      <c r="C85" s="6">
        <f>IFERROR(__xludf.DUMMYFUNCTION("""COMPUTED_VALUE"""),1316.6)</f>
        <v>1316.6</v>
      </c>
      <c r="D85" s="6">
        <f>IFERROR(__xludf.DUMMYFUNCTION("""COMPUTED_VALUE"""),1212.0)</f>
        <v>1212</v>
      </c>
      <c r="E85" s="6">
        <f>IFERROR(__xludf.DUMMYFUNCTION("""COMPUTED_VALUE"""),1244.2)</f>
        <v>1244.2</v>
      </c>
      <c r="F85" s="6">
        <f>IFERROR(__xludf.DUMMYFUNCTION("""COMPUTED_VALUE"""),5199466.0)</f>
        <v>5199466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IFERROR(__xludf.DUMMYFUNCTION("""COMPUTED_VALUE"""),1300.0)</f>
        <v>1300</v>
      </c>
      <c r="C86" s="6">
        <f>IFERROR(__xludf.DUMMYFUNCTION("""COMPUTED_VALUE"""),1404.0)</f>
        <v>1404</v>
      </c>
      <c r="D86" s="6">
        <f>IFERROR(__xludf.DUMMYFUNCTION("""COMPUTED_VALUE"""),1286.4)</f>
        <v>1286.4</v>
      </c>
      <c r="E86" s="6">
        <f>IFERROR(__xludf.DUMMYFUNCTION("""COMPUTED_VALUE"""),1364.8)</f>
        <v>1364.8</v>
      </c>
      <c r="F86" s="6">
        <f>IFERROR(__xludf.DUMMYFUNCTION("""COMPUTED_VALUE"""),7727292.0)</f>
        <v>7727292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IFERROR(__xludf.DUMMYFUNCTION("""COMPUTED_VALUE"""),1364.8)</f>
        <v>1364.8</v>
      </c>
      <c r="C87" s="6">
        <f>IFERROR(__xludf.DUMMYFUNCTION("""COMPUTED_VALUE"""),1367.5)</f>
        <v>1367.5</v>
      </c>
      <c r="D87" s="6">
        <f>IFERROR(__xludf.DUMMYFUNCTION("""COMPUTED_VALUE"""),1308.8)</f>
        <v>1308.8</v>
      </c>
      <c r="E87" s="6">
        <f>IFERROR(__xludf.DUMMYFUNCTION("""COMPUTED_VALUE"""),1329.0)</f>
        <v>1329</v>
      </c>
      <c r="F87" s="6">
        <f>IFERROR(__xludf.DUMMYFUNCTION("""COMPUTED_VALUE"""),3370872.0)</f>
        <v>3370872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IFERROR(__xludf.DUMMYFUNCTION("""COMPUTED_VALUE"""),1336.0)</f>
        <v>1336</v>
      </c>
      <c r="C88" s="6">
        <f>IFERROR(__xludf.DUMMYFUNCTION("""COMPUTED_VALUE"""),1361.0)</f>
        <v>1361</v>
      </c>
      <c r="D88" s="6">
        <f>IFERROR(__xludf.DUMMYFUNCTION("""COMPUTED_VALUE"""),1321.0)</f>
        <v>1321</v>
      </c>
      <c r="E88" s="6">
        <f>IFERROR(__xludf.DUMMYFUNCTION("""COMPUTED_VALUE"""),1337.8)</f>
        <v>1337.8</v>
      </c>
      <c r="F88" s="6">
        <f>IFERROR(__xludf.DUMMYFUNCTION("""COMPUTED_VALUE"""),3880148.0)</f>
        <v>3880148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IFERROR(__xludf.DUMMYFUNCTION("""COMPUTED_VALUE"""),1337.8)</f>
        <v>1337.8</v>
      </c>
      <c r="C89" s="6">
        <f>IFERROR(__xludf.DUMMYFUNCTION("""COMPUTED_VALUE"""),1352.0)</f>
        <v>1352</v>
      </c>
      <c r="D89" s="6">
        <f>IFERROR(__xludf.DUMMYFUNCTION("""COMPUTED_VALUE"""),1309.4)</f>
        <v>1309.4</v>
      </c>
      <c r="E89" s="6">
        <f>IFERROR(__xludf.DUMMYFUNCTION("""COMPUTED_VALUE"""),1318.7)</f>
        <v>1318.7</v>
      </c>
      <c r="F89" s="6">
        <f>IFERROR(__xludf.DUMMYFUNCTION("""COMPUTED_VALUE"""),2728843.0)</f>
        <v>2728843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IFERROR(__xludf.DUMMYFUNCTION("""COMPUTED_VALUE"""),1315.5)</f>
        <v>1315.5</v>
      </c>
      <c r="C90" s="6">
        <f>IFERROR(__xludf.DUMMYFUNCTION("""COMPUTED_VALUE"""),1396.0)</f>
        <v>1396</v>
      </c>
      <c r="D90" s="6">
        <f>IFERROR(__xludf.DUMMYFUNCTION("""COMPUTED_VALUE"""),1312.8)</f>
        <v>1312.8</v>
      </c>
      <c r="E90" s="6">
        <f>IFERROR(__xludf.DUMMYFUNCTION("""COMPUTED_VALUE"""),1352.5)</f>
        <v>1352.5</v>
      </c>
      <c r="F90" s="6">
        <f>IFERROR(__xludf.DUMMYFUNCTION("""COMPUTED_VALUE"""),5101599.0)</f>
        <v>5101599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IFERROR(__xludf.DUMMYFUNCTION("""COMPUTED_VALUE"""),1346.1)</f>
        <v>1346.1</v>
      </c>
      <c r="C91" s="6">
        <f>IFERROR(__xludf.DUMMYFUNCTION("""COMPUTED_VALUE"""),1434.5)</f>
        <v>1434.5</v>
      </c>
      <c r="D91" s="6">
        <f>IFERROR(__xludf.DUMMYFUNCTION("""COMPUTED_VALUE"""),1345.0)</f>
        <v>1345</v>
      </c>
      <c r="E91" s="6">
        <f>IFERROR(__xludf.DUMMYFUNCTION("""COMPUTED_VALUE"""),1394.5)</f>
        <v>1394.5</v>
      </c>
      <c r="F91" s="6">
        <f>IFERROR(__xludf.DUMMYFUNCTION("""COMPUTED_VALUE"""),1.0225173E7)</f>
        <v>10225173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IFERROR(__xludf.DUMMYFUNCTION("""COMPUTED_VALUE"""),1390.0)</f>
        <v>1390</v>
      </c>
      <c r="C92" s="6">
        <f>IFERROR(__xludf.DUMMYFUNCTION("""COMPUTED_VALUE"""),1412.9)</f>
        <v>1412.9</v>
      </c>
      <c r="D92" s="6">
        <f>IFERROR(__xludf.DUMMYFUNCTION("""COMPUTED_VALUE"""),1262.1)</f>
        <v>1262.1</v>
      </c>
      <c r="E92" s="6">
        <f>IFERROR(__xludf.DUMMYFUNCTION("""COMPUTED_VALUE"""),1267.1)</f>
        <v>1267.1</v>
      </c>
      <c r="F92" s="6">
        <f>IFERROR(__xludf.DUMMYFUNCTION("""COMPUTED_VALUE"""),1.2371358E7)</f>
        <v>12371358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IFERROR(__xludf.DUMMYFUNCTION("""COMPUTED_VALUE"""),1273.0)</f>
        <v>1273</v>
      </c>
      <c r="C93" s="6">
        <f>IFERROR(__xludf.DUMMYFUNCTION("""COMPUTED_VALUE"""),1284.5)</f>
        <v>1284.5</v>
      </c>
      <c r="D93" s="6">
        <f>IFERROR(__xludf.DUMMYFUNCTION("""COMPUTED_VALUE"""),1235.0)</f>
        <v>1235</v>
      </c>
      <c r="E93" s="6">
        <f>IFERROR(__xludf.DUMMYFUNCTION("""COMPUTED_VALUE"""),1263.8)</f>
        <v>1263.8</v>
      </c>
      <c r="F93" s="6">
        <f>IFERROR(__xludf.DUMMYFUNCTION("""COMPUTED_VALUE"""),6115221.0)</f>
        <v>6115221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IFERROR(__xludf.DUMMYFUNCTION("""COMPUTED_VALUE"""),1263.8)</f>
        <v>1263.8</v>
      </c>
      <c r="C94" s="6">
        <f>IFERROR(__xludf.DUMMYFUNCTION("""COMPUTED_VALUE"""),1277.5)</f>
        <v>1277.5</v>
      </c>
      <c r="D94" s="6">
        <f>IFERROR(__xludf.DUMMYFUNCTION("""COMPUTED_VALUE"""),1239.9)</f>
        <v>1239.9</v>
      </c>
      <c r="E94" s="6">
        <f>IFERROR(__xludf.DUMMYFUNCTION("""COMPUTED_VALUE"""),1268.4)</f>
        <v>1268.4</v>
      </c>
      <c r="F94" s="6">
        <f>IFERROR(__xludf.DUMMYFUNCTION("""COMPUTED_VALUE"""),3366215.0)</f>
        <v>3366215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IFERROR(__xludf.DUMMYFUNCTION("""COMPUTED_VALUE"""),1268.4)</f>
        <v>1268.4</v>
      </c>
      <c r="C95" s="6">
        <f>IFERROR(__xludf.DUMMYFUNCTION("""COMPUTED_VALUE"""),1300.9)</f>
        <v>1300.9</v>
      </c>
      <c r="D95" s="6">
        <f>IFERROR(__xludf.DUMMYFUNCTION("""COMPUTED_VALUE"""),1254.1)</f>
        <v>1254.1</v>
      </c>
      <c r="E95" s="6">
        <f>IFERROR(__xludf.DUMMYFUNCTION("""COMPUTED_VALUE"""),1273.8)</f>
        <v>1273.8</v>
      </c>
      <c r="F95" s="6">
        <f>IFERROR(__xludf.DUMMYFUNCTION("""COMPUTED_VALUE"""),2780698.0)</f>
        <v>2780698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IFERROR(__xludf.DUMMYFUNCTION("""COMPUTED_VALUE"""),1273.8)</f>
        <v>1273.8</v>
      </c>
      <c r="C96" s="6">
        <f>IFERROR(__xludf.DUMMYFUNCTION("""COMPUTED_VALUE"""),1283.8)</f>
        <v>1283.8</v>
      </c>
      <c r="D96" s="6">
        <f>IFERROR(__xludf.DUMMYFUNCTION("""COMPUTED_VALUE"""),1225.0)</f>
        <v>1225</v>
      </c>
      <c r="E96" s="6">
        <f>IFERROR(__xludf.DUMMYFUNCTION("""COMPUTED_VALUE"""),1227.2)</f>
        <v>1227.2</v>
      </c>
      <c r="F96" s="6">
        <f>IFERROR(__xludf.DUMMYFUNCTION("""COMPUTED_VALUE"""),2948638.0)</f>
        <v>2948638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IFERROR(__xludf.DUMMYFUNCTION("""COMPUTED_VALUE"""),1221.1)</f>
        <v>1221.1</v>
      </c>
      <c r="C97" s="6">
        <f>IFERROR(__xludf.DUMMYFUNCTION("""COMPUTED_VALUE"""),1282.9)</f>
        <v>1282.9</v>
      </c>
      <c r="D97" s="6">
        <f>IFERROR(__xludf.DUMMYFUNCTION("""COMPUTED_VALUE"""),1180.0)</f>
        <v>1180</v>
      </c>
      <c r="E97" s="6">
        <f>IFERROR(__xludf.DUMMYFUNCTION("""COMPUTED_VALUE"""),1206.5)</f>
        <v>1206.5</v>
      </c>
      <c r="F97" s="6">
        <f>IFERROR(__xludf.DUMMYFUNCTION("""COMPUTED_VALUE"""),8688602.0)</f>
        <v>8688602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IFERROR(__xludf.DUMMYFUNCTION("""COMPUTED_VALUE"""),1204.5)</f>
        <v>1204.5</v>
      </c>
      <c r="C98" s="6">
        <f>IFERROR(__xludf.DUMMYFUNCTION("""COMPUTED_VALUE"""),1220.0)</f>
        <v>1220</v>
      </c>
      <c r="D98" s="6">
        <f>IFERROR(__xludf.DUMMYFUNCTION("""COMPUTED_VALUE"""),1187.3)</f>
        <v>1187.3</v>
      </c>
      <c r="E98" s="6">
        <f>IFERROR(__xludf.DUMMYFUNCTION("""COMPUTED_VALUE"""),1190.8)</f>
        <v>1190.8</v>
      </c>
      <c r="F98" s="6">
        <f>IFERROR(__xludf.DUMMYFUNCTION("""COMPUTED_VALUE"""),2814824.0)</f>
        <v>2814824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IFERROR(__xludf.DUMMYFUNCTION("""COMPUTED_VALUE"""),1190.8)</f>
        <v>1190.8</v>
      </c>
      <c r="C99" s="6">
        <f>IFERROR(__xludf.DUMMYFUNCTION("""COMPUTED_VALUE"""),1230.0)</f>
        <v>1230</v>
      </c>
      <c r="D99" s="6">
        <f>IFERROR(__xludf.DUMMYFUNCTION("""COMPUTED_VALUE"""),1185.8)</f>
        <v>1185.8</v>
      </c>
      <c r="E99" s="6">
        <f>IFERROR(__xludf.DUMMYFUNCTION("""COMPUTED_VALUE"""),1213.0)</f>
        <v>1213</v>
      </c>
      <c r="F99" s="6">
        <f>IFERROR(__xludf.DUMMYFUNCTION("""COMPUTED_VALUE"""),2531192.0)</f>
        <v>2531192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IFERROR(__xludf.DUMMYFUNCTION("""COMPUTED_VALUE"""),1215.1)</f>
        <v>1215.1</v>
      </c>
      <c r="C100" s="6">
        <f>IFERROR(__xludf.DUMMYFUNCTION("""COMPUTED_VALUE"""),1229.4)</f>
        <v>1229.4</v>
      </c>
      <c r="D100" s="6">
        <f>IFERROR(__xludf.DUMMYFUNCTION("""COMPUTED_VALUE"""),1191.9)</f>
        <v>1191.9</v>
      </c>
      <c r="E100" s="6">
        <f>IFERROR(__xludf.DUMMYFUNCTION("""COMPUTED_VALUE"""),1196.6)</f>
        <v>1196.6</v>
      </c>
      <c r="F100" s="6">
        <f>IFERROR(__xludf.DUMMYFUNCTION("""COMPUTED_VALUE"""),3795695.0)</f>
        <v>3795695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IFERROR(__xludf.DUMMYFUNCTION("""COMPUTED_VALUE"""),1213.4)</f>
        <v>1213.4</v>
      </c>
      <c r="C101" s="6">
        <f>IFERROR(__xludf.DUMMYFUNCTION("""COMPUTED_VALUE"""),1237.5)</f>
        <v>1237.5</v>
      </c>
      <c r="D101" s="6">
        <f>IFERROR(__xludf.DUMMYFUNCTION("""COMPUTED_VALUE"""),1191.2)</f>
        <v>1191.2</v>
      </c>
      <c r="E101" s="6">
        <f>IFERROR(__xludf.DUMMYFUNCTION("""COMPUTED_VALUE"""),1200.1)</f>
        <v>1200.1</v>
      </c>
      <c r="F101" s="6">
        <f>IFERROR(__xludf.DUMMYFUNCTION("""COMPUTED_VALUE"""),2.6266518E7)</f>
        <v>26266518</v>
      </c>
    </row>
  </sheetData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IFERROR(__xludf.DUMMYFUNCTION("GOOGLEFINANCE(""NSE:LICHSGFIN"",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IFERROR(__xludf.DUMMYFUNCTION("""COMPUTED_VALUE"""),418.65)</f>
        <v>418.65</v>
      </c>
      <c r="C2" s="6">
        <f>IFERROR(__xludf.DUMMYFUNCTION("""COMPUTED_VALUE"""),435.85)</f>
        <v>435.85</v>
      </c>
      <c r="D2" s="6">
        <f>IFERROR(__xludf.DUMMYFUNCTION("""COMPUTED_VALUE"""),417.4)</f>
        <v>417.4</v>
      </c>
      <c r="E2" s="6">
        <f>IFERROR(__xludf.DUMMYFUNCTION("""COMPUTED_VALUE"""),433.2)</f>
        <v>433.2</v>
      </c>
      <c r="F2" s="6">
        <f>IFERROR(__xludf.DUMMYFUNCTION("""COMPUTED_VALUE"""),1.4941955E7)</f>
        <v>14941955</v>
      </c>
    </row>
    <row r="3">
      <c r="A3" s="7">
        <f>IFERROR(__xludf.DUMMYFUNCTION("""COMPUTED_VALUE"""),45177.64583333333)</f>
        <v>45177.64583</v>
      </c>
      <c r="B3" s="6">
        <f>IFERROR(__xludf.DUMMYFUNCTION("""COMPUTED_VALUE"""),438.9)</f>
        <v>438.9</v>
      </c>
      <c r="C3" s="6">
        <f>IFERROR(__xludf.DUMMYFUNCTION("""COMPUTED_VALUE"""),459.2)</f>
        <v>459.2</v>
      </c>
      <c r="D3" s="6">
        <f>IFERROR(__xludf.DUMMYFUNCTION("""COMPUTED_VALUE"""),436.0)</f>
        <v>436</v>
      </c>
      <c r="E3" s="6">
        <f>IFERROR(__xludf.DUMMYFUNCTION("""COMPUTED_VALUE"""),452.95)</f>
        <v>452.95</v>
      </c>
      <c r="F3" s="6">
        <f>IFERROR(__xludf.DUMMYFUNCTION("""COMPUTED_VALUE"""),2.342425E7)</f>
        <v>23424250</v>
      </c>
    </row>
    <row r="4">
      <c r="A4" s="7">
        <f>IFERROR(__xludf.DUMMYFUNCTION("""COMPUTED_VALUE"""),45184.64583333333)</f>
        <v>45184.64583</v>
      </c>
      <c r="B4" s="6">
        <f>IFERROR(__xludf.DUMMYFUNCTION("""COMPUTED_VALUE"""),455.95)</f>
        <v>455.95</v>
      </c>
      <c r="C4" s="6">
        <f>IFERROR(__xludf.DUMMYFUNCTION("""COMPUTED_VALUE"""),470.8)</f>
        <v>470.8</v>
      </c>
      <c r="D4" s="6">
        <f>IFERROR(__xludf.DUMMYFUNCTION("""COMPUTED_VALUE"""),437.4)</f>
        <v>437.4</v>
      </c>
      <c r="E4" s="6">
        <f>IFERROR(__xludf.DUMMYFUNCTION("""COMPUTED_VALUE"""),458.75)</f>
        <v>458.75</v>
      </c>
      <c r="F4" s="6">
        <f>IFERROR(__xludf.DUMMYFUNCTION("""COMPUTED_VALUE"""),1.7739152E7)</f>
        <v>17739152</v>
      </c>
    </row>
    <row r="5">
      <c r="A5" s="7">
        <f>IFERROR(__xludf.DUMMYFUNCTION("""COMPUTED_VALUE"""),45191.64583333333)</f>
        <v>45191.64583</v>
      </c>
      <c r="B5" s="6">
        <f>IFERROR(__xludf.DUMMYFUNCTION("""COMPUTED_VALUE"""),458.75)</f>
        <v>458.75</v>
      </c>
      <c r="C5" s="6">
        <f>IFERROR(__xludf.DUMMYFUNCTION("""COMPUTED_VALUE"""),466.0)</f>
        <v>466</v>
      </c>
      <c r="D5" s="6">
        <f>IFERROR(__xludf.DUMMYFUNCTION("""COMPUTED_VALUE"""),452.95)</f>
        <v>452.95</v>
      </c>
      <c r="E5" s="6">
        <f>IFERROR(__xludf.DUMMYFUNCTION("""COMPUTED_VALUE"""),460.45)</f>
        <v>460.45</v>
      </c>
      <c r="F5" s="6">
        <f>IFERROR(__xludf.DUMMYFUNCTION("""COMPUTED_VALUE"""),7708527.0)</f>
        <v>7708527</v>
      </c>
    </row>
    <row r="6">
      <c r="A6" s="7">
        <f>IFERROR(__xludf.DUMMYFUNCTION("""COMPUTED_VALUE"""),45198.64583333333)</f>
        <v>45198.64583</v>
      </c>
      <c r="B6" s="6">
        <f>IFERROR(__xludf.DUMMYFUNCTION("""COMPUTED_VALUE"""),460.9)</f>
        <v>460.9</v>
      </c>
      <c r="C6" s="6">
        <f>IFERROR(__xludf.DUMMYFUNCTION("""COMPUTED_VALUE"""),473.35)</f>
        <v>473.35</v>
      </c>
      <c r="D6" s="6">
        <f>IFERROR(__xludf.DUMMYFUNCTION("""COMPUTED_VALUE"""),453.55)</f>
        <v>453.55</v>
      </c>
      <c r="E6" s="6">
        <f>IFERROR(__xludf.DUMMYFUNCTION("""COMPUTED_VALUE"""),464.35)</f>
        <v>464.35</v>
      </c>
      <c r="F6" s="6">
        <f>IFERROR(__xludf.DUMMYFUNCTION("""COMPUTED_VALUE"""),1.2377209E7)</f>
        <v>12377209</v>
      </c>
    </row>
    <row r="7">
      <c r="A7" s="7">
        <f>IFERROR(__xludf.DUMMYFUNCTION("""COMPUTED_VALUE"""),45205.64583333333)</f>
        <v>45205.64583</v>
      </c>
      <c r="B7" s="6">
        <f>IFERROR(__xludf.DUMMYFUNCTION("""COMPUTED_VALUE"""),463.5)</f>
        <v>463.5</v>
      </c>
      <c r="C7" s="6">
        <f>IFERROR(__xludf.DUMMYFUNCTION("""COMPUTED_VALUE"""),481.0)</f>
        <v>481</v>
      </c>
      <c r="D7" s="6">
        <f>IFERROR(__xludf.DUMMYFUNCTION("""COMPUTED_VALUE"""),458.95)</f>
        <v>458.95</v>
      </c>
      <c r="E7" s="6">
        <f>IFERROR(__xludf.DUMMYFUNCTION("""COMPUTED_VALUE"""),468.35)</f>
        <v>468.35</v>
      </c>
      <c r="F7" s="6">
        <f>IFERROR(__xludf.DUMMYFUNCTION("""COMPUTED_VALUE"""),1.4684076E7)</f>
        <v>14684076</v>
      </c>
    </row>
    <row r="8">
      <c r="A8" s="7">
        <f>IFERROR(__xludf.DUMMYFUNCTION("""COMPUTED_VALUE"""),45212.64583333333)</f>
        <v>45212.64583</v>
      </c>
      <c r="B8" s="6">
        <f>IFERROR(__xludf.DUMMYFUNCTION("""COMPUTED_VALUE"""),465.95)</f>
        <v>465.95</v>
      </c>
      <c r="C8" s="6">
        <f>IFERROR(__xludf.DUMMYFUNCTION("""COMPUTED_VALUE"""),479.9)</f>
        <v>479.9</v>
      </c>
      <c r="D8" s="6">
        <f>IFERROR(__xludf.DUMMYFUNCTION("""COMPUTED_VALUE"""),457.2)</f>
        <v>457.2</v>
      </c>
      <c r="E8" s="6">
        <f>IFERROR(__xludf.DUMMYFUNCTION("""COMPUTED_VALUE"""),470.0)</f>
        <v>470</v>
      </c>
      <c r="F8" s="6">
        <f>IFERROR(__xludf.DUMMYFUNCTION("""COMPUTED_VALUE"""),9256155.0)</f>
        <v>9256155</v>
      </c>
    </row>
    <row r="9">
      <c r="A9" s="7">
        <f>IFERROR(__xludf.DUMMYFUNCTION("""COMPUTED_VALUE"""),45219.64583333333)</f>
        <v>45219.64583</v>
      </c>
      <c r="B9" s="6">
        <f>IFERROR(__xludf.DUMMYFUNCTION("""COMPUTED_VALUE"""),470.9)</f>
        <v>470.9</v>
      </c>
      <c r="C9" s="6">
        <f>IFERROR(__xludf.DUMMYFUNCTION("""COMPUTED_VALUE"""),477.7)</f>
        <v>477.7</v>
      </c>
      <c r="D9" s="6">
        <f>IFERROR(__xludf.DUMMYFUNCTION("""COMPUTED_VALUE"""),457.35)</f>
        <v>457.35</v>
      </c>
      <c r="E9" s="6">
        <f>IFERROR(__xludf.DUMMYFUNCTION("""COMPUTED_VALUE"""),459.6)</f>
        <v>459.6</v>
      </c>
      <c r="F9" s="6">
        <f>IFERROR(__xludf.DUMMYFUNCTION("""COMPUTED_VALUE"""),6730077.0)</f>
        <v>6730077</v>
      </c>
    </row>
    <row r="10">
      <c r="A10" s="7">
        <f>IFERROR(__xludf.DUMMYFUNCTION("""COMPUTED_VALUE"""),45226.64583333333)</f>
        <v>45226.64583</v>
      </c>
      <c r="B10" s="6">
        <f>IFERROR(__xludf.DUMMYFUNCTION("""COMPUTED_VALUE"""),460.0)</f>
        <v>460</v>
      </c>
      <c r="C10" s="6">
        <f>IFERROR(__xludf.DUMMYFUNCTION("""COMPUTED_VALUE"""),461.35)</f>
        <v>461.35</v>
      </c>
      <c r="D10" s="6">
        <f>IFERROR(__xludf.DUMMYFUNCTION("""COMPUTED_VALUE"""),432.0)</f>
        <v>432</v>
      </c>
      <c r="E10" s="6">
        <f>IFERROR(__xludf.DUMMYFUNCTION("""COMPUTED_VALUE"""),440.05)</f>
        <v>440.05</v>
      </c>
      <c r="F10" s="6">
        <f>IFERROR(__xludf.DUMMYFUNCTION("""COMPUTED_VALUE"""),7075170.0)</f>
        <v>7075170</v>
      </c>
    </row>
    <row r="11">
      <c r="A11" s="7">
        <f>IFERROR(__xludf.DUMMYFUNCTION("""COMPUTED_VALUE"""),45233.64583333333)</f>
        <v>45233.64583</v>
      </c>
      <c r="B11" s="6">
        <f>IFERROR(__xludf.DUMMYFUNCTION("""COMPUTED_VALUE"""),440.0)</f>
        <v>440</v>
      </c>
      <c r="C11" s="6">
        <f>IFERROR(__xludf.DUMMYFUNCTION("""COMPUTED_VALUE"""),470.0)</f>
        <v>470</v>
      </c>
      <c r="D11" s="6">
        <f>IFERROR(__xludf.DUMMYFUNCTION("""COMPUTED_VALUE"""),435.0)</f>
        <v>435</v>
      </c>
      <c r="E11" s="6">
        <f>IFERROR(__xludf.DUMMYFUNCTION("""COMPUTED_VALUE"""),462.4)</f>
        <v>462.4</v>
      </c>
      <c r="F11" s="6">
        <f>IFERROR(__xludf.DUMMYFUNCTION("""COMPUTED_VALUE"""),1.9045686E7)</f>
        <v>19045686</v>
      </c>
    </row>
    <row r="12">
      <c r="A12" s="7">
        <f>IFERROR(__xludf.DUMMYFUNCTION("""COMPUTED_VALUE"""),45240.64583333333)</f>
        <v>45240.64583</v>
      </c>
      <c r="B12" s="6">
        <f>IFERROR(__xludf.DUMMYFUNCTION("""COMPUTED_VALUE"""),464.7)</f>
        <v>464.7</v>
      </c>
      <c r="C12" s="6">
        <f>IFERROR(__xludf.DUMMYFUNCTION("""COMPUTED_VALUE"""),467.45)</f>
        <v>467.45</v>
      </c>
      <c r="D12" s="6">
        <f>IFERROR(__xludf.DUMMYFUNCTION("""COMPUTED_VALUE"""),444.0)</f>
        <v>444</v>
      </c>
      <c r="E12" s="6">
        <f>IFERROR(__xludf.DUMMYFUNCTION("""COMPUTED_VALUE"""),451.95)</f>
        <v>451.95</v>
      </c>
      <c r="F12" s="6">
        <f>IFERROR(__xludf.DUMMYFUNCTION("""COMPUTED_VALUE"""),6196752.0)</f>
        <v>6196752</v>
      </c>
    </row>
    <row r="13">
      <c r="A13" s="7">
        <f>IFERROR(__xludf.DUMMYFUNCTION("""COMPUTED_VALUE"""),45247.64583333333)</f>
        <v>45247.64583</v>
      </c>
      <c r="B13" s="6">
        <f>IFERROR(__xludf.DUMMYFUNCTION("""COMPUTED_VALUE"""),454.1)</f>
        <v>454.1</v>
      </c>
      <c r="C13" s="6">
        <f>IFERROR(__xludf.DUMMYFUNCTION("""COMPUTED_VALUE"""),473.45)</f>
        <v>473.45</v>
      </c>
      <c r="D13" s="6">
        <f>IFERROR(__xludf.DUMMYFUNCTION("""COMPUTED_VALUE"""),448.85)</f>
        <v>448.85</v>
      </c>
      <c r="E13" s="6">
        <f>IFERROR(__xludf.DUMMYFUNCTION("""COMPUTED_VALUE"""),465.85)</f>
        <v>465.85</v>
      </c>
      <c r="F13" s="6">
        <f>IFERROR(__xludf.DUMMYFUNCTION("""COMPUTED_VALUE"""),7662687.0)</f>
        <v>7662687</v>
      </c>
    </row>
    <row r="14">
      <c r="A14" s="7">
        <f>IFERROR(__xludf.DUMMYFUNCTION("""COMPUTED_VALUE"""),45254.64583333333)</f>
        <v>45254.64583</v>
      </c>
      <c r="B14" s="6">
        <f>IFERROR(__xludf.DUMMYFUNCTION("""COMPUTED_VALUE"""),467.0)</f>
        <v>467</v>
      </c>
      <c r="C14" s="6">
        <f>IFERROR(__xludf.DUMMYFUNCTION("""COMPUTED_VALUE"""),469.75)</f>
        <v>469.75</v>
      </c>
      <c r="D14" s="6">
        <f>IFERROR(__xludf.DUMMYFUNCTION("""COMPUTED_VALUE"""),452.1)</f>
        <v>452.1</v>
      </c>
      <c r="E14" s="6">
        <f>IFERROR(__xludf.DUMMYFUNCTION("""COMPUTED_VALUE"""),454.65)</f>
        <v>454.65</v>
      </c>
      <c r="F14" s="6">
        <f>IFERROR(__xludf.DUMMYFUNCTION("""COMPUTED_VALUE"""),5117666.0)</f>
        <v>5117666</v>
      </c>
    </row>
    <row r="15">
      <c r="A15" s="7">
        <f>IFERROR(__xludf.DUMMYFUNCTION("""COMPUTED_VALUE"""),45261.64583333333)</f>
        <v>45261.64583</v>
      </c>
      <c r="B15" s="6">
        <f>IFERROR(__xludf.DUMMYFUNCTION("""COMPUTED_VALUE"""),456.45)</f>
        <v>456.45</v>
      </c>
      <c r="C15" s="6">
        <f>IFERROR(__xludf.DUMMYFUNCTION("""COMPUTED_VALUE"""),503.0)</f>
        <v>503</v>
      </c>
      <c r="D15" s="6">
        <f>IFERROR(__xludf.DUMMYFUNCTION("""COMPUTED_VALUE"""),453.1)</f>
        <v>453.1</v>
      </c>
      <c r="E15" s="6">
        <f>IFERROR(__xludf.DUMMYFUNCTION("""COMPUTED_VALUE"""),492.7)</f>
        <v>492.7</v>
      </c>
      <c r="F15" s="6">
        <f>IFERROR(__xludf.DUMMYFUNCTION("""COMPUTED_VALUE"""),1.7165709E7)</f>
        <v>17165709</v>
      </c>
    </row>
    <row r="16">
      <c r="A16" s="7">
        <f>IFERROR(__xludf.DUMMYFUNCTION("""COMPUTED_VALUE"""),45268.64583333333)</f>
        <v>45268.64583</v>
      </c>
      <c r="B16" s="6">
        <f>IFERROR(__xludf.DUMMYFUNCTION("""COMPUTED_VALUE"""),502.0)</f>
        <v>502</v>
      </c>
      <c r="C16" s="6">
        <f>IFERROR(__xludf.DUMMYFUNCTION("""COMPUTED_VALUE"""),543.9)</f>
        <v>543.9</v>
      </c>
      <c r="D16" s="6">
        <f>IFERROR(__xludf.DUMMYFUNCTION("""COMPUTED_VALUE"""),496.0)</f>
        <v>496</v>
      </c>
      <c r="E16" s="6">
        <f>IFERROR(__xludf.DUMMYFUNCTION("""COMPUTED_VALUE"""),532.3)</f>
        <v>532.3</v>
      </c>
      <c r="F16" s="6">
        <f>IFERROR(__xludf.DUMMYFUNCTION("""COMPUTED_VALUE"""),1.9738045E7)</f>
        <v>19738045</v>
      </c>
    </row>
    <row r="17">
      <c r="A17" s="7">
        <f>IFERROR(__xludf.DUMMYFUNCTION("""COMPUTED_VALUE"""),45275.64583333333)</f>
        <v>45275.64583</v>
      </c>
      <c r="B17" s="6">
        <f>IFERROR(__xludf.DUMMYFUNCTION("""COMPUTED_VALUE"""),534.9)</f>
        <v>534.9</v>
      </c>
      <c r="C17" s="6">
        <f>IFERROR(__xludf.DUMMYFUNCTION("""COMPUTED_VALUE"""),544.5)</f>
        <v>544.5</v>
      </c>
      <c r="D17" s="6">
        <f>IFERROR(__xludf.DUMMYFUNCTION("""COMPUTED_VALUE"""),523.05)</f>
        <v>523.05</v>
      </c>
      <c r="E17" s="6">
        <f>IFERROR(__xludf.DUMMYFUNCTION("""COMPUTED_VALUE"""),540.45)</f>
        <v>540.45</v>
      </c>
      <c r="F17" s="6">
        <f>IFERROR(__xludf.DUMMYFUNCTION("""COMPUTED_VALUE"""),1.0607927E7)</f>
        <v>10607927</v>
      </c>
    </row>
    <row r="18">
      <c r="A18" s="7">
        <f>IFERROR(__xludf.DUMMYFUNCTION("""COMPUTED_VALUE"""),45282.64583333333)</f>
        <v>45282.64583</v>
      </c>
      <c r="B18" s="6">
        <f>IFERROR(__xludf.DUMMYFUNCTION("""COMPUTED_VALUE"""),540.4)</f>
        <v>540.4</v>
      </c>
      <c r="C18" s="6">
        <f>IFERROR(__xludf.DUMMYFUNCTION("""COMPUTED_VALUE"""),540.4)</f>
        <v>540.4</v>
      </c>
      <c r="D18" s="6">
        <f>IFERROR(__xludf.DUMMYFUNCTION("""COMPUTED_VALUE"""),505.05)</f>
        <v>505.05</v>
      </c>
      <c r="E18" s="6">
        <f>IFERROR(__xludf.DUMMYFUNCTION("""COMPUTED_VALUE"""),517.3)</f>
        <v>517.3</v>
      </c>
      <c r="F18" s="6">
        <f>IFERROR(__xludf.DUMMYFUNCTION("""COMPUTED_VALUE"""),8137515.0)</f>
        <v>8137515</v>
      </c>
    </row>
    <row r="19">
      <c r="A19" s="7">
        <f>IFERROR(__xludf.DUMMYFUNCTION("""COMPUTED_VALUE"""),45289.64583333333)</f>
        <v>45289.64583</v>
      </c>
      <c r="B19" s="6">
        <f>IFERROR(__xludf.DUMMYFUNCTION("""COMPUTED_VALUE"""),517.3)</f>
        <v>517.3</v>
      </c>
      <c r="C19" s="6">
        <f>IFERROR(__xludf.DUMMYFUNCTION("""COMPUTED_VALUE"""),540.0)</f>
        <v>540</v>
      </c>
      <c r="D19" s="6">
        <f>IFERROR(__xludf.DUMMYFUNCTION("""COMPUTED_VALUE"""),511.85)</f>
        <v>511.85</v>
      </c>
      <c r="E19" s="6">
        <f>IFERROR(__xludf.DUMMYFUNCTION("""COMPUTED_VALUE"""),536.1)</f>
        <v>536.1</v>
      </c>
      <c r="F19" s="6">
        <f>IFERROR(__xludf.DUMMYFUNCTION("""COMPUTED_VALUE"""),6465463.0)</f>
        <v>6465463</v>
      </c>
    </row>
    <row r="20">
      <c r="A20" s="7">
        <f>IFERROR(__xludf.DUMMYFUNCTION("""COMPUTED_VALUE"""),45296.64583333333)</f>
        <v>45296.64583</v>
      </c>
      <c r="B20" s="6">
        <f>IFERROR(__xludf.DUMMYFUNCTION("""COMPUTED_VALUE"""),538.3)</f>
        <v>538.3</v>
      </c>
      <c r="C20" s="6">
        <f>IFERROR(__xludf.DUMMYFUNCTION("""COMPUTED_VALUE"""),585.95)</f>
        <v>585.95</v>
      </c>
      <c r="D20" s="6">
        <f>IFERROR(__xludf.DUMMYFUNCTION("""COMPUTED_VALUE"""),538.3)</f>
        <v>538.3</v>
      </c>
      <c r="E20" s="6">
        <f>IFERROR(__xludf.DUMMYFUNCTION("""COMPUTED_VALUE"""),574.8)</f>
        <v>574.8</v>
      </c>
      <c r="F20" s="6">
        <f>IFERROR(__xludf.DUMMYFUNCTION("""COMPUTED_VALUE"""),1.7637517E7)</f>
        <v>17637517</v>
      </c>
    </row>
    <row r="21">
      <c r="A21" s="7">
        <f>IFERROR(__xludf.DUMMYFUNCTION("""COMPUTED_VALUE"""),45303.64583333333)</f>
        <v>45303.64583</v>
      </c>
      <c r="B21" s="6">
        <f>IFERROR(__xludf.DUMMYFUNCTION("""COMPUTED_VALUE"""),577.0)</f>
        <v>577</v>
      </c>
      <c r="C21" s="6">
        <f>IFERROR(__xludf.DUMMYFUNCTION("""COMPUTED_VALUE"""),588.0)</f>
        <v>588</v>
      </c>
      <c r="D21" s="6">
        <f>IFERROR(__xludf.DUMMYFUNCTION("""COMPUTED_VALUE"""),554.8)</f>
        <v>554.8</v>
      </c>
      <c r="E21" s="6">
        <f>IFERROR(__xludf.DUMMYFUNCTION("""COMPUTED_VALUE"""),573.8)</f>
        <v>573.8</v>
      </c>
      <c r="F21" s="6">
        <f>IFERROR(__xludf.DUMMYFUNCTION("""COMPUTED_VALUE"""),8674032.0)</f>
        <v>8674032</v>
      </c>
    </row>
    <row r="22">
      <c r="A22" s="7">
        <f>IFERROR(__xludf.DUMMYFUNCTION("""COMPUTED_VALUE"""),45316.64583333333)</f>
        <v>45316.64583</v>
      </c>
      <c r="B22" s="6">
        <f>IFERROR(__xludf.DUMMYFUNCTION("""COMPUTED_VALUE"""),581.8)</f>
        <v>581.8</v>
      </c>
      <c r="C22" s="6">
        <f>IFERROR(__xludf.DUMMYFUNCTION("""COMPUTED_VALUE"""),586.5)</f>
        <v>586.5</v>
      </c>
      <c r="D22" s="6">
        <f>IFERROR(__xludf.DUMMYFUNCTION("""COMPUTED_VALUE"""),554.45)</f>
        <v>554.45</v>
      </c>
      <c r="E22" s="6">
        <f>IFERROR(__xludf.DUMMYFUNCTION("""COMPUTED_VALUE"""),579.2)</f>
        <v>579.2</v>
      </c>
      <c r="F22" s="6">
        <f>IFERROR(__xludf.DUMMYFUNCTION("""COMPUTED_VALUE"""),7779108.0)</f>
        <v>7779108</v>
      </c>
    </row>
    <row r="23">
      <c r="A23" s="7">
        <f>IFERROR(__xludf.DUMMYFUNCTION("""COMPUTED_VALUE"""),45324.64583333333)</f>
        <v>45324.64583</v>
      </c>
      <c r="B23" s="6">
        <f>IFERROR(__xludf.DUMMYFUNCTION("""COMPUTED_VALUE"""),579.2)</f>
        <v>579.2</v>
      </c>
      <c r="C23" s="6">
        <f>IFERROR(__xludf.DUMMYFUNCTION("""COMPUTED_VALUE"""),642.4)</f>
        <v>642.4</v>
      </c>
      <c r="D23" s="6">
        <f>IFERROR(__xludf.DUMMYFUNCTION("""COMPUTED_VALUE"""),578.0)</f>
        <v>578</v>
      </c>
      <c r="E23" s="6">
        <f>IFERROR(__xludf.DUMMYFUNCTION("""COMPUTED_VALUE"""),634.25)</f>
        <v>634.25</v>
      </c>
      <c r="F23" s="6">
        <f>IFERROR(__xludf.DUMMYFUNCTION("""COMPUTED_VALUE"""),2.6139581E7)</f>
        <v>26139581</v>
      </c>
    </row>
    <row r="24">
      <c r="A24" s="7">
        <f>IFERROR(__xludf.DUMMYFUNCTION("""COMPUTED_VALUE"""),45331.64583333333)</f>
        <v>45331.64583</v>
      </c>
      <c r="B24" s="6">
        <f>IFERROR(__xludf.DUMMYFUNCTION("""COMPUTED_VALUE"""),640.0)</f>
        <v>640</v>
      </c>
      <c r="C24" s="6">
        <f>IFERROR(__xludf.DUMMYFUNCTION("""COMPUTED_VALUE"""),669.8)</f>
        <v>669.8</v>
      </c>
      <c r="D24" s="6">
        <f>IFERROR(__xludf.DUMMYFUNCTION("""COMPUTED_VALUE"""),626.05)</f>
        <v>626.05</v>
      </c>
      <c r="E24" s="6">
        <f>IFERROR(__xludf.DUMMYFUNCTION("""COMPUTED_VALUE"""),650.2)</f>
        <v>650.2</v>
      </c>
      <c r="F24" s="6">
        <f>IFERROR(__xludf.DUMMYFUNCTION("""COMPUTED_VALUE"""),1.4276739E7)</f>
        <v>14276739</v>
      </c>
    </row>
    <row r="25">
      <c r="A25" s="7">
        <f>IFERROR(__xludf.DUMMYFUNCTION("""COMPUTED_VALUE"""),45338.64583333333)</f>
        <v>45338.64583</v>
      </c>
      <c r="B25" s="6">
        <f>IFERROR(__xludf.DUMMYFUNCTION("""COMPUTED_VALUE"""),651.05)</f>
        <v>651.05</v>
      </c>
      <c r="C25" s="6">
        <f>IFERROR(__xludf.DUMMYFUNCTION("""COMPUTED_VALUE"""),653.5)</f>
        <v>653.5</v>
      </c>
      <c r="D25" s="6">
        <f>IFERROR(__xludf.DUMMYFUNCTION("""COMPUTED_VALUE"""),614.15)</f>
        <v>614.15</v>
      </c>
      <c r="E25" s="6">
        <f>IFERROR(__xludf.DUMMYFUNCTION("""COMPUTED_VALUE"""),641.75)</f>
        <v>641.75</v>
      </c>
      <c r="F25" s="6">
        <f>IFERROR(__xludf.DUMMYFUNCTION("""COMPUTED_VALUE"""),9665197.0)</f>
        <v>9665197</v>
      </c>
    </row>
    <row r="26">
      <c r="A26" s="7">
        <f>IFERROR(__xludf.DUMMYFUNCTION("""COMPUTED_VALUE"""),45345.64583333333)</f>
        <v>45345.64583</v>
      </c>
      <c r="B26" s="6">
        <f>IFERROR(__xludf.DUMMYFUNCTION("""COMPUTED_VALUE"""),645.0)</f>
        <v>645</v>
      </c>
      <c r="C26" s="6">
        <f>IFERROR(__xludf.DUMMYFUNCTION("""COMPUTED_VALUE"""),648.8)</f>
        <v>648.8</v>
      </c>
      <c r="D26" s="6">
        <f>IFERROR(__xludf.DUMMYFUNCTION("""COMPUTED_VALUE"""),626.65)</f>
        <v>626.65</v>
      </c>
      <c r="E26" s="6">
        <f>IFERROR(__xludf.DUMMYFUNCTION("""COMPUTED_VALUE"""),642.3)</f>
        <v>642.3</v>
      </c>
      <c r="F26" s="6">
        <f>IFERROR(__xludf.DUMMYFUNCTION("""COMPUTED_VALUE"""),6925837.0)</f>
        <v>6925837</v>
      </c>
    </row>
    <row r="27">
      <c r="A27" s="7">
        <f>IFERROR(__xludf.DUMMYFUNCTION("""COMPUTED_VALUE"""),45358.64583333333)</f>
        <v>45358.64583</v>
      </c>
      <c r="B27" s="6">
        <f>IFERROR(__xludf.DUMMYFUNCTION("""COMPUTED_VALUE"""),650.0)</f>
        <v>650</v>
      </c>
      <c r="C27" s="6">
        <f>IFERROR(__xludf.DUMMYFUNCTION("""COMPUTED_VALUE"""),671.95)</f>
        <v>671.95</v>
      </c>
      <c r="D27" s="6">
        <f>IFERROR(__xludf.DUMMYFUNCTION("""COMPUTED_VALUE"""),623.0)</f>
        <v>623</v>
      </c>
      <c r="E27" s="6">
        <f>IFERROR(__xludf.DUMMYFUNCTION("""COMPUTED_VALUE"""),637.6)</f>
        <v>637.6</v>
      </c>
      <c r="F27" s="6">
        <f>IFERROR(__xludf.DUMMYFUNCTION("""COMPUTED_VALUE"""),8044747.0)</f>
        <v>8044747</v>
      </c>
    </row>
    <row r="28">
      <c r="A28" s="7">
        <f>IFERROR(__xludf.DUMMYFUNCTION("""COMPUTED_VALUE"""),45366.64583333333)</f>
        <v>45366.64583</v>
      </c>
      <c r="B28" s="6">
        <f>IFERROR(__xludf.DUMMYFUNCTION("""COMPUTED_VALUE"""),639.0)</f>
        <v>639</v>
      </c>
      <c r="C28" s="6">
        <f>IFERROR(__xludf.DUMMYFUNCTION("""COMPUTED_VALUE"""),642.0)</f>
        <v>642</v>
      </c>
      <c r="D28" s="6">
        <f>IFERROR(__xludf.DUMMYFUNCTION("""COMPUTED_VALUE"""),575.25)</f>
        <v>575.25</v>
      </c>
      <c r="E28" s="6">
        <f>IFERROR(__xludf.DUMMYFUNCTION("""COMPUTED_VALUE"""),584.6)</f>
        <v>584.6</v>
      </c>
      <c r="F28" s="6">
        <f>IFERROR(__xludf.DUMMYFUNCTION("""COMPUTED_VALUE"""),1.1304391E7)</f>
        <v>11304391</v>
      </c>
    </row>
    <row r="29">
      <c r="A29" s="7">
        <f>IFERROR(__xludf.DUMMYFUNCTION("""COMPUTED_VALUE"""),45373.64583333333)</f>
        <v>45373.64583</v>
      </c>
      <c r="B29" s="6">
        <f>IFERROR(__xludf.DUMMYFUNCTION("""COMPUTED_VALUE"""),585.0)</f>
        <v>585</v>
      </c>
      <c r="C29" s="6">
        <f>IFERROR(__xludf.DUMMYFUNCTION("""COMPUTED_VALUE"""),599.0)</f>
        <v>599</v>
      </c>
      <c r="D29" s="6">
        <f>IFERROR(__xludf.DUMMYFUNCTION("""COMPUTED_VALUE"""),559.45)</f>
        <v>559.45</v>
      </c>
      <c r="E29" s="6">
        <f>IFERROR(__xludf.DUMMYFUNCTION("""COMPUTED_VALUE"""),595.5)</f>
        <v>595.5</v>
      </c>
      <c r="F29" s="6">
        <f>IFERROR(__xludf.DUMMYFUNCTION("""COMPUTED_VALUE"""),7229381.0)</f>
        <v>7229381</v>
      </c>
    </row>
    <row r="30">
      <c r="A30" s="7">
        <f>IFERROR(__xludf.DUMMYFUNCTION("""COMPUTED_VALUE"""),45379.64583333333)</f>
        <v>45379.64583</v>
      </c>
      <c r="B30" s="6">
        <f>IFERROR(__xludf.DUMMYFUNCTION("""COMPUTED_VALUE"""),595.5)</f>
        <v>595.5</v>
      </c>
      <c r="C30" s="6">
        <f>IFERROR(__xludf.DUMMYFUNCTION("""COMPUTED_VALUE"""),614.5)</f>
        <v>614.5</v>
      </c>
      <c r="D30" s="6">
        <f>IFERROR(__xludf.DUMMYFUNCTION("""COMPUTED_VALUE"""),589.45)</f>
        <v>589.45</v>
      </c>
      <c r="E30" s="6">
        <f>IFERROR(__xludf.DUMMYFUNCTION("""COMPUTED_VALUE"""),610.95)</f>
        <v>610.95</v>
      </c>
      <c r="F30" s="6">
        <f>IFERROR(__xludf.DUMMYFUNCTION("""COMPUTED_VALUE"""),6316755.0)</f>
        <v>6316755</v>
      </c>
    </row>
    <row r="31">
      <c r="A31" s="7">
        <f>IFERROR(__xludf.DUMMYFUNCTION("""COMPUTED_VALUE"""),45387.64583333333)</f>
        <v>45387.64583</v>
      </c>
      <c r="B31" s="6">
        <f>IFERROR(__xludf.DUMMYFUNCTION("""COMPUTED_VALUE"""),617.35)</f>
        <v>617.35</v>
      </c>
      <c r="C31" s="6">
        <f>IFERROR(__xludf.DUMMYFUNCTION("""COMPUTED_VALUE"""),661.0)</f>
        <v>661</v>
      </c>
      <c r="D31" s="6">
        <f>IFERROR(__xludf.DUMMYFUNCTION("""COMPUTED_VALUE"""),614.2)</f>
        <v>614.2</v>
      </c>
      <c r="E31" s="6">
        <f>IFERROR(__xludf.DUMMYFUNCTION("""COMPUTED_VALUE"""),644.3)</f>
        <v>644.3</v>
      </c>
      <c r="F31" s="6">
        <f>IFERROR(__xludf.DUMMYFUNCTION("""COMPUTED_VALUE"""),9344537.0)</f>
        <v>9344537</v>
      </c>
    </row>
    <row r="32">
      <c r="A32" s="7">
        <f>IFERROR(__xludf.DUMMYFUNCTION("""COMPUTED_VALUE"""),45394.64583333333)</f>
        <v>45394.64583</v>
      </c>
      <c r="B32" s="6">
        <f>IFERROR(__xludf.DUMMYFUNCTION("""COMPUTED_VALUE"""),649.2)</f>
        <v>649.2</v>
      </c>
      <c r="C32" s="6">
        <f>IFERROR(__xludf.DUMMYFUNCTION("""COMPUTED_VALUE"""),659.35)</f>
        <v>659.35</v>
      </c>
      <c r="D32" s="6">
        <f>IFERROR(__xludf.DUMMYFUNCTION("""COMPUTED_VALUE"""),636.1)</f>
        <v>636.1</v>
      </c>
      <c r="E32" s="6">
        <f>IFERROR(__xludf.DUMMYFUNCTION("""COMPUTED_VALUE"""),648.5)</f>
        <v>648.5</v>
      </c>
      <c r="F32" s="6">
        <f>IFERROR(__xludf.DUMMYFUNCTION("""COMPUTED_VALUE"""),1.4696917E7)</f>
        <v>14696917</v>
      </c>
    </row>
    <row r="33">
      <c r="A33" s="7">
        <f>IFERROR(__xludf.DUMMYFUNCTION("""COMPUTED_VALUE"""),45401.64583333333)</f>
        <v>45401.64583</v>
      </c>
      <c r="B33" s="6">
        <f>IFERROR(__xludf.DUMMYFUNCTION("""COMPUTED_VALUE"""),633.0)</f>
        <v>633</v>
      </c>
      <c r="C33" s="6">
        <f>IFERROR(__xludf.DUMMYFUNCTION("""COMPUTED_VALUE"""),666.0)</f>
        <v>666</v>
      </c>
      <c r="D33" s="6">
        <f>IFERROR(__xludf.DUMMYFUNCTION("""COMPUTED_VALUE"""),624.25)</f>
        <v>624.25</v>
      </c>
      <c r="E33" s="6">
        <f>IFERROR(__xludf.DUMMYFUNCTION("""COMPUTED_VALUE"""),642.95)</f>
        <v>642.95</v>
      </c>
      <c r="F33" s="6">
        <f>IFERROR(__xludf.DUMMYFUNCTION("""COMPUTED_VALUE"""),1.4214766E7)</f>
        <v>14214766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IFERROR(__xludf.DUMMYFUNCTION("""COMPUTED_VALUE"""),647.2)</f>
        <v>647.2</v>
      </c>
      <c r="C34" s="6">
        <f>IFERROR(__xludf.DUMMYFUNCTION("""COMPUTED_VALUE"""),681.5)</f>
        <v>681.5</v>
      </c>
      <c r="D34" s="6">
        <f>IFERROR(__xludf.DUMMYFUNCTION("""COMPUTED_VALUE"""),644.75)</f>
        <v>644.75</v>
      </c>
      <c r="E34" s="6">
        <f>IFERROR(__xludf.DUMMYFUNCTION("""COMPUTED_VALUE"""),661.35)</f>
        <v>661.35</v>
      </c>
      <c r="F34" s="6">
        <f>IFERROR(__xludf.DUMMYFUNCTION("""COMPUTED_VALUE"""),1.7015588E7)</f>
        <v>17015588</v>
      </c>
    </row>
    <row r="35">
      <c r="A35" s="7">
        <f>IFERROR(__xludf.DUMMYFUNCTION("""COMPUTED_VALUE"""),45415.64583333333)</f>
        <v>45415.64583</v>
      </c>
      <c r="B35" s="6">
        <f>IFERROR(__xludf.DUMMYFUNCTION("""COMPUTED_VALUE"""),666.0)</f>
        <v>666</v>
      </c>
      <c r="C35" s="6">
        <f>IFERROR(__xludf.DUMMYFUNCTION("""COMPUTED_VALUE"""),683.0)</f>
        <v>683</v>
      </c>
      <c r="D35" s="6">
        <f>IFERROR(__xludf.DUMMYFUNCTION("""COMPUTED_VALUE"""),644.5)</f>
        <v>644.5</v>
      </c>
      <c r="E35" s="6">
        <f>IFERROR(__xludf.DUMMYFUNCTION("""COMPUTED_VALUE"""),654.05)</f>
        <v>654.05</v>
      </c>
      <c r="F35" s="6">
        <f>IFERROR(__xludf.DUMMYFUNCTION("""COMPUTED_VALUE"""),1.054803E7)</f>
        <v>10548030</v>
      </c>
    </row>
    <row r="36">
      <c r="A36" s="7">
        <f>IFERROR(__xludf.DUMMYFUNCTION("""COMPUTED_VALUE"""),45422.64583333333)</f>
        <v>45422.64583</v>
      </c>
      <c r="B36" s="6">
        <f>IFERROR(__xludf.DUMMYFUNCTION("""COMPUTED_VALUE"""),657.9)</f>
        <v>657.9</v>
      </c>
      <c r="C36" s="6">
        <f>IFERROR(__xludf.DUMMYFUNCTION("""COMPUTED_VALUE"""),657.9)</f>
        <v>657.9</v>
      </c>
      <c r="D36" s="6">
        <f>IFERROR(__xludf.DUMMYFUNCTION("""COMPUTED_VALUE"""),614.1)</f>
        <v>614.1</v>
      </c>
      <c r="E36" s="6">
        <f>IFERROR(__xludf.DUMMYFUNCTION("""COMPUTED_VALUE"""),626.5)</f>
        <v>626.5</v>
      </c>
      <c r="F36" s="6">
        <f>IFERROR(__xludf.DUMMYFUNCTION("""COMPUTED_VALUE"""),9960254.0)</f>
        <v>9960254</v>
      </c>
    </row>
    <row r="37">
      <c r="A37" s="7">
        <f>IFERROR(__xludf.DUMMYFUNCTION("""COMPUTED_VALUE"""),45436.64583333333)</f>
        <v>45436.64583</v>
      </c>
      <c r="B37" s="6">
        <f>IFERROR(__xludf.DUMMYFUNCTION("""COMPUTED_VALUE"""),644.85)</f>
        <v>644.85</v>
      </c>
      <c r="C37" s="6">
        <f>IFERROR(__xludf.DUMMYFUNCTION("""COMPUTED_VALUE"""),663.0)</f>
        <v>663</v>
      </c>
      <c r="D37" s="6">
        <f>IFERROR(__xludf.DUMMYFUNCTION("""COMPUTED_VALUE"""),638.05)</f>
        <v>638.05</v>
      </c>
      <c r="E37" s="6">
        <f>IFERROR(__xludf.DUMMYFUNCTION("""COMPUTED_VALUE"""),649.1)</f>
        <v>649.1</v>
      </c>
      <c r="F37" s="6">
        <f>IFERROR(__xludf.DUMMYFUNCTION("""COMPUTED_VALUE"""),8147088.0)</f>
        <v>8147088</v>
      </c>
    </row>
    <row r="38">
      <c r="A38" s="7">
        <f>IFERROR(__xludf.DUMMYFUNCTION("""COMPUTED_VALUE"""),45443.64583333333)</f>
        <v>45443.64583</v>
      </c>
      <c r="B38" s="6">
        <f>IFERROR(__xludf.DUMMYFUNCTION("""COMPUTED_VALUE"""),650.05)</f>
        <v>650.05</v>
      </c>
      <c r="C38" s="6">
        <f>IFERROR(__xludf.DUMMYFUNCTION("""COMPUTED_VALUE"""),653.85)</f>
        <v>653.85</v>
      </c>
      <c r="D38" s="6">
        <f>IFERROR(__xludf.DUMMYFUNCTION("""COMPUTED_VALUE"""),625.3)</f>
        <v>625.3</v>
      </c>
      <c r="E38" s="6">
        <f>IFERROR(__xludf.DUMMYFUNCTION("""COMPUTED_VALUE"""),632.7)</f>
        <v>632.7</v>
      </c>
      <c r="F38" s="6">
        <f>IFERROR(__xludf.DUMMYFUNCTION("""COMPUTED_VALUE"""),8350725.0)</f>
        <v>8350725</v>
      </c>
    </row>
    <row r="39">
      <c r="A39" s="7">
        <f>IFERROR(__xludf.DUMMYFUNCTION("""COMPUTED_VALUE"""),45450.64583333333)</f>
        <v>45450.64583</v>
      </c>
      <c r="B39" s="6">
        <f>IFERROR(__xludf.DUMMYFUNCTION("""COMPUTED_VALUE"""),670.0)</f>
        <v>670</v>
      </c>
      <c r="C39" s="6">
        <f>IFERROR(__xludf.DUMMYFUNCTION("""COMPUTED_VALUE"""),685.5)</f>
        <v>685.5</v>
      </c>
      <c r="D39" s="6">
        <f>IFERROR(__xludf.DUMMYFUNCTION("""COMPUTED_VALUE"""),544.8)</f>
        <v>544.8</v>
      </c>
      <c r="E39" s="6">
        <f>IFERROR(__xludf.DUMMYFUNCTION("""COMPUTED_VALUE"""),662.1)</f>
        <v>662.1</v>
      </c>
      <c r="F39" s="6">
        <f>IFERROR(__xludf.DUMMYFUNCTION("""COMPUTED_VALUE"""),2.4851315E7)</f>
        <v>24851315</v>
      </c>
    </row>
    <row r="40">
      <c r="A40" s="7">
        <f>IFERROR(__xludf.DUMMYFUNCTION("""COMPUTED_VALUE"""),45457.64583333333)</f>
        <v>45457.64583</v>
      </c>
      <c r="B40" s="6">
        <f>IFERROR(__xludf.DUMMYFUNCTION("""COMPUTED_VALUE"""),666.3)</f>
        <v>666.3</v>
      </c>
      <c r="C40" s="6">
        <f>IFERROR(__xludf.DUMMYFUNCTION("""COMPUTED_VALUE"""),734.7)</f>
        <v>734.7</v>
      </c>
      <c r="D40" s="6">
        <f>IFERROR(__xludf.DUMMYFUNCTION("""COMPUTED_VALUE"""),663.0)</f>
        <v>663</v>
      </c>
      <c r="E40" s="6">
        <f>IFERROR(__xludf.DUMMYFUNCTION("""COMPUTED_VALUE"""),731.65)</f>
        <v>731.65</v>
      </c>
      <c r="F40" s="6">
        <f>IFERROR(__xludf.DUMMYFUNCTION("""COMPUTED_VALUE"""),2.440522E7)</f>
        <v>24405220</v>
      </c>
    </row>
    <row r="41">
      <c r="A41" s="7">
        <f>IFERROR(__xludf.DUMMYFUNCTION("""COMPUTED_VALUE"""),45464.64583333333)</f>
        <v>45464.64583</v>
      </c>
      <c r="B41" s="6">
        <f>IFERROR(__xludf.DUMMYFUNCTION("""COMPUTED_VALUE"""),736.85)</f>
        <v>736.85</v>
      </c>
      <c r="C41" s="6">
        <f>IFERROR(__xludf.DUMMYFUNCTION("""COMPUTED_VALUE"""),759.8)</f>
        <v>759.8</v>
      </c>
      <c r="D41" s="6">
        <f>IFERROR(__xludf.DUMMYFUNCTION("""COMPUTED_VALUE"""),727.3)</f>
        <v>727.3</v>
      </c>
      <c r="E41" s="6">
        <f>IFERROR(__xludf.DUMMYFUNCTION("""COMPUTED_VALUE"""),731.75)</f>
        <v>731.75</v>
      </c>
      <c r="F41" s="6">
        <f>IFERROR(__xludf.DUMMYFUNCTION("""COMPUTED_VALUE"""),9994983.0)</f>
        <v>9994983</v>
      </c>
    </row>
    <row r="42">
      <c r="A42" s="7">
        <f>IFERROR(__xludf.DUMMYFUNCTION("""COMPUTED_VALUE"""),45471.64583333333)</f>
        <v>45471.64583</v>
      </c>
      <c r="B42" s="6">
        <f>IFERROR(__xludf.DUMMYFUNCTION("""COMPUTED_VALUE"""),731.7)</f>
        <v>731.7</v>
      </c>
      <c r="C42" s="6">
        <f>IFERROR(__xludf.DUMMYFUNCTION("""COMPUTED_VALUE"""),809.9)</f>
        <v>809.9</v>
      </c>
      <c r="D42" s="6">
        <f>IFERROR(__xludf.DUMMYFUNCTION("""COMPUTED_VALUE"""),721.75)</f>
        <v>721.75</v>
      </c>
      <c r="E42" s="6">
        <f>IFERROR(__xludf.DUMMYFUNCTION("""COMPUTED_VALUE"""),796.8)</f>
        <v>796.8</v>
      </c>
      <c r="F42" s="6">
        <f>IFERROR(__xludf.DUMMYFUNCTION("""COMPUTED_VALUE"""),2.333748E7)</f>
        <v>23337480</v>
      </c>
    </row>
    <row r="43">
      <c r="A43" s="7">
        <f>IFERROR(__xludf.DUMMYFUNCTION("""COMPUTED_VALUE"""),45478.64583333333)</f>
        <v>45478.64583</v>
      </c>
      <c r="B43" s="6">
        <f>IFERROR(__xludf.DUMMYFUNCTION("""COMPUTED_VALUE"""),800.3)</f>
        <v>800.3</v>
      </c>
      <c r="C43" s="6">
        <f>IFERROR(__xludf.DUMMYFUNCTION("""COMPUTED_VALUE"""),821.25)</f>
        <v>821.25</v>
      </c>
      <c r="D43" s="6">
        <f>IFERROR(__xludf.DUMMYFUNCTION("""COMPUTED_VALUE"""),783.5)</f>
        <v>783.5</v>
      </c>
      <c r="E43" s="6">
        <f>IFERROR(__xludf.DUMMYFUNCTION("""COMPUTED_VALUE"""),795.7)</f>
        <v>795.7</v>
      </c>
      <c r="F43" s="6">
        <f>IFERROR(__xludf.DUMMYFUNCTION("""COMPUTED_VALUE"""),1.111386E7)</f>
        <v>11113860</v>
      </c>
    </row>
    <row r="44">
      <c r="A44" s="7">
        <f>IFERROR(__xludf.DUMMYFUNCTION("""COMPUTED_VALUE"""),45485.64583333333)</f>
        <v>45485.64583</v>
      </c>
      <c r="B44" s="6">
        <f>IFERROR(__xludf.DUMMYFUNCTION("""COMPUTED_VALUE"""),798.8)</f>
        <v>798.8</v>
      </c>
      <c r="C44" s="6">
        <f>IFERROR(__xludf.DUMMYFUNCTION("""COMPUTED_VALUE"""),800.0)</f>
        <v>800</v>
      </c>
      <c r="D44" s="6">
        <f>IFERROR(__xludf.DUMMYFUNCTION("""COMPUTED_VALUE"""),751.7)</f>
        <v>751.7</v>
      </c>
      <c r="E44" s="6">
        <f>IFERROR(__xludf.DUMMYFUNCTION("""COMPUTED_VALUE"""),779.7)</f>
        <v>779.7</v>
      </c>
      <c r="F44" s="6">
        <f>IFERROR(__xludf.DUMMYFUNCTION("""COMPUTED_VALUE"""),1.0182401E7)</f>
        <v>10182401</v>
      </c>
    </row>
    <row r="45">
      <c r="A45" s="7">
        <f>IFERROR(__xludf.DUMMYFUNCTION("""COMPUTED_VALUE"""),45492.64583333333)</f>
        <v>45492.64583</v>
      </c>
      <c r="B45" s="6">
        <f>IFERROR(__xludf.DUMMYFUNCTION("""COMPUTED_VALUE"""),780.2)</f>
        <v>780.2</v>
      </c>
      <c r="C45" s="6">
        <f>IFERROR(__xludf.DUMMYFUNCTION("""COMPUTED_VALUE"""),826.75)</f>
        <v>826.75</v>
      </c>
      <c r="D45" s="6">
        <f>IFERROR(__xludf.DUMMYFUNCTION("""COMPUTED_VALUE"""),765.9)</f>
        <v>765.9</v>
      </c>
      <c r="E45" s="6">
        <f>IFERROR(__xludf.DUMMYFUNCTION("""COMPUTED_VALUE"""),771.6)</f>
        <v>771.6</v>
      </c>
      <c r="F45" s="6">
        <f>IFERROR(__xludf.DUMMYFUNCTION("""COMPUTED_VALUE"""),1.4186169E7)</f>
        <v>14186169</v>
      </c>
    </row>
    <row r="46">
      <c r="A46" s="7">
        <f>IFERROR(__xludf.DUMMYFUNCTION("""COMPUTED_VALUE"""),45499.64583333333)</f>
        <v>45499.64583</v>
      </c>
      <c r="B46" s="6">
        <f>IFERROR(__xludf.DUMMYFUNCTION("""COMPUTED_VALUE"""),770.0)</f>
        <v>770</v>
      </c>
      <c r="C46" s="6">
        <f>IFERROR(__xludf.DUMMYFUNCTION("""COMPUTED_VALUE"""),804.0)</f>
        <v>804</v>
      </c>
      <c r="D46" s="6">
        <f>IFERROR(__xludf.DUMMYFUNCTION("""COMPUTED_VALUE"""),750.2)</f>
        <v>750.2</v>
      </c>
      <c r="E46" s="6">
        <f>IFERROR(__xludf.DUMMYFUNCTION("""COMPUTED_VALUE"""),791.3)</f>
        <v>791.3</v>
      </c>
      <c r="F46" s="6">
        <f>IFERROR(__xludf.DUMMYFUNCTION("""COMPUTED_VALUE"""),1.416192E7)</f>
        <v>14161920</v>
      </c>
    </row>
    <row r="47">
      <c r="A47" s="7">
        <f>IFERROR(__xludf.DUMMYFUNCTION("""COMPUTED_VALUE"""),45506.64583333333)</f>
        <v>45506.64583</v>
      </c>
      <c r="B47" s="6">
        <f>IFERROR(__xludf.DUMMYFUNCTION("""COMPUTED_VALUE"""),797.5)</f>
        <v>797.5</v>
      </c>
      <c r="C47" s="6">
        <f>IFERROR(__xludf.DUMMYFUNCTION("""COMPUTED_VALUE"""),809.55)</f>
        <v>809.55</v>
      </c>
      <c r="D47" s="6">
        <f>IFERROR(__xludf.DUMMYFUNCTION("""COMPUTED_VALUE"""),741.0)</f>
        <v>741</v>
      </c>
      <c r="E47" s="6">
        <f>IFERROR(__xludf.DUMMYFUNCTION("""COMPUTED_VALUE"""),748.6)</f>
        <v>748.6</v>
      </c>
      <c r="F47" s="6">
        <f>IFERROR(__xludf.DUMMYFUNCTION("""COMPUTED_VALUE"""),1.2885715E7)</f>
        <v>12885715</v>
      </c>
    </row>
    <row r="48">
      <c r="A48" s="7">
        <f>IFERROR(__xludf.DUMMYFUNCTION("""COMPUTED_VALUE"""),45513.64583333333)</f>
        <v>45513.64583</v>
      </c>
      <c r="B48" s="6">
        <f>IFERROR(__xludf.DUMMYFUNCTION("""COMPUTED_VALUE"""),710.35)</f>
        <v>710.35</v>
      </c>
      <c r="C48" s="6">
        <f>IFERROR(__xludf.DUMMYFUNCTION("""COMPUTED_VALUE"""),724.0)</f>
        <v>724</v>
      </c>
      <c r="D48" s="6">
        <f>IFERROR(__xludf.DUMMYFUNCTION("""COMPUTED_VALUE"""),633.2)</f>
        <v>633.2</v>
      </c>
      <c r="E48" s="6">
        <f>IFERROR(__xludf.DUMMYFUNCTION("""COMPUTED_VALUE"""),638.15)</f>
        <v>638.15</v>
      </c>
      <c r="F48" s="6">
        <f>IFERROR(__xludf.DUMMYFUNCTION("""COMPUTED_VALUE"""),3.1084965E7)</f>
        <v>31084965</v>
      </c>
    </row>
    <row r="49">
      <c r="A49" s="7">
        <f>IFERROR(__xludf.DUMMYFUNCTION("""COMPUTED_VALUE"""),45520.64583333333)</f>
        <v>45520.64583</v>
      </c>
      <c r="B49" s="6">
        <f>IFERROR(__xludf.DUMMYFUNCTION("""COMPUTED_VALUE"""),642.5)</f>
        <v>642.5</v>
      </c>
      <c r="C49" s="6">
        <f>IFERROR(__xludf.DUMMYFUNCTION("""COMPUTED_VALUE"""),660.3)</f>
        <v>660.3</v>
      </c>
      <c r="D49" s="6">
        <f>IFERROR(__xludf.DUMMYFUNCTION("""COMPUTED_VALUE"""),626.35)</f>
        <v>626.35</v>
      </c>
      <c r="E49" s="6">
        <f>IFERROR(__xludf.DUMMYFUNCTION("""COMPUTED_VALUE"""),658.25)</f>
        <v>658.25</v>
      </c>
      <c r="F49" s="6">
        <f>IFERROR(__xludf.DUMMYFUNCTION("""COMPUTED_VALUE"""),1.131111E7)</f>
        <v>11311110</v>
      </c>
    </row>
    <row r="50">
      <c r="A50" s="7">
        <f>IFERROR(__xludf.DUMMYFUNCTION("""COMPUTED_VALUE"""),45527.64583333333)</f>
        <v>45527.64583</v>
      </c>
      <c r="B50" s="6">
        <f>IFERROR(__xludf.DUMMYFUNCTION("""COMPUTED_VALUE"""),663.0)</f>
        <v>663</v>
      </c>
      <c r="C50" s="6">
        <f>IFERROR(__xludf.DUMMYFUNCTION("""COMPUTED_VALUE"""),685.5)</f>
        <v>685.5</v>
      </c>
      <c r="D50" s="6">
        <f>IFERROR(__xludf.DUMMYFUNCTION("""COMPUTED_VALUE"""),654.35)</f>
        <v>654.35</v>
      </c>
      <c r="E50" s="6">
        <f>IFERROR(__xludf.DUMMYFUNCTION("""COMPUTED_VALUE"""),672.6)</f>
        <v>672.6</v>
      </c>
      <c r="F50" s="6">
        <f>IFERROR(__xludf.DUMMYFUNCTION("""COMPUTED_VALUE"""),1.1817437E7)</f>
        <v>11817437</v>
      </c>
    </row>
    <row r="51">
      <c r="A51" s="7">
        <f>IFERROR(__xludf.DUMMYFUNCTION("""COMPUTED_VALUE"""),45534.64583333333)</f>
        <v>45534.64583</v>
      </c>
      <c r="B51" s="6">
        <f>IFERROR(__xludf.DUMMYFUNCTION("""COMPUTED_VALUE"""),672.05)</f>
        <v>672.05</v>
      </c>
      <c r="C51" s="6">
        <f>IFERROR(__xludf.DUMMYFUNCTION("""COMPUTED_VALUE"""),690.0)</f>
        <v>690</v>
      </c>
      <c r="D51" s="6">
        <f>IFERROR(__xludf.DUMMYFUNCTION("""COMPUTED_VALUE"""),660.05)</f>
        <v>660.05</v>
      </c>
      <c r="E51" s="6">
        <f>IFERROR(__xludf.DUMMYFUNCTION("""COMPUTED_VALUE"""),674.4)</f>
        <v>674.4</v>
      </c>
      <c r="F51" s="6">
        <f>IFERROR(__xludf.DUMMYFUNCTION("""COMPUTED_VALUE"""),1.2696884E7)</f>
        <v>12696884</v>
      </c>
    </row>
    <row r="52">
      <c r="A52" s="7">
        <f>IFERROR(__xludf.DUMMYFUNCTION("""COMPUTED_VALUE"""),45541.64583333333)</f>
        <v>45541.64583</v>
      </c>
      <c r="B52" s="6">
        <f>IFERROR(__xludf.DUMMYFUNCTION("""COMPUTED_VALUE"""),674.6)</f>
        <v>674.6</v>
      </c>
      <c r="C52" s="6">
        <f>IFERROR(__xludf.DUMMYFUNCTION("""COMPUTED_VALUE"""),719.5)</f>
        <v>719.5</v>
      </c>
      <c r="D52" s="6">
        <f>IFERROR(__xludf.DUMMYFUNCTION("""COMPUTED_VALUE"""),670.1)</f>
        <v>670.1</v>
      </c>
      <c r="E52" s="6">
        <f>IFERROR(__xludf.DUMMYFUNCTION("""COMPUTED_VALUE"""),694.6)</f>
        <v>694.6</v>
      </c>
      <c r="F52" s="6">
        <f>IFERROR(__xludf.DUMMYFUNCTION("""COMPUTED_VALUE"""),1.8477392E7)</f>
        <v>18477392</v>
      </c>
    </row>
    <row r="53">
      <c r="A53" s="7">
        <f>IFERROR(__xludf.DUMMYFUNCTION("""COMPUTED_VALUE"""),45548.64583333333)</f>
        <v>45548.64583</v>
      </c>
      <c r="B53" s="6">
        <f>IFERROR(__xludf.DUMMYFUNCTION("""COMPUTED_VALUE"""),694.6)</f>
        <v>694.6</v>
      </c>
      <c r="C53" s="6">
        <f>IFERROR(__xludf.DUMMYFUNCTION("""COMPUTED_VALUE"""),730.8)</f>
        <v>730.8</v>
      </c>
      <c r="D53" s="6">
        <f>IFERROR(__xludf.DUMMYFUNCTION("""COMPUTED_VALUE"""),672.0)</f>
        <v>672</v>
      </c>
      <c r="E53" s="6">
        <f>IFERROR(__xludf.DUMMYFUNCTION("""COMPUTED_VALUE"""),723.3)</f>
        <v>723.3</v>
      </c>
      <c r="F53" s="6">
        <f>IFERROR(__xludf.DUMMYFUNCTION("""COMPUTED_VALUE"""),1.7078715E7)</f>
        <v>17078715</v>
      </c>
    </row>
    <row r="54">
      <c r="A54" s="7">
        <f>IFERROR(__xludf.DUMMYFUNCTION("""COMPUTED_VALUE"""),45555.64583333333)</f>
        <v>45555.64583</v>
      </c>
      <c r="B54" s="6">
        <f>IFERROR(__xludf.DUMMYFUNCTION("""COMPUTED_VALUE"""),726.95)</f>
        <v>726.95</v>
      </c>
      <c r="C54" s="6">
        <f>IFERROR(__xludf.DUMMYFUNCTION("""COMPUTED_VALUE"""),735.55)</f>
        <v>735.55</v>
      </c>
      <c r="D54" s="6">
        <f>IFERROR(__xludf.DUMMYFUNCTION("""COMPUTED_VALUE"""),644.0)</f>
        <v>644</v>
      </c>
      <c r="E54" s="6">
        <f>IFERROR(__xludf.DUMMYFUNCTION("""COMPUTED_VALUE"""),667.8)</f>
        <v>667.8</v>
      </c>
      <c r="F54" s="6">
        <f>IFERROR(__xludf.DUMMYFUNCTION("""COMPUTED_VALUE"""),2.6727109E7)</f>
        <v>26727109</v>
      </c>
    </row>
    <row r="55">
      <c r="A55" s="7">
        <f>IFERROR(__xludf.DUMMYFUNCTION("""COMPUTED_VALUE"""),45562.64583333333)</f>
        <v>45562.64583</v>
      </c>
      <c r="B55" s="6">
        <f>IFERROR(__xludf.DUMMYFUNCTION("""COMPUTED_VALUE"""),669.1)</f>
        <v>669.1</v>
      </c>
      <c r="C55" s="6">
        <f>IFERROR(__xludf.DUMMYFUNCTION("""COMPUTED_VALUE"""),689.85)</f>
        <v>689.85</v>
      </c>
      <c r="D55" s="6">
        <f>IFERROR(__xludf.DUMMYFUNCTION("""COMPUTED_VALUE"""),656.8)</f>
        <v>656.8</v>
      </c>
      <c r="E55" s="6">
        <f>IFERROR(__xludf.DUMMYFUNCTION("""COMPUTED_VALUE"""),664.0)</f>
        <v>664</v>
      </c>
      <c r="F55" s="6">
        <f>IFERROR(__xludf.DUMMYFUNCTION("""COMPUTED_VALUE"""),1.1809934E7)</f>
        <v>11809934</v>
      </c>
    </row>
    <row r="56">
      <c r="A56" s="7">
        <f>IFERROR(__xludf.DUMMYFUNCTION("""COMPUTED_VALUE"""),45569.64583333333)</f>
        <v>45569.64583</v>
      </c>
      <c r="B56" s="6">
        <f>IFERROR(__xludf.DUMMYFUNCTION("""COMPUTED_VALUE"""),664.0)</f>
        <v>664</v>
      </c>
      <c r="C56" s="6">
        <f>IFERROR(__xludf.DUMMYFUNCTION("""COMPUTED_VALUE"""),670.55)</f>
        <v>670.55</v>
      </c>
      <c r="D56" s="6">
        <f>IFERROR(__xludf.DUMMYFUNCTION("""COMPUTED_VALUE"""),627.65)</f>
        <v>627.65</v>
      </c>
      <c r="E56" s="6">
        <f>IFERROR(__xludf.DUMMYFUNCTION("""COMPUTED_VALUE"""),634.85)</f>
        <v>634.85</v>
      </c>
      <c r="F56" s="6">
        <f>IFERROR(__xludf.DUMMYFUNCTION("""COMPUTED_VALUE"""),7513796.0)</f>
        <v>7513796</v>
      </c>
    </row>
    <row r="57">
      <c r="A57" s="7">
        <f>IFERROR(__xludf.DUMMYFUNCTION("""COMPUTED_VALUE"""),45576.64583333333)</f>
        <v>45576.64583</v>
      </c>
      <c r="B57" s="6">
        <f>IFERROR(__xludf.DUMMYFUNCTION("""COMPUTED_VALUE"""),637.0)</f>
        <v>637</v>
      </c>
      <c r="C57" s="6">
        <f>IFERROR(__xludf.DUMMYFUNCTION("""COMPUTED_VALUE"""),637.85)</f>
        <v>637.85</v>
      </c>
      <c r="D57" s="6">
        <f>IFERROR(__xludf.DUMMYFUNCTION("""COMPUTED_VALUE"""),601.0)</f>
        <v>601</v>
      </c>
      <c r="E57" s="6">
        <f>IFERROR(__xludf.DUMMYFUNCTION("""COMPUTED_VALUE"""),619.5)</f>
        <v>619.5</v>
      </c>
      <c r="F57" s="6">
        <f>IFERROR(__xludf.DUMMYFUNCTION("""COMPUTED_VALUE"""),7779767.0)</f>
        <v>7779767</v>
      </c>
    </row>
    <row r="58">
      <c r="A58" s="7">
        <f>IFERROR(__xludf.DUMMYFUNCTION("""COMPUTED_VALUE"""),45583.64583333333)</f>
        <v>45583.64583</v>
      </c>
      <c r="B58" s="6">
        <f>IFERROR(__xludf.DUMMYFUNCTION("""COMPUTED_VALUE"""),622.5)</f>
        <v>622.5</v>
      </c>
      <c r="C58" s="6">
        <f>IFERROR(__xludf.DUMMYFUNCTION("""COMPUTED_VALUE"""),633.5)</f>
        <v>633.5</v>
      </c>
      <c r="D58" s="6">
        <f>IFERROR(__xludf.DUMMYFUNCTION("""COMPUTED_VALUE"""),601.3)</f>
        <v>601.3</v>
      </c>
      <c r="E58" s="6">
        <f>IFERROR(__xludf.DUMMYFUNCTION("""COMPUTED_VALUE"""),618.6)</f>
        <v>618.6</v>
      </c>
      <c r="F58" s="6">
        <f>IFERROR(__xludf.DUMMYFUNCTION("""COMPUTED_VALUE"""),5316662.0)</f>
        <v>5316662</v>
      </c>
    </row>
    <row r="59">
      <c r="A59" s="7">
        <f>IFERROR(__xludf.DUMMYFUNCTION("""COMPUTED_VALUE"""),45590.64583333333)</f>
        <v>45590.64583</v>
      </c>
      <c r="B59" s="6">
        <f>IFERROR(__xludf.DUMMYFUNCTION("""COMPUTED_VALUE"""),620.05)</f>
        <v>620.05</v>
      </c>
      <c r="C59" s="6">
        <f>IFERROR(__xludf.DUMMYFUNCTION("""COMPUTED_VALUE"""),623.85)</f>
        <v>623.85</v>
      </c>
      <c r="D59" s="6">
        <f>IFERROR(__xludf.DUMMYFUNCTION("""COMPUTED_VALUE"""),580.15)</f>
        <v>580.15</v>
      </c>
      <c r="E59" s="6">
        <f>IFERROR(__xludf.DUMMYFUNCTION("""COMPUTED_VALUE"""),598.25)</f>
        <v>598.25</v>
      </c>
      <c r="F59" s="6">
        <f>IFERROR(__xludf.DUMMYFUNCTION("""COMPUTED_VALUE"""),1.0225917E7)</f>
        <v>10225917</v>
      </c>
    </row>
    <row r="60">
      <c r="A60" s="7">
        <f>IFERROR(__xludf.DUMMYFUNCTION("""COMPUTED_VALUE"""),45604.64583333333)</f>
        <v>45604.64583</v>
      </c>
      <c r="B60" s="6">
        <f>IFERROR(__xludf.DUMMYFUNCTION("""COMPUTED_VALUE"""),637.8)</f>
        <v>637.8</v>
      </c>
      <c r="C60" s="6">
        <f>IFERROR(__xludf.DUMMYFUNCTION("""COMPUTED_VALUE"""),644.2)</f>
        <v>644.2</v>
      </c>
      <c r="D60" s="6">
        <f>IFERROR(__xludf.DUMMYFUNCTION("""COMPUTED_VALUE"""),608.15)</f>
        <v>608.15</v>
      </c>
      <c r="E60" s="6">
        <f>IFERROR(__xludf.DUMMYFUNCTION("""COMPUTED_VALUE"""),635.0)</f>
        <v>635</v>
      </c>
      <c r="F60" s="6">
        <f>IFERROR(__xludf.DUMMYFUNCTION("""COMPUTED_VALUE"""),8533318.0)</f>
        <v>8533318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IFERROR(__xludf.DUMMYFUNCTION("""COMPUTED_VALUE"""),630.9)</f>
        <v>630.9</v>
      </c>
      <c r="C61" s="6">
        <f>IFERROR(__xludf.DUMMYFUNCTION("""COMPUTED_VALUE"""),638.4)</f>
        <v>638.4</v>
      </c>
      <c r="D61" s="6">
        <f>IFERROR(__xludf.DUMMYFUNCTION("""COMPUTED_VALUE"""),601.45)</f>
        <v>601.45</v>
      </c>
      <c r="E61" s="6">
        <f>IFERROR(__xludf.DUMMYFUNCTION("""COMPUTED_VALUE"""),608.15)</f>
        <v>608.15</v>
      </c>
      <c r="F61" s="6">
        <f>IFERROR(__xludf.DUMMYFUNCTION("""COMPUTED_VALUE"""),6911943.0)</f>
        <v>6911943</v>
      </c>
    </row>
    <row r="62">
      <c r="A62" s="7">
        <f>IFERROR(__xludf.DUMMYFUNCTION("""COMPUTED_VALUE"""),45618.64583333333)</f>
        <v>45618.64583</v>
      </c>
      <c r="B62" s="6">
        <f>IFERROR(__xludf.DUMMYFUNCTION("""COMPUTED_VALUE"""),608.15)</f>
        <v>608.15</v>
      </c>
      <c r="C62" s="6">
        <f>IFERROR(__xludf.DUMMYFUNCTION("""COMPUTED_VALUE"""),625.4)</f>
        <v>625.4</v>
      </c>
      <c r="D62" s="6">
        <f>IFERROR(__xludf.DUMMYFUNCTION("""COMPUTED_VALUE"""),600.35)</f>
        <v>600.35</v>
      </c>
      <c r="E62" s="6">
        <f>IFERROR(__xludf.DUMMYFUNCTION("""COMPUTED_VALUE"""),617.45)</f>
        <v>617.45</v>
      </c>
      <c r="F62" s="6">
        <f>IFERROR(__xludf.DUMMYFUNCTION("""COMPUTED_VALUE"""),4598392.0)</f>
        <v>4598392</v>
      </c>
    </row>
    <row r="63">
      <c r="A63" s="7">
        <f>IFERROR(__xludf.DUMMYFUNCTION("""COMPUTED_VALUE"""),45625.64583333333)</f>
        <v>45625.64583</v>
      </c>
      <c r="B63" s="6">
        <f>IFERROR(__xludf.DUMMYFUNCTION("""COMPUTED_VALUE"""),629.9)</f>
        <v>629.9</v>
      </c>
      <c r="C63" s="6">
        <f>IFERROR(__xludf.DUMMYFUNCTION("""COMPUTED_VALUE"""),639.95)</f>
        <v>639.95</v>
      </c>
      <c r="D63" s="6">
        <f>IFERROR(__xludf.DUMMYFUNCTION("""COMPUTED_VALUE"""),619.6)</f>
        <v>619.6</v>
      </c>
      <c r="E63" s="6">
        <f>IFERROR(__xludf.DUMMYFUNCTION("""COMPUTED_VALUE"""),638.8)</f>
        <v>638.8</v>
      </c>
      <c r="F63" s="6">
        <f>IFERROR(__xludf.DUMMYFUNCTION("""COMPUTED_VALUE"""),6308862.0)</f>
        <v>6308862</v>
      </c>
    </row>
    <row r="64">
      <c r="A64" s="7">
        <f>IFERROR(__xludf.DUMMYFUNCTION("""COMPUTED_VALUE"""),45632.64583333333)</f>
        <v>45632.64583</v>
      </c>
      <c r="B64" s="6">
        <f>IFERROR(__xludf.DUMMYFUNCTION("""COMPUTED_VALUE"""),639.0)</f>
        <v>639</v>
      </c>
      <c r="C64" s="6">
        <f>IFERROR(__xludf.DUMMYFUNCTION("""COMPUTED_VALUE"""),648.9)</f>
        <v>648.9</v>
      </c>
      <c r="D64" s="6">
        <f>IFERROR(__xludf.DUMMYFUNCTION("""COMPUTED_VALUE"""),623.85)</f>
        <v>623.85</v>
      </c>
      <c r="E64" s="6">
        <f>IFERROR(__xludf.DUMMYFUNCTION("""COMPUTED_VALUE"""),641.25)</f>
        <v>641.25</v>
      </c>
      <c r="F64" s="6">
        <f>IFERROR(__xludf.DUMMYFUNCTION("""COMPUTED_VALUE"""),5076642.0)</f>
        <v>5076642</v>
      </c>
    </row>
    <row r="65">
      <c r="A65" s="7">
        <f>IFERROR(__xludf.DUMMYFUNCTION("""COMPUTED_VALUE"""),45639.64583333333)</f>
        <v>45639.64583</v>
      </c>
      <c r="B65" s="6">
        <f>IFERROR(__xludf.DUMMYFUNCTION("""COMPUTED_VALUE"""),641.25)</f>
        <v>641.25</v>
      </c>
      <c r="C65" s="6">
        <f>IFERROR(__xludf.DUMMYFUNCTION("""COMPUTED_VALUE"""),643.9)</f>
        <v>643.9</v>
      </c>
      <c r="D65" s="6">
        <f>IFERROR(__xludf.DUMMYFUNCTION("""COMPUTED_VALUE"""),609.2)</f>
        <v>609.2</v>
      </c>
      <c r="E65" s="6">
        <f>IFERROR(__xludf.DUMMYFUNCTION("""COMPUTED_VALUE"""),624.35)</f>
        <v>624.35</v>
      </c>
      <c r="F65" s="6">
        <f>IFERROR(__xludf.DUMMYFUNCTION("""COMPUTED_VALUE"""),4897392.0)</f>
        <v>4897392</v>
      </c>
    </row>
    <row r="66">
      <c r="A66" s="7">
        <f>IFERROR(__xludf.DUMMYFUNCTION("""COMPUTED_VALUE"""),45646.64583333333)</f>
        <v>45646.64583</v>
      </c>
      <c r="B66" s="6">
        <f>IFERROR(__xludf.DUMMYFUNCTION("""COMPUTED_VALUE"""),624.95)</f>
        <v>624.95</v>
      </c>
      <c r="C66" s="6">
        <f>IFERROR(__xludf.DUMMYFUNCTION("""COMPUTED_VALUE"""),635.55)</f>
        <v>635.55</v>
      </c>
      <c r="D66" s="6">
        <f>IFERROR(__xludf.DUMMYFUNCTION("""COMPUTED_VALUE"""),577.45)</f>
        <v>577.45</v>
      </c>
      <c r="E66" s="6">
        <f>IFERROR(__xludf.DUMMYFUNCTION("""COMPUTED_VALUE"""),582.25)</f>
        <v>582.25</v>
      </c>
      <c r="F66" s="6">
        <f>IFERROR(__xludf.DUMMYFUNCTION("""COMPUTED_VALUE"""),9690102.0)</f>
        <v>9690102</v>
      </c>
    </row>
    <row r="67">
      <c r="A67" s="7">
        <f>IFERROR(__xludf.DUMMYFUNCTION("""COMPUTED_VALUE"""),45653.64583333333)</f>
        <v>45653.64583</v>
      </c>
      <c r="B67" s="6">
        <f>IFERROR(__xludf.DUMMYFUNCTION("""COMPUTED_VALUE"""),583.55)</f>
        <v>583.55</v>
      </c>
      <c r="C67" s="6">
        <f>IFERROR(__xludf.DUMMYFUNCTION("""COMPUTED_VALUE"""),604.5)</f>
        <v>604.5</v>
      </c>
      <c r="D67" s="6">
        <f>IFERROR(__xludf.DUMMYFUNCTION("""COMPUTED_VALUE"""),577.1)</f>
        <v>577.1</v>
      </c>
      <c r="E67" s="6">
        <f>IFERROR(__xludf.DUMMYFUNCTION("""COMPUTED_VALUE"""),596.6)</f>
        <v>596.6</v>
      </c>
      <c r="F67" s="6">
        <f>IFERROR(__xludf.DUMMYFUNCTION("""COMPUTED_VALUE"""),4430619.0)</f>
        <v>4430619</v>
      </c>
    </row>
    <row r="68">
      <c r="A68" s="7">
        <f>IFERROR(__xludf.DUMMYFUNCTION("""COMPUTED_VALUE"""),45660.64583333333)</f>
        <v>45660.64583</v>
      </c>
      <c r="B68" s="6">
        <f>IFERROR(__xludf.DUMMYFUNCTION("""COMPUTED_VALUE"""),596.6)</f>
        <v>596.6</v>
      </c>
      <c r="C68" s="6">
        <f>IFERROR(__xludf.DUMMYFUNCTION("""COMPUTED_VALUE"""),617.5)</f>
        <v>617.5</v>
      </c>
      <c r="D68" s="6">
        <f>IFERROR(__xludf.DUMMYFUNCTION("""COMPUTED_VALUE"""),585.75)</f>
        <v>585.75</v>
      </c>
      <c r="E68" s="6">
        <f>IFERROR(__xludf.DUMMYFUNCTION("""COMPUTED_VALUE"""),609.45)</f>
        <v>609.45</v>
      </c>
      <c r="F68" s="6">
        <f>IFERROR(__xludf.DUMMYFUNCTION("""COMPUTED_VALUE"""),4752988.0)</f>
        <v>4752988</v>
      </c>
    </row>
    <row r="69">
      <c r="A69" s="7">
        <f>IFERROR(__xludf.DUMMYFUNCTION("""COMPUTED_VALUE"""),45667.64583333333)</f>
        <v>45667.64583</v>
      </c>
      <c r="B69" s="6">
        <f>IFERROR(__xludf.DUMMYFUNCTION("""COMPUTED_VALUE"""),610.0)</f>
        <v>610</v>
      </c>
      <c r="C69" s="6">
        <f>IFERROR(__xludf.DUMMYFUNCTION("""COMPUTED_VALUE"""),611.65)</f>
        <v>611.65</v>
      </c>
      <c r="D69" s="6">
        <f>IFERROR(__xludf.DUMMYFUNCTION("""COMPUTED_VALUE"""),553.75)</f>
        <v>553.75</v>
      </c>
      <c r="E69" s="6">
        <f>IFERROR(__xludf.DUMMYFUNCTION("""COMPUTED_VALUE"""),554.9)</f>
        <v>554.9</v>
      </c>
      <c r="F69" s="6">
        <f>IFERROR(__xludf.DUMMYFUNCTION("""COMPUTED_VALUE"""),9699737.0)</f>
        <v>9699737</v>
      </c>
    </row>
    <row r="70">
      <c r="A70" s="7">
        <f>IFERROR(__xludf.DUMMYFUNCTION("""COMPUTED_VALUE"""),45674.64583333333)</f>
        <v>45674.64583</v>
      </c>
      <c r="B70" s="6">
        <f>IFERROR(__xludf.DUMMYFUNCTION("""COMPUTED_VALUE"""),552.85)</f>
        <v>552.85</v>
      </c>
      <c r="C70" s="6">
        <f>IFERROR(__xludf.DUMMYFUNCTION("""COMPUTED_VALUE"""),573.25)</f>
        <v>573.25</v>
      </c>
      <c r="D70" s="6">
        <f>IFERROR(__xludf.DUMMYFUNCTION("""COMPUTED_VALUE"""),531.0)</f>
        <v>531</v>
      </c>
      <c r="E70" s="6">
        <f>IFERROR(__xludf.DUMMYFUNCTION("""COMPUTED_VALUE"""),562.7)</f>
        <v>562.7</v>
      </c>
      <c r="F70" s="6">
        <f>IFERROR(__xludf.DUMMYFUNCTION("""COMPUTED_VALUE"""),5103644.0)</f>
        <v>5103644</v>
      </c>
    </row>
    <row r="71">
      <c r="A71" s="7">
        <f>IFERROR(__xludf.DUMMYFUNCTION("""COMPUTED_VALUE"""),45681.64583333333)</f>
        <v>45681.64583</v>
      </c>
      <c r="B71" s="6">
        <f>IFERROR(__xludf.DUMMYFUNCTION("""COMPUTED_VALUE"""),564.95)</f>
        <v>564.95</v>
      </c>
      <c r="C71" s="6">
        <f>IFERROR(__xludf.DUMMYFUNCTION("""COMPUTED_VALUE"""),585.4)</f>
        <v>585.4</v>
      </c>
      <c r="D71" s="6">
        <f>IFERROR(__xludf.DUMMYFUNCTION("""COMPUTED_VALUE"""),545.55)</f>
        <v>545.55</v>
      </c>
      <c r="E71" s="6">
        <f>IFERROR(__xludf.DUMMYFUNCTION("""COMPUTED_VALUE"""),573.3)</f>
        <v>573.3</v>
      </c>
      <c r="F71" s="6">
        <f>IFERROR(__xludf.DUMMYFUNCTION("""COMPUTED_VALUE"""),5315131.0)</f>
        <v>5315131</v>
      </c>
    </row>
    <row r="72">
      <c r="A72" s="7">
        <f>IFERROR(__xludf.DUMMYFUNCTION("""COMPUTED_VALUE"""),45695.64583333333)</f>
        <v>45695.64583</v>
      </c>
      <c r="B72" s="6">
        <f>IFERROR(__xludf.DUMMYFUNCTION("""COMPUTED_VALUE"""),577.55)</f>
        <v>577.55</v>
      </c>
      <c r="C72" s="6">
        <f>IFERROR(__xludf.DUMMYFUNCTION("""COMPUTED_VALUE"""),587.45)</f>
        <v>587.45</v>
      </c>
      <c r="D72" s="6">
        <f>IFERROR(__xludf.DUMMYFUNCTION("""COMPUTED_VALUE"""),555.0)</f>
        <v>555</v>
      </c>
      <c r="E72" s="6">
        <f>IFERROR(__xludf.DUMMYFUNCTION("""COMPUTED_VALUE"""),578.2)</f>
        <v>578.2</v>
      </c>
      <c r="F72" s="6">
        <f>IFERROR(__xludf.DUMMYFUNCTION("""COMPUTED_VALUE"""),1.0109198E7)</f>
        <v>10109198</v>
      </c>
    </row>
    <row r="73">
      <c r="A73" s="7">
        <f>IFERROR(__xludf.DUMMYFUNCTION("""COMPUTED_VALUE"""),45702.64583333333)</f>
        <v>45702.64583</v>
      </c>
      <c r="B73" s="6">
        <f>IFERROR(__xludf.DUMMYFUNCTION("""COMPUTED_VALUE"""),578.2)</f>
        <v>578.2</v>
      </c>
      <c r="C73" s="6">
        <f>IFERROR(__xludf.DUMMYFUNCTION("""COMPUTED_VALUE"""),580.0)</f>
        <v>580</v>
      </c>
      <c r="D73" s="6">
        <f>IFERROR(__xludf.DUMMYFUNCTION("""COMPUTED_VALUE"""),523.45)</f>
        <v>523.45</v>
      </c>
      <c r="E73" s="6">
        <f>IFERROR(__xludf.DUMMYFUNCTION("""COMPUTED_VALUE"""),533.55)</f>
        <v>533.55</v>
      </c>
      <c r="F73" s="6">
        <f>IFERROR(__xludf.DUMMYFUNCTION("""COMPUTED_VALUE"""),5866876.0)</f>
        <v>5866876</v>
      </c>
    </row>
    <row r="74">
      <c r="A74" s="7">
        <f>IFERROR(__xludf.DUMMYFUNCTION("""COMPUTED_VALUE"""),45709.64583333333)</f>
        <v>45709.64583</v>
      </c>
      <c r="B74" s="6">
        <f>IFERROR(__xludf.DUMMYFUNCTION("""COMPUTED_VALUE"""),531.1)</f>
        <v>531.1</v>
      </c>
      <c r="C74" s="6">
        <f>IFERROR(__xludf.DUMMYFUNCTION("""COMPUTED_VALUE"""),550.4)</f>
        <v>550.4</v>
      </c>
      <c r="D74" s="6">
        <f>IFERROR(__xludf.DUMMYFUNCTION("""COMPUTED_VALUE"""),519.0)</f>
        <v>519</v>
      </c>
      <c r="E74" s="6">
        <f>IFERROR(__xludf.DUMMYFUNCTION("""COMPUTED_VALUE"""),544.05)</f>
        <v>544.05</v>
      </c>
      <c r="F74" s="6">
        <f>IFERROR(__xludf.DUMMYFUNCTION("""COMPUTED_VALUE"""),4000708.0)</f>
        <v>4000708</v>
      </c>
    </row>
    <row r="75">
      <c r="A75" s="7">
        <f>IFERROR(__xludf.DUMMYFUNCTION("""COMPUTED_VALUE"""),45716.64583333333)</f>
        <v>45716.64583</v>
      </c>
      <c r="B75" s="6">
        <f>IFERROR(__xludf.DUMMYFUNCTION("""COMPUTED_VALUE"""),540.7)</f>
        <v>540.7</v>
      </c>
      <c r="C75" s="6">
        <f>IFERROR(__xludf.DUMMYFUNCTION("""COMPUTED_VALUE"""),542.55)</f>
        <v>542.55</v>
      </c>
      <c r="D75" s="6">
        <f>IFERROR(__xludf.DUMMYFUNCTION("""COMPUTED_VALUE"""),492.85)</f>
        <v>492.85</v>
      </c>
      <c r="E75" s="6">
        <f>IFERROR(__xludf.DUMMYFUNCTION("""COMPUTED_VALUE"""),496.9)</f>
        <v>496.9</v>
      </c>
      <c r="F75" s="6">
        <f>IFERROR(__xludf.DUMMYFUNCTION("""COMPUTED_VALUE"""),6577912.0)</f>
        <v>6577912</v>
      </c>
    </row>
    <row r="76">
      <c r="A76" s="7">
        <f>IFERROR(__xludf.DUMMYFUNCTION("""COMPUTED_VALUE"""),45723.64583333333)</f>
        <v>45723.64583</v>
      </c>
      <c r="B76" s="6">
        <f>IFERROR(__xludf.DUMMYFUNCTION("""COMPUTED_VALUE"""),500.0)</f>
        <v>500</v>
      </c>
      <c r="C76" s="6">
        <f>IFERROR(__xludf.DUMMYFUNCTION("""COMPUTED_VALUE"""),535.5)</f>
        <v>535.5</v>
      </c>
      <c r="D76" s="6">
        <f>IFERROR(__xludf.DUMMYFUNCTION("""COMPUTED_VALUE"""),483.7)</f>
        <v>483.7</v>
      </c>
      <c r="E76" s="6">
        <f>IFERROR(__xludf.DUMMYFUNCTION("""COMPUTED_VALUE"""),532.4)</f>
        <v>532.4</v>
      </c>
      <c r="F76" s="6">
        <f>IFERROR(__xludf.DUMMYFUNCTION("""COMPUTED_VALUE"""),9665772.0)</f>
        <v>9665772</v>
      </c>
    </row>
    <row r="77">
      <c r="A77" s="7">
        <f>IFERROR(__xludf.DUMMYFUNCTION("""COMPUTED_VALUE"""),45729.64583333333)</f>
        <v>45729.64583</v>
      </c>
      <c r="B77" s="6">
        <f>IFERROR(__xludf.DUMMYFUNCTION("""COMPUTED_VALUE"""),532.4)</f>
        <v>532.4</v>
      </c>
      <c r="C77" s="6">
        <f>IFERROR(__xludf.DUMMYFUNCTION("""COMPUTED_VALUE"""),541.95)</f>
        <v>541.95</v>
      </c>
      <c r="D77" s="6">
        <f>IFERROR(__xludf.DUMMYFUNCTION("""COMPUTED_VALUE"""),514.55)</f>
        <v>514.55</v>
      </c>
      <c r="E77" s="6">
        <f>IFERROR(__xludf.DUMMYFUNCTION("""COMPUTED_VALUE"""),515.6)</f>
        <v>515.6</v>
      </c>
      <c r="F77" s="6">
        <f>IFERROR(__xludf.DUMMYFUNCTION("""COMPUTED_VALUE"""),4957592.0)</f>
        <v>4957592</v>
      </c>
    </row>
    <row r="78">
      <c r="A78" s="7">
        <f>IFERROR(__xludf.DUMMYFUNCTION("""COMPUTED_VALUE"""),45737.64583333333)</f>
        <v>45737.64583</v>
      </c>
      <c r="B78" s="6">
        <f>IFERROR(__xludf.DUMMYFUNCTION("""COMPUTED_VALUE"""),520.05)</f>
        <v>520.05</v>
      </c>
      <c r="C78" s="6">
        <f>IFERROR(__xludf.DUMMYFUNCTION("""COMPUTED_VALUE"""),572.65)</f>
        <v>572.65</v>
      </c>
      <c r="D78" s="6">
        <f>IFERROR(__xludf.DUMMYFUNCTION("""COMPUTED_VALUE"""),518.85)</f>
        <v>518.85</v>
      </c>
      <c r="E78" s="6">
        <f>IFERROR(__xludf.DUMMYFUNCTION("""COMPUTED_VALUE"""),571.7)</f>
        <v>571.7</v>
      </c>
      <c r="F78" s="6">
        <f>IFERROR(__xludf.DUMMYFUNCTION("""COMPUTED_VALUE"""),7316596.0)</f>
        <v>7316596</v>
      </c>
    </row>
    <row r="79">
      <c r="A79" s="7">
        <f>IFERROR(__xludf.DUMMYFUNCTION("""COMPUTED_VALUE"""),45744.64583333333)</f>
        <v>45744.64583</v>
      </c>
      <c r="B79" s="6">
        <f>IFERROR(__xludf.DUMMYFUNCTION("""COMPUTED_VALUE"""),573.0)</f>
        <v>573</v>
      </c>
      <c r="C79" s="6">
        <f>IFERROR(__xludf.DUMMYFUNCTION("""COMPUTED_VALUE"""),585.5)</f>
        <v>585.5</v>
      </c>
      <c r="D79" s="6">
        <f>IFERROR(__xludf.DUMMYFUNCTION("""COMPUTED_VALUE"""),557.5)</f>
        <v>557.5</v>
      </c>
      <c r="E79" s="6">
        <f>IFERROR(__xludf.DUMMYFUNCTION("""COMPUTED_VALUE"""),563.85)</f>
        <v>563.85</v>
      </c>
      <c r="F79" s="6">
        <f>IFERROR(__xludf.DUMMYFUNCTION("""COMPUTED_VALUE"""),6582191.0)</f>
        <v>6582191</v>
      </c>
    </row>
    <row r="80">
      <c r="A80" s="7">
        <f>IFERROR(__xludf.DUMMYFUNCTION("""COMPUTED_VALUE"""),45751.64583333333)</f>
        <v>45751.64583</v>
      </c>
      <c r="B80" s="6">
        <f>IFERROR(__xludf.DUMMYFUNCTION("""COMPUTED_VALUE"""),561.5)</f>
        <v>561.5</v>
      </c>
      <c r="C80" s="6">
        <f>IFERROR(__xludf.DUMMYFUNCTION("""COMPUTED_VALUE"""),579.9)</f>
        <v>579.9</v>
      </c>
      <c r="D80" s="6">
        <f>IFERROR(__xludf.DUMMYFUNCTION("""COMPUTED_VALUE"""),552.0)</f>
        <v>552</v>
      </c>
      <c r="E80" s="6">
        <f>IFERROR(__xludf.DUMMYFUNCTION("""COMPUTED_VALUE"""),561.85)</f>
        <v>561.85</v>
      </c>
      <c r="F80" s="6">
        <f>IFERROR(__xludf.DUMMYFUNCTION("""COMPUTED_VALUE"""),4000571.0)</f>
        <v>4000571</v>
      </c>
    </row>
    <row r="81">
      <c r="A81" s="7">
        <f>IFERROR(__xludf.DUMMYFUNCTION("""COMPUTED_VALUE"""),45758.64583333333)</f>
        <v>45758.64583</v>
      </c>
      <c r="B81" s="6">
        <f>IFERROR(__xludf.DUMMYFUNCTION("""COMPUTED_VALUE"""),534.0)</f>
        <v>534</v>
      </c>
      <c r="C81" s="6">
        <f>IFERROR(__xludf.DUMMYFUNCTION("""COMPUTED_VALUE"""),576.8)</f>
        <v>576.8</v>
      </c>
      <c r="D81" s="6">
        <f>IFERROR(__xludf.DUMMYFUNCTION("""COMPUTED_VALUE"""),522.65)</f>
        <v>522.65</v>
      </c>
      <c r="E81" s="6">
        <f>IFERROR(__xludf.DUMMYFUNCTION("""COMPUTED_VALUE"""),559.65)</f>
        <v>559.65</v>
      </c>
      <c r="F81" s="6">
        <f>IFERROR(__xludf.DUMMYFUNCTION("""COMPUTED_VALUE"""),1.1179836E7)</f>
        <v>11179836</v>
      </c>
    </row>
    <row r="82">
      <c r="A82" s="7">
        <f>IFERROR(__xludf.DUMMYFUNCTION("""COMPUTED_VALUE"""),45764.64583333333)</f>
        <v>45764.64583</v>
      </c>
      <c r="B82" s="6">
        <f>IFERROR(__xludf.DUMMYFUNCTION("""COMPUTED_VALUE"""),567.4)</f>
        <v>567.4</v>
      </c>
      <c r="C82" s="6">
        <f>IFERROR(__xludf.DUMMYFUNCTION("""COMPUTED_VALUE"""),607.7)</f>
        <v>607.7</v>
      </c>
      <c r="D82" s="6">
        <f>IFERROR(__xludf.DUMMYFUNCTION("""COMPUTED_VALUE"""),563.05)</f>
        <v>563.05</v>
      </c>
      <c r="E82" s="6">
        <f>IFERROR(__xludf.DUMMYFUNCTION("""COMPUTED_VALUE"""),604.45)</f>
        <v>604.45</v>
      </c>
      <c r="F82" s="6">
        <f>IFERROR(__xludf.DUMMYFUNCTION("""COMPUTED_VALUE"""),6607978.0)</f>
        <v>6607978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IFERROR(__xludf.DUMMYFUNCTION("""COMPUTED_VALUE"""),610.0)</f>
        <v>610</v>
      </c>
      <c r="C83" s="6">
        <f>IFERROR(__xludf.DUMMYFUNCTION("""COMPUTED_VALUE"""),623.9)</f>
        <v>623.9</v>
      </c>
      <c r="D83" s="6">
        <f>IFERROR(__xludf.DUMMYFUNCTION("""COMPUTED_VALUE"""),586.35)</f>
        <v>586.35</v>
      </c>
      <c r="E83" s="6">
        <f>IFERROR(__xludf.DUMMYFUNCTION("""COMPUTED_VALUE"""),592.2)</f>
        <v>592.2</v>
      </c>
      <c r="F83" s="6">
        <f>IFERROR(__xludf.DUMMYFUNCTION("""COMPUTED_VALUE"""),8256310.0)</f>
        <v>8256310</v>
      </c>
    </row>
    <row r="84">
      <c r="A84" s="7">
        <f>IFERROR(__xludf.DUMMYFUNCTION("""COMPUTED_VALUE"""),45779.64583333333)</f>
        <v>45779.64583</v>
      </c>
      <c r="B84" s="6">
        <f>IFERROR(__xludf.DUMMYFUNCTION("""COMPUTED_VALUE"""),595.35)</f>
        <v>595.35</v>
      </c>
      <c r="C84" s="6">
        <f>IFERROR(__xludf.DUMMYFUNCTION("""COMPUTED_VALUE"""),625.9)</f>
        <v>625.9</v>
      </c>
      <c r="D84" s="6">
        <f>IFERROR(__xludf.DUMMYFUNCTION("""COMPUTED_VALUE"""),593.5)</f>
        <v>593.5</v>
      </c>
      <c r="E84" s="6">
        <f>IFERROR(__xludf.DUMMYFUNCTION("""COMPUTED_VALUE"""),602.25)</f>
        <v>602.25</v>
      </c>
      <c r="F84" s="6">
        <f>IFERROR(__xludf.DUMMYFUNCTION("""COMPUTED_VALUE"""),5760309.0)</f>
        <v>5760309</v>
      </c>
    </row>
    <row r="85">
      <c r="A85" s="7">
        <f>IFERROR(__xludf.DUMMYFUNCTION("""COMPUTED_VALUE"""),45786.64583333333)</f>
        <v>45786.64583</v>
      </c>
      <c r="B85" s="6">
        <f>IFERROR(__xludf.DUMMYFUNCTION("""COMPUTED_VALUE"""),604.5)</f>
        <v>604.5</v>
      </c>
      <c r="C85" s="6">
        <f>IFERROR(__xludf.DUMMYFUNCTION("""COMPUTED_VALUE"""),610.7)</f>
        <v>610.7</v>
      </c>
      <c r="D85" s="6">
        <f>IFERROR(__xludf.DUMMYFUNCTION("""COMPUTED_VALUE"""),563.0)</f>
        <v>563</v>
      </c>
      <c r="E85" s="6">
        <f>IFERROR(__xludf.DUMMYFUNCTION("""COMPUTED_VALUE"""),574.75)</f>
        <v>574.75</v>
      </c>
      <c r="F85" s="6">
        <f>IFERROR(__xludf.DUMMYFUNCTION("""COMPUTED_VALUE"""),4830131.0)</f>
        <v>4830131</v>
      </c>
    </row>
    <row r="86">
      <c r="A86" s="7">
        <f>IFERROR(__xludf.DUMMYFUNCTION("""COMPUTED_VALUE"""),45793.64583333333)</f>
        <v>45793.64583</v>
      </c>
      <c r="B86" s="6">
        <f>IFERROR(__xludf.DUMMYFUNCTION("""COMPUTED_VALUE"""),590.3)</f>
        <v>590.3</v>
      </c>
      <c r="C86" s="6">
        <f>IFERROR(__xludf.DUMMYFUNCTION("""COMPUTED_VALUE"""),635.0)</f>
        <v>635</v>
      </c>
      <c r="D86" s="6">
        <f>IFERROR(__xludf.DUMMYFUNCTION("""COMPUTED_VALUE"""),590.3)</f>
        <v>590.3</v>
      </c>
      <c r="E86" s="6">
        <f>IFERROR(__xludf.DUMMYFUNCTION("""COMPUTED_VALUE"""),621.1)</f>
        <v>621.1</v>
      </c>
      <c r="F86" s="6">
        <f>IFERROR(__xludf.DUMMYFUNCTION("""COMPUTED_VALUE"""),1.8000085E7)</f>
        <v>18000085</v>
      </c>
    </row>
    <row r="87">
      <c r="A87" s="7">
        <f>IFERROR(__xludf.DUMMYFUNCTION("""COMPUTED_VALUE"""),45800.64583333333)</f>
        <v>45800.64583</v>
      </c>
      <c r="B87" s="6">
        <f>IFERROR(__xludf.DUMMYFUNCTION("""COMPUTED_VALUE"""),619.0)</f>
        <v>619</v>
      </c>
      <c r="C87" s="6">
        <f>IFERROR(__xludf.DUMMYFUNCTION("""COMPUTED_VALUE"""),620.0)</f>
        <v>620</v>
      </c>
      <c r="D87" s="6">
        <f>IFERROR(__xludf.DUMMYFUNCTION("""COMPUTED_VALUE"""),583.5)</f>
        <v>583.5</v>
      </c>
      <c r="E87" s="6">
        <f>IFERROR(__xludf.DUMMYFUNCTION("""COMPUTED_VALUE"""),596.95)</f>
        <v>596.95</v>
      </c>
      <c r="F87" s="6">
        <f>IFERROR(__xludf.DUMMYFUNCTION("""COMPUTED_VALUE"""),1.3789847E7)</f>
        <v>13789847</v>
      </c>
    </row>
    <row r="88">
      <c r="A88" s="7">
        <f>IFERROR(__xludf.DUMMYFUNCTION("""COMPUTED_VALUE"""),45807.64583333333)</f>
        <v>45807.64583</v>
      </c>
      <c r="B88" s="6">
        <f>IFERROR(__xludf.DUMMYFUNCTION("""COMPUTED_VALUE"""),600.0)</f>
        <v>600</v>
      </c>
      <c r="C88" s="6">
        <f>IFERROR(__xludf.DUMMYFUNCTION("""COMPUTED_VALUE"""),606.2)</f>
        <v>606.2</v>
      </c>
      <c r="D88" s="6">
        <f>IFERROR(__xludf.DUMMYFUNCTION("""COMPUTED_VALUE"""),587.35)</f>
        <v>587.35</v>
      </c>
      <c r="E88" s="6">
        <f>IFERROR(__xludf.DUMMYFUNCTION("""COMPUTED_VALUE"""),596.45)</f>
        <v>596.45</v>
      </c>
      <c r="F88" s="6">
        <f>IFERROR(__xludf.DUMMYFUNCTION("""COMPUTED_VALUE"""),1.0410351E7)</f>
        <v>10410351</v>
      </c>
    </row>
    <row r="89">
      <c r="A89" s="7">
        <f>IFERROR(__xludf.DUMMYFUNCTION("""COMPUTED_VALUE"""),45814.64583333333)</f>
        <v>45814.64583</v>
      </c>
      <c r="B89" s="6">
        <f>IFERROR(__xludf.DUMMYFUNCTION("""COMPUTED_VALUE"""),595.0)</f>
        <v>595</v>
      </c>
      <c r="C89" s="6">
        <f>IFERROR(__xludf.DUMMYFUNCTION("""COMPUTED_VALUE"""),616.5)</f>
        <v>616.5</v>
      </c>
      <c r="D89" s="6">
        <f>IFERROR(__xludf.DUMMYFUNCTION("""COMPUTED_VALUE"""),592.0)</f>
        <v>592</v>
      </c>
      <c r="E89" s="6">
        <f>IFERROR(__xludf.DUMMYFUNCTION("""COMPUTED_VALUE"""),613.45)</f>
        <v>613.45</v>
      </c>
      <c r="F89" s="6">
        <f>IFERROR(__xludf.DUMMYFUNCTION("""COMPUTED_VALUE"""),1.1000988E7)</f>
        <v>11000988</v>
      </c>
    </row>
    <row r="90">
      <c r="A90" s="7">
        <f>IFERROR(__xludf.DUMMYFUNCTION("""COMPUTED_VALUE"""),45821.64583333333)</f>
        <v>45821.64583</v>
      </c>
      <c r="B90" s="6">
        <f>IFERROR(__xludf.DUMMYFUNCTION("""COMPUTED_VALUE"""),618.0)</f>
        <v>618</v>
      </c>
      <c r="C90" s="6">
        <f>IFERROR(__xludf.DUMMYFUNCTION("""COMPUTED_VALUE"""),627.25)</f>
        <v>627.25</v>
      </c>
      <c r="D90" s="6">
        <f>IFERROR(__xludf.DUMMYFUNCTION("""COMPUTED_VALUE"""),588.7)</f>
        <v>588.7</v>
      </c>
      <c r="E90" s="6">
        <f>IFERROR(__xludf.DUMMYFUNCTION("""COMPUTED_VALUE"""),600.0)</f>
        <v>600</v>
      </c>
      <c r="F90" s="6">
        <f>IFERROR(__xludf.DUMMYFUNCTION("""COMPUTED_VALUE"""),1.1137718E7)</f>
        <v>11137718</v>
      </c>
    </row>
    <row r="91">
      <c r="A91" s="7">
        <f>IFERROR(__xludf.DUMMYFUNCTION("""COMPUTED_VALUE"""),45828.64583333333)</f>
        <v>45828.64583</v>
      </c>
      <c r="B91" s="6">
        <f>IFERROR(__xludf.DUMMYFUNCTION("""COMPUTED_VALUE"""),602.0)</f>
        <v>602</v>
      </c>
      <c r="C91" s="6">
        <f>IFERROR(__xludf.DUMMYFUNCTION("""COMPUTED_VALUE"""),611.5)</f>
        <v>611.5</v>
      </c>
      <c r="D91" s="6">
        <f>IFERROR(__xludf.DUMMYFUNCTION("""COMPUTED_VALUE"""),578.65)</f>
        <v>578.65</v>
      </c>
      <c r="E91" s="6">
        <f>IFERROR(__xludf.DUMMYFUNCTION("""COMPUTED_VALUE"""),594.55)</f>
        <v>594.55</v>
      </c>
      <c r="F91" s="6">
        <f>IFERROR(__xludf.DUMMYFUNCTION("""COMPUTED_VALUE"""),7183679.0)</f>
        <v>7183679</v>
      </c>
    </row>
    <row r="92">
      <c r="A92" s="7">
        <f>IFERROR(__xludf.DUMMYFUNCTION("""COMPUTED_VALUE"""),45835.64583333333)</f>
        <v>45835.64583</v>
      </c>
      <c r="B92" s="6">
        <f>IFERROR(__xludf.DUMMYFUNCTION("""COMPUTED_VALUE"""),589.0)</f>
        <v>589</v>
      </c>
      <c r="C92" s="6">
        <f>IFERROR(__xludf.DUMMYFUNCTION("""COMPUTED_VALUE"""),627.3)</f>
        <v>627.3</v>
      </c>
      <c r="D92" s="6">
        <f>IFERROR(__xludf.DUMMYFUNCTION("""COMPUTED_VALUE"""),581.05)</f>
        <v>581.05</v>
      </c>
      <c r="E92" s="6">
        <f>IFERROR(__xludf.DUMMYFUNCTION("""COMPUTED_VALUE"""),612.65)</f>
        <v>612.65</v>
      </c>
      <c r="F92" s="6">
        <f>IFERROR(__xludf.DUMMYFUNCTION("""COMPUTED_VALUE"""),1.2997655E7)</f>
        <v>12997655</v>
      </c>
    </row>
    <row r="93">
      <c r="A93" s="7">
        <f>IFERROR(__xludf.DUMMYFUNCTION("""COMPUTED_VALUE"""),45842.64583333333)</f>
        <v>45842.64583</v>
      </c>
      <c r="B93" s="6">
        <f>IFERROR(__xludf.DUMMYFUNCTION("""COMPUTED_VALUE"""),614.05)</f>
        <v>614.05</v>
      </c>
      <c r="C93" s="6">
        <f>IFERROR(__xludf.DUMMYFUNCTION("""COMPUTED_VALUE"""),621.15)</f>
        <v>621.15</v>
      </c>
      <c r="D93" s="6">
        <f>IFERROR(__xludf.DUMMYFUNCTION("""COMPUTED_VALUE"""),605.5)</f>
        <v>605.5</v>
      </c>
      <c r="E93" s="6">
        <f>IFERROR(__xludf.DUMMYFUNCTION("""COMPUTED_VALUE"""),610.8)</f>
        <v>610.8</v>
      </c>
      <c r="F93" s="6">
        <f>IFERROR(__xludf.DUMMYFUNCTION("""COMPUTED_VALUE"""),5764079.0)</f>
        <v>5764079</v>
      </c>
    </row>
    <row r="94">
      <c r="A94" s="7">
        <f>IFERROR(__xludf.DUMMYFUNCTION("""COMPUTED_VALUE"""),45849.64583333333)</f>
        <v>45849.64583</v>
      </c>
      <c r="B94" s="6">
        <f>IFERROR(__xludf.DUMMYFUNCTION("""COMPUTED_VALUE"""),610.0)</f>
        <v>610</v>
      </c>
      <c r="C94" s="6">
        <f>IFERROR(__xludf.DUMMYFUNCTION("""COMPUTED_VALUE"""),612.0)</f>
        <v>612</v>
      </c>
      <c r="D94" s="6">
        <f>IFERROR(__xludf.DUMMYFUNCTION("""COMPUTED_VALUE"""),598.55)</f>
        <v>598.55</v>
      </c>
      <c r="E94" s="6">
        <f>IFERROR(__xludf.DUMMYFUNCTION("""COMPUTED_VALUE"""),604.65)</f>
        <v>604.65</v>
      </c>
      <c r="F94" s="6">
        <f>IFERROR(__xludf.DUMMYFUNCTION("""COMPUTED_VALUE"""),5630517.0)</f>
        <v>5630517</v>
      </c>
    </row>
    <row r="95">
      <c r="A95" s="7">
        <f>IFERROR(__xludf.DUMMYFUNCTION("""COMPUTED_VALUE"""),45856.64583333333)</f>
        <v>45856.64583</v>
      </c>
      <c r="B95" s="6">
        <f>IFERROR(__xludf.DUMMYFUNCTION("""COMPUTED_VALUE"""),602.7)</f>
        <v>602.7</v>
      </c>
      <c r="C95" s="6">
        <f>IFERROR(__xludf.DUMMYFUNCTION("""COMPUTED_VALUE"""),646.5)</f>
        <v>646.5</v>
      </c>
      <c r="D95" s="6">
        <f>IFERROR(__xludf.DUMMYFUNCTION("""COMPUTED_VALUE"""),600.75)</f>
        <v>600.75</v>
      </c>
      <c r="E95" s="6">
        <f>IFERROR(__xludf.DUMMYFUNCTION("""COMPUTED_VALUE"""),628.25)</f>
        <v>628.25</v>
      </c>
      <c r="F95" s="6">
        <f>IFERROR(__xludf.DUMMYFUNCTION("""COMPUTED_VALUE"""),1.4309779E7)</f>
        <v>14309779</v>
      </c>
    </row>
    <row r="96">
      <c r="A96" s="7">
        <f>IFERROR(__xludf.DUMMYFUNCTION("""COMPUTED_VALUE"""),45863.64583333333)</f>
        <v>45863.64583</v>
      </c>
      <c r="B96" s="6">
        <f>IFERROR(__xludf.DUMMYFUNCTION("""COMPUTED_VALUE"""),630.0)</f>
        <v>630</v>
      </c>
      <c r="C96" s="6">
        <f>IFERROR(__xludf.DUMMYFUNCTION("""COMPUTED_VALUE"""),631.9)</f>
        <v>631.9</v>
      </c>
      <c r="D96" s="6">
        <f>IFERROR(__xludf.DUMMYFUNCTION("""COMPUTED_VALUE"""),600.55)</f>
        <v>600.55</v>
      </c>
      <c r="E96" s="6">
        <f>IFERROR(__xludf.DUMMYFUNCTION("""COMPUTED_VALUE"""),606.9)</f>
        <v>606.9</v>
      </c>
      <c r="F96" s="6">
        <f>IFERROR(__xludf.DUMMYFUNCTION("""COMPUTED_VALUE"""),7291212.0)</f>
        <v>7291212</v>
      </c>
    </row>
    <row r="97">
      <c r="A97" s="7">
        <f>IFERROR(__xludf.DUMMYFUNCTION("""COMPUTED_VALUE"""),45870.64583333333)</f>
        <v>45870.64583</v>
      </c>
      <c r="B97" s="6">
        <f>IFERROR(__xludf.DUMMYFUNCTION("""COMPUTED_VALUE"""),609.0)</f>
        <v>609</v>
      </c>
      <c r="C97" s="6">
        <f>IFERROR(__xludf.DUMMYFUNCTION("""COMPUTED_VALUE"""),612.45)</f>
        <v>612.45</v>
      </c>
      <c r="D97" s="6">
        <f>IFERROR(__xludf.DUMMYFUNCTION("""COMPUTED_VALUE"""),560.4)</f>
        <v>560.4</v>
      </c>
      <c r="E97" s="6">
        <f>IFERROR(__xludf.DUMMYFUNCTION("""COMPUTED_VALUE"""),570.25)</f>
        <v>570.25</v>
      </c>
      <c r="F97" s="6">
        <f>IFERROR(__xludf.DUMMYFUNCTION("""COMPUTED_VALUE"""),9552835.0)</f>
        <v>9552835</v>
      </c>
    </row>
    <row r="98">
      <c r="A98" s="7">
        <f>IFERROR(__xludf.DUMMYFUNCTION("""COMPUTED_VALUE"""),45877.64583333333)</f>
        <v>45877.64583</v>
      </c>
      <c r="B98" s="6">
        <f>IFERROR(__xludf.DUMMYFUNCTION("""COMPUTED_VALUE"""),570.25)</f>
        <v>570.25</v>
      </c>
      <c r="C98" s="6">
        <f>IFERROR(__xludf.DUMMYFUNCTION("""COMPUTED_VALUE"""),594.7)</f>
        <v>594.7</v>
      </c>
      <c r="D98" s="6">
        <f>IFERROR(__xludf.DUMMYFUNCTION("""COMPUTED_VALUE"""),568.55)</f>
        <v>568.55</v>
      </c>
      <c r="E98" s="6">
        <f>IFERROR(__xludf.DUMMYFUNCTION("""COMPUTED_VALUE"""),570.6)</f>
        <v>570.6</v>
      </c>
      <c r="F98" s="6">
        <f>IFERROR(__xludf.DUMMYFUNCTION("""COMPUTED_VALUE"""),9344294.0)</f>
        <v>9344294</v>
      </c>
    </row>
    <row r="99">
      <c r="A99" s="7">
        <f>IFERROR(__xludf.DUMMYFUNCTION("""COMPUTED_VALUE"""),45883.64583333333)</f>
        <v>45883.64583</v>
      </c>
      <c r="B99" s="6">
        <f>IFERROR(__xludf.DUMMYFUNCTION("""COMPUTED_VALUE"""),573.95)</f>
        <v>573.95</v>
      </c>
      <c r="C99" s="6">
        <f>IFERROR(__xludf.DUMMYFUNCTION("""COMPUTED_VALUE"""),577.0)</f>
        <v>577</v>
      </c>
      <c r="D99" s="6">
        <f>IFERROR(__xludf.DUMMYFUNCTION("""COMPUTED_VALUE"""),566.8)</f>
        <v>566.8</v>
      </c>
      <c r="E99" s="6">
        <f>IFERROR(__xludf.DUMMYFUNCTION("""COMPUTED_VALUE"""),569.25)</f>
        <v>569.25</v>
      </c>
      <c r="F99" s="6">
        <f>IFERROR(__xludf.DUMMYFUNCTION("""COMPUTED_VALUE"""),3363719.0)</f>
        <v>3363719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IFERROR(__xludf.DUMMYFUNCTION("""COMPUTED_VALUE"""),575.0)</f>
        <v>575</v>
      </c>
      <c r="C100" s="6">
        <f>IFERROR(__xludf.DUMMYFUNCTION("""COMPUTED_VALUE"""),584.0)</f>
        <v>584</v>
      </c>
      <c r="D100" s="6">
        <f>IFERROR(__xludf.DUMMYFUNCTION("""COMPUTED_VALUE"""),562.1)</f>
        <v>562.1</v>
      </c>
      <c r="E100" s="6">
        <f>IFERROR(__xludf.DUMMYFUNCTION("""COMPUTED_VALUE"""),563.5)</f>
        <v>563.5</v>
      </c>
      <c r="F100" s="6">
        <f>IFERROR(__xludf.DUMMYFUNCTION("""COMPUTED_VALUE"""),1.254189E7)</f>
        <v>12541890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IFERROR(__xludf.DUMMYFUNCTION("""COMPUTED_VALUE"""),564.6)</f>
        <v>564.6</v>
      </c>
      <c r="C101" s="6">
        <f>IFERROR(__xludf.DUMMYFUNCTION("""COMPUTED_VALUE"""),566.9)</f>
        <v>566.9</v>
      </c>
      <c r="D101" s="6">
        <f>IFERROR(__xludf.DUMMYFUNCTION("""COMPUTED_VALUE"""),554.95)</f>
        <v>554.95</v>
      </c>
      <c r="E101" s="6">
        <f>IFERROR(__xludf.DUMMYFUNCTION("""COMPUTED_VALUE"""),560.4)</f>
        <v>560.4</v>
      </c>
      <c r="F101" s="6">
        <f>IFERROR(__xludf.DUMMYFUNCTION("""COMPUTED_VALUE"""),1.6663001E7)</f>
        <v>16663001</v>
      </c>
    </row>
  </sheetData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IFERROR(__xludf.DUMMYFUNCTION("GOOGLEFINANCE(""NSE:LICI"",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IFERROR(__xludf.DUMMYFUNCTION("""COMPUTED_VALUE"""),649.75)</f>
        <v>649.75</v>
      </c>
      <c r="C2" s="6">
        <f>IFERROR(__xludf.DUMMYFUNCTION("""COMPUTED_VALUE"""),660.5)</f>
        <v>660.5</v>
      </c>
      <c r="D2" s="6">
        <f>IFERROR(__xludf.DUMMYFUNCTION("""COMPUTED_VALUE"""),643.05)</f>
        <v>643.05</v>
      </c>
      <c r="E2" s="6">
        <f>IFERROR(__xludf.DUMMYFUNCTION("""COMPUTED_VALUE"""),645.75)</f>
        <v>645.75</v>
      </c>
      <c r="F2" s="6">
        <f>IFERROR(__xludf.DUMMYFUNCTION("""COMPUTED_VALUE"""),3299575.0)</f>
        <v>3299575</v>
      </c>
    </row>
    <row r="3">
      <c r="A3" s="7">
        <f>IFERROR(__xludf.DUMMYFUNCTION("""COMPUTED_VALUE"""),45177.64583333333)</f>
        <v>45177.64583</v>
      </c>
      <c r="B3" s="6">
        <f>IFERROR(__xludf.DUMMYFUNCTION("""COMPUTED_VALUE"""),647.0)</f>
        <v>647</v>
      </c>
      <c r="C3" s="6">
        <f>IFERROR(__xludf.DUMMYFUNCTION("""COMPUTED_VALUE"""),691.0)</f>
        <v>691</v>
      </c>
      <c r="D3" s="6">
        <f>IFERROR(__xludf.DUMMYFUNCTION("""COMPUTED_VALUE"""),647.0)</f>
        <v>647</v>
      </c>
      <c r="E3" s="6">
        <f>IFERROR(__xludf.DUMMYFUNCTION("""COMPUTED_VALUE"""),674.15)</f>
        <v>674.15</v>
      </c>
      <c r="F3" s="6">
        <f>IFERROR(__xludf.DUMMYFUNCTION("""COMPUTED_VALUE"""),1.3314918E7)</f>
        <v>13314918</v>
      </c>
    </row>
    <row r="4">
      <c r="A4" s="7">
        <f>IFERROR(__xludf.DUMMYFUNCTION("""COMPUTED_VALUE"""),45184.64583333333)</f>
        <v>45184.64583</v>
      </c>
      <c r="B4" s="6">
        <f>IFERROR(__xludf.DUMMYFUNCTION("""COMPUTED_VALUE"""),677.65)</f>
        <v>677.65</v>
      </c>
      <c r="C4" s="6">
        <f>IFERROR(__xludf.DUMMYFUNCTION("""COMPUTED_VALUE"""),684.9)</f>
        <v>684.9</v>
      </c>
      <c r="D4" s="6">
        <f>IFERROR(__xludf.DUMMYFUNCTION("""COMPUTED_VALUE"""),654.55)</f>
        <v>654.55</v>
      </c>
      <c r="E4" s="6">
        <f>IFERROR(__xludf.DUMMYFUNCTION("""COMPUTED_VALUE"""),667.5)</f>
        <v>667.5</v>
      </c>
      <c r="F4" s="6">
        <f>IFERROR(__xludf.DUMMYFUNCTION("""COMPUTED_VALUE"""),6668710.0)</f>
        <v>6668710</v>
      </c>
    </row>
    <row r="5">
      <c r="A5" s="7">
        <f>IFERROR(__xludf.DUMMYFUNCTION("""COMPUTED_VALUE"""),45191.64583333333)</f>
        <v>45191.64583</v>
      </c>
      <c r="B5" s="6">
        <f>IFERROR(__xludf.DUMMYFUNCTION("""COMPUTED_VALUE"""),667.5)</f>
        <v>667.5</v>
      </c>
      <c r="C5" s="6">
        <f>IFERROR(__xludf.DUMMYFUNCTION("""COMPUTED_VALUE"""),671.8)</f>
        <v>671.8</v>
      </c>
      <c r="D5" s="6">
        <f>IFERROR(__xludf.DUMMYFUNCTION("""COMPUTED_VALUE"""),649.0)</f>
        <v>649</v>
      </c>
      <c r="E5" s="6">
        <f>IFERROR(__xludf.DUMMYFUNCTION("""COMPUTED_VALUE"""),651.3)</f>
        <v>651.3</v>
      </c>
      <c r="F5" s="6">
        <f>IFERROR(__xludf.DUMMYFUNCTION("""COMPUTED_VALUE"""),3155786.0)</f>
        <v>3155786</v>
      </c>
    </row>
    <row r="6">
      <c r="A6" s="7">
        <f>IFERROR(__xludf.DUMMYFUNCTION("""COMPUTED_VALUE"""),45198.64583333333)</f>
        <v>45198.64583</v>
      </c>
      <c r="B6" s="6">
        <f>IFERROR(__xludf.DUMMYFUNCTION("""COMPUTED_VALUE"""),650.0)</f>
        <v>650</v>
      </c>
      <c r="C6" s="6">
        <f>IFERROR(__xludf.DUMMYFUNCTION("""COMPUTED_VALUE"""),653.0)</f>
        <v>653</v>
      </c>
      <c r="D6" s="6">
        <f>IFERROR(__xludf.DUMMYFUNCTION("""COMPUTED_VALUE"""),643.05)</f>
        <v>643.05</v>
      </c>
      <c r="E6" s="6">
        <f>IFERROR(__xludf.DUMMYFUNCTION("""COMPUTED_VALUE"""),649.75)</f>
        <v>649.75</v>
      </c>
      <c r="F6" s="6">
        <f>IFERROR(__xludf.DUMMYFUNCTION("""COMPUTED_VALUE"""),3395305.0)</f>
        <v>3395305</v>
      </c>
    </row>
    <row r="7">
      <c r="A7" s="7">
        <f>IFERROR(__xludf.DUMMYFUNCTION("""COMPUTED_VALUE"""),45205.64583333333)</f>
        <v>45205.64583</v>
      </c>
      <c r="B7" s="6">
        <f>IFERROR(__xludf.DUMMYFUNCTION("""COMPUTED_VALUE"""),648.1)</f>
        <v>648.1</v>
      </c>
      <c r="C7" s="6">
        <f>IFERROR(__xludf.DUMMYFUNCTION("""COMPUTED_VALUE"""),649.55)</f>
        <v>649.55</v>
      </c>
      <c r="D7" s="6">
        <f>IFERROR(__xludf.DUMMYFUNCTION("""COMPUTED_VALUE"""),634.05)</f>
        <v>634.05</v>
      </c>
      <c r="E7" s="6">
        <f>IFERROR(__xludf.DUMMYFUNCTION("""COMPUTED_VALUE"""),644.35)</f>
        <v>644.35</v>
      </c>
      <c r="F7" s="6">
        <f>IFERROR(__xludf.DUMMYFUNCTION("""COMPUTED_VALUE"""),2187539.0)</f>
        <v>2187539</v>
      </c>
    </row>
    <row r="8">
      <c r="A8" s="7">
        <f>IFERROR(__xludf.DUMMYFUNCTION("""COMPUTED_VALUE"""),45212.64583333333)</f>
        <v>45212.64583</v>
      </c>
      <c r="B8" s="6">
        <f>IFERROR(__xludf.DUMMYFUNCTION("""COMPUTED_VALUE"""),639.2)</f>
        <v>639.2</v>
      </c>
      <c r="C8" s="6">
        <f>IFERROR(__xludf.DUMMYFUNCTION("""COMPUTED_VALUE"""),644.2)</f>
        <v>644.2</v>
      </c>
      <c r="D8" s="6">
        <f>IFERROR(__xludf.DUMMYFUNCTION("""COMPUTED_VALUE"""),630.1)</f>
        <v>630.1</v>
      </c>
      <c r="E8" s="6">
        <f>IFERROR(__xludf.DUMMYFUNCTION("""COMPUTED_VALUE"""),634.65)</f>
        <v>634.65</v>
      </c>
      <c r="F8" s="6">
        <f>IFERROR(__xludf.DUMMYFUNCTION("""COMPUTED_VALUE"""),3795373.0)</f>
        <v>3795373</v>
      </c>
    </row>
    <row r="9">
      <c r="A9" s="7">
        <f>IFERROR(__xludf.DUMMYFUNCTION("""COMPUTED_VALUE"""),45219.64583333333)</f>
        <v>45219.64583</v>
      </c>
      <c r="B9" s="6">
        <f>IFERROR(__xludf.DUMMYFUNCTION("""COMPUTED_VALUE"""),634.65)</f>
        <v>634.65</v>
      </c>
      <c r="C9" s="6">
        <f>IFERROR(__xludf.DUMMYFUNCTION("""COMPUTED_VALUE"""),651.85)</f>
        <v>651.85</v>
      </c>
      <c r="D9" s="6">
        <f>IFERROR(__xludf.DUMMYFUNCTION("""COMPUTED_VALUE"""),632.6)</f>
        <v>632.6</v>
      </c>
      <c r="E9" s="6">
        <f>IFERROR(__xludf.DUMMYFUNCTION("""COMPUTED_VALUE"""),634.95)</f>
        <v>634.95</v>
      </c>
      <c r="F9" s="6">
        <f>IFERROR(__xludf.DUMMYFUNCTION("""COMPUTED_VALUE"""),4430466.0)</f>
        <v>4430466</v>
      </c>
    </row>
    <row r="10">
      <c r="A10" s="7">
        <f>IFERROR(__xludf.DUMMYFUNCTION("""COMPUTED_VALUE"""),45226.64583333333)</f>
        <v>45226.64583</v>
      </c>
      <c r="B10" s="6">
        <f>IFERROR(__xludf.DUMMYFUNCTION("""COMPUTED_VALUE"""),634.95)</f>
        <v>634.95</v>
      </c>
      <c r="C10" s="6">
        <f>IFERROR(__xludf.DUMMYFUNCTION("""COMPUTED_VALUE"""),636.7)</f>
        <v>636.7</v>
      </c>
      <c r="D10" s="6">
        <f>IFERROR(__xludf.DUMMYFUNCTION("""COMPUTED_VALUE"""),597.35)</f>
        <v>597.35</v>
      </c>
      <c r="E10" s="6">
        <f>IFERROR(__xludf.DUMMYFUNCTION("""COMPUTED_VALUE"""),606.65)</f>
        <v>606.65</v>
      </c>
      <c r="F10" s="6">
        <f>IFERROR(__xludf.DUMMYFUNCTION("""COMPUTED_VALUE"""),3902263.0)</f>
        <v>3902263</v>
      </c>
    </row>
    <row r="11">
      <c r="A11" s="7">
        <f>IFERROR(__xludf.DUMMYFUNCTION("""COMPUTED_VALUE"""),45233.64583333333)</f>
        <v>45233.64583</v>
      </c>
      <c r="B11" s="6">
        <f>IFERROR(__xludf.DUMMYFUNCTION("""COMPUTED_VALUE"""),606.6)</f>
        <v>606.6</v>
      </c>
      <c r="C11" s="6">
        <f>IFERROR(__xludf.DUMMYFUNCTION("""COMPUTED_VALUE"""),610.3)</f>
        <v>610.3</v>
      </c>
      <c r="D11" s="6">
        <f>IFERROR(__xludf.DUMMYFUNCTION("""COMPUTED_VALUE"""),599.0)</f>
        <v>599</v>
      </c>
      <c r="E11" s="6">
        <f>IFERROR(__xludf.DUMMYFUNCTION("""COMPUTED_VALUE"""),608.05)</f>
        <v>608.05</v>
      </c>
      <c r="F11" s="6">
        <f>IFERROR(__xludf.DUMMYFUNCTION("""COMPUTED_VALUE"""),2712600.0)</f>
        <v>2712600</v>
      </c>
    </row>
    <row r="12">
      <c r="A12" s="7">
        <f>IFERROR(__xludf.DUMMYFUNCTION("""COMPUTED_VALUE"""),45240.64583333333)</f>
        <v>45240.64583</v>
      </c>
      <c r="B12" s="6">
        <f>IFERROR(__xludf.DUMMYFUNCTION("""COMPUTED_VALUE"""),609.9)</f>
        <v>609.9</v>
      </c>
      <c r="C12" s="6">
        <f>IFERROR(__xludf.DUMMYFUNCTION("""COMPUTED_VALUE"""),619.6)</f>
        <v>619.6</v>
      </c>
      <c r="D12" s="6">
        <f>IFERROR(__xludf.DUMMYFUNCTION("""COMPUTED_VALUE"""),608.1)</f>
        <v>608.1</v>
      </c>
      <c r="E12" s="6">
        <f>IFERROR(__xludf.DUMMYFUNCTION("""COMPUTED_VALUE"""),610.25)</f>
        <v>610.25</v>
      </c>
      <c r="F12" s="6">
        <f>IFERROR(__xludf.DUMMYFUNCTION("""COMPUTED_VALUE"""),2843682.0)</f>
        <v>2843682</v>
      </c>
    </row>
    <row r="13">
      <c r="A13" s="7">
        <f>IFERROR(__xludf.DUMMYFUNCTION("""COMPUTED_VALUE"""),45247.64583333333)</f>
        <v>45247.64583</v>
      </c>
      <c r="B13" s="6">
        <f>IFERROR(__xludf.DUMMYFUNCTION("""COMPUTED_VALUE"""),609.5)</f>
        <v>609.5</v>
      </c>
      <c r="C13" s="6">
        <f>IFERROR(__xludf.DUMMYFUNCTION("""COMPUTED_VALUE"""),618.8)</f>
        <v>618.8</v>
      </c>
      <c r="D13" s="6">
        <f>IFERROR(__xludf.DUMMYFUNCTION("""COMPUTED_VALUE"""),598.25)</f>
        <v>598.25</v>
      </c>
      <c r="E13" s="6">
        <f>IFERROR(__xludf.DUMMYFUNCTION("""COMPUTED_VALUE"""),614.65)</f>
        <v>614.65</v>
      </c>
      <c r="F13" s="6">
        <f>IFERROR(__xludf.DUMMYFUNCTION("""COMPUTED_VALUE"""),4919453.0)</f>
        <v>4919453</v>
      </c>
    </row>
    <row r="14">
      <c r="A14" s="7">
        <f>IFERROR(__xludf.DUMMYFUNCTION("""COMPUTED_VALUE"""),45254.64583333333)</f>
        <v>45254.64583</v>
      </c>
      <c r="B14" s="6">
        <f>IFERROR(__xludf.DUMMYFUNCTION("""COMPUTED_VALUE"""),614.65)</f>
        <v>614.65</v>
      </c>
      <c r="C14" s="6">
        <f>IFERROR(__xludf.DUMMYFUNCTION("""COMPUTED_VALUE"""),682.0)</f>
        <v>682</v>
      </c>
      <c r="D14" s="6">
        <f>IFERROR(__xludf.DUMMYFUNCTION("""COMPUTED_VALUE"""),607.7)</f>
        <v>607.7</v>
      </c>
      <c r="E14" s="6">
        <f>IFERROR(__xludf.DUMMYFUNCTION("""COMPUTED_VALUE"""),677.65)</f>
        <v>677.65</v>
      </c>
      <c r="F14" s="6">
        <f>IFERROR(__xludf.DUMMYFUNCTION("""COMPUTED_VALUE"""),2.1555014E7)</f>
        <v>21555014</v>
      </c>
    </row>
    <row r="15">
      <c r="A15" s="7">
        <f>IFERROR(__xludf.DUMMYFUNCTION("""COMPUTED_VALUE"""),45261.64583333333)</f>
        <v>45261.64583</v>
      </c>
      <c r="B15" s="6">
        <f>IFERROR(__xludf.DUMMYFUNCTION("""COMPUTED_VALUE"""),681.0)</f>
        <v>681</v>
      </c>
      <c r="C15" s="6">
        <f>IFERROR(__xludf.DUMMYFUNCTION("""COMPUTED_VALUE"""),699.0)</f>
        <v>699</v>
      </c>
      <c r="D15" s="6">
        <f>IFERROR(__xludf.DUMMYFUNCTION("""COMPUTED_VALUE"""),667.15)</f>
        <v>667.15</v>
      </c>
      <c r="E15" s="6">
        <f>IFERROR(__xludf.DUMMYFUNCTION("""COMPUTED_VALUE"""),670.9)</f>
        <v>670.9</v>
      </c>
      <c r="F15" s="6">
        <f>IFERROR(__xludf.DUMMYFUNCTION("""COMPUTED_VALUE"""),1.7454379E7)</f>
        <v>17454379</v>
      </c>
    </row>
    <row r="16">
      <c r="A16" s="7">
        <f>IFERROR(__xludf.DUMMYFUNCTION("""COMPUTED_VALUE"""),45268.64583333333)</f>
        <v>45268.64583</v>
      </c>
      <c r="B16" s="6">
        <f>IFERROR(__xludf.DUMMYFUNCTION("""COMPUTED_VALUE"""),680.0)</f>
        <v>680</v>
      </c>
      <c r="C16" s="6">
        <f>IFERROR(__xludf.DUMMYFUNCTION("""COMPUTED_VALUE"""),803.4)</f>
        <v>803.4</v>
      </c>
      <c r="D16" s="6">
        <f>IFERROR(__xludf.DUMMYFUNCTION("""COMPUTED_VALUE"""),680.0)</f>
        <v>680</v>
      </c>
      <c r="E16" s="6">
        <f>IFERROR(__xludf.DUMMYFUNCTION("""COMPUTED_VALUE"""),772.45)</f>
        <v>772.45</v>
      </c>
      <c r="F16" s="6">
        <f>IFERROR(__xludf.DUMMYFUNCTION("""COMPUTED_VALUE"""),5.061214E7)</f>
        <v>50612140</v>
      </c>
    </row>
    <row r="17">
      <c r="A17" s="7">
        <f>IFERROR(__xludf.DUMMYFUNCTION("""COMPUTED_VALUE"""),45275.64583333333)</f>
        <v>45275.64583</v>
      </c>
      <c r="B17" s="6">
        <f>IFERROR(__xludf.DUMMYFUNCTION("""COMPUTED_VALUE"""),775.0)</f>
        <v>775</v>
      </c>
      <c r="C17" s="6">
        <f>IFERROR(__xludf.DUMMYFUNCTION("""COMPUTED_VALUE"""),820.0)</f>
        <v>820</v>
      </c>
      <c r="D17" s="6">
        <f>IFERROR(__xludf.DUMMYFUNCTION("""COMPUTED_VALUE"""),768.0)</f>
        <v>768</v>
      </c>
      <c r="E17" s="6">
        <f>IFERROR(__xludf.DUMMYFUNCTION("""COMPUTED_VALUE"""),796.15)</f>
        <v>796.15</v>
      </c>
      <c r="F17" s="6">
        <f>IFERROR(__xludf.DUMMYFUNCTION("""COMPUTED_VALUE"""),2.0928648E7)</f>
        <v>20928648</v>
      </c>
    </row>
    <row r="18">
      <c r="A18" s="7">
        <f>IFERROR(__xludf.DUMMYFUNCTION("""COMPUTED_VALUE"""),45282.64583333333)</f>
        <v>45282.64583</v>
      </c>
      <c r="B18" s="6">
        <f>IFERROR(__xludf.DUMMYFUNCTION("""COMPUTED_VALUE"""),798.0)</f>
        <v>798</v>
      </c>
      <c r="C18" s="6">
        <f>IFERROR(__xludf.DUMMYFUNCTION("""COMPUTED_VALUE"""),821.0)</f>
        <v>821</v>
      </c>
      <c r="D18" s="6">
        <f>IFERROR(__xludf.DUMMYFUNCTION("""COMPUTED_VALUE"""),746.3)</f>
        <v>746.3</v>
      </c>
      <c r="E18" s="6">
        <f>IFERROR(__xludf.DUMMYFUNCTION("""COMPUTED_VALUE"""),792.8)</f>
        <v>792.8</v>
      </c>
      <c r="F18" s="6">
        <f>IFERROR(__xludf.DUMMYFUNCTION("""COMPUTED_VALUE"""),2.0171461E7)</f>
        <v>20171461</v>
      </c>
    </row>
    <row r="19">
      <c r="A19" s="7">
        <f>IFERROR(__xludf.DUMMYFUNCTION("""COMPUTED_VALUE"""),45289.64583333333)</f>
        <v>45289.64583</v>
      </c>
      <c r="B19" s="6">
        <f>IFERROR(__xludf.DUMMYFUNCTION("""COMPUTED_VALUE"""),795.0)</f>
        <v>795</v>
      </c>
      <c r="C19" s="6">
        <f>IFERROR(__xludf.DUMMYFUNCTION("""COMPUTED_VALUE"""),843.9)</f>
        <v>843.9</v>
      </c>
      <c r="D19" s="6">
        <f>IFERROR(__xludf.DUMMYFUNCTION("""COMPUTED_VALUE"""),780.0)</f>
        <v>780</v>
      </c>
      <c r="E19" s="6">
        <f>IFERROR(__xludf.DUMMYFUNCTION("""COMPUTED_VALUE"""),832.5)</f>
        <v>832.5</v>
      </c>
      <c r="F19" s="6">
        <f>IFERROR(__xludf.DUMMYFUNCTION("""COMPUTED_VALUE"""),2.4164019E7)</f>
        <v>24164019</v>
      </c>
    </row>
    <row r="20">
      <c r="A20" s="7">
        <f>IFERROR(__xludf.DUMMYFUNCTION("""COMPUTED_VALUE"""),45296.64583333333)</f>
        <v>45296.64583</v>
      </c>
      <c r="B20" s="6">
        <f>IFERROR(__xludf.DUMMYFUNCTION("""COMPUTED_VALUE"""),831.5)</f>
        <v>831.5</v>
      </c>
      <c r="C20" s="6">
        <f>IFERROR(__xludf.DUMMYFUNCTION("""COMPUTED_VALUE"""),864.0)</f>
        <v>864</v>
      </c>
      <c r="D20" s="6">
        <f>IFERROR(__xludf.DUMMYFUNCTION("""COMPUTED_VALUE"""),831.0)</f>
        <v>831</v>
      </c>
      <c r="E20" s="6">
        <f>IFERROR(__xludf.DUMMYFUNCTION("""COMPUTED_VALUE"""),844.4)</f>
        <v>844.4</v>
      </c>
      <c r="F20" s="6">
        <f>IFERROR(__xludf.DUMMYFUNCTION("""COMPUTED_VALUE"""),2.0000009E7)</f>
        <v>20000009</v>
      </c>
    </row>
    <row r="21">
      <c r="A21" s="7">
        <f>IFERROR(__xludf.DUMMYFUNCTION("""COMPUTED_VALUE"""),45303.64583333333)</f>
        <v>45303.64583</v>
      </c>
      <c r="B21" s="6">
        <f>IFERROR(__xludf.DUMMYFUNCTION("""COMPUTED_VALUE"""),845.0)</f>
        <v>845</v>
      </c>
      <c r="C21" s="6">
        <f>IFERROR(__xludf.DUMMYFUNCTION("""COMPUTED_VALUE"""),850.95)</f>
        <v>850.95</v>
      </c>
      <c r="D21" s="6">
        <f>IFERROR(__xludf.DUMMYFUNCTION("""COMPUTED_VALUE"""),819.3)</f>
        <v>819.3</v>
      </c>
      <c r="E21" s="6">
        <f>IFERROR(__xludf.DUMMYFUNCTION("""COMPUTED_VALUE"""),829.3)</f>
        <v>829.3</v>
      </c>
      <c r="F21" s="6">
        <f>IFERROR(__xludf.DUMMYFUNCTION("""COMPUTED_VALUE"""),9689895.0)</f>
        <v>9689895</v>
      </c>
    </row>
    <row r="22">
      <c r="A22" s="7">
        <f>IFERROR(__xludf.DUMMYFUNCTION("""COMPUTED_VALUE"""),45316.64583333333)</f>
        <v>45316.64583</v>
      </c>
      <c r="B22" s="6">
        <f>IFERROR(__xludf.DUMMYFUNCTION("""COMPUTED_VALUE"""),943.95)</f>
        <v>943.95</v>
      </c>
      <c r="C22" s="6">
        <f>IFERROR(__xludf.DUMMYFUNCTION("""COMPUTED_VALUE"""),950.05)</f>
        <v>950.05</v>
      </c>
      <c r="D22" s="6">
        <f>IFERROR(__xludf.DUMMYFUNCTION("""COMPUTED_VALUE"""),866.0)</f>
        <v>866</v>
      </c>
      <c r="E22" s="6">
        <f>IFERROR(__xludf.DUMMYFUNCTION("""COMPUTED_VALUE"""),903.5)</f>
        <v>903.5</v>
      </c>
      <c r="F22" s="6">
        <f>IFERROR(__xludf.DUMMYFUNCTION("""COMPUTED_VALUE"""),1.1429372E7)</f>
        <v>11429372</v>
      </c>
    </row>
    <row r="23">
      <c r="A23" s="7">
        <f>IFERROR(__xludf.DUMMYFUNCTION("""COMPUTED_VALUE"""),45324.64583333333)</f>
        <v>45324.64583</v>
      </c>
      <c r="B23" s="6">
        <f>IFERROR(__xludf.DUMMYFUNCTION("""COMPUTED_VALUE"""),910.0)</f>
        <v>910</v>
      </c>
      <c r="C23" s="6">
        <f>IFERROR(__xludf.DUMMYFUNCTION("""COMPUTED_VALUE"""),971.9)</f>
        <v>971.9</v>
      </c>
      <c r="D23" s="6">
        <f>IFERROR(__xludf.DUMMYFUNCTION("""COMPUTED_VALUE"""),903.6)</f>
        <v>903.6</v>
      </c>
      <c r="E23" s="6">
        <f>IFERROR(__xludf.DUMMYFUNCTION("""COMPUTED_VALUE"""),945.45)</f>
        <v>945.45</v>
      </c>
      <c r="F23" s="6">
        <f>IFERROR(__xludf.DUMMYFUNCTION("""COMPUTED_VALUE"""),2.9225076E7)</f>
        <v>29225076</v>
      </c>
    </row>
    <row r="24">
      <c r="A24" s="7">
        <f>IFERROR(__xludf.DUMMYFUNCTION("""COMPUTED_VALUE"""),45331.64583333333)</f>
        <v>45331.64583</v>
      </c>
      <c r="B24" s="6">
        <f>IFERROR(__xludf.DUMMYFUNCTION("""COMPUTED_VALUE"""),956.5)</f>
        <v>956.5</v>
      </c>
      <c r="C24" s="6">
        <f>IFERROR(__xludf.DUMMYFUNCTION("""COMPUTED_VALUE"""),1175.0)</f>
        <v>1175</v>
      </c>
      <c r="D24" s="6">
        <f>IFERROR(__xludf.DUMMYFUNCTION("""COMPUTED_VALUE"""),955.0)</f>
        <v>955</v>
      </c>
      <c r="E24" s="6">
        <f>IFERROR(__xludf.DUMMYFUNCTION("""COMPUTED_VALUE"""),1080.85)</f>
        <v>1080.85</v>
      </c>
      <c r="F24" s="6">
        <f>IFERROR(__xludf.DUMMYFUNCTION("""COMPUTED_VALUE"""),7.6365916E7)</f>
        <v>76365916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IFERROR(__xludf.DUMMYFUNCTION("""COMPUTED_VALUE"""),1112.05)</f>
        <v>1112.05</v>
      </c>
      <c r="C25" s="6">
        <f>IFERROR(__xludf.DUMMYFUNCTION("""COMPUTED_VALUE"""),1125.0)</f>
        <v>1125</v>
      </c>
      <c r="D25" s="6">
        <f>IFERROR(__xludf.DUMMYFUNCTION("""COMPUTED_VALUE"""),979.95)</f>
        <v>979.95</v>
      </c>
      <c r="E25" s="6">
        <f>IFERROR(__xludf.DUMMYFUNCTION("""COMPUTED_VALUE"""),1039.85)</f>
        <v>1039.85</v>
      </c>
      <c r="F25" s="6">
        <f>IFERROR(__xludf.DUMMYFUNCTION("""COMPUTED_VALUE"""),3.9991279E7)</f>
        <v>39991279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IFERROR(__xludf.DUMMYFUNCTION("""COMPUTED_VALUE"""),1080.0)</f>
        <v>1080</v>
      </c>
      <c r="C26" s="6">
        <f>IFERROR(__xludf.DUMMYFUNCTION("""COMPUTED_VALUE"""),1092.0)</f>
        <v>1092</v>
      </c>
      <c r="D26" s="6">
        <f>IFERROR(__xludf.DUMMYFUNCTION("""COMPUTED_VALUE"""),1027.7)</f>
        <v>1027.7</v>
      </c>
      <c r="E26" s="6">
        <f>IFERROR(__xludf.DUMMYFUNCTION("""COMPUTED_VALUE"""),1066.5)</f>
        <v>1066.5</v>
      </c>
      <c r="F26" s="6">
        <f>IFERROR(__xludf.DUMMYFUNCTION("""COMPUTED_VALUE"""),2.3399026E7)</f>
        <v>23399026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IFERROR(__xludf.DUMMYFUNCTION("""COMPUTED_VALUE"""),1037.0)</f>
        <v>1037</v>
      </c>
      <c r="C27" s="6">
        <f>IFERROR(__xludf.DUMMYFUNCTION("""COMPUTED_VALUE"""),1049.0)</f>
        <v>1049</v>
      </c>
      <c r="D27" s="6">
        <f>IFERROR(__xludf.DUMMYFUNCTION("""COMPUTED_VALUE"""),998.25)</f>
        <v>998.25</v>
      </c>
      <c r="E27" s="6">
        <f>IFERROR(__xludf.DUMMYFUNCTION("""COMPUTED_VALUE"""),1024.8)</f>
        <v>1024.8</v>
      </c>
      <c r="F27" s="6">
        <f>IFERROR(__xludf.DUMMYFUNCTION("""COMPUTED_VALUE"""),8839608.0)</f>
        <v>8839608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IFERROR(__xludf.DUMMYFUNCTION("""COMPUTED_VALUE"""),1035.0)</f>
        <v>1035</v>
      </c>
      <c r="C28" s="6">
        <f>IFERROR(__xludf.DUMMYFUNCTION("""COMPUTED_VALUE"""),1045.0)</f>
        <v>1045</v>
      </c>
      <c r="D28" s="6">
        <f>IFERROR(__xludf.DUMMYFUNCTION("""COMPUTED_VALUE"""),900.0)</f>
        <v>900</v>
      </c>
      <c r="E28" s="6">
        <f>IFERROR(__xludf.DUMMYFUNCTION("""COMPUTED_VALUE"""),925.15)</f>
        <v>925.15</v>
      </c>
      <c r="F28" s="6">
        <f>IFERROR(__xludf.DUMMYFUNCTION("""COMPUTED_VALUE"""),2.0605845E7)</f>
        <v>20605845</v>
      </c>
    </row>
    <row r="29">
      <c r="A29" s="7">
        <f>IFERROR(__xludf.DUMMYFUNCTION("""COMPUTED_VALUE"""),45373.64583333333)</f>
        <v>45373.64583</v>
      </c>
      <c r="B29" s="6">
        <f>IFERROR(__xludf.DUMMYFUNCTION("""COMPUTED_VALUE"""),916.5)</f>
        <v>916.5</v>
      </c>
      <c r="C29" s="6">
        <f>IFERROR(__xludf.DUMMYFUNCTION("""COMPUTED_VALUE"""),934.0)</f>
        <v>934</v>
      </c>
      <c r="D29" s="6">
        <f>IFERROR(__xludf.DUMMYFUNCTION("""COMPUTED_VALUE"""),865.0)</f>
        <v>865</v>
      </c>
      <c r="E29" s="6">
        <f>IFERROR(__xludf.DUMMYFUNCTION("""COMPUTED_VALUE"""),906.35)</f>
        <v>906.35</v>
      </c>
      <c r="F29" s="6">
        <f>IFERROR(__xludf.DUMMYFUNCTION("""COMPUTED_VALUE"""),2.3197762E7)</f>
        <v>23197762</v>
      </c>
    </row>
    <row r="30">
      <c r="A30" s="7">
        <f>IFERROR(__xludf.DUMMYFUNCTION("""COMPUTED_VALUE"""),45379.64583333333)</f>
        <v>45379.64583</v>
      </c>
      <c r="B30" s="6">
        <f>IFERROR(__xludf.DUMMYFUNCTION("""COMPUTED_VALUE"""),909.1)</f>
        <v>909.1</v>
      </c>
      <c r="C30" s="6">
        <f>IFERROR(__xludf.DUMMYFUNCTION("""COMPUTED_VALUE"""),928.0)</f>
        <v>928</v>
      </c>
      <c r="D30" s="6">
        <f>IFERROR(__xludf.DUMMYFUNCTION("""COMPUTED_VALUE"""),888.95)</f>
        <v>888.95</v>
      </c>
      <c r="E30" s="6">
        <f>IFERROR(__xludf.DUMMYFUNCTION("""COMPUTED_VALUE"""),916.15)</f>
        <v>916.15</v>
      </c>
      <c r="F30" s="6">
        <f>IFERROR(__xludf.DUMMYFUNCTION("""COMPUTED_VALUE"""),1.5863303E7)</f>
        <v>15863303</v>
      </c>
    </row>
    <row r="31">
      <c r="A31" s="7">
        <f>IFERROR(__xludf.DUMMYFUNCTION("""COMPUTED_VALUE"""),45387.64583333333)</f>
        <v>45387.64583</v>
      </c>
      <c r="B31" s="6">
        <f>IFERROR(__xludf.DUMMYFUNCTION("""COMPUTED_VALUE"""),925.0)</f>
        <v>925</v>
      </c>
      <c r="C31" s="6">
        <f>IFERROR(__xludf.DUMMYFUNCTION("""COMPUTED_VALUE"""),1016.35)</f>
        <v>1016.35</v>
      </c>
      <c r="D31" s="6">
        <f>IFERROR(__xludf.DUMMYFUNCTION("""COMPUTED_VALUE"""),924.0)</f>
        <v>924</v>
      </c>
      <c r="E31" s="6">
        <f>IFERROR(__xludf.DUMMYFUNCTION("""COMPUTED_VALUE"""),992.75)</f>
        <v>992.75</v>
      </c>
      <c r="F31" s="6">
        <f>IFERROR(__xludf.DUMMYFUNCTION("""COMPUTED_VALUE"""),2.0528328E7)</f>
        <v>20528328</v>
      </c>
    </row>
    <row r="32">
      <c r="A32" s="7">
        <f>IFERROR(__xludf.DUMMYFUNCTION("""COMPUTED_VALUE"""),45394.64583333333)</f>
        <v>45394.64583</v>
      </c>
      <c r="B32" s="6">
        <f>IFERROR(__xludf.DUMMYFUNCTION("""COMPUTED_VALUE"""),998.0)</f>
        <v>998</v>
      </c>
      <c r="C32" s="6">
        <f>IFERROR(__xludf.DUMMYFUNCTION("""COMPUTED_VALUE"""),1014.9)</f>
        <v>1014.9</v>
      </c>
      <c r="D32" s="6">
        <f>IFERROR(__xludf.DUMMYFUNCTION("""COMPUTED_VALUE"""),968.0)</f>
        <v>968</v>
      </c>
      <c r="E32" s="6">
        <f>IFERROR(__xludf.DUMMYFUNCTION("""COMPUTED_VALUE"""),970.95)</f>
        <v>970.95</v>
      </c>
      <c r="F32" s="6">
        <f>IFERROR(__xludf.DUMMYFUNCTION("""COMPUTED_VALUE"""),9127934.0)</f>
        <v>9127934</v>
      </c>
    </row>
    <row r="33">
      <c r="A33" s="7">
        <f>IFERROR(__xludf.DUMMYFUNCTION("""COMPUTED_VALUE"""),45401.64583333333)</f>
        <v>45401.64583</v>
      </c>
      <c r="B33" s="6">
        <f>IFERROR(__xludf.DUMMYFUNCTION("""COMPUTED_VALUE"""),956.05)</f>
        <v>956.05</v>
      </c>
      <c r="C33" s="6">
        <f>IFERROR(__xludf.DUMMYFUNCTION("""COMPUTED_VALUE"""),986.0)</f>
        <v>986</v>
      </c>
      <c r="D33" s="6">
        <f>IFERROR(__xludf.DUMMYFUNCTION("""COMPUTED_VALUE"""),932.05)</f>
        <v>932.05</v>
      </c>
      <c r="E33" s="6">
        <f>IFERROR(__xludf.DUMMYFUNCTION("""COMPUTED_VALUE"""),973.3)</f>
        <v>973.3</v>
      </c>
      <c r="F33" s="6">
        <f>IFERROR(__xludf.DUMMYFUNCTION("""COMPUTED_VALUE"""),9394149.0)</f>
        <v>9394149</v>
      </c>
    </row>
    <row r="34">
      <c r="A34" s="7">
        <f>IFERROR(__xludf.DUMMYFUNCTION("""COMPUTED_VALUE"""),45408.64583333333)</f>
        <v>45408.64583</v>
      </c>
      <c r="B34" s="6">
        <f>IFERROR(__xludf.DUMMYFUNCTION("""COMPUTED_VALUE"""),978.6)</f>
        <v>978.6</v>
      </c>
      <c r="C34" s="6">
        <f>IFERROR(__xludf.DUMMYFUNCTION("""COMPUTED_VALUE"""),1010.0)</f>
        <v>1010</v>
      </c>
      <c r="D34" s="6">
        <f>IFERROR(__xludf.DUMMYFUNCTION("""COMPUTED_VALUE"""),972.0)</f>
        <v>972</v>
      </c>
      <c r="E34" s="6">
        <f>IFERROR(__xludf.DUMMYFUNCTION("""COMPUTED_VALUE"""),988.05)</f>
        <v>988.05</v>
      </c>
      <c r="F34" s="6">
        <f>IFERROR(__xludf.DUMMYFUNCTION("""COMPUTED_VALUE"""),1.3874951E7)</f>
        <v>13874951</v>
      </c>
    </row>
    <row r="35">
      <c r="A35" s="7">
        <f>IFERROR(__xludf.DUMMYFUNCTION("""COMPUTED_VALUE"""),45415.64583333333)</f>
        <v>45415.64583</v>
      </c>
      <c r="B35" s="6">
        <f>IFERROR(__xludf.DUMMYFUNCTION("""COMPUTED_VALUE"""),994.0)</f>
        <v>994</v>
      </c>
      <c r="C35" s="6">
        <f>IFERROR(__xludf.DUMMYFUNCTION("""COMPUTED_VALUE"""),1009.8)</f>
        <v>1009.8</v>
      </c>
      <c r="D35" s="6">
        <f>IFERROR(__xludf.DUMMYFUNCTION("""COMPUTED_VALUE"""),970.55)</f>
        <v>970.55</v>
      </c>
      <c r="E35" s="6">
        <f>IFERROR(__xludf.DUMMYFUNCTION("""COMPUTED_VALUE"""),979.15)</f>
        <v>979.15</v>
      </c>
      <c r="F35" s="6">
        <f>IFERROR(__xludf.DUMMYFUNCTION("""COMPUTED_VALUE"""),1.1052971E7)</f>
        <v>11052971</v>
      </c>
    </row>
    <row r="36">
      <c r="A36" s="7">
        <f>IFERROR(__xludf.DUMMYFUNCTION("""COMPUTED_VALUE"""),45422.64583333333)</f>
        <v>45422.64583</v>
      </c>
      <c r="B36" s="6">
        <f>IFERROR(__xludf.DUMMYFUNCTION("""COMPUTED_VALUE"""),982.8)</f>
        <v>982.8</v>
      </c>
      <c r="C36" s="6">
        <f>IFERROR(__xludf.DUMMYFUNCTION("""COMPUTED_VALUE"""),984.9)</f>
        <v>984.9</v>
      </c>
      <c r="D36" s="6">
        <f>IFERROR(__xludf.DUMMYFUNCTION("""COMPUTED_VALUE"""),898.7)</f>
        <v>898.7</v>
      </c>
      <c r="E36" s="6">
        <f>IFERROR(__xludf.DUMMYFUNCTION("""COMPUTED_VALUE"""),910.95)</f>
        <v>910.95</v>
      </c>
      <c r="F36" s="6">
        <f>IFERROR(__xludf.DUMMYFUNCTION("""COMPUTED_VALUE"""),1.1547625E7)</f>
        <v>11547625</v>
      </c>
    </row>
    <row r="37">
      <c r="A37" s="7">
        <f>IFERROR(__xludf.DUMMYFUNCTION("""COMPUTED_VALUE"""),45436.64583333333)</f>
        <v>45436.64583</v>
      </c>
      <c r="B37" s="6">
        <f>IFERROR(__xludf.DUMMYFUNCTION("""COMPUTED_VALUE"""),977.05)</f>
        <v>977.05</v>
      </c>
      <c r="C37" s="6">
        <f>IFERROR(__xludf.DUMMYFUNCTION("""COMPUTED_VALUE"""),1066.75)</f>
        <v>1066.75</v>
      </c>
      <c r="D37" s="6">
        <f>IFERROR(__xludf.DUMMYFUNCTION("""COMPUTED_VALUE"""),975.0)</f>
        <v>975</v>
      </c>
      <c r="E37" s="6">
        <f>IFERROR(__xludf.DUMMYFUNCTION("""COMPUTED_VALUE"""),1029.75)</f>
        <v>1029.75</v>
      </c>
      <c r="F37" s="6">
        <f>IFERROR(__xludf.DUMMYFUNCTION("""COMPUTED_VALUE"""),2.0119864E7)</f>
        <v>20119864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IFERROR(__xludf.DUMMYFUNCTION("""COMPUTED_VALUE"""),1035.0)</f>
        <v>1035</v>
      </c>
      <c r="C38" s="6">
        <f>IFERROR(__xludf.DUMMYFUNCTION("""COMPUTED_VALUE"""),1062.45)</f>
        <v>1062.45</v>
      </c>
      <c r="D38" s="6">
        <f>IFERROR(__xludf.DUMMYFUNCTION("""COMPUTED_VALUE"""),989.0)</f>
        <v>989</v>
      </c>
      <c r="E38" s="6">
        <f>IFERROR(__xludf.DUMMYFUNCTION("""COMPUTED_VALUE"""),1012.7)</f>
        <v>1012.7</v>
      </c>
      <c r="F38" s="6">
        <f>IFERROR(__xludf.DUMMYFUNCTION("""COMPUTED_VALUE"""),1.7706335E7)</f>
        <v>17706335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IFERROR(__xludf.DUMMYFUNCTION("""COMPUTED_VALUE"""),1058.35)</f>
        <v>1058.35</v>
      </c>
      <c r="C39" s="6">
        <f>IFERROR(__xludf.DUMMYFUNCTION("""COMPUTED_VALUE"""),1078.8)</f>
        <v>1078.8</v>
      </c>
      <c r="D39" s="6">
        <f>IFERROR(__xludf.DUMMYFUNCTION("""COMPUTED_VALUE"""),880.05)</f>
        <v>880.05</v>
      </c>
      <c r="E39" s="6">
        <f>IFERROR(__xludf.DUMMYFUNCTION("""COMPUTED_VALUE"""),994.2)</f>
        <v>994.2</v>
      </c>
      <c r="F39" s="6">
        <f>IFERROR(__xludf.DUMMYFUNCTION("""COMPUTED_VALUE"""),2.9794494E7)</f>
        <v>29794494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IFERROR(__xludf.DUMMYFUNCTION("""COMPUTED_VALUE"""),1001.0)</f>
        <v>1001</v>
      </c>
      <c r="C40" s="6">
        <f>IFERROR(__xludf.DUMMYFUNCTION("""COMPUTED_VALUE"""),1071.7)</f>
        <v>1071.7</v>
      </c>
      <c r="D40" s="6">
        <f>IFERROR(__xludf.DUMMYFUNCTION("""COMPUTED_VALUE"""),992.0)</f>
        <v>992</v>
      </c>
      <c r="E40" s="6">
        <f>IFERROR(__xludf.DUMMYFUNCTION("""COMPUTED_VALUE"""),1066.85)</f>
        <v>1066.85</v>
      </c>
      <c r="F40" s="6">
        <f>IFERROR(__xludf.DUMMYFUNCTION("""COMPUTED_VALUE"""),2.1567334E7)</f>
        <v>21567334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IFERROR(__xludf.DUMMYFUNCTION("""COMPUTED_VALUE"""),1066.85)</f>
        <v>1066.85</v>
      </c>
      <c r="C41" s="6">
        <f>IFERROR(__xludf.DUMMYFUNCTION("""COMPUTED_VALUE"""),1085.0)</f>
        <v>1085</v>
      </c>
      <c r="D41" s="6">
        <f>IFERROR(__xludf.DUMMYFUNCTION("""COMPUTED_VALUE"""),1015.05)</f>
        <v>1015.05</v>
      </c>
      <c r="E41" s="6">
        <f>IFERROR(__xludf.DUMMYFUNCTION("""COMPUTED_VALUE"""),1023.95)</f>
        <v>1023.95</v>
      </c>
      <c r="F41" s="6">
        <f>IFERROR(__xludf.DUMMYFUNCTION("""COMPUTED_VALUE"""),1.1880184E7)</f>
        <v>11880184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IFERROR(__xludf.DUMMYFUNCTION("""COMPUTED_VALUE"""),1018.75)</f>
        <v>1018.75</v>
      </c>
      <c r="C42" s="6">
        <f>IFERROR(__xludf.DUMMYFUNCTION("""COMPUTED_VALUE"""),1028.3)</f>
        <v>1028.3</v>
      </c>
      <c r="D42" s="6">
        <f>IFERROR(__xludf.DUMMYFUNCTION("""COMPUTED_VALUE"""),985.2)</f>
        <v>985.2</v>
      </c>
      <c r="E42" s="6">
        <f>IFERROR(__xludf.DUMMYFUNCTION("""COMPUTED_VALUE"""),988.75)</f>
        <v>988.75</v>
      </c>
      <c r="F42" s="6">
        <f>IFERROR(__xludf.DUMMYFUNCTION("""COMPUTED_VALUE"""),9887486.0)</f>
        <v>9887486</v>
      </c>
    </row>
    <row r="43">
      <c r="A43" s="7">
        <f>IFERROR(__xludf.DUMMYFUNCTION("""COMPUTED_VALUE"""),45478.64583333333)</f>
        <v>45478.64583</v>
      </c>
      <c r="B43" s="6">
        <f>IFERROR(__xludf.DUMMYFUNCTION("""COMPUTED_VALUE"""),995.0)</f>
        <v>995</v>
      </c>
      <c r="C43" s="6">
        <f>IFERROR(__xludf.DUMMYFUNCTION("""COMPUTED_VALUE"""),1024.5)</f>
        <v>1024.5</v>
      </c>
      <c r="D43" s="6">
        <f>IFERROR(__xludf.DUMMYFUNCTION("""COMPUTED_VALUE"""),982.2)</f>
        <v>982.2</v>
      </c>
      <c r="E43" s="6">
        <f>IFERROR(__xludf.DUMMYFUNCTION("""COMPUTED_VALUE"""),1015.65)</f>
        <v>1015.65</v>
      </c>
      <c r="F43" s="6">
        <f>IFERROR(__xludf.DUMMYFUNCTION("""COMPUTED_VALUE"""),1.0704417E7)</f>
        <v>10704417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IFERROR(__xludf.DUMMYFUNCTION("""COMPUTED_VALUE"""),1017.0)</f>
        <v>1017</v>
      </c>
      <c r="C44" s="6">
        <f>IFERROR(__xludf.DUMMYFUNCTION("""COMPUTED_VALUE"""),1065.95)</f>
        <v>1065.95</v>
      </c>
      <c r="D44" s="6">
        <f>IFERROR(__xludf.DUMMYFUNCTION("""COMPUTED_VALUE"""),999.1)</f>
        <v>999.1</v>
      </c>
      <c r="E44" s="6">
        <f>IFERROR(__xludf.DUMMYFUNCTION("""COMPUTED_VALUE"""),1051.55)</f>
        <v>1051.55</v>
      </c>
      <c r="F44" s="6">
        <f>IFERROR(__xludf.DUMMYFUNCTION("""COMPUTED_VALUE"""),2.2786039E7)</f>
        <v>22786039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IFERROR(__xludf.DUMMYFUNCTION("""COMPUTED_VALUE"""),1055.0)</f>
        <v>1055</v>
      </c>
      <c r="C45" s="6">
        <f>IFERROR(__xludf.DUMMYFUNCTION("""COMPUTED_VALUE"""),1130.0)</f>
        <v>1130</v>
      </c>
      <c r="D45" s="6">
        <f>IFERROR(__xludf.DUMMYFUNCTION("""COMPUTED_VALUE"""),1038.6)</f>
        <v>1038.6</v>
      </c>
      <c r="E45" s="6">
        <f>IFERROR(__xludf.DUMMYFUNCTION("""COMPUTED_VALUE"""),1108.25)</f>
        <v>1108.25</v>
      </c>
      <c r="F45" s="6">
        <f>IFERROR(__xludf.DUMMYFUNCTION("""COMPUTED_VALUE"""),3.0213375E7)</f>
        <v>30213375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IFERROR(__xludf.DUMMYFUNCTION("""COMPUTED_VALUE"""),1100.0)</f>
        <v>1100</v>
      </c>
      <c r="C46" s="6">
        <f>IFERROR(__xludf.DUMMYFUNCTION("""COMPUTED_VALUE"""),1197.0)</f>
        <v>1197</v>
      </c>
      <c r="D46" s="6">
        <f>IFERROR(__xludf.DUMMYFUNCTION("""COMPUTED_VALUE"""),1044.5)</f>
        <v>1044.5</v>
      </c>
      <c r="E46" s="6">
        <f>IFERROR(__xludf.DUMMYFUNCTION("""COMPUTED_VALUE"""),1184.35)</f>
        <v>1184.35</v>
      </c>
      <c r="F46" s="6">
        <f>IFERROR(__xludf.DUMMYFUNCTION("""COMPUTED_VALUE"""),3.443802E7)</f>
        <v>34438020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IFERROR(__xludf.DUMMYFUNCTION("""COMPUTED_VALUE"""),1194.65)</f>
        <v>1194.65</v>
      </c>
      <c r="C47" s="6">
        <f>IFERROR(__xludf.DUMMYFUNCTION("""COMPUTED_VALUE"""),1222.0)</f>
        <v>1222</v>
      </c>
      <c r="D47" s="6">
        <f>IFERROR(__xludf.DUMMYFUNCTION("""COMPUTED_VALUE"""),1160.0)</f>
        <v>1160</v>
      </c>
      <c r="E47" s="6">
        <f>IFERROR(__xludf.DUMMYFUNCTION("""COMPUTED_VALUE"""),1179.55)</f>
        <v>1179.55</v>
      </c>
      <c r="F47" s="6">
        <f>IFERROR(__xludf.DUMMYFUNCTION("""COMPUTED_VALUE"""),1.9154948E7)</f>
        <v>19154948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IFERROR(__xludf.DUMMYFUNCTION("""COMPUTED_VALUE"""),1154.0)</f>
        <v>1154</v>
      </c>
      <c r="C48" s="6">
        <f>IFERROR(__xludf.DUMMYFUNCTION("""COMPUTED_VALUE"""),1160.0)</f>
        <v>1160</v>
      </c>
      <c r="D48" s="6">
        <f>IFERROR(__xludf.DUMMYFUNCTION("""COMPUTED_VALUE"""),1076.2)</f>
        <v>1076.2</v>
      </c>
      <c r="E48" s="6">
        <f>IFERROR(__xludf.DUMMYFUNCTION("""COMPUTED_VALUE"""),1133.45)</f>
        <v>1133.45</v>
      </c>
      <c r="F48" s="6">
        <f>IFERROR(__xludf.DUMMYFUNCTION("""COMPUTED_VALUE"""),1.7925128E7)</f>
        <v>17925128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IFERROR(__xludf.DUMMYFUNCTION("""COMPUTED_VALUE"""),1125.0)</f>
        <v>1125</v>
      </c>
      <c r="C49" s="6">
        <f>IFERROR(__xludf.DUMMYFUNCTION("""COMPUTED_VALUE"""),1130.3)</f>
        <v>1130.3</v>
      </c>
      <c r="D49" s="6">
        <f>IFERROR(__xludf.DUMMYFUNCTION("""COMPUTED_VALUE"""),1003.75)</f>
        <v>1003.75</v>
      </c>
      <c r="E49" s="6">
        <f>IFERROR(__xludf.DUMMYFUNCTION("""COMPUTED_VALUE"""),1057.3)</f>
        <v>1057.3</v>
      </c>
      <c r="F49" s="6">
        <f>IFERROR(__xludf.DUMMYFUNCTION("""COMPUTED_VALUE"""),1.5708123E7)</f>
        <v>15708123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IFERROR(__xludf.DUMMYFUNCTION("""COMPUTED_VALUE"""),1059.65)</f>
        <v>1059.65</v>
      </c>
      <c r="C50" s="6">
        <f>IFERROR(__xludf.DUMMYFUNCTION("""COMPUTED_VALUE"""),1092.0)</f>
        <v>1092</v>
      </c>
      <c r="D50" s="6">
        <f>IFERROR(__xludf.DUMMYFUNCTION("""COMPUTED_VALUE"""),1056.65)</f>
        <v>1056.65</v>
      </c>
      <c r="E50" s="6">
        <f>IFERROR(__xludf.DUMMYFUNCTION("""COMPUTED_VALUE"""),1061.35)</f>
        <v>1061.35</v>
      </c>
      <c r="F50" s="6">
        <f>IFERROR(__xludf.DUMMYFUNCTION("""COMPUTED_VALUE"""),6248392.0)</f>
        <v>6248392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IFERROR(__xludf.DUMMYFUNCTION("""COMPUTED_VALUE"""),1065.0)</f>
        <v>1065</v>
      </c>
      <c r="C51" s="6">
        <f>IFERROR(__xludf.DUMMYFUNCTION("""COMPUTED_VALUE"""),1095.0)</f>
        <v>1095</v>
      </c>
      <c r="D51" s="6">
        <f>IFERROR(__xludf.DUMMYFUNCTION("""COMPUTED_VALUE"""),1045.0)</f>
        <v>1045</v>
      </c>
      <c r="E51" s="6">
        <f>IFERROR(__xludf.DUMMYFUNCTION("""COMPUTED_VALUE"""),1064.25)</f>
        <v>1064.25</v>
      </c>
      <c r="F51" s="6">
        <f>IFERROR(__xludf.DUMMYFUNCTION("""COMPUTED_VALUE"""),8208283.0)</f>
        <v>8208283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IFERROR(__xludf.DUMMYFUNCTION("""COMPUTED_VALUE"""),1065.5)</f>
        <v>1065.5</v>
      </c>
      <c r="C52" s="6">
        <f>IFERROR(__xludf.DUMMYFUNCTION("""COMPUTED_VALUE"""),1079.95)</f>
        <v>1079.95</v>
      </c>
      <c r="D52" s="6">
        <f>IFERROR(__xludf.DUMMYFUNCTION("""COMPUTED_VALUE"""),1035.0)</f>
        <v>1035</v>
      </c>
      <c r="E52" s="6">
        <f>IFERROR(__xludf.DUMMYFUNCTION("""COMPUTED_VALUE"""),1038.9)</f>
        <v>1038.9</v>
      </c>
      <c r="F52" s="6">
        <f>IFERROR(__xludf.DUMMYFUNCTION("""COMPUTED_VALUE"""),5083514.0)</f>
        <v>5083514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IFERROR(__xludf.DUMMYFUNCTION("""COMPUTED_VALUE"""),1038.9)</f>
        <v>1038.9</v>
      </c>
      <c r="C53" s="6">
        <f>IFERROR(__xludf.DUMMYFUNCTION("""COMPUTED_VALUE"""),1046.0)</f>
        <v>1046</v>
      </c>
      <c r="D53" s="6">
        <f>IFERROR(__xludf.DUMMYFUNCTION("""COMPUTED_VALUE"""),1004.85)</f>
        <v>1004.85</v>
      </c>
      <c r="E53" s="6">
        <f>IFERROR(__xludf.DUMMYFUNCTION("""COMPUTED_VALUE"""),1034.15)</f>
        <v>1034.15</v>
      </c>
      <c r="F53" s="6">
        <f>IFERROR(__xludf.DUMMYFUNCTION("""COMPUTED_VALUE"""),4865139.0)</f>
        <v>4865139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IFERROR(__xludf.DUMMYFUNCTION("""COMPUTED_VALUE"""),1039.0)</f>
        <v>1039</v>
      </c>
      <c r="C54" s="6">
        <f>IFERROR(__xludf.DUMMYFUNCTION("""COMPUTED_VALUE"""),1041.65)</f>
        <v>1041.65</v>
      </c>
      <c r="D54" s="6">
        <f>IFERROR(__xludf.DUMMYFUNCTION("""COMPUTED_VALUE"""),991.0)</f>
        <v>991</v>
      </c>
      <c r="E54" s="6">
        <f>IFERROR(__xludf.DUMMYFUNCTION("""COMPUTED_VALUE"""),1010.35)</f>
        <v>1010.35</v>
      </c>
      <c r="F54" s="6">
        <f>IFERROR(__xludf.DUMMYFUNCTION("""COMPUTED_VALUE"""),5068734.0)</f>
        <v>5068734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IFERROR(__xludf.DUMMYFUNCTION("""COMPUTED_VALUE"""),1012.95)</f>
        <v>1012.95</v>
      </c>
      <c r="C55" s="6">
        <f>IFERROR(__xludf.DUMMYFUNCTION("""COMPUTED_VALUE"""),1048.9)</f>
        <v>1048.9</v>
      </c>
      <c r="D55" s="6">
        <f>IFERROR(__xludf.DUMMYFUNCTION("""COMPUTED_VALUE"""),1010.5)</f>
        <v>1010.5</v>
      </c>
      <c r="E55" s="6">
        <f>IFERROR(__xludf.DUMMYFUNCTION("""COMPUTED_VALUE"""),1024.25)</f>
        <v>1024.25</v>
      </c>
      <c r="F55" s="6">
        <f>IFERROR(__xludf.DUMMYFUNCTION("""COMPUTED_VALUE"""),7096412.0)</f>
        <v>7096412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IFERROR(__xludf.DUMMYFUNCTION("""COMPUTED_VALUE"""),1022.0)</f>
        <v>1022</v>
      </c>
      <c r="C56" s="6">
        <f>IFERROR(__xludf.DUMMYFUNCTION("""COMPUTED_VALUE"""),1022.0)</f>
        <v>1022</v>
      </c>
      <c r="D56" s="6">
        <f>IFERROR(__xludf.DUMMYFUNCTION("""COMPUTED_VALUE"""),955.7)</f>
        <v>955.7</v>
      </c>
      <c r="E56" s="6">
        <f>IFERROR(__xludf.DUMMYFUNCTION("""COMPUTED_VALUE"""),971.15)</f>
        <v>971.15</v>
      </c>
      <c r="F56" s="6">
        <f>IFERROR(__xludf.DUMMYFUNCTION("""COMPUTED_VALUE"""),5889264.0)</f>
        <v>5889264</v>
      </c>
    </row>
    <row r="57">
      <c r="A57" s="7">
        <f>IFERROR(__xludf.DUMMYFUNCTION("""COMPUTED_VALUE"""),45576.64583333333)</f>
        <v>45576.64583</v>
      </c>
      <c r="B57" s="6">
        <f>IFERROR(__xludf.DUMMYFUNCTION("""COMPUTED_VALUE"""),971.0)</f>
        <v>971</v>
      </c>
      <c r="C57" s="6">
        <f>IFERROR(__xludf.DUMMYFUNCTION("""COMPUTED_VALUE"""),979.2)</f>
        <v>979.2</v>
      </c>
      <c r="D57" s="6">
        <f>IFERROR(__xludf.DUMMYFUNCTION("""COMPUTED_VALUE"""),923.1)</f>
        <v>923.1</v>
      </c>
      <c r="E57" s="6">
        <f>IFERROR(__xludf.DUMMYFUNCTION("""COMPUTED_VALUE"""),948.85)</f>
        <v>948.85</v>
      </c>
      <c r="F57" s="6">
        <f>IFERROR(__xludf.DUMMYFUNCTION("""COMPUTED_VALUE"""),8844125.0)</f>
        <v>8844125</v>
      </c>
    </row>
    <row r="58">
      <c r="A58" s="7">
        <f>IFERROR(__xludf.DUMMYFUNCTION("""COMPUTED_VALUE"""),45583.64583333333)</f>
        <v>45583.64583</v>
      </c>
      <c r="B58" s="6">
        <f>IFERROR(__xludf.DUMMYFUNCTION("""COMPUTED_VALUE"""),958.3)</f>
        <v>958.3</v>
      </c>
      <c r="C58" s="6">
        <f>IFERROR(__xludf.DUMMYFUNCTION("""COMPUTED_VALUE"""),965.95)</f>
        <v>965.95</v>
      </c>
      <c r="D58" s="6">
        <f>IFERROR(__xludf.DUMMYFUNCTION("""COMPUTED_VALUE"""),925.3)</f>
        <v>925.3</v>
      </c>
      <c r="E58" s="6">
        <f>IFERROR(__xludf.DUMMYFUNCTION("""COMPUTED_VALUE"""),934.9)</f>
        <v>934.9</v>
      </c>
      <c r="F58" s="6">
        <f>IFERROR(__xludf.DUMMYFUNCTION("""COMPUTED_VALUE"""),4273247.0)</f>
        <v>4273247</v>
      </c>
    </row>
    <row r="59">
      <c r="A59" s="7">
        <f>IFERROR(__xludf.DUMMYFUNCTION("""COMPUTED_VALUE"""),45590.64583333333)</f>
        <v>45590.64583</v>
      </c>
      <c r="B59" s="6">
        <f>IFERROR(__xludf.DUMMYFUNCTION("""COMPUTED_VALUE"""),945.0)</f>
        <v>945</v>
      </c>
      <c r="C59" s="6">
        <f>IFERROR(__xludf.DUMMYFUNCTION("""COMPUTED_VALUE"""),952.9)</f>
        <v>952.9</v>
      </c>
      <c r="D59" s="6">
        <f>IFERROR(__xludf.DUMMYFUNCTION("""COMPUTED_VALUE"""),888.3)</f>
        <v>888.3</v>
      </c>
      <c r="E59" s="6">
        <f>IFERROR(__xludf.DUMMYFUNCTION("""COMPUTED_VALUE"""),903.65)</f>
        <v>903.65</v>
      </c>
      <c r="F59" s="6">
        <f>IFERROR(__xludf.DUMMYFUNCTION("""COMPUTED_VALUE"""),5398572.0)</f>
        <v>5398572</v>
      </c>
    </row>
    <row r="60">
      <c r="A60" s="7">
        <f>IFERROR(__xludf.DUMMYFUNCTION("""COMPUTED_VALUE"""),45604.64583333333)</f>
        <v>45604.64583</v>
      </c>
      <c r="B60" s="6">
        <f>IFERROR(__xludf.DUMMYFUNCTION("""COMPUTED_VALUE"""),934.0)</f>
        <v>934</v>
      </c>
      <c r="C60" s="6">
        <f>IFERROR(__xludf.DUMMYFUNCTION("""COMPUTED_VALUE"""),954.0)</f>
        <v>954</v>
      </c>
      <c r="D60" s="6">
        <f>IFERROR(__xludf.DUMMYFUNCTION("""COMPUTED_VALUE"""),911.25)</f>
        <v>911.25</v>
      </c>
      <c r="E60" s="6">
        <f>IFERROR(__xludf.DUMMYFUNCTION("""COMPUTED_VALUE"""),914.65)</f>
        <v>914.65</v>
      </c>
      <c r="F60" s="6">
        <f>IFERROR(__xludf.DUMMYFUNCTION("""COMPUTED_VALUE"""),4010310.0)</f>
        <v>4010310</v>
      </c>
    </row>
    <row r="61">
      <c r="A61" s="7">
        <f>IFERROR(__xludf.DUMMYFUNCTION("""COMPUTED_VALUE"""),45610.64583333333)</f>
        <v>45610.64583</v>
      </c>
      <c r="B61" s="6">
        <f>IFERROR(__xludf.DUMMYFUNCTION("""COMPUTED_VALUE"""),920.0)</f>
        <v>920</v>
      </c>
      <c r="C61" s="6">
        <f>IFERROR(__xludf.DUMMYFUNCTION("""COMPUTED_VALUE"""),958.0)</f>
        <v>958</v>
      </c>
      <c r="D61" s="6">
        <f>IFERROR(__xludf.DUMMYFUNCTION("""COMPUTED_VALUE"""),890.05)</f>
        <v>890.05</v>
      </c>
      <c r="E61" s="6">
        <f>IFERROR(__xludf.DUMMYFUNCTION("""COMPUTED_VALUE"""),908.65)</f>
        <v>908.65</v>
      </c>
      <c r="F61" s="6">
        <f>IFERROR(__xludf.DUMMYFUNCTION("""COMPUTED_VALUE"""),6042877.0)</f>
        <v>6042877</v>
      </c>
    </row>
    <row r="62">
      <c r="A62" s="7">
        <f>IFERROR(__xludf.DUMMYFUNCTION("""COMPUTED_VALUE"""),45618.64583333333)</f>
        <v>45618.64583</v>
      </c>
      <c r="B62" s="6">
        <f>IFERROR(__xludf.DUMMYFUNCTION("""COMPUTED_VALUE"""),908.65)</f>
        <v>908.65</v>
      </c>
      <c r="C62" s="6">
        <f>IFERROR(__xludf.DUMMYFUNCTION("""COMPUTED_VALUE"""),916.95)</f>
        <v>916.95</v>
      </c>
      <c r="D62" s="6">
        <f>IFERROR(__xludf.DUMMYFUNCTION("""COMPUTED_VALUE"""),872.0)</f>
        <v>872</v>
      </c>
      <c r="E62" s="6">
        <f>IFERROR(__xludf.DUMMYFUNCTION("""COMPUTED_VALUE"""),889.5)</f>
        <v>889.5</v>
      </c>
      <c r="F62" s="6">
        <f>IFERROR(__xludf.DUMMYFUNCTION("""COMPUTED_VALUE"""),4041182.0)</f>
        <v>4041182</v>
      </c>
    </row>
    <row r="63">
      <c r="A63" s="7">
        <f>IFERROR(__xludf.DUMMYFUNCTION("""COMPUTED_VALUE"""),45625.64583333333)</f>
        <v>45625.64583</v>
      </c>
      <c r="B63" s="6">
        <f>IFERROR(__xludf.DUMMYFUNCTION("""COMPUTED_VALUE"""),905.95)</f>
        <v>905.95</v>
      </c>
      <c r="C63" s="6">
        <f>IFERROR(__xludf.DUMMYFUNCTION("""COMPUTED_VALUE"""),992.15)</f>
        <v>992.15</v>
      </c>
      <c r="D63" s="6">
        <f>IFERROR(__xludf.DUMMYFUNCTION("""COMPUTED_VALUE"""),900.0)</f>
        <v>900</v>
      </c>
      <c r="E63" s="6">
        <f>IFERROR(__xludf.DUMMYFUNCTION("""COMPUTED_VALUE"""),985.5)</f>
        <v>985.5</v>
      </c>
      <c r="F63" s="6">
        <f>IFERROR(__xludf.DUMMYFUNCTION("""COMPUTED_VALUE"""),1.2956216E7)</f>
        <v>12956216</v>
      </c>
    </row>
    <row r="64">
      <c r="A64" s="7">
        <f>IFERROR(__xludf.DUMMYFUNCTION("""COMPUTED_VALUE"""),45632.64583333333)</f>
        <v>45632.64583</v>
      </c>
      <c r="B64" s="6">
        <f>IFERROR(__xludf.DUMMYFUNCTION("""COMPUTED_VALUE"""),985.0)</f>
        <v>985</v>
      </c>
      <c r="C64" s="6">
        <f>IFERROR(__xludf.DUMMYFUNCTION("""COMPUTED_VALUE"""),999.95)</f>
        <v>999.95</v>
      </c>
      <c r="D64" s="6">
        <f>IFERROR(__xludf.DUMMYFUNCTION("""COMPUTED_VALUE"""),966.2)</f>
        <v>966.2</v>
      </c>
      <c r="E64" s="6">
        <f>IFERROR(__xludf.DUMMYFUNCTION("""COMPUTED_VALUE"""),983.25)</f>
        <v>983.25</v>
      </c>
      <c r="F64" s="6">
        <f>IFERROR(__xludf.DUMMYFUNCTION("""COMPUTED_VALUE"""),7224787.0)</f>
        <v>7224787</v>
      </c>
    </row>
    <row r="65">
      <c r="A65" s="7">
        <f>IFERROR(__xludf.DUMMYFUNCTION("""COMPUTED_VALUE"""),45639.64583333333)</f>
        <v>45639.64583</v>
      </c>
      <c r="B65" s="6">
        <f>IFERROR(__xludf.DUMMYFUNCTION("""COMPUTED_VALUE"""),987.65)</f>
        <v>987.65</v>
      </c>
      <c r="C65" s="6">
        <f>IFERROR(__xludf.DUMMYFUNCTION("""COMPUTED_VALUE"""),1007.8)</f>
        <v>1007.8</v>
      </c>
      <c r="D65" s="6">
        <f>IFERROR(__xludf.DUMMYFUNCTION("""COMPUTED_VALUE"""),913.55)</f>
        <v>913.55</v>
      </c>
      <c r="E65" s="6">
        <f>IFERROR(__xludf.DUMMYFUNCTION("""COMPUTED_VALUE"""),931.9)</f>
        <v>931.9</v>
      </c>
      <c r="F65" s="6">
        <f>IFERROR(__xludf.DUMMYFUNCTION("""COMPUTED_VALUE"""),9436636.0)</f>
        <v>9436636</v>
      </c>
    </row>
    <row r="66">
      <c r="A66" s="7">
        <f>IFERROR(__xludf.DUMMYFUNCTION("""COMPUTED_VALUE"""),45646.64583333333)</f>
        <v>45646.64583</v>
      </c>
      <c r="B66" s="6">
        <f>IFERROR(__xludf.DUMMYFUNCTION("""COMPUTED_VALUE"""),935.0)</f>
        <v>935</v>
      </c>
      <c r="C66" s="6">
        <f>IFERROR(__xludf.DUMMYFUNCTION("""COMPUTED_VALUE"""),936.5)</f>
        <v>936.5</v>
      </c>
      <c r="D66" s="6">
        <f>IFERROR(__xludf.DUMMYFUNCTION("""COMPUTED_VALUE"""),890.55)</f>
        <v>890.55</v>
      </c>
      <c r="E66" s="6">
        <f>IFERROR(__xludf.DUMMYFUNCTION("""COMPUTED_VALUE"""),901.7)</f>
        <v>901.7</v>
      </c>
      <c r="F66" s="6">
        <f>IFERROR(__xludf.DUMMYFUNCTION("""COMPUTED_VALUE"""),5764231.0)</f>
        <v>5764231</v>
      </c>
    </row>
    <row r="67">
      <c r="A67" s="7">
        <f>IFERROR(__xludf.DUMMYFUNCTION("""COMPUTED_VALUE"""),45653.64583333333)</f>
        <v>45653.64583</v>
      </c>
      <c r="B67" s="6">
        <f>IFERROR(__xludf.DUMMYFUNCTION("""COMPUTED_VALUE"""),902.5)</f>
        <v>902.5</v>
      </c>
      <c r="C67" s="6">
        <f>IFERROR(__xludf.DUMMYFUNCTION("""COMPUTED_VALUE"""),906.9)</f>
        <v>906.9</v>
      </c>
      <c r="D67" s="6">
        <f>IFERROR(__xludf.DUMMYFUNCTION("""COMPUTED_VALUE"""),885.15)</f>
        <v>885.15</v>
      </c>
      <c r="E67" s="6">
        <f>IFERROR(__xludf.DUMMYFUNCTION("""COMPUTED_VALUE"""),887.0)</f>
        <v>887</v>
      </c>
      <c r="F67" s="6">
        <f>IFERROR(__xludf.DUMMYFUNCTION("""COMPUTED_VALUE"""),4287340.0)</f>
        <v>4287340</v>
      </c>
    </row>
    <row r="68">
      <c r="A68" s="7">
        <f>IFERROR(__xludf.DUMMYFUNCTION("""COMPUTED_VALUE"""),45660.64583333333)</f>
        <v>45660.64583</v>
      </c>
      <c r="B68" s="6">
        <f>IFERROR(__xludf.DUMMYFUNCTION("""COMPUTED_VALUE"""),891.75)</f>
        <v>891.75</v>
      </c>
      <c r="C68" s="6">
        <f>IFERROR(__xludf.DUMMYFUNCTION("""COMPUTED_VALUE"""),928.9)</f>
        <v>928.9</v>
      </c>
      <c r="D68" s="6">
        <f>IFERROR(__xludf.DUMMYFUNCTION("""COMPUTED_VALUE"""),878.45)</f>
        <v>878.45</v>
      </c>
      <c r="E68" s="6">
        <f>IFERROR(__xludf.DUMMYFUNCTION("""COMPUTED_VALUE"""),908.4)</f>
        <v>908.4</v>
      </c>
      <c r="F68" s="6">
        <f>IFERROR(__xludf.DUMMYFUNCTION("""COMPUTED_VALUE"""),6489424.0)</f>
        <v>6489424</v>
      </c>
    </row>
    <row r="69">
      <c r="A69" s="7">
        <f>IFERROR(__xludf.DUMMYFUNCTION("""COMPUTED_VALUE"""),45667.64583333333)</f>
        <v>45667.64583</v>
      </c>
      <c r="B69" s="6">
        <f>IFERROR(__xludf.DUMMYFUNCTION("""COMPUTED_VALUE"""),908.4)</f>
        <v>908.4</v>
      </c>
      <c r="C69" s="6">
        <f>IFERROR(__xludf.DUMMYFUNCTION("""COMPUTED_VALUE"""),909.9)</f>
        <v>909.9</v>
      </c>
      <c r="D69" s="6">
        <f>IFERROR(__xludf.DUMMYFUNCTION("""COMPUTED_VALUE"""),835.85)</f>
        <v>835.85</v>
      </c>
      <c r="E69" s="6">
        <f>IFERROR(__xludf.DUMMYFUNCTION("""COMPUTED_VALUE"""),839.5)</f>
        <v>839.5</v>
      </c>
      <c r="F69" s="6">
        <f>IFERROR(__xludf.DUMMYFUNCTION("""COMPUTED_VALUE"""),5731191.0)</f>
        <v>5731191</v>
      </c>
    </row>
    <row r="70">
      <c r="A70" s="7">
        <f>IFERROR(__xludf.DUMMYFUNCTION("""COMPUTED_VALUE"""),45674.64583333333)</f>
        <v>45674.64583</v>
      </c>
      <c r="B70" s="6">
        <f>IFERROR(__xludf.DUMMYFUNCTION("""COMPUTED_VALUE"""),830.0)</f>
        <v>830</v>
      </c>
      <c r="C70" s="6">
        <f>IFERROR(__xludf.DUMMYFUNCTION("""COMPUTED_VALUE"""),858.95)</f>
        <v>858.95</v>
      </c>
      <c r="D70" s="6">
        <f>IFERROR(__xludf.DUMMYFUNCTION("""COMPUTED_VALUE"""),806.85)</f>
        <v>806.85</v>
      </c>
      <c r="E70" s="6">
        <f>IFERROR(__xludf.DUMMYFUNCTION("""COMPUTED_VALUE"""),854.9)</f>
        <v>854.9</v>
      </c>
      <c r="F70" s="6">
        <f>IFERROR(__xludf.DUMMYFUNCTION("""COMPUTED_VALUE"""),5856000.0)</f>
        <v>5856000</v>
      </c>
    </row>
    <row r="71">
      <c r="A71" s="7">
        <f>IFERROR(__xludf.DUMMYFUNCTION("""COMPUTED_VALUE"""),45681.64583333333)</f>
        <v>45681.64583</v>
      </c>
      <c r="B71" s="6">
        <f>IFERROR(__xludf.DUMMYFUNCTION("""COMPUTED_VALUE"""),859.9)</f>
        <v>859.9</v>
      </c>
      <c r="C71" s="6">
        <f>IFERROR(__xludf.DUMMYFUNCTION("""COMPUTED_VALUE"""),865.0)</f>
        <v>865</v>
      </c>
      <c r="D71" s="6">
        <f>IFERROR(__xludf.DUMMYFUNCTION("""COMPUTED_VALUE"""),818.7)</f>
        <v>818.7</v>
      </c>
      <c r="E71" s="6">
        <f>IFERROR(__xludf.DUMMYFUNCTION("""COMPUTED_VALUE"""),821.25)</f>
        <v>821.25</v>
      </c>
      <c r="F71" s="6">
        <f>IFERROR(__xludf.DUMMYFUNCTION("""COMPUTED_VALUE"""),3638864.0)</f>
        <v>3638864</v>
      </c>
    </row>
    <row r="72">
      <c r="A72" s="7">
        <f>IFERROR(__xludf.DUMMYFUNCTION("""COMPUTED_VALUE"""),45695.64583333333)</f>
        <v>45695.64583</v>
      </c>
      <c r="B72" s="6">
        <f>IFERROR(__xludf.DUMMYFUNCTION("""COMPUTED_VALUE"""),844.0)</f>
        <v>844</v>
      </c>
      <c r="C72" s="6">
        <f>IFERROR(__xludf.DUMMYFUNCTION("""COMPUTED_VALUE"""),848.8)</f>
        <v>848.8</v>
      </c>
      <c r="D72" s="6">
        <f>IFERROR(__xludf.DUMMYFUNCTION("""COMPUTED_VALUE"""),809.15)</f>
        <v>809.15</v>
      </c>
      <c r="E72" s="6">
        <f>IFERROR(__xludf.DUMMYFUNCTION("""COMPUTED_VALUE"""),816.1)</f>
        <v>816.1</v>
      </c>
      <c r="F72" s="6">
        <f>IFERROR(__xludf.DUMMYFUNCTION("""COMPUTED_VALUE"""),4350986.0)</f>
        <v>4350986</v>
      </c>
    </row>
    <row r="73">
      <c r="A73" s="7">
        <f>IFERROR(__xludf.DUMMYFUNCTION("""COMPUTED_VALUE"""),45702.64583333333)</f>
        <v>45702.64583</v>
      </c>
      <c r="B73" s="6">
        <f>IFERROR(__xludf.DUMMYFUNCTION("""COMPUTED_VALUE"""),814.0)</f>
        <v>814</v>
      </c>
      <c r="C73" s="6">
        <f>IFERROR(__xludf.DUMMYFUNCTION("""COMPUTED_VALUE"""),824.8)</f>
        <v>824.8</v>
      </c>
      <c r="D73" s="6">
        <f>IFERROR(__xludf.DUMMYFUNCTION("""COMPUTED_VALUE"""),755.05)</f>
        <v>755.05</v>
      </c>
      <c r="E73" s="6">
        <f>IFERROR(__xludf.DUMMYFUNCTION("""COMPUTED_VALUE"""),759.1)</f>
        <v>759.1</v>
      </c>
      <c r="F73" s="6">
        <f>IFERROR(__xludf.DUMMYFUNCTION("""COMPUTED_VALUE"""),7437051.0)</f>
        <v>7437051</v>
      </c>
    </row>
    <row r="74">
      <c r="A74" s="7">
        <f>IFERROR(__xludf.DUMMYFUNCTION("""COMPUTED_VALUE"""),45709.64583333333)</f>
        <v>45709.64583</v>
      </c>
      <c r="B74" s="6">
        <f>IFERROR(__xludf.DUMMYFUNCTION("""COMPUTED_VALUE"""),759.1)</f>
        <v>759.1</v>
      </c>
      <c r="C74" s="6">
        <f>IFERROR(__xludf.DUMMYFUNCTION("""COMPUTED_VALUE"""),785.7)</f>
        <v>785.7</v>
      </c>
      <c r="D74" s="6">
        <f>IFERROR(__xludf.DUMMYFUNCTION("""COMPUTED_VALUE"""),744.95)</f>
        <v>744.95</v>
      </c>
      <c r="E74" s="6">
        <f>IFERROR(__xludf.DUMMYFUNCTION("""COMPUTED_VALUE"""),780.9)</f>
        <v>780.9</v>
      </c>
      <c r="F74" s="6">
        <f>IFERROR(__xludf.DUMMYFUNCTION("""COMPUTED_VALUE"""),5197938.0)</f>
        <v>5197938</v>
      </c>
    </row>
    <row r="75">
      <c r="A75" s="7">
        <f>IFERROR(__xludf.DUMMYFUNCTION("""COMPUTED_VALUE"""),45716.64583333333)</f>
        <v>45716.64583</v>
      </c>
      <c r="B75" s="6">
        <f>IFERROR(__xludf.DUMMYFUNCTION("""COMPUTED_VALUE"""),775.0)</f>
        <v>775</v>
      </c>
      <c r="C75" s="6">
        <f>IFERROR(__xludf.DUMMYFUNCTION("""COMPUTED_VALUE"""),780.0)</f>
        <v>780</v>
      </c>
      <c r="D75" s="6">
        <f>IFERROR(__xludf.DUMMYFUNCTION("""COMPUTED_VALUE"""),727.55)</f>
        <v>727.55</v>
      </c>
      <c r="E75" s="6">
        <f>IFERROR(__xludf.DUMMYFUNCTION("""COMPUTED_VALUE"""),740.5)</f>
        <v>740.5</v>
      </c>
      <c r="F75" s="6">
        <f>IFERROR(__xludf.DUMMYFUNCTION("""COMPUTED_VALUE"""),4538402.0)</f>
        <v>4538402</v>
      </c>
    </row>
    <row r="76">
      <c r="A76" s="7">
        <f>IFERROR(__xludf.DUMMYFUNCTION("""COMPUTED_VALUE"""),45723.64583333333)</f>
        <v>45723.64583</v>
      </c>
      <c r="B76" s="6">
        <f>IFERROR(__xludf.DUMMYFUNCTION("""COMPUTED_VALUE"""),741.0)</f>
        <v>741</v>
      </c>
      <c r="C76" s="6">
        <f>IFERROR(__xludf.DUMMYFUNCTION("""COMPUTED_VALUE"""),772.25)</f>
        <v>772.25</v>
      </c>
      <c r="D76" s="6">
        <f>IFERROR(__xludf.DUMMYFUNCTION("""COMPUTED_VALUE"""),715.3)</f>
        <v>715.3</v>
      </c>
      <c r="E76" s="6">
        <f>IFERROR(__xludf.DUMMYFUNCTION("""COMPUTED_VALUE"""),763.15)</f>
        <v>763.15</v>
      </c>
      <c r="F76" s="6">
        <f>IFERROR(__xludf.DUMMYFUNCTION("""COMPUTED_VALUE"""),5168297.0)</f>
        <v>5168297</v>
      </c>
    </row>
    <row r="77">
      <c r="A77" s="7">
        <f>IFERROR(__xludf.DUMMYFUNCTION("""COMPUTED_VALUE"""),45729.64583333333)</f>
        <v>45729.64583</v>
      </c>
      <c r="B77" s="6">
        <f>IFERROR(__xludf.DUMMYFUNCTION("""COMPUTED_VALUE"""),764.0)</f>
        <v>764</v>
      </c>
      <c r="C77" s="6">
        <f>IFERROR(__xludf.DUMMYFUNCTION("""COMPUTED_VALUE"""),768.15)</f>
        <v>768.15</v>
      </c>
      <c r="D77" s="6">
        <f>IFERROR(__xludf.DUMMYFUNCTION("""COMPUTED_VALUE"""),731.4)</f>
        <v>731.4</v>
      </c>
      <c r="E77" s="6">
        <f>IFERROR(__xludf.DUMMYFUNCTION("""COMPUTED_VALUE"""),740.15)</f>
        <v>740.15</v>
      </c>
      <c r="F77" s="6">
        <f>IFERROR(__xludf.DUMMYFUNCTION("""COMPUTED_VALUE"""),4412384.0)</f>
        <v>4412384</v>
      </c>
    </row>
    <row r="78">
      <c r="A78" s="7">
        <f>IFERROR(__xludf.DUMMYFUNCTION("""COMPUTED_VALUE"""),45737.64583333333)</f>
        <v>45737.64583</v>
      </c>
      <c r="B78" s="6">
        <f>IFERROR(__xludf.DUMMYFUNCTION("""COMPUTED_VALUE"""),741.65)</f>
        <v>741.65</v>
      </c>
      <c r="C78" s="6">
        <f>IFERROR(__xludf.DUMMYFUNCTION("""COMPUTED_VALUE"""),793.95)</f>
        <v>793.95</v>
      </c>
      <c r="D78" s="6">
        <f>IFERROR(__xludf.DUMMYFUNCTION("""COMPUTED_VALUE"""),737.7)</f>
        <v>737.7</v>
      </c>
      <c r="E78" s="6">
        <f>IFERROR(__xludf.DUMMYFUNCTION("""COMPUTED_VALUE"""),791.35)</f>
        <v>791.35</v>
      </c>
      <c r="F78" s="6">
        <f>IFERROR(__xludf.DUMMYFUNCTION("""COMPUTED_VALUE"""),6651741.0)</f>
        <v>6651741</v>
      </c>
    </row>
    <row r="79">
      <c r="A79" s="7">
        <f>IFERROR(__xludf.DUMMYFUNCTION("""COMPUTED_VALUE"""),45744.64583333333)</f>
        <v>45744.64583</v>
      </c>
      <c r="B79" s="6">
        <f>IFERROR(__xludf.DUMMYFUNCTION("""COMPUTED_VALUE"""),794.8)</f>
        <v>794.8</v>
      </c>
      <c r="C79" s="6">
        <f>IFERROR(__xludf.DUMMYFUNCTION("""COMPUTED_VALUE"""),815.45)</f>
        <v>815.45</v>
      </c>
      <c r="D79" s="6">
        <f>IFERROR(__xludf.DUMMYFUNCTION("""COMPUTED_VALUE"""),780.05)</f>
        <v>780.05</v>
      </c>
      <c r="E79" s="6">
        <f>IFERROR(__xludf.DUMMYFUNCTION("""COMPUTED_VALUE"""),799.4)</f>
        <v>799.4</v>
      </c>
      <c r="F79" s="6">
        <f>IFERROR(__xludf.DUMMYFUNCTION("""COMPUTED_VALUE"""),7699249.0)</f>
        <v>7699249</v>
      </c>
    </row>
    <row r="80">
      <c r="A80" s="7">
        <f>IFERROR(__xludf.DUMMYFUNCTION("""COMPUTED_VALUE"""),45751.64583333333)</f>
        <v>45751.64583</v>
      </c>
      <c r="B80" s="6">
        <f>IFERROR(__xludf.DUMMYFUNCTION("""COMPUTED_VALUE"""),795.0)</f>
        <v>795</v>
      </c>
      <c r="C80" s="6">
        <f>IFERROR(__xludf.DUMMYFUNCTION("""COMPUTED_VALUE"""),819.0)</f>
        <v>819</v>
      </c>
      <c r="D80" s="6">
        <f>IFERROR(__xludf.DUMMYFUNCTION("""COMPUTED_VALUE"""),786.5)</f>
        <v>786.5</v>
      </c>
      <c r="E80" s="6">
        <f>IFERROR(__xludf.DUMMYFUNCTION("""COMPUTED_VALUE"""),792.15)</f>
        <v>792.15</v>
      </c>
      <c r="F80" s="6">
        <f>IFERROR(__xludf.DUMMYFUNCTION("""COMPUTED_VALUE"""),4133340.0)</f>
        <v>4133340</v>
      </c>
    </row>
    <row r="81">
      <c r="A81" s="7">
        <f>IFERROR(__xludf.DUMMYFUNCTION("""COMPUTED_VALUE"""),45758.64583333333)</f>
        <v>45758.64583</v>
      </c>
      <c r="B81" s="6">
        <f>IFERROR(__xludf.DUMMYFUNCTION("""COMPUTED_VALUE"""),745.0)</f>
        <v>745</v>
      </c>
      <c r="C81" s="6">
        <f>IFERROR(__xludf.DUMMYFUNCTION("""COMPUTED_VALUE"""),792.0)</f>
        <v>792</v>
      </c>
      <c r="D81" s="6">
        <f>IFERROR(__xludf.DUMMYFUNCTION("""COMPUTED_VALUE"""),742.8)</f>
        <v>742.8</v>
      </c>
      <c r="E81" s="6">
        <f>IFERROR(__xludf.DUMMYFUNCTION("""COMPUTED_VALUE"""),771.05)</f>
        <v>771.05</v>
      </c>
      <c r="F81" s="6">
        <f>IFERROR(__xludf.DUMMYFUNCTION("""COMPUTED_VALUE"""),3084125.0)</f>
        <v>3084125</v>
      </c>
    </row>
    <row r="82">
      <c r="A82" s="7">
        <f>IFERROR(__xludf.DUMMYFUNCTION("""COMPUTED_VALUE"""),45764.64583333333)</f>
        <v>45764.64583</v>
      </c>
      <c r="B82" s="6">
        <f>IFERROR(__xludf.DUMMYFUNCTION("""COMPUTED_VALUE"""),779.0)</f>
        <v>779</v>
      </c>
      <c r="C82" s="6">
        <f>IFERROR(__xludf.DUMMYFUNCTION("""COMPUTED_VALUE"""),806.75)</f>
        <v>806.75</v>
      </c>
      <c r="D82" s="6">
        <f>IFERROR(__xludf.DUMMYFUNCTION("""COMPUTED_VALUE"""),777.5)</f>
        <v>777.5</v>
      </c>
      <c r="E82" s="6">
        <f>IFERROR(__xludf.DUMMYFUNCTION("""COMPUTED_VALUE"""),803.2)</f>
        <v>803.2</v>
      </c>
      <c r="F82" s="6">
        <f>IFERROR(__xludf.DUMMYFUNCTION("""COMPUTED_VALUE"""),2704123.0)</f>
        <v>2704123</v>
      </c>
    </row>
    <row r="83">
      <c r="A83" s="7">
        <f>IFERROR(__xludf.DUMMYFUNCTION("""COMPUTED_VALUE"""),45772.64583333333)</f>
        <v>45772.64583</v>
      </c>
      <c r="B83" s="6">
        <f>IFERROR(__xludf.DUMMYFUNCTION("""COMPUTED_VALUE"""),804.0)</f>
        <v>804</v>
      </c>
      <c r="C83" s="6">
        <f>IFERROR(__xludf.DUMMYFUNCTION("""COMPUTED_VALUE"""),829.0)</f>
        <v>829</v>
      </c>
      <c r="D83" s="6">
        <f>IFERROR(__xludf.DUMMYFUNCTION("""COMPUTED_VALUE"""),787.7)</f>
        <v>787.7</v>
      </c>
      <c r="E83" s="6">
        <f>IFERROR(__xludf.DUMMYFUNCTION("""COMPUTED_VALUE"""),791.2)</f>
        <v>791.2</v>
      </c>
      <c r="F83" s="6">
        <f>IFERROR(__xludf.DUMMYFUNCTION("""COMPUTED_VALUE"""),4691103.0)</f>
        <v>4691103</v>
      </c>
    </row>
    <row r="84">
      <c r="A84" s="7">
        <f>IFERROR(__xludf.DUMMYFUNCTION("""COMPUTED_VALUE"""),45779.64583333333)</f>
        <v>45779.64583</v>
      </c>
      <c r="B84" s="6">
        <f>IFERROR(__xludf.DUMMYFUNCTION("""COMPUTED_VALUE"""),790.0)</f>
        <v>790</v>
      </c>
      <c r="C84" s="6">
        <f>IFERROR(__xludf.DUMMYFUNCTION("""COMPUTED_VALUE"""),814.2)</f>
        <v>814.2</v>
      </c>
      <c r="D84" s="6">
        <f>IFERROR(__xludf.DUMMYFUNCTION("""COMPUTED_VALUE"""),787.2)</f>
        <v>787.2</v>
      </c>
      <c r="E84" s="6">
        <f>IFERROR(__xludf.DUMMYFUNCTION("""COMPUTED_VALUE"""),792.25)</f>
        <v>792.25</v>
      </c>
      <c r="F84" s="6">
        <f>IFERROR(__xludf.DUMMYFUNCTION("""COMPUTED_VALUE"""),2927369.0)</f>
        <v>2927369</v>
      </c>
    </row>
    <row r="85">
      <c r="A85" s="7">
        <f>IFERROR(__xludf.DUMMYFUNCTION("""COMPUTED_VALUE"""),45786.64583333333)</f>
        <v>45786.64583</v>
      </c>
      <c r="B85" s="6">
        <f>IFERROR(__xludf.DUMMYFUNCTION("""COMPUTED_VALUE"""),793.2)</f>
        <v>793.2</v>
      </c>
      <c r="C85" s="6">
        <f>IFERROR(__xludf.DUMMYFUNCTION("""COMPUTED_VALUE"""),820.8)</f>
        <v>820.8</v>
      </c>
      <c r="D85" s="6">
        <f>IFERROR(__xludf.DUMMYFUNCTION("""COMPUTED_VALUE"""),760.0)</f>
        <v>760</v>
      </c>
      <c r="E85" s="6">
        <f>IFERROR(__xludf.DUMMYFUNCTION("""COMPUTED_VALUE"""),786.95)</f>
        <v>786.95</v>
      </c>
      <c r="F85" s="6">
        <f>IFERROR(__xludf.DUMMYFUNCTION("""COMPUTED_VALUE"""),6075778.0)</f>
        <v>6075778</v>
      </c>
    </row>
    <row r="86">
      <c r="A86" s="7">
        <f>IFERROR(__xludf.DUMMYFUNCTION("""COMPUTED_VALUE"""),45793.64583333333)</f>
        <v>45793.64583</v>
      </c>
      <c r="B86" s="6">
        <f>IFERROR(__xludf.DUMMYFUNCTION("""COMPUTED_VALUE"""),801.75)</f>
        <v>801.75</v>
      </c>
      <c r="C86" s="6">
        <f>IFERROR(__xludf.DUMMYFUNCTION("""COMPUTED_VALUE"""),861.8)</f>
        <v>861.8</v>
      </c>
      <c r="D86" s="6">
        <f>IFERROR(__xludf.DUMMYFUNCTION("""COMPUTED_VALUE"""),801.15)</f>
        <v>801.15</v>
      </c>
      <c r="E86" s="6">
        <f>IFERROR(__xludf.DUMMYFUNCTION("""COMPUTED_VALUE"""),857.0)</f>
        <v>857</v>
      </c>
      <c r="F86" s="6">
        <f>IFERROR(__xludf.DUMMYFUNCTION("""COMPUTED_VALUE"""),7017525.0)</f>
        <v>7017525</v>
      </c>
    </row>
    <row r="87">
      <c r="A87" s="7">
        <f>IFERROR(__xludf.DUMMYFUNCTION("""COMPUTED_VALUE"""),45800.64583333333)</f>
        <v>45800.64583</v>
      </c>
      <c r="B87" s="6">
        <f>IFERROR(__xludf.DUMMYFUNCTION("""COMPUTED_VALUE"""),857.0)</f>
        <v>857</v>
      </c>
      <c r="C87" s="6">
        <f>IFERROR(__xludf.DUMMYFUNCTION("""COMPUTED_VALUE"""),873.0)</f>
        <v>873</v>
      </c>
      <c r="D87" s="6">
        <f>IFERROR(__xludf.DUMMYFUNCTION("""COMPUTED_VALUE"""),840.0)</f>
        <v>840</v>
      </c>
      <c r="E87" s="6">
        <f>IFERROR(__xludf.DUMMYFUNCTION("""COMPUTED_VALUE"""),860.25)</f>
        <v>860.25</v>
      </c>
      <c r="F87" s="6">
        <f>IFERROR(__xludf.DUMMYFUNCTION("""COMPUTED_VALUE"""),4709221.0)</f>
        <v>4709221</v>
      </c>
    </row>
    <row r="88">
      <c r="A88" s="7">
        <f>IFERROR(__xludf.DUMMYFUNCTION("""COMPUTED_VALUE"""),45807.64583333333)</f>
        <v>45807.64583</v>
      </c>
      <c r="B88" s="6">
        <f>IFERROR(__xludf.DUMMYFUNCTION("""COMPUTED_VALUE"""),865.0)</f>
        <v>865</v>
      </c>
      <c r="C88" s="6">
        <f>IFERROR(__xludf.DUMMYFUNCTION("""COMPUTED_VALUE"""),957.8)</f>
        <v>957.8</v>
      </c>
      <c r="D88" s="6">
        <f>IFERROR(__xludf.DUMMYFUNCTION("""COMPUTED_VALUE"""),861.5)</f>
        <v>861.5</v>
      </c>
      <c r="E88" s="6">
        <f>IFERROR(__xludf.DUMMYFUNCTION("""COMPUTED_VALUE"""),954.45)</f>
        <v>954.45</v>
      </c>
      <c r="F88" s="6">
        <f>IFERROR(__xludf.DUMMYFUNCTION("""COMPUTED_VALUE"""),3.2822578E7)</f>
        <v>32822578</v>
      </c>
    </row>
    <row r="89">
      <c r="A89" s="7">
        <f>IFERROR(__xludf.DUMMYFUNCTION("""COMPUTED_VALUE"""),45814.64583333333)</f>
        <v>45814.64583</v>
      </c>
      <c r="B89" s="6">
        <f>IFERROR(__xludf.DUMMYFUNCTION("""COMPUTED_VALUE"""),954.0)</f>
        <v>954</v>
      </c>
      <c r="C89" s="6">
        <f>IFERROR(__xludf.DUMMYFUNCTION("""COMPUTED_VALUE"""),968.2)</f>
        <v>968.2</v>
      </c>
      <c r="D89" s="6">
        <f>IFERROR(__xludf.DUMMYFUNCTION("""COMPUTED_VALUE"""),946.4)</f>
        <v>946.4</v>
      </c>
      <c r="E89" s="6">
        <f>IFERROR(__xludf.DUMMYFUNCTION("""COMPUTED_VALUE"""),959.85)</f>
        <v>959.85</v>
      </c>
      <c r="F89" s="6">
        <f>IFERROR(__xludf.DUMMYFUNCTION("""COMPUTED_VALUE"""),7358887.0)</f>
        <v>7358887</v>
      </c>
    </row>
    <row r="90">
      <c r="A90" s="7">
        <f>IFERROR(__xludf.DUMMYFUNCTION("""COMPUTED_VALUE"""),45821.64583333333)</f>
        <v>45821.64583</v>
      </c>
      <c r="B90" s="6">
        <f>IFERROR(__xludf.DUMMYFUNCTION("""COMPUTED_VALUE"""),959.9)</f>
        <v>959.9</v>
      </c>
      <c r="C90" s="6">
        <f>IFERROR(__xludf.DUMMYFUNCTION("""COMPUTED_VALUE"""),973.35)</f>
        <v>973.35</v>
      </c>
      <c r="D90" s="6">
        <f>IFERROR(__xludf.DUMMYFUNCTION("""COMPUTED_VALUE"""),921.2)</f>
        <v>921.2</v>
      </c>
      <c r="E90" s="6">
        <f>IFERROR(__xludf.DUMMYFUNCTION("""COMPUTED_VALUE"""),937.95)</f>
        <v>937.95</v>
      </c>
      <c r="F90" s="6">
        <f>IFERROR(__xludf.DUMMYFUNCTION("""COMPUTED_VALUE"""),7216435.0)</f>
        <v>7216435</v>
      </c>
    </row>
    <row r="91">
      <c r="A91" s="7">
        <f>IFERROR(__xludf.DUMMYFUNCTION("""COMPUTED_VALUE"""),45828.64583333333)</f>
        <v>45828.64583</v>
      </c>
      <c r="B91" s="6">
        <f>IFERROR(__xludf.DUMMYFUNCTION("""COMPUTED_VALUE"""),935.0)</f>
        <v>935</v>
      </c>
      <c r="C91" s="6">
        <f>IFERROR(__xludf.DUMMYFUNCTION("""COMPUTED_VALUE"""),954.0)</f>
        <v>954</v>
      </c>
      <c r="D91" s="6">
        <f>IFERROR(__xludf.DUMMYFUNCTION("""COMPUTED_VALUE"""),922.55)</f>
        <v>922.55</v>
      </c>
      <c r="E91" s="6">
        <f>IFERROR(__xludf.DUMMYFUNCTION("""COMPUTED_VALUE"""),936.55)</f>
        <v>936.55</v>
      </c>
      <c r="F91" s="6">
        <f>IFERROR(__xludf.DUMMYFUNCTION("""COMPUTED_VALUE"""),4173559.0)</f>
        <v>4173559</v>
      </c>
    </row>
    <row r="92">
      <c r="A92" s="7">
        <f>IFERROR(__xludf.DUMMYFUNCTION("""COMPUTED_VALUE"""),45835.64583333333)</f>
        <v>45835.64583</v>
      </c>
      <c r="B92" s="6">
        <f>IFERROR(__xludf.DUMMYFUNCTION("""COMPUTED_VALUE"""),928.0)</f>
        <v>928</v>
      </c>
      <c r="C92" s="6">
        <f>IFERROR(__xludf.DUMMYFUNCTION("""COMPUTED_VALUE"""),962.25)</f>
        <v>962.25</v>
      </c>
      <c r="D92" s="6">
        <f>IFERROR(__xludf.DUMMYFUNCTION("""COMPUTED_VALUE"""),927.35)</f>
        <v>927.35</v>
      </c>
      <c r="E92" s="6">
        <f>IFERROR(__xludf.DUMMYFUNCTION("""COMPUTED_VALUE"""),957.7)</f>
        <v>957.7</v>
      </c>
      <c r="F92" s="6">
        <f>IFERROR(__xludf.DUMMYFUNCTION("""COMPUTED_VALUE"""),5082523.0)</f>
        <v>5082523</v>
      </c>
    </row>
    <row r="93">
      <c r="A93" s="7">
        <f>IFERROR(__xludf.DUMMYFUNCTION("""COMPUTED_VALUE"""),45842.64583333333)</f>
        <v>45842.64583</v>
      </c>
      <c r="B93" s="6">
        <f>IFERROR(__xludf.DUMMYFUNCTION("""COMPUTED_VALUE"""),957.7)</f>
        <v>957.7</v>
      </c>
      <c r="C93" s="6">
        <f>IFERROR(__xludf.DUMMYFUNCTION("""COMPUTED_VALUE"""),980.0)</f>
        <v>980</v>
      </c>
      <c r="D93" s="6">
        <f>IFERROR(__xludf.DUMMYFUNCTION("""COMPUTED_VALUE"""),934.0)</f>
        <v>934</v>
      </c>
      <c r="E93" s="6">
        <f>IFERROR(__xludf.DUMMYFUNCTION("""COMPUTED_VALUE"""),940.7)</f>
        <v>940.7</v>
      </c>
      <c r="F93" s="6">
        <f>IFERROR(__xludf.DUMMYFUNCTION("""COMPUTED_VALUE"""),5764074.0)</f>
        <v>5764074</v>
      </c>
    </row>
    <row r="94">
      <c r="A94" s="7">
        <f>IFERROR(__xludf.DUMMYFUNCTION("""COMPUTED_VALUE"""),45849.64583333333)</f>
        <v>45849.64583</v>
      </c>
      <c r="B94" s="6">
        <f>IFERROR(__xludf.DUMMYFUNCTION("""COMPUTED_VALUE"""),940.7)</f>
        <v>940.7</v>
      </c>
      <c r="C94" s="6">
        <f>IFERROR(__xludf.DUMMYFUNCTION("""COMPUTED_VALUE"""),953.0)</f>
        <v>953</v>
      </c>
      <c r="D94" s="6">
        <f>IFERROR(__xludf.DUMMYFUNCTION("""COMPUTED_VALUE"""),920.5)</f>
        <v>920.5</v>
      </c>
      <c r="E94" s="6">
        <f>IFERROR(__xludf.DUMMYFUNCTION("""COMPUTED_VALUE"""),922.4)</f>
        <v>922.4</v>
      </c>
      <c r="F94" s="6">
        <f>IFERROR(__xludf.DUMMYFUNCTION("""COMPUTED_VALUE"""),4074882.0)</f>
        <v>4074882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IFERROR(__xludf.DUMMYFUNCTION("""COMPUTED_VALUE"""),920.6)</f>
        <v>920.6</v>
      </c>
      <c r="C95" s="6">
        <f>IFERROR(__xludf.DUMMYFUNCTION("""COMPUTED_VALUE"""),935.75)</f>
        <v>935.75</v>
      </c>
      <c r="D95" s="6">
        <f>IFERROR(__xludf.DUMMYFUNCTION("""COMPUTED_VALUE"""),912.0)</f>
        <v>912</v>
      </c>
      <c r="E95" s="6">
        <f>IFERROR(__xludf.DUMMYFUNCTION("""COMPUTED_VALUE"""),923.15)</f>
        <v>923.15</v>
      </c>
      <c r="F95" s="6">
        <f>IFERROR(__xludf.DUMMYFUNCTION("""COMPUTED_VALUE"""),2504930.0)</f>
        <v>2504930</v>
      </c>
    </row>
    <row r="96">
      <c r="A96" s="7">
        <f>IFERROR(__xludf.DUMMYFUNCTION("""COMPUTED_VALUE"""),45863.64583333333)</f>
        <v>45863.64583</v>
      </c>
      <c r="B96" s="6">
        <f>IFERROR(__xludf.DUMMYFUNCTION("""COMPUTED_VALUE"""),920.0)</f>
        <v>920</v>
      </c>
      <c r="C96" s="6">
        <f>IFERROR(__xludf.DUMMYFUNCTION("""COMPUTED_VALUE"""),932.7)</f>
        <v>932.7</v>
      </c>
      <c r="D96" s="6">
        <f>IFERROR(__xludf.DUMMYFUNCTION("""COMPUTED_VALUE"""),882.1)</f>
        <v>882.1</v>
      </c>
      <c r="E96" s="6">
        <f>IFERROR(__xludf.DUMMYFUNCTION("""COMPUTED_VALUE"""),886.85)</f>
        <v>886.85</v>
      </c>
      <c r="F96" s="6">
        <f>IFERROR(__xludf.DUMMYFUNCTION("""COMPUTED_VALUE"""),3269211.0)</f>
        <v>3269211</v>
      </c>
    </row>
    <row r="97">
      <c r="A97" s="7">
        <f>IFERROR(__xludf.DUMMYFUNCTION("""COMPUTED_VALUE"""),45870.64583333333)</f>
        <v>45870.64583</v>
      </c>
      <c r="B97" s="6">
        <f>IFERROR(__xludf.DUMMYFUNCTION("""COMPUTED_VALUE"""),881.1)</f>
        <v>881.1</v>
      </c>
      <c r="C97" s="6">
        <f>IFERROR(__xludf.DUMMYFUNCTION("""COMPUTED_VALUE"""),906.95)</f>
        <v>906.95</v>
      </c>
      <c r="D97" s="6">
        <f>IFERROR(__xludf.DUMMYFUNCTION("""COMPUTED_VALUE"""),880.05)</f>
        <v>880.05</v>
      </c>
      <c r="E97" s="6">
        <f>IFERROR(__xludf.DUMMYFUNCTION("""COMPUTED_VALUE"""),884.85)</f>
        <v>884.85</v>
      </c>
      <c r="F97" s="6">
        <f>IFERROR(__xludf.DUMMYFUNCTION("""COMPUTED_VALUE"""),3564698.0)</f>
        <v>3564698</v>
      </c>
    </row>
    <row r="98">
      <c r="A98" s="7">
        <f>IFERROR(__xludf.DUMMYFUNCTION("""COMPUTED_VALUE"""),45877.64583333333)</f>
        <v>45877.64583</v>
      </c>
      <c r="B98" s="6">
        <f>IFERROR(__xludf.DUMMYFUNCTION("""COMPUTED_VALUE"""),880.05)</f>
        <v>880.05</v>
      </c>
      <c r="C98" s="6">
        <f>IFERROR(__xludf.DUMMYFUNCTION("""COMPUTED_VALUE"""),927.1)</f>
        <v>927.1</v>
      </c>
      <c r="D98" s="6">
        <f>IFERROR(__xludf.DUMMYFUNCTION("""COMPUTED_VALUE"""),874.0)</f>
        <v>874</v>
      </c>
      <c r="E98" s="6">
        <f>IFERROR(__xludf.DUMMYFUNCTION("""COMPUTED_VALUE"""),912.95)</f>
        <v>912.95</v>
      </c>
      <c r="F98" s="6">
        <f>IFERROR(__xludf.DUMMYFUNCTION("""COMPUTED_VALUE"""),7050508.0)</f>
        <v>7050508</v>
      </c>
    </row>
    <row r="99">
      <c r="A99" s="7">
        <f>IFERROR(__xludf.DUMMYFUNCTION("""COMPUTED_VALUE"""),45883.64583333333)</f>
        <v>45883.64583</v>
      </c>
      <c r="B99" s="6">
        <f>IFERROR(__xludf.DUMMYFUNCTION("""COMPUTED_VALUE"""),914.0)</f>
        <v>914</v>
      </c>
      <c r="C99" s="6">
        <f>IFERROR(__xludf.DUMMYFUNCTION("""COMPUTED_VALUE"""),928.0)</f>
        <v>928</v>
      </c>
      <c r="D99" s="6">
        <f>IFERROR(__xludf.DUMMYFUNCTION("""COMPUTED_VALUE"""),881.2)</f>
        <v>881.2</v>
      </c>
      <c r="E99" s="6">
        <f>IFERROR(__xludf.DUMMYFUNCTION("""COMPUTED_VALUE"""),887.75)</f>
        <v>887.75</v>
      </c>
      <c r="F99" s="6">
        <f>IFERROR(__xludf.DUMMYFUNCTION("""COMPUTED_VALUE"""),4893532.0)</f>
        <v>4893532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IFERROR(__xludf.DUMMYFUNCTION("""COMPUTED_VALUE"""),909.6)</f>
        <v>909.6</v>
      </c>
      <c r="C100" s="6">
        <f>IFERROR(__xludf.DUMMYFUNCTION("""COMPUTED_VALUE"""),917.0)</f>
        <v>917</v>
      </c>
      <c r="D100" s="6">
        <f>IFERROR(__xludf.DUMMYFUNCTION("""COMPUTED_VALUE"""),883.0)</f>
        <v>883</v>
      </c>
      <c r="E100" s="6">
        <f>IFERROR(__xludf.DUMMYFUNCTION("""COMPUTED_VALUE"""),889.1)</f>
        <v>889.1</v>
      </c>
      <c r="F100" s="6">
        <f>IFERROR(__xludf.DUMMYFUNCTION("""COMPUTED_VALUE"""),5527662.0)</f>
        <v>5527662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IFERROR(__xludf.DUMMYFUNCTION("""COMPUTED_VALUE"""),891.0)</f>
        <v>891</v>
      </c>
      <c r="C101" s="6">
        <f>IFERROR(__xludf.DUMMYFUNCTION("""COMPUTED_VALUE"""),895.65)</f>
        <v>895.65</v>
      </c>
      <c r="D101" s="6">
        <f>IFERROR(__xludf.DUMMYFUNCTION("""COMPUTED_VALUE"""),885.05)</f>
        <v>885.05</v>
      </c>
      <c r="E101" s="6">
        <f>IFERROR(__xludf.DUMMYFUNCTION("""COMPUTED_VALUE"""),888.35)</f>
        <v>888.35</v>
      </c>
      <c r="F101" s="6">
        <f>IFERROR(__xludf.DUMMYFUNCTION("""COMPUTED_VALUE"""),1.1582431E7)</f>
        <v>11582431</v>
      </c>
    </row>
  </sheetData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IFERROR(__xludf.DUMMYFUNCTION("GOOGLEFINANCE(""NSE:LODHA"",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IFERROR(__xludf.DUMMYFUNCTION("""COMPUTED_VALUE"""),660.05)</f>
        <v>660.05</v>
      </c>
      <c r="C2" s="6">
        <f>IFERROR(__xludf.DUMMYFUNCTION("""COMPUTED_VALUE"""),697.6)</f>
        <v>697.6</v>
      </c>
      <c r="D2" s="6">
        <f>IFERROR(__xludf.DUMMYFUNCTION("""COMPUTED_VALUE"""),641.05)</f>
        <v>641.05</v>
      </c>
      <c r="E2" s="6">
        <f>IFERROR(__xludf.DUMMYFUNCTION("""COMPUTED_VALUE"""),680.75)</f>
        <v>680.75</v>
      </c>
      <c r="F2" s="6">
        <f>IFERROR(__xludf.DUMMYFUNCTION("""COMPUTED_VALUE"""),5132146.0)</f>
        <v>5132146</v>
      </c>
    </row>
    <row r="3">
      <c r="A3" s="7">
        <f>IFERROR(__xludf.DUMMYFUNCTION("""COMPUTED_VALUE"""),45177.64583333333)</f>
        <v>45177.64583</v>
      </c>
      <c r="B3" s="6">
        <f>IFERROR(__xludf.DUMMYFUNCTION("""COMPUTED_VALUE"""),683.4)</f>
        <v>683.4</v>
      </c>
      <c r="C3" s="6">
        <f>IFERROR(__xludf.DUMMYFUNCTION("""COMPUTED_VALUE"""),779.7)</f>
        <v>779.7</v>
      </c>
      <c r="D3" s="6">
        <f>IFERROR(__xludf.DUMMYFUNCTION("""COMPUTED_VALUE"""),678.1)</f>
        <v>678.1</v>
      </c>
      <c r="E3" s="6">
        <f>IFERROR(__xludf.DUMMYFUNCTION("""COMPUTED_VALUE"""),769.2)</f>
        <v>769.2</v>
      </c>
      <c r="F3" s="6">
        <f>IFERROR(__xludf.DUMMYFUNCTION("""COMPUTED_VALUE"""),9803002.0)</f>
        <v>9803002</v>
      </c>
    </row>
    <row r="4">
      <c r="A4" s="7">
        <f>IFERROR(__xludf.DUMMYFUNCTION("""COMPUTED_VALUE"""),45184.64583333333)</f>
        <v>45184.64583</v>
      </c>
      <c r="B4" s="6">
        <f>IFERROR(__xludf.DUMMYFUNCTION("""COMPUTED_VALUE"""),781.95)</f>
        <v>781.95</v>
      </c>
      <c r="C4" s="6">
        <f>IFERROR(__xludf.DUMMYFUNCTION("""COMPUTED_VALUE"""),821.2)</f>
        <v>821.2</v>
      </c>
      <c r="D4" s="6">
        <f>IFERROR(__xludf.DUMMYFUNCTION("""COMPUTED_VALUE"""),730.0)</f>
        <v>730</v>
      </c>
      <c r="E4" s="6">
        <f>IFERROR(__xludf.DUMMYFUNCTION("""COMPUTED_VALUE"""),796.25)</f>
        <v>796.25</v>
      </c>
      <c r="F4" s="6">
        <f>IFERROR(__xludf.DUMMYFUNCTION("""COMPUTED_VALUE"""),1.1064449E7)</f>
        <v>11064449</v>
      </c>
    </row>
    <row r="5">
      <c r="A5" s="7">
        <f>IFERROR(__xludf.DUMMYFUNCTION("""COMPUTED_VALUE"""),45191.64583333333)</f>
        <v>45191.64583</v>
      </c>
      <c r="B5" s="6">
        <f>IFERROR(__xludf.DUMMYFUNCTION("""COMPUTED_VALUE"""),797.0)</f>
        <v>797</v>
      </c>
      <c r="C5" s="6">
        <f>IFERROR(__xludf.DUMMYFUNCTION("""COMPUTED_VALUE"""),801.5)</f>
        <v>801.5</v>
      </c>
      <c r="D5" s="6">
        <f>IFERROR(__xludf.DUMMYFUNCTION("""COMPUTED_VALUE"""),734.5)</f>
        <v>734.5</v>
      </c>
      <c r="E5" s="6">
        <f>IFERROR(__xludf.DUMMYFUNCTION("""COMPUTED_VALUE"""),740.6)</f>
        <v>740.6</v>
      </c>
      <c r="F5" s="6">
        <f>IFERROR(__xludf.DUMMYFUNCTION("""COMPUTED_VALUE"""),2763480.0)</f>
        <v>2763480</v>
      </c>
    </row>
    <row r="6">
      <c r="A6" s="7">
        <f>IFERROR(__xludf.DUMMYFUNCTION("""COMPUTED_VALUE"""),45198.64583333333)</f>
        <v>45198.64583</v>
      </c>
      <c r="B6" s="6">
        <f>IFERROR(__xludf.DUMMYFUNCTION("""COMPUTED_VALUE"""),742.95)</f>
        <v>742.95</v>
      </c>
      <c r="C6" s="6">
        <f>IFERROR(__xludf.DUMMYFUNCTION("""COMPUTED_VALUE"""),824.0)</f>
        <v>824</v>
      </c>
      <c r="D6" s="6">
        <f>IFERROR(__xludf.DUMMYFUNCTION("""COMPUTED_VALUE"""),715.9)</f>
        <v>715.9</v>
      </c>
      <c r="E6" s="6">
        <f>IFERROR(__xludf.DUMMYFUNCTION("""COMPUTED_VALUE"""),799.95)</f>
        <v>799.95</v>
      </c>
      <c r="F6" s="6">
        <f>IFERROR(__xludf.DUMMYFUNCTION("""COMPUTED_VALUE"""),8029361.0)</f>
        <v>8029361</v>
      </c>
    </row>
    <row r="7">
      <c r="A7" s="7">
        <f>IFERROR(__xludf.DUMMYFUNCTION("""COMPUTED_VALUE"""),45205.64583333333)</f>
        <v>45205.64583</v>
      </c>
      <c r="B7" s="6">
        <f>IFERROR(__xludf.DUMMYFUNCTION("""COMPUTED_VALUE"""),798.0)</f>
        <v>798</v>
      </c>
      <c r="C7" s="6">
        <f>IFERROR(__xludf.DUMMYFUNCTION("""COMPUTED_VALUE"""),802.1)</f>
        <v>802.1</v>
      </c>
      <c r="D7" s="6">
        <f>IFERROR(__xludf.DUMMYFUNCTION("""COMPUTED_VALUE"""),744.65)</f>
        <v>744.65</v>
      </c>
      <c r="E7" s="6">
        <f>IFERROR(__xludf.DUMMYFUNCTION("""COMPUTED_VALUE"""),779.05)</f>
        <v>779.05</v>
      </c>
      <c r="F7" s="6">
        <f>IFERROR(__xludf.DUMMYFUNCTION("""COMPUTED_VALUE"""),4393723.0)</f>
        <v>4393723</v>
      </c>
    </row>
    <row r="8">
      <c r="A8" s="7">
        <f>IFERROR(__xludf.DUMMYFUNCTION("""COMPUTED_VALUE"""),45212.64583333333)</f>
        <v>45212.64583</v>
      </c>
      <c r="B8" s="6">
        <f>IFERROR(__xludf.DUMMYFUNCTION("""COMPUTED_VALUE"""),769.1)</f>
        <v>769.1</v>
      </c>
      <c r="C8" s="6">
        <f>IFERROR(__xludf.DUMMYFUNCTION("""COMPUTED_VALUE"""),829.4)</f>
        <v>829.4</v>
      </c>
      <c r="D8" s="6">
        <f>IFERROR(__xludf.DUMMYFUNCTION("""COMPUTED_VALUE"""),754.25)</f>
        <v>754.25</v>
      </c>
      <c r="E8" s="6">
        <f>IFERROR(__xludf.DUMMYFUNCTION("""COMPUTED_VALUE"""),809.95)</f>
        <v>809.95</v>
      </c>
      <c r="F8" s="6">
        <f>IFERROR(__xludf.DUMMYFUNCTION("""COMPUTED_VALUE"""),7780066.0)</f>
        <v>7780066</v>
      </c>
    </row>
    <row r="9">
      <c r="A9" s="7">
        <f>IFERROR(__xludf.DUMMYFUNCTION("""COMPUTED_VALUE"""),45219.64583333333)</f>
        <v>45219.64583</v>
      </c>
      <c r="B9" s="6">
        <f>IFERROR(__xludf.DUMMYFUNCTION("""COMPUTED_VALUE"""),815.0)</f>
        <v>815</v>
      </c>
      <c r="C9" s="6">
        <f>IFERROR(__xludf.DUMMYFUNCTION("""COMPUTED_VALUE"""),822.4)</f>
        <v>822.4</v>
      </c>
      <c r="D9" s="6">
        <f>IFERROR(__xludf.DUMMYFUNCTION("""COMPUTED_VALUE"""),777.1)</f>
        <v>777.1</v>
      </c>
      <c r="E9" s="6">
        <f>IFERROR(__xludf.DUMMYFUNCTION("""COMPUTED_VALUE"""),815.05)</f>
        <v>815.05</v>
      </c>
      <c r="F9" s="6">
        <f>IFERROR(__xludf.DUMMYFUNCTION("""COMPUTED_VALUE"""),5493117.0)</f>
        <v>5493117</v>
      </c>
    </row>
    <row r="10">
      <c r="A10" s="7">
        <f>IFERROR(__xludf.DUMMYFUNCTION("""COMPUTED_VALUE"""),45226.64583333333)</f>
        <v>45226.64583</v>
      </c>
      <c r="B10" s="6">
        <f>IFERROR(__xludf.DUMMYFUNCTION("""COMPUTED_VALUE"""),809.0)</f>
        <v>809</v>
      </c>
      <c r="C10" s="6">
        <f>IFERROR(__xludf.DUMMYFUNCTION("""COMPUTED_VALUE"""),811.0)</f>
        <v>811</v>
      </c>
      <c r="D10" s="6">
        <f>IFERROR(__xludf.DUMMYFUNCTION("""COMPUTED_VALUE"""),701.7)</f>
        <v>701.7</v>
      </c>
      <c r="E10" s="6">
        <f>IFERROR(__xludf.DUMMYFUNCTION("""COMPUTED_VALUE"""),737.4)</f>
        <v>737.4</v>
      </c>
      <c r="F10" s="6">
        <f>IFERROR(__xludf.DUMMYFUNCTION("""COMPUTED_VALUE"""),5733285.0)</f>
        <v>5733285</v>
      </c>
    </row>
    <row r="11">
      <c r="A11" s="7">
        <f>IFERROR(__xludf.DUMMYFUNCTION("""COMPUTED_VALUE"""),45233.64583333333)</f>
        <v>45233.64583</v>
      </c>
      <c r="B11" s="6">
        <f>IFERROR(__xludf.DUMMYFUNCTION("""COMPUTED_VALUE"""),745.1)</f>
        <v>745.1</v>
      </c>
      <c r="C11" s="6">
        <f>IFERROR(__xludf.DUMMYFUNCTION("""COMPUTED_VALUE"""),868.5)</f>
        <v>868.5</v>
      </c>
      <c r="D11" s="6">
        <f>IFERROR(__xludf.DUMMYFUNCTION("""COMPUTED_VALUE"""),742.2)</f>
        <v>742.2</v>
      </c>
      <c r="E11" s="6">
        <f>IFERROR(__xludf.DUMMYFUNCTION("""COMPUTED_VALUE"""),849.45)</f>
        <v>849.45</v>
      </c>
      <c r="F11" s="6">
        <f>IFERROR(__xludf.DUMMYFUNCTION("""COMPUTED_VALUE"""),9332280.0)</f>
        <v>9332280</v>
      </c>
    </row>
    <row r="12">
      <c r="A12" s="7">
        <f>IFERROR(__xludf.DUMMYFUNCTION("""COMPUTED_VALUE"""),45240.64583333333)</f>
        <v>45240.64583</v>
      </c>
      <c r="B12" s="6">
        <f>IFERROR(__xludf.DUMMYFUNCTION("""COMPUTED_VALUE"""),868.0)</f>
        <v>868</v>
      </c>
      <c r="C12" s="6">
        <f>IFERROR(__xludf.DUMMYFUNCTION("""COMPUTED_VALUE"""),880.0)</f>
        <v>880</v>
      </c>
      <c r="D12" s="6">
        <f>IFERROR(__xludf.DUMMYFUNCTION("""COMPUTED_VALUE"""),821.9)</f>
        <v>821.9</v>
      </c>
      <c r="E12" s="6">
        <f>IFERROR(__xludf.DUMMYFUNCTION("""COMPUTED_VALUE"""),854.1)</f>
        <v>854.1</v>
      </c>
      <c r="F12" s="6">
        <f>IFERROR(__xludf.DUMMYFUNCTION("""COMPUTED_VALUE"""),7091738.0)</f>
        <v>7091738</v>
      </c>
    </row>
    <row r="13">
      <c r="A13" s="7">
        <f>IFERROR(__xludf.DUMMYFUNCTION("""COMPUTED_VALUE"""),45247.64583333333)</f>
        <v>45247.64583</v>
      </c>
      <c r="B13" s="6">
        <f>IFERROR(__xludf.DUMMYFUNCTION("""COMPUTED_VALUE"""),863.45)</f>
        <v>863.45</v>
      </c>
      <c r="C13" s="6">
        <f>IFERROR(__xludf.DUMMYFUNCTION("""COMPUTED_VALUE"""),877.65)</f>
        <v>877.65</v>
      </c>
      <c r="D13" s="6">
        <f>IFERROR(__xludf.DUMMYFUNCTION("""COMPUTED_VALUE"""),839.0)</f>
        <v>839</v>
      </c>
      <c r="E13" s="6">
        <f>IFERROR(__xludf.DUMMYFUNCTION("""COMPUTED_VALUE"""),869.55)</f>
        <v>869.55</v>
      </c>
      <c r="F13" s="6">
        <f>IFERROR(__xludf.DUMMYFUNCTION("""COMPUTED_VALUE"""),7545751.0)</f>
        <v>7545751</v>
      </c>
    </row>
    <row r="14">
      <c r="A14" s="7">
        <f>IFERROR(__xludf.DUMMYFUNCTION("""COMPUTED_VALUE"""),45254.64583333333)</f>
        <v>45254.64583</v>
      </c>
      <c r="B14" s="6">
        <f>IFERROR(__xludf.DUMMYFUNCTION("""COMPUTED_VALUE"""),877.0)</f>
        <v>877</v>
      </c>
      <c r="C14" s="6">
        <f>IFERROR(__xludf.DUMMYFUNCTION("""COMPUTED_VALUE"""),895.0)</f>
        <v>895</v>
      </c>
      <c r="D14" s="6">
        <f>IFERROR(__xludf.DUMMYFUNCTION("""COMPUTED_VALUE"""),843.2)</f>
        <v>843.2</v>
      </c>
      <c r="E14" s="6">
        <f>IFERROR(__xludf.DUMMYFUNCTION("""COMPUTED_VALUE"""),891.4)</f>
        <v>891.4</v>
      </c>
      <c r="F14" s="6">
        <f>IFERROR(__xludf.DUMMYFUNCTION("""COMPUTED_VALUE"""),9871248.0)</f>
        <v>9871248</v>
      </c>
    </row>
    <row r="15">
      <c r="A15" s="7">
        <f>IFERROR(__xludf.DUMMYFUNCTION("""COMPUTED_VALUE"""),45261.64583333333)</f>
        <v>45261.64583</v>
      </c>
      <c r="B15" s="6">
        <f>IFERROR(__xludf.DUMMYFUNCTION("""COMPUTED_VALUE"""),900.0)</f>
        <v>900</v>
      </c>
      <c r="C15" s="6">
        <f>IFERROR(__xludf.DUMMYFUNCTION("""COMPUTED_VALUE"""),932.0)</f>
        <v>932</v>
      </c>
      <c r="D15" s="6">
        <f>IFERROR(__xludf.DUMMYFUNCTION("""COMPUTED_VALUE"""),844.25)</f>
        <v>844.25</v>
      </c>
      <c r="E15" s="6">
        <f>IFERROR(__xludf.DUMMYFUNCTION("""COMPUTED_VALUE"""),919.4)</f>
        <v>919.4</v>
      </c>
      <c r="F15" s="6">
        <f>IFERROR(__xludf.DUMMYFUNCTION("""COMPUTED_VALUE"""),4.1037049E7)</f>
        <v>41037049</v>
      </c>
    </row>
    <row r="16">
      <c r="A16" s="7">
        <f>IFERROR(__xludf.DUMMYFUNCTION("""COMPUTED_VALUE"""),45268.64583333333)</f>
        <v>45268.64583</v>
      </c>
      <c r="B16" s="6">
        <f>IFERROR(__xludf.DUMMYFUNCTION("""COMPUTED_VALUE"""),938.0)</f>
        <v>938</v>
      </c>
      <c r="C16" s="6">
        <f>IFERROR(__xludf.DUMMYFUNCTION("""COMPUTED_VALUE"""),947.7)</f>
        <v>947.7</v>
      </c>
      <c r="D16" s="6">
        <f>IFERROR(__xludf.DUMMYFUNCTION("""COMPUTED_VALUE"""),886.75)</f>
        <v>886.75</v>
      </c>
      <c r="E16" s="6">
        <f>IFERROR(__xludf.DUMMYFUNCTION("""COMPUTED_VALUE"""),917.7)</f>
        <v>917.7</v>
      </c>
      <c r="F16" s="6">
        <f>IFERROR(__xludf.DUMMYFUNCTION("""COMPUTED_VALUE"""),4060054.0)</f>
        <v>4060054</v>
      </c>
    </row>
    <row r="17">
      <c r="A17" s="7">
        <f>IFERROR(__xludf.DUMMYFUNCTION("""COMPUTED_VALUE"""),45275.64583333333)</f>
        <v>45275.64583</v>
      </c>
      <c r="B17" s="6">
        <f>IFERROR(__xludf.DUMMYFUNCTION("""COMPUTED_VALUE"""),922.25)</f>
        <v>922.25</v>
      </c>
      <c r="C17" s="6">
        <f>IFERROR(__xludf.DUMMYFUNCTION("""COMPUTED_VALUE"""),946.9)</f>
        <v>946.9</v>
      </c>
      <c r="D17" s="6">
        <f>IFERROR(__xludf.DUMMYFUNCTION("""COMPUTED_VALUE"""),882.55)</f>
        <v>882.55</v>
      </c>
      <c r="E17" s="6">
        <f>IFERROR(__xludf.DUMMYFUNCTION("""COMPUTED_VALUE"""),934.85)</f>
        <v>934.85</v>
      </c>
      <c r="F17" s="6">
        <f>IFERROR(__xludf.DUMMYFUNCTION("""COMPUTED_VALUE"""),3479813.0)</f>
        <v>3479813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IFERROR(__xludf.DUMMYFUNCTION("""COMPUTED_VALUE"""),945.0)</f>
        <v>945</v>
      </c>
      <c r="C18" s="6">
        <f>IFERROR(__xludf.DUMMYFUNCTION("""COMPUTED_VALUE"""),950.95)</f>
        <v>950.95</v>
      </c>
      <c r="D18" s="6">
        <f>IFERROR(__xludf.DUMMYFUNCTION("""COMPUTED_VALUE"""),877.25)</f>
        <v>877.25</v>
      </c>
      <c r="E18" s="6">
        <f>IFERROR(__xludf.DUMMYFUNCTION("""COMPUTED_VALUE"""),937.2)</f>
        <v>937.2</v>
      </c>
      <c r="F18" s="6">
        <f>IFERROR(__xludf.DUMMYFUNCTION("""COMPUTED_VALUE"""),4225404.0)</f>
        <v>4225404</v>
      </c>
    </row>
    <row r="19">
      <c r="A19" s="7">
        <f>IFERROR(__xludf.DUMMYFUNCTION("""COMPUTED_VALUE"""),45289.64583333333)</f>
        <v>45289.64583</v>
      </c>
      <c r="B19" s="6">
        <f>IFERROR(__xludf.DUMMYFUNCTION("""COMPUTED_VALUE"""),937.4)</f>
        <v>937.4</v>
      </c>
      <c r="C19" s="6">
        <f>IFERROR(__xludf.DUMMYFUNCTION("""COMPUTED_VALUE"""),1030.0)</f>
        <v>1030</v>
      </c>
      <c r="D19" s="6">
        <f>IFERROR(__xludf.DUMMYFUNCTION("""COMPUTED_VALUE"""),922.0)</f>
        <v>922</v>
      </c>
      <c r="E19" s="6">
        <f>IFERROR(__xludf.DUMMYFUNCTION("""COMPUTED_VALUE"""),1023.55)</f>
        <v>1023.55</v>
      </c>
      <c r="F19" s="6">
        <f>IFERROR(__xludf.DUMMYFUNCTION("""COMPUTED_VALUE"""),3137034.0)</f>
        <v>3137034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IFERROR(__xludf.DUMMYFUNCTION("""COMPUTED_VALUE"""),1015.0)</f>
        <v>1015</v>
      </c>
      <c r="C20" s="6">
        <f>IFERROR(__xludf.DUMMYFUNCTION("""COMPUTED_VALUE"""),1198.9)</f>
        <v>1198.9</v>
      </c>
      <c r="D20" s="6">
        <f>IFERROR(__xludf.DUMMYFUNCTION("""COMPUTED_VALUE"""),980.1)</f>
        <v>980.1</v>
      </c>
      <c r="E20" s="6">
        <f>IFERROR(__xludf.DUMMYFUNCTION("""COMPUTED_VALUE"""),1090.55)</f>
        <v>1090.55</v>
      </c>
      <c r="F20" s="6">
        <f>IFERROR(__xludf.DUMMYFUNCTION("""COMPUTED_VALUE"""),9726922.0)</f>
        <v>9726922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IFERROR(__xludf.DUMMYFUNCTION("""COMPUTED_VALUE"""),1091.05)</f>
        <v>1091.05</v>
      </c>
      <c r="C21" s="6">
        <f>IFERROR(__xludf.DUMMYFUNCTION("""COMPUTED_VALUE"""),1225.0)</f>
        <v>1225</v>
      </c>
      <c r="D21" s="6">
        <f>IFERROR(__xludf.DUMMYFUNCTION("""COMPUTED_VALUE"""),1091.05)</f>
        <v>1091.05</v>
      </c>
      <c r="E21" s="6">
        <f>IFERROR(__xludf.DUMMYFUNCTION("""COMPUTED_VALUE"""),1208.05)</f>
        <v>1208.05</v>
      </c>
      <c r="F21" s="6">
        <f>IFERROR(__xludf.DUMMYFUNCTION("""COMPUTED_VALUE"""),5205860.0)</f>
        <v>5205860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IFERROR(__xludf.DUMMYFUNCTION("""COMPUTED_VALUE"""),1143.15)</f>
        <v>1143.15</v>
      </c>
      <c r="C22" s="6">
        <f>IFERROR(__xludf.DUMMYFUNCTION("""COMPUTED_VALUE"""),1143.15)</f>
        <v>1143.15</v>
      </c>
      <c r="D22" s="6">
        <f>IFERROR(__xludf.DUMMYFUNCTION("""COMPUTED_VALUE"""),1010.25)</f>
        <v>1010.25</v>
      </c>
      <c r="E22" s="6">
        <f>IFERROR(__xludf.DUMMYFUNCTION("""COMPUTED_VALUE"""),1056.05)</f>
        <v>1056.05</v>
      </c>
      <c r="F22" s="6">
        <f>IFERROR(__xludf.DUMMYFUNCTION("""COMPUTED_VALUE"""),2832096.0)</f>
        <v>2832096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IFERROR(__xludf.DUMMYFUNCTION("""COMPUTED_VALUE"""),1050.0)</f>
        <v>1050</v>
      </c>
      <c r="C23" s="6">
        <f>IFERROR(__xludf.DUMMYFUNCTION("""COMPUTED_VALUE"""),1138.45)</f>
        <v>1138.45</v>
      </c>
      <c r="D23" s="6">
        <f>IFERROR(__xludf.DUMMYFUNCTION("""COMPUTED_VALUE"""),1023.5)</f>
        <v>1023.5</v>
      </c>
      <c r="E23" s="6">
        <f>IFERROR(__xludf.DUMMYFUNCTION("""COMPUTED_VALUE"""),1114.8)</f>
        <v>1114.8</v>
      </c>
      <c r="F23" s="6">
        <f>IFERROR(__xludf.DUMMYFUNCTION("""COMPUTED_VALUE"""),3613686.0)</f>
        <v>3613686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IFERROR(__xludf.DUMMYFUNCTION("""COMPUTED_VALUE"""),1130.0)</f>
        <v>1130</v>
      </c>
      <c r="C24" s="6">
        <f>IFERROR(__xludf.DUMMYFUNCTION("""COMPUTED_VALUE"""),1207.15)</f>
        <v>1207.15</v>
      </c>
      <c r="D24" s="6">
        <f>IFERROR(__xludf.DUMMYFUNCTION("""COMPUTED_VALUE"""),1062.8)</f>
        <v>1062.8</v>
      </c>
      <c r="E24" s="6">
        <f>IFERROR(__xludf.DUMMYFUNCTION("""COMPUTED_VALUE"""),1088.8)</f>
        <v>1088.8</v>
      </c>
      <c r="F24" s="6">
        <f>IFERROR(__xludf.DUMMYFUNCTION("""COMPUTED_VALUE"""),2570618.0)</f>
        <v>2570618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IFERROR(__xludf.DUMMYFUNCTION("""COMPUTED_VALUE"""),1098.0)</f>
        <v>1098</v>
      </c>
      <c r="C25" s="6">
        <f>IFERROR(__xludf.DUMMYFUNCTION("""COMPUTED_VALUE"""),1114.45)</f>
        <v>1114.45</v>
      </c>
      <c r="D25" s="6">
        <f>IFERROR(__xludf.DUMMYFUNCTION("""COMPUTED_VALUE"""),1010.8)</f>
        <v>1010.8</v>
      </c>
      <c r="E25" s="6">
        <f>IFERROR(__xludf.DUMMYFUNCTION("""COMPUTED_VALUE"""),1073.25)</f>
        <v>1073.25</v>
      </c>
      <c r="F25" s="6">
        <f>IFERROR(__xludf.DUMMYFUNCTION("""COMPUTED_VALUE"""),2315691.0)</f>
        <v>2315691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IFERROR(__xludf.DUMMYFUNCTION("""COMPUTED_VALUE"""),1084.0)</f>
        <v>1084</v>
      </c>
      <c r="C26" s="6">
        <f>IFERROR(__xludf.DUMMYFUNCTION("""COMPUTED_VALUE"""),1179.3)</f>
        <v>1179.3</v>
      </c>
      <c r="D26" s="6">
        <f>IFERROR(__xludf.DUMMYFUNCTION("""COMPUTED_VALUE"""),1068.55)</f>
        <v>1068.55</v>
      </c>
      <c r="E26" s="6">
        <f>IFERROR(__xludf.DUMMYFUNCTION("""COMPUTED_VALUE"""),1110.15)</f>
        <v>1110.15</v>
      </c>
      <c r="F26" s="6">
        <f>IFERROR(__xludf.DUMMYFUNCTION("""COMPUTED_VALUE"""),7324125.0)</f>
        <v>7324125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IFERROR(__xludf.DUMMYFUNCTION("""COMPUTED_VALUE"""),1175.5)</f>
        <v>1175.5</v>
      </c>
      <c r="C27" s="6">
        <f>IFERROR(__xludf.DUMMYFUNCTION("""COMPUTED_VALUE"""),1233.95)</f>
        <v>1233.95</v>
      </c>
      <c r="D27" s="6">
        <f>IFERROR(__xludf.DUMMYFUNCTION("""COMPUTED_VALUE"""),1126.0)</f>
        <v>1126</v>
      </c>
      <c r="E27" s="6">
        <f>IFERROR(__xludf.DUMMYFUNCTION("""COMPUTED_VALUE"""),1172.7)</f>
        <v>1172.7</v>
      </c>
      <c r="F27" s="6">
        <f>IFERROR(__xludf.DUMMYFUNCTION("""COMPUTED_VALUE"""),4228739.0)</f>
        <v>4228739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IFERROR(__xludf.DUMMYFUNCTION("""COMPUTED_VALUE"""),1192.05)</f>
        <v>1192.05</v>
      </c>
      <c r="C28" s="6">
        <f>IFERROR(__xludf.DUMMYFUNCTION("""COMPUTED_VALUE"""),1277.9)</f>
        <v>1277.9</v>
      </c>
      <c r="D28" s="6">
        <f>IFERROR(__xludf.DUMMYFUNCTION("""COMPUTED_VALUE"""),977.35)</f>
        <v>977.35</v>
      </c>
      <c r="E28" s="6">
        <f>IFERROR(__xludf.DUMMYFUNCTION("""COMPUTED_VALUE"""),1003.95)</f>
        <v>1003.95</v>
      </c>
      <c r="F28" s="6">
        <f>IFERROR(__xludf.DUMMYFUNCTION("""COMPUTED_VALUE"""),1.4178609E7)</f>
        <v>14178609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IFERROR(__xludf.DUMMYFUNCTION("""COMPUTED_VALUE"""),1010.0)</f>
        <v>1010</v>
      </c>
      <c r="C29" s="6">
        <f>IFERROR(__xludf.DUMMYFUNCTION("""COMPUTED_VALUE"""),1170.0)</f>
        <v>1170</v>
      </c>
      <c r="D29" s="6">
        <f>IFERROR(__xludf.DUMMYFUNCTION("""COMPUTED_VALUE"""),1010.0)</f>
        <v>1010</v>
      </c>
      <c r="E29" s="6">
        <f>IFERROR(__xludf.DUMMYFUNCTION("""COMPUTED_VALUE"""),1158.2)</f>
        <v>1158.2</v>
      </c>
      <c r="F29" s="6">
        <f>IFERROR(__xludf.DUMMYFUNCTION("""COMPUTED_VALUE"""),5684010.0)</f>
        <v>5684010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IFERROR(__xludf.DUMMYFUNCTION("""COMPUTED_VALUE"""),1136.0)</f>
        <v>1136</v>
      </c>
      <c r="C30" s="6">
        <f>IFERROR(__xludf.DUMMYFUNCTION("""COMPUTED_VALUE"""),1181.45)</f>
        <v>1181.45</v>
      </c>
      <c r="D30" s="6">
        <f>IFERROR(__xludf.DUMMYFUNCTION("""COMPUTED_VALUE"""),1108.2)</f>
        <v>1108.2</v>
      </c>
      <c r="E30" s="6">
        <f>IFERROR(__xludf.DUMMYFUNCTION("""COMPUTED_VALUE"""),1135.85)</f>
        <v>1135.85</v>
      </c>
      <c r="F30" s="6">
        <f>IFERROR(__xludf.DUMMYFUNCTION("""COMPUTED_VALUE"""),3514917.0)</f>
        <v>3514917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IFERROR(__xludf.DUMMYFUNCTION("""COMPUTED_VALUE"""),1135.85)</f>
        <v>1135.85</v>
      </c>
      <c r="C31" s="6">
        <f>IFERROR(__xludf.DUMMYFUNCTION("""COMPUTED_VALUE"""),1195.65)</f>
        <v>1195.65</v>
      </c>
      <c r="D31" s="6">
        <f>IFERROR(__xludf.DUMMYFUNCTION("""COMPUTED_VALUE"""),1110.0)</f>
        <v>1110</v>
      </c>
      <c r="E31" s="6">
        <f>IFERROR(__xludf.DUMMYFUNCTION("""COMPUTED_VALUE"""),1159.7)</f>
        <v>1159.7</v>
      </c>
      <c r="F31" s="6">
        <f>IFERROR(__xludf.DUMMYFUNCTION("""COMPUTED_VALUE"""),4470448.0)</f>
        <v>4470448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IFERROR(__xludf.DUMMYFUNCTION("""COMPUTED_VALUE"""),1176.5)</f>
        <v>1176.5</v>
      </c>
      <c r="C32" s="6">
        <f>IFERROR(__xludf.DUMMYFUNCTION("""COMPUTED_VALUE"""),1253.95)</f>
        <v>1253.95</v>
      </c>
      <c r="D32" s="6">
        <f>IFERROR(__xludf.DUMMYFUNCTION("""COMPUTED_VALUE"""),1169.95)</f>
        <v>1169.95</v>
      </c>
      <c r="E32" s="6">
        <f>IFERROR(__xludf.DUMMYFUNCTION("""COMPUTED_VALUE"""),1198.3)</f>
        <v>1198.3</v>
      </c>
      <c r="F32" s="6">
        <f>IFERROR(__xludf.DUMMYFUNCTION("""COMPUTED_VALUE"""),4104002.0)</f>
        <v>4104002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IFERROR(__xludf.DUMMYFUNCTION("""COMPUTED_VALUE"""),1140.2)</f>
        <v>1140.2</v>
      </c>
      <c r="C33" s="6">
        <f>IFERROR(__xludf.DUMMYFUNCTION("""COMPUTED_VALUE"""),1219.0)</f>
        <v>1219</v>
      </c>
      <c r="D33" s="6">
        <f>IFERROR(__xludf.DUMMYFUNCTION("""COMPUTED_VALUE"""),1137.05)</f>
        <v>1137.05</v>
      </c>
      <c r="E33" s="6">
        <f>IFERROR(__xludf.DUMMYFUNCTION("""COMPUTED_VALUE"""),1171.0)</f>
        <v>1171</v>
      </c>
      <c r="F33" s="6">
        <f>IFERROR(__xludf.DUMMYFUNCTION("""COMPUTED_VALUE"""),2720511.0)</f>
        <v>2720511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IFERROR(__xludf.DUMMYFUNCTION("""COMPUTED_VALUE"""),1194.9)</f>
        <v>1194.9</v>
      </c>
      <c r="C34" s="6">
        <f>IFERROR(__xludf.DUMMYFUNCTION("""COMPUTED_VALUE"""),1309.45)</f>
        <v>1309.45</v>
      </c>
      <c r="D34" s="6">
        <f>IFERROR(__xludf.DUMMYFUNCTION("""COMPUTED_VALUE"""),1171.95)</f>
        <v>1171.95</v>
      </c>
      <c r="E34" s="6">
        <f>IFERROR(__xludf.DUMMYFUNCTION("""COMPUTED_VALUE"""),1197.55)</f>
        <v>1197.55</v>
      </c>
      <c r="F34" s="6">
        <f>IFERROR(__xludf.DUMMYFUNCTION("""COMPUTED_VALUE"""),6596823.0)</f>
        <v>6596823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IFERROR(__xludf.DUMMYFUNCTION("""COMPUTED_VALUE"""),1160.15)</f>
        <v>1160.15</v>
      </c>
      <c r="C35" s="6">
        <f>IFERROR(__xludf.DUMMYFUNCTION("""COMPUTED_VALUE"""),1278.95)</f>
        <v>1278.95</v>
      </c>
      <c r="D35" s="6">
        <f>IFERROR(__xludf.DUMMYFUNCTION("""COMPUTED_VALUE"""),1160.05)</f>
        <v>1160.05</v>
      </c>
      <c r="E35" s="6">
        <f>IFERROR(__xludf.DUMMYFUNCTION("""COMPUTED_VALUE"""),1211.0)</f>
        <v>1211</v>
      </c>
      <c r="F35" s="6">
        <f>IFERROR(__xludf.DUMMYFUNCTION("""COMPUTED_VALUE"""),2827755.0)</f>
        <v>2827755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IFERROR(__xludf.DUMMYFUNCTION("""COMPUTED_VALUE"""),1219.9)</f>
        <v>1219.9</v>
      </c>
      <c r="C36" s="6">
        <f>IFERROR(__xludf.DUMMYFUNCTION("""COMPUTED_VALUE"""),1219.95)</f>
        <v>1219.95</v>
      </c>
      <c r="D36" s="6">
        <f>IFERROR(__xludf.DUMMYFUNCTION("""COMPUTED_VALUE"""),1094.0)</f>
        <v>1094</v>
      </c>
      <c r="E36" s="6">
        <f>IFERROR(__xludf.DUMMYFUNCTION("""COMPUTED_VALUE"""),1125.3)</f>
        <v>1125.3</v>
      </c>
      <c r="F36" s="6">
        <f>IFERROR(__xludf.DUMMYFUNCTION("""COMPUTED_VALUE"""),6029677.0)</f>
        <v>6029677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IFERROR(__xludf.DUMMYFUNCTION("""COMPUTED_VALUE"""),1219.0)</f>
        <v>1219</v>
      </c>
      <c r="C37" s="6">
        <f>IFERROR(__xludf.DUMMYFUNCTION("""COMPUTED_VALUE"""),1379.85)</f>
        <v>1379.85</v>
      </c>
      <c r="D37" s="6">
        <f>IFERROR(__xludf.DUMMYFUNCTION("""COMPUTED_VALUE"""),1202.9)</f>
        <v>1202.9</v>
      </c>
      <c r="E37" s="6">
        <f>IFERROR(__xludf.DUMMYFUNCTION("""COMPUTED_VALUE"""),1335.8)</f>
        <v>1335.8</v>
      </c>
      <c r="F37" s="6">
        <f>IFERROR(__xludf.DUMMYFUNCTION("""COMPUTED_VALUE"""),7374654.0)</f>
        <v>7374654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IFERROR(__xludf.DUMMYFUNCTION("""COMPUTED_VALUE"""),1349.65)</f>
        <v>1349.65</v>
      </c>
      <c r="C38" s="6">
        <f>IFERROR(__xludf.DUMMYFUNCTION("""COMPUTED_VALUE"""),1399.0)</f>
        <v>1399</v>
      </c>
      <c r="D38" s="6">
        <f>IFERROR(__xludf.DUMMYFUNCTION("""COMPUTED_VALUE"""),1276.95)</f>
        <v>1276.95</v>
      </c>
      <c r="E38" s="6">
        <f>IFERROR(__xludf.DUMMYFUNCTION("""COMPUTED_VALUE"""),1377.95)</f>
        <v>1377.95</v>
      </c>
      <c r="F38" s="6">
        <f>IFERROR(__xludf.DUMMYFUNCTION("""COMPUTED_VALUE"""),1.8113853E7)</f>
        <v>18113853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IFERROR(__xludf.DUMMYFUNCTION("""COMPUTED_VALUE"""),1400.0)</f>
        <v>1400</v>
      </c>
      <c r="C39" s="6">
        <f>IFERROR(__xludf.DUMMYFUNCTION("""COMPUTED_VALUE"""),1486.85)</f>
        <v>1486.85</v>
      </c>
      <c r="D39" s="6">
        <f>IFERROR(__xludf.DUMMYFUNCTION("""COMPUTED_VALUE"""),1176.7)</f>
        <v>1176.7</v>
      </c>
      <c r="E39" s="6">
        <f>IFERROR(__xludf.DUMMYFUNCTION("""COMPUTED_VALUE"""),1433.35)</f>
        <v>1433.35</v>
      </c>
      <c r="F39" s="6">
        <f>IFERROR(__xludf.DUMMYFUNCTION("""COMPUTED_VALUE"""),6694207.0)</f>
        <v>6694207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IFERROR(__xludf.DUMMYFUNCTION("""COMPUTED_VALUE"""),1458.0)</f>
        <v>1458</v>
      </c>
      <c r="C40" s="6">
        <f>IFERROR(__xludf.DUMMYFUNCTION("""COMPUTED_VALUE"""),1588.9)</f>
        <v>1588.9</v>
      </c>
      <c r="D40" s="6">
        <f>IFERROR(__xludf.DUMMYFUNCTION("""COMPUTED_VALUE"""),1443.35)</f>
        <v>1443.35</v>
      </c>
      <c r="E40" s="6">
        <f>IFERROR(__xludf.DUMMYFUNCTION("""COMPUTED_VALUE"""),1557.1)</f>
        <v>1557.1</v>
      </c>
      <c r="F40" s="6">
        <f>IFERROR(__xludf.DUMMYFUNCTION("""COMPUTED_VALUE"""),5179650.0)</f>
        <v>5179650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IFERROR(__xludf.DUMMYFUNCTION("""COMPUTED_VALUE"""),1545.0)</f>
        <v>1545</v>
      </c>
      <c r="C41" s="6">
        <f>IFERROR(__xludf.DUMMYFUNCTION("""COMPUTED_VALUE"""),1649.95)</f>
        <v>1649.95</v>
      </c>
      <c r="D41" s="6">
        <f>IFERROR(__xludf.DUMMYFUNCTION("""COMPUTED_VALUE"""),1515.0)</f>
        <v>1515</v>
      </c>
      <c r="E41" s="6">
        <f>IFERROR(__xludf.DUMMYFUNCTION("""COMPUTED_VALUE"""),1594.8)</f>
        <v>1594.8</v>
      </c>
      <c r="F41" s="6">
        <f>IFERROR(__xludf.DUMMYFUNCTION("""COMPUTED_VALUE"""),7377824.0)</f>
        <v>7377824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IFERROR(__xludf.DUMMYFUNCTION("""COMPUTED_VALUE"""),1585.2)</f>
        <v>1585.2</v>
      </c>
      <c r="C42" s="6">
        <f>IFERROR(__xludf.DUMMYFUNCTION("""COMPUTED_VALUE"""),1589.7)</f>
        <v>1589.7</v>
      </c>
      <c r="D42" s="6">
        <f>IFERROR(__xludf.DUMMYFUNCTION("""COMPUTED_VALUE"""),1430.3)</f>
        <v>1430.3</v>
      </c>
      <c r="E42" s="6">
        <f>IFERROR(__xludf.DUMMYFUNCTION("""COMPUTED_VALUE"""),1503.55)</f>
        <v>1503.55</v>
      </c>
      <c r="F42" s="6">
        <f>IFERROR(__xludf.DUMMYFUNCTION("""COMPUTED_VALUE"""),7502687.0)</f>
        <v>7502687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IFERROR(__xludf.DUMMYFUNCTION("""COMPUTED_VALUE"""),1510.0)</f>
        <v>1510</v>
      </c>
      <c r="C43" s="6">
        <f>IFERROR(__xludf.DUMMYFUNCTION("""COMPUTED_VALUE"""),1538.75)</f>
        <v>1538.75</v>
      </c>
      <c r="D43" s="6">
        <f>IFERROR(__xludf.DUMMYFUNCTION("""COMPUTED_VALUE"""),1468.0)</f>
        <v>1468</v>
      </c>
      <c r="E43" s="6">
        <f>IFERROR(__xludf.DUMMYFUNCTION("""COMPUTED_VALUE"""),1533.9)</f>
        <v>1533.9</v>
      </c>
      <c r="F43" s="6">
        <f>IFERROR(__xludf.DUMMYFUNCTION("""COMPUTED_VALUE"""),2108468.0)</f>
        <v>2108468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IFERROR(__xludf.DUMMYFUNCTION("""COMPUTED_VALUE"""),1548.0)</f>
        <v>1548</v>
      </c>
      <c r="C44" s="6">
        <f>IFERROR(__xludf.DUMMYFUNCTION("""COMPUTED_VALUE"""),1595.0)</f>
        <v>1595</v>
      </c>
      <c r="D44" s="6">
        <f>IFERROR(__xludf.DUMMYFUNCTION("""COMPUTED_VALUE"""),1387.9)</f>
        <v>1387.9</v>
      </c>
      <c r="E44" s="6">
        <f>IFERROR(__xludf.DUMMYFUNCTION("""COMPUTED_VALUE"""),1395.8)</f>
        <v>1395.8</v>
      </c>
      <c r="F44" s="6">
        <f>IFERROR(__xludf.DUMMYFUNCTION("""COMPUTED_VALUE"""),4749170.0)</f>
        <v>4749170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IFERROR(__xludf.DUMMYFUNCTION("""COMPUTED_VALUE"""),1416.4)</f>
        <v>1416.4</v>
      </c>
      <c r="C45" s="6">
        <f>IFERROR(__xludf.DUMMYFUNCTION("""COMPUTED_VALUE"""),1522.75)</f>
        <v>1522.75</v>
      </c>
      <c r="D45" s="6">
        <f>IFERROR(__xludf.DUMMYFUNCTION("""COMPUTED_VALUE"""),1370.0)</f>
        <v>1370</v>
      </c>
      <c r="E45" s="6">
        <f>IFERROR(__xludf.DUMMYFUNCTION("""COMPUTED_VALUE"""),1448.65)</f>
        <v>1448.65</v>
      </c>
      <c r="F45" s="6">
        <f>IFERROR(__xludf.DUMMYFUNCTION("""COMPUTED_VALUE"""),5862068.0)</f>
        <v>5862068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IFERROR(__xludf.DUMMYFUNCTION("""COMPUTED_VALUE"""),1407.0)</f>
        <v>1407</v>
      </c>
      <c r="C46" s="6">
        <f>IFERROR(__xludf.DUMMYFUNCTION("""COMPUTED_VALUE"""),1464.05)</f>
        <v>1464.05</v>
      </c>
      <c r="D46" s="6">
        <f>IFERROR(__xludf.DUMMYFUNCTION("""COMPUTED_VALUE"""),1361.0)</f>
        <v>1361</v>
      </c>
      <c r="E46" s="6">
        <f>IFERROR(__xludf.DUMMYFUNCTION("""COMPUTED_VALUE"""),1403.0)</f>
        <v>1403</v>
      </c>
      <c r="F46" s="6">
        <f>IFERROR(__xludf.DUMMYFUNCTION("""COMPUTED_VALUE"""),3737779.0)</f>
        <v>3737779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IFERROR(__xludf.DUMMYFUNCTION("""COMPUTED_VALUE"""),1414.8)</f>
        <v>1414.8</v>
      </c>
      <c r="C47" s="6">
        <f>IFERROR(__xludf.DUMMYFUNCTION("""COMPUTED_VALUE"""),1414.8)</f>
        <v>1414.8</v>
      </c>
      <c r="D47" s="6">
        <f>IFERROR(__xludf.DUMMYFUNCTION("""COMPUTED_VALUE"""),1217.5)</f>
        <v>1217.5</v>
      </c>
      <c r="E47" s="6">
        <f>IFERROR(__xludf.DUMMYFUNCTION("""COMPUTED_VALUE"""),1231.15)</f>
        <v>1231.15</v>
      </c>
      <c r="F47" s="6">
        <f>IFERROR(__xludf.DUMMYFUNCTION("""COMPUTED_VALUE"""),8059818.0)</f>
        <v>8059818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IFERROR(__xludf.DUMMYFUNCTION("""COMPUTED_VALUE"""),1201.75)</f>
        <v>1201.75</v>
      </c>
      <c r="C48" s="6">
        <f>IFERROR(__xludf.DUMMYFUNCTION("""COMPUTED_VALUE"""),1275.0)</f>
        <v>1275</v>
      </c>
      <c r="D48" s="6">
        <f>IFERROR(__xludf.DUMMYFUNCTION("""COMPUTED_VALUE"""),1147.9)</f>
        <v>1147.9</v>
      </c>
      <c r="E48" s="6">
        <f>IFERROR(__xludf.DUMMYFUNCTION("""COMPUTED_VALUE"""),1244.35)</f>
        <v>1244.35</v>
      </c>
      <c r="F48" s="6">
        <f>IFERROR(__xludf.DUMMYFUNCTION("""COMPUTED_VALUE"""),8375809.0)</f>
        <v>8375809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IFERROR(__xludf.DUMMYFUNCTION("""COMPUTED_VALUE"""),1242.25)</f>
        <v>1242.25</v>
      </c>
      <c r="C49" s="6">
        <f>IFERROR(__xludf.DUMMYFUNCTION("""COMPUTED_VALUE"""),1336.0)</f>
        <v>1336</v>
      </c>
      <c r="D49" s="6">
        <f>IFERROR(__xludf.DUMMYFUNCTION("""COMPUTED_VALUE"""),1235.0)</f>
        <v>1235</v>
      </c>
      <c r="E49" s="6">
        <f>IFERROR(__xludf.DUMMYFUNCTION("""COMPUTED_VALUE"""),1296.2)</f>
        <v>1296.2</v>
      </c>
      <c r="F49" s="6">
        <f>IFERROR(__xludf.DUMMYFUNCTION("""COMPUTED_VALUE"""),5589373.0)</f>
        <v>5589373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IFERROR(__xludf.DUMMYFUNCTION("""COMPUTED_VALUE"""),1297.4)</f>
        <v>1297.4</v>
      </c>
      <c r="C50" s="6">
        <f>IFERROR(__xludf.DUMMYFUNCTION("""COMPUTED_VALUE"""),1327.5)</f>
        <v>1327.5</v>
      </c>
      <c r="D50" s="6">
        <f>IFERROR(__xludf.DUMMYFUNCTION("""COMPUTED_VALUE"""),1156.2)</f>
        <v>1156.2</v>
      </c>
      <c r="E50" s="6">
        <f>IFERROR(__xludf.DUMMYFUNCTION("""COMPUTED_VALUE"""),1161.25)</f>
        <v>1161.25</v>
      </c>
      <c r="F50" s="6">
        <f>IFERROR(__xludf.DUMMYFUNCTION("""COMPUTED_VALUE"""),3845638.0)</f>
        <v>3845638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IFERROR(__xludf.DUMMYFUNCTION("""COMPUTED_VALUE"""),1161.75)</f>
        <v>1161.75</v>
      </c>
      <c r="C51" s="6">
        <f>IFERROR(__xludf.DUMMYFUNCTION("""COMPUTED_VALUE"""),1288.55)</f>
        <v>1288.55</v>
      </c>
      <c r="D51" s="6">
        <f>IFERROR(__xludf.DUMMYFUNCTION("""COMPUTED_VALUE"""),1144.0)</f>
        <v>1144</v>
      </c>
      <c r="E51" s="6">
        <f>IFERROR(__xludf.DUMMYFUNCTION("""COMPUTED_VALUE"""),1253.9)</f>
        <v>1253.9</v>
      </c>
      <c r="F51" s="6">
        <f>IFERROR(__xludf.DUMMYFUNCTION("""COMPUTED_VALUE"""),9462534.0)</f>
        <v>9462534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IFERROR(__xludf.DUMMYFUNCTION("""COMPUTED_VALUE"""),1253.9)</f>
        <v>1253.9</v>
      </c>
      <c r="C52" s="6">
        <f>IFERROR(__xludf.DUMMYFUNCTION("""COMPUTED_VALUE"""),1269.0)</f>
        <v>1269</v>
      </c>
      <c r="D52" s="6">
        <f>IFERROR(__xludf.DUMMYFUNCTION("""COMPUTED_VALUE"""),1181.85)</f>
        <v>1181.85</v>
      </c>
      <c r="E52" s="6">
        <f>IFERROR(__xludf.DUMMYFUNCTION("""COMPUTED_VALUE"""),1186.85)</f>
        <v>1186.85</v>
      </c>
      <c r="F52" s="6">
        <f>IFERROR(__xludf.DUMMYFUNCTION("""COMPUTED_VALUE"""),2945007.0)</f>
        <v>2945007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IFERROR(__xludf.DUMMYFUNCTION("""COMPUTED_VALUE"""),1190.25)</f>
        <v>1190.25</v>
      </c>
      <c r="C53" s="6">
        <f>IFERROR(__xludf.DUMMYFUNCTION("""COMPUTED_VALUE"""),1247.7)</f>
        <v>1247.7</v>
      </c>
      <c r="D53" s="6">
        <f>IFERROR(__xludf.DUMMYFUNCTION("""COMPUTED_VALUE"""),1165.6)</f>
        <v>1165.6</v>
      </c>
      <c r="E53" s="6">
        <f>IFERROR(__xludf.DUMMYFUNCTION("""COMPUTED_VALUE"""),1230.2)</f>
        <v>1230.2</v>
      </c>
      <c r="F53" s="6">
        <f>IFERROR(__xludf.DUMMYFUNCTION("""COMPUTED_VALUE"""),3480583.0)</f>
        <v>3480583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IFERROR(__xludf.DUMMYFUNCTION("""COMPUTED_VALUE"""),1275.0)</f>
        <v>1275</v>
      </c>
      <c r="C54" s="6">
        <f>IFERROR(__xludf.DUMMYFUNCTION("""COMPUTED_VALUE"""),1410.0)</f>
        <v>1410</v>
      </c>
      <c r="D54" s="6">
        <f>IFERROR(__xludf.DUMMYFUNCTION("""COMPUTED_VALUE"""),1238.35)</f>
        <v>1238.35</v>
      </c>
      <c r="E54" s="6">
        <f>IFERROR(__xludf.DUMMYFUNCTION("""COMPUTED_VALUE"""),1395.85)</f>
        <v>1395.85</v>
      </c>
      <c r="F54" s="6">
        <f>IFERROR(__xludf.DUMMYFUNCTION("""COMPUTED_VALUE"""),8235705.0)</f>
        <v>8235705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IFERROR(__xludf.DUMMYFUNCTION("""COMPUTED_VALUE"""),1419.0)</f>
        <v>1419</v>
      </c>
      <c r="C55" s="6">
        <f>IFERROR(__xludf.DUMMYFUNCTION("""COMPUTED_VALUE"""),1440.0)</f>
        <v>1440</v>
      </c>
      <c r="D55" s="6">
        <f>IFERROR(__xludf.DUMMYFUNCTION("""COMPUTED_VALUE"""),1280.85)</f>
        <v>1280.85</v>
      </c>
      <c r="E55" s="6">
        <f>IFERROR(__xludf.DUMMYFUNCTION("""COMPUTED_VALUE"""),1300.4)</f>
        <v>1300.4</v>
      </c>
      <c r="F55" s="6">
        <f>IFERROR(__xludf.DUMMYFUNCTION("""COMPUTED_VALUE"""),7786657.0)</f>
        <v>7786657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IFERROR(__xludf.DUMMYFUNCTION("""COMPUTED_VALUE"""),1280.0)</f>
        <v>1280</v>
      </c>
      <c r="C56" s="6">
        <f>IFERROR(__xludf.DUMMYFUNCTION("""COMPUTED_VALUE"""),1288.95)</f>
        <v>1288.95</v>
      </c>
      <c r="D56" s="6">
        <f>IFERROR(__xludf.DUMMYFUNCTION("""COMPUTED_VALUE"""),1123.0)</f>
        <v>1123</v>
      </c>
      <c r="E56" s="6">
        <f>IFERROR(__xludf.DUMMYFUNCTION("""COMPUTED_VALUE"""),1173.25)</f>
        <v>1173.25</v>
      </c>
      <c r="F56" s="6">
        <f>IFERROR(__xludf.DUMMYFUNCTION("""COMPUTED_VALUE"""),8084580.0)</f>
        <v>8084580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IFERROR(__xludf.DUMMYFUNCTION("""COMPUTED_VALUE"""),1204.95)</f>
        <v>1204.95</v>
      </c>
      <c r="C57" s="6">
        <f>IFERROR(__xludf.DUMMYFUNCTION("""COMPUTED_VALUE"""),1225.0)</f>
        <v>1225</v>
      </c>
      <c r="D57" s="6">
        <f>IFERROR(__xludf.DUMMYFUNCTION("""COMPUTED_VALUE"""),1147.75)</f>
        <v>1147.75</v>
      </c>
      <c r="E57" s="6">
        <f>IFERROR(__xludf.DUMMYFUNCTION("""COMPUTED_VALUE"""),1169.85)</f>
        <v>1169.85</v>
      </c>
      <c r="F57" s="6">
        <f>IFERROR(__xludf.DUMMYFUNCTION("""COMPUTED_VALUE"""),6910877.0)</f>
        <v>6910877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IFERROR(__xludf.DUMMYFUNCTION("""COMPUTED_VALUE"""),1179.0)</f>
        <v>1179</v>
      </c>
      <c r="C58" s="6">
        <f>IFERROR(__xludf.DUMMYFUNCTION("""COMPUTED_VALUE"""),1234.0)</f>
        <v>1234</v>
      </c>
      <c r="D58" s="6">
        <f>IFERROR(__xludf.DUMMYFUNCTION("""COMPUTED_VALUE"""),1141.1)</f>
        <v>1141.1</v>
      </c>
      <c r="E58" s="6">
        <f>IFERROR(__xludf.DUMMYFUNCTION("""COMPUTED_VALUE"""),1161.0)</f>
        <v>1161</v>
      </c>
      <c r="F58" s="6">
        <f>IFERROR(__xludf.DUMMYFUNCTION("""COMPUTED_VALUE"""),4268357.0)</f>
        <v>4268357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IFERROR(__xludf.DUMMYFUNCTION("""COMPUTED_VALUE"""),1167.85)</f>
        <v>1167.85</v>
      </c>
      <c r="C59" s="6">
        <f>IFERROR(__xludf.DUMMYFUNCTION("""COMPUTED_VALUE"""),1181.95)</f>
        <v>1181.95</v>
      </c>
      <c r="D59" s="6">
        <f>IFERROR(__xludf.DUMMYFUNCTION("""COMPUTED_VALUE"""),1043.5)</f>
        <v>1043.5</v>
      </c>
      <c r="E59" s="6">
        <f>IFERROR(__xludf.DUMMYFUNCTION("""COMPUTED_VALUE"""),1082.35)</f>
        <v>1082.35</v>
      </c>
      <c r="F59" s="6">
        <f>IFERROR(__xludf.DUMMYFUNCTION("""COMPUTED_VALUE"""),5017519.0)</f>
        <v>5017519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IFERROR(__xludf.DUMMYFUNCTION("""COMPUTED_VALUE"""),1212.75)</f>
        <v>1212.75</v>
      </c>
      <c r="C60" s="6">
        <f>IFERROR(__xludf.DUMMYFUNCTION("""COMPUTED_VALUE"""),1285.45)</f>
        <v>1285.45</v>
      </c>
      <c r="D60" s="6">
        <f>IFERROR(__xludf.DUMMYFUNCTION("""COMPUTED_VALUE"""),1152.05)</f>
        <v>1152.05</v>
      </c>
      <c r="E60" s="6">
        <f>IFERROR(__xludf.DUMMYFUNCTION("""COMPUTED_VALUE"""),1170.3)</f>
        <v>1170.3</v>
      </c>
      <c r="F60" s="6">
        <f>IFERROR(__xludf.DUMMYFUNCTION("""COMPUTED_VALUE"""),5508708.0)</f>
        <v>5508708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IFERROR(__xludf.DUMMYFUNCTION("""COMPUTED_VALUE"""),1170.25)</f>
        <v>1170.25</v>
      </c>
      <c r="C61" s="6">
        <f>IFERROR(__xludf.DUMMYFUNCTION("""COMPUTED_VALUE"""),1291.0)</f>
        <v>1291</v>
      </c>
      <c r="D61" s="6">
        <f>IFERROR(__xludf.DUMMYFUNCTION("""COMPUTED_VALUE"""),1161.75)</f>
        <v>1161.75</v>
      </c>
      <c r="E61" s="6">
        <f>IFERROR(__xludf.DUMMYFUNCTION("""COMPUTED_VALUE"""),1222.15)</f>
        <v>1222.15</v>
      </c>
      <c r="F61" s="6">
        <f>IFERROR(__xludf.DUMMYFUNCTION("""COMPUTED_VALUE"""),7519820.0)</f>
        <v>7519820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IFERROR(__xludf.DUMMYFUNCTION("""COMPUTED_VALUE"""),1263.0)</f>
        <v>1263</v>
      </c>
      <c r="C62" s="6">
        <f>IFERROR(__xludf.DUMMYFUNCTION("""COMPUTED_VALUE"""),1294.0)</f>
        <v>1294</v>
      </c>
      <c r="D62" s="6">
        <f>IFERROR(__xludf.DUMMYFUNCTION("""COMPUTED_VALUE"""),1163.05)</f>
        <v>1163.05</v>
      </c>
      <c r="E62" s="6">
        <f>IFERROR(__xludf.DUMMYFUNCTION("""COMPUTED_VALUE"""),1244.85)</f>
        <v>1244.85</v>
      </c>
      <c r="F62" s="6">
        <f>IFERROR(__xludf.DUMMYFUNCTION("""COMPUTED_VALUE"""),7414855.0)</f>
        <v>7414855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IFERROR(__xludf.DUMMYFUNCTION("""COMPUTED_VALUE"""),1324.95)</f>
        <v>1324.95</v>
      </c>
      <c r="C63" s="6">
        <f>IFERROR(__xludf.DUMMYFUNCTION("""COMPUTED_VALUE"""),1326.4)</f>
        <v>1326.4</v>
      </c>
      <c r="D63" s="6">
        <f>IFERROR(__xludf.DUMMYFUNCTION("""COMPUTED_VALUE"""),1212.15)</f>
        <v>1212.15</v>
      </c>
      <c r="E63" s="6">
        <f>IFERROR(__xludf.DUMMYFUNCTION("""COMPUTED_VALUE"""),1253.2)</f>
        <v>1253.2</v>
      </c>
      <c r="F63" s="6">
        <f>IFERROR(__xludf.DUMMYFUNCTION("""COMPUTED_VALUE"""),1.200721E7)</f>
        <v>12007210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IFERROR(__xludf.DUMMYFUNCTION("""COMPUTED_VALUE"""),1254.45)</f>
        <v>1254.45</v>
      </c>
      <c r="C64" s="6">
        <f>IFERROR(__xludf.DUMMYFUNCTION("""COMPUTED_VALUE"""),1397.4)</f>
        <v>1397.4</v>
      </c>
      <c r="D64" s="6">
        <f>IFERROR(__xludf.DUMMYFUNCTION("""COMPUTED_VALUE"""),1246.0)</f>
        <v>1246</v>
      </c>
      <c r="E64" s="6">
        <f>IFERROR(__xludf.DUMMYFUNCTION("""COMPUTED_VALUE"""),1371.3)</f>
        <v>1371.3</v>
      </c>
      <c r="F64" s="6">
        <f>IFERROR(__xludf.DUMMYFUNCTION("""COMPUTED_VALUE"""),9695134.0)</f>
        <v>9695134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IFERROR(__xludf.DUMMYFUNCTION("""COMPUTED_VALUE"""),1356.0)</f>
        <v>1356</v>
      </c>
      <c r="C65" s="6">
        <f>IFERROR(__xludf.DUMMYFUNCTION("""COMPUTED_VALUE"""),1442.1)</f>
        <v>1442.1</v>
      </c>
      <c r="D65" s="6">
        <f>IFERROR(__xludf.DUMMYFUNCTION("""COMPUTED_VALUE"""),1354.05)</f>
        <v>1354.05</v>
      </c>
      <c r="E65" s="6">
        <f>IFERROR(__xludf.DUMMYFUNCTION("""COMPUTED_VALUE"""),1418.05)</f>
        <v>1418.05</v>
      </c>
      <c r="F65" s="6">
        <f>IFERROR(__xludf.DUMMYFUNCTION("""COMPUTED_VALUE"""),7770685.0)</f>
        <v>7770685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IFERROR(__xludf.DUMMYFUNCTION("""COMPUTED_VALUE"""),1428.0)</f>
        <v>1428</v>
      </c>
      <c r="C66" s="6">
        <f>IFERROR(__xludf.DUMMYFUNCTION("""COMPUTED_VALUE"""),1523.0)</f>
        <v>1523</v>
      </c>
      <c r="D66" s="6">
        <f>IFERROR(__xludf.DUMMYFUNCTION("""COMPUTED_VALUE"""),1392.0)</f>
        <v>1392</v>
      </c>
      <c r="E66" s="6">
        <f>IFERROR(__xludf.DUMMYFUNCTION("""COMPUTED_VALUE"""),1400.7)</f>
        <v>1400.7</v>
      </c>
      <c r="F66" s="6">
        <f>IFERROR(__xludf.DUMMYFUNCTION("""COMPUTED_VALUE"""),9950536.0)</f>
        <v>9950536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IFERROR(__xludf.DUMMYFUNCTION("""COMPUTED_VALUE"""),1404.35)</f>
        <v>1404.35</v>
      </c>
      <c r="C67" s="6">
        <f>IFERROR(__xludf.DUMMYFUNCTION("""COMPUTED_VALUE"""),1465.8)</f>
        <v>1465.8</v>
      </c>
      <c r="D67" s="6">
        <f>IFERROR(__xludf.DUMMYFUNCTION("""COMPUTED_VALUE"""),1384.25)</f>
        <v>1384.25</v>
      </c>
      <c r="E67" s="6">
        <f>IFERROR(__xludf.DUMMYFUNCTION("""COMPUTED_VALUE"""),1408.35)</f>
        <v>1408.35</v>
      </c>
      <c r="F67" s="6">
        <f>IFERROR(__xludf.DUMMYFUNCTION("""COMPUTED_VALUE"""),4505671.0)</f>
        <v>4505671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IFERROR(__xludf.DUMMYFUNCTION("""COMPUTED_VALUE"""),1395.05)</f>
        <v>1395.05</v>
      </c>
      <c r="C68" s="6">
        <f>IFERROR(__xludf.DUMMYFUNCTION("""COMPUTED_VALUE"""),1461.2)</f>
        <v>1461.2</v>
      </c>
      <c r="D68" s="6">
        <f>IFERROR(__xludf.DUMMYFUNCTION("""COMPUTED_VALUE"""),1346.6)</f>
        <v>1346.6</v>
      </c>
      <c r="E68" s="6">
        <f>IFERROR(__xludf.DUMMYFUNCTION("""COMPUTED_VALUE"""),1399.55)</f>
        <v>1399.55</v>
      </c>
      <c r="F68" s="6">
        <f>IFERROR(__xludf.DUMMYFUNCTION("""COMPUTED_VALUE"""),7262622.0)</f>
        <v>7262622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IFERROR(__xludf.DUMMYFUNCTION("""COMPUTED_VALUE"""),1421.0)</f>
        <v>1421</v>
      </c>
      <c r="C69" s="6">
        <f>IFERROR(__xludf.DUMMYFUNCTION("""COMPUTED_VALUE"""),1448.0)</f>
        <v>1448</v>
      </c>
      <c r="D69" s="6">
        <f>IFERROR(__xludf.DUMMYFUNCTION("""COMPUTED_VALUE"""),1276.85)</f>
        <v>1276.85</v>
      </c>
      <c r="E69" s="6">
        <f>IFERROR(__xludf.DUMMYFUNCTION("""COMPUTED_VALUE"""),1283.7)</f>
        <v>1283.7</v>
      </c>
      <c r="F69" s="6">
        <f>IFERROR(__xludf.DUMMYFUNCTION("""COMPUTED_VALUE"""),3634737.0)</f>
        <v>3634737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IFERROR(__xludf.DUMMYFUNCTION("""COMPUTED_VALUE"""),1256.9)</f>
        <v>1256.9</v>
      </c>
      <c r="C70" s="6">
        <f>IFERROR(__xludf.DUMMYFUNCTION("""COMPUTED_VALUE"""),1259.9)</f>
        <v>1259.9</v>
      </c>
      <c r="D70" s="6">
        <f>IFERROR(__xludf.DUMMYFUNCTION("""COMPUTED_VALUE"""),1110.0)</f>
        <v>1110</v>
      </c>
      <c r="E70" s="6">
        <f>IFERROR(__xludf.DUMMYFUNCTION("""COMPUTED_VALUE"""),1176.95)</f>
        <v>1176.95</v>
      </c>
      <c r="F70" s="6">
        <f>IFERROR(__xludf.DUMMYFUNCTION("""COMPUTED_VALUE"""),1.3622498E7)</f>
        <v>13622498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IFERROR(__xludf.DUMMYFUNCTION("""COMPUTED_VALUE"""),1180.45)</f>
        <v>1180.45</v>
      </c>
      <c r="C71" s="6">
        <f>IFERROR(__xludf.DUMMYFUNCTION("""COMPUTED_VALUE"""),1222.5)</f>
        <v>1222.5</v>
      </c>
      <c r="D71" s="6">
        <f>IFERROR(__xludf.DUMMYFUNCTION("""COMPUTED_VALUE"""),1053.2)</f>
        <v>1053.2</v>
      </c>
      <c r="E71" s="6">
        <f>IFERROR(__xludf.DUMMYFUNCTION("""COMPUTED_VALUE"""),1099.55)</f>
        <v>1099.55</v>
      </c>
      <c r="F71" s="6">
        <f>IFERROR(__xludf.DUMMYFUNCTION("""COMPUTED_VALUE"""),1.1087888E7)</f>
        <v>11087888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IFERROR(__xludf.DUMMYFUNCTION("""COMPUTED_VALUE"""),1249.85)</f>
        <v>1249.85</v>
      </c>
      <c r="C72" s="6">
        <f>IFERROR(__xludf.DUMMYFUNCTION("""COMPUTED_VALUE"""),1305.05)</f>
        <v>1305.05</v>
      </c>
      <c r="D72" s="6">
        <f>IFERROR(__xludf.DUMMYFUNCTION("""COMPUTED_VALUE"""),1194.1)</f>
        <v>1194.1</v>
      </c>
      <c r="E72" s="6">
        <f>IFERROR(__xludf.DUMMYFUNCTION("""COMPUTED_VALUE"""),1238.8)</f>
        <v>1238.8</v>
      </c>
      <c r="F72" s="6">
        <f>IFERROR(__xludf.DUMMYFUNCTION("""COMPUTED_VALUE"""),8113593.0)</f>
        <v>8113593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IFERROR(__xludf.DUMMYFUNCTION("""COMPUTED_VALUE"""),1236.0)</f>
        <v>1236</v>
      </c>
      <c r="C73" s="6">
        <f>IFERROR(__xludf.DUMMYFUNCTION("""COMPUTED_VALUE"""),1244.95)</f>
        <v>1244.95</v>
      </c>
      <c r="D73" s="6">
        <f>IFERROR(__xludf.DUMMYFUNCTION("""COMPUTED_VALUE"""),1135.2)</f>
        <v>1135.2</v>
      </c>
      <c r="E73" s="6">
        <f>IFERROR(__xludf.DUMMYFUNCTION("""COMPUTED_VALUE"""),1153.55)</f>
        <v>1153.55</v>
      </c>
      <c r="F73" s="6">
        <f>IFERROR(__xludf.DUMMYFUNCTION("""COMPUTED_VALUE"""),8531977.0)</f>
        <v>8531977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IFERROR(__xludf.DUMMYFUNCTION("""COMPUTED_VALUE"""),1144.0)</f>
        <v>1144</v>
      </c>
      <c r="C74" s="6">
        <f>IFERROR(__xludf.DUMMYFUNCTION("""COMPUTED_VALUE"""),1222.35)</f>
        <v>1222.35</v>
      </c>
      <c r="D74" s="6">
        <f>IFERROR(__xludf.DUMMYFUNCTION("""COMPUTED_VALUE"""),1123.6)</f>
        <v>1123.6</v>
      </c>
      <c r="E74" s="6">
        <f>IFERROR(__xludf.DUMMYFUNCTION("""COMPUTED_VALUE"""),1215.55)</f>
        <v>1215.55</v>
      </c>
      <c r="F74" s="6">
        <f>IFERROR(__xludf.DUMMYFUNCTION("""COMPUTED_VALUE"""),5098946.0)</f>
        <v>5098946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IFERROR(__xludf.DUMMYFUNCTION("""COMPUTED_VALUE"""),1197.0)</f>
        <v>1197</v>
      </c>
      <c r="C75" s="6">
        <f>IFERROR(__xludf.DUMMYFUNCTION("""COMPUTED_VALUE"""),1215.0)</f>
        <v>1215</v>
      </c>
      <c r="D75" s="6">
        <f>IFERROR(__xludf.DUMMYFUNCTION("""COMPUTED_VALUE"""),1120.05)</f>
        <v>1120.05</v>
      </c>
      <c r="E75" s="6">
        <f>IFERROR(__xludf.DUMMYFUNCTION("""COMPUTED_VALUE"""),1130.9)</f>
        <v>1130.9</v>
      </c>
      <c r="F75" s="6">
        <f>IFERROR(__xludf.DUMMYFUNCTION("""COMPUTED_VALUE"""),8905313.0)</f>
        <v>8905313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IFERROR(__xludf.DUMMYFUNCTION("""COMPUTED_VALUE"""),1131.25)</f>
        <v>1131.25</v>
      </c>
      <c r="C76" s="6">
        <f>IFERROR(__xludf.DUMMYFUNCTION("""COMPUTED_VALUE"""),1172.75)</f>
        <v>1172.75</v>
      </c>
      <c r="D76" s="6">
        <f>IFERROR(__xludf.DUMMYFUNCTION("""COMPUTED_VALUE"""),1087.05)</f>
        <v>1087.05</v>
      </c>
      <c r="E76" s="6">
        <f>IFERROR(__xludf.DUMMYFUNCTION("""COMPUTED_VALUE"""),1113.0)</f>
        <v>1113</v>
      </c>
      <c r="F76" s="6">
        <f>IFERROR(__xludf.DUMMYFUNCTION("""COMPUTED_VALUE"""),5020168.0)</f>
        <v>5020168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IFERROR(__xludf.DUMMYFUNCTION("""COMPUTED_VALUE"""),1118.0)</f>
        <v>1118</v>
      </c>
      <c r="C77" s="6">
        <f>IFERROR(__xludf.DUMMYFUNCTION("""COMPUTED_VALUE"""),1149.95)</f>
        <v>1149.95</v>
      </c>
      <c r="D77" s="6">
        <f>IFERROR(__xludf.DUMMYFUNCTION("""COMPUTED_VALUE"""),1050.15)</f>
        <v>1050.15</v>
      </c>
      <c r="E77" s="6">
        <f>IFERROR(__xludf.DUMMYFUNCTION("""COMPUTED_VALUE"""),1055.25)</f>
        <v>1055.25</v>
      </c>
      <c r="F77" s="6">
        <f>IFERROR(__xludf.DUMMYFUNCTION("""COMPUTED_VALUE"""),6349362.0)</f>
        <v>6349362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IFERROR(__xludf.DUMMYFUNCTION("""COMPUTED_VALUE"""),1049.0)</f>
        <v>1049</v>
      </c>
      <c r="C78" s="6">
        <f>IFERROR(__xludf.DUMMYFUNCTION("""COMPUTED_VALUE"""),1238.1)</f>
        <v>1238.1</v>
      </c>
      <c r="D78" s="6">
        <f>IFERROR(__xludf.DUMMYFUNCTION("""COMPUTED_VALUE"""),1035.15)</f>
        <v>1035.15</v>
      </c>
      <c r="E78" s="6">
        <f>IFERROR(__xludf.DUMMYFUNCTION("""COMPUTED_VALUE"""),1180.75)</f>
        <v>1180.75</v>
      </c>
      <c r="F78" s="6">
        <f>IFERROR(__xludf.DUMMYFUNCTION("""COMPUTED_VALUE"""),8768042.0)</f>
        <v>8768042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IFERROR(__xludf.DUMMYFUNCTION("""COMPUTED_VALUE"""),1190.0)</f>
        <v>1190</v>
      </c>
      <c r="C79" s="6">
        <f>IFERROR(__xludf.DUMMYFUNCTION("""COMPUTED_VALUE"""),1255.0)</f>
        <v>1255</v>
      </c>
      <c r="D79" s="6">
        <f>IFERROR(__xludf.DUMMYFUNCTION("""COMPUTED_VALUE"""),1188.45)</f>
        <v>1188.45</v>
      </c>
      <c r="E79" s="6">
        <f>IFERROR(__xludf.DUMMYFUNCTION("""COMPUTED_VALUE"""),1195.8)</f>
        <v>1195.8</v>
      </c>
      <c r="F79" s="6">
        <f>IFERROR(__xludf.DUMMYFUNCTION("""COMPUTED_VALUE"""),5908023.0)</f>
        <v>5908023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IFERROR(__xludf.DUMMYFUNCTION("""COMPUTED_VALUE"""),1205.0)</f>
        <v>1205</v>
      </c>
      <c r="C80" s="6">
        <f>IFERROR(__xludf.DUMMYFUNCTION("""COMPUTED_VALUE"""),1231.75)</f>
        <v>1231.75</v>
      </c>
      <c r="D80" s="6">
        <f>IFERROR(__xludf.DUMMYFUNCTION("""COMPUTED_VALUE"""),1147.0)</f>
        <v>1147</v>
      </c>
      <c r="E80" s="6">
        <f>IFERROR(__xludf.DUMMYFUNCTION("""COMPUTED_VALUE"""),1180.85)</f>
        <v>1180.85</v>
      </c>
      <c r="F80" s="6">
        <f>IFERROR(__xludf.DUMMYFUNCTION("""COMPUTED_VALUE"""),4299015.0)</f>
        <v>4299015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IFERROR(__xludf.DUMMYFUNCTION("""COMPUTED_VALUE"""),1116.55)</f>
        <v>1116.55</v>
      </c>
      <c r="C81" s="6">
        <f>IFERROR(__xludf.DUMMYFUNCTION("""COMPUTED_VALUE"""),1149.8)</f>
        <v>1149.8</v>
      </c>
      <c r="D81" s="6">
        <f>IFERROR(__xludf.DUMMYFUNCTION("""COMPUTED_VALUE"""),1076.0)</f>
        <v>1076</v>
      </c>
      <c r="E81" s="6">
        <f>IFERROR(__xludf.DUMMYFUNCTION("""COMPUTED_VALUE"""),1122.6)</f>
        <v>1122.6</v>
      </c>
      <c r="F81" s="6">
        <f>IFERROR(__xludf.DUMMYFUNCTION("""COMPUTED_VALUE"""),5986368.0)</f>
        <v>5986368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IFERROR(__xludf.DUMMYFUNCTION("""COMPUTED_VALUE"""),1157.0)</f>
        <v>1157</v>
      </c>
      <c r="C82" s="6">
        <f>IFERROR(__xludf.DUMMYFUNCTION("""COMPUTED_VALUE"""),1262.4)</f>
        <v>1262.4</v>
      </c>
      <c r="D82" s="6">
        <f>IFERROR(__xludf.DUMMYFUNCTION("""COMPUTED_VALUE"""),1145.0)</f>
        <v>1145</v>
      </c>
      <c r="E82" s="6">
        <f>IFERROR(__xludf.DUMMYFUNCTION("""COMPUTED_VALUE"""),1236.1)</f>
        <v>1236.1</v>
      </c>
      <c r="F82" s="6">
        <f>IFERROR(__xludf.DUMMYFUNCTION("""COMPUTED_VALUE"""),7075278.0)</f>
        <v>7075278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IFERROR(__xludf.DUMMYFUNCTION("""COMPUTED_VALUE"""),1250.0)</f>
        <v>1250</v>
      </c>
      <c r="C83" s="6">
        <f>IFERROR(__xludf.DUMMYFUNCTION("""COMPUTED_VALUE"""),1390.0)</f>
        <v>1390</v>
      </c>
      <c r="D83" s="6">
        <f>IFERROR(__xludf.DUMMYFUNCTION("""COMPUTED_VALUE"""),1239.0)</f>
        <v>1239</v>
      </c>
      <c r="E83" s="6">
        <f>IFERROR(__xludf.DUMMYFUNCTION("""COMPUTED_VALUE"""),1305.1)</f>
        <v>1305.1</v>
      </c>
      <c r="F83" s="6">
        <f>IFERROR(__xludf.DUMMYFUNCTION("""COMPUTED_VALUE"""),1.197787E7)</f>
        <v>11977870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IFERROR(__xludf.DUMMYFUNCTION("""COMPUTED_VALUE"""),1314.7)</f>
        <v>1314.7</v>
      </c>
      <c r="C84" s="6">
        <f>IFERROR(__xludf.DUMMYFUNCTION("""COMPUTED_VALUE"""),1382.5)</f>
        <v>1382.5</v>
      </c>
      <c r="D84" s="6">
        <f>IFERROR(__xludf.DUMMYFUNCTION("""COMPUTED_VALUE"""),1272.6)</f>
        <v>1272.6</v>
      </c>
      <c r="E84" s="6">
        <f>IFERROR(__xludf.DUMMYFUNCTION("""COMPUTED_VALUE"""),1341.5)</f>
        <v>1341.5</v>
      </c>
      <c r="F84" s="6">
        <f>IFERROR(__xludf.DUMMYFUNCTION("""COMPUTED_VALUE"""),9270985.0)</f>
        <v>9270985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IFERROR(__xludf.DUMMYFUNCTION("""COMPUTED_VALUE"""),1359.0)</f>
        <v>1359</v>
      </c>
      <c r="C85" s="6">
        <f>IFERROR(__xludf.DUMMYFUNCTION("""COMPUTED_VALUE"""),1359.0)</f>
        <v>1359</v>
      </c>
      <c r="D85" s="6">
        <f>IFERROR(__xludf.DUMMYFUNCTION("""COMPUTED_VALUE"""),1225.0)</f>
        <v>1225</v>
      </c>
      <c r="E85" s="6">
        <f>IFERROR(__xludf.DUMMYFUNCTION("""COMPUTED_VALUE"""),1234.3)</f>
        <v>1234.3</v>
      </c>
      <c r="F85" s="6">
        <f>IFERROR(__xludf.DUMMYFUNCTION("""COMPUTED_VALUE"""),4884561.0)</f>
        <v>4884561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IFERROR(__xludf.DUMMYFUNCTION("""COMPUTED_VALUE"""),1300.0)</f>
        <v>1300</v>
      </c>
      <c r="C86" s="6">
        <f>IFERROR(__xludf.DUMMYFUNCTION("""COMPUTED_VALUE"""),1411.8)</f>
        <v>1411.8</v>
      </c>
      <c r="D86" s="6">
        <f>IFERROR(__xludf.DUMMYFUNCTION("""COMPUTED_VALUE"""),1250.0)</f>
        <v>1250</v>
      </c>
      <c r="E86" s="6">
        <f>IFERROR(__xludf.DUMMYFUNCTION("""COMPUTED_VALUE"""),1394.8)</f>
        <v>1394.8</v>
      </c>
      <c r="F86" s="6">
        <f>IFERROR(__xludf.DUMMYFUNCTION("""COMPUTED_VALUE"""),8428796.0)</f>
        <v>8428796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IFERROR(__xludf.DUMMYFUNCTION("""COMPUTED_VALUE"""),1394.8)</f>
        <v>1394.8</v>
      </c>
      <c r="C87" s="6">
        <f>IFERROR(__xludf.DUMMYFUNCTION("""COMPUTED_VALUE"""),1434.0)</f>
        <v>1434</v>
      </c>
      <c r="D87" s="6">
        <f>IFERROR(__xludf.DUMMYFUNCTION("""COMPUTED_VALUE"""),1375.0)</f>
        <v>1375</v>
      </c>
      <c r="E87" s="6">
        <f>IFERROR(__xludf.DUMMYFUNCTION("""COMPUTED_VALUE"""),1412.8)</f>
        <v>1412.8</v>
      </c>
      <c r="F87" s="6">
        <f>IFERROR(__xludf.DUMMYFUNCTION("""COMPUTED_VALUE"""),4405781.0)</f>
        <v>4405781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IFERROR(__xludf.DUMMYFUNCTION("""COMPUTED_VALUE"""),1420.0)</f>
        <v>1420</v>
      </c>
      <c r="C88" s="6">
        <f>IFERROR(__xludf.DUMMYFUNCTION("""COMPUTED_VALUE"""),1483.5)</f>
        <v>1483.5</v>
      </c>
      <c r="D88" s="6">
        <f>IFERROR(__xludf.DUMMYFUNCTION("""COMPUTED_VALUE"""),1411.2)</f>
        <v>1411.2</v>
      </c>
      <c r="E88" s="6">
        <f>IFERROR(__xludf.DUMMYFUNCTION("""COMPUTED_VALUE"""),1425.5)</f>
        <v>1425.5</v>
      </c>
      <c r="F88" s="6">
        <f>IFERROR(__xludf.DUMMYFUNCTION("""COMPUTED_VALUE"""),8676996.0)</f>
        <v>8676996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IFERROR(__xludf.DUMMYFUNCTION("""COMPUTED_VALUE"""),1420.0)</f>
        <v>1420</v>
      </c>
      <c r="C89" s="6">
        <f>IFERROR(__xludf.DUMMYFUNCTION("""COMPUTED_VALUE"""),1529.9)</f>
        <v>1529.9</v>
      </c>
      <c r="D89" s="6">
        <f>IFERROR(__xludf.DUMMYFUNCTION("""COMPUTED_VALUE"""),1412.1)</f>
        <v>1412.1</v>
      </c>
      <c r="E89" s="6">
        <f>IFERROR(__xludf.DUMMYFUNCTION("""COMPUTED_VALUE"""),1516.0)</f>
        <v>1516</v>
      </c>
      <c r="F89" s="6">
        <f>IFERROR(__xludf.DUMMYFUNCTION("""COMPUTED_VALUE"""),8225698.0)</f>
        <v>8225698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IFERROR(__xludf.DUMMYFUNCTION("""COMPUTED_VALUE"""),1530.0)</f>
        <v>1530</v>
      </c>
      <c r="C90" s="6">
        <f>IFERROR(__xludf.DUMMYFUNCTION("""COMPUTED_VALUE"""),1531.0)</f>
        <v>1531</v>
      </c>
      <c r="D90" s="6">
        <f>IFERROR(__xludf.DUMMYFUNCTION("""COMPUTED_VALUE"""),1420.0)</f>
        <v>1420</v>
      </c>
      <c r="E90" s="6">
        <f>IFERROR(__xludf.DUMMYFUNCTION("""COMPUTED_VALUE"""),1452.6)</f>
        <v>1452.6</v>
      </c>
      <c r="F90" s="6">
        <f>IFERROR(__xludf.DUMMYFUNCTION("""COMPUTED_VALUE"""),5016737.0)</f>
        <v>5016737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IFERROR(__xludf.DUMMYFUNCTION("""COMPUTED_VALUE"""),1455.9)</f>
        <v>1455.9</v>
      </c>
      <c r="C91" s="6">
        <f>IFERROR(__xludf.DUMMYFUNCTION("""COMPUTED_VALUE"""),1504.0)</f>
        <v>1504</v>
      </c>
      <c r="D91" s="6">
        <f>IFERROR(__xludf.DUMMYFUNCTION("""COMPUTED_VALUE"""),1415.2)</f>
        <v>1415.2</v>
      </c>
      <c r="E91" s="6">
        <f>IFERROR(__xludf.DUMMYFUNCTION("""COMPUTED_VALUE"""),1483.2)</f>
        <v>1483.2</v>
      </c>
      <c r="F91" s="6">
        <f>IFERROR(__xludf.DUMMYFUNCTION("""COMPUTED_VALUE"""),6435509.0)</f>
        <v>6435509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IFERROR(__xludf.DUMMYFUNCTION("""COMPUTED_VALUE"""),1477.8)</f>
        <v>1477.8</v>
      </c>
      <c r="C92" s="6">
        <f>IFERROR(__xludf.DUMMYFUNCTION("""COMPUTED_VALUE"""),1509.8)</f>
        <v>1509.8</v>
      </c>
      <c r="D92" s="6">
        <f>IFERROR(__xludf.DUMMYFUNCTION("""COMPUTED_VALUE"""),1415.9)</f>
        <v>1415.9</v>
      </c>
      <c r="E92" s="6">
        <f>IFERROR(__xludf.DUMMYFUNCTION("""COMPUTED_VALUE"""),1422.2)</f>
        <v>1422.2</v>
      </c>
      <c r="F92" s="6">
        <f>IFERROR(__xludf.DUMMYFUNCTION("""COMPUTED_VALUE"""),4527429.0)</f>
        <v>4527429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IFERROR(__xludf.DUMMYFUNCTION("""COMPUTED_VALUE"""),1427.2)</f>
        <v>1427.2</v>
      </c>
      <c r="C93" s="6">
        <f>IFERROR(__xludf.DUMMYFUNCTION("""COMPUTED_VALUE"""),1430.0)</f>
        <v>1430</v>
      </c>
      <c r="D93" s="6">
        <f>IFERROR(__xludf.DUMMYFUNCTION("""COMPUTED_VALUE"""),1354.3)</f>
        <v>1354.3</v>
      </c>
      <c r="E93" s="6">
        <f>IFERROR(__xludf.DUMMYFUNCTION("""COMPUTED_VALUE"""),1368.1)</f>
        <v>1368.1</v>
      </c>
      <c r="F93" s="6">
        <f>IFERROR(__xludf.DUMMYFUNCTION("""COMPUTED_VALUE"""),5045212.0)</f>
        <v>5045212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IFERROR(__xludf.DUMMYFUNCTION("""COMPUTED_VALUE"""),1366.0)</f>
        <v>1366</v>
      </c>
      <c r="C94" s="6">
        <f>IFERROR(__xludf.DUMMYFUNCTION("""COMPUTED_VALUE"""),1422.0)</f>
        <v>1422</v>
      </c>
      <c r="D94" s="6">
        <f>IFERROR(__xludf.DUMMYFUNCTION("""COMPUTED_VALUE"""),1352.0)</f>
        <v>1352</v>
      </c>
      <c r="E94" s="6">
        <f>IFERROR(__xludf.DUMMYFUNCTION("""COMPUTED_VALUE"""),1400.1)</f>
        <v>1400.1</v>
      </c>
      <c r="F94" s="6">
        <f>IFERROR(__xludf.DUMMYFUNCTION("""COMPUTED_VALUE"""),4262630.0)</f>
        <v>4262630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IFERROR(__xludf.DUMMYFUNCTION("""COMPUTED_VALUE"""),1400.1)</f>
        <v>1400.1</v>
      </c>
      <c r="C95" s="6">
        <f>IFERROR(__xludf.DUMMYFUNCTION("""COMPUTED_VALUE"""),1458.7)</f>
        <v>1458.7</v>
      </c>
      <c r="D95" s="6">
        <f>IFERROR(__xludf.DUMMYFUNCTION("""COMPUTED_VALUE"""),1387.0)</f>
        <v>1387</v>
      </c>
      <c r="E95" s="6">
        <f>IFERROR(__xludf.DUMMYFUNCTION("""COMPUTED_VALUE"""),1444.9)</f>
        <v>1444.9</v>
      </c>
      <c r="F95" s="6">
        <f>IFERROR(__xludf.DUMMYFUNCTION("""COMPUTED_VALUE"""),3808437.0)</f>
        <v>3808437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IFERROR(__xludf.DUMMYFUNCTION("""COMPUTED_VALUE"""),1443.4)</f>
        <v>1443.4</v>
      </c>
      <c r="C96" s="6">
        <f>IFERROR(__xludf.DUMMYFUNCTION("""COMPUTED_VALUE"""),1461.5)</f>
        <v>1461.5</v>
      </c>
      <c r="D96" s="6">
        <f>IFERROR(__xludf.DUMMYFUNCTION("""COMPUTED_VALUE"""),1275.1)</f>
        <v>1275.1</v>
      </c>
      <c r="E96" s="6">
        <f>IFERROR(__xludf.DUMMYFUNCTION("""COMPUTED_VALUE"""),1279.4)</f>
        <v>1279.4</v>
      </c>
      <c r="F96" s="6">
        <f>IFERROR(__xludf.DUMMYFUNCTION("""COMPUTED_VALUE"""),2.2460333E7)</f>
        <v>22460333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IFERROR(__xludf.DUMMYFUNCTION("""COMPUTED_VALUE"""),1280.0)</f>
        <v>1280</v>
      </c>
      <c r="C97" s="6">
        <f>IFERROR(__xludf.DUMMYFUNCTION("""COMPUTED_VALUE"""),1284.0)</f>
        <v>1284</v>
      </c>
      <c r="D97" s="6">
        <f>IFERROR(__xludf.DUMMYFUNCTION("""COMPUTED_VALUE"""),1190.6)</f>
        <v>1190.6</v>
      </c>
      <c r="E97" s="6">
        <f>IFERROR(__xludf.DUMMYFUNCTION("""COMPUTED_VALUE"""),1207.9)</f>
        <v>1207.9</v>
      </c>
      <c r="F97" s="6">
        <f>IFERROR(__xludf.DUMMYFUNCTION("""COMPUTED_VALUE"""),1.5047045E7)</f>
        <v>15047045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IFERROR(__xludf.DUMMYFUNCTION("""COMPUTED_VALUE"""),1214.3)</f>
        <v>1214.3</v>
      </c>
      <c r="C98" s="6">
        <f>IFERROR(__xludf.DUMMYFUNCTION("""COMPUTED_VALUE"""),1247.1)</f>
        <v>1247.1</v>
      </c>
      <c r="D98" s="6">
        <f>IFERROR(__xludf.DUMMYFUNCTION("""COMPUTED_VALUE"""),1196.0)</f>
        <v>1196</v>
      </c>
      <c r="E98" s="6">
        <f>IFERROR(__xludf.DUMMYFUNCTION("""COMPUTED_VALUE"""),1202.6)</f>
        <v>1202.6</v>
      </c>
      <c r="F98" s="6">
        <f>IFERROR(__xludf.DUMMYFUNCTION("""COMPUTED_VALUE"""),3900997.0)</f>
        <v>3900997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IFERROR(__xludf.DUMMYFUNCTION("""COMPUTED_VALUE"""),1209.0)</f>
        <v>1209</v>
      </c>
      <c r="C99" s="6">
        <f>IFERROR(__xludf.DUMMYFUNCTION("""COMPUTED_VALUE"""),1239.9)</f>
        <v>1239.9</v>
      </c>
      <c r="D99" s="6">
        <f>IFERROR(__xludf.DUMMYFUNCTION("""COMPUTED_VALUE"""),1198.1)</f>
        <v>1198.1</v>
      </c>
      <c r="E99" s="6">
        <f>IFERROR(__xludf.DUMMYFUNCTION("""COMPUTED_VALUE"""),1231.6)</f>
        <v>1231.6</v>
      </c>
      <c r="F99" s="6">
        <f>IFERROR(__xludf.DUMMYFUNCTION("""COMPUTED_VALUE"""),3795547.0)</f>
        <v>3795547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IFERROR(__xludf.DUMMYFUNCTION("""COMPUTED_VALUE"""),1248.0)</f>
        <v>1248</v>
      </c>
      <c r="C100" s="6">
        <f>IFERROR(__xludf.DUMMYFUNCTION("""COMPUTED_VALUE"""),1327.6)</f>
        <v>1327.6</v>
      </c>
      <c r="D100" s="6">
        <f>IFERROR(__xludf.DUMMYFUNCTION("""COMPUTED_VALUE"""),1226.1)</f>
        <v>1226.1</v>
      </c>
      <c r="E100" s="6">
        <f>IFERROR(__xludf.DUMMYFUNCTION("""COMPUTED_VALUE"""),1261.0)</f>
        <v>1261</v>
      </c>
      <c r="F100" s="6">
        <f>IFERROR(__xludf.DUMMYFUNCTION("""COMPUTED_VALUE"""),7547959.0)</f>
        <v>7547959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IFERROR(__xludf.DUMMYFUNCTION("""COMPUTED_VALUE"""),1266.8)</f>
        <v>1266.8</v>
      </c>
      <c r="C101" s="6">
        <f>IFERROR(__xludf.DUMMYFUNCTION("""COMPUTED_VALUE"""),1284.9)</f>
        <v>1284.9</v>
      </c>
      <c r="D101" s="6">
        <f>IFERROR(__xludf.DUMMYFUNCTION("""COMPUTED_VALUE"""),1229.1)</f>
        <v>1229.1</v>
      </c>
      <c r="E101" s="6">
        <f>IFERROR(__xludf.DUMMYFUNCTION("""COMPUTED_VALUE"""),1236.8)</f>
        <v>1236.8</v>
      </c>
      <c r="F101" s="6">
        <f>IFERROR(__xludf.DUMMYFUNCTION("""COMPUTED_VALUE"""),1.5194832E7)</f>
        <v>15194832</v>
      </c>
    </row>
  </sheetData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IFERROR(__xludf.DUMMYFUNCTION("GOOGLEFINANCE(""NSE:LT"",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IFERROR(__xludf.DUMMYFUNCTION("""COMPUTED_VALUE"""),2653.55)</f>
        <v>2653.55</v>
      </c>
      <c r="C2" s="6">
        <f>IFERROR(__xludf.DUMMYFUNCTION("""COMPUTED_VALUE"""),2737.65)</f>
        <v>2737.65</v>
      </c>
      <c r="D2" s="6">
        <f>IFERROR(__xludf.DUMMYFUNCTION("""COMPUTED_VALUE"""),2650.05)</f>
        <v>2650.05</v>
      </c>
      <c r="E2" s="6">
        <f>IFERROR(__xludf.DUMMYFUNCTION("""COMPUTED_VALUE"""),2702.1)</f>
        <v>2702.1</v>
      </c>
      <c r="F2" s="6">
        <f>IFERROR(__xludf.DUMMYFUNCTION("""COMPUTED_VALUE"""),8276698.0)</f>
        <v>8276698</v>
      </c>
    </row>
    <row r="3">
      <c r="A3" s="7">
        <f>IFERROR(__xludf.DUMMYFUNCTION("""COMPUTED_VALUE"""),45177.64583333333)</f>
        <v>45177.64583</v>
      </c>
      <c r="B3" s="6">
        <f>IFERROR(__xludf.DUMMYFUNCTION("""COMPUTED_VALUE"""),2733.0)</f>
        <v>2733</v>
      </c>
      <c r="C3" s="6">
        <f>IFERROR(__xludf.DUMMYFUNCTION("""COMPUTED_VALUE"""),2928.7)</f>
        <v>2928.7</v>
      </c>
      <c r="D3" s="6">
        <f>IFERROR(__xludf.DUMMYFUNCTION("""COMPUTED_VALUE"""),2705.0)</f>
        <v>2705</v>
      </c>
      <c r="E3" s="6">
        <f>IFERROR(__xludf.DUMMYFUNCTION("""COMPUTED_VALUE"""),2901.6)</f>
        <v>2901.6</v>
      </c>
      <c r="F3" s="6">
        <f>IFERROR(__xludf.DUMMYFUNCTION("""COMPUTED_VALUE"""),1.2101183E7)</f>
        <v>12101183</v>
      </c>
    </row>
    <row r="4">
      <c r="A4" s="7">
        <f>IFERROR(__xludf.DUMMYFUNCTION("""COMPUTED_VALUE"""),45184.64583333333)</f>
        <v>45184.64583</v>
      </c>
      <c r="B4" s="6">
        <f>IFERROR(__xludf.DUMMYFUNCTION("""COMPUTED_VALUE"""),2905.0)</f>
        <v>2905</v>
      </c>
      <c r="C4" s="6">
        <f>IFERROR(__xludf.DUMMYFUNCTION("""COMPUTED_VALUE"""),3009.0)</f>
        <v>3009</v>
      </c>
      <c r="D4" s="6">
        <f>IFERROR(__xludf.DUMMYFUNCTION("""COMPUTED_VALUE"""),2888.45)</f>
        <v>2888.45</v>
      </c>
      <c r="E4" s="6">
        <f>IFERROR(__xludf.DUMMYFUNCTION("""COMPUTED_VALUE"""),2908.55)</f>
        <v>2908.55</v>
      </c>
      <c r="F4" s="6">
        <f>IFERROR(__xludf.DUMMYFUNCTION("""COMPUTED_VALUE"""),1.5358295E7)</f>
        <v>15358295</v>
      </c>
    </row>
    <row r="5">
      <c r="A5" s="7">
        <f>IFERROR(__xludf.DUMMYFUNCTION("""COMPUTED_VALUE"""),45191.64583333333)</f>
        <v>45191.64583</v>
      </c>
      <c r="B5" s="6">
        <f>IFERROR(__xludf.DUMMYFUNCTION("""COMPUTED_VALUE"""),2910.0)</f>
        <v>2910</v>
      </c>
      <c r="C5" s="6">
        <f>IFERROR(__xludf.DUMMYFUNCTION("""COMPUTED_VALUE"""),2944.95)</f>
        <v>2944.95</v>
      </c>
      <c r="D5" s="6">
        <f>IFERROR(__xludf.DUMMYFUNCTION("""COMPUTED_VALUE"""),2846.05)</f>
        <v>2846.05</v>
      </c>
      <c r="E5" s="6">
        <f>IFERROR(__xludf.DUMMYFUNCTION("""COMPUTED_VALUE"""),2918.5)</f>
        <v>2918.5</v>
      </c>
      <c r="F5" s="6">
        <f>IFERROR(__xludf.DUMMYFUNCTION("""COMPUTED_VALUE"""),6546151.0)</f>
        <v>6546151</v>
      </c>
    </row>
    <row r="6">
      <c r="A6" s="7">
        <f>IFERROR(__xludf.DUMMYFUNCTION("""COMPUTED_VALUE"""),45198.64583333333)</f>
        <v>45198.64583</v>
      </c>
      <c r="B6" s="6">
        <f>IFERROR(__xludf.DUMMYFUNCTION("""COMPUTED_VALUE"""),2917.95)</f>
        <v>2917.95</v>
      </c>
      <c r="C6" s="6">
        <f>IFERROR(__xludf.DUMMYFUNCTION("""COMPUTED_VALUE"""),3058.35)</f>
        <v>3058.35</v>
      </c>
      <c r="D6" s="6">
        <f>IFERROR(__xludf.DUMMYFUNCTION("""COMPUTED_VALUE"""),2871.0)</f>
        <v>2871</v>
      </c>
      <c r="E6" s="6">
        <f>IFERROR(__xludf.DUMMYFUNCTION("""COMPUTED_VALUE"""),3023.55)</f>
        <v>3023.55</v>
      </c>
      <c r="F6" s="6">
        <f>IFERROR(__xludf.DUMMYFUNCTION("""COMPUTED_VALUE"""),1.1685799E7)</f>
        <v>11685799</v>
      </c>
    </row>
    <row r="7">
      <c r="A7" s="7">
        <f>IFERROR(__xludf.DUMMYFUNCTION("""COMPUTED_VALUE"""),45205.64583333333)</f>
        <v>45205.64583</v>
      </c>
      <c r="B7" s="6">
        <f>IFERROR(__xludf.DUMMYFUNCTION("""COMPUTED_VALUE"""),3040.5)</f>
        <v>3040.5</v>
      </c>
      <c r="C7" s="6">
        <f>IFERROR(__xludf.DUMMYFUNCTION("""COMPUTED_VALUE"""),3114.95)</f>
        <v>3114.95</v>
      </c>
      <c r="D7" s="6">
        <f>IFERROR(__xludf.DUMMYFUNCTION("""COMPUTED_VALUE"""),2990.05)</f>
        <v>2990.05</v>
      </c>
      <c r="E7" s="6">
        <f>IFERROR(__xludf.DUMMYFUNCTION("""COMPUTED_VALUE"""),3093.7)</f>
        <v>3093.7</v>
      </c>
      <c r="F7" s="6">
        <f>IFERROR(__xludf.DUMMYFUNCTION("""COMPUTED_VALUE"""),1.1667003E7)</f>
        <v>11667003</v>
      </c>
    </row>
    <row r="8">
      <c r="A8" s="7">
        <f>IFERROR(__xludf.DUMMYFUNCTION("""COMPUTED_VALUE"""),45212.64583333333)</f>
        <v>45212.64583</v>
      </c>
      <c r="B8" s="6">
        <f>IFERROR(__xludf.DUMMYFUNCTION("""COMPUTED_VALUE"""),3075.0)</f>
        <v>3075</v>
      </c>
      <c r="C8" s="6">
        <f>IFERROR(__xludf.DUMMYFUNCTION("""COMPUTED_VALUE"""),3110.0)</f>
        <v>3110</v>
      </c>
      <c r="D8" s="6">
        <f>IFERROR(__xludf.DUMMYFUNCTION("""COMPUTED_VALUE"""),3055.55)</f>
        <v>3055.55</v>
      </c>
      <c r="E8" s="6">
        <f>IFERROR(__xludf.DUMMYFUNCTION("""COMPUTED_VALUE"""),3089.6)</f>
        <v>3089.6</v>
      </c>
      <c r="F8" s="6">
        <f>IFERROR(__xludf.DUMMYFUNCTION("""COMPUTED_VALUE"""),8108558.0)</f>
        <v>8108558</v>
      </c>
    </row>
    <row r="9">
      <c r="A9" s="7">
        <f>IFERROR(__xludf.DUMMYFUNCTION("""COMPUTED_VALUE"""),45219.64583333333)</f>
        <v>45219.64583</v>
      </c>
      <c r="B9" s="6">
        <f>IFERROR(__xludf.DUMMYFUNCTION("""COMPUTED_VALUE"""),3098.95)</f>
        <v>3098.95</v>
      </c>
      <c r="C9" s="6">
        <f>IFERROR(__xludf.DUMMYFUNCTION("""COMPUTED_VALUE"""),3114.2)</f>
        <v>3114.2</v>
      </c>
      <c r="D9" s="6">
        <f>IFERROR(__xludf.DUMMYFUNCTION("""COMPUTED_VALUE"""),2977.3)</f>
        <v>2977.3</v>
      </c>
      <c r="E9" s="6">
        <f>IFERROR(__xludf.DUMMYFUNCTION("""COMPUTED_VALUE"""),3012.35)</f>
        <v>3012.35</v>
      </c>
      <c r="F9" s="6">
        <f>IFERROR(__xludf.DUMMYFUNCTION("""COMPUTED_VALUE"""),7283390.0)</f>
        <v>7283390</v>
      </c>
    </row>
    <row r="10">
      <c r="A10" s="7">
        <f>IFERROR(__xludf.DUMMYFUNCTION("""COMPUTED_VALUE"""),45226.64583333333)</f>
        <v>45226.64583</v>
      </c>
      <c r="B10" s="6">
        <f>IFERROR(__xludf.DUMMYFUNCTION("""COMPUTED_VALUE"""),3003.0)</f>
        <v>3003</v>
      </c>
      <c r="C10" s="6">
        <f>IFERROR(__xludf.DUMMYFUNCTION("""COMPUTED_VALUE"""),3006.9)</f>
        <v>3006.9</v>
      </c>
      <c r="D10" s="6">
        <f>IFERROR(__xludf.DUMMYFUNCTION("""COMPUTED_VALUE"""),2857.05)</f>
        <v>2857.05</v>
      </c>
      <c r="E10" s="6">
        <f>IFERROR(__xludf.DUMMYFUNCTION("""COMPUTED_VALUE"""),2901.9)</f>
        <v>2901.9</v>
      </c>
      <c r="F10" s="6">
        <f>IFERROR(__xludf.DUMMYFUNCTION("""COMPUTED_VALUE"""),9408030.0)</f>
        <v>9408030</v>
      </c>
    </row>
    <row r="11">
      <c r="A11" s="7">
        <f>IFERROR(__xludf.DUMMYFUNCTION("""COMPUTED_VALUE"""),45233.64583333333)</f>
        <v>45233.64583</v>
      </c>
      <c r="B11" s="6">
        <f>IFERROR(__xludf.DUMMYFUNCTION("""COMPUTED_VALUE"""),2899.2)</f>
        <v>2899.2</v>
      </c>
      <c r="C11" s="6">
        <f>IFERROR(__xludf.DUMMYFUNCTION("""COMPUTED_VALUE"""),2983.15)</f>
        <v>2983.15</v>
      </c>
      <c r="D11" s="6">
        <f>IFERROR(__xludf.DUMMYFUNCTION("""COMPUTED_VALUE"""),2856.15)</f>
        <v>2856.15</v>
      </c>
      <c r="E11" s="6">
        <f>IFERROR(__xludf.DUMMYFUNCTION("""COMPUTED_VALUE"""),2911.25)</f>
        <v>2911.25</v>
      </c>
      <c r="F11" s="6">
        <f>IFERROR(__xludf.DUMMYFUNCTION("""COMPUTED_VALUE"""),9712895.0)</f>
        <v>9712895</v>
      </c>
    </row>
    <row r="12">
      <c r="A12" s="7">
        <f>IFERROR(__xludf.DUMMYFUNCTION("""COMPUTED_VALUE"""),45240.64583333333)</f>
        <v>45240.64583</v>
      </c>
      <c r="B12" s="6">
        <f>IFERROR(__xludf.DUMMYFUNCTION("""COMPUTED_VALUE"""),2933.0)</f>
        <v>2933</v>
      </c>
      <c r="C12" s="6">
        <f>IFERROR(__xludf.DUMMYFUNCTION("""COMPUTED_VALUE"""),3044.0)</f>
        <v>3044</v>
      </c>
      <c r="D12" s="6">
        <f>IFERROR(__xludf.DUMMYFUNCTION("""COMPUTED_VALUE"""),2927.25)</f>
        <v>2927.25</v>
      </c>
      <c r="E12" s="6">
        <f>IFERROR(__xludf.DUMMYFUNCTION("""COMPUTED_VALUE"""),3033.25)</f>
        <v>3033.25</v>
      </c>
      <c r="F12" s="6">
        <f>IFERROR(__xludf.DUMMYFUNCTION("""COMPUTED_VALUE"""),6028807.0)</f>
        <v>6028807</v>
      </c>
    </row>
    <row r="13">
      <c r="A13" s="7">
        <f>IFERROR(__xludf.DUMMYFUNCTION("""COMPUTED_VALUE"""),45247.64583333333)</f>
        <v>45247.64583</v>
      </c>
      <c r="B13" s="6">
        <f>IFERROR(__xludf.DUMMYFUNCTION("""COMPUTED_VALUE"""),3054.95)</f>
        <v>3054.95</v>
      </c>
      <c r="C13" s="6">
        <f>IFERROR(__xludf.DUMMYFUNCTION("""COMPUTED_VALUE"""),3115.45)</f>
        <v>3115.45</v>
      </c>
      <c r="D13" s="6">
        <f>IFERROR(__xludf.DUMMYFUNCTION("""COMPUTED_VALUE"""),3031.65)</f>
        <v>3031.65</v>
      </c>
      <c r="E13" s="6">
        <f>IFERROR(__xludf.DUMMYFUNCTION("""COMPUTED_VALUE"""),3109.0)</f>
        <v>3109</v>
      </c>
      <c r="F13" s="6">
        <f>IFERROR(__xludf.DUMMYFUNCTION("""COMPUTED_VALUE"""),4870999.0)</f>
        <v>4870999</v>
      </c>
    </row>
    <row r="14">
      <c r="A14" s="7">
        <f>IFERROR(__xludf.DUMMYFUNCTION("""COMPUTED_VALUE"""),45254.64583333333)</f>
        <v>45254.64583</v>
      </c>
      <c r="B14" s="6">
        <f>IFERROR(__xludf.DUMMYFUNCTION("""COMPUTED_VALUE"""),3095.1)</f>
        <v>3095.1</v>
      </c>
      <c r="C14" s="6">
        <f>IFERROR(__xludf.DUMMYFUNCTION("""COMPUTED_VALUE"""),3111.95)</f>
        <v>3111.95</v>
      </c>
      <c r="D14" s="6">
        <f>IFERROR(__xludf.DUMMYFUNCTION("""COMPUTED_VALUE"""),3031.05)</f>
        <v>3031.05</v>
      </c>
      <c r="E14" s="6">
        <f>IFERROR(__xludf.DUMMYFUNCTION("""COMPUTED_VALUE"""),3054.25)</f>
        <v>3054.25</v>
      </c>
      <c r="F14" s="6">
        <f>IFERROR(__xludf.DUMMYFUNCTION("""COMPUTED_VALUE"""),6649963.0)</f>
        <v>6649963</v>
      </c>
    </row>
    <row r="15">
      <c r="A15" s="7">
        <f>IFERROR(__xludf.DUMMYFUNCTION("""COMPUTED_VALUE"""),45261.64583333333)</f>
        <v>45261.64583</v>
      </c>
      <c r="B15" s="6">
        <f>IFERROR(__xludf.DUMMYFUNCTION("""COMPUTED_VALUE"""),3054.0)</f>
        <v>3054</v>
      </c>
      <c r="C15" s="6">
        <f>IFERROR(__xludf.DUMMYFUNCTION("""COMPUTED_VALUE"""),3197.95)</f>
        <v>3197.95</v>
      </c>
      <c r="D15" s="6">
        <f>IFERROR(__xludf.DUMMYFUNCTION("""COMPUTED_VALUE"""),3035.0)</f>
        <v>3035</v>
      </c>
      <c r="E15" s="6">
        <f>IFERROR(__xludf.DUMMYFUNCTION("""COMPUTED_VALUE"""),3190.65)</f>
        <v>3190.65</v>
      </c>
      <c r="F15" s="6">
        <f>IFERROR(__xludf.DUMMYFUNCTION("""COMPUTED_VALUE"""),8256147.0)</f>
        <v>8256147</v>
      </c>
    </row>
    <row r="16">
      <c r="A16" s="7">
        <f>IFERROR(__xludf.DUMMYFUNCTION("""COMPUTED_VALUE"""),45268.64583333333)</f>
        <v>45268.64583</v>
      </c>
      <c r="B16" s="6">
        <f>IFERROR(__xludf.DUMMYFUNCTION("""COMPUTED_VALUE"""),3285.0)</f>
        <v>3285</v>
      </c>
      <c r="C16" s="6">
        <f>IFERROR(__xludf.DUMMYFUNCTION("""COMPUTED_VALUE"""),3430.0)</f>
        <v>3430</v>
      </c>
      <c r="D16" s="6">
        <f>IFERROR(__xludf.DUMMYFUNCTION("""COMPUTED_VALUE"""),3250.0)</f>
        <v>3250</v>
      </c>
      <c r="E16" s="6">
        <f>IFERROR(__xludf.DUMMYFUNCTION("""COMPUTED_VALUE"""),3378.45)</f>
        <v>3378.45</v>
      </c>
      <c r="F16" s="6">
        <f>IFERROR(__xludf.DUMMYFUNCTION("""COMPUTED_VALUE"""),1.137023E7)</f>
        <v>11370230</v>
      </c>
    </row>
    <row r="17">
      <c r="A17" s="7">
        <f>IFERROR(__xludf.DUMMYFUNCTION("""COMPUTED_VALUE"""),45275.64583333333)</f>
        <v>45275.64583</v>
      </c>
      <c r="B17" s="6">
        <f>IFERROR(__xludf.DUMMYFUNCTION("""COMPUTED_VALUE"""),3377.95)</f>
        <v>3377.95</v>
      </c>
      <c r="C17" s="6">
        <f>IFERROR(__xludf.DUMMYFUNCTION("""COMPUTED_VALUE"""),3498.9)</f>
        <v>3498.9</v>
      </c>
      <c r="D17" s="6">
        <f>IFERROR(__xludf.DUMMYFUNCTION("""COMPUTED_VALUE"""),3332.0)</f>
        <v>3332</v>
      </c>
      <c r="E17" s="6">
        <f>IFERROR(__xludf.DUMMYFUNCTION("""COMPUTED_VALUE"""),3488.0)</f>
        <v>3488</v>
      </c>
      <c r="F17" s="6">
        <f>IFERROR(__xludf.DUMMYFUNCTION("""COMPUTED_VALUE"""),9990349.0)</f>
        <v>9990349</v>
      </c>
    </row>
    <row r="18">
      <c r="A18" s="7">
        <f>IFERROR(__xludf.DUMMYFUNCTION("""COMPUTED_VALUE"""),45282.64583333333)</f>
        <v>45282.64583</v>
      </c>
      <c r="B18" s="6">
        <f>IFERROR(__xludf.DUMMYFUNCTION("""COMPUTED_VALUE"""),3496.0)</f>
        <v>3496</v>
      </c>
      <c r="C18" s="6">
        <f>IFERROR(__xludf.DUMMYFUNCTION("""COMPUTED_VALUE"""),3525.0)</f>
        <v>3525</v>
      </c>
      <c r="D18" s="6">
        <f>IFERROR(__xludf.DUMMYFUNCTION("""COMPUTED_VALUE"""),3333.0)</f>
        <v>3333</v>
      </c>
      <c r="E18" s="6">
        <f>IFERROR(__xludf.DUMMYFUNCTION("""COMPUTED_VALUE"""),3477.95)</f>
        <v>3477.95</v>
      </c>
      <c r="F18" s="6">
        <f>IFERROR(__xludf.DUMMYFUNCTION("""COMPUTED_VALUE"""),8929686.0)</f>
        <v>8929686</v>
      </c>
    </row>
    <row r="19">
      <c r="A19" s="7">
        <f>IFERROR(__xludf.DUMMYFUNCTION("""COMPUTED_VALUE"""),45289.64583333333)</f>
        <v>45289.64583</v>
      </c>
      <c r="B19" s="6">
        <f>IFERROR(__xludf.DUMMYFUNCTION("""COMPUTED_VALUE"""),3477.95)</f>
        <v>3477.95</v>
      </c>
      <c r="C19" s="6">
        <f>IFERROR(__xludf.DUMMYFUNCTION("""COMPUTED_VALUE"""),3559.95)</f>
        <v>3559.95</v>
      </c>
      <c r="D19" s="6">
        <f>IFERROR(__xludf.DUMMYFUNCTION("""COMPUTED_VALUE"""),3477.95)</f>
        <v>3477.95</v>
      </c>
      <c r="E19" s="6">
        <f>IFERROR(__xludf.DUMMYFUNCTION("""COMPUTED_VALUE"""),3526.0)</f>
        <v>3526</v>
      </c>
      <c r="F19" s="6">
        <f>IFERROR(__xludf.DUMMYFUNCTION("""COMPUTED_VALUE"""),6801227.0)</f>
        <v>6801227</v>
      </c>
    </row>
    <row r="20">
      <c r="A20" s="7">
        <f>IFERROR(__xludf.DUMMYFUNCTION("""COMPUTED_VALUE"""),45296.64583333333)</f>
        <v>45296.64583</v>
      </c>
      <c r="B20" s="6">
        <f>IFERROR(__xludf.DUMMYFUNCTION("""COMPUTED_VALUE"""),3538.0)</f>
        <v>3538</v>
      </c>
      <c r="C20" s="6">
        <f>IFERROR(__xludf.DUMMYFUNCTION("""COMPUTED_VALUE"""),3555.0)</f>
        <v>3555</v>
      </c>
      <c r="D20" s="6">
        <f>IFERROR(__xludf.DUMMYFUNCTION("""COMPUTED_VALUE"""),3411.6)</f>
        <v>3411.6</v>
      </c>
      <c r="E20" s="6">
        <f>IFERROR(__xludf.DUMMYFUNCTION("""COMPUTED_VALUE"""),3521.9)</f>
        <v>3521.9</v>
      </c>
      <c r="F20" s="6">
        <f>IFERROR(__xludf.DUMMYFUNCTION("""COMPUTED_VALUE"""),7293037.0)</f>
        <v>7293037</v>
      </c>
    </row>
    <row r="21">
      <c r="A21" s="7">
        <f>IFERROR(__xludf.DUMMYFUNCTION("""COMPUTED_VALUE"""),45303.64583333333)</f>
        <v>45303.64583</v>
      </c>
      <c r="B21" s="6">
        <f>IFERROR(__xludf.DUMMYFUNCTION("""COMPUTED_VALUE"""),3540.0)</f>
        <v>3540</v>
      </c>
      <c r="C21" s="6">
        <f>IFERROR(__xludf.DUMMYFUNCTION("""COMPUTED_VALUE"""),3593.75)</f>
        <v>3593.75</v>
      </c>
      <c r="D21" s="6">
        <f>IFERROR(__xludf.DUMMYFUNCTION("""COMPUTED_VALUE"""),3490.0)</f>
        <v>3490</v>
      </c>
      <c r="E21" s="6">
        <f>IFERROR(__xludf.DUMMYFUNCTION("""COMPUTED_VALUE"""),3568.8)</f>
        <v>3568.8</v>
      </c>
      <c r="F21" s="6">
        <f>IFERROR(__xludf.DUMMYFUNCTION("""COMPUTED_VALUE"""),8223926.0)</f>
        <v>8223926</v>
      </c>
    </row>
    <row r="22">
      <c r="A22" s="7">
        <f>IFERROR(__xludf.DUMMYFUNCTION("""COMPUTED_VALUE"""),45316.64583333333)</f>
        <v>45316.64583</v>
      </c>
      <c r="B22" s="6">
        <f>IFERROR(__xludf.DUMMYFUNCTION("""COMPUTED_VALUE"""),3637.6)</f>
        <v>3637.6</v>
      </c>
      <c r="C22" s="6">
        <f>IFERROR(__xludf.DUMMYFUNCTION("""COMPUTED_VALUE"""),3661.35)</f>
        <v>3661.35</v>
      </c>
      <c r="D22" s="6">
        <f>IFERROR(__xludf.DUMMYFUNCTION("""COMPUTED_VALUE"""),3521.7)</f>
        <v>3521.7</v>
      </c>
      <c r="E22" s="6">
        <f>IFERROR(__xludf.DUMMYFUNCTION("""COMPUTED_VALUE"""),3593.45)</f>
        <v>3593.45</v>
      </c>
      <c r="F22" s="6">
        <f>IFERROR(__xludf.DUMMYFUNCTION("""COMPUTED_VALUE"""),7660203.0)</f>
        <v>7660203</v>
      </c>
    </row>
    <row r="23">
      <c r="A23" s="7">
        <f>IFERROR(__xludf.DUMMYFUNCTION("""COMPUTED_VALUE"""),45324.64583333333)</f>
        <v>45324.64583</v>
      </c>
      <c r="B23" s="6">
        <f>IFERROR(__xludf.DUMMYFUNCTION("""COMPUTED_VALUE"""),3604.0)</f>
        <v>3604</v>
      </c>
      <c r="C23" s="6">
        <f>IFERROR(__xludf.DUMMYFUNCTION("""COMPUTED_VALUE"""),3737.9)</f>
        <v>3737.9</v>
      </c>
      <c r="D23" s="6">
        <f>IFERROR(__xludf.DUMMYFUNCTION("""COMPUTED_VALUE"""),3361.0)</f>
        <v>3361</v>
      </c>
      <c r="E23" s="6">
        <f>IFERROR(__xludf.DUMMYFUNCTION("""COMPUTED_VALUE"""),3376.05)</f>
        <v>3376.05</v>
      </c>
      <c r="F23" s="6">
        <f>IFERROR(__xludf.DUMMYFUNCTION("""COMPUTED_VALUE"""),2.6895159E7)</f>
        <v>26895159</v>
      </c>
    </row>
    <row r="24">
      <c r="A24" s="7">
        <f>IFERROR(__xludf.DUMMYFUNCTION("""COMPUTED_VALUE"""),45331.64583333333)</f>
        <v>45331.64583</v>
      </c>
      <c r="B24" s="6">
        <f>IFERROR(__xludf.DUMMYFUNCTION("""COMPUTED_VALUE"""),3375.5)</f>
        <v>3375.5</v>
      </c>
      <c r="C24" s="6">
        <f>IFERROR(__xludf.DUMMYFUNCTION("""COMPUTED_VALUE"""),3447.0)</f>
        <v>3447</v>
      </c>
      <c r="D24" s="6">
        <f>IFERROR(__xludf.DUMMYFUNCTION("""COMPUTED_VALUE"""),3293.85)</f>
        <v>3293.85</v>
      </c>
      <c r="E24" s="6">
        <f>IFERROR(__xludf.DUMMYFUNCTION("""COMPUTED_VALUE"""),3324.55)</f>
        <v>3324.55</v>
      </c>
      <c r="F24" s="6">
        <f>IFERROR(__xludf.DUMMYFUNCTION("""COMPUTED_VALUE"""),1.419297E7)</f>
        <v>14192970</v>
      </c>
    </row>
    <row r="25">
      <c r="A25" s="7">
        <f>IFERROR(__xludf.DUMMYFUNCTION("""COMPUTED_VALUE"""),45338.64583333333)</f>
        <v>45338.64583</v>
      </c>
      <c r="B25" s="6">
        <f>IFERROR(__xludf.DUMMYFUNCTION("""COMPUTED_VALUE"""),3330.0)</f>
        <v>3330</v>
      </c>
      <c r="C25" s="6">
        <f>IFERROR(__xludf.DUMMYFUNCTION("""COMPUTED_VALUE"""),3398.0)</f>
        <v>3398</v>
      </c>
      <c r="D25" s="6">
        <f>IFERROR(__xludf.DUMMYFUNCTION("""COMPUTED_VALUE"""),3263.05)</f>
        <v>3263.05</v>
      </c>
      <c r="E25" s="6">
        <f>IFERROR(__xludf.DUMMYFUNCTION("""COMPUTED_VALUE"""),3386.75)</f>
        <v>3386.75</v>
      </c>
      <c r="F25" s="6">
        <f>IFERROR(__xludf.DUMMYFUNCTION("""COMPUTED_VALUE"""),1.1343422E7)</f>
        <v>11343422</v>
      </c>
    </row>
    <row r="26">
      <c r="A26" s="7">
        <f>IFERROR(__xludf.DUMMYFUNCTION("""COMPUTED_VALUE"""),45345.64583333333)</f>
        <v>45345.64583</v>
      </c>
      <c r="B26" s="6">
        <f>IFERROR(__xludf.DUMMYFUNCTION("""COMPUTED_VALUE"""),3400.55)</f>
        <v>3400.55</v>
      </c>
      <c r="C26" s="6">
        <f>IFERROR(__xludf.DUMMYFUNCTION("""COMPUTED_VALUE"""),3408.0)</f>
        <v>3408</v>
      </c>
      <c r="D26" s="6">
        <f>IFERROR(__xludf.DUMMYFUNCTION("""COMPUTED_VALUE"""),3276.95)</f>
        <v>3276.95</v>
      </c>
      <c r="E26" s="6">
        <f>IFERROR(__xludf.DUMMYFUNCTION("""COMPUTED_VALUE"""),3387.95)</f>
        <v>3387.95</v>
      </c>
      <c r="F26" s="6">
        <f>IFERROR(__xludf.DUMMYFUNCTION("""COMPUTED_VALUE"""),9853845.0)</f>
        <v>9853845</v>
      </c>
    </row>
    <row r="27">
      <c r="A27" s="7">
        <f>IFERROR(__xludf.DUMMYFUNCTION("""COMPUTED_VALUE"""),45358.64583333333)</f>
        <v>45358.64583</v>
      </c>
      <c r="B27" s="6">
        <f>IFERROR(__xludf.DUMMYFUNCTION("""COMPUTED_VALUE"""),3670.0)</f>
        <v>3670</v>
      </c>
      <c r="C27" s="6">
        <f>IFERROR(__xludf.DUMMYFUNCTION("""COMPUTED_VALUE"""),3705.15)</f>
        <v>3705.15</v>
      </c>
      <c r="D27" s="6">
        <f>IFERROR(__xludf.DUMMYFUNCTION("""COMPUTED_VALUE"""),3586.05)</f>
        <v>3586.05</v>
      </c>
      <c r="E27" s="6">
        <f>IFERROR(__xludf.DUMMYFUNCTION("""COMPUTED_VALUE"""),3676.95)</f>
        <v>3676.95</v>
      </c>
      <c r="F27" s="6">
        <f>IFERROR(__xludf.DUMMYFUNCTION("""COMPUTED_VALUE"""),7133468.0)</f>
        <v>7133468</v>
      </c>
    </row>
    <row r="28">
      <c r="A28" s="7">
        <f>IFERROR(__xludf.DUMMYFUNCTION("""COMPUTED_VALUE"""),45366.64583333333)</f>
        <v>45366.64583</v>
      </c>
      <c r="B28" s="6">
        <f>IFERROR(__xludf.DUMMYFUNCTION("""COMPUTED_VALUE"""),3700.0)</f>
        <v>3700</v>
      </c>
      <c r="C28" s="6">
        <f>IFERROR(__xludf.DUMMYFUNCTION("""COMPUTED_VALUE"""),3700.0)</f>
        <v>3700</v>
      </c>
      <c r="D28" s="6">
        <f>IFERROR(__xludf.DUMMYFUNCTION("""COMPUTED_VALUE"""),3511.9)</f>
        <v>3511.9</v>
      </c>
      <c r="E28" s="6">
        <f>IFERROR(__xludf.DUMMYFUNCTION("""COMPUTED_VALUE"""),3537.15)</f>
        <v>3537.15</v>
      </c>
      <c r="F28" s="6">
        <f>IFERROR(__xludf.DUMMYFUNCTION("""COMPUTED_VALUE"""),1.4304911E7)</f>
        <v>14304911</v>
      </c>
    </row>
    <row r="29">
      <c r="A29" s="7">
        <f>IFERROR(__xludf.DUMMYFUNCTION("""COMPUTED_VALUE"""),45373.64583333333)</f>
        <v>45373.64583</v>
      </c>
      <c r="B29" s="6">
        <f>IFERROR(__xludf.DUMMYFUNCTION("""COMPUTED_VALUE"""),3537.15)</f>
        <v>3537.15</v>
      </c>
      <c r="C29" s="6">
        <f>IFERROR(__xludf.DUMMYFUNCTION("""COMPUTED_VALUE"""),3647.3)</f>
        <v>3647.3</v>
      </c>
      <c r="D29" s="6">
        <f>IFERROR(__xludf.DUMMYFUNCTION("""COMPUTED_VALUE"""),3481.0)</f>
        <v>3481</v>
      </c>
      <c r="E29" s="6">
        <f>IFERROR(__xludf.DUMMYFUNCTION("""COMPUTED_VALUE"""),3617.8)</f>
        <v>3617.8</v>
      </c>
      <c r="F29" s="6">
        <f>IFERROR(__xludf.DUMMYFUNCTION("""COMPUTED_VALUE"""),9770510.0)</f>
        <v>9770510</v>
      </c>
    </row>
    <row r="30">
      <c r="A30" s="7">
        <f>IFERROR(__xludf.DUMMYFUNCTION("""COMPUTED_VALUE"""),45379.64583333333)</f>
        <v>45379.64583</v>
      </c>
      <c r="B30" s="6">
        <f>IFERROR(__xludf.DUMMYFUNCTION("""COMPUTED_VALUE"""),3605.0)</f>
        <v>3605</v>
      </c>
      <c r="C30" s="6">
        <f>IFERROR(__xludf.DUMMYFUNCTION("""COMPUTED_VALUE"""),3813.35)</f>
        <v>3813.35</v>
      </c>
      <c r="D30" s="6">
        <f>IFERROR(__xludf.DUMMYFUNCTION("""COMPUTED_VALUE"""),3600.0)</f>
        <v>3600</v>
      </c>
      <c r="E30" s="6">
        <f>IFERROR(__xludf.DUMMYFUNCTION("""COMPUTED_VALUE"""),3763.9)</f>
        <v>3763.9</v>
      </c>
      <c r="F30" s="6">
        <f>IFERROR(__xludf.DUMMYFUNCTION("""COMPUTED_VALUE"""),8987324.0)</f>
        <v>8987324</v>
      </c>
    </row>
    <row r="31">
      <c r="A31" s="7">
        <f>IFERROR(__xludf.DUMMYFUNCTION("""COMPUTED_VALUE"""),45387.64583333333)</f>
        <v>45387.64583</v>
      </c>
      <c r="B31" s="6">
        <f>IFERROR(__xludf.DUMMYFUNCTION("""COMPUTED_VALUE"""),3780.85)</f>
        <v>3780.85</v>
      </c>
      <c r="C31" s="6">
        <f>IFERROR(__xludf.DUMMYFUNCTION("""COMPUTED_VALUE"""),3860.0)</f>
        <v>3860</v>
      </c>
      <c r="D31" s="6">
        <f>IFERROR(__xludf.DUMMYFUNCTION("""COMPUTED_VALUE"""),3716.25)</f>
        <v>3716.25</v>
      </c>
      <c r="E31" s="6">
        <f>IFERROR(__xludf.DUMMYFUNCTION("""COMPUTED_VALUE"""),3743.1)</f>
        <v>3743.1</v>
      </c>
      <c r="F31" s="6">
        <f>IFERROR(__xludf.DUMMYFUNCTION("""COMPUTED_VALUE"""),1.1183096E7)</f>
        <v>11183096</v>
      </c>
    </row>
    <row r="32">
      <c r="A32" s="7">
        <f>IFERROR(__xludf.DUMMYFUNCTION("""COMPUTED_VALUE"""),45394.64583333333)</f>
        <v>45394.64583</v>
      </c>
      <c r="B32" s="6">
        <f>IFERROR(__xludf.DUMMYFUNCTION("""COMPUTED_VALUE"""),3745.0)</f>
        <v>3745</v>
      </c>
      <c r="C32" s="6">
        <f>IFERROR(__xludf.DUMMYFUNCTION("""COMPUTED_VALUE"""),3827.95)</f>
        <v>3827.95</v>
      </c>
      <c r="D32" s="6">
        <f>IFERROR(__xludf.DUMMYFUNCTION("""COMPUTED_VALUE"""),3663.5)</f>
        <v>3663.5</v>
      </c>
      <c r="E32" s="6">
        <f>IFERROR(__xludf.DUMMYFUNCTION("""COMPUTED_VALUE"""),3679.25)</f>
        <v>3679.25</v>
      </c>
      <c r="F32" s="6">
        <f>IFERROR(__xludf.DUMMYFUNCTION("""COMPUTED_VALUE"""),8469577.0)</f>
        <v>8469577</v>
      </c>
    </row>
    <row r="33">
      <c r="A33" s="7">
        <f>IFERROR(__xludf.DUMMYFUNCTION("""COMPUTED_VALUE"""),45401.64583333333)</f>
        <v>45401.64583</v>
      </c>
      <c r="B33" s="6">
        <f>IFERROR(__xludf.DUMMYFUNCTION("""COMPUTED_VALUE"""),3626.05)</f>
        <v>3626.05</v>
      </c>
      <c r="C33" s="6">
        <f>IFERROR(__xludf.DUMMYFUNCTION("""COMPUTED_VALUE"""),3679.85)</f>
        <v>3679.85</v>
      </c>
      <c r="D33" s="6">
        <f>IFERROR(__xludf.DUMMYFUNCTION("""COMPUTED_VALUE"""),3472.4)</f>
        <v>3472.4</v>
      </c>
      <c r="E33" s="6">
        <f>IFERROR(__xludf.DUMMYFUNCTION("""COMPUTED_VALUE"""),3518.35)</f>
        <v>3518.35</v>
      </c>
      <c r="F33" s="6">
        <f>IFERROR(__xludf.DUMMYFUNCTION("""COMPUTED_VALUE"""),1.004324E7)</f>
        <v>10043240</v>
      </c>
    </row>
    <row r="34">
      <c r="A34" s="7">
        <f>IFERROR(__xludf.DUMMYFUNCTION("""COMPUTED_VALUE"""),45408.64583333333)</f>
        <v>45408.64583</v>
      </c>
      <c r="B34" s="6">
        <f>IFERROR(__xludf.DUMMYFUNCTION("""COMPUTED_VALUE"""),3568.75)</f>
        <v>3568.75</v>
      </c>
      <c r="C34" s="6">
        <f>IFERROR(__xludf.DUMMYFUNCTION("""COMPUTED_VALUE"""),3666.0)</f>
        <v>3666</v>
      </c>
      <c r="D34" s="6">
        <f>IFERROR(__xludf.DUMMYFUNCTION("""COMPUTED_VALUE"""),3540.95)</f>
        <v>3540.95</v>
      </c>
      <c r="E34" s="6">
        <f>IFERROR(__xludf.DUMMYFUNCTION("""COMPUTED_VALUE"""),3605.2)</f>
        <v>3605.2</v>
      </c>
      <c r="F34" s="6">
        <f>IFERROR(__xludf.DUMMYFUNCTION("""COMPUTED_VALUE"""),9935061.0)</f>
        <v>9935061</v>
      </c>
    </row>
    <row r="35">
      <c r="A35" s="7">
        <f>IFERROR(__xludf.DUMMYFUNCTION("""COMPUTED_VALUE"""),45415.64583333333)</f>
        <v>45415.64583</v>
      </c>
      <c r="B35" s="6">
        <f>IFERROR(__xludf.DUMMYFUNCTION("""COMPUTED_VALUE"""),3606.1)</f>
        <v>3606.1</v>
      </c>
      <c r="C35" s="6">
        <f>IFERROR(__xludf.DUMMYFUNCTION("""COMPUTED_VALUE"""),3649.9)</f>
        <v>3649.9</v>
      </c>
      <c r="D35" s="6">
        <f>IFERROR(__xludf.DUMMYFUNCTION("""COMPUTED_VALUE"""),3488.45)</f>
        <v>3488.45</v>
      </c>
      <c r="E35" s="6">
        <f>IFERROR(__xludf.DUMMYFUNCTION("""COMPUTED_VALUE"""),3499.8)</f>
        <v>3499.8</v>
      </c>
      <c r="F35" s="6">
        <f>IFERROR(__xludf.DUMMYFUNCTION("""COMPUTED_VALUE"""),1.0797518E7)</f>
        <v>10797518</v>
      </c>
    </row>
    <row r="36">
      <c r="A36" s="7">
        <f>IFERROR(__xludf.DUMMYFUNCTION("""COMPUTED_VALUE"""),45422.64583333333)</f>
        <v>45422.64583</v>
      </c>
      <c r="B36" s="6">
        <f>IFERROR(__xludf.DUMMYFUNCTION("""COMPUTED_VALUE"""),3522.8)</f>
        <v>3522.8</v>
      </c>
      <c r="C36" s="6">
        <f>IFERROR(__xludf.DUMMYFUNCTION("""COMPUTED_VALUE"""),3527.0)</f>
        <v>3527</v>
      </c>
      <c r="D36" s="6">
        <f>IFERROR(__xludf.DUMMYFUNCTION("""COMPUTED_VALUE"""),3234.6)</f>
        <v>3234.6</v>
      </c>
      <c r="E36" s="6">
        <f>IFERROR(__xludf.DUMMYFUNCTION("""COMPUTED_VALUE"""),3271.45)</f>
        <v>3271.45</v>
      </c>
      <c r="F36" s="6">
        <f>IFERROR(__xludf.DUMMYFUNCTION("""COMPUTED_VALUE"""),2.6360115E7)</f>
        <v>26360115</v>
      </c>
    </row>
    <row r="37">
      <c r="A37" s="7">
        <f>IFERROR(__xludf.DUMMYFUNCTION("""COMPUTED_VALUE"""),45436.64583333333)</f>
        <v>45436.64583</v>
      </c>
      <c r="B37" s="6">
        <f>IFERROR(__xludf.DUMMYFUNCTION("""COMPUTED_VALUE"""),3458.0)</f>
        <v>3458</v>
      </c>
      <c r="C37" s="6">
        <f>IFERROR(__xludf.DUMMYFUNCTION("""COMPUTED_VALUE"""),3659.0)</f>
        <v>3659</v>
      </c>
      <c r="D37" s="6">
        <f>IFERROR(__xludf.DUMMYFUNCTION("""COMPUTED_VALUE"""),3434.0)</f>
        <v>3434</v>
      </c>
      <c r="E37" s="6">
        <f>IFERROR(__xludf.DUMMYFUNCTION("""COMPUTED_VALUE"""),3625.9)</f>
        <v>3625.9</v>
      </c>
      <c r="F37" s="6">
        <f>IFERROR(__xludf.DUMMYFUNCTION("""COMPUTED_VALUE"""),1.0776837E7)</f>
        <v>10776837</v>
      </c>
    </row>
    <row r="38">
      <c r="A38" s="7">
        <f>IFERROR(__xludf.DUMMYFUNCTION("""COMPUTED_VALUE"""),45443.64583333333)</f>
        <v>45443.64583</v>
      </c>
      <c r="B38" s="6">
        <f>IFERROR(__xludf.DUMMYFUNCTION("""COMPUTED_VALUE"""),3644.9)</f>
        <v>3644.9</v>
      </c>
      <c r="C38" s="6">
        <f>IFERROR(__xludf.DUMMYFUNCTION("""COMPUTED_VALUE"""),3744.8)</f>
        <v>3744.8</v>
      </c>
      <c r="D38" s="6">
        <f>IFERROR(__xludf.DUMMYFUNCTION("""COMPUTED_VALUE"""),3600.0)</f>
        <v>3600</v>
      </c>
      <c r="E38" s="6">
        <f>IFERROR(__xludf.DUMMYFUNCTION("""COMPUTED_VALUE"""),3669.3)</f>
        <v>3669.3</v>
      </c>
      <c r="F38" s="6">
        <f>IFERROR(__xludf.DUMMYFUNCTION("""COMPUTED_VALUE"""),1.4651231E7)</f>
        <v>14651231</v>
      </c>
    </row>
    <row r="39">
      <c r="A39" s="7">
        <f>IFERROR(__xludf.DUMMYFUNCTION("""COMPUTED_VALUE"""),45450.64583333333)</f>
        <v>45450.64583</v>
      </c>
      <c r="B39" s="6">
        <f>IFERROR(__xludf.DUMMYFUNCTION("""COMPUTED_VALUE"""),3855.4)</f>
        <v>3855.4</v>
      </c>
      <c r="C39" s="6">
        <f>IFERROR(__xludf.DUMMYFUNCTION("""COMPUTED_VALUE"""),3919.9)</f>
        <v>3919.9</v>
      </c>
      <c r="D39" s="6">
        <f>IFERROR(__xludf.DUMMYFUNCTION("""COMPUTED_VALUE"""),3175.05)</f>
        <v>3175.05</v>
      </c>
      <c r="E39" s="6">
        <f>IFERROR(__xludf.DUMMYFUNCTION("""COMPUTED_VALUE"""),3532.5)</f>
        <v>3532.5</v>
      </c>
      <c r="F39" s="6">
        <f>IFERROR(__xludf.DUMMYFUNCTION("""COMPUTED_VALUE"""),4.0315268E7)</f>
        <v>40315268</v>
      </c>
    </row>
    <row r="40">
      <c r="A40" s="7">
        <f>IFERROR(__xludf.DUMMYFUNCTION("""COMPUTED_VALUE"""),45457.64583333333)</f>
        <v>45457.64583</v>
      </c>
      <c r="B40" s="6">
        <f>IFERROR(__xludf.DUMMYFUNCTION("""COMPUTED_VALUE"""),3521.05)</f>
        <v>3521.05</v>
      </c>
      <c r="C40" s="6">
        <f>IFERROR(__xludf.DUMMYFUNCTION("""COMPUTED_VALUE"""),3720.0)</f>
        <v>3720</v>
      </c>
      <c r="D40" s="6">
        <f>IFERROR(__xludf.DUMMYFUNCTION("""COMPUTED_VALUE"""),3521.05)</f>
        <v>3521.05</v>
      </c>
      <c r="E40" s="6">
        <f>IFERROR(__xludf.DUMMYFUNCTION("""COMPUTED_VALUE"""),3687.8)</f>
        <v>3687.8</v>
      </c>
      <c r="F40" s="6">
        <f>IFERROR(__xludf.DUMMYFUNCTION("""COMPUTED_VALUE"""),1.2653715E7)</f>
        <v>12653715</v>
      </c>
    </row>
    <row r="41">
      <c r="A41" s="7">
        <f>IFERROR(__xludf.DUMMYFUNCTION("""COMPUTED_VALUE"""),45464.64583333333)</f>
        <v>45464.64583</v>
      </c>
      <c r="B41" s="6">
        <f>IFERROR(__xludf.DUMMYFUNCTION("""COMPUTED_VALUE"""),3708.0)</f>
        <v>3708</v>
      </c>
      <c r="C41" s="6">
        <f>IFERROR(__xludf.DUMMYFUNCTION("""COMPUTED_VALUE"""),3710.0)</f>
        <v>3710</v>
      </c>
      <c r="D41" s="6">
        <f>IFERROR(__xludf.DUMMYFUNCTION("""COMPUTED_VALUE"""),3516.0)</f>
        <v>3516</v>
      </c>
      <c r="E41" s="6">
        <f>IFERROR(__xludf.DUMMYFUNCTION("""COMPUTED_VALUE"""),3535.0)</f>
        <v>3535</v>
      </c>
      <c r="F41" s="6">
        <f>IFERROR(__xludf.DUMMYFUNCTION("""COMPUTED_VALUE"""),1.2000166E7)</f>
        <v>12000166</v>
      </c>
    </row>
    <row r="42">
      <c r="A42" s="7">
        <f>IFERROR(__xludf.DUMMYFUNCTION("""COMPUTED_VALUE"""),45471.64583333333)</f>
        <v>45471.64583</v>
      </c>
      <c r="B42" s="6">
        <f>IFERROR(__xludf.DUMMYFUNCTION("""COMPUTED_VALUE"""),3520.35)</f>
        <v>3520.35</v>
      </c>
      <c r="C42" s="6">
        <f>IFERROR(__xludf.DUMMYFUNCTION("""COMPUTED_VALUE"""),3624.9)</f>
        <v>3624.9</v>
      </c>
      <c r="D42" s="6">
        <f>IFERROR(__xludf.DUMMYFUNCTION("""COMPUTED_VALUE"""),3505.0)</f>
        <v>3505</v>
      </c>
      <c r="E42" s="6">
        <f>IFERROR(__xludf.DUMMYFUNCTION("""COMPUTED_VALUE"""),3548.45)</f>
        <v>3548.45</v>
      </c>
      <c r="F42" s="6">
        <f>IFERROR(__xludf.DUMMYFUNCTION("""COMPUTED_VALUE"""),1.5630174E7)</f>
        <v>15630174</v>
      </c>
    </row>
    <row r="43">
      <c r="A43" s="7">
        <f>IFERROR(__xludf.DUMMYFUNCTION("""COMPUTED_VALUE"""),45478.64583333333)</f>
        <v>45478.64583</v>
      </c>
      <c r="B43" s="6">
        <f>IFERROR(__xludf.DUMMYFUNCTION("""COMPUTED_VALUE"""),3535.2)</f>
        <v>3535.2</v>
      </c>
      <c r="C43" s="6">
        <f>IFERROR(__xludf.DUMMYFUNCTION("""COMPUTED_VALUE"""),3650.5)</f>
        <v>3650.5</v>
      </c>
      <c r="D43" s="6">
        <f>IFERROR(__xludf.DUMMYFUNCTION("""COMPUTED_VALUE"""),3514.0)</f>
        <v>3514</v>
      </c>
      <c r="E43" s="6">
        <f>IFERROR(__xludf.DUMMYFUNCTION("""COMPUTED_VALUE"""),3627.15)</f>
        <v>3627.15</v>
      </c>
      <c r="F43" s="6">
        <f>IFERROR(__xludf.DUMMYFUNCTION("""COMPUTED_VALUE"""),1.3459825E7)</f>
        <v>13459825</v>
      </c>
    </row>
    <row r="44">
      <c r="A44" s="7">
        <f>IFERROR(__xludf.DUMMYFUNCTION("""COMPUTED_VALUE"""),45485.64583333333)</f>
        <v>45485.64583</v>
      </c>
      <c r="B44" s="6">
        <f>IFERROR(__xludf.DUMMYFUNCTION("""COMPUTED_VALUE"""),3640.1)</f>
        <v>3640.1</v>
      </c>
      <c r="C44" s="6">
        <f>IFERROR(__xludf.DUMMYFUNCTION("""COMPUTED_VALUE"""),3694.0)</f>
        <v>3694</v>
      </c>
      <c r="D44" s="6">
        <f>IFERROR(__xludf.DUMMYFUNCTION("""COMPUTED_VALUE"""),3594.0)</f>
        <v>3594</v>
      </c>
      <c r="E44" s="6">
        <f>IFERROR(__xludf.DUMMYFUNCTION("""COMPUTED_VALUE"""),3649.35)</f>
        <v>3649.35</v>
      </c>
      <c r="F44" s="6">
        <f>IFERROR(__xludf.DUMMYFUNCTION("""COMPUTED_VALUE"""),1.1306933E7)</f>
        <v>11306933</v>
      </c>
    </row>
    <row r="45">
      <c r="A45" s="7">
        <f>IFERROR(__xludf.DUMMYFUNCTION("""COMPUTED_VALUE"""),45492.64583333333)</f>
        <v>45492.64583</v>
      </c>
      <c r="B45" s="6">
        <f>IFERROR(__xludf.DUMMYFUNCTION("""COMPUTED_VALUE"""),3670.0)</f>
        <v>3670</v>
      </c>
      <c r="C45" s="6">
        <f>IFERROR(__xludf.DUMMYFUNCTION("""COMPUTED_VALUE"""),3679.25)</f>
        <v>3679.25</v>
      </c>
      <c r="D45" s="6">
        <f>IFERROR(__xludf.DUMMYFUNCTION("""COMPUTED_VALUE"""),3598.65)</f>
        <v>3598.65</v>
      </c>
      <c r="E45" s="6">
        <f>IFERROR(__xludf.DUMMYFUNCTION("""COMPUTED_VALUE"""),3618.5)</f>
        <v>3618.5</v>
      </c>
      <c r="F45" s="6">
        <f>IFERROR(__xludf.DUMMYFUNCTION("""COMPUTED_VALUE"""),8837560.0)</f>
        <v>8837560</v>
      </c>
    </row>
    <row r="46">
      <c r="A46" s="7">
        <f>IFERROR(__xludf.DUMMYFUNCTION("""COMPUTED_VALUE"""),45499.64583333333)</f>
        <v>45499.64583</v>
      </c>
      <c r="B46" s="6">
        <f>IFERROR(__xludf.DUMMYFUNCTION("""COMPUTED_VALUE"""),3617.9)</f>
        <v>3617.9</v>
      </c>
      <c r="C46" s="6">
        <f>IFERROR(__xludf.DUMMYFUNCTION("""COMPUTED_VALUE"""),3714.0)</f>
        <v>3714</v>
      </c>
      <c r="D46" s="6">
        <f>IFERROR(__xludf.DUMMYFUNCTION("""COMPUTED_VALUE"""),3460.0)</f>
        <v>3460</v>
      </c>
      <c r="E46" s="6">
        <f>IFERROR(__xludf.DUMMYFUNCTION("""COMPUTED_VALUE"""),3679.9)</f>
        <v>3679.9</v>
      </c>
      <c r="F46" s="6">
        <f>IFERROR(__xludf.DUMMYFUNCTION("""COMPUTED_VALUE"""),2.108995E7)</f>
        <v>21089950</v>
      </c>
    </row>
    <row r="47">
      <c r="A47" s="7">
        <f>IFERROR(__xludf.DUMMYFUNCTION("""COMPUTED_VALUE"""),45506.64583333333)</f>
        <v>45506.64583</v>
      </c>
      <c r="B47" s="6">
        <f>IFERROR(__xludf.DUMMYFUNCTION("""COMPUTED_VALUE"""),3701.0)</f>
        <v>3701</v>
      </c>
      <c r="C47" s="6">
        <f>IFERROR(__xludf.DUMMYFUNCTION("""COMPUTED_VALUE"""),3838.95)</f>
        <v>3838.95</v>
      </c>
      <c r="D47" s="6">
        <f>IFERROR(__xludf.DUMMYFUNCTION("""COMPUTED_VALUE"""),3657.1)</f>
        <v>3657.1</v>
      </c>
      <c r="E47" s="6">
        <f>IFERROR(__xludf.DUMMYFUNCTION("""COMPUTED_VALUE"""),3665.7)</f>
        <v>3665.7</v>
      </c>
      <c r="F47" s="6">
        <f>IFERROR(__xludf.DUMMYFUNCTION("""COMPUTED_VALUE"""),1.3354732E7)</f>
        <v>13354732</v>
      </c>
    </row>
    <row r="48">
      <c r="A48" s="7">
        <f>IFERROR(__xludf.DUMMYFUNCTION("""COMPUTED_VALUE"""),45513.64583333333)</f>
        <v>45513.64583</v>
      </c>
      <c r="B48" s="6">
        <f>IFERROR(__xludf.DUMMYFUNCTION("""COMPUTED_VALUE"""),3597.0)</f>
        <v>3597</v>
      </c>
      <c r="C48" s="6">
        <f>IFERROR(__xludf.DUMMYFUNCTION("""COMPUTED_VALUE"""),3655.75)</f>
        <v>3655.75</v>
      </c>
      <c r="D48" s="6">
        <f>IFERROR(__xludf.DUMMYFUNCTION("""COMPUTED_VALUE"""),3511.5)</f>
        <v>3511.5</v>
      </c>
      <c r="E48" s="6">
        <f>IFERROR(__xludf.DUMMYFUNCTION("""COMPUTED_VALUE"""),3592.05)</f>
        <v>3592.05</v>
      </c>
      <c r="F48" s="6">
        <f>IFERROR(__xludf.DUMMYFUNCTION("""COMPUTED_VALUE"""),9525634.0)</f>
        <v>9525634</v>
      </c>
    </row>
    <row r="49">
      <c r="A49" s="7">
        <f>IFERROR(__xludf.DUMMYFUNCTION("""COMPUTED_VALUE"""),45520.64583333333)</f>
        <v>45520.64583</v>
      </c>
      <c r="B49" s="6">
        <f>IFERROR(__xludf.DUMMYFUNCTION("""COMPUTED_VALUE"""),3579.0)</f>
        <v>3579</v>
      </c>
      <c r="C49" s="6">
        <f>IFERROR(__xludf.DUMMYFUNCTION("""COMPUTED_VALUE"""),3611.0)</f>
        <v>3611</v>
      </c>
      <c r="D49" s="6">
        <f>IFERROR(__xludf.DUMMYFUNCTION("""COMPUTED_VALUE"""),3533.0)</f>
        <v>3533</v>
      </c>
      <c r="E49" s="6">
        <f>IFERROR(__xludf.DUMMYFUNCTION("""COMPUTED_VALUE"""),3568.35)</f>
        <v>3568.35</v>
      </c>
      <c r="F49" s="6">
        <f>IFERROR(__xludf.DUMMYFUNCTION("""COMPUTED_VALUE"""),7674490.0)</f>
        <v>7674490</v>
      </c>
    </row>
    <row r="50">
      <c r="A50" s="7">
        <f>IFERROR(__xludf.DUMMYFUNCTION("""COMPUTED_VALUE"""),45527.64583333333)</f>
        <v>45527.64583</v>
      </c>
      <c r="B50" s="6">
        <f>IFERROR(__xludf.DUMMYFUNCTION("""COMPUTED_VALUE"""),3599.85)</f>
        <v>3599.85</v>
      </c>
      <c r="C50" s="6">
        <f>IFERROR(__xludf.DUMMYFUNCTION("""COMPUTED_VALUE"""),3622.0)</f>
        <v>3622</v>
      </c>
      <c r="D50" s="6">
        <f>IFERROR(__xludf.DUMMYFUNCTION("""COMPUTED_VALUE"""),3547.0)</f>
        <v>3547</v>
      </c>
      <c r="E50" s="6">
        <f>IFERROR(__xludf.DUMMYFUNCTION("""COMPUTED_VALUE"""),3598.55)</f>
        <v>3598.55</v>
      </c>
      <c r="F50" s="6">
        <f>IFERROR(__xludf.DUMMYFUNCTION("""COMPUTED_VALUE"""),8458459.0)</f>
        <v>8458459</v>
      </c>
    </row>
    <row r="51">
      <c r="A51" s="7">
        <f>IFERROR(__xludf.DUMMYFUNCTION("""COMPUTED_VALUE"""),45534.64583333333)</f>
        <v>45534.64583</v>
      </c>
      <c r="B51" s="6">
        <f>IFERROR(__xludf.DUMMYFUNCTION("""COMPUTED_VALUE"""),3611.0)</f>
        <v>3611</v>
      </c>
      <c r="C51" s="6">
        <f>IFERROR(__xludf.DUMMYFUNCTION("""COMPUTED_VALUE"""),3745.0)</f>
        <v>3745</v>
      </c>
      <c r="D51" s="6">
        <f>IFERROR(__xludf.DUMMYFUNCTION("""COMPUTED_VALUE"""),3594.7)</f>
        <v>3594.7</v>
      </c>
      <c r="E51" s="6">
        <f>IFERROR(__xludf.DUMMYFUNCTION("""COMPUTED_VALUE"""),3704.65)</f>
        <v>3704.65</v>
      </c>
      <c r="F51" s="6">
        <f>IFERROR(__xludf.DUMMYFUNCTION("""COMPUTED_VALUE"""),1.0958922E7)</f>
        <v>10958922</v>
      </c>
    </row>
    <row r="52">
      <c r="A52" s="7">
        <f>IFERROR(__xludf.DUMMYFUNCTION("""COMPUTED_VALUE"""),45541.64583333333)</f>
        <v>45541.64583</v>
      </c>
      <c r="B52" s="6">
        <f>IFERROR(__xludf.DUMMYFUNCTION("""COMPUTED_VALUE"""),3706.0)</f>
        <v>3706</v>
      </c>
      <c r="C52" s="6">
        <f>IFERROR(__xludf.DUMMYFUNCTION("""COMPUTED_VALUE"""),3721.95)</f>
        <v>3721.95</v>
      </c>
      <c r="D52" s="6">
        <f>IFERROR(__xludf.DUMMYFUNCTION("""COMPUTED_VALUE"""),3536.2)</f>
        <v>3536.2</v>
      </c>
      <c r="E52" s="6">
        <f>IFERROR(__xludf.DUMMYFUNCTION("""COMPUTED_VALUE"""),3574.75)</f>
        <v>3574.75</v>
      </c>
      <c r="F52" s="6">
        <f>IFERROR(__xludf.DUMMYFUNCTION("""COMPUTED_VALUE"""),1.0475254E7)</f>
        <v>10475254</v>
      </c>
    </row>
    <row r="53">
      <c r="A53" s="7">
        <f>IFERROR(__xludf.DUMMYFUNCTION("""COMPUTED_VALUE"""),45548.64583333333)</f>
        <v>45548.64583</v>
      </c>
      <c r="B53" s="6">
        <f>IFERROR(__xludf.DUMMYFUNCTION("""COMPUTED_VALUE"""),3584.0)</f>
        <v>3584</v>
      </c>
      <c r="C53" s="6">
        <f>IFERROR(__xludf.DUMMYFUNCTION("""COMPUTED_VALUE"""),3638.05)</f>
        <v>3638.05</v>
      </c>
      <c r="D53" s="6">
        <f>IFERROR(__xludf.DUMMYFUNCTION("""COMPUTED_VALUE"""),3516.4)</f>
        <v>3516.4</v>
      </c>
      <c r="E53" s="6">
        <f>IFERROR(__xludf.DUMMYFUNCTION("""COMPUTED_VALUE"""),3613.0)</f>
        <v>3613</v>
      </c>
      <c r="F53" s="6">
        <f>IFERROR(__xludf.DUMMYFUNCTION("""COMPUTED_VALUE"""),1.0027215E7)</f>
        <v>10027215</v>
      </c>
    </row>
    <row r="54">
      <c r="A54" s="7">
        <f>IFERROR(__xludf.DUMMYFUNCTION("""COMPUTED_VALUE"""),45555.64583333333)</f>
        <v>45555.64583</v>
      </c>
      <c r="B54" s="6">
        <f>IFERROR(__xludf.DUMMYFUNCTION("""COMPUTED_VALUE"""),3619.15)</f>
        <v>3619.15</v>
      </c>
      <c r="C54" s="6">
        <f>IFERROR(__xludf.DUMMYFUNCTION("""COMPUTED_VALUE"""),3809.9)</f>
        <v>3809.9</v>
      </c>
      <c r="D54" s="6">
        <f>IFERROR(__xludf.DUMMYFUNCTION("""COMPUTED_VALUE"""),3613.0)</f>
        <v>3613</v>
      </c>
      <c r="E54" s="6">
        <f>IFERROR(__xludf.DUMMYFUNCTION("""COMPUTED_VALUE"""),3793.9)</f>
        <v>3793.9</v>
      </c>
      <c r="F54" s="6">
        <f>IFERROR(__xludf.DUMMYFUNCTION("""COMPUTED_VALUE"""),1.1698218E7)</f>
        <v>11698218</v>
      </c>
    </row>
    <row r="55">
      <c r="A55" s="7">
        <f>IFERROR(__xludf.DUMMYFUNCTION("""COMPUTED_VALUE"""),45562.64583333333)</f>
        <v>45562.64583</v>
      </c>
      <c r="B55" s="6">
        <f>IFERROR(__xludf.DUMMYFUNCTION("""COMPUTED_VALUE"""),3800.0)</f>
        <v>3800</v>
      </c>
      <c r="C55" s="6">
        <f>IFERROR(__xludf.DUMMYFUNCTION("""COMPUTED_VALUE"""),3838.8)</f>
        <v>3838.8</v>
      </c>
      <c r="D55" s="6">
        <f>IFERROR(__xludf.DUMMYFUNCTION("""COMPUTED_VALUE"""),3651.0)</f>
        <v>3651</v>
      </c>
      <c r="E55" s="6">
        <f>IFERROR(__xludf.DUMMYFUNCTION("""COMPUTED_VALUE"""),3705.65)</f>
        <v>3705.65</v>
      </c>
      <c r="F55" s="6">
        <f>IFERROR(__xludf.DUMMYFUNCTION("""COMPUTED_VALUE"""),1.3574304E7)</f>
        <v>13574304</v>
      </c>
    </row>
    <row r="56">
      <c r="A56" s="7">
        <f>IFERROR(__xludf.DUMMYFUNCTION("""COMPUTED_VALUE"""),45569.64583333333)</f>
        <v>45569.64583</v>
      </c>
      <c r="B56" s="6">
        <f>IFERROR(__xludf.DUMMYFUNCTION("""COMPUTED_VALUE"""),3699.0)</f>
        <v>3699</v>
      </c>
      <c r="C56" s="6">
        <f>IFERROR(__xludf.DUMMYFUNCTION("""COMPUTED_VALUE"""),3724.0)</f>
        <v>3724</v>
      </c>
      <c r="D56" s="6">
        <f>IFERROR(__xludf.DUMMYFUNCTION("""COMPUTED_VALUE"""),3468.5)</f>
        <v>3468.5</v>
      </c>
      <c r="E56" s="6">
        <f>IFERROR(__xludf.DUMMYFUNCTION("""COMPUTED_VALUE"""),3493.95)</f>
        <v>3493.95</v>
      </c>
      <c r="F56" s="6">
        <f>IFERROR(__xludf.DUMMYFUNCTION("""COMPUTED_VALUE"""),1.2273553E7)</f>
        <v>12273553</v>
      </c>
    </row>
    <row r="57">
      <c r="A57" s="7">
        <f>IFERROR(__xludf.DUMMYFUNCTION("""COMPUTED_VALUE"""),45576.64583333333)</f>
        <v>45576.64583</v>
      </c>
      <c r="B57" s="6">
        <f>IFERROR(__xludf.DUMMYFUNCTION("""COMPUTED_VALUE"""),3505.0)</f>
        <v>3505</v>
      </c>
      <c r="C57" s="6">
        <f>IFERROR(__xludf.DUMMYFUNCTION("""COMPUTED_VALUE"""),3557.7)</f>
        <v>3557.7</v>
      </c>
      <c r="D57" s="6">
        <f>IFERROR(__xludf.DUMMYFUNCTION("""COMPUTED_VALUE"""),3429.0)</f>
        <v>3429</v>
      </c>
      <c r="E57" s="6">
        <f>IFERROR(__xludf.DUMMYFUNCTION("""COMPUTED_VALUE"""),3482.55)</f>
        <v>3482.55</v>
      </c>
      <c r="F57" s="6">
        <f>IFERROR(__xludf.DUMMYFUNCTION("""COMPUTED_VALUE"""),1.0166051E7)</f>
        <v>10166051</v>
      </c>
    </row>
    <row r="58">
      <c r="A58" s="7">
        <f>IFERROR(__xludf.DUMMYFUNCTION("""COMPUTED_VALUE"""),45583.64583333333)</f>
        <v>45583.64583</v>
      </c>
      <c r="B58" s="6">
        <f>IFERROR(__xludf.DUMMYFUNCTION("""COMPUTED_VALUE"""),3510.0)</f>
        <v>3510</v>
      </c>
      <c r="C58" s="6">
        <f>IFERROR(__xludf.DUMMYFUNCTION("""COMPUTED_VALUE"""),3592.45)</f>
        <v>3592.45</v>
      </c>
      <c r="D58" s="6">
        <f>IFERROR(__xludf.DUMMYFUNCTION("""COMPUTED_VALUE"""),3501.3)</f>
        <v>3501.3</v>
      </c>
      <c r="E58" s="6">
        <f>IFERROR(__xludf.DUMMYFUNCTION("""COMPUTED_VALUE"""),3577.8)</f>
        <v>3577.8</v>
      </c>
      <c r="F58" s="6">
        <f>IFERROR(__xludf.DUMMYFUNCTION("""COMPUTED_VALUE"""),1.0238911E7)</f>
        <v>10238911</v>
      </c>
    </row>
    <row r="59">
      <c r="A59" s="7">
        <f>IFERROR(__xludf.DUMMYFUNCTION("""COMPUTED_VALUE"""),45590.64583333333)</f>
        <v>45590.64583</v>
      </c>
      <c r="B59" s="6">
        <f>IFERROR(__xludf.DUMMYFUNCTION("""COMPUTED_VALUE"""),3580.0)</f>
        <v>3580</v>
      </c>
      <c r="C59" s="6">
        <f>IFERROR(__xludf.DUMMYFUNCTION("""COMPUTED_VALUE"""),3621.95)</f>
        <v>3621.95</v>
      </c>
      <c r="D59" s="6">
        <f>IFERROR(__xludf.DUMMYFUNCTION("""COMPUTED_VALUE"""),3315.05)</f>
        <v>3315.05</v>
      </c>
      <c r="E59" s="6">
        <f>IFERROR(__xludf.DUMMYFUNCTION("""COMPUTED_VALUE"""),3326.4)</f>
        <v>3326.4</v>
      </c>
      <c r="F59" s="6">
        <f>IFERROR(__xludf.DUMMYFUNCTION("""COMPUTED_VALUE"""),1.0400586E7)</f>
        <v>10400586</v>
      </c>
    </row>
    <row r="60">
      <c r="A60" s="7">
        <f>IFERROR(__xludf.DUMMYFUNCTION("""COMPUTED_VALUE"""),45604.64583333333)</f>
        <v>45604.64583</v>
      </c>
      <c r="B60" s="6">
        <f>IFERROR(__xludf.DUMMYFUNCTION("""COMPUTED_VALUE"""),3624.95)</f>
        <v>3624.95</v>
      </c>
      <c r="C60" s="6">
        <f>IFERROR(__xludf.DUMMYFUNCTION("""COMPUTED_VALUE"""),3667.0)</f>
        <v>3667</v>
      </c>
      <c r="D60" s="6">
        <f>IFERROR(__xludf.DUMMYFUNCTION("""COMPUTED_VALUE"""),3530.9)</f>
        <v>3530.9</v>
      </c>
      <c r="E60" s="6">
        <f>IFERROR(__xludf.DUMMYFUNCTION("""COMPUTED_VALUE"""),3660.3)</f>
        <v>3660.3</v>
      </c>
      <c r="F60" s="6">
        <f>IFERROR(__xludf.DUMMYFUNCTION("""COMPUTED_VALUE"""),7998578.0)</f>
        <v>7998578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IFERROR(__xludf.DUMMYFUNCTION("""COMPUTED_VALUE"""),3646.0)</f>
        <v>3646</v>
      </c>
      <c r="C61" s="6">
        <f>IFERROR(__xludf.DUMMYFUNCTION("""COMPUTED_VALUE"""),3661.0)</f>
        <v>3661</v>
      </c>
      <c r="D61" s="6">
        <f>IFERROR(__xludf.DUMMYFUNCTION("""COMPUTED_VALUE"""),3500.15)</f>
        <v>3500.15</v>
      </c>
      <c r="E61" s="6">
        <f>IFERROR(__xludf.DUMMYFUNCTION("""COMPUTED_VALUE"""),3526.25)</f>
        <v>3526.25</v>
      </c>
      <c r="F61" s="6">
        <f>IFERROR(__xludf.DUMMYFUNCTION("""COMPUTED_VALUE"""),4902792.0)</f>
        <v>4902792</v>
      </c>
    </row>
    <row r="62">
      <c r="A62" s="7">
        <f>IFERROR(__xludf.DUMMYFUNCTION("""COMPUTED_VALUE"""),45618.64583333333)</f>
        <v>45618.64583</v>
      </c>
      <c r="B62" s="6">
        <f>IFERROR(__xludf.DUMMYFUNCTION("""COMPUTED_VALUE"""),3521.1)</f>
        <v>3521.1</v>
      </c>
      <c r="C62" s="6">
        <f>IFERROR(__xludf.DUMMYFUNCTION("""COMPUTED_VALUE"""),3613.5)</f>
        <v>3613.5</v>
      </c>
      <c r="D62" s="6">
        <f>IFERROR(__xludf.DUMMYFUNCTION("""COMPUTED_VALUE"""),3452.45)</f>
        <v>3452.45</v>
      </c>
      <c r="E62" s="6">
        <f>IFERROR(__xludf.DUMMYFUNCTION("""COMPUTED_VALUE"""),3603.5)</f>
        <v>3603.5</v>
      </c>
      <c r="F62" s="6">
        <f>IFERROR(__xludf.DUMMYFUNCTION("""COMPUTED_VALUE"""),7104276.0)</f>
        <v>7104276</v>
      </c>
    </row>
    <row r="63">
      <c r="A63" s="7">
        <f>IFERROR(__xludf.DUMMYFUNCTION("""COMPUTED_VALUE"""),45625.64583333333)</f>
        <v>45625.64583</v>
      </c>
      <c r="B63" s="6">
        <f>IFERROR(__xludf.DUMMYFUNCTION("""COMPUTED_VALUE"""),3660.0)</f>
        <v>3660</v>
      </c>
      <c r="C63" s="6">
        <f>IFERROR(__xludf.DUMMYFUNCTION("""COMPUTED_VALUE"""),3761.0)</f>
        <v>3761</v>
      </c>
      <c r="D63" s="6">
        <f>IFERROR(__xludf.DUMMYFUNCTION("""COMPUTED_VALUE"""),3635.1)</f>
        <v>3635.1</v>
      </c>
      <c r="E63" s="6">
        <f>IFERROR(__xludf.DUMMYFUNCTION("""COMPUTED_VALUE"""),3724.8)</f>
        <v>3724.8</v>
      </c>
      <c r="F63" s="6">
        <f>IFERROR(__xludf.DUMMYFUNCTION("""COMPUTED_VALUE"""),1.1085767E7)</f>
        <v>11085767</v>
      </c>
    </row>
    <row r="64">
      <c r="A64" s="7">
        <f>IFERROR(__xludf.DUMMYFUNCTION("""COMPUTED_VALUE"""),45632.64583333333)</f>
        <v>45632.64583</v>
      </c>
      <c r="B64" s="6">
        <f>IFERROR(__xludf.DUMMYFUNCTION("""COMPUTED_VALUE"""),3706.85)</f>
        <v>3706.85</v>
      </c>
      <c r="C64" s="6">
        <f>IFERROR(__xludf.DUMMYFUNCTION("""COMPUTED_VALUE"""),3884.0)</f>
        <v>3884</v>
      </c>
      <c r="D64" s="6">
        <f>IFERROR(__xludf.DUMMYFUNCTION("""COMPUTED_VALUE"""),3672.9)</f>
        <v>3672.9</v>
      </c>
      <c r="E64" s="6">
        <f>IFERROR(__xludf.DUMMYFUNCTION("""COMPUTED_VALUE"""),3866.7)</f>
        <v>3866.7</v>
      </c>
      <c r="F64" s="6">
        <f>IFERROR(__xludf.DUMMYFUNCTION("""COMPUTED_VALUE"""),1.1542937E7)</f>
        <v>11542937</v>
      </c>
    </row>
    <row r="65">
      <c r="A65" s="7">
        <f>IFERROR(__xludf.DUMMYFUNCTION("""COMPUTED_VALUE"""),45639.64583333333)</f>
        <v>45639.64583</v>
      </c>
      <c r="B65" s="6">
        <f>IFERROR(__xludf.DUMMYFUNCTION("""COMPUTED_VALUE"""),3867.5)</f>
        <v>3867.5</v>
      </c>
      <c r="C65" s="6">
        <f>IFERROR(__xludf.DUMMYFUNCTION("""COMPUTED_VALUE"""),3963.5)</f>
        <v>3963.5</v>
      </c>
      <c r="D65" s="6">
        <f>IFERROR(__xludf.DUMMYFUNCTION("""COMPUTED_VALUE"""),3794.2)</f>
        <v>3794.2</v>
      </c>
      <c r="E65" s="6">
        <f>IFERROR(__xludf.DUMMYFUNCTION("""COMPUTED_VALUE"""),3887.0)</f>
        <v>3887</v>
      </c>
      <c r="F65" s="6">
        <f>IFERROR(__xludf.DUMMYFUNCTION("""COMPUTED_VALUE"""),1.1120432E7)</f>
        <v>11120432</v>
      </c>
    </row>
    <row r="66">
      <c r="A66" s="7">
        <f>IFERROR(__xludf.DUMMYFUNCTION("""COMPUTED_VALUE"""),45646.64583333333)</f>
        <v>45646.64583</v>
      </c>
      <c r="B66" s="6">
        <f>IFERROR(__xludf.DUMMYFUNCTION("""COMPUTED_VALUE"""),3882.0)</f>
        <v>3882</v>
      </c>
      <c r="C66" s="6">
        <f>IFERROR(__xludf.DUMMYFUNCTION("""COMPUTED_VALUE"""),3914.4)</f>
        <v>3914.4</v>
      </c>
      <c r="D66" s="6">
        <f>IFERROR(__xludf.DUMMYFUNCTION("""COMPUTED_VALUE"""),3607.1)</f>
        <v>3607.1</v>
      </c>
      <c r="E66" s="6">
        <f>IFERROR(__xludf.DUMMYFUNCTION("""COMPUTED_VALUE"""),3629.85)</f>
        <v>3629.85</v>
      </c>
      <c r="F66" s="6">
        <f>IFERROR(__xludf.DUMMYFUNCTION("""COMPUTED_VALUE"""),8580612.0)</f>
        <v>8580612</v>
      </c>
    </row>
    <row r="67">
      <c r="A67" s="7">
        <f>IFERROR(__xludf.DUMMYFUNCTION("""COMPUTED_VALUE"""),45653.64583333333)</f>
        <v>45653.64583</v>
      </c>
      <c r="B67" s="6">
        <f>IFERROR(__xludf.DUMMYFUNCTION("""COMPUTED_VALUE"""),3670.0)</f>
        <v>3670</v>
      </c>
      <c r="C67" s="6">
        <f>IFERROR(__xludf.DUMMYFUNCTION("""COMPUTED_VALUE"""),3700.0)</f>
        <v>3700</v>
      </c>
      <c r="D67" s="6">
        <f>IFERROR(__xludf.DUMMYFUNCTION("""COMPUTED_VALUE"""),3603.5)</f>
        <v>3603.5</v>
      </c>
      <c r="E67" s="6">
        <f>IFERROR(__xludf.DUMMYFUNCTION("""COMPUTED_VALUE"""),3608.1)</f>
        <v>3608.1</v>
      </c>
      <c r="F67" s="6">
        <f>IFERROR(__xludf.DUMMYFUNCTION("""COMPUTED_VALUE"""),4279361.0)</f>
        <v>4279361</v>
      </c>
    </row>
    <row r="68">
      <c r="A68" s="7">
        <f>IFERROR(__xludf.DUMMYFUNCTION("""COMPUTED_VALUE"""),45660.64583333333)</f>
        <v>45660.64583</v>
      </c>
      <c r="B68" s="6">
        <f>IFERROR(__xludf.DUMMYFUNCTION("""COMPUTED_VALUE"""),3607.9)</f>
        <v>3607.9</v>
      </c>
      <c r="C68" s="6">
        <f>IFERROR(__xludf.DUMMYFUNCTION("""COMPUTED_VALUE"""),3724.1)</f>
        <v>3724.1</v>
      </c>
      <c r="D68" s="6">
        <f>IFERROR(__xludf.DUMMYFUNCTION("""COMPUTED_VALUE"""),3550.0)</f>
        <v>3550</v>
      </c>
      <c r="E68" s="6">
        <f>IFERROR(__xludf.DUMMYFUNCTION("""COMPUTED_VALUE"""),3659.9)</f>
        <v>3659.9</v>
      </c>
      <c r="F68" s="6">
        <f>IFERROR(__xludf.DUMMYFUNCTION("""COMPUTED_VALUE"""),7234354.0)</f>
        <v>7234354</v>
      </c>
    </row>
    <row r="69">
      <c r="A69" s="7">
        <f>IFERROR(__xludf.DUMMYFUNCTION("""COMPUTED_VALUE"""),45667.64583333333)</f>
        <v>45667.64583</v>
      </c>
      <c r="B69" s="6">
        <f>IFERROR(__xludf.DUMMYFUNCTION("""COMPUTED_VALUE"""),3684.75)</f>
        <v>3684.75</v>
      </c>
      <c r="C69" s="6">
        <f>IFERROR(__xludf.DUMMYFUNCTION("""COMPUTED_VALUE"""),3692.25)</f>
        <v>3692.25</v>
      </c>
      <c r="D69" s="6">
        <f>IFERROR(__xludf.DUMMYFUNCTION("""COMPUTED_VALUE"""),3486.0)</f>
        <v>3486</v>
      </c>
      <c r="E69" s="6">
        <f>IFERROR(__xludf.DUMMYFUNCTION("""COMPUTED_VALUE"""),3536.15)</f>
        <v>3536.15</v>
      </c>
      <c r="F69" s="6">
        <f>IFERROR(__xludf.DUMMYFUNCTION("""COMPUTED_VALUE"""),9194672.0)</f>
        <v>9194672</v>
      </c>
    </row>
    <row r="70">
      <c r="A70" s="7">
        <f>IFERROR(__xludf.DUMMYFUNCTION("""COMPUTED_VALUE"""),45674.64583333333)</f>
        <v>45674.64583</v>
      </c>
      <c r="B70" s="6">
        <f>IFERROR(__xludf.DUMMYFUNCTION("""COMPUTED_VALUE"""),3505.55)</f>
        <v>3505.55</v>
      </c>
      <c r="C70" s="6">
        <f>IFERROR(__xludf.DUMMYFUNCTION("""COMPUTED_VALUE"""),3579.85)</f>
        <v>3579.85</v>
      </c>
      <c r="D70" s="6">
        <f>IFERROR(__xludf.DUMMYFUNCTION("""COMPUTED_VALUE"""),3448.6)</f>
        <v>3448.6</v>
      </c>
      <c r="E70" s="6">
        <f>IFERROR(__xludf.DUMMYFUNCTION("""COMPUTED_VALUE"""),3568.65)</f>
        <v>3568.65</v>
      </c>
      <c r="F70" s="6">
        <f>IFERROR(__xludf.DUMMYFUNCTION("""COMPUTED_VALUE"""),1.0122855E7)</f>
        <v>10122855</v>
      </c>
    </row>
    <row r="71">
      <c r="A71" s="7">
        <f>IFERROR(__xludf.DUMMYFUNCTION("""COMPUTED_VALUE"""),45681.64583333333)</f>
        <v>45681.64583</v>
      </c>
      <c r="B71" s="6">
        <f>IFERROR(__xludf.DUMMYFUNCTION("""COMPUTED_VALUE"""),3574.9)</f>
        <v>3574.9</v>
      </c>
      <c r="C71" s="6">
        <f>IFERROR(__xludf.DUMMYFUNCTION("""COMPUTED_VALUE"""),3643.3)</f>
        <v>3643.3</v>
      </c>
      <c r="D71" s="6">
        <f>IFERROR(__xludf.DUMMYFUNCTION("""COMPUTED_VALUE"""),3446.05)</f>
        <v>3446.05</v>
      </c>
      <c r="E71" s="6">
        <f>IFERROR(__xludf.DUMMYFUNCTION("""COMPUTED_VALUE"""),3458.2)</f>
        <v>3458.2</v>
      </c>
      <c r="F71" s="6">
        <f>IFERROR(__xludf.DUMMYFUNCTION("""COMPUTED_VALUE"""),8995643.0)</f>
        <v>8995643</v>
      </c>
    </row>
    <row r="72">
      <c r="A72" s="7">
        <f>IFERROR(__xludf.DUMMYFUNCTION("""COMPUTED_VALUE"""),45695.64583333333)</f>
        <v>45695.64583</v>
      </c>
      <c r="B72" s="6">
        <f>IFERROR(__xludf.DUMMYFUNCTION("""COMPUTED_VALUE"""),3420.0)</f>
        <v>3420</v>
      </c>
      <c r="C72" s="6">
        <f>IFERROR(__xludf.DUMMYFUNCTION("""COMPUTED_VALUE"""),3450.95)</f>
        <v>3450.95</v>
      </c>
      <c r="D72" s="6">
        <f>IFERROR(__xludf.DUMMYFUNCTION("""COMPUTED_VALUE"""),3270.0)</f>
        <v>3270</v>
      </c>
      <c r="E72" s="6">
        <f>IFERROR(__xludf.DUMMYFUNCTION("""COMPUTED_VALUE"""),3336.9)</f>
        <v>3336.9</v>
      </c>
      <c r="F72" s="6">
        <f>IFERROR(__xludf.DUMMYFUNCTION("""COMPUTED_VALUE"""),1.8088057E7)</f>
        <v>18088057</v>
      </c>
    </row>
    <row r="73">
      <c r="A73" s="7">
        <f>IFERROR(__xludf.DUMMYFUNCTION("""COMPUTED_VALUE"""),45702.64583333333)</f>
        <v>45702.64583</v>
      </c>
      <c r="B73" s="6">
        <f>IFERROR(__xludf.DUMMYFUNCTION("""COMPUTED_VALUE"""),3347.8)</f>
        <v>3347.8</v>
      </c>
      <c r="C73" s="6">
        <f>IFERROR(__xludf.DUMMYFUNCTION("""COMPUTED_VALUE"""),3361.0)</f>
        <v>3361</v>
      </c>
      <c r="D73" s="6">
        <f>IFERROR(__xludf.DUMMYFUNCTION("""COMPUTED_VALUE"""),3221.55)</f>
        <v>3221.55</v>
      </c>
      <c r="E73" s="6">
        <f>IFERROR(__xludf.DUMMYFUNCTION("""COMPUTED_VALUE"""),3237.65)</f>
        <v>3237.65</v>
      </c>
      <c r="F73" s="6">
        <f>IFERROR(__xludf.DUMMYFUNCTION("""COMPUTED_VALUE"""),8968599.0)</f>
        <v>8968599</v>
      </c>
    </row>
    <row r="74">
      <c r="A74" s="7">
        <f>IFERROR(__xludf.DUMMYFUNCTION("""COMPUTED_VALUE"""),45709.64583333333)</f>
        <v>45709.64583</v>
      </c>
      <c r="B74" s="6">
        <f>IFERROR(__xludf.DUMMYFUNCTION("""COMPUTED_VALUE"""),3213.55)</f>
        <v>3213.55</v>
      </c>
      <c r="C74" s="6">
        <f>IFERROR(__xludf.DUMMYFUNCTION("""COMPUTED_VALUE"""),3324.9)</f>
        <v>3324.9</v>
      </c>
      <c r="D74" s="6">
        <f>IFERROR(__xludf.DUMMYFUNCTION("""COMPUTED_VALUE"""),3183.0)</f>
        <v>3183</v>
      </c>
      <c r="E74" s="6">
        <f>IFERROR(__xludf.DUMMYFUNCTION("""COMPUTED_VALUE"""),3315.1)</f>
        <v>3315.1</v>
      </c>
      <c r="F74" s="6">
        <f>IFERROR(__xludf.DUMMYFUNCTION("""COMPUTED_VALUE"""),9016425.0)</f>
        <v>9016425</v>
      </c>
    </row>
    <row r="75">
      <c r="A75" s="7">
        <f>IFERROR(__xludf.DUMMYFUNCTION("""COMPUTED_VALUE"""),45716.64583333333)</f>
        <v>45716.64583</v>
      </c>
      <c r="B75" s="6">
        <f>IFERROR(__xludf.DUMMYFUNCTION("""COMPUTED_VALUE"""),3289.7)</f>
        <v>3289.7</v>
      </c>
      <c r="C75" s="6">
        <f>IFERROR(__xludf.DUMMYFUNCTION("""COMPUTED_VALUE"""),3325.5)</f>
        <v>3325.5</v>
      </c>
      <c r="D75" s="6">
        <f>IFERROR(__xludf.DUMMYFUNCTION("""COMPUTED_VALUE"""),3141.0)</f>
        <v>3141</v>
      </c>
      <c r="E75" s="6">
        <f>IFERROR(__xludf.DUMMYFUNCTION("""COMPUTED_VALUE"""),3163.85)</f>
        <v>3163.85</v>
      </c>
      <c r="F75" s="6">
        <f>IFERROR(__xludf.DUMMYFUNCTION("""COMPUTED_VALUE"""),9108673.0)</f>
        <v>9108673</v>
      </c>
    </row>
    <row r="76">
      <c r="A76" s="7">
        <f>IFERROR(__xludf.DUMMYFUNCTION("""COMPUTED_VALUE"""),45723.64583333333)</f>
        <v>45723.64583</v>
      </c>
      <c r="B76" s="6">
        <f>IFERROR(__xludf.DUMMYFUNCTION("""COMPUTED_VALUE"""),3165.95)</f>
        <v>3165.95</v>
      </c>
      <c r="C76" s="6">
        <f>IFERROR(__xludf.DUMMYFUNCTION("""COMPUTED_VALUE"""),3289.0)</f>
        <v>3289</v>
      </c>
      <c r="D76" s="6">
        <f>IFERROR(__xludf.DUMMYFUNCTION("""COMPUTED_VALUE"""),3160.0)</f>
        <v>3160</v>
      </c>
      <c r="E76" s="6">
        <f>IFERROR(__xludf.DUMMYFUNCTION("""COMPUTED_VALUE"""),3244.7)</f>
        <v>3244.7</v>
      </c>
      <c r="F76" s="6">
        <f>IFERROR(__xludf.DUMMYFUNCTION("""COMPUTED_VALUE"""),7525490.0)</f>
        <v>7525490</v>
      </c>
    </row>
    <row r="77">
      <c r="A77" s="7">
        <f>IFERROR(__xludf.DUMMYFUNCTION("""COMPUTED_VALUE"""),45729.64583333333)</f>
        <v>45729.64583</v>
      </c>
      <c r="B77" s="6">
        <f>IFERROR(__xludf.DUMMYFUNCTION("""COMPUTED_VALUE"""),3246.0)</f>
        <v>3246</v>
      </c>
      <c r="C77" s="6">
        <f>IFERROR(__xludf.DUMMYFUNCTION("""COMPUTED_VALUE"""),3246.3)</f>
        <v>3246.3</v>
      </c>
      <c r="D77" s="6">
        <f>IFERROR(__xludf.DUMMYFUNCTION("""COMPUTED_VALUE"""),3153.05)</f>
        <v>3153.05</v>
      </c>
      <c r="E77" s="6">
        <f>IFERROR(__xludf.DUMMYFUNCTION("""COMPUTED_VALUE"""),3187.3)</f>
        <v>3187.3</v>
      </c>
      <c r="F77" s="6">
        <f>IFERROR(__xludf.DUMMYFUNCTION("""COMPUTED_VALUE"""),5826926.0)</f>
        <v>5826926</v>
      </c>
    </row>
    <row r="78">
      <c r="A78" s="7">
        <f>IFERROR(__xludf.DUMMYFUNCTION("""COMPUTED_VALUE"""),45737.64583333333)</f>
        <v>45737.64583</v>
      </c>
      <c r="B78" s="6">
        <f>IFERROR(__xludf.DUMMYFUNCTION("""COMPUTED_VALUE"""),3190.0)</f>
        <v>3190</v>
      </c>
      <c r="C78" s="6">
        <f>IFERROR(__xludf.DUMMYFUNCTION("""COMPUTED_VALUE"""),3455.0)</f>
        <v>3455</v>
      </c>
      <c r="D78" s="6">
        <f>IFERROR(__xludf.DUMMYFUNCTION("""COMPUTED_VALUE"""),3159.0)</f>
        <v>3159</v>
      </c>
      <c r="E78" s="6">
        <f>IFERROR(__xludf.DUMMYFUNCTION("""COMPUTED_VALUE"""),3415.95)</f>
        <v>3415.95</v>
      </c>
      <c r="F78" s="6">
        <f>IFERROR(__xludf.DUMMYFUNCTION("""COMPUTED_VALUE"""),1.1928881E7)</f>
        <v>11928881</v>
      </c>
    </row>
    <row r="79">
      <c r="A79" s="7">
        <f>IFERROR(__xludf.DUMMYFUNCTION("""COMPUTED_VALUE"""),45744.64583333333)</f>
        <v>45744.64583</v>
      </c>
      <c r="B79" s="6">
        <f>IFERROR(__xludf.DUMMYFUNCTION("""COMPUTED_VALUE"""),3449.0)</f>
        <v>3449</v>
      </c>
      <c r="C79" s="6">
        <f>IFERROR(__xludf.DUMMYFUNCTION("""COMPUTED_VALUE"""),3528.0)</f>
        <v>3528</v>
      </c>
      <c r="D79" s="6">
        <f>IFERROR(__xludf.DUMMYFUNCTION("""COMPUTED_VALUE"""),3418.5)</f>
        <v>3418.5</v>
      </c>
      <c r="E79" s="6">
        <f>IFERROR(__xludf.DUMMYFUNCTION("""COMPUTED_VALUE"""),3492.3)</f>
        <v>3492.3</v>
      </c>
      <c r="F79" s="6">
        <f>IFERROR(__xludf.DUMMYFUNCTION("""COMPUTED_VALUE"""),1.3323186E7)</f>
        <v>13323186</v>
      </c>
    </row>
    <row r="80">
      <c r="A80" s="7">
        <f>IFERROR(__xludf.DUMMYFUNCTION("""COMPUTED_VALUE"""),45751.64583333333)</f>
        <v>45751.64583</v>
      </c>
      <c r="B80" s="6">
        <f>IFERROR(__xludf.DUMMYFUNCTION("""COMPUTED_VALUE"""),3480.0)</f>
        <v>3480</v>
      </c>
      <c r="C80" s="6">
        <f>IFERROR(__xludf.DUMMYFUNCTION("""COMPUTED_VALUE"""),3501.6)</f>
        <v>3501.6</v>
      </c>
      <c r="D80" s="6">
        <f>IFERROR(__xludf.DUMMYFUNCTION("""COMPUTED_VALUE"""),3237.3)</f>
        <v>3237.3</v>
      </c>
      <c r="E80" s="6">
        <f>IFERROR(__xludf.DUMMYFUNCTION("""COMPUTED_VALUE"""),3260.15)</f>
        <v>3260.15</v>
      </c>
      <c r="F80" s="6">
        <f>IFERROR(__xludf.DUMMYFUNCTION("""COMPUTED_VALUE"""),6841596.0)</f>
        <v>6841596</v>
      </c>
    </row>
    <row r="81">
      <c r="A81" s="7">
        <f>IFERROR(__xludf.DUMMYFUNCTION("""COMPUTED_VALUE"""),45758.64583333333)</f>
        <v>45758.64583</v>
      </c>
      <c r="B81" s="6">
        <f>IFERROR(__xludf.DUMMYFUNCTION("""COMPUTED_VALUE"""),3049.05)</f>
        <v>3049.05</v>
      </c>
      <c r="C81" s="6">
        <f>IFERROR(__xludf.DUMMYFUNCTION("""COMPUTED_VALUE"""),3193.9)</f>
        <v>3193.9</v>
      </c>
      <c r="D81" s="6">
        <f>IFERROR(__xludf.DUMMYFUNCTION("""COMPUTED_VALUE"""),2965.3)</f>
        <v>2965.3</v>
      </c>
      <c r="E81" s="6">
        <f>IFERROR(__xludf.DUMMYFUNCTION("""COMPUTED_VALUE"""),3115.95)</f>
        <v>3115.95</v>
      </c>
      <c r="F81" s="6">
        <f>IFERROR(__xludf.DUMMYFUNCTION("""COMPUTED_VALUE"""),1.6262177E7)</f>
        <v>16262177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IFERROR(__xludf.DUMMYFUNCTION("""COMPUTED_VALUE"""),3180.0)</f>
        <v>3180</v>
      </c>
      <c r="C82" s="6">
        <f>IFERROR(__xludf.DUMMYFUNCTION("""COMPUTED_VALUE"""),3276.8)</f>
        <v>3276.8</v>
      </c>
      <c r="D82" s="6">
        <f>IFERROR(__xludf.DUMMYFUNCTION("""COMPUTED_VALUE"""),3162.4)</f>
        <v>3162.4</v>
      </c>
      <c r="E82" s="6">
        <f>IFERROR(__xludf.DUMMYFUNCTION("""COMPUTED_VALUE"""),3247.3)</f>
        <v>3247.3</v>
      </c>
      <c r="F82" s="6">
        <f>IFERROR(__xludf.DUMMYFUNCTION("""COMPUTED_VALUE"""),6949083.0)</f>
        <v>6949083</v>
      </c>
    </row>
    <row r="83">
      <c r="A83" s="7">
        <f>IFERROR(__xludf.DUMMYFUNCTION("""COMPUTED_VALUE"""),45772.64583333333)</f>
        <v>45772.64583</v>
      </c>
      <c r="B83" s="6">
        <f>IFERROR(__xludf.DUMMYFUNCTION("""COMPUTED_VALUE"""),3249.5)</f>
        <v>3249.5</v>
      </c>
      <c r="C83" s="6">
        <f>IFERROR(__xludf.DUMMYFUNCTION("""COMPUTED_VALUE"""),3335.7)</f>
        <v>3335.7</v>
      </c>
      <c r="D83" s="6">
        <f>IFERROR(__xludf.DUMMYFUNCTION("""COMPUTED_VALUE"""),3225.1)</f>
        <v>3225.1</v>
      </c>
      <c r="E83" s="6">
        <f>IFERROR(__xludf.DUMMYFUNCTION("""COMPUTED_VALUE"""),3272.1)</f>
        <v>3272.1</v>
      </c>
      <c r="F83" s="6">
        <f>IFERROR(__xludf.DUMMYFUNCTION("""COMPUTED_VALUE"""),1.0083291E7)</f>
        <v>10083291</v>
      </c>
    </row>
    <row r="84">
      <c r="A84" s="7">
        <f>IFERROR(__xludf.DUMMYFUNCTION("""COMPUTED_VALUE"""),45779.64583333333)</f>
        <v>45779.64583</v>
      </c>
      <c r="B84" s="6">
        <f>IFERROR(__xludf.DUMMYFUNCTION("""COMPUTED_VALUE"""),3260.0)</f>
        <v>3260</v>
      </c>
      <c r="C84" s="6">
        <f>IFERROR(__xludf.DUMMYFUNCTION("""COMPUTED_VALUE"""),3376.4)</f>
        <v>3376.4</v>
      </c>
      <c r="D84" s="6">
        <f>IFERROR(__xludf.DUMMYFUNCTION("""COMPUTED_VALUE"""),3254.8)</f>
        <v>3254.8</v>
      </c>
      <c r="E84" s="6">
        <f>IFERROR(__xludf.DUMMYFUNCTION("""COMPUTED_VALUE"""),3334.9)</f>
        <v>3334.9</v>
      </c>
      <c r="F84" s="6">
        <f>IFERROR(__xludf.DUMMYFUNCTION("""COMPUTED_VALUE"""),6875949.0)</f>
        <v>6875949</v>
      </c>
    </row>
    <row r="85">
      <c r="A85" s="7">
        <f>IFERROR(__xludf.DUMMYFUNCTION("""COMPUTED_VALUE"""),45786.64583333333)</f>
        <v>45786.64583</v>
      </c>
      <c r="B85" s="6">
        <f>IFERROR(__xludf.DUMMYFUNCTION("""COMPUTED_VALUE"""),3350.0)</f>
        <v>3350</v>
      </c>
      <c r="C85" s="6">
        <f>IFERROR(__xludf.DUMMYFUNCTION("""COMPUTED_VALUE"""),3477.0)</f>
        <v>3477</v>
      </c>
      <c r="D85" s="6">
        <f>IFERROR(__xludf.DUMMYFUNCTION("""COMPUTED_VALUE"""),3284.1)</f>
        <v>3284.1</v>
      </c>
      <c r="E85" s="6">
        <f>IFERROR(__xludf.DUMMYFUNCTION("""COMPUTED_VALUE"""),3443.9)</f>
        <v>3443.9</v>
      </c>
      <c r="F85" s="6">
        <f>IFERROR(__xludf.DUMMYFUNCTION("""COMPUTED_VALUE"""),1.4907582E7)</f>
        <v>14907582</v>
      </c>
    </row>
    <row r="86">
      <c r="A86" s="7">
        <f>IFERROR(__xludf.DUMMYFUNCTION("""COMPUTED_VALUE"""),45793.64583333333)</f>
        <v>45793.64583</v>
      </c>
      <c r="B86" s="6">
        <f>IFERROR(__xludf.DUMMYFUNCTION("""COMPUTED_VALUE"""),3513.0)</f>
        <v>3513</v>
      </c>
      <c r="C86" s="6">
        <f>IFERROR(__xludf.DUMMYFUNCTION("""COMPUTED_VALUE"""),3648.7)</f>
        <v>3648.7</v>
      </c>
      <c r="D86" s="6">
        <f>IFERROR(__xludf.DUMMYFUNCTION("""COMPUTED_VALUE"""),3490.0)</f>
        <v>3490</v>
      </c>
      <c r="E86" s="6">
        <f>IFERROR(__xludf.DUMMYFUNCTION("""COMPUTED_VALUE"""),3604.7)</f>
        <v>3604.7</v>
      </c>
      <c r="F86" s="6">
        <f>IFERROR(__xludf.DUMMYFUNCTION("""COMPUTED_VALUE"""),1.2961338E7)</f>
        <v>12961338</v>
      </c>
    </row>
    <row r="87">
      <c r="A87" s="7">
        <f>IFERROR(__xludf.DUMMYFUNCTION("""COMPUTED_VALUE"""),45800.64583333333)</f>
        <v>45800.64583</v>
      </c>
      <c r="B87" s="6">
        <f>IFERROR(__xludf.DUMMYFUNCTION("""COMPUTED_VALUE"""),3604.7)</f>
        <v>3604.7</v>
      </c>
      <c r="C87" s="6">
        <f>IFERROR(__xludf.DUMMYFUNCTION("""COMPUTED_VALUE"""),3634.0)</f>
        <v>3634</v>
      </c>
      <c r="D87" s="6">
        <f>IFERROR(__xludf.DUMMYFUNCTION("""COMPUTED_VALUE"""),3536.9)</f>
        <v>3536.9</v>
      </c>
      <c r="E87" s="6">
        <f>IFERROR(__xludf.DUMMYFUNCTION("""COMPUTED_VALUE"""),3599.9)</f>
        <v>3599.9</v>
      </c>
      <c r="F87" s="6">
        <f>IFERROR(__xludf.DUMMYFUNCTION("""COMPUTED_VALUE"""),7331852.0)</f>
        <v>7331852</v>
      </c>
    </row>
    <row r="88">
      <c r="A88" s="7">
        <f>IFERROR(__xludf.DUMMYFUNCTION("""COMPUTED_VALUE"""),45807.64583333333)</f>
        <v>45807.64583</v>
      </c>
      <c r="B88" s="6">
        <f>IFERROR(__xludf.DUMMYFUNCTION("""COMPUTED_VALUE"""),3615.8)</f>
        <v>3615.8</v>
      </c>
      <c r="C88" s="6">
        <f>IFERROR(__xludf.DUMMYFUNCTION("""COMPUTED_VALUE"""),3695.3)</f>
        <v>3695.3</v>
      </c>
      <c r="D88" s="6">
        <f>IFERROR(__xludf.DUMMYFUNCTION("""COMPUTED_VALUE"""),3603.0)</f>
        <v>3603</v>
      </c>
      <c r="E88" s="6">
        <f>IFERROR(__xludf.DUMMYFUNCTION("""COMPUTED_VALUE"""),3675.1)</f>
        <v>3675.1</v>
      </c>
      <c r="F88" s="6">
        <f>IFERROR(__xludf.DUMMYFUNCTION("""COMPUTED_VALUE"""),9529684.0)</f>
        <v>9529684</v>
      </c>
    </row>
    <row r="89">
      <c r="A89" s="7">
        <f>IFERROR(__xludf.DUMMYFUNCTION("""COMPUTED_VALUE"""),45814.64583333333)</f>
        <v>45814.64583</v>
      </c>
      <c r="B89" s="6">
        <f>IFERROR(__xludf.DUMMYFUNCTION("""COMPUTED_VALUE"""),3675.1)</f>
        <v>3675.1</v>
      </c>
      <c r="C89" s="6">
        <f>IFERROR(__xludf.DUMMYFUNCTION("""COMPUTED_VALUE"""),3697.3)</f>
        <v>3697.3</v>
      </c>
      <c r="D89" s="6">
        <f>IFERROR(__xludf.DUMMYFUNCTION("""COMPUTED_VALUE"""),3605.6)</f>
        <v>3605.6</v>
      </c>
      <c r="E89" s="6">
        <f>IFERROR(__xludf.DUMMYFUNCTION("""COMPUTED_VALUE"""),3656.3)</f>
        <v>3656.3</v>
      </c>
      <c r="F89" s="6">
        <f>IFERROR(__xludf.DUMMYFUNCTION("""COMPUTED_VALUE"""),8152910.0)</f>
        <v>8152910</v>
      </c>
    </row>
    <row r="90">
      <c r="A90" s="7">
        <f>IFERROR(__xludf.DUMMYFUNCTION("""COMPUTED_VALUE"""),45821.64583333333)</f>
        <v>45821.64583</v>
      </c>
      <c r="B90" s="6">
        <f>IFERROR(__xludf.DUMMYFUNCTION("""COMPUTED_VALUE"""),3664.0)</f>
        <v>3664</v>
      </c>
      <c r="C90" s="6">
        <f>IFERROR(__xludf.DUMMYFUNCTION("""COMPUTED_VALUE"""),3708.9)</f>
        <v>3708.9</v>
      </c>
      <c r="D90" s="6">
        <f>IFERROR(__xludf.DUMMYFUNCTION("""COMPUTED_VALUE"""),3485.9)</f>
        <v>3485.9</v>
      </c>
      <c r="E90" s="6">
        <f>IFERROR(__xludf.DUMMYFUNCTION("""COMPUTED_VALUE"""),3587.4)</f>
        <v>3587.4</v>
      </c>
      <c r="F90" s="6">
        <f>IFERROR(__xludf.DUMMYFUNCTION("""COMPUTED_VALUE"""),7935605.0)</f>
        <v>7935605</v>
      </c>
    </row>
    <row r="91">
      <c r="A91" s="7">
        <f>IFERROR(__xludf.DUMMYFUNCTION("""COMPUTED_VALUE"""),45828.64583333333)</f>
        <v>45828.64583</v>
      </c>
      <c r="B91" s="6">
        <f>IFERROR(__xludf.DUMMYFUNCTION("""COMPUTED_VALUE"""),3575.5)</f>
        <v>3575.5</v>
      </c>
      <c r="C91" s="6">
        <f>IFERROR(__xludf.DUMMYFUNCTION("""COMPUTED_VALUE"""),3669.9)</f>
        <v>3669.9</v>
      </c>
      <c r="D91" s="6">
        <f>IFERROR(__xludf.DUMMYFUNCTION("""COMPUTED_VALUE"""),3561.8)</f>
        <v>3561.8</v>
      </c>
      <c r="E91" s="6">
        <f>IFERROR(__xludf.DUMMYFUNCTION("""COMPUTED_VALUE"""),3662.0)</f>
        <v>3662</v>
      </c>
      <c r="F91" s="6">
        <f>IFERROR(__xludf.DUMMYFUNCTION("""COMPUTED_VALUE"""),7152640.0)</f>
        <v>7152640</v>
      </c>
    </row>
    <row r="92">
      <c r="A92" s="7">
        <f>IFERROR(__xludf.DUMMYFUNCTION("""COMPUTED_VALUE"""),45835.64583333333)</f>
        <v>45835.64583</v>
      </c>
      <c r="B92" s="6">
        <f>IFERROR(__xludf.DUMMYFUNCTION("""COMPUTED_VALUE"""),3645.0)</f>
        <v>3645</v>
      </c>
      <c r="C92" s="6">
        <f>IFERROR(__xludf.DUMMYFUNCTION("""COMPUTED_VALUE"""),3731.4)</f>
        <v>3731.4</v>
      </c>
      <c r="D92" s="6">
        <f>IFERROR(__xludf.DUMMYFUNCTION("""COMPUTED_VALUE"""),3574.6)</f>
        <v>3574.6</v>
      </c>
      <c r="E92" s="6">
        <f>IFERROR(__xludf.DUMMYFUNCTION("""COMPUTED_VALUE"""),3679.2)</f>
        <v>3679.2</v>
      </c>
      <c r="F92" s="6">
        <f>IFERROR(__xludf.DUMMYFUNCTION("""COMPUTED_VALUE"""),1.1324402E7)</f>
        <v>11324402</v>
      </c>
    </row>
    <row r="93">
      <c r="A93" s="7">
        <f>IFERROR(__xludf.DUMMYFUNCTION("""COMPUTED_VALUE"""),45842.64583333333)</f>
        <v>45842.64583</v>
      </c>
      <c r="B93" s="6">
        <f>IFERROR(__xludf.DUMMYFUNCTION("""COMPUTED_VALUE"""),3682.0)</f>
        <v>3682</v>
      </c>
      <c r="C93" s="6">
        <f>IFERROR(__xludf.DUMMYFUNCTION("""COMPUTED_VALUE"""),3717.5)</f>
        <v>3717.5</v>
      </c>
      <c r="D93" s="6">
        <f>IFERROR(__xludf.DUMMYFUNCTION("""COMPUTED_VALUE"""),3570.1)</f>
        <v>3570.1</v>
      </c>
      <c r="E93" s="6">
        <f>IFERROR(__xludf.DUMMYFUNCTION("""COMPUTED_VALUE"""),3594.6)</f>
        <v>3594.6</v>
      </c>
      <c r="F93" s="6">
        <f>IFERROR(__xludf.DUMMYFUNCTION("""COMPUTED_VALUE"""),5818874.0)</f>
        <v>5818874</v>
      </c>
    </row>
    <row r="94">
      <c r="A94" s="7">
        <f>IFERROR(__xludf.DUMMYFUNCTION("""COMPUTED_VALUE"""),45849.64583333333)</f>
        <v>45849.64583</v>
      </c>
      <c r="B94" s="6">
        <f>IFERROR(__xludf.DUMMYFUNCTION("""COMPUTED_VALUE"""),3599.9)</f>
        <v>3599.9</v>
      </c>
      <c r="C94" s="6">
        <f>IFERROR(__xludf.DUMMYFUNCTION("""COMPUTED_VALUE"""),3614.0)</f>
        <v>3614</v>
      </c>
      <c r="D94" s="6">
        <f>IFERROR(__xludf.DUMMYFUNCTION("""COMPUTED_VALUE"""),3535.5)</f>
        <v>3535.5</v>
      </c>
      <c r="E94" s="6">
        <f>IFERROR(__xludf.DUMMYFUNCTION("""COMPUTED_VALUE"""),3540.6)</f>
        <v>3540.6</v>
      </c>
      <c r="F94" s="6">
        <f>IFERROR(__xludf.DUMMYFUNCTION("""COMPUTED_VALUE"""),5745984.0)</f>
        <v>5745984</v>
      </c>
    </row>
    <row r="95">
      <c r="A95" s="7">
        <f>IFERROR(__xludf.DUMMYFUNCTION("""COMPUTED_VALUE"""),45856.64583333333)</f>
        <v>45856.64583</v>
      </c>
      <c r="B95" s="6">
        <f>IFERROR(__xludf.DUMMYFUNCTION("""COMPUTED_VALUE"""),3540.6)</f>
        <v>3540.6</v>
      </c>
      <c r="C95" s="6">
        <f>IFERROR(__xludf.DUMMYFUNCTION("""COMPUTED_VALUE"""),3548.7)</f>
        <v>3548.7</v>
      </c>
      <c r="D95" s="6">
        <f>IFERROR(__xludf.DUMMYFUNCTION("""COMPUTED_VALUE"""),3450.0)</f>
        <v>3450</v>
      </c>
      <c r="E95" s="6">
        <f>IFERROR(__xludf.DUMMYFUNCTION("""COMPUTED_VALUE"""),3464.8)</f>
        <v>3464.8</v>
      </c>
      <c r="F95" s="6">
        <f>IFERROR(__xludf.DUMMYFUNCTION("""COMPUTED_VALUE"""),8246972.0)</f>
        <v>8246972</v>
      </c>
    </row>
    <row r="96">
      <c r="A96" s="7">
        <f>IFERROR(__xludf.DUMMYFUNCTION("""COMPUTED_VALUE"""),45863.64583333333)</f>
        <v>45863.64583</v>
      </c>
      <c r="B96" s="6">
        <f>IFERROR(__xludf.DUMMYFUNCTION("""COMPUTED_VALUE"""),3467.6)</f>
        <v>3467.6</v>
      </c>
      <c r="C96" s="6">
        <f>IFERROR(__xludf.DUMMYFUNCTION("""COMPUTED_VALUE"""),3508.1)</f>
        <v>3508.1</v>
      </c>
      <c r="D96" s="6">
        <f>IFERROR(__xludf.DUMMYFUNCTION("""COMPUTED_VALUE"""),3437.4)</f>
        <v>3437.4</v>
      </c>
      <c r="E96" s="6">
        <f>IFERROR(__xludf.DUMMYFUNCTION("""COMPUTED_VALUE"""),3442.9)</f>
        <v>3442.9</v>
      </c>
      <c r="F96" s="6">
        <f>IFERROR(__xludf.DUMMYFUNCTION("""COMPUTED_VALUE"""),7722821.0)</f>
        <v>7722821</v>
      </c>
    </row>
    <row r="97">
      <c r="A97" s="7">
        <f>IFERROR(__xludf.DUMMYFUNCTION("""COMPUTED_VALUE"""),45870.64583333333)</f>
        <v>45870.64583</v>
      </c>
      <c r="B97" s="6">
        <f>IFERROR(__xludf.DUMMYFUNCTION("""COMPUTED_VALUE"""),3430.1)</f>
        <v>3430.1</v>
      </c>
      <c r="C97" s="6">
        <f>IFERROR(__xludf.DUMMYFUNCTION("""COMPUTED_VALUE"""),3685.3)</f>
        <v>3685.3</v>
      </c>
      <c r="D97" s="6">
        <f>IFERROR(__xludf.DUMMYFUNCTION("""COMPUTED_VALUE"""),3405.1)</f>
        <v>3405.1</v>
      </c>
      <c r="E97" s="6">
        <f>IFERROR(__xludf.DUMMYFUNCTION("""COMPUTED_VALUE"""),3587.3)</f>
        <v>3587.3</v>
      </c>
      <c r="F97" s="6">
        <f>IFERROR(__xludf.DUMMYFUNCTION("""COMPUTED_VALUE"""),1.5391371E7)</f>
        <v>15391371</v>
      </c>
    </row>
    <row r="98">
      <c r="A98" s="7">
        <f>IFERROR(__xludf.DUMMYFUNCTION("""COMPUTED_VALUE"""),45877.64583333333)</f>
        <v>45877.64583</v>
      </c>
      <c r="B98" s="6">
        <f>IFERROR(__xludf.DUMMYFUNCTION("""COMPUTED_VALUE"""),3595.2)</f>
        <v>3595.2</v>
      </c>
      <c r="C98" s="6">
        <f>IFERROR(__xludf.DUMMYFUNCTION("""COMPUTED_VALUE"""),3671.0)</f>
        <v>3671</v>
      </c>
      <c r="D98" s="6">
        <f>IFERROR(__xludf.DUMMYFUNCTION("""COMPUTED_VALUE"""),3577.0)</f>
        <v>3577</v>
      </c>
      <c r="E98" s="6">
        <f>IFERROR(__xludf.DUMMYFUNCTION("""COMPUTED_VALUE"""),3607.6)</f>
        <v>3607.6</v>
      </c>
      <c r="F98" s="6">
        <f>IFERROR(__xludf.DUMMYFUNCTION("""COMPUTED_VALUE"""),5671722.0)</f>
        <v>5671722</v>
      </c>
    </row>
    <row r="99">
      <c r="A99" s="7">
        <f>IFERROR(__xludf.DUMMYFUNCTION("""COMPUTED_VALUE"""),45883.64583333333)</f>
        <v>45883.64583</v>
      </c>
      <c r="B99" s="6">
        <f>IFERROR(__xludf.DUMMYFUNCTION("""COMPUTED_VALUE"""),3610.0)</f>
        <v>3610</v>
      </c>
      <c r="C99" s="6">
        <f>IFERROR(__xludf.DUMMYFUNCTION("""COMPUTED_VALUE"""),3727.9)</f>
        <v>3727.9</v>
      </c>
      <c r="D99" s="6">
        <f>IFERROR(__xludf.DUMMYFUNCTION("""COMPUTED_VALUE"""),3600.0)</f>
        <v>3600</v>
      </c>
      <c r="E99" s="6">
        <f>IFERROR(__xludf.DUMMYFUNCTION("""COMPUTED_VALUE"""),3677.0)</f>
        <v>3677</v>
      </c>
      <c r="F99" s="6">
        <f>IFERROR(__xludf.DUMMYFUNCTION("""COMPUTED_VALUE"""),7099411.0)</f>
        <v>7099411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IFERROR(__xludf.DUMMYFUNCTION("""COMPUTED_VALUE"""),3699.0)</f>
        <v>3699</v>
      </c>
      <c r="C100" s="6">
        <f>IFERROR(__xludf.DUMMYFUNCTION("""COMPUTED_VALUE"""),3701.5)</f>
        <v>3701.5</v>
      </c>
      <c r="D100" s="6">
        <f>IFERROR(__xludf.DUMMYFUNCTION("""COMPUTED_VALUE"""),3580.0)</f>
        <v>3580</v>
      </c>
      <c r="E100" s="6">
        <f>IFERROR(__xludf.DUMMYFUNCTION("""COMPUTED_VALUE"""),3595.8)</f>
        <v>3595.8</v>
      </c>
      <c r="F100" s="6">
        <f>IFERROR(__xludf.DUMMYFUNCTION("""COMPUTED_VALUE"""),7312647.0)</f>
        <v>7312647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IFERROR(__xludf.DUMMYFUNCTION("""COMPUTED_VALUE"""),3616.0)</f>
        <v>3616</v>
      </c>
      <c r="C101" s="6">
        <f>IFERROR(__xludf.DUMMYFUNCTION("""COMPUTED_VALUE"""),3617.9)</f>
        <v>3617.9</v>
      </c>
      <c r="D101" s="6">
        <f>IFERROR(__xludf.DUMMYFUNCTION("""COMPUTED_VALUE"""),3531.0)</f>
        <v>3531</v>
      </c>
      <c r="E101" s="6">
        <f>IFERROR(__xludf.DUMMYFUNCTION("""COMPUTED_VALUE"""),3541.3)</f>
        <v>3541.3</v>
      </c>
      <c r="F101" s="6">
        <f>IFERROR(__xludf.DUMMYFUNCTION("""COMPUTED_VALUE"""),1.8913922E7)</f>
        <v>18913922</v>
      </c>
    </row>
  </sheetData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IFERROR(__xludf.DUMMYFUNCTION("GOOGLEFINANCE(""NSE:LTF"",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IFERROR(__xludf.DUMMYFUNCTION("""COMPUTED_VALUE"""),45408.64583333333)</f>
        <v>45408.64583</v>
      </c>
      <c r="B2" s="6">
        <f>IFERROR(__xludf.DUMMYFUNCTION("""COMPUTED_VALUE"""),163.75)</f>
        <v>163.75</v>
      </c>
      <c r="C2" s="6">
        <f>IFERROR(__xludf.DUMMYFUNCTION("""COMPUTED_VALUE"""),169.5)</f>
        <v>169.5</v>
      </c>
      <c r="D2" s="6">
        <f>IFERROR(__xludf.DUMMYFUNCTION("""COMPUTED_VALUE"""),161.1)</f>
        <v>161.1</v>
      </c>
      <c r="E2" s="6">
        <f>IFERROR(__xludf.DUMMYFUNCTION("""COMPUTED_VALUE"""),163.8)</f>
        <v>163.8</v>
      </c>
      <c r="F2" s="6">
        <f>IFERROR(__xludf.DUMMYFUNCTION("""COMPUTED_VALUE"""),1.7526629E7)</f>
        <v>17526629</v>
      </c>
    </row>
    <row r="3">
      <c r="A3" s="7">
        <f>IFERROR(__xludf.DUMMYFUNCTION("""COMPUTED_VALUE"""),45415.64583333333)</f>
        <v>45415.64583</v>
      </c>
      <c r="B3" s="6">
        <f>IFERROR(__xludf.DUMMYFUNCTION("""COMPUTED_VALUE"""),163.8)</f>
        <v>163.8</v>
      </c>
      <c r="C3" s="6">
        <f>IFERROR(__xludf.DUMMYFUNCTION("""COMPUTED_VALUE"""),172.15)</f>
        <v>172.15</v>
      </c>
      <c r="D3" s="6">
        <f>IFERROR(__xludf.DUMMYFUNCTION("""COMPUTED_VALUE"""),161.45)</f>
        <v>161.45</v>
      </c>
      <c r="E3" s="6">
        <f>IFERROR(__xludf.DUMMYFUNCTION("""COMPUTED_VALUE"""),167.75)</f>
        <v>167.75</v>
      </c>
      <c r="F3" s="6">
        <f>IFERROR(__xludf.DUMMYFUNCTION("""COMPUTED_VALUE"""),2.5503692E7)</f>
        <v>25503692</v>
      </c>
    </row>
    <row r="4">
      <c r="A4" s="7">
        <f>IFERROR(__xludf.DUMMYFUNCTION("""COMPUTED_VALUE"""),45422.64583333333)</f>
        <v>45422.64583</v>
      </c>
      <c r="B4" s="6">
        <f>IFERROR(__xludf.DUMMYFUNCTION("""COMPUTED_VALUE"""),168.9)</f>
        <v>168.9</v>
      </c>
      <c r="C4" s="6">
        <f>IFERROR(__xludf.DUMMYFUNCTION("""COMPUTED_VALUE"""),169.0)</f>
        <v>169</v>
      </c>
      <c r="D4" s="6">
        <f>IFERROR(__xludf.DUMMYFUNCTION("""COMPUTED_VALUE"""),153.45)</f>
        <v>153.45</v>
      </c>
      <c r="E4" s="6">
        <f>IFERROR(__xludf.DUMMYFUNCTION("""COMPUTED_VALUE"""),155.2)</f>
        <v>155.2</v>
      </c>
      <c r="F4" s="6">
        <f>IFERROR(__xludf.DUMMYFUNCTION("""COMPUTED_VALUE"""),1.9175486E7)</f>
        <v>19175486</v>
      </c>
    </row>
    <row r="5">
      <c r="A5" s="7">
        <f>IFERROR(__xludf.DUMMYFUNCTION("""COMPUTED_VALUE"""),45436.64583333333)</f>
        <v>45436.64583</v>
      </c>
      <c r="B5" s="6">
        <f>IFERROR(__xludf.DUMMYFUNCTION("""COMPUTED_VALUE"""),160.5)</f>
        <v>160.5</v>
      </c>
      <c r="C5" s="6">
        <f>IFERROR(__xludf.DUMMYFUNCTION("""COMPUTED_VALUE"""),160.5)</f>
        <v>160.5</v>
      </c>
      <c r="D5" s="6">
        <f>IFERROR(__xludf.DUMMYFUNCTION("""COMPUTED_VALUE"""),155.65)</f>
        <v>155.65</v>
      </c>
      <c r="E5" s="6">
        <f>IFERROR(__xludf.DUMMYFUNCTION("""COMPUTED_VALUE"""),157.75)</f>
        <v>157.75</v>
      </c>
      <c r="F5" s="6">
        <f>IFERROR(__xludf.DUMMYFUNCTION("""COMPUTED_VALUE"""),1.4192385E7)</f>
        <v>14192385</v>
      </c>
    </row>
    <row r="6">
      <c r="A6" s="7">
        <f>IFERROR(__xludf.DUMMYFUNCTION("""COMPUTED_VALUE"""),45443.64583333333)</f>
        <v>45443.64583</v>
      </c>
      <c r="B6" s="6">
        <f>IFERROR(__xludf.DUMMYFUNCTION("""COMPUTED_VALUE"""),158.85)</f>
        <v>158.85</v>
      </c>
      <c r="C6" s="6">
        <f>IFERROR(__xludf.DUMMYFUNCTION("""COMPUTED_VALUE"""),159.2)</f>
        <v>159.2</v>
      </c>
      <c r="D6" s="6">
        <f>IFERROR(__xludf.DUMMYFUNCTION("""COMPUTED_VALUE"""),152.25)</f>
        <v>152.25</v>
      </c>
      <c r="E6" s="6">
        <f>IFERROR(__xludf.DUMMYFUNCTION("""COMPUTED_VALUE"""),152.95)</f>
        <v>152.95</v>
      </c>
      <c r="F6" s="6">
        <f>IFERROR(__xludf.DUMMYFUNCTION("""COMPUTED_VALUE"""),2.0227255E7)</f>
        <v>20227255</v>
      </c>
    </row>
    <row r="7">
      <c r="A7" s="7">
        <f>IFERROR(__xludf.DUMMYFUNCTION("""COMPUTED_VALUE"""),45450.64583333333)</f>
        <v>45450.64583</v>
      </c>
      <c r="B7" s="6">
        <f>IFERROR(__xludf.DUMMYFUNCTION("""COMPUTED_VALUE"""),157.0)</f>
        <v>157</v>
      </c>
      <c r="C7" s="6">
        <f>IFERROR(__xludf.DUMMYFUNCTION("""COMPUTED_VALUE"""),169.85)</f>
        <v>169.85</v>
      </c>
      <c r="D7" s="6">
        <f>IFERROR(__xludf.DUMMYFUNCTION("""COMPUTED_VALUE"""),144.6)</f>
        <v>144.6</v>
      </c>
      <c r="E7" s="6">
        <f>IFERROR(__xludf.DUMMYFUNCTION("""COMPUTED_VALUE"""),168.45)</f>
        <v>168.45</v>
      </c>
      <c r="F7" s="6">
        <f>IFERROR(__xludf.DUMMYFUNCTION("""COMPUTED_VALUE"""),4.3351836E7)</f>
        <v>43351836</v>
      </c>
    </row>
    <row r="8">
      <c r="A8" s="7">
        <f>IFERROR(__xludf.DUMMYFUNCTION("""COMPUTED_VALUE"""),45457.64583333333)</f>
        <v>45457.64583</v>
      </c>
      <c r="B8" s="6">
        <f>IFERROR(__xludf.DUMMYFUNCTION("""COMPUTED_VALUE"""),171.7)</f>
        <v>171.7</v>
      </c>
      <c r="C8" s="6">
        <f>IFERROR(__xludf.DUMMYFUNCTION("""COMPUTED_VALUE"""),183.76)</f>
        <v>183.76</v>
      </c>
      <c r="D8" s="6">
        <f>IFERROR(__xludf.DUMMYFUNCTION("""COMPUTED_VALUE"""),164.5)</f>
        <v>164.5</v>
      </c>
      <c r="E8" s="6">
        <f>IFERROR(__xludf.DUMMYFUNCTION("""COMPUTED_VALUE"""),181.87)</f>
        <v>181.87</v>
      </c>
      <c r="F8" s="6">
        <f>IFERROR(__xludf.DUMMYFUNCTION("""COMPUTED_VALUE"""),1.13259606E8)</f>
        <v>113259606</v>
      </c>
    </row>
    <row r="9">
      <c r="A9" s="7">
        <f>IFERROR(__xludf.DUMMYFUNCTION("""COMPUTED_VALUE"""),45464.64583333333)</f>
        <v>45464.64583</v>
      </c>
      <c r="B9" s="6">
        <f>IFERROR(__xludf.DUMMYFUNCTION("""COMPUTED_VALUE"""),180.99)</f>
        <v>180.99</v>
      </c>
      <c r="C9" s="6">
        <f>IFERROR(__xludf.DUMMYFUNCTION("""COMPUTED_VALUE"""),186.7)</f>
        <v>186.7</v>
      </c>
      <c r="D9" s="6">
        <f>IFERROR(__xludf.DUMMYFUNCTION("""COMPUTED_VALUE"""),174.04)</f>
        <v>174.04</v>
      </c>
      <c r="E9" s="6">
        <f>IFERROR(__xludf.DUMMYFUNCTION("""COMPUTED_VALUE"""),183.04)</f>
        <v>183.04</v>
      </c>
      <c r="F9" s="6">
        <f>IFERROR(__xludf.DUMMYFUNCTION("""COMPUTED_VALUE"""),7.2280769E7)</f>
        <v>72280769</v>
      </c>
    </row>
    <row r="10">
      <c r="A10" s="7">
        <f>IFERROR(__xludf.DUMMYFUNCTION("""COMPUTED_VALUE"""),45471.64583333333)</f>
        <v>45471.64583</v>
      </c>
      <c r="B10" s="6">
        <f>IFERROR(__xludf.DUMMYFUNCTION("""COMPUTED_VALUE"""),184.0)</f>
        <v>184</v>
      </c>
      <c r="C10" s="6">
        <f>IFERROR(__xludf.DUMMYFUNCTION("""COMPUTED_VALUE"""),187.8)</f>
        <v>187.8</v>
      </c>
      <c r="D10" s="6">
        <f>IFERROR(__xludf.DUMMYFUNCTION("""COMPUTED_VALUE"""),177.5)</f>
        <v>177.5</v>
      </c>
      <c r="E10" s="6">
        <f>IFERROR(__xludf.DUMMYFUNCTION("""COMPUTED_VALUE"""),181.17)</f>
        <v>181.17</v>
      </c>
      <c r="F10" s="6">
        <f>IFERROR(__xludf.DUMMYFUNCTION("""COMPUTED_VALUE"""),6.5712106E7)</f>
        <v>65712106</v>
      </c>
    </row>
    <row r="11">
      <c r="A11" s="7">
        <f>IFERROR(__xludf.DUMMYFUNCTION("""COMPUTED_VALUE"""),45478.64583333333)</f>
        <v>45478.64583</v>
      </c>
      <c r="B11" s="6">
        <f>IFERROR(__xludf.DUMMYFUNCTION("""COMPUTED_VALUE"""),183.65)</f>
        <v>183.65</v>
      </c>
      <c r="C11" s="6">
        <f>IFERROR(__xludf.DUMMYFUNCTION("""COMPUTED_VALUE"""),194.25)</f>
        <v>194.25</v>
      </c>
      <c r="D11" s="6">
        <f>IFERROR(__xludf.DUMMYFUNCTION("""COMPUTED_VALUE"""),182.96)</f>
        <v>182.96</v>
      </c>
      <c r="E11" s="6">
        <f>IFERROR(__xludf.DUMMYFUNCTION("""COMPUTED_VALUE"""),189.91)</f>
        <v>189.91</v>
      </c>
      <c r="F11" s="6">
        <f>IFERROR(__xludf.DUMMYFUNCTION("""COMPUTED_VALUE"""),7.1731402E7)</f>
        <v>71731402</v>
      </c>
    </row>
    <row r="12">
      <c r="A12" s="7">
        <f>IFERROR(__xludf.DUMMYFUNCTION("""COMPUTED_VALUE"""),45485.64583333333)</f>
        <v>45485.64583</v>
      </c>
      <c r="B12" s="6">
        <f>IFERROR(__xludf.DUMMYFUNCTION("""COMPUTED_VALUE"""),190.01)</f>
        <v>190.01</v>
      </c>
      <c r="C12" s="6">
        <f>IFERROR(__xludf.DUMMYFUNCTION("""COMPUTED_VALUE"""),190.58)</f>
        <v>190.58</v>
      </c>
      <c r="D12" s="6">
        <f>IFERROR(__xludf.DUMMYFUNCTION("""COMPUTED_VALUE"""),177.76)</f>
        <v>177.76</v>
      </c>
      <c r="E12" s="6">
        <f>IFERROR(__xludf.DUMMYFUNCTION("""COMPUTED_VALUE"""),182.26)</f>
        <v>182.26</v>
      </c>
      <c r="F12" s="6">
        <f>IFERROR(__xludf.DUMMYFUNCTION("""COMPUTED_VALUE"""),3.1155758E7)</f>
        <v>31155758</v>
      </c>
    </row>
    <row r="13">
      <c r="A13" s="7">
        <f>IFERROR(__xludf.DUMMYFUNCTION("""COMPUTED_VALUE"""),45492.64583333333)</f>
        <v>45492.64583</v>
      </c>
      <c r="B13" s="6">
        <f>IFERROR(__xludf.DUMMYFUNCTION("""COMPUTED_VALUE"""),184.25)</f>
        <v>184.25</v>
      </c>
      <c r="C13" s="6">
        <f>IFERROR(__xludf.DUMMYFUNCTION("""COMPUTED_VALUE"""),189.95)</f>
        <v>189.95</v>
      </c>
      <c r="D13" s="6">
        <f>IFERROR(__xludf.DUMMYFUNCTION("""COMPUTED_VALUE"""),175.0)</f>
        <v>175</v>
      </c>
      <c r="E13" s="6">
        <f>IFERROR(__xludf.DUMMYFUNCTION("""COMPUTED_VALUE"""),175.95)</f>
        <v>175.95</v>
      </c>
      <c r="F13" s="6">
        <f>IFERROR(__xludf.DUMMYFUNCTION("""COMPUTED_VALUE"""),7.0839659E7)</f>
        <v>70839659</v>
      </c>
    </row>
    <row r="14">
      <c r="A14" s="7">
        <f>IFERROR(__xludf.DUMMYFUNCTION("""COMPUTED_VALUE"""),45499.64583333333)</f>
        <v>45499.64583</v>
      </c>
      <c r="B14" s="6">
        <f>IFERROR(__xludf.DUMMYFUNCTION("""COMPUTED_VALUE"""),173.06)</f>
        <v>173.06</v>
      </c>
      <c r="C14" s="6">
        <f>IFERROR(__xludf.DUMMYFUNCTION("""COMPUTED_VALUE"""),180.9)</f>
        <v>180.9</v>
      </c>
      <c r="D14" s="6">
        <f>IFERROR(__xludf.DUMMYFUNCTION("""COMPUTED_VALUE"""),165.0)</f>
        <v>165</v>
      </c>
      <c r="E14" s="6">
        <f>IFERROR(__xludf.DUMMYFUNCTION("""COMPUTED_VALUE"""),180.47)</f>
        <v>180.47</v>
      </c>
      <c r="F14" s="6">
        <f>IFERROR(__xludf.DUMMYFUNCTION("""COMPUTED_VALUE"""),3.4898655E7)</f>
        <v>34898655</v>
      </c>
    </row>
    <row r="15">
      <c r="A15" s="7">
        <f>IFERROR(__xludf.DUMMYFUNCTION("""COMPUTED_VALUE"""),45506.64583333333)</f>
        <v>45506.64583</v>
      </c>
      <c r="B15" s="6">
        <f>IFERROR(__xludf.DUMMYFUNCTION("""COMPUTED_VALUE"""),181.69)</f>
        <v>181.69</v>
      </c>
      <c r="C15" s="6">
        <f>IFERROR(__xludf.DUMMYFUNCTION("""COMPUTED_VALUE"""),182.47)</f>
        <v>182.47</v>
      </c>
      <c r="D15" s="6">
        <f>IFERROR(__xludf.DUMMYFUNCTION("""COMPUTED_VALUE"""),172.16)</f>
        <v>172.16</v>
      </c>
      <c r="E15" s="6">
        <f>IFERROR(__xludf.DUMMYFUNCTION("""COMPUTED_VALUE"""),177.13)</f>
        <v>177.13</v>
      </c>
      <c r="F15" s="6">
        <f>IFERROR(__xludf.DUMMYFUNCTION("""COMPUTED_VALUE"""),2.2397141E7)</f>
        <v>22397141</v>
      </c>
    </row>
    <row r="16">
      <c r="A16" s="7">
        <f>IFERROR(__xludf.DUMMYFUNCTION("""COMPUTED_VALUE"""),45513.64583333333)</f>
        <v>45513.64583</v>
      </c>
      <c r="B16" s="6">
        <f>IFERROR(__xludf.DUMMYFUNCTION("""COMPUTED_VALUE"""),173.99)</f>
        <v>173.99</v>
      </c>
      <c r="C16" s="6">
        <f>IFERROR(__xludf.DUMMYFUNCTION("""COMPUTED_VALUE"""),174.4)</f>
        <v>174.4</v>
      </c>
      <c r="D16" s="6">
        <f>IFERROR(__xludf.DUMMYFUNCTION("""COMPUTED_VALUE"""),165.1)</f>
        <v>165.1</v>
      </c>
      <c r="E16" s="6">
        <f>IFERROR(__xludf.DUMMYFUNCTION("""COMPUTED_VALUE"""),166.2)</f>
        <v>166.2</v>
      </c>
      <c r="F16" s="6">
        <f>IFERROR(__xludf.DUMMYFUNCTION("""COMPUTED_VALUE"""),2.3014277E7)</f>
        <v>23014277</v>
      </c>
    </row>
    <row r="17">
      <c r="A17" s="7">
        <f>IFERROR(__xludf.DUMMYFUNCTION("""COMPUTED_VALUE"""),45520.64583333333)</f>
        <v>45520.64583</v>
      </c>
      <c r="B17" s="6">
        <f>IFERROR(__xludf.DUMMYFUNCTION("""COMPUTED_VALUE"""),166.0)</f>
        <v>166</v>
      </c>
      <c r="C17" s="6">
        <f>IFERROR(__xludf.DUMMYFUNCTION("""COMPUTED_VALUE"""),168.75)</f>
        <v>168.75</v>
      </c>
      <c r="D17" s="6">
        <f>IFERROR(__xludf.DUMMYFUNCTION("""COMPUTED_VALUE"""),159.5)</f>
        <v>159.5</v>
      </c>
      <c r="E17" s="6">
        <f>IFERROR(__xludf.DUMMYFUNCTION("""COMPUTED_VALUE"""),164.29)</f>
        <v>164.29</v>
      </c>
      <c r="F17" s="6">
        <f>IFERROR(__xludf.DUMMYFUNCTION("""COMPUTED_VALUE"""),1.5709367E7)</f>
        <v>15709367</v>
      </c>
    </row>
    <row r="18">
      <c r="A18" s="7">
        <f>IFERROR(__xludf.DUMMYFUNCTION("""COMPUTED_VALUE"""),45527.64583333333)</f>
        <v>45527.64583</v>
      </c>
      <c r="B18" s="6">
        <f>IFERROR(__xludf.DUMMYFUNCTION("""COMPUTED_VALUE"""),164.98)</f>
        <v>164.98</v>
      </c>
      <c r="C18" s="6">
        <f>IFERROR(__xludf.DUMMYFUNCTION("""COMPUTED_VALUE"""),171.9)</f>
        <v>171.9</v>
      </c>
      <c r="D18" s="6">
        <f>IFERROR(__xludf.DUMMYFUNCTION("""COMPUTED_VALUE"""),163.61)</f>
        <v>163.61</v>
      </c>
      <c r="E18" s="6">
        <f>IFERROR(__xludf.DUMMYFUNCTION("""COMPUTED_VALUE"""),167.62)</f>
        <v>167.62</v>
      </c>
      <c r="F18" s="6">
        <f>IFERROR(__xludf.DUMMYFUNCTION("""COMPUTED_VALUE"""),1.9887016E7)</f>
        <v>19887016</v>
      </c>
    </row>
    <row r="19">
      <c r="A19" s="7">
        <f>IFERROR(__xludf.DUMMYFUNCTION("""COMPUTED_VALUE"""),45534.64583333333)</f>
        <v>45534.64583</v>
      </c>
      <c r="B19" s="6">
        <f>IFERROR(__xludf.DUMMYFUNCTION("""COMPUTED_VALUE"""),167.62)</f>
        <v>167.62</v>
      </c>
      <c r="C19" s="6">
        <f>IFERROR(__xludf.DUMMYFUNCTION("""COMPUTED_VALUE"""),173.7)</f>
        <v>173.7</v>
      </c>
      <c r="D19" s="6">
        <f>IFERROR(__xludf.DUMMYFUNCTION("""COMPUTED_VALUE"""),166.89)</f>
        <v>166.89</v>
      </c>
      <c r="E19" s="6">
        <f>IFERROR(__xludf.DUMMYFUNCTION("""COMPUTED_VALUE"""),169.36)</f>
        <v>169.36</v>
      </c>
      <c r="F19" s="6">
        <f>IFERROR(__xludf.DUMMYFUNCTION("""COMPUTED_VALUE"""),2.3276609E7)</f>
        <v>23276609</v>
      </c>
    </row>
    <row r="20">
      <c r="A20" s="7">
        <f>IFERROR(__xludf.DUMMYFUNCTION("""COMPUTED_VALUE"""),45541.64583333333)</f>
        <v>45541.64583</v>
      </c>
      <c r="B20" s="6">
        <f>IFERROR(__xludf.DUMMYFUNCTION("""COMPUTED_VALUE"""),169.04)</f>
        <v>169.04</v>
      </c>
      <c r="C20" s="6">
        <f>IFERROR(__xludf.DUMMYFUNCTION("""COMPUTED_VALUE"""),173.9)</f>
        <v>173.9</v>
      </c>
      <c r="D20" s="6">
        <f>IFERROR(__xludf.DUMMYFUNCTION("""COMPUTED_VALUE"""),164.77)</f>
        <v>164.77</v>
      </c>
      <c r="E20" s="6">
        <f>IFERROR(__xludf.DUMMYFUNCTION("""COMPUTED_VALUE"""),165.23)</f>
        <v>165.23</v>
      </c>
      <c r="F20" s="6">
        <f>IFERROR(__xludf.DUMMYFUNCTION("""COMPUTED_VALUE"""),2.5998419E7)</f>
        <v>25998419</v>
      </c>
    </row>
    <row r="21">
      <c r="A21" s="7">
        <f>IFERROR(__xludf.DUMMYFUNCTION("""COMPUTED_VALUE"""),45548.64583333333)</f>
        <v>45548.64583</v>
      </c>
      <c r="B21" s="6">
        <f>IFERROR(__xludf.DUMMYFUNCTION("""COMPUTED_VALUE"""),165.42)</f>
        <v>165.42</v>
      </c>
      <c r="C21" s="6">
        <f>IFERROR(__xludf.DUMMYFUNCTION("""COMPUTED_VALUE"""),179.37)</f>
        <v>179.37</v>
      </c>
      <c r="D21" s="6">
        <f>IFERROR(__xludf.DUMMYFUNCTION("""COMPUTED_VALUE"""),163.33)</f>
        <v>163.33</v>
      </c>
      <c r="E21" s="6">
        <f>IFERROR(__xludf.DUMMYFUNCTION("""COMPUTED_VALUE"""),177.91)</f>
        <v>177.91</v>
      </c>
      <c r="F21" s="6">
        <f>IFERROR(__xludf.DUMMYFUNCTION("""COMPUTED_VALUE"""),4.7612561E7)</f>
        <v>47612561</v>
      </c>
    </row>
    <row r="22">
      <c r="A22" s="7">
        <f>IFERROR(__xludf.DUMMYFUNCTION("""COMPUTED_VALUE"""),45555.64583333333)</f>
        <v>45555.64583</v>
      </c>
      <c r="B22" s="6">
        <f>IFERROR(__xludf.DUMMYFUNCTION("""COMPUTED_VALUE"""),179.0)</f>
        <v>179</v>
      </c>
      <c r="C22" s="6">
        <f>IFERROR(__xludf.DUMMYFUNCTION("""COMPUTED_VALUE"""),182.25)</f>
        <v>182.25</v>
      </c>
      <c r="D22" s="6">
        <f>IFERROR(__xludf.DUMMYFUNCTION("""COMPUTED_VALUE"""),172.31)</f>
        <v>172.31</v>
      </c>
      <c r="E22" s="6">
        <f>IFERROR(__xludf.DUMMYFUNCTION("""COMPUTED_VALUE"""),181.31)</f>
        <v>181.31</v>
      </c>
      <c r="F22" s="6">
        <f>IFERROR(__xludf.DUMMYFUNCTION("""COMPUTED_VALUE"""),4.1829538E7)</f>
        <v>41829538</v>
      </c>
    </row>
    <row r="23">
      <c r="A23" s="7">
        <f>IFERROR(__xludf.DUMMYFUNCTION("""COMPUTED_VALUE"""),45562.64583333333)</f>
        <v>45562.64583</v>
      </c>
      <c r="B23" s="6">
        <f>IFERROR(__xludf.DUMMYFUNCTION("""COMPUTED_VALUE"""),183.0)</f>
        <v>183</v>
      </c>
      <c r="C23" s="6">
        <f>IFERROR(__xludf.DUMMYFUNCTION("""COMPUTED_VALUE"""),189.29)</f>
        <v>189.29</v>
      </c>
      <c r="D23" s="6">
        <f>IFERROR(__xludf.DUMMYFUNCTION("""COMPUTED_VALUE"""),178.82)</f>
        <v>178.82</v>
      </c>
      <c r="E23" s="6">
        <f>IFERROR(__xludf.DUMMYFUNCTION("""COMPUTED_VALUE"""),187.9)</f>
        <v>187.9</v>
      </c>
      <c r="F23" s="6">
        <f>IFERROR(__xludf.DUMMYFUNCTION("""COMPUTED_VALUE"""),5.5985624E7)</f>
        <v>55985624</v>
      </c>
    </row>
    <row r="24">
      <c r="A24" s="7">
        <f>IFERROR(__xludf.DUMMYFUNCTION("""COMPUTED_VALUE"""),45569.64583333333)</f>
        <v>45569.64583</v>
      </c>
      <c r="B24" s="6">
        <f>IFERROR(__xludf.DUMMYFUNCTION("""COMPUTED_VALUE"""),187.0)</f>
        <v>187</v>
      </c>
      <c r="C24" s="6">
        <f>IFERROR(__xludf.DUMMYFUNCTION("""COMPUTED_VALUE"""),189.45)</f>
        <v>189.45</v>
      </c>
      <c r="D24" s="6">
        <f>IFERROR(__xludf.DUMMYFUNCTION("""COMPUTED_VALUE"""),173.91)</f>
        <v>173.91</v>
      </c>
      <c r="E24" s="6">
        <f>IFERROR(__xludf.DUMMYFUNCTION("""COMPUTED_VALUE"""),174.96)</f>
        <v>174.96</v>
      </c>
      <c r="F24" s="6">
        <f>IFERROR(__xludf.DUMMYFUNCTION("""COMPUTED_VALUE"""),3.282671E7)</f>
        <v>32826710</v>
      </c>
    </row>
    <row r="25">
      <c r="A25" s="7">
        <f>IFERROR(__xludf.DUMMYFUNCTION("""COMPUTED_VALUE"""),45576.64583333333)</f>
        <v>45576.64583</v>
      </c>
      <c r="B25" s="6">
        <f>IFERROR(__xludf.DUMMYFUNCTION("""COMPUTED_VALUE"""),176.23)</f>
        <v>176.23</v>
      </c>
      <c r="C25" s="6">
        <f>IFERROR(__xludf.DUMMYFUNCTION("""COMPUTED_VALUE"""),177.33)</f>
        <v>177.33</v>
      </c>
      <c r="D25" s="6">
        <f>IFERROR(__xludf.DUMMYFUNCTION("""COMPUTED_VALUE"""),163.25)</f>
        <v>163.25</v>
      </c>
      <c r="E25" s="6">
        <f>IFERROR(__xludf.DUMMYFUNCTION("""COMPUTED_VALUE"""),163.76)</f>
        <v>163.76</v>
      </c>
      <c r="F25" s="6">
        <f>IFERROR(__xludf.DUMMYFUNCTION("""COMPUTED_VALUE"""),3.8366922E7)</f>
        <v>38366922</v>
      </c>
    </row>
    <row r="26">
      <c r="A26" s="7">
        <f>IFERROR(__xludf.DUMMYFUNCTION("""COMPUTED_VALUE"""),45583.64583333333)</f>
        <v>45583.64583</v>
      </c>
      <c r="B26" s="6">
        <f>IFERROR(__xludf.DUMMYFUNCTION("""COMPUTED_VALUE"""),164.58)</f>
        <v>164.58</v>
      </c>
      <c r="C26" s="6">
        <f>IFERROR(__xludf.DUMMYFUNCTION("""COMPUTED_VALUE"""),168.6)</f>
        <v>168.6</v>
      </c>
      <c r="D26" s="6">
        <f>IFERROR(__xludf.DUMMYFUNCTION("""COMPUTED_VALUE"""),161.84)</f>
        <v>161.84</v>
      </c>
      <c r="E26" s="6">
        <f>IFERROR(__xludf.DUMMYFUNCTION("""COMPUTED_VALUE"""),166.64)</f>
        <v>166.64</v>
      </c>
      <c r="F26" s="6">
        <f>IFERROR(__xludf.DUMMYFUNCTION("""COMPUTED_VALUE"""),4.9812426E7)</f>
        <v>49812426</v>
      </c>
    </row>
    <row r="27">
      <c r="A27" s="7">
        <f>IFERROR(__xludf.DUMMYFUNCTION("""COMPUTED_VALUE"""),45590.64583333333)</f>
        <v>45590.64583</v>
      </c>
      <c r="B27" s="6">
        <f>IFERROR(__xludf.DUMMYFUNCTION("""COMPUTED_VALUE"""),168.0)</f>
        <v>168</v>
      </c>
      <c r="C27" s="6">
        <f>IFERROR(__xludf.DUMMYFUNCTION("""COMPUTED_VALUE"""),168.89)</f>
        <v>168.89</v>
      </c>
      <c r="D27" s="6">
        <f>IFERROR(__xludf.DUMMYFUNCTION("""COMPUTED_VALUE"""),137.66)</f>
        <v>137.66</v>
      </c>
      <c r="E27" s="6">
        <f>IFERROR(__xludf.DUMMYFUNCTION("""COMPUTED_VALUE"""),140.28)</f>
        <v>140.28</v>
      </c>
      <c r="F27" s="6">
        <f>IFERROR(__xludf.DUMMYFUNCTION("""COMPUTED_VALUE"""),8.5639338E7)</f>
        <v>85639338</v>
      </c>
    </row>
    <row r="28">
      <c r="A28" s="7">
        <f>IFERROR(__xludf.DUMMYFUNCTION("""COMPUTED_VALUE"""),45604.64583333333)</f>
        <v>45604.64583</v>
      </c>
      <c r="B28" s="6">
        <f>IFERROR(__xludf.DUMMYFUNCTION("""COMPUTED_VALUE"""),148.95)</f>
        <v>148.95</v>
      </c>
      <c r="C28" s="6">
        <f>IFERROR(__xludf.DUMMYFUNCTION("""COMPUTED_VALUE"""),148.95)</f>
        <v>148.95</v>
      </c>
      <c r="D28" s="6">
        <f>IFERROR(__xludf.DUMMYFUNCTION("""COMPUTED_VALUE"""),139.8)</f>
        <v>139.8</v>
      </c>
      <c r="E28" s="6">
        <f>IFERROR(__xludf.DUMMYFUNCTION("""COMPUTED_VALUE"""),140.11)</f>
        <v>140.11</v>
      </c>
      <c r="F28" s="6">
        <f>IFERROR(__xludf.DUMMYFUNCTION("""COMPUTED_VALUE"""),3.8189411E7)</f>
        <v>38189411</v>
      </c>
    </row>
    <row r="29">
      <c r="A29" s="7">
        <f>IFERROR(__xludf.DUMMYFUNCTION("""COMPUTED_VALUE"""),45610.64583333333)</f>
        <v>45610.64583</v>
      </c>
      <c r="B29" s="6">
        <f>IFERROR(__xludf.DUMMYFUNCTION("""COMPUTED_VALUE"""),140.0)</f>
        <v>140</v>
      </c>
      <c r="C29" s="6">
        <f>IFERROR(__xludf.DUMMYFUNCTION("""COMPUTED_VALUE"""),142.42)</f>
        <v>142.42</v>
      </c>
      <c r="D29" s="6">
        <f>IFERROR(__xludf.DUMMYFUNCTION("""COMPUTED_VALUE"""),134.1)</f>
        <v>134.1</v>
      </c>
      <c r="E29" s="6">
        <f>IFERROR(__xludf.DUMMYFUNCTION("""COMPUTED_VALUE"""),137.51)</f>
        <v>137.51</v>
      </c>
      <c r="F29" s="6">
        <f>IFERROR(__xludf.DUMMYFUNCTION("""COMPUTED_VALUE"""),2.983088E7)</f>
        <v>29830880</v>
      </c>
    </row>
    <row r="30">
      <c r="A30" s="7">
        <f>IFERROR(__xludf.DUMMYFUNCTION("""COMPUTED_VALUE"""),45618.64583333333)</f>
        <v>45618.64583</v>
      </c>
      <c r="B30" s="6">
        <f>IFERROR(__xludf.DUMMYFUNCTION("""COMPUTED_VALUE"""),136.56)</f>
        <v>136.56</v>
      </c>
      <c r="C30" s="6">
        <f>IFERROR(__xludf.DUMMYFUNCTION("""COMPUTED_VALUE"""),142.49)</f>
        <v>142.49</v>
      </c>
      <c r="D30" s="6">
        <f>IFERROR(__xludf.DUMMYFUNCTION("""COMPUTED_VALUE"""),135.39)</f>
        <v>135.39</v>
      </c>
      <c r="E30" s="6">
        <f>IFERROR(__xludf.DUMMYFUNCTION("""COMPUTED_VALUE"""),139.55)</f>
        <v>139.55</v>
      </c>
      <c r="F30" s="6">
        <f>IFERROR(__xludf.DUMMYFUNCTION("""COMPUTED_VALUE"""),1.9289084E7)</f>
        <v>19289084</v>
      </c>
    </row>
    <row r="31">
      <c r="A31" s="7">
        <f>IFERROR(__xludf.DUMMYFUNCTION("""COMPUTED_VALUE"""),45625.64583333333)</f>
        <v>45625.64583</v>
      </c>
      <c r="B31" s="6">
        <f>IFERROR(__xludf.DUMMYFUNCTION("""COMPUTED_VALUE"""),142.5)</f>
        <v>142.5</v>
      </c>
      <c r="C31" s="6">
        <f>IFERROR(__xludf.DUMMYFUNCTION("""COMPUTED_VALUE"""),145.25)</f>
        <v>145.25</v>
      </c>
      <c r="D31" s="6">
        <f>IFERROR(__xludf.DUMMYFUNCTION("""COMPUTED_VALUE"""),139.5)</f>
        <v>139.5</v>
      </c>
      <c r="E31" s="6">
        <f>IFERROR(__xludf.DUMMYFUNCTION("""COMPUTED_VALUE"""),142.47)</f>
        <v>142.47</v>
      </c>
      <c r="F31" s="6">
        <f>IFERROR(__xludf.DUMMYFUNCTION("""COMPUTED_VALUE"""),4.3146598E7)</f>
        <v>43146598</v>
      </c>
    </row>
    <row r="32">
      <c r="A32" s="7">
        <f>IFERROR(__xludf.DUMMYFUNCTION("""COMPUTED_VALUE"""),45632.64583333333)</f>
        <v>45632.64583</v>
      </c>
      <c r="B32" s="6">
        <f>IFERROR(__xludf.DUMMYFUNCTION("""COMPUTED_VALUE"""),142.15)</f>
        <v>142.15</v>
      </c>
      <c r="C32" s="6">
        <f>IFERROR(__xludf.DUMMYFUNCTION("""COMPUTED_VALUE"""),149.23)</f>
        <v>149.23</v>
      </c>
      <c r="D32" s="6">
        <f>IFERROR(__xludf.DUMMYFUNCTION("""COMPUTED_VALUE"""),141.61)</f>
        <v>141.61</v>
      </c>
      <c r="E32" s="6">
        <f>IFERROR(__xludf.DUMMYFUNCTION("""COMPUTED_VALUE"""),148.81)</f>
        <v>148.81</v>
      </c>
      <c r="F32" s="6">
        <f>IFERROR(__xludf.DUMMYFUNCTION("""COMPUTED_VALUE"""),2.6221922E7)</f>
        <v>26221922</v>
      </c>
    </row>
    <row r="33">
      <c r="A33" s="7">
        <f>IFERROR(__xludf.DUMMYFUNCTION("""COMPUTED_VALUE"""),45639.64583333333)</f>
        <v>45639.64583</v>
      </c>
      <c r="B33" s="6">
        <f>IFERROR(__xludf.DUMMYFUNCTION("""COMPUTED_VALUE"""),148.5)</f>
        <v>148.5</v>
      </c>
      <c r="C33" s="6">
        <f>IFERROR(__xludf.DUMMYFUNCTION("""COMPUTED_VALUE"""),151.95)</f>
        <v>151.95</v>
      </c>
      <c r="D33" s="6">
        <f>IFERROR(__xludf.DUMMYFUNCTION("""COMPUTED_VALUE"""),142.21)</f>
        <v>142.21</v>
      </c>
      <c r="E33" s="6">
        <f>IFERROR(__xludf.DUMMYFUNCTION("""COMPUTED_VALUE"""),146.61)</f>
        <v>146.61</v>
      </c>
      <c r="F33" s="6">
        <f>IFERROR(__xludf.DUMMYFUNCTION("""COMPUTED_VALUE"""),2.2711781E7)</f>
        <v>22711781</v>
      </c>
    </row>
    <row r="34">
      <c r="A34" s="7">
        <f>IFERROR(__xludf.DUMMYFUNCTION("""COMPUTED_VALUE"""),45646.64583333333)</f>
        <v>45646.64583</v>
      </c>
      <c r="B34" s="6">
        <f>IFERROR(__xludf.DUMMYFUNCTION("""COMPUTED_VALUE"""),146.5)</f>
        <v>146.5</v>
      </c>
      <c r="C34" s="6">
        <f>IFERROR(__xludf.DUMMYFUNCTION("""COMPUTED_VALUE"""),148.9)</f>
        <v>148.9</v>
      </c>
      <c r="D34" s="6">
        <f>IFERROR(__xludf.DUMMYFUNCTION("""COMPUTED_VALUE"""),135.5)</f>
        <v>135.5</v>
      </c>
      <c r="E34" s="6">
        <f>IFERROR(__xludf.DUMMYFUNCTION("""COMPUTED_VALUE"""),136.48)</f>
        <v>136.48</v>
      </c>
      <c r="F34" s="6">
        <f>IFERROR(__xludf.DUMMYFUNCTION("""COMPUTED_VALUE"""),4.0983888E7)</f>
        <v>40983888</v>
      </c>
    </row>
    <row r="35">
      <c r="A35" s="7">
        <f>IFERROR(__xludf.DUMMYFUNCTION("""COMPUTED_VALUE"""),45653.64583333333)</f>
        <v>45653.64583</v>
      </c>
      <c r="B35" s="6">
        <f>IFERROR(__xludf.DUMMYFUNCTION("""COMPUTED_VALUE"""),138.0)</f>
        <v>138</v>
      </c>
      <c r="C35" s="6">
        <f>IFERROR(__xludf.DUMMYFUNCTION("""COMPUTED_VALUE"""),139.89)</f>
        <v>139.89</v>
      </c>
      <c r="D35" s="6">
        <f>IFERROR(__xludf.DUMMYFUNCTION("""COMPUTED_VALUE"""),135.7)</f>
        <v>135.7</v>
      </c>
      <c r="E35" s="6">
        <f>IFERROR(__xludf.DUMMYFUNCTION("""COMPUTED_VALUE"""),137.97)</f>
        <v>137.97</v>
      </c>
      <c r="F35" s="6">
        <f>IFERROR(__xludf.DUMMYFUNCTION("""COMPUTED_VALUE"""),2.2937134E7)</f>
        <v>22937134</v>
      </c>
    </row>
    <row r="36">
      <c r="A36" s="7">
        <f>IFERROR(__xludf.DUMMYFUNCTION("""COMPUTED_VALUE"""),45660.64583333333)</f>
        <v>45660.64583</v>
      </c>
      <c r="B36" s="6">
        <f>IFERROR(__xludf.DUMMYFUNCTION("""COMPUTED_VALUE"""),138.0)</f>
        <v>138</v>
      </c>
      <c r="C36" s="6">
        <f>IFERROR(__xludf.DUMMYFUNCTION("""COMPUTED_VALUE"""),144.22)</f>
        <v>144.22</v>
      </c>
      <c r="D36" s="6">
        <f>IFERROR(__xludf.DUMMYFUNCTION("""COMPUTED_VALUE"""),134.65)</f>
        <v>134.65</v>
      </c>
      <c r="E36" s="6">
        <f>IFERROR(__xludf.DUMMYFUNCTION("""COMPUTED_VALUE"""),143.44)</f>
        <v>143.44</v>
      </c>
      <c r="F36" s="6">
        <f>IFERROR(__xludf.DUMMYFUNCTION("""COMPUTED_VALUE"""),2.4959533E7)</f>
        <v>24959533</v>
      </c>
    </row>
    <row r="37">
      <c r="A37" s="7">
        <f>IFERROR(__xludf.DUMMYFUNCTION("""COMPUTED_VALUE"""),45667.64583333333)</f>
        <v>45667.64583</v>
      </c>
      <c r="B37" s="6">
        <f>IFERROR(__xludf.DUMMYFUNCTION("""COMPUTED_VALUE"""),143.44)</f>
        <v>143.44</v>
      </c>
      <c r="C37" s="6">
        <f>IFERROR(__xludf.DUMMYFUNCTION("""COMPUTED_VALUE"""),145.87)</f>
        <v>145.87</v>
      </c>
      <c r="D37" s="6">
        <f>IFERROR(__xludf.DUMMYFUNCTION("""COMPUTED_VALUE"""),136.62)</f>
        <v>136.62</v>
      </c>
      <c r="E37" s="6">
        <f>IFERROR(__xludf.DUMMYFUNCTION("""COMPUTED_VALUE"""),139.28)</f>
        <v>139.28</v>
      </c>
      <c r="F37" s="6">
        <f>IFERROR(__xludf.DUMMYFUNCTION("""COMPUTED_VALUE"""),3.7088098E7)</f>
        <v>37088098</v>
      </c>
    </row>
    <row r="38">
      <c r="A38" s="7">
        <f>IFERROR(__xludf.DUMMYFUNCTION("""COMPUTED_VALUE"""),45674.64583333333)</f>
        <v>45674.64583</v>
      </c>
      <c r="B38" s="6">
        <f>IFERROR(__xludf.DUMMYFUNCTION("""COMPUTED_VALUE"""),134.12)</f>
        <v>134.12</v>
      </c>
      <c r="C38" s="6">
        <f>IFERROR(__xludf.DUMMYFUNCTION("""COMPUTED_VALUE"""),144.24)</f>
        <v>144.24</v>
      </c>
      <c r="D38" s="6">
        <f>IFERROR(__xludf.DUMMYFUNCTION("""COMPUTED_VALUE"""),129.2)</f>
        <v>129.2</v>
      </c>
      <c r="E38" s="6">
        <f>IFERROR(__xludf.DUMMYFUNCTION("""COMPUTED_VALUE"""),143.03)</f>
        <v>143.03</v>
      </c>
      <c r="F38" s="6">
        <f>IFERROR(__xludf.DUMMYFUNCTION("""COMPUTED_VALUE"""),2.9341924E7)</f>
        <v>29341924</v>
      </c>
    </row>
    <row r="39">
      <c r="A39" s="7">
        <f>IFERROR(__xludf.DUMMYFUNCTION("""COMPUTED_VALUE"""),45681.64583333333)</f>
        <v>45681.64583</v>
      </c>
      <c r="B39" s="6">
        <f>IFERROR(__xludf.DUMMYFUNCTION("""COMPUTED_VALUE"""),143.0)</f>
        <v>143</v>
      </c>
      <c r="C39" s="6">
        <f>IFERROR(__xludf.DUMMYFUNCTION("""COMPUTED_VALUE"""),147.57)</f>
        <v>147.57</v>
      </c>
      <c r="D39" s="6">
        <f>IFERROR(__xludf.DUMMYFUNCTION("""COMPUTED_VALUE"""),137.86)</f>
        <v>137.86</v>
      </c>
      <c r="E39" s="6">
        <f>IFERROR(__xludf.DUMMYFUNCTION("""COMPUTED_VALUE"""),139.68)</f>
        <v>139.68</v>
      </c>
      <c r="F39" s="6">
        <f>IFERROR(__xludf.DUMMYFUNCTION("""COMPUTED_VALUE"""),3.1520141E7)</f>
        <v>31520141</v>
      </c>
    </row>
    <row r="40">
      <c r="A40" s="7">
        <f>IFERROR(__xludf.DUMMYFUNCTION("""COMPUTED_VALUE"""),45695.64583333333)</f>
        <v>45695.64583</v>
      </c>
      <c r="B40" s="6">
        <f>IFERROR(__xludf.DUMMYFUNCTION("""COMPUTED_VALUE"""),145.0)</f>
        <v>145</v>
      </c>
      <c r="C40" s="6">
        <f>IFERROR(__xludf.DUMMYFUNCTION("""COMPUTED_VALUE"""),154.89)</f>
        <v>154.89</v>
      </c>
      <c r="D40" s="6">
        <f>IFERROR(__xludf.DUMMYFUNCTION("""COMPUTED_VALUE"""),141.94)</f>
        <v>141.94</v>
      </c>
      <c r="E40" s="6">
        <f>IFERROR(__xludf.DUMMYFUNCTION("""COMPUTED_VALUE"""),149.21)</f>
        <v>149.21</v>
      </c>
      <c r="F40" s="6">
        <f>IFERROR(__xludf.DUMMYFUNCTION("""COMPUTED_VALUE"""),2.6005221E7)</f>
        <v>26005221</v>
      </c>
    </row>
    <row r="41">
      <c r="A41" s="7">
        <f>IFERROR(__xludf.DUMMYFUNCTION("""COMPUTED_VALUE"""),45702.64583333333)</f>
        <v>45702.64583</v>
      </c>
      <c r="B41" s="6">
        <f>IFERROR(__xludf.DUMMYFUNCTION("""COMPUTED_VALUE"""),151.0)</f>
        <v>151</v>
      </c>
      <c r="C41" s="6">
        <f>IFERROR(__xludf.DUMMYFUNCTION("""COMPUTED_VALUE"""),152.21)</f>
        <v>152.21</v>
      </c>
      <c r="D41" s="6">
        <f>IFERROR(__xludf.DUMMYFUNCTION("""COMPUTED_VALUE"""),135.0)</f>
        <v>135</v>
      </c>
      <c r="E41" s="6">
        <f>IFERROR(__xludf.DUMMYFUNCTION("""COMPUTED_VALUE"""),136.96)</f>
        <v>136.96</v>
      </c>
      <c r="F41" s="6">
        <f>IFERROR(__xludf.DUMMYFUNCTION("""COMPUTED_VALUE"""),2.3346263E7)</f>
        <v>23346263</v>
      </c>
    </row>
    <row r="42">
      <c r="A42" s="7">
        <f>IFERROR(__xludf.DUMMYFUNCTION("""COMPUTED_VALUE"""),45709.64583333333)</f>
        <v>45709.64583</v>
      </c>
      <c r="B42" s="6">
        <f>IFERROR(__xludf.DUMMYFUNCTION("""COMPUTED_VALUE"""),136.94)</f>
        <v>136.94</v>
      </c>
      <c r="C42" s="6">
        <f>IFERROR(__xludf.DUMMYFUNCTION("""COMPUTED_VALUE"""),139.45)</f>
        <v>139.45</v>
      </c>
      <c r="D42" s="6">
        <f>IFERROR(__xludf.DUMMYFUNCTION("""COMPUTED_VALUE"""),131.05)</f>
        <v>131.05</v>
      </c>
      <c r="E42" s="6">
        <f>IFERROR(__xludf.DUMMYFUNCTION("""COMPUTED_VALUE"""),135.74)</f>
        <v>135.74</v>
      </c>
      <c r="F42" s="6">
        <f>IFERROR(__xludf.DUMMYFUNCTION("""COMPUTED_VALUE"""),1.4261982E7)</f>
        <v>14261982</v>
      </c>
    </row>
    <row r="43">
      <c r="A43" s="7">
        <f>IFERROR(__xludf.DUMMYFUNCTION("""COMPUTED_VALUE"""),45716.64583333333)</f>
        <v>45716.64583</v>
      </c>
      <c r="B43" s="6">
        <f>IFERROR(__xludf.DUMMYFUNCTION("""COMPUTED_VALUE"""),134.99)</f>
        <v>134.99</v>
      </c>
      <c r="C43" s="6">
        <f>IFERROR(__xludf.DUMMYFUNCTION("""COMPUTED_VALUE"""),142.18)</f>
        <v>142.18</v>
      </c>
      <c r="D43" s="6">
        <f>IFERROR(__xludf.DUMMYFUNCTION("""COMPUTED_VALUE"""),132.3)</f>
        <v>132.3</v>
      </c>
      <c r="E43" s="6">
        <f>IFERROR(__xludf.DUMMYFUNCTION("""COMPUTED_VALUE"""),134.73)</f>
        <v>134.73</v>
      </c>
      <c r="F43" s="6">
        <f>IFERROR(__xludf.DUMMYFUNCTION("""COMPUTED_VALUE"""),2.3624779E7)</f>
        <v>23624779</v>
      </c>
    </row>
    <row r="44">
      <c r="A44" s="7">
        <f>IFERROR(__xludf.DUMMYFUNCTION("""COMPUTED_VALUE"""),45723.64583333333)</f>
        <v>45723.64583</v>
      </c>
      <c r="B44" s="6">
        <f>IFERROR(__xludf.DUMMYFUNCTION("""COMPUTED_VALUE"""),135.19)</f>
        <v>135.19</v>
      </c>
      <c r="C44" s="6">
        <f>IFERROR(__xludf.DUMMYFUNCTION("""COMPUTED_VALUE"""),143.78)</f>
        <v>143.78</v>
      </c>
      <c r="D44" s="6">
        <f>IFERROR(__xludf.DUMMYFUNCTION("""COMPUTED_VALUE"""),132.58)</f>
        <v>132.58</v>
      </c>
      <c r="E44" s="6">
        <f>IFERROR(__xludf.DUMMYFUNCTION("""COMPUTED_VALUE"""),141.71)</f>
        <v>141.71</v>
      </c>
      <c r="F44" s="6">
        <f>IFERROR(__xludf.DUMMYFUNCTION("""COMPUTED_VALUE"""),1.8829638E7)</f>
        <v>18829638</v>
      </c>
    </row>
    <row r="45">
      <c r="A45" s="7">
        <f>IFERROR(__xludf.DUMMYFUNCTION("""COMPUTED_VALUE"""),45729.64583333333)</f>
        <v>45729.64583</v>
      </c>
      <c r="B45" s="6">
        <f>IFERROR(__xludf.DUMMYFUNCTION("""COMPUTED_VALUE"""),141.9)</f>
        <v>141.9</v>
      </c>
      <c r="C45" s="6">
        <f>IFERROR(__xludf.DUMMYFUNCTION("""COMPUTED_VALUE"""),145.3)</f>
        <v>145.3</v>
      </c>
      <c r="D45" s="6">
        <f>IFERROR(__xludf.DUMMYFUNCTION("""COMPUTED_VALUE"""),136.81)</f>
        <v>136.81</v>
      </c>
      <c r="E45" s="6">
        <f>IFERROR(__xludf.DUMMYFUNCTION("""COMPUTED_VALUE"""),138.64)</f>
        <v>138.64</v>
      </c>
      <c r="F45" s="6">
        <f>IFERROR(__xludf.DUMMYFUNCTION("""COMPUTED_VALUE"""),1.2695103E7)</f>
        <v>12695103</v>
      </c>
    </row>
    <row r="46">
      <c r="A46" s="7">
        <f>IFERROR(__xludf.DUMMYFUNCTION("""COMPUTED_VALUE"""),45737.64583333333)</f>
        <v>45737.64583</v>
      </c>
      <c r="B46" s="6">
        <f>IFERROR(__xludf.DUMMYFUNCTION("""COMPUTED_VALUE"""),141.25)</f>
        <v>141.25</v>
      </c>
      <c r="C46" s="6">
        <f>IFERROR(__xludf.DUMMYFUNCTION("""COMPUTED_VALUE"""),156.05)</f>
        <v>156.05</v>
      </c>
      <c r="D46" s="6">
        <f>IFERROR(__xludf.DUMMYFUNCTION("""COMPUTED_VALUE"""),140.7)</f>
        <v>140.7</v>
      </c>
      <c r="E46" s="6">
        <f>IFERROR(__xludf.DUMMYFUNCTION("""COMPUTED_VALUE"""),155.09)</f>
        <v>155.09</v>
      </c>
      <c r="F46" s="6">
        <f>IFERROR(__xludf.DUMMYFUNCTION("""COMPUTED_VALUE"""),2.2780791E7)</f>
        <v>22780791</v>
      </c>
    </row>
    <row r="47">
      <c r="A47" s="7">
        <f>IFERROR(__xludf.DUMMYFUNCTION("""COMPUTED_VALUE"""),45744.64583333333)</f>
        <v>45744.64583</v>
      </c>
      <c r="B47" s="6">
        <f>IFERROR(__xludf.DUMMYFUNCTION("""COMPUTED_VALUE"""),155.61)</f>
        <v>155.61</v>
      </c>
      <c r="C47" s="6">
        <f>IFERROR(__xludf.DUMMYFUNCTION("""COMPUTED_VALUE"""),159.9)</f>
        <v>159.9</v>
      </c>
      <c r="D47" s="6">
        <f>IFERROR(__xludf.DUMMYFUNCTION("""COMPUTED_VALUE"""),151.29)</f>
        <v>151.29</v>
      </c>
      <c r="E47" s="6">
        <f>IFERROR(__xludf.DUMMYFUNCTION("""COMPUTED_VALUE"""),153.22)</f>
        <v>153.22</v>
      </c>
      <c r="F47" s="6">
        <f>IFERROR(__xludf.DUMMYFUNCTION("""COMPUTED_VALUE"""),2.1516378E7)</f>
        <v>21516378</v>
      </c>
    </row>
    <row r="48">
      <c r="A48" s="7">
        <f>IFERROR(__xludf.DUMMYFUNCTION("""COMPUTED_VALUE"""),45751.64583333333)</f>
        <v>45751.64583</v>
      </c>
      <c r="B48" s="6">
        <f>IFERROR(__xludf.DUMMYFUNCTION("""COMPUTED_VALUE"""),151.5)</f>
        <v>151.5</v>
      </c>
      <c r="C48" s="6">
        <f>IFERROR(__xludf.DUMMYFUNCTION("""COMPUTED_VALUE"""),154.89)</f>
        <v>154.89</v>
      </c>
      <c r="D48" s="6">
        <f>IFERROR(__xludf.DUMMYFUNCTION("""COMPUTED_VALUE"""),148.92)</f>
        <v>148.92</v>
      </c>
      <c r="E48" s="6">
        <f>IFERROR(__xludf.DUMMYFUNCTION("""COMPUTED_VALUE"""),153.72)</f>
        <v>153.72</v>
      </c>
      <c r="F48" s="6">
        <f>IFERROR(__xludf.DUMMYFUNCTION("""COMPUTED_VALUE"""),1.1240549E7)</f>
        <v>11240549</v>
      </c>
    </row>
    <row r="49">
      <c r="A49" s="7">
        <f>IFERROR(__xludf.DUMMYFUNCTION("""COMPUTED_VALUE"""),45758.64583333333)</f>
        <v>45758.64583</v>
      </c>
      <c r="B49" s="6">
        <f>IFERROR(__xludf.DUMMYFUNCTION("""COMPUTED_VALUE"""),140.0)</f>
        <v>140</v>
      </c>
      <c r="C49" s="6">
        <f>IFERROR(__xludf.DUMMYFUNCTION("""COMPUTED_VALUE"""),157.59)</f>
        <v>157.59</v>
      </c>
      <c r="D49" s="6">
        <f>IFERROR(__xludf.DUMMYFUNCTION("""COMPUTED_VALUE"""),140.0)</f>
        <v>140</v>
      </c>
      <c r="E49" s="6">
        <f>IFERROR(__xludf.DUMMYFUNCTION("""COMPUTED_VALUE"""),155.46)</f>
        <v>155.46</v>
      </c>
      <c r="F49" s="6">
        <f>IFERROR(__xludf.DUMMYFUNCTION("""COMPUTED_VALUE"""),1.44676E7)</f>
        <v>14467600</v>
      </c>
    </row>
    <row r="50">
      <c r="A50" s="7">
        <f>IFERROR(__xludf.DUMMYFUNCTION("""COMPUTED_VALUE"""),45764.64583333333)</f>
        <v>45764.64583</v>
      </c>
      <c r="B50" s="6">
        <f>IFERROR(__xludf.DUMMYFUNCTION("""COMPUTED_VALUE"""),157.0)</f>
        <v>157</v>
      </c>
      <c r="C50" s="6">
        <f>IFERROR(__xludf.DUMMYFUNCTION("""COMPUTED_VALUE"""),165.35)</f>
        <v>165.35</v>
      </c>
      <c r="D50" s="6">
        <f>IFERROR(__xludf.DUMMYFUNCTION("""COMPUTED_VALUE"""),156.01)</f>
        <v>156.01</v>
      </c>
      <c r="E50" s="6">
        <f>IFERROR(__xludf.DUMMYFUNCTION("""COMPUTED_VALUE"""),163.69)</f>
        <v>163.69</v>
      </c>
      <c r="F50" s="6">
        <f>IFERROR(__xludf.DUMMYFUNCTION("""COMPUTED_VALUE"""),1.5898935E7)</f>
        <v>15898935</v>
      </c>
    </row>
    <row r="51">
      <c r="A51" s="7">
        <f>IFERROR(__xludf.DUMMYFUNCTION("""COMPUTED_VALUE"""),45772.64583333333)</f>
        <v>45772.64583</v>
      </c>
      <c r="B51" s="6">
        <f>IFERROR(__xludf.DUMMYFUNCTION("""COMPUTED_VALUE"""),165.0)</f>
        <v>165</v>
      </c>
      <c r="C51" s="6">
        <f>IFERROR(__xludf.DUMMYFUNCTION("""COMPUTED_VALUE"""),182.14)</f>
        <v>182.14</v>
      </c>
      <c r="D51" s="6">
        <f>IFERROR(__xludf.DUMMYFUNCTION("""COMPUTED_VALUE"""),165.0)</f>
        <v>165</v>
      </c>
      <c r="E51" s="6">
        <f>IFERROR(__xludf.DUMMYFUNCTION("""COMPUTED_VALUE"""),172.99)</f>
        <v>172.99</v>
      </c>
      <c r="F51" s="6">
        <f>IFERROR(__xludf.DUMMYFUNCTION("""COMPUTED_VALUE"""),5.645246E7)</f>
        <v>56452460</v>
      </c>
    </row>
    <row r="52">
      <c r="A52" s="7">
        <f>IFERROR(__xludf.DUMMYFUNCTION("""COMPUTED_VALUE"""),45779.64583333333)</f>
        <v>45779.64583</v>
      </c>
      <c r="B52" s="6">
        <f>IFERROR(__xludf.DUMMYFUNCTION("""COMPUTED_VALUE"""),162.7)</f>
        <v>162.7</v>
      </c>
      <c r="C52" s="6">
        <f>IFERROR(__xludf.DUMMYFUNCTION("""COMPUTED_VALUE"""),169.11)</f>
        <v>169.11</v>
      </c>
      <c r="D52" s="6">
        <f>IFERROR(__xludf.DUMMYFUNCTION("""COMPUTED_VALUE"""),158.2)</f>
        <v>158.2</v>
      </c>
      <c r="E52" s="6">
        <f>IFERROR(__xludf.DUMMYFUNCTION("""COMPUTED_VALUE"""),166.17)</f>
        <v>166.17</v>
      </c>
      <c r="F52" s="6">
        <f>IFERROR(__xludf.DUMMYFUNCTION("""COMPUTED_VALUE"""),3.8917065E7)</f>
        <v>38917065</v>
      </c>
    </row>
    <row r="53">
      <c r="A53" s="7">
        <f>IFERROR(__xludf.DUMMYFUNCTION("""COMPUTED_VALUE"""),45786.64583333333)</f>
        <v>45786.64583</v>
      </c>
      <c r="B53" s="6">
        <f>IFERROR(__xludf.DUMMYFUNCTION("""COMPUTED_VALUE"""),166.7)</f>
        <v>166.7</v>
      </c>
      <c r="C53" s="6">
        <f>IFERROR(__xludf.DUMMYFUNCTION("""COMPUTED_VALUE"""),169.39)</f>
        <v>169.39</v>
      </c>
      <c r="D53" s="6">
        <f>IFERROR(__xludf.DUMMYFUNCTION("""COMPUTED_VALUE"""),159.66)</f>
        <v>159.66</v>
      </c>
      <c r="E53" s="6">
        <f>IFERROR(__xludf.DUMMYFUNCTION("""COMPUTED_VALUE"""),161.53)</f>
        <v>161.53</v>
      </c>
      <c r="F53" s="6">
        <f>IFERROR(__xludf.DUMMYFUNCTION("""COMPUTED_VALUE"""),2.4371934E7)</f>
        <v>24371934</v>
      </c>
    </row>
    <row r="54">
      <c r="A54" s="7">
        <f>IFERROR(__xludf.DUMMYFUNCTION("""COMPUTED_VALUE"""),45793.64583333333)</f>
        <v>45793.64583</v>
      </c>
      <c r="B54" s="6">
        <f>IFERROR(__xludf.DUMMYFUNCTION("""COMPUTED_VALUE"""),168.0)</f>
        <v>168</v>
      </c>
      <c r="C54" s="6">
        <f>IFERROR(__xludf.DUMMYFUNCTION("""COMPUTED_VALUE"""),180.0)</f>
        <v>180</v>
      </c>
      <c r="D54" s="6">
        <f>IFERROR(__xludf.DUMMYFUNCTION("""COMPUTED_VALUE"""),166.77)</f>
        <v>166.77</v>
      </c>
      <c r="E54" s="6">
        <f>IFERROR(__xludf.DUMMYFUNCTION("""COMPUTED_VALUE"""),174.87)</f>
        <v>174.87</v>
      </c>
      <c r="F54" s="6">
        <f>IFERROR(__xludf.DUMMYFUNCTION("""COMPUTED_VALUE"""),3.5286228E7)</f>
        <v>35286228</v>
      </c>
    </row>
    <row r="55">
      <c r="A55" s="7">
        <f>IFERROR(__xludf.DUMMYFUNCTION("""COMPUTED_VALUE"""),45800.64583333333)</f>
        <v>45800.64583</v>
      </c>
      <c r="B55" s="6">
        <f>IFERROR(__xludf.DUMMYFUNCTION("""COMPUTED_VALUE"""),175.0)</f>
        <v>175</v>
      </c>
      <c r="C55" s="6">
        <f>IFERROR(__xludf.DUMMYFUNCTION("""COMPUTED_VALUE"""),177.14)</f>
        <v>177.14</v>
      </c>
      <c r="D55" s="6">
        <f>IFERROR(__xludf.DUMMYFUNCTION("""COMPUTED_VALUE"""),169.7)</f>
        <v>169.7</v>
      </c>
      <c r="E55" s="6">
        <f>IFERROR(__xludf.DUMMYFUNCTION("""COMPUTED_VALUE"""),175.1)</f>
        <v>175.1</v>
      </c>
      <c r="F55" s="6">
        <f>IFERROR(__xludf.DUMMYFUNCTION("""COMPUTED_VALUE"""),1.9517837E7)</f>
        <v>19517837</v>
      </c>
    </row>
    <row r="56">
      <c r="A56" s="7">
        <f>IFERROR(__xludf.DUMMYFUNCTION("""COMPUTED_VALUE"""),45807.64583333333)</f>
        <v>45807.64583</v>
      </c>
      <c r="B56" s="6">
        <f>IFERROR(__xludf.DUMMYFUNCTION("""COMPUTED_VALUE"""),176.5)</f>
        <v>176.5</v>
      </c>
      <c r="C56" s="6">
        <f>IFERROR(__xludf.DUMMYFUNCTION("""COMPUTED_VALUE"""),176.92)</f>
        <v>176.92</v>
      </c>
      <c r="D56" s="6">
        <f>IFERROR(__xludf.DUMMYFUNCTION("""COMPUTED_VALUE"""),169.25)</f>
        <v>169.25</v>
      </c>
      <c r="E56" s="6">
        <f>IFERROR(__xludf.DUMMYFUNCTION("""COMPUTED_VALUE"""),171.29)</f>
        <v>171.29</v>
      </c>
      <c r="F56" s="6">
        <f>IFERROR(__xludf.DUMMYFUNCTION("""COMPUTED_VALUE"""),2.0721924E7)</f>
        <v>20721924</v>
      </c>
    </row>
    <row r="57">
      <c r="A57" s="7">
        <f>IFERROR(__xludf.DUMMYFUNCTION("""COMPUTED_VALUE"""),45814.64583333333)</f>
        <v>45814.64583</v>
      </c>
      <c r="B57" s="6">
        <f>IFERROR(__xludf.DUMMYFUNCTION("""COMPUTED_VALUE"""),171.0)</f>
        <v>171</v>
      </c>
      <c r="C57" s="6">
        <f>IFERROR(__xludf.DUMMYFUNCTION("""COMPUTED_VALUE"""),192.0)</f>
        <v>192</v>
      </c>
      <c r="D57" s="6">
        <f>IFERROR(__xludf.DUMMYFUNCTION("""COMPUTED_VALUE"""),170.46)</f>
        <v>170.46</v>
      </c>
      <c r="E57" s="6">
        <f>IFERROR(__xludf.DUMMYFUNCTION("""COMPUTED_VALUE"""),189.79)</f>
        <v>189.79</v>
      </c>
      <c r="F57" s="6">
        <f>IFERROR(__xludf.DUMMYFUNCTION("""COMPUTED_VALUE"""),5.2017643E7)</f>
        <v>52017643</v>
      </c>
    </row>
    <row r="58">
      <c r="A58" s="7">
        <f>IFERROR(__xludf.DUMMYFUNCTION("""COMPUTED_VALUE"""),45821.64583333333)</f>
        <v>45821.64583</v>
      </c>
      <c r="B58" s="6">
        <f>IFERROR(__xludf.DUMMYFUNCTION("""COMPUTED_VALUE"""),191.74)</f>
        <v>191.74</v>
      </c>
      <c r="C58" s="6">
        <f>IFERROR(__xludf.DUMMYFUNCTION("""COMPUTED_VALUE"""),197.1)</f>
        <v>197.1</v>
      </c>
      <c r="D58" s="6">
        <f>IFERROR(__xludf.DUMMYFUNCTION("""COMPUTED_VALUE"""),180.61)</f>
        <v>180.61</v>
      </c>
      <c r="E58" s="6">
        <f>IFERROR(__xludf.DUMMYFUNCTION("""COMPUTED_VALUE"""),185.69)</f>
        <v>185.69</v>
      </c>
      <c r="F58" s="6">
        <f>IFERROR(__xludf.DUMMYFUNCTION("""COMPUTED_VALUE"""),4.6651669E7)</f>
        <v>46651669</v>
      </c>
    </row>
    <row r="59">
      <c r="A59" s="7">
        <f>IFERROR(__xludf.DUMMYFUNCTION("""COMPUTED_VALUE"""),45828.64583333333)</f>
        <v>45828.64583</v>
      </c>
      <c r="B59" s="6">
        <f>IFERROR(__xludf.DUMMYFUNCTION("""COMPUTED_VALUE"""),186.47)</f>
        <v>186.47</v>
      </c>
      <c r="C59" s="6">
        <f>IFERROR(__xludf.DUMMYFUNCTION("""COMPUTED_VALUE"""),194.21)</f>
        <v>194.21</v>
      </c>
      <c r="D59" s="6">
        <f>IFERROR(__xludf.DUMMYFUNCTION("""COMPUTED_VALUE"""),183.51)</f>
        <v>183.51</v>
      </c>
      <c r="E59" s="6">
        <f>IFERROR(__xludf.DUMMYFUNCTION("""COMPUTED_VALUE"""),190.05)</f>
        <v>190.05</v>
      </c>
      <c r="F59" s="6">
        <f>IFERROR(__xludf.DUMMYFUNCTION("""COMPUTED_VALUE"""),3.075833E7)</f>
        <v>30758330</v>
      </c>
    </row>
    <row r="60">
      <c r="A60" s="7">
        <f>IFERROR(__xludf.DUMMYFUNCTION("""COMPUTED_VALUE"""),45835.64583333333)</f>
        <v>45835.64583</v>
      </c>
      <c r="B60" s="6">
        <f>IFERROR(__xludf.DUMMYFUNCTION("""COMPUTED_VALUE"""),188.53)</f>
        <v>188.53</v>
      </c>
      <c r="C60" s="6">
        <f>IFERROR(__xludf.DUMMYFUNCTION("""COMPUTED_VALUE"""),207.44)</f>
        <v>207.44</v>
      </c>
      <c r="D60" s="6">
        <f>IFERROR(__xludf.DUMMYFUNCTION("""COMPUTED_VALUE"""),188.0)</f>
        <v>188</v>
      </c>
      <c r="E60" s="6">
        <f>IFERROR(__xludf.DUMMYFUNCTION("""COMPUTED_VALUE"""),203.02)</f>
        <v>203.02</v>
      </c>
      <c r="F60" s="6">
        <f>IFERROR(__xludf.DUMMYFUNCTION("""COMPUTED_VALUE"""),5.6398272E7)</f>
        <v>56398272</v>
      </c>
    </row>
    <row r="61">
      <c r="A61" s="7">
        <f>IFERROR(__xludf.DUMMYFUNCTION("""COMPUTED_VALUE"""),45842.64583333333)</f>
        <v>45842.64583</v>
      </c>
      <c r="B61" s="6">
        <f>IFERROR(__xludf.DUMMYFUNCTION("""COMPUTED_VALUE"""),204.93)</f>
        <v>204.93</v>
      </c>
      <c r="C61" s="6">
        <f>IFERROR(__xludf.DUMMYFUNCTION("""COMPUTED_VALUE"""),209.85)</f>
        <v>209.85</v>
      </c>
      <c r="D61" s="6">
        <f>IFERROR(__xludf.DUMMYFUNCTION("""COMPUTED_VALUE"""),202.1)</f>
        <v>202.1</v>
      </c>
      <c r="E61" s="6">
        <f>IFERROR(__xludf.DUMMYFUNCTION("""COMPUTED_VALUE"""),205.63)</f>
        <v>205.63</v>
      </c>
      <c r="F61" s="6">
        <f>IFERROR(__xludf.DUMMYFUNCTION("""COMPUTED_VALUE"""),3.4736356E7)</f>
        <v>34736356</v>
      </c>
    </row>
    <row r="62">
      <c r="A62" s="7">
        <f>IFERROR(__xludf.DUMMYFUNCTION("""COMPUTED_VALUE"""),45849.64583333333)</f>
        <v>45849.64583</v>
      </c>
      <c r="B62" s="6">
        <f>IFERROR(__xludf.DUMMYFUNCTION("""COMPUTED_VALUE"""),205.99)</f>
        <v>205.99</v>
      </c>
      <c r="C62" s="6">
        <f>IFERROR(__xludf.DUMMYFUNCTION("""COMPUTED_VALUE"""),211.2)</f>
        <v>211.2</v>
      </c>
      <c r="D62" s="6">
        <f>IFERROR(__xludf.DUMMYFUNCTION("""COMPUTED_VALUE"""),203.98)</f>
        <v>203.98</v>
      </c>
      <c r="E62" s="6">
        <f>IFERROR(__xludf.DUMMYFUNCTION("""COMPUTED_VALUE"""),204.59)</f>
        <v>204.59</v>
      </c>
      <c r="F62" s="6">
        <f>IFERROR(__xludf.DUMMYFUNCTION("""COMPUTED_VALUE"""),2.6807694E7)</f>
        <v>26807694</v>
      </c>
    </row>
    <row r="63">
      <c r="A63" s="7">
        <f>IFERROR(__xludf.DUMMYFUNCTION("""COMPUTED_VALUE"""),45856.64583333333)</f>
        <v>45856.64583</v>
      </c>
      <c r="B63" s="6">
        <f>IFERROR(__xludf.DUMMYFUNCTION("""COMPUTED_VALUE"""),205.0)</f>
        <v>205</v>
      </c>
      <c r="C63" s="6">
        <f>IFERROR(__xludf.DUMMYFUNCTION("""COMPUTED_VALUE"""),208.49)</f>
        <v>208.49</v>
      </c>
      <c r="D63" s="6">
        <f>IFERROR(__xludf.DUMMYFUNCTION("""COMPUTED_VALUE"""),198.75)</f>
        <v>198.75</v>
      </c>
      <c r="E63" s="6">
        <f>IFERROR(__xludf.DUMMYFUNCTION("""COMPUTED_VALUE"""),203.15)</f>
        <v>203.15</v>
      </c>
      <c r="F63" s="6">
        <f>IFERROR(__xludf.DUMMYFUNCTION("""COMPUTED_VALUE"""),4.2453864E7)</f>
        <v>42453864</v>
      </c>
    </row>
    <row r="64">
      <c r="A64" s="7">
        <f>IFERROR(__xludf.DUMMYFUNCTION("""COMPUTED_VALUE"""),45863.64583333333)</f>
        <v>45863.64583</v>
      </c>
      <c r="B64" s="6">
        <f>IFERROR(__xludf.DUMMYFUNCTION("""COMPUTED_VALUE"""),201.9)</f>
        <v>201.9</v>
      </c>
      <c r="C64" s="6">
        <f>IFERROR(__xludf.DUMMYFUNCTION("""COMPUTED_VALUE"""),214.8)</f>
        <v>214.8</v>
      </c>
      <c r="D64" s="6">
        <f>IFERROR(__xludf.DUMMYFUNCTION("""COMPUTED_VALUE"""),201.0)</f>
        <v>201</v>
      </c>
      <c r="E64" s="6">
        <f>IFERROR(__xludf.DUMMYFUNCTION("""COMPUTED_VALUE"""),204.91)</f>
        <v>204.91</v>
      </c>
      <c r="F64" s="6">
        <f>IFERROR(__xludf.DUMMYFUNCTION("""COMPUTED_VALUE"""),8.1922679E7)</f>
        <v>81922679</v>
      </c>
    </row>
    <row r="65">
      <c r="A65" s="7">
        <f>IFERROR(__xludf.DUMMYFUNCTION("""COMPUTED_VALUE"""),45870.64583333333)</f>
        <v>45870.64583</v>
      </c>
      <c r="B65" s="6">
        <f>IFERROR(__xludf.DUMMYFUNCTION("""COMPUTED_VALUE"""),203.0)</f>
        <v>203</v>
      </c>
      <c r="C65" s="6">
        <f>IFERROR(__xludf.DUMMYFUNCTION("""COMPUTED_VALUE"""),208.5)</f>
        <v>208.5</v>
      </c>
      <c r="D65" s="6">
        <f>IFERROR(__xludf.DUMMYFUNCTION("""COMPUTED_VALUE"""),200.31)</f>
        <v>200.31</v>
      </c>
      <c r="E65" s="6">
        <f>IFERROR(__xludf.DUMMYFUNCTION("""COMPUTED_VALUE"""),201.14)</f>
        <v>201.14</v>
      </c>
      <c r="F65" s="6">
        <f>IFERROR(__xludf.DUMMYFUNCTION("""COMPUTED_VALUE"""),2.6576844E7)</f>
        <v>26576844</v>
      </c>
    </row>
    <row r="66">
      <c r="A66" s="7">
        <f>IFERROR(__xludf.DUMMYFUNCTION("""COMPUTED_VALUE"""),45877.64583333333)</f>
        <v>45877.64583</v>
      </c>
      <c r="B66" s="6">
        <f>IFERROR(__xludf.DUMMYFUNCTION("""COMPUTED_VALUE"""),200.0)</f>
        <v>200</v>
      </c>
      <c r="C66" s="6">
        <f>IFERROR(__xludf.DUMMYFUNCTION("""COMPUTED_VALUE"""),205.49)</f>
        <v>205.49</v>
      </c>
      <c r="D66" s="6">
        <f>IFERROR(__xludf.DUMMYFUNCTION("""COMPUTED_VALUE"""),195.0)</f>
        <v>195</v>
      </c>
      <c r="E66" s="6">
        <f>IFERROR(__xludf.DUMMYFUNCTION("""COMPUTED_VALUE"""),195.75)</f>
        <v>195.75</v>
      </c>
      <c r="F66" s="6">
        <f>IFERROR(__xludf.DUMMYFUNCTION("""COMPUTED_VALUE"""),2.1059757E7)</f>
        <v>21059757</v>
      </c>
    </row>
    <row r="67">
      <c r="A67" s="7">
        <f>IFERROR(__xludf.DUMMYFUNCTION("""COMPUTED_VALUE"""),45883.64583333333)</f>
        <v>45883.64583</v>
      </c>
      <c r="B67" s="6">
        <f>IFERROR(__xludf.DUMMYFUNCTION("""COMPUTED_VALUE"""),195.3)</f>
        <v>195.3</v>
      </c>
      <c r="C67" s="6">
        <f>IFERROR(__xludf.DUMMYFUNCTION("""COMPUTED_VALUE"""),202.84)</f>
        <v>202.84</v>
      </c>
      <c r="D67" s="6">
        <f>IFERROR(__xludf.DUMMYFUNCTION("""COMPUTED_VALUE"""),194.4)</f>
        <v>194.4</v>
      </c>
      <c r="E67" s="6">
        <f>IFERROR(__xludf.DUMMYFUNCTION("""COMPUTED_VALUE"""),202.08)</f>
        <v>202.08</v>
      </c>
      <c r="F67" s="6">
        <f>IFERROR(__xludf.DUMMYFUNCTION("""COMPUTED_VALUE"""),1.2391001E7)</f>
        <v>12391001</v>
      </c>
    </row>
    <row r="68">
      <c r="A68" s="7">
        <f>IFERROR(__xludf.DUMMYFUNCTION("""COMPUTED_VALUE"""),45891.64583333333)</f>
        <v>45891.64583</v>
      </c>
      <c r="B68" s="6">
        <f>IFERROR(__xludf.DUMMYFUNCTION("""COMPUTED_VALUE"""),204.9)</f>
        <v>204.9</v>
      </c>
      <c r="C68" s="6">
        <f>IFERROR(__xludf.DUMMYFUNCTION("""COMPUTED_VALUE"""),225.48)</f>
        <v>225.48</v>
      </c>
      <c r="D68" s="6">
        <f>IFERROR(__xludf.DUMMYFUNCTION("""COMPUTED_VALUE"""),204.26)</f>
        <v>204.26</v>
      </c>
      <c r="E68" s="6">
        <f>IFERROR(__xludf.DUMMYFUNCTION("""COMPUTED_VALUE"""),222.7)</f>
        <v>222.7</v>
      </c>
      <c r="F68" s="6">
        <f>IFERROR(__xludf.DUMMYFUNCTION("""COMPUTED_VALUE"""),4.4241839E7)</f>
        <v>44241839</v>
      </c>
    </row>
    <row r="69">
      <c r="A69" s="7">
        <f>IFERROR(__xludf.DUMMYFUNCTION("""COMPUTED_VALUE"""),45895.64583333333)</f>
        <v>45895.64583</v>
      </c>
      <c r="B69" s="6">
        <f>IFERROR(__xludf.DUMMYFUNCTION("""COMPUTED_VALUE"""),222.7)</f>
        <v>222.7</v>
      </c>
      <c r="C69" s="6">
        <f>IFERROR(__xludf.DUMMYFUNCTION("""COMPUTED_VALUE"""),223.25)</f>
        <v>223.25</v>
      </c>
      <c r="D69" s="6">
        <f>IFERROR(__xludf.DUMMYFUNCTION("""COMPUTED_VALUE"""),215.75)</f>
        <v>215.75</v>
      </c>
      <c r="E69" s="6">
        <f>IFERROR(__xludf.DUMMYFUNCTION("""COMPUTED_VALUE"""),220.0)</f>
        <v>220</v>
      </c>
      <c r="F69" s="6">
        <f>IFERROR(__xludf.DUMMYFUNCTION("""COMPUTED_VALUE"""),1.15453811E8)</f>
        <v>115453811</v>
      </c>
    </row>
  </sheetData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IFERROR(__xludf.DUMMYFUNCTION("GOOGLEFINANCE(""NSE:LTIM"",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IFERROR(__xludf.DUMMYFUNCTION("""COMPUTED_VALUE"""),5150.0)</f>
        <v>5150</v>
      </c>
      <c r="C2" s="6">
        <f>IFERROR(__xludf.DUMMYFUNCTION("""COMPUTED_VALUE"""),5314.0)</f>
        <v>5314</v>
      </c>
      <c r="D2" s="6">
        <f>IFERROR(__xludf.DUMMYFUNCTION("""COMPUTED_VALUE"""),5095.5)</f>
        <v>5095.5</v>
      </c>
      <c r="E2" s="6">
        <f>IFERROR(__xludf.DUMMYFUNCTION("""COMPUTED_VALUE"""),5303.35)</f>
        <v>5303.35</v>
      </c>
      <c r="F2" s="6">
        <f>IFERROR(__xludf.DUMMYFUNCTION("""COMPUTED_VALUE"""),1783506.0)</f>
        <v>1783506</v>
      </c>
    </row>
    <row r="3">
      <c r="A3" s="7">
        <f>IFERROR(__xludf.DUMMYFUNCTION("""COMPUTED_VALUE"""),45177.64583333333)</f>
        <v>45177.64583</v>
      </c>
      <c r="B3" s="6">
        <f>IFERROR(__xludf.DUMMYFUNCTION("""COMPUTED_VALUE"""),5315.05)</f>
        <v>5315.05</v>
      </c>
      <c r="C3" s="6">
        <f>IFERROR(__xludf.DUMMYFUNCTION("""COMPUTED_VALUE"""),5501.0)</f>
        <v>5501</v>
      </c>
      <c r="D3" s="6">
        <f>IFERROR(__xludf.DUMMYFUNCTION("""COMPUTED_VALUE"""),5272.85)</f>
        <v>5272.85</v>
      </c>
      <c r="E3" s="6">
        <f>IFERROR(__xludf.DUMMYFUNCTION("""COMPUTED_VALUE"""),5478.5)</f>
        <v>5478.5</v>
      </c>
      <c r="F3" s="6">
        <f>IFERROR(__xludf.DUMMYFUNCTION("""COMPUTED_VALUE"""),2233550.0)</f>
        <v>2233550</v>
      </c>
    </row>
    <row r="4">
      <c r="A4" s="7">
        <f>IFERROR(__xludf.DUMMYFUNCTION("""COMPUTED_VALUE"""),45184.64583333333)</f>
        <v>45184.64583</v>
      </c>
      <c r="B4" s="6">
        <f>IFERROR(__xludf.DUMMYFUNCTION("""COMPUTED_VALUE"""),5480.0)</f>
        <v>5480</v>
      </c>
      <c r="C4" s="6">
        <f>IFERROR(__xludf.DUMMYFUNCTION("""COMPUTED_VALUE"""),5593.4)</f>
        <v>5593.4</v>
      </c>
      <c r="D4" s="6">
        <f>IFERROR(__xludf.DUMMYFUNCTION("""COMPUTED_VALUE"""),5416.0)</f>
        <v>5416</v>
      </c>
      <c r="E4" s="6">
        <f>IFERROR(__xludf.DUMMYFUNCTION("""COMPUTED_VALUE"""),5532.8)</f>
        <v>5532.8</v>
      </c>
      <c r="F4" s="6">
        <f>IFERROR(__xludf.DUMMYFUNCTION("""COMPUTED_VALUE"""),1512227.0)</f>
        <v>1512227</v>
      </c>
    </row>
    <row r="5">
      <c r="A5" s="7">
        <f>IFERROR(__xludf.DUMMYFUNCTION("""COMPUTED_VALUE"""),45191.64583333333)</f>
        <v>45191.64583</v>
      </c>
      <c r="B5" s="6">
        <f>IFERROR(__xludf.DUMMYFUNCTION("""COMPUTED_VALUE"""),5520.0)</f>
        <v>5520</v>
      </c>
      <c r="C5" s="6">
        <f>IFERROR(__xludf.DUMMYFUNCTION("""COMPUTED_VALUE"""),5527.7)</f>
        <v>5527.7</v>
      </c>
      <c r="D5" s="6">
        <f>IFERROR(__xludf.DUMMYFUNCTION("""COMPUTED_VALUE"""),5350.0)</f>
        <v>5350</v>
      </c>
      <c r="E5" s="6">
        <f>IFERROR(__xludf.DUMMYFUNCTION("""COMPUTED_VALUE"""),5427.5)</f>
        <v>5427.5</v>
      </c>
      <c r="F5" s="6">
        <f>IFERROR(__xludf.DUMMYFUNCTION("""COMPUTED_VALUE"""),822719.0)</f>
        <v>822719</v>
      </c>
    </row>
    <row r="6">
      <c r="A6" s="7">
        <f>IFERROR(__xludf.DUMMYFUNCTION("""COMPUTED_VALUE"""),45198.64583333333)</f>
        <v>45198.64583</v>
      </c>
      <c r="B6" s="6">
        <f>IFERROR(__xludf.DUMMYFUNCTION("""COMPUTED_VALUE"""),5449.0)</f>
        <v>5449</v>
      </c>
      <c r="C6" s="6">
        <f>IFERROR(__xludf.DUMMYFUNCTION("""COMPUTED_VALUE"""),5462.0)</f>
        <v>5462</v>
      </c>
      <c r="D6" s="6">
        <f>IFERROR(__xludf.DUMMYFUNCTION("""COMPUTED_VALUE"""),5128.0)</f>
        <v>5128</v>
      </c>
      <c r="E6" s="6">
        <f>IFERROR(__xludf.DUMMYFUNCTION("""COMPUTED_VALUE"""),5209.85)</f>
        <v>5209.85</v>
      </c>
      <c r="F6" s="6">
        <f>IFERROR(__xludf.DUMMYFUNCTION("""COMPUTED_VALUE"""),1699696.0)</f>
        <v>1699696</v>
      </c>
    </row>
    <row r="7">
      <c r="A7" s="7">
        <f>IFERROR(__xludf.DUMMYFUNCTION("""COMPUTED_VALUE"""),45205.64583333333)</f>
        <v>45205.64583</v>
      </c>
      <c r="B7" s="6">
        <f>IFERROR(__xludf.DUMMYFUNCTION("""COMPUTED_VALUE"""),5195.0)</f>
        <v>5195</v>
      </c>
      <c r="C7" s="6">
        <f>IFERROR(__xludf.DUMMYFUNCTION("""COMPUTED_VALUE"""),5264.95)</f>
        <v>5264.95</v>
      </c>
      <c r="D7" s="6">
        <f>IFERROR(__xludf.DUMMYFUNCTION("""COMPUTED_VALUE"""),5126.65)</f>
        <v>5126.65</v>
      </c>
      <c r="E7" s="6">
        <f>IFERROR(__xludf.DUMMYFUNCTION("""COMPUTED_VALUE"""),5239.2)</f>
        <v>5239.2</v>
      </c>
      <c r="F7" s="6">
        <f>IFERROR(__xludf.DUMMYFUNCTION("""COMPUTED_VALUE"""),878882.0)</f>
        <v>878882</v>
      </c>
    </row>
    <row r="8">
      <c r="A8" s="7">
        <f>IFERROR(__xludf.DUMMYFUNCTION("""COMPUTED_VALUE"""),45212.64583333333)</f>
        <v>45212.64583</v>
      </c>
      <c r="B8" s="6">
        <f>IFERROR(__xludf.DUMMYFUNCTION("""COMPUTED_VALUE"""),5215.95)</f>
        <v>5215.95</v>
      </c>
      <c r="C8" s="6">
        <f>IFERROR(__xludf.DUMMYFUNCTION("""COMPUTED_VALUE"""),5342.95)</f>
        <v>5342.95</v>
      </c>
      <c r="D8" s="6">
        <f>IFERROR(__xludf.DUMMYFUNCTION("""COMPUTED_VALUE"""),5075.0)</f>
        <v>5075</v>
      </c>
      <c r="E8" s="6">
        <f>IFERROR(__xludf.DUMMYFUNCTION("""COMPUTED_VALUE"""),5095.15)</f>
        <v>5095.15</v>
      </c>
      <c r="F8" s="6">
        <f>IFERROR(__xludf.DUMMYFUNCTION("""COMPUTED_VALUE"""),1345371.0)</f>
        <v>1345371</v>
      </c>
    </row>
    <row r="9">
      <c r="A9" s="7">
        <f>IFERROR(__xludf.DUMMYFUNCTION("""COMPUTED_VALUE"""),45219.64583333333)</f>
        <v>45219.64583</v>
      </c>
      <c r="B9" s="6">
        <f>IFERROR(__xludf.DUMMYFUNCTION("""COMPUTED_VALUE"""),5118.45)</f>
        <v>5118.45</v>
      </c>
      <c r="C9" s="6">
        <f>IFERROR(__xludf.DUMMYFUNCTION("""COMPUTED_VALUE"""),5513.0)</f>
        <v>5513</v>
      </c>
      <c r="D9" s="6">
        <f>IFERROR(__xludf.DUMMYFUNCTION("""COMPUTED_VALUE"""),5037.65)</f>
        <v>5037.65</v>
      </c>
      <c r="E9" s="6">
        <f>IFERROR(__xludf.DUMMYFUNCTION("""COMPUTED_VALUE"""),5416.2)</f>
        <v>5416.2</v>
      </c>
      <c r="F9" s="6">
        <f>IFERROR(__xludf.DUMMYFUNCTION("""COMPUTED_VALUE"""),3247298.0)</f>
        <v>3247298</v>
      </c>
    </row>
    <row r="10">
      <c r="A10" s="7">
        <f>IFERROR(__xludf.DUMMYFUNCTION("""COMPUTED_VALUE"""),45226.64583333333)</f>
        <v>45226.64583</v>
      </c>
      <c r="B10" s="6">
        <f>IFERROR(__xludf.DUMMYFUNCTION("""COMPUTED_VALUE"""),5407.0)</f>
        <v>5407</v>
      </c>
      <c r="C10" s="6">
        <f>IFERROR(__xludf.DUMMYFUNCTION("""COMPUTED_VALUE"""),5407.0)</f>
        <v>5407</v>
      </c>
      <c r="D10" s="6">
        <f>IFERROR(__xludf.DUMMYFUNCTION("""COMPUTED_VALUE"""),5066.6)</f>
        <v>5066.6</v>
      </c>
      <c r="E10" s="6">
        <f>IFERROR(__xludf.DUMMYFUNCTION("""COMPUTED_VALUE"""),5171.0)</f>
        <v>5171</v>
      </c>
      <c r="F10" s="6">
        <f>IFERROR(__xludf.DUMMYFUNCTION("""COMPUTED_VALUE"""),1150300.0)</f>
        <v>1150300</v>
      </c>
    </row>
    <row r="11">
      <c r="A11" s="7">
        <f>IFERROR(__xludf.DUMMYFUNCTION("""COMPUTED_VALUE"""),45233.64583333333)</f>
        <v>45233.64583</v>
      </c>
      <c r="B11" s="6">
        <f>IFERROR(__xludf.DUMMYFUNCTION("""COMPUTED_VALUE"""),5171.0)</f>
        <v>5171</v>
      </c>
      <c r="C11" s="6">
        <f>IFERROR(__xludf.DUMMYFUNCTION("""COMPUTED_VALUE"""),5177.8)</f>
        <v>5177.8</v>
      </c>
      <c r="D11" s="6">
        <f>IFERROR(__xludf.DUMMYFUNCTION("""COMPUTED_VALUE"""),4989.05)</f>
        <v>4989.05</v>
      </c>
      <c r="E11" s="6">
        <f>IFERROR(__xludf.DUMMYFUNCTION("""COMPUTED_VALUE"""),5134.95)</f>
        <v>5134.95</v>
      </c>
      <c r="F11" s="6">
        <f>IFERROR(__xludf.DUMMYFUNCTION("""COMPUTED_VALUE"""),1496432.0)</f>
        <v>1496432</v>
      </c>
    </row>
    <row r="12">
      <c r="A12" s="7">
        <f>IFERROR(__xludf.DUMMYFUNCTION("""COMPUTED_VALUE"""),45240.64583333333)</f>
        <v>45240.64583</v>
      </c>
      <c r="B12" s="6">
        <f>IFERROR(__xludf.DUMMYFUNCTION("""COMPUTED_VALUE"""),5174.0)</f>
        <v>5174</v>
      </c>
      <c r="C12" s="6">
        <f>IFERROR(__xludf.DUMMYFUNCTION("""COMPUTED_VALUE"""),5279.95)</f>
        <v>5279.95</v>
      </c>
      <c r="D12" s="6">
        <f>IFERROR(__xludf.DUMMYFUNCTION("""COMPUTED_VALUE"""),5115.0)</f>
        <v>5115</v>
      </c>
      <c r="E12" s="6">
        <f>IFERROR(__xludf.DUMMYFUNCTION("""COMPUTED_VALUE"""),5262.15)</f>
        <v>5262.15</v>
      </c>
      <c r="F12" s="6">
        <f>IFERROR(__xludf.DUMMYFUNCTION("""COMPUTED_VALUE"""),1091826.0)</f>
        <v>1091826</v>
      </c>
    </row>
    <row r="13">
      <c r="A13" s="7">
        <f>IFERROR(__xludf.DUMMYFUNCTION("""COMPUTED_VALUE"""),45247.64583333333)</f>
        <v>45247.64583</v>
      </c>
      <c r="B13" s="6">
        <f>IFERROR(__xludf.DUMMYFUNCTION("""COMPUTED_VALUE"""),5286.0)</f>
        <v>5286</v>
      </c>
      <c r="C13" s="6">
        <f>IFERROR(__xludf.DUMMYFUNCTION("""COMPUTED_VALUE"""),5548.45)</f>
        <v>5548.45</v>
      </c>
      <c r="D13" s="6">
        <f>IFERROR(__xludf.DUMMYFUNCTION("""COMPUTED_VALUE"""),5216.4)</f>
        <v>5216.4</v>
      </c>
      <c r="E13" s="6">
        <f>IFERROR(__xludf.DUMMYFUNCTION("""COMPUTED_VALUE"""),5518.5)</f>
        <v>5518.5</v>
      </c>
      <c r="F13" s="6">
        <f>IFERROR(__xludf.DUMMYFUNCTION("""COMPUTED_VALUE"""),1435515.0)</f>
        <v>1435515</v>
      </c>
    </row>
    <row r="14">
      <c r="A14" s="7">
        <f>IFERROR(__xludf.DUMMYFUNCTION("""COMPUTED_VALUE"""),45254.64583333333)</f>
        <v>45254.64583</v>
      </c>
      <c r="B14" s="6">
        <f>IFERROR(__xludf.DUMMYFUNCTION("""COMPUTED_VALUE"""),5518.5)</f>
        <v>5518.5</v>
      </c>
      <c r="C14" s="6">
        <f>IFERROR(__xludf.DUMMYFUNCTION("""COMPUTED_VALUE"""),5637.65)</f>
        <v>5637.65</v>
      </c>
      <c r="D14" s="6">
        <f>IFERROR(__xludf.DUMMYFUNCTION("""COMPUTED_VALUE"""),5437.75)</f>
        <v>5437.75</v>
      </c>
      <c r="E14" s="6">
        <f>IFERROR(__xludf.DUMMYFUNCTION("""COMPUTED_VALUE"""),5472.6)</f>
        <v>5472.6</v>
      </c>
      <c r="F14" s="6">
        <f>IFERROR(__xludf.DUMMYFUNCTION("""COMPUTED_VALUE"""),1330346.0)</f>
        <v>1330346</v>
      </c>
    </row>
    <row r="15">
      <c r="A15" s="7">
        <f>IFERROR(__xludf.DUMMYFUNCTION("""COMPUTED_VALUE"""),45261.64583333333)</f>
        <v>45261.64583</v>
      </c>
      <c r="B15" s="6">
        <f>IFERROR(__xludf.DUMMYFUNCTION("""COMPUTED_VALUE"""),5478.95)</f>
        <v>5478.95</v>
      </c>
      <c r="C15" s="6">
        <f>IFERROR(__xludf.DUMMYFUNCTION("""COMPUTED_VALUE"""),5615.95)</f>
        <v>5615.95</v>
      </c>
      <c r="D15" s="6">
        <f>IFERROR(__xludf.DUMMYFUNCTION("""COMPUTED_VALUE"""),5407.6)</f>
        <v>5407.6</v>
      </c>
      <c r="E15" s="6">
        <f>IFERROR(__xludf.DUMMYFUNCTION("""COMPUTED_VALUE"""),5577.05)</f>
        <v>5577.05</v>
      </c>
      <c r="F15" s="6">
        <f>IFERROR(__xludf.DUMMYFUNCTION("""COMPUTED_VALUE"""),1426942.0)</f>
        <v>1426942</v>
      </c>
    </row>
    <row r="16">
      <c r="A16" s="7">
        <f>IFERROR(__xludf.DUMMYFUNCTION("""COMPUTED_VALUE"""),45268.64583333333)</f>
        <v>45268.64583</v>
      </c>
      <c r="B16" s="6">
        <f>IFERROR(__xludf.DUMMYFUNCTION("""COMPUTED_VALUE"""),5610.0)</f>
        <v>5610</v>
      </c>
      <c r="C16" s="6">
        <f>IFERROR(__xludf.DUMMYFUNCTION("""COMPUTED_VALUE"""),5754.0)</f>
        <v>5754</v>
      </c>
      <c r="D16" s="6">
        <f>IFERROR(__xludf.DUMMYFUNCTION("""COMPUTED_VALUE"""),5454.0)</f>
        <v>5454</v>
      </c>
      <c r="E16" s="6">
        <f>IFERROR(__xludf.DUMMYFUNCTION("""COMPUTED_VALUE"""),5708.7)</f>
        <v>5708.7</v>
      </c>
      <c r="F16" s="6">
        <f>IFERROR(__xludf.DUMMYFUNCTION("""COMPUTED_VALUE"""),2095908.0)</f>
        <v>2095908</v>
      </c>
    </row>
    <row r="17">
      <c r="A17" s="7">
        <f>IFERROR(__xludf.DUMMYFUNCTION("""COMPUTED_VALUE"""),45275.64583333333)</f>
        <v>45275.64583</v>
      </c>
      <c r="B17" s="6">
        <f>IFERROR(__xludf.DUMMYFUNCTION("""COMPUTED_VALUE"""),5736.0)</f>
        <v>5736</v>
      </c>
      <c r="C17" s="6">
        <f>IFERROR(__xludf.DUMMYFUNCTION("""COMPUTED_VALUE"""),6215.0)</f>
        <v>6215</v>
      </c>
      <c r="D17" s="6">
        <f>IFERROR(__xludf.DUMMYFUNCTION("""COMPUTED_VALUE"""),5614.0)</f>
        <v>5614</v>
      </c>
      <c r="E17" s="6">
        <f>IFERROR(__xludf.DUMMYFUNCTION("""COMPUTED_VALUE"""),6129.3)</f>
        <v>6129.3</v>
      </c>
      <c r="F17" s="6">
        <f>IFERROR(__xludf.DUMMYFUNCTION("""COMPUTED_VALUE"""),3824806.0)</f>
        <v>3824806</v>
      </c>
    </row>
    <row r="18">
      <c r="A18" s="7">
        <f>IFERROR(__xludf.DUMMYFUNCTION("""COMPUTED_VALUE"""),45282.64583333333)</f>
        <v>45282.64583</v>
      </c>
      <c r="B18" s="6">
        <f>IFERROR(__xludf.DUMMYFUNCTION("""COMPUTED_VALUE"""),6140.0)</f>
        <v>6140</v>
      </c>
      <c r="C18" s="6">
        <f>IFERROR(__xludf.DUMMYFUNCTION("""COMPUTED_VALUE"""),6289.0)</f>
        <v>6289</v>
      </c>
      <c r="D18" s="6">
        <f>IFERROR(__xludf.DUMMYFUNCTION("""COMPUTED_VALUE"""),5950.05)</f>
        <v>5950.05</v>
      </c>
      <c r="E18" s="6">
        <f>IFERROR(__xludf.DUMMYFUNCTION("""COMPUTED_VALUE"""),6229.1)</f>
        <v>6229.1</v>
      </c>
      <c r="F18" s="6">
        <f>IFERROR(__xludf.DUMMYFUNCTION("""COMPUTED_VALUE"""),2785312.0)</f>
        <v>2785312</v>
      </c>
    </row>
    <row r="19">
      <c r="A19" s="7">
        <f>IFERROR(__xludf.DUMMYFUNCTION("""COMPUTED_VALUE"""),45289.64583333333)</f>
        <v>45289.64583</v>
      </c>
      <c r="B19" s="6">
        <f>IFERROR(__xludf.DUMMYFUNCTION("""COMPUTED_VALUE"""),6240.0)</f>
        <v>6240</v>
      </c>
      <c r="C19" s="6">
        <f>IFERROR(__xludf.DUMMYFUNCTION("""COMPUTED_VALUE"""),6356.0)</f>
        <v>6356</v>
      </c>
      <c r="D19" s="6">
        <f>IFERROR(__xludf.DUMMYFUNCTION("""COMPUTED_VALUE"""),6200.25)</f>
        <v>6200.25</v>
      </c>
      <c r="E19" s="6">
        <f>IFERROR(__xludf.DUMMYFUNCTION("""COMPUTED_VALUE"""),6294.95)</f>
        <v>6294.95</v>
      </c>
      <c r="F19" s="6">
        <f>IFERROR(__xludf.DUMMYFUNCTION("""COMPUTED_VALUE"""),1209498.0)</f>
        <v>1209498</v>
      </c>
    </row>
    <row r="20">
      <c r="A20" s="7">
        <f>IFERROR(__xludf.DUMMYFUNCTION("""COMPUTED_VALUE"""),45296.64583333333)</f>
        <v>45296.64583</v>
      </c>
      <c r="B20" s="6">
        <f>IFERROR(__xludf.DUMMYFUNCTION("""COMPUTED_VALUE"""),6308.8)</f>
        <v>6308.8</v>
      </c>
      <c r="C20" s="6">
        <f>IFERROR(__xludf.DUMMYFUNCTION("""COMPUTED_VALUE"""),6318.75)</f>
        <v>6318.75</v>
      </c>
      <c r="D20" s="6">
        <f>IFERROR(__xludf.DUMMYFUNCTION("""COMPUTED_VALUE"""),5851.7)</f>
        <v>5851.7</v>
      </c>
      <c r="E20" s="6">
        <f>IFERROR(__xludf.DUMMYFUNCTION("""COMPUTED_VALUE"""),5947.65)</f>
        <v>5947.65</v>
      </c>
      <c r="F20" s="6">
        <f>IFERROR(__xludf.DUMMYFUNCTION("""COMPUTED_VALUE"""),2110830.0)</f>
        <v>2110830</v>
      </c>
    </row>
    <row r="21">
      <c r="A21" s="7">
        <f>IFERROR(__xludf.DUMMYFUNCTION("""COMPUTED_VALUE"""),45303.64583333333)</f>
        <v>45303.64583</v>
      </c>
      <c r="B21" s="6">
        <f>IFERROR(__xludf.DUMMYFUNCTION("""COMPUTED_VALUE"""),5988.0)</f>
        <v>5988</v>
      </c>
      <c r="C21" s="6">
        <f>IFERROR(__xludf.DUMMYFUNCTION("""COMPUTED_VALUE"""),6245.0)</f>
        <v>6245</v>
      </c>
      <c r="D21" s="6">
        <f>IFERROR(__xludf.DUMMYFUNCTION("""COMPUTED_VALUE"""),5835.05)</f>
        <v>5835.05</v>
      </c>
      <c r="E21" s="6">
        <f>IFERROR(__xludf.DUMMYFUNCTION("""COMPUTED_VALUE"""),6237.05)</f>
        <v>6237.05</v>
      </c>
      <c r="F21" s="6">
        <f>IFERROR(__xludf.DUMMYFUNCTION("""COMPUTED_VALUE"""),1937003.0)</f>
        <v>1937003</v>
      </c>
    </row>
    <row r="22">
      <c r="A22" s="7">
        <f>IFERROR(__xludf.DUMMYFUNCTION("""COMPUTED_VALUE"""),45316.64583333333)</f>
        <v>45316.64583</v>
      </c>
      <c r="B22" s="6">
        <f>IFERROR(__xludf.DUMMYFUNCTION("""COMPUTED_VALUE"""),5630.0)</f>
        <v>5630</v>
      </c>
      <c r="C22" s="6">
        <f>IFERROR(__xludf.DUMMYFUNCTION("""COMPUTED_VALUE"""),5724.0)</f>
        <v>5724</v>
      </c>
      <c r="D22" s="6">
        <f>IFERROR(__xludf.DUMMYFUNCTION("""COMPUTED_VALUE"""),5457.3)</f>
        <v>5457.3</v>
      </c>
      <c r="E22" s="6">
        <f>IFERROR(__xludf.DUMMYFUNCTION("""COMPUTED_VALUE"""),5494.65)</f>
        <v>5494.65</v>
      </c>
      <c r="F22" s="6">
        <f>IFERROR(__xludf.DUMMYFUNCTION("""COMPUTED_VALUE"""),2396240.0)</f>
        <v>2396240</v>
      </c>
    </row>
    <row r="23">
      <c r="A23" s="7">
        <f>IFERROR(__xludf.DUMMYFUNCTION("""COMPUTED_VALUE"""),45324.64583333333)</f>
        <v>45324.64583</v>
      </c>
      <c r="B23" s="6">
        <f>IFERROR(__xludf.DUMMYFUNCTION("""COMPUTED_VALUE"""),5497.0)</f>
        <v>5497</v>
      </c>
      <c r="C23" s="6">
        <f>IFERROR(__xludf.DUMMYFUNCTION("""COMPUTED_VALUE"""),5541.0)</f>
        <v>5541</v>
      </c>
      <c r="D23" s="6">
        <f>IFERROR(__xludf.DUMMYFUNCTION("""COMPUTED_VALUE"""),5310.3)</f>
        <v>5310.3</v>
      </c>
      <c r="E23" s="6">
        <f>IFERROR(__xludf.DUMMYFUNCTION("""COMPUTED_VALUE"""),5485.85)</f>
        <v>5485.85</v>
      </c>
      <c r="F23" s="6">
        <f>IFERROR(__xludf.DUMMYFUNCTION("""COMPUTED_VALUE"""),3228631.0)</f>
        <v>3228631</v>
      </c>
    </row>
    <row r="24">
      <c r="A24" s="7">
        <f>IFERROR(__xludf.DUMMYFUNCTION("""COMPUTED_VALUE"""),45331.64583333333)</f>
        <v>45331.64583</v>
      </c>
      <c r="B24" s="6">
        <f>IFERROR(__xludf.DUMMYFUNCTION("""COMPUTED_VALUE"""),5540.0)</f>
        <v>5540</v>
      </c>
      <c r="C24" s="6">
        <f>IFERROR(__xludf.DUMMYFUNCTION("""COMPUTED_VALUE"""),5540.0)</f>
        <v>5540</v>
      </c>
      <c r="D24" s="6">
        <f>IFERROR(__xludf.DUMMYFUNCTION("""COMPUTED_VALUE"""),5362.0)</f>
        <v>5362</v>
      </c>
      <c r="E24" s="6">
        <f>IFERROR(__xludf.DUMMYFUNCTION("""COMPUTED_VALUE"""),5453.3)</f>
        <v>5453.3</v>
      </c>
      <c r="F24" s="6">
        <f>IFERROR(__xludf.DUMMYFUNCTION("""COMPUTED_VALUE"""),2069182.0)</f>
        <v>2069182</v>
      </c>
    </row>
    <row r="25">
      <c r="A25" s="7">
        <f>IFERROR(__xludf.DUMMYFUNCTION("""COMPUTED_VALUE"""),45338.64583333333)</f>
        <v>45338.64583</v>
      </c>
      <c r="B25" s="6">
        <f>IFERROR(__xludf.DUMMYFUNCTION("""COMPUTED_VALUE"""),5469.95)</f>
        <v>5469.95</v>
      </c>
      <c r="C25" s="6">
        <f>IFERROR(__xludf.DUMMYFUNCTION("""COMPUTED_VALUE"""),5594.95)</f>
        <v>5594.95</v>
      </c>
      <c r="D25" s="6">
        <f>IFERROR(__xludf.DUMMYFUNCTION("""COMPUTED_VALUE"""),5404.65)</f>
        <v>5404.65</v>
      </c>
      <c r="E25" s="6">
        <f>IFERROR(__xludf.DUMMYFUNCTION("""COMPUTED_VALUE"""),5580.4)</f>
        <v>5580.4</v>
      </c>
      <c r="F25" s="6">
        <f>IFERROR(__xludf.DUMMYFUNCTION("""COMPUTED_VALUE"""),1555711.0)</f>
        <v>1555711</v>
      </c>
    </row>
    <row r="26">
      <c r="A26" s="7">
        <f>IFERROR(__xludf.DUMMYFUNCTION("""COMPUTED_VALUE"""),45345.64583333333)</f>
        <v>45345.64583</v>
      </c>
      <c r="B26" s="6">
        <f>IFERROR(__xludf.DUMMYFUNCTION("""COMPUTED_VALUE"""),5566.0)</f>
        <v>5566</v>
      </c>
      <c r="C26" s="6">
        <f>IFERROR(__xludf.DUMMYFUNCTION("""COMPUTED_VALUE"""),5590.0)</f>
        <v>5590</v>
      </c>
      <c r="D26" s="6">
        <f>IFERROR(__xludf.DUMMYFUNCTION("""COMPUTED_VALUE"""),5406.05)</f>
        <v>5406.05</v>
      </c>
      <c r="E26" s="6">
        <f>IFERROR(__xludf.DUMMYFUNCTION("""COMPUTED_VALUE"""),5542.65)</f>
        <v>5542.65</v>
      </c>
      <c r="F26" s="6">
        <f>IFERROR(__xludf.DUMMYFUNCTION("""COMPUTED_VALUE"""),1985275.0)</f>
        <v>1985275</v>
      </c>
    </row>
    <row r="27">
      <c r="A27" s="7">
        <f>IFERROR(__xludf.DUMMYFUNCTION("""COMPUTED_VALUE"""),45358.64583333333)</f>
        <v>45358.64583</v>
      </c>
      <c r="B27" s="6">
        <f>IFERROR(__xludf.DUMMYFUNCTION("""COMPUTED_VALUE"""),5300.0)</f>
        <v>5300</v>
      </c>
      <c r="C27" s="6">
        <f>IFERROR(__xludf.DUMMYFUNCTION("""COMPUTED_VALUE"""),5319.85)</f>
        <v>5319.85</v>
      </c>
      <c r="D27" s="6">
        <f>IFERROR(__xludf.DUMMYFUNCTION("""COMPUTED_VALUE"""),5073.25)</f>
        <v>5073.25</v>
      </c>
      <c r="E27" s="6">
        <f>IFERROR(__xludf.DUMMYFUNCTION("""COMPUTED_VALUE"""),5122.7)</f>
        <v>5122.7</v>
      </c>
      <c r="F27" s="6">
        <f>IFERROR(__xludf.DUMMYFUNCTION("""COMPUTED_VALUE"""),2075147.0)</f>
        <v>2075147</v>
      </c>
    </row>
    <row r="28">
      <c r="A28" s="7">
        <f>IFERROR(__xludf.DUMMYFUNCTION("""COMPUTED_VALUE"""),45366.64583333333)</f>
        <v>45366.64583</v>
      </c>
      <c r="B28" s="6">
        <f>IFERROR(__xludf.DUMMYFUNCTION("""COMPUTED_VALUE"""),5118.0)</f>
        <v>5118</v>
      </c>
      <c r="C28" s="6">
        <f>IFERROR(__xludf.DUMMYFUNCTION("""COMPUTED_VALUE"""),5275.2)</f>
        <v>5275.2</v>
      </c>
      <c r="D28" s="6">
        <f>IFERROR(__xludf.DUMMYFUNCTION("""COMPUTED_VALUE"""),5057.0)</f>
        <v>5057</v>
      </c>
      <c r="E28" s="6">
        <f>IFERROR(__xludf.DUMMYFUNCTION("""COMPUTED_VALUE"""),5194.35)</f>
        <v>5194.35</v>
      </c>
      <c r="F28" s="6">
        <f>IFERROR(__xludf.DUMMYFUNCTION("""COMPUTED_VALUE"""),2440790.0)</f>
        <v>2440790</v>
      </c>
    </row>
    <row r="29">
      <c r="A29" s="7">
        <f>IFERROR(__xludf.DUMMYFUNCTION("""COMPUTED_VALUE"""),45373.64583333333)</f>
        <v>45373.64583</v>
      </c>
      <c r="B29" s="6">
        <f>IFERROR(__xludf.DUMMYFUNCTION("""COMPUTED_VALUE"""),5200.0)</f>
        <v>5200</v>
      </c>
      <c r="C29" s="6">
        <f>IFERROR(__xludf.DUMMYFUNCTION("""COMPUTED_VALUE"""),5219.95)</f>
        <v>5219.95</v>
      </c>
      <c r="D29" s="6">
        <f>IFERROR(__xludf.DUMMYFUNCTION("""COMPUTED_VALUE"""),4945.05)</f>
        <v>4945.05</v>
      </c>
      <c r="E29" s="6">
        <f>IFERROR(__xludf.DUMMYFUNCTION("""COMPUTED_VALUE"""),5005.0)</f>
        <v>5005</v>
      </c>
      <c r="F29" s="6">
        <f>IFERROR(__xludf.DUMMYFUNCTION("""COMPUTED_VALUE"""),2127306.0)</f>
        <v>2127306</v>
      </c>
    </row>
    <row r="30">
      <c r="A30" s="7">
        <f>IFERROR(__xludf.DUMMYFUNCTION("""COMPUTED_VALUE"""),45379.64583333333)</f>
        <v>45379.64583</v>
      </c>
      <c r="B30" s="6">
        <f>IFERROR(__xludf.DUMMYFUNCTION("""COMPUTED_VALUE"""),5005.0)</f>
        <v>5005</v>
      </c>
      <c r="C30" s="6">
        <f>IFERROR(__xludf.DUMMYFUNCTION("""COMPUTED_VALUE"""),5045.35)</f>
        <v>5045.35</v>
      </c>
      <c r="D30" s="6">
        <f>IFERROR(__xludf.DUMMYFUNCTION("""COMPUTED_VALUE"""),4908.05)</f>
        <v>4908.05</v>
      </c>
      <c r="E30" s="6">
        <f>IFERROR(__xludf.DUMMYFUNCTION("""COMPUTED_VALUE"""),4938.4)</f>
        <v>4938.4</v>
      </c>
      <c r="F30" s="6">
        <f>IFERROR(__xludf.DUMMYFUNCTION("""COMPUTED_VALUE"""),2075776.0)</f>
        <v>2075776</v>
      </c>
    </row>
    <row r="31">
      <c r="A31" s="7">
        <f>IFERROR(__xludf.DUMMYFUNCTION("""COMPUTED_VALUE"""),45387.64583333333)</f>
        <v>45387.64583</v>
      </c>
      <c r="B31" s="6">
        <f>IFERROR(__xludf.DUMMYFUNCTION("""COMPUTED_VALUE"""),4955.0)</f>
        <v>4955</v>
      </c>
      <c r="C31" s="6">
        <f>IFERROR(__xludf.DUMMYFUNCTION("""COMPUTED_VALUE"""),4979.75)</f>
        <v>4979.75</v>
      </c>
      <c r="D31" s="6">
        <f>IFERROR(__xludf.DUMMYFUNCTION("""COMPUTED_VALUE"""),4864.05)</f>
        <v>4864.05</v>
      </c>
      <c r="E31" s="6">
        <f>IFERROR(__xludf.DUMMYFUNCTION("""COMPUTED_VALUE"""),4927.5)</f>
        <v>4927.5</v>
      </c>
      <c r="F31" s="6">
        <f>IFERROR(__xludf.DUMMYFUNCTION("""COMPUTED_VALUE"""),2757613.0)</f>
        <v>2757613</v>
      </c>
    </row>
    <row r="32">
      <c r="A32" s="7">
        <f>IFERROR(__xludf.DUMMYFUNCTION("""COMPUTED_VALUE"""),45394.64583333333)</f>
        <v>45394.64583</v>
      </c>
      <c r="B32" s="6">
        <f>IFERROR(__xludf.DUMMYFUNCTION("""COMPUTED_VALUE"""),4940.0)</f>
        <v>4940</v>
      </c>
      <c r="C32" s="6">
        <f>IFERROR(__xludf.DUMMYFUNCTION("""COMPUTED_VALUE"""),4973.1)</f>
        <v>4973.1</v>
      </c>
      <c r="D32" s="6">
        <f>IFERROR(__xludf.DUMMYFUNCTION("""COMPUTED_VALUE"""),4875.35)</f>
        <v>4875.35</v>
      </c>
      <c r="E32" s="6">
        <f>IFERROR(__xludf.DUMMYFUNCTION("""COMPUTED_VALUE"""),4888.9)</f>
        <v>4888.9</v>
      </c>
      <c r="F32" s="6">
        <f>IFERROR(__xludf.DUMMYFUNCTION("""COMPUTED_VALUE"""),1197912.0)</f>
        <v>1197912</v>
      </c>
    </row>
    <row r="33">
      <c r="A33" s="7">
        <f>IFERROR(__xludf.DUMMYFUNCTION("""COMPUTED_VALUE"""),45401.64583333333)</f>
        <v>45401.64583</v>
      </c>
      <c r="B33" s="6">
        <f>IFERROR(__xludf.DUMMYFUNCTION("""COMPUTED_VALUE"""),4855.0)</f>
        <v>4855</v>
      </c>
      <c r="C33" s="6">
        <f>IFERROR(__xludf.DUMMYFUNCTION("""COMPUTED_VALUE"""),4891.45)</f>
        <v>4891.45</v>
      </c>
      <c r="D33" s="6">
        <f>IFERROR(__xludf.DUMMYFUNCTION("""COMPUTED_VALUE"""),4596.35)</f>
        <v>4596.35</v>
      </c>
      <c r="E33" s="6">
        <f>IFERROR(__xludf.DUMMYFUNCTION("""COMPUTED_VALUE"""),4660.55)</f>
        <v>4660.55</v>
      </c>
      <c r="F33" s="6">
        <f>IFERROR(__xludf.DUMMYFUNCTION("""COMPUTED_VALUE"""),2687400.0)</f>
        <v>2687400</v>
      </c>
    </row>
    <row r="34">
      <c r="A34" s="7">
        <f>IFERROR(__xludf.DUMMYFUNCTION("""COMPUTED_VALUE"""),45408.64583333333)</f>
        <v>45408.64583</v>
      </c>
      <c r="B34" s="6">
        <f>IFERROR(__xludf.DUMMYFUNCTION("""COMPUTED_VALUE"""),4699.0)</f>
        <v>4699</v>
      </c>
      <c r="C34" s="6">
        <f>IFERROR(__xludf.DUMMYFUNCTION("""COMPUTED_VALUE"""),4823.55)</f>
        <v>4823.55</v>
      </c>
      <c r="D34" s="6">
        <f>IFERROR(__xludf.DUMMYFUNCTION("""COMPUTED_VALUE"""),4591.5)</f>
        <v>4591.5</v>
      </c>
      <c r="E34" s="6">
        <f>IFERROR(__xludf.DUMMYFUNCTION("""COMPUTED_VALUE"""),4788.05)</f>
        <v>4788.05</v>
      </c>
      <c r="F34" s="6">
        <f>IFERROR(__xludf.DUMMYFUNCTION("""COMPUTED_VALUE"""),3311502.0)</f>
        <v>3311502</v>
      </c>
    </row>
    <row r="35">
      <c r="A35" s="7">
        <f>IFERROR(__xludf.DUMMYFUNCTION("""COMPUTED_VALUE"""),45415.64583333333)</f>
        <v>45415.64583</v>
      </c>
      <c r="B35" s="6">
        <f>IFERROR(__xludf.DUMMYFUNCTION("""COMPUTED_VALUE"""),4801.1)</f>
        <v>4801.1</v>
      </c>
      <c r="C35" s="6">
        <f>IFERROR(__xludf.DUMMYFUNCTION("""COMPUTED_VALUE"""),4809.95)</f>
        <v>4809.95</v>
      </c>
      <c r="D35" s="6">
        <f>IFERROR(__xludf.DUMMYFUNCTION("""COMPUTED_VALUE"""),4640.55)</f>
        <v>4640.55</v>
      </c>
      <c r="E35" s="6">
        <f>IFERROR(__xludf.DUMMYFUNCTION("""COMPUTED_VALUE"""),4651.95)</f>
        <v>4651.95</v>
      </c>
      <c r="F35" s="6">
        <f>IFERROR(__xludf.DUMMYFUNCTION("""COMPUTED_VALUE"""),1524907.0)</f>
        <v>1524907</v>
      </c>
    </row>
    <row r="36">
      <c r="A36" s="7">
        <f>IFERROR(__xludf.DUMMYFUNCTION("""COMPUTED_VALUE"""),45422.64583333333)</f>
        <v>45422.64583</v>
      </c>
      <c r="B36" s="6">
        <f>IFERROR(__xludf.DUMMYFUNCTION("""COMPUTED_VALUE"""),4675.0)</f>
        <v>4675</v>
      </c>
      <c r="C36" s="6">
        <f>IFERROR(__xludf.DUMMYFUNCTION("""COMPUTED_VALUE"""),4739.0)</f>
        <v>4739</v>
      </c>
      <c r="D36" s="6">
        <f>IFERROR(__xludf.DUMMYFUNCTION("""COMPUTED_VALUE"""),4565.6)</f>
        <v>4565.6</v>
      </c>
      <c r="E36" s="6">
        <f>IFERROR(__xludf.DUMMYFUNCTION("""COMPUTED_VALUE"""),4607.65)</f>
        <v>4607.65</v>
      </c>
      <c r="F36" s="6">
        <f>IFERROR(__xludf.DUMMYFUNCTION("""COMPUTED_VALUE"""),1657706.0)</f>
        <v>1657706</v>
      </c>
    </row>
    <row r="37">
      <c r="A37" s="7">
        <f>IFERROR(__xludf.DUMMYFUNCTION("""COMPUTED_VALUE"""),45436.64583333333)</f>
        <v>45436.64583</v>
      </c>
      <c r="B37" s="6">
        <f>IFERROR(__xludf.DUMMYFUNCTION("""COMPUTED_VALUE"""),4750.0)</f>
        <v>4750</v>
      </c>
      <c r="C37" s="6">
        <f>IFERROR(__xludf.DUMMYFUNCTION("""COMPUTED_VALUE"""),4860.0)</f>
        <v>4860</v>
      </c>
      <c r="D37" s="6">
        <f>IFERROR(__xludf.DUMMYFUNCTION("""COMPUTED_VALUE"""),4711.0)</f>
        <v>4711</v>
      </c>
      <c r="E37" s="6">
        <f>IFERROR(__xludf.DUMMYFUNCTION("""COMPUTED_VALUE"""),4839.75)</f>
        <v>4839.75</v>
      </c>
      <c r="F37" s="6">
        <f>IFERROR(__xludf.DUMMYFUNCTION("""COMPUTED_VALUE"""),1382720.0)</f>
        <v>1382720</v>
      </c>
    </row>
    <row r="38">
      <c r="A38" s="7">
        <f>IFERROR(__xludf.DUMMYFUNCTION("""COMPUTED_VALUE"""),45443.64583333333)</f>
        <v>45443.64583</v>
      </c>
      <c r="B38" s="6">
        <f>IFERROR(__xludf.DUMMYFUNCTION("""COMPUTED_VALUE"""),4849.95)</f>
        <v>4849.95</v>
      </c>
      <c r="C38" s="6">
        <f>IFERROR(__xludf.DUMMYFUNCTION("""COMPUTED_VALUE"""),4933.45)</f>
        <v>4933.45</v>
      </c>
      <c r="D38" s="6">
        <f>IFERROR(__xludf.DUMMYFUNCTION("""COMPUTED_VALUE"""),4680.0)</f>
        <v>4680</v>
      </c>
      <c r="E38" s="6">
        <f>IFERROR(__xludf.DUMMYFUNCTION("""COMPUTED_VALUE"""),4701.9)</f>
        <v>4701.9</v>
      </c>
      <c r="F38" s="6">
        <f>IFERROR(__xludf.DUMMYFUNCTION("""COMPUTED_VALUE"""),2319677.0)</f>
        <v>2319677</v>
      </c>
    </row>
    <row r="39">
      <c r="A39" s="7">
        <f>IFERROR(__xludf.DUMMYFUNCTION("""COMPUTED_VALUE"""),45450.64583333333)</f>
        <v>45450.64583</v>
      </c>
      <c r="B39" s="6">
        <f>IFERROR(__xludf.DUMMYFUNCTION("""COMPUTED_VALUE"""),4825.0)</f>
        <v>4825</v>
      </c>
      <c r="C39" s="6">
        <f>IFERROR(__xludf.DUMMYFUNCTION("""COMPUTED_VALUE"""),5007.95)</f>
        <v>5007.95</v>
      </c>
      <c r="D39" s="6">
        <f>IFERROR(__xludf.DUMMYFUNCTION("""COMPUTED_VALUE"""),4513.55)</f>
        <v>4513.55</v>
      </c>
      <c r="E39" s="6">
        <f>IFERROR(__xludf.DUMMYFUNCTION("""COMPUTED_VALUE"""),4977.2)</f>
        <v>4977.2</v>
      </c>
      <c r="F39" s="6">
        <f>IFERROR(__xludf.DUMMYFUNCTION("""COMPUTED_VALUE"""),3214786.0)</f>
        <v>3214786</v>
      </c>
    </row>
    <row r="40">
      <c r="A40" s="7">
        <f>IFERROR(__xludf.DUMMYFUNCTION("""COMPUTED_VALUE"""),45457.64583333333)</f>
        <v>45457.64583</v>
      </c>
      <c r="B40" s="6">
        <f>IFERROR(__xludf.DUMMYFUNCTION("""COMPUTED_VALUE"""),4977.25)</f>
        <v>4977.25</v>
      </c>
      <c r="C40" s="6">
        <f>IFERROR(__xludf.DUMMYFUNCTION("""COMPUTED_VALUE"""),5092.15)</f>
        <v>5092.15</v>
      </c>
      <c r="D40" s="6">
        <f>IFERROR(__xludf.DUMMYFUNCTION("""COMPUTED_VALUE"""),4865.0)</f>
        <v>4865</v>
      </c>
      <c r="E40" s="6">
        <f>IFERROR(__xludf.DUMMYFUNCTION("""COMPUTED_VALUE"""),5032.55)</f>
        <v>5032.55</v>
      </c>
      <c r="F40" s="6">
        <f>IFERROR(__xludf.DUMMYFUNCTION("""COMPUTED_VALUE"""),2420166.0)</f>
        <v>2420166</v>
      </c>
    </row>
    <row r="41">
      <c r="A41" s="7">
        <f>IFERROR(__xludf.DUMMYFUNCTION("""COMPUTED_VALUE"""),45464.64583333333)</f>
        <v>45464.64583</v>
      </c>
      <c r="B41" s="6">
        <f>IFERROR(__xludf.DUMMYFUNCTION("""COMPUTED_VALUE"""),5056.0)</f>
        <v>5056</v>
      </c>
      <c r="C41" s="6">
        <f>IFERROR(__xludf.DUMMYFUNCTION("""COMPUTED_VALUE"""),5273.85)</f>
        <v>5273.85</v>
      </c>
      <c r="D41" s="6">
        <f>IFERROR(__xludf.DUMMYFUNCTION("""COMPUTED_VALUE"""),4970.5)</f>
        <v>4970.5</v>
      </c>
      <c r="E41" s="6">
        <f>IFERROR(__xludf.DUMMYFUNCTION("""COMPUTED_VALUE"""),5125.45)</f>
        <v>5125.45</v>
      </c>
      <c r="F41" s="6">
        <f>IFERROR(__xludf.DUMMYFUNCTION("""COMPUTED_VALUE"""),2800072.0)</f>
        <v>2800072</v>
      </c>
    </row>
    <row r="42">
      <c r="A42" s="7">
        <f>IFERROR(__xludf.DUMMYFUNCTION("""COMPUTED_VALUE"""),45471.64583333333)</f>
        <v>45471.64583</v>
      </c>
      <c r="B42" s="6">
        <f>IFERROR(__xludf.DUMMYFUNCTION("""COMPUTED_VALUE"""),5100.0)</f>
        <v>5100</v>
      </c>
      <c r="C42" s="6">
        <f>IFERROR(__xludf.DUMMYFUNCTION("""COMPUTED_VALUE"""),5450.0)</f>
        <v>5450</v>
      </c>
      <c r="D42" s="6">
        <f>IFERROR(__xludf.DUMMYFUNCTION("""COMPUTED_VALUE"""),5060.0)</f>
        <v>5060</v>
      </c>
      <c r="E42" s="6">
        <f>IFERROR(__xludf.DUMMYFUNCTION("""COMPUTED_VALUE"""),5385.05)</f>
        <v>5385.05</v>
      </c>
      <c r="F42" s="6">
        <f>IFERROR(__xludf.DUMMYFUNCTION("""COMPUTED_VALUE"""),2579741.0)</f>
        <v>2579741</v>
      </c>
    </row>
    <row r="43">
      <c r="A43" s="7">
        <f>IFERROR(__xludf.DUMMYFUNCTION("""COMPUTED_VALUE"""),45478.64583333333)</f>
        <v>45478.64583</v>
      </c>
      <c r="B43" s="6">
        <f>IFERROR(__xludf.DUMMYFUNCTION("""COMPUTED_VALUE"""),5372.45)</f>
        <v>5372.45</v>
      </c>
      <c r="C43" s="6">
        <f>IFERROR(__xludf.DUMMYFUNCTION("""COMPUTED_VALUE"""),5550.0)</f>
        <v>5550</v>
      </c>
      <c r="D43" s="6">
        <f>IFERROR(__xludf.DUMMYFUNCTION("""COMPUTED_VALUE"""),5352.15)</f>
        <v>5352.15</v>
      </c>
      <c r="E43" s="6">
        <f>IFERROR(__xludf.DUMMYFUNCTION("""COMPUTED_VALUE"""),5421.7)</f>
        <v>5421.7</v>
      </c>
      <c r="F43" s="6">
        <f>IFERROR(__xludf.DUMMYFUNCTION("""COMPUTED_VALUE"""),2314757.0)</f>
        <v>2314757</v>
      </c>
    </row>
    <row r="44">
      <c r="A44" s="7">
        <f>IFERROR(__xludf.DUMMYFUNCTION("""COMPUTED_VALUE"""),45485.64583333333)</f>
        <v>45485.64583</v>
      </c>
      <c r="B44" s="6">
        <f>IFERROR(__xludf.DUMMYFUNCTION("""COMPUTED_VALUE"""),5421.7)</f>
        <v>5421.7</v>
      </c>
      <c r="C44" s="6">
        <f>IFERROR(__xludf.DUMMYFUNCTION("""COMPUTED_VALUE"""),5659.7)</f>
        <v>5659.7</v>
      </c>
      <c r="D44" s="6">
        <f>IFERROR(__xludf.DUMMYFUNCTION("""COMPUTED_VALUE"""),5320.35)</f>
        <v>5320.35</v>
      </c>
      <c r="E44" s="6">
        <f>IFERROR(__xludf.DUMMYFUNCTION("""COMPUTED_VALUE"""),5572.65)</f>
        <v>5572.65</v>
      </c>
      <c r="F44" s="6">
        <f>IFERROR(__xludf.DUMMYFUNCTION("""COMPUTED_VALUE"""),2181606.0)</f>
        <v>2181606</v>
      </c>
    </row>
    <row r="45">
      <c r="A45" s="7">
        <f>IFERROR(__xludf.DUMMYFUNCTION("""COMPUTED_VALUE"""),45492.64583333333)</f>
        <v>45492.64583</v>
      </c>
      <c r="B45" s="6">
        <f>IFERROR(__xludf.DUMMYFUNCTION("""COMPUTED_VALUE"""),5612.0)</f>
        <v>5612</v>
      </c>
      <c r="C45" s="6">
        <f>IFERROR(__xludf.DUMMYFUNCTION("""COMPUTED_VALUE"""),5879.15)</f>
        <v>5879.15</v>
      </c>
      <c r="D45" s="6">
        <f>IFERROR(__xludf.DUMMYFUNCTION("""COMPUTED_VALUE"""),5438.3)</f>
        <v>5438.3</v>
      </c>
      <c r="E45" s="6">
        <f>IFERROR(__xludf.DUMMYFUNCTION("""COMPUTED_VALUE"""),5762.75)</f>
        <v>5762.75</v>
      </c>
      <c r="F45" s="6">
        <f>IFERROR(__xludf.DUMMYFUNCTION("""COMPUTED_VALUE"""),4215383.0)</f>
        <v>4215383</v>
      </c>
    </row>
    <row r="46">
      <c r="A46" s="7">
        <f>IFERROR(__xludf.DUMMYFUNCTION("""COMPUTED_VALUE"""),45499.64583333333)</f>
        <v>45499.64583</v>
      </c>
      <c r="B46" s="6">
        <f>IFERROR(__xludf.DUMMYFUNCTION("""COMPUTED_VALUE"""),5733.0)</f>
        <v>5733</v>
      </c>
      <c r="C46" s="6">
        <f>IFERROR(__xludf.DUMMYFUNCTION("""COMPUTED_VALUE"""),5811.9)</f>
        <v>5811.9</v>
      </c>
      <c r="D46" s="6">
        <f>IFERROR(__xludf.DUMMYFUNCTION("""COMPUTED_VALUE"""),5547.55)</f>
        <v>5547.55</v>
      </c>
      <c r="E46" s="6">
        <f>IFERROR(__xludf.DUMMYFUNCTION("""COMPUTED_VALUE"""),5788.45)</f>
        <v>5788.45</v>
      </c>
      <c r="F46" s="6">
        <f>IFERROR(__xludf.DUMMYFUNCTION("""COMPUTED_VALUE"""),1505561.0)</f>
        <v>1505561</v>
      </c>
    </row>
    <row r="47">
      <c r="A47" s="7">
        <f>IFERROR(__xludf.DUMMYFUNCTION("""COMPUTED_VALUE"""),45506.64583333333)</f>
        <v>45506.64583</v>
      </c>
      <c r="B47" s="6">
        <f>IFERROR(__xludf.DUMMYFUNCTION("""COMPUTED_VALUE"""),5811.95)</f>
        <v>5811.95</v>
      </c>
      <c r="C47" s="6">
        <f>IFERROR(__xludf.DUMMYFUNCTION("""COMPUTED_VALUE"""),5858.7)</f>
        <v>5858.7</v>
      </c>
      <c r="D47" s="6">
        <f>IFERROR(__xludf.DUMMYFUNCTION("""COMPUTED_VALUE"""),5480.0)</f>
        <v>5480</v>
      </c>
      <c r="E47" s="6">
        <f>IFERROR(__xludf.DUMMYFUNCTION("""COMPUTED_VALUE"""),5509.9)</f>
        <v>5509.9</v>
      </c>
      <c r="F47" s="6">
        <f>IFERROR(__xludf.DUMMYFUNCTION("""COMPUTED_VALUE"""),1876282.0)</f>
        <v>1876282</v>
      </c>
    </row>
    <row r="48">
      <c r="A48" s="7">
        <f>IFERROR(__xludf.DUMMYFUNCTION("""COMPUTED_VALUE"""),45513.64583333333)</f>
        <v>45513.64583</v>
      </c>
      <c r="B48" s="6">
        <f>IFERROR(__xludf.DUMMYFUNCTION("""COMPUTED_VALUE"""),5258.0)</f>
        <v>5258</v>
      </c>
      <c r="C48" s="6">
        <f>IFERROR(__xludf.DUMMYFUNCTION("""COMPUTED_VALUE"""),5587.0)</f>
        <v>5587</v>
      </c>
      <c r="D48" s="6">
        <f>IFERROR(__xludf.DUMMYFUNCTION("""COMPUTED_VALUE"""),5257.05)</f>
        <v>5257.05</v>
      </c>
      <c r="E48" s="6">
        <f>IFERROR(__xludf.DUMMYFUNCTION("""COMPUTED_VALUE"""),5373.55)</f>
        <v>5373.55</v>
      </c>
      <c r="F48" s="6">
        <f>IFERROR(__xludf.DUMMYFUNCTION("""COMPUTED_VALUE"""),2211255.0)</f>
        <v>2211255</v>
      </c>
    </row>
    <row r="49">
      <c r="A49" s="7">
        <f>IFERROR(__xludf.DUMMYFUNCTION("""COMPUTED_VALUE"""),45520.64583333333)</f>
        <v>45520.64583</v>
      </c>
      <c r="B49" s="6">
        <f>IFERROR(__xludf.DUMMYFUNCTION("""COMPUTED_VALUE"""),5373.55)</f>
        <v>5373.55</v>
      </c>
      <c r="C49" s="6">
        <f>IFERROR(__xludf.DUMMYFUNCTION("""COMPUTED_VALUE"""),5600.0)</f>
        <v>5600</v>
      </c>
      <c r="D49" s="6">
        <f>IFERROR(__xludf.DUMMYFUNCTION("""COMPUTED_VALUE"""),5302.8)</f>
        <v>5302.8</v>
      </c>
      <c r="E49" s="6">
        <f>IFERROR(__xludf.DUMMYFUNCTION("""COMPUTED_VALUE"""),5563.75)</f>
        <v>5563.75</v>
      </c>
      <c r="F49" s="6">
        <f>IFERROR(__xludf.DUMMYFUNCTION("""COMPUTED_VALUE"""),1115109.0)</f>
        <v>1115109</v>
      </c>
    </row>
    <row r="50">
      <c r="A50" s="7">
        <f>IFERROR(__xludf.DUMMYFUNCTION("""COMPUTED_VALUE"""),45527.64583333333)</f>
        <v>45527.64583</v>
      </c>
      <c r="B50" s="6">
        <f>IFERROR(__xludf.DUMMYFUNCTION("""COMPUTED_VALUE"""),5567.95)</f>
        <v>5567.95</v>
      </c>
      <c r="C50" s="6">
        <f>IFERROR(__xludf.DUMMYFUNCTION("""COMPUTED_VALUE"""),5769.0)</f>
        <v>5769</v>
      </c>
      <c r="D50" s="6">
        <f>IFERROR(__xludf.DUMMYFUNCTION("""COMPUTED_VALUE"""),5567.95)</f>
        <v>5567.95</v>
      </c>
      <c r="E50" s="6">
        <f>IFERROR(__xludf.DUMMYFUNCTION("""COMPUTED_VALUE"""),5641.6)</f>
        <v>5641.6</v>
      </c>
      <c r="F50" s="6">
        <f>IFERROR(__xludf.DUMMYFUNCTION("""COMPUTED_VALUE"""),1330289.0)</f>
        <v>1330289</v>
      </c>
    </row>
    <row r="51">
      <c r="A51" s="7">
        <f>IFERROR(__xludf.DUMMYFUNCTION("""COMPUTED_VALUE"""),45534.64583333333)</f>
        <v>45534.64583</v>
      </c>
      <c r="B51" s="6">
        <f>IFERROR(__xludf.DUMMYFUNCTION("""COMPUTED_VALUE"""),5660.0)</f>
        <v>5660</v>
      </c>
      <c r="C51" s="6">
        <f>IFERROR(__xludf.DUMMYFUNCTION("""COMPUTED_VALUE"""),6198.9)</f>
        <v>6198.9</v>
      </c>
      <c r="D51" s="6">
        <f>IFERROR(__xludf.DUMMYFUNCTION("""COMPUTED_VALUE"""),5649.75)</f>
        <v>5649.75</v>
      </c>
      <c r="E51" s="6">
        <f>IFERROR(__xludf.DUMMYFUNCTION("""COMPUTED_VALUE"""),6156.05)</f>
        <v>6156.05</v>
      </c>
      <c r="F51" s="6">
        <f>IFERROR(__xludf.DUMMYFUNCTION("""COMPUTED_VALUE"""),6496849.0)</f>
        <v>6496849</v>
      </c>
    </row>
    <row r="52">
      <c r="A52" s="7">
        <f>IFERROR(__xludf.DUMMYFUNCTION("""COMPUTED_VALUE"""),45541.64583333333)</f>
        <v>45541.64583</v>
      </c>
      <c r="B52" s="6">
        <f>IFERROR(__xludf.DUMMYFUNCTION("""COMPUTED_VALUE"""),6102.0)</f>
        <v>6102</v>
      </c>
      <c r="C52" s="6">
        <f>IFERROR(__xludf.DUMMYFUNCTION("""COMPUTED_VALUE"""),6317.95)</f>
        <v>6317.95</v>
      </c>
      <c r="D52" s="6">
        <f>IFERROR(__xludf.DUMMYFUNCTION("""COMPUTED_VALUE"""),5989.75)</f>
        <v>5989.75</v>
      </c>
      <c r="E52" s="6">
        <f>IFERROR(__xludf.DUMMYFUNCTION("""COMPUTED_VALUE"""),6165.4)</f>
        <v>6165.4</v>
      </c>
      <c r="F52" s="6">
        <f>IFERROR(__xludf.DUMMYFUNCTION("""COMPUTED_VALUE"""),3025599.0)</f>
        <v>3025599</v>
      </c>
    </row>
    <row r="53">
      <c r="A53" s="7">
        <f>IFERROR(__xludf.DUMMYFUNCTION("""COMPUTED_VALUE"""),45548.64583333333)</f>
        <v>45548.64583</v>
      </c>
      <c r="B53" s="6">
        <f>IFERROR(__xludf.DUMMYFUNCTION("""COMPUTED_VALUE"""),6135.0)</f>
        <v>6135</v>
      </c>
      <c r="C53" s="6">
        <f>IFERROR(__xludf.DUMMYFUNCTION("""COMPUTED_VALUE"""),6447.25)</f>
        <v>6447.25</v>
      </c>
      <c r="D53" s="6">
        <f>IFERROR(__xludf.DUMMYFUNCTION("""COMPUTED_VALUE"""),6105.0)</f>
        <v>6105</v>
      </c>
      <c r="E53" s="6">
        <f>IFERROR(__xludf.DUMMYFUNCTION("""COMPUTED_VALUE"""),6416.2)</f>
        <v>6416.2</v>
      </c>
      <c r="F53" s="6">
        <f>IFERROR(__xludf.DUMMYFUNCTION("""COMPUTED_VALUE"""),2327830.0)</f>
        <v>2327830</v>
      </c>
    </row>
    <row r="54">
      <c r="A54" s="7">
        <f>IFERROR(__xludf.DUMMYFUNCTION("""COMPUTED_VALUE"""),45555.64583333333)</f>
        <v>45555.64583</v>
      </c>
      <c r="B54" s="6">
        <f>IFERROR(__xludf.DUMMYFUNCTION("""COMPUTED_VALUE"""),6446.0)</f>
        <v>6446</v>
      </c>
      <c r="C54" s="6">
        <f>IFERROR(__xludf.DUMMYFUNCTION("""COMPUTED_VALUE"""),6574.95)</f>
        <v>6574.95</v>
      </c>
      <c r="D54" s="6">
        <f>IFERROR(__xludf.DUMMYFUNCTION("""COMPUTED_VALUE"""),6232.0)</f>
        <v>6232</v>
      </c>
      <c r="E54" s="6">
        <f>IFERROR(__xludf.DUMMYFUNCTION("""COMPUTED_VALUE"""),6373.1)</f>
        <v>6373.1</v>
      </c>
      <c r="F54" s="6">
        <f>IFERROR(__xludf.DUMMYFUNCTION("""COMPUTED_VALUE"""),2433317.0)</f>
        <v>2433317</v>
      </c>
    </row>
    <row r="55">
      <c r="A55" s="7">
        <f>IFERROR(__xludf.DUMMYFUNCTION("""COMPUTED_VALUE"""),45562.64583333333)</f>
        <v>45562.64583</v>
      </c>
      <c r="B55" s="6">
        <f>IFERROR(__xludf.DUMMYFUNCTION("""COMPUTED_VALUE"""),6400.0)</f>
        <v>6400</v>
      </c>
      <c r="C55" s="6">
        <f>IFERROR(__xludf.DUMMYFUNCTION("""COMPUTED_VALUE"""),6410.0)</f>
        <v>6410</v>
      </c>
      <c r="D55" s="6">
        <f>IFERROR(__xludf.DUMMYFUNCTION("""COMPUTED_VALUE"""),6090.55)</f>
        <v>6090.55</v>
      </c>
      <c r="E55" s="6">
        <f>IFERROR(__xludf.DUMMYFUNCTION("""COMPUTED_VALUE"""),6136.1)</f>
        <v>6136.1</v>
      </c>
      <c r="F55" s="6">
        <f>IFERROR(__xludf.DUMMYFUNCTION("""COMPUTED_VALUE"""),7320582.0)</f>
        <v>7320582</v>
      </c>
    </row>
    <row r="56">
      <c r="A56" s="7">
        <f>IFERROR(__xludf.DUMMYFUNCTION("""COMPUTED_VALUE"""),45569.64583333333)</f>
        <v>45569.64583</v>
      </c>
      <c r="B56" s="6">
        <f>IFERROR(__xludf.DUMMYFUNCTION("""COMPUTED_VALUE"""),6100.0)</f>
        <v>6100</v>
      </c>
      <c r="C56" s="6">
        <f>IFERROR(__xludf.DUMMYFUNCTION("""COMPUTED_VALUE"""),6305.0)</f>
        <v>6305</v>
      </c>
      <c r="D56" s="6">
        <f>IFERROR(__xludf.DUMMYFUNCTION("""COMPUTED_VALUE"""),6023.0)</f>
        <v>6023</v>
      </c>
      <c r="E56" s="6">
        <f>IFERROR(__xludf.DUMMYFUNCTION("""COMPUTED_VALUE"""),6114.1)</f>
        <v>6114.1</v>
      </c>
      <c r="F56" s="6">
        <f>IFERROR(__xludf.DUMMYFUNCTION("""COMPUTED_VALUE"""),1840134.0)</f>
        <v>1840134</v>
      </c>
    </row>
    <row r="57">
      <c r="A57" s="7">
        <f>IFERROR(__xludf.DUMMYFUNCTION("""COMPUTED_VALUE"""),45576.64583333333)</f>
        <v>45576.64583</v>
      </c>
      <c r="B57" s="6">
        <f>IFERROR(__xludf.DUMMYFUNCTION("""COMPUTED_VALUE"""),6169.9)</f>
        <v>6169.9</v>
      </c>
      <c r="C57" s="6">
        <f>IFERROR(__xludf.DUMMYFUNCTION("""COMPUTED_VALUE"""),6488.0)</f>
        <v>6488</v>
      </c>
      <c r="D57" s="6">
        <f>IFERROR(__xludf.DUMMYFUNCTION("""COMPUTED_VALUE"""),6150.0)</f>
        <v>6150</v>
      </c>
      <c r="E57" s="6">
        <f>IFERROR(__xludf.DUMMYFUNCTION("""COMPUTED_VALUE"""),6410.95)</f>
        <v>6410.95</v>
      </c>
      <c r="F57" s="6">
        <f>IFERROR(__xludf.DUMMYFUNCTION("""COMPUTED_VALUE"""),2064337.0)</f>
        <v>2064337</v>
      </c>
    </row>
    <row r="58">
      <c r="A58" s="7">
        <f>IFERROR(__xludf.DUMMYFUNCTION("""COMPUTED_VALUE"""),45583.64583333333)</f>
        <v>45583.64583</v>
      </c>
      <c r="B58" s="6">
        <f>IFERROR(__xludf.DUMMYFUNCTION("""COMPUTED_VALUE"""),6412.0)</f>
        <v>6412</v>
      </c>
      <c r="C58" s="6">
        <f>IFERROR(__xludf.DUMMYFUNCTION("""COMPUTED_VALUE"""),6551.7)</f>
        <v>6551.7</v>
      </c>
      <c r="D58" s="6">
        <f>IFERROR(__xludf.DUMMYFUNCTION("""COMPUTED_VALUE"""),5960.0)</f>
        <v>5960</v>
      </c>
      <c r="E58" s="6">
        <f>IFERROR(__xludf.DUMMYFUNCTION("""COMPUTED_VALUE"""),5991.7)</f>
        <v>5991.7</v>
      </c>
      <c r="F58" s="6">
        <f>IFERROR(__xludf.DUMMYFUNCTION("""COMPUTED_VALUE"""),2290311.0)</f>
        <v>2290311</v>
      </c>
    </row>
    <row r="59">
      <c r="A59" s="7">
        <f>IFERROR(__xludf.DUMMYFUNCTION("""COMPUTED_VALUE"""),45590.64583333333)</f>
        <v>45590.64583</v>
      </c>
      <c r="B59" s="6">
        <f>IFERROR(__xludf.DUMMYFUNCTION("""COMPUTED_VALUE"""),6029.0)</f>
        <v>6029</v>
      </c>
      <c r="C59" s="6">
        <f>IFERROR(__xludf.DUMMYFUNCTION("""COMPUTED_VALUE"""),6068.55)</f>
        <v>6068.55</v>
      </c>
      <c r="D59" s="6">
        <f>IFERROR(__xludf.DUMMYFUNCTION("""COMPUTED_VALUE"""),5827.5)</f>
        <v>5827.5</v>
      </c>
      <c r="E59" s="6">
        <f>IFERROR(__xludf.DUMMYFUNCTION("""COMPUTED_VALUE"""),5903.2)</f>
        <v>5903.2</v>
      </c>
      <c r="F59" s="6">
        <f>IFERROR(__xludf.DUMMYFUNCTION("""COMPUTED_VALUE"""),1259294.0)</f>
        <v>1259294</v>
      </c>
    </row>
    <row r="60">
      <c r="A60" s="7">
        <f>IFERROR(__xludf.DUMMYFUNCTION("""COMPUTED_VALUE"""),45604.64583333333)</f>
        <v>45604.64583</v>
      </c>
      <c r="B60" s="6">
        <f>IFERROR(__xludf.DUMMYFUNCTION("""COMPUTED_VALUE"""),5700.0)</f>
        <v>5700</v>
      </c>
      <c r="C60" s="6">
        <f>IFERROR(__xludf.DUMMYFUNCTION("""COMPUTED_VALUE"""),6002.55)</f>
        <v>6002.55</v>
      </c>
      <c r="D60" s="6">
        <f>IFERROR(__xludf.DUMMYFUNCTION("""COMPUTED_VALUE"""),5572.65)</f>
        <v>5572.65</v>
      </c>
      <c r="E60" s="6">
        <f>IFERROR(__xludf.DUMMYFUNCTION("""COMPUTED_VALUE"""),5926.95)</f>
        <v>5926.95</v>
      </c>
      <c r="F60" s="6">
        <f>IFERROR(__xludf.DUMMYFUNCTION("""COMPUTED_VALUE"""),1255719.0)</f>
        <v>1255719</v>
      </c>
    </row>
    <row r="61">
      <c r="A61" s="7">
        <f>IFERROR(__xludf.DUMMYFUNCTION("""COMPUTED_VALUE"""),45610.64583333333)</f>
        <v>45610.64583</v>
      </c>
      <c r="B61" s="6">
        <f>IFERROR(__xludf.DUMMYFUNCTION("""COMPUTED_VALUE"""),5890.0)</f>
        <v>5890</v>
      </c>
      <c r="C61" s="6">
        <f>IFERROR(__xludf.DUMMYFUNCTION("""COMPUTED_VALUE"""),6037.0)</f>
        <v>6037</v>
      </c>
      <c r="D61" s="6">
        <f>IFERROR(__xludf.DUMMYFUNCTION("""COMPUTED_VALUE"""),5858.9)</f>
        <v>5858.9</v>
      </c>
      <c r="E61" s="6">
        <f>IFERROR(__xludf.DUMMYFUNCTION("""COMPUTED_VALUE"""),5994.65)</f>
        <v>5994.65</v>
      </c>
      <c r="F61" s="6">
        <f>IFERROR(__xludf.DUMMYFUNCTION("""COMPUTED_VALUE"""),762153.0)</f>
        <v>762153</v>
      </c>
    </row>
    <row r="62">
      <c r="A62" s="7">
        <f>IFERROR(__xludf.DUMMYFUNCTION("""COMPUTED_VALUE"""),45618.64583333333)</f>
        <v>45618.64583</v>
      </c>
      <c r="B62" s="6">
        <f>IFERROR(__xludf.DUMMYFUNCTION("""COMPUTED_VALUE"""),5955.0)</f>
        <v>5955</v>
      </c>
      <c r="C62" s="6">
        <f>IFERROR(__xludf.DUMMYFUNCTION("""COMPUTED_VALUE"""),6148.25)</f>
        <v>6148.25</v>
      </c>
      <c r="D62" s="6">
        <f>IFERROR(__xludf.DUMMYFUNCTION("""COMPUTED_VALUE"""),5711.5)</f>
        <v>5711.5</v>
      </c>
      <c r="E62" s="6">
        <f>IFERROR(__xludf.DUMMYFUNCTION("""COMPUTED_VALUE"""),6133.7)</f>
        <v>6133.7</v>
      </c>
      <c r="F62" s="6">
        <f>IFERROR(__xludf.DUMMYFUNCTION("""COMPUTED_VALUE"""),927653.0)</f>
        <v>927653</v>
      </c>
    </row>
    <row r="63">
      <c r="A63" s="7">
        <f>IFERROR(__xludf.DUMMYFUNCTION("""COMPUTED_VALUE"""),45625.64583333333)</f>
        <v>45625.64583</v>
      </c>
      <c r="B63" s="6">
        <f>IFERROR(__xludf.DUMMYFUNCTION("""COMPUTED_VALUE"""),6150.0)</f>
        <v>6150</v>
      </c>
      <c r="C63" s="6">
        <f>IFERROR(__xludf.DUMMYFUNCTION("""COMPUTED_VALUE"""),6301.55)</f>
        <v>6301.55</v>
      </c>
      <c r="D63" s="6">
        <f>IFERROR(__xludf.DUMMYFUNCTION("""COMPUTED_VALUE"""),6085.55)</f>
        <v>6085.55</v>
      </c>
      <c r="E63" s="6">
        <f>IFERROR(__xludf.DUMMYFUNCTION("""COMPUTED_VALUE"""),6172.4)</f>
        <v>6172.4</v>
      </c>
      <c r="F63" s="6">
        <f>IFERROR(__xludf.DUMMYFUNCTION("""COMPUTED_VALUE"""),1461150.0)</f>
        <v>1461150</v>
      </c>
    </row>
    <row r="64">
      <c r="A64" s="7">
        <f>IFERROR(__xludf.DUMMYFUNCTION("""COMPUTED_VALUE"""),45632.64583333333)</f>
        <v>45632.64583</v>
      </c>
      <c r="B64" s="6">
        <f>IFERROR(__xludf.DUMMYFUNCTION("""COMPUTED_VALUE"""),6172.4)</f>
        <v>6172.4</v>
      </c>
      <c r="C64" s="6">
        <f>IFERROR(__xludf.DUMMYFUNCTION("""COMPUTED_VALUE"""),6398.85)</f>
        <v>6398.85</v>
      </c>
      <c r="D64" s="6">
        <f>IFERROR(__xludf.DUMMYFUNCTION("""COMPUTED_VALUE"""),6125.75)</f>
        <v>6125.75</v>
      </c>
      <c r="E64" s="6">
        <f>IFERROR(__xludf.DUMMYFUNCTION("""COMPUTED_VALUE"""),6378.9)</f>
        <v>6378.9</v>
      </c>
      <c r="F64" s="6">
        <f>IFERROR(__xludf.DUMMYFUNCTION("""COMPUTED_VALUE"""),1035164.0)</f>
        <v>1035164</v>
      </c>
    </row>
    <row r="65">
      <c r="A65" s="7">
        <f>IFERROR(__xludf.DUMMYFUNCTION("""COMPUTED_VALUE"""),45639.64583333333)</f>
        <v>45639.64583</v>
      </c>
      <c r="B65" s="6">
        <f>IFERROR(__xludf.DUMMYFUNCTION("""COMPUTED_VALUE"""),6378.9)</f>
        <v>6378.9</v>
      </c>
      <c r="C65" s="6">
        <f>IFERROR(__xludf.DUMMYFUNCTION("""COMPUTED_VALUE"""),6738.0)</f>
        <v>6738</v>
      </c>
      <c r="D65" s="6">
        <f>IFERROR(__xludf.DUMMYFUNCTION("""COMPUTED_VALUE"""),6330.0)</f>
        <v>6330</v>
      </c>
      <c r="E65" s="6">
        <f>IFERROR(__xludf.DUMMYFUNCTION("""COMPUTED_VALUE"""),6714.45)</f>
        <v>6714.45</v>
      </c>
      <c r="F65" s="6">
        <f>IFERROR(__xludf.DUMMYFUNCTION("""COMPUTED_VALUE"""),2113583.0)</f>
        <v>2113583</v>
      </c>
    </row>
    <row r="66">
      <c r="A66" s="7">
        <f>IFERROR(__xludf.DUMMYFUNCTION("""COMPUTED_VALUE"""),45646.64583333333)</f>
        <v>45646.64583</v>
      </c>
      <c r="B66" s="6">
        <f>IFERROR(__xludf.DUMMYFUNCTION("""COMPUTED_VALUE"""),6700.0)</f>
        <v>6700</v>
      </c>
      <c r="C66" s="6">
        <f>IFERROR(__xludf.DUMMYFUNCTION("""COMPUTED_VALUE"""),6767.95)</f>
        <v>6767.95</v>
      </c>
      <c r="D66" s="6">
        <f>IFERROR(__xludf.DUMMYFUNCTION("""COMPUTED_VALUE"""),5801.0)</f>
        <v>5801</v>
      </c>
      <c r="E66" s="6">
        <f>IFERROR(__xludf.DUMMYFUNCTION("""COMPUTED_VALUE"""),5824.3)</f>
        <v>5824.3</v>
      </c>
      <c r="F66" s="6">
        <f>IFERROR(__xludf.DUMMYFUNCTION("""COMPUTED_VALUE"""),2530431.0)</f>
        <v>2530431</v>
      </c>
    </row>
    <row r="67">
      <c r="A67" s="7">
        <f>IFERROR(__xludf.DUMMYFUNCTION("""COMPUTED_VALUE"""),45653.64583333333)</f>
        <v>45653.64583</v>
      </c>
      <c r="B67" s="6">
        <f>IFERROR(__xludf.DUMMYFUNCTION("""COMPUTED_VALUE"""),5877.9)</f>
        <v>5877.9</v>
      </c>
      <c r="C67" s="6">
        <f>IFERROR(__xludf.DUMMYFUNCTION("""COMPUTED_VALUE"""),5895.0)</f>
        <v>5895</v>
      </c>
      <c r="D67" s="6">
        <f>IFERROR(__xludf.DUMMYFUNCTION("""COMPUTED_VALUE"""),5650.7)</f>
        <v>5650.7</v>
      </c>
      <c r="E67" s="6">
        <f>IFERROR(__xludf.DUMMYFUNCTION("""COMPUTED_VALUE"""),5678.0)</f>
        <v>5678</v>
      </c>
      <c r="F67" s="6">
        <f>IFERROR(__xludf.DUMMYFUNCTION("""COMPUTED_VALUE"""),1291149.0)</f>
        <v>1291149</v>
      </c>
    </row>
    <row r="68">
      <c r="A68" s="7">
        <f>IFERROR(__xludf.DUMMYFUNCTION("""COMPUTED_VALUE"""),45660.64583333333)</f>
        <v>45660.64583</v>
      </c>
      <c r="B68" s="6">
        <f>IFERROR(__xludf.DUMMYFUNCTION("""COMPUTED_VALUE"""),5680.45)</f>
        <v>5680.45</v>
      </c>
      <c r="C68" s="6">
        <f>IFERROR(__xludf.DUMMYFUNCTION("""COMPUTED_VALUE"""),5780.0)</f>
        <v>5780</v>
      </c>
      <c r="D68" s="6">
        <f>IFERROR(__xludf.DUMMYFUNCTION("""COMPUTED_VALUE"""),5510.0)</f>
        <v>5510</v>
      </c>
      <c r="E68" s="6">
        <f>IFERROR(__xludf.DUMMYFUNCTION("""COMPUTED_VALUE"""),5733.4)</f>
        <v>5733.4</v>
      </c>
      <c r="F68" s="6">
        <f>IFERROR(__xludf.DUMMYFUNCTION("""COMPUTED_VALUE"""),2014384.0)</f>
        <v>2014384</v>
      </c>
    </row>
    <row r="69">
      <c r="A69" s="7">
        <f>IFERROR(__xludf.DUMMYFUNCTION("""COMPUTED_VALUE"""),45667.64583333333)</f>
        <v>45667.64583</v>
      </c>
      <c r="B69" s="6">
        <f>IFERROR(__xludf.DUMMYFUNCTION("""COMPUTED_VALUE"""),5843.95)</f>
        <v>5843.95</v>
      </c>
      <c r="C69" s="6">
        <f>IFERROR(__xludf.DUMMYFUNCTION("""COMPUTED_VALUE"""),6152.8)</f>
        <v>6152.8</v>
      </c>
      <c r="D69" s="6">
        <f>IFERROR(__xludf.DUMMYFUNCTION("""COMPUTED_VALUE"""),5661.5)</f>
        <v>5661.5</v>
      </c>
      <c r="E69" s="6">
        <f>IFERROR(__xludf.DUMMYFUNCTION("""COMPUTED_VALUE"""),6124.4)</f>
        <v>6124.4</v>
      </c>
      <c r="F69" s="6">
        <f>IFERROR(__xludf.DUMMYFUNCTION("""COMPUTED_VALUE"""),2108545.0)</f>
        <v>2108545</v>
      </c>
    </row>
    <row r="70">
      <c r="A70" s="7">
        <f>IFERROR(__xludf.DUMMYFUNCTION("""COMPUTED_VALUE"""),45674.64583333333)</f>
        <v>45674.64583</v>
      </c>
      <c r="B70" s="6">
        <f>IFERROR(__xludf.DUMMYFUNCTION("""COMPUTED_VALUE"""),6094.0)</f>
        <v>6094</v>
      </c>
      <c r="C70" s="6">
        <f>IFERROR(__xludf.DUMMYFUNCTION("""COMPUTED_VALUE"""),6157.95)</f>
        <v>6157.95</v>
      </c>
      <c r="D70" s="6">
        <f>IFERROR(__xludf.DUMMYFUNCTION("""COMPUTED_VALUE"""),5691.0)</f>
        <v>5691</v>
      </c>
      <c r="E70" s="6">
        <f>IFERROR(__xludf.DUMMYFUNCTION("""COMPUTED_VALUE"""),5890.3)</f>
        <v>5890.3</v>
      </c>
      <c r="F70" s="6">
        <f>IFERROR(__xludf.DUMMYFUNCTION("""COMPUTED_VALUE"""),2512348.0)</f>
        <v>2512348</v>
      </c>
    </row>
    <row r="71">
      <c r="A71" s="7">
        <f>IFERROR(__xludf.DUMMYFUNCTION("""COMPUTED_VALUE"""),45681.64583333333)</f>
        <v>45681.64583</v>
      </c>
      <c r="B71" s="6">
        <f>IFERROR(__xludf.DUMMYFUNCTION("""COMPUTED_VALUE"""),5885.0)</f>
        <v>5885</v>
      </c>
      <c r="C71" s="6">
        <f>IFERROR(__xludf.DUMMYFUNCTION("""COMPUTED_VALUE"""),6059.7)</f>
        <v>6059.7</v>
      </c>
      <c r="D71" s="6">
        <f>IFERROR(__xludf.DUMMYFUNCTION("""COMPUTED_VALUE"""),5692.0)</f>
        <v>5692</v>
      </c>
      <c r="E71" s="6">
        <f>IFERROR(__xludf.DUMMYFUNCTION("""COMPUTED_VALUE"""),5998.15)</f>
        <v>5998.15</v>
      </c>
      <c r="F71" s="6">
        <f>IFERROR(__xludf.DUMMYFUNCTION("""COMPUTED_VALUE"""),1037220.0)</f>
        <v>1037220</v>
      </c>
    </row>
    <row r="72">
      <c r="A72" s="7">
        <f>IFERROR(__xludf.DUMMYFUNCTION("""COMPUTED_VALUE"""),45695.64583333333)</f>
        <v>45695.64583</v>
      </c>
      <c r="B72" s="6">
        <f>IFERROR(__xludf.DUMMYFUNCTION("""COMPUTED_VALUE"""),5850.0)</f>
        <v>5850</v>
      </c>
      <c r="C72" s="6">
        <f>IFERROR(__xludf.DUMMYFUNCTION("""COMPUTED_VALUE"""),6096.95)</f>
        <v>6096.95</v>
      </c>
      <c r="D72" s="6">
        <f>IFERROR(__xludf.DUMMYFUNCTION("""COMPUTED_VALUE"""),5733.45)</f>
        <v>5733.45</v>
      </c>
      <c r="E72" s="6">
        <f>IFERROR(__xludf.DUMMYFUNCTION("""COMPUTED_VALUE"""),5956.6)</f>
        <v>5956.6</v>
      </c>
      <c r="F72" s="6">
        <f>IFERROR(__xludf.DUMMYFUNCTION("""COMPUTED_VALUE"""),1118639.0)</f>
        <v>1118639</v>
      </c>
    </row>
    <row r="73">
      <c r="A73" s="7">
        <f>IFERROR(__xludf.DUMMYFUNCTION("""COMPUTED_VALUE"""),45702.64583333333)</f>
        <v>45702.64583</v>
      </c>
      <c r="B73" s="6">
        <f>IFERROR(__xludf.DUMMYFUNCTION("""COMPUTED_VALUE"""),5966.0)</f>
        <v>5966</v>
      </c>
      <c r="C73" s="6">
        <f>IFERROR(__xludf.DUMMYFUNCTION("""COMPUTED_VALUE"""),6000.0)</f>
        <v>6000</v>
      </c>
      <c r="D73" s="6">
        <f>IFERROR(__xludf.DUMMYFUNCTION("""COMPUTED_VALUE"""),5476.05)</f>
        <v>5476.05</v>
      </c>
      <c r="E73" s="6">
        <f>IFERROR(__xludf.DUMMYFUNCTION("""COMPUTED_VALUE"""),5511.6)</f>
        <v>5511.6</v>
      </c>
      <c r="F73" s="6">
        <f>IFERROR(__xludf.DUMMYFUNCTION("""COMPUTED_VALUE"""),1029087.0)</f>
        <v>1029087</v>
      </c>
    </row>
    <row r="74">
      <c r="A74" s="7">
        <f>IFERROR(__xludf.DUMMYFUNCTION("""COMPUTED_VALUE"""),45709.64583333333)</f>
        <v>45709.64583</v>
      </c>
      <c r="B74" s="6">
        <f>IFERROR(__xludf.DUMMYFUNCTION("""COMPUTED_VALUE"""),5485.05)</f>
        <v>5485.05</v>
      </c>
      <c r="C74" s="6">
        <f>IFERROR(__xludf.DUMMYFUNCTION("""COMPUTED_VALUE"""),5685.0)</f>
        <v>5685</v>
      </c>
      <c r="D74" s="6">
        <f>IFERROR(__xludf.DUMMYFUNCTION("""COMPUTED_VALUE"""),5267.0)</f>
        <v>5267</v>
      </c>
      <c r="E74" s="6">
        <f>IFERROR(__xludf.DUMMYFUNCTION("""COMPUTED_VALUE"""),5298.5)</f>
        <v>5298.5</v>
      </c>
      <c r="F74" s="6">
        <f>IFERROR(__xludf.DUMMYFUNCTION("""COMPUTED_VALUE"""),1509842.0)</f>
        <v>1509842</v>
      </c>
    </row>
    <row r="75">
      <c r="A75" s="7">
        <f>IFERROR(__xludf.DUMMYFUNCTION("""COMPUTED_VALUE"""),45716.64583333333)</f>
        <v>45716.64583</v>
      </c>
      <c r="B75" s="6">
        <f>IFERROR(__xludf.DUMMYFUNCTION("""COMPUTED_VALUE"""),5235.0)</f>
        <v>5235</v>
      </c>
      <c r="C75" s="6">
        <f>IFERROR(__xludf.DUMMYFUNCTION("""COMPUTED_VALUE"""),5283.0)</f>
        <v>5283</v>
      </c>
      <c r="D75" s="6">
        <f>IFERROR(__xludf.DUMMYFUNCTION("""COMPUTED_VALUE"""),4650.45)</f>
        <v>4650.45</v>
      </c>
      <c r="E75" s="6">
        <f>IFERROR(__xludf.DUMMYFUNCTION("""COMPUTED_VALUE"""),4665.95)</f>
        <v>4665.95</v>
      </c>
      <c r="F75" s="6">
        <f>IFERROR(__xludf.DUMMYFUNCTION("""COMPUTED_VALUE"""),2491746.0)</f>
        <v>2491746</v>
      </c>
    </row>
    <row r="76">
      <c r="A76" s="7">
        <f>IFERROR(__xludf.DUMMYFUNCTION("""COMPUTED_VALUE"""),45723.64583333333)</f>
        <v>45723.64583</v>
      </c>
      <c r="B76" s="6">
        <f>IFERROR(__xludf.DUMMYFUNCTION("""COMPUTED_VALUE"""),4667.9)</f>
        <v>4667.9</v>
      </c>
      <c r="C76" s="6">
        <f>IFERROR(__xludf.DUMMYFUNCTION("""COMPUTED_VALUE"""),4853.65)</f>
        <v>4853.65</v>
      </c>
      <c r="D76" s="6">
        <f>IFERROR(__xludf.DUMMYFUNCTION("""COMPUTED_VALUE"""),4631.05)</f>
        <v>4631.05</v>
      </c>
      <c r="E76" s="6">
        <f>IFERROR(__xludf.DUMMYFUNCTION("""COMPUTED_VALUE"""),4721.95)</f>
        <v>4721.95</v>
      </c>
      <c r="F76" s="6">
        <f>IFERROR(__xludf.DUMMYFUNCTION("""COMPUTED_VALUE"""),2010847.0)</f>
        <v>2010847</v>
      </c>
    </row>
    <row r="77">
      <c r="A77" s="7">
        <f>IFERROR(__xludf.DUMMYFUNCTION("""COMPUTED_VALUE"""),45729.64583333333)</f>
        <v>45729.64583</v>
      </c>
      <c r="B77" s="6">
        <f>IFERROR(__xludf.DUMMYFUNCTION("""COMPUTED_VALUE"""),4732.95)</f>
        <v>4732.95</v>
      </c>
      <c r="C77" s="6">
        <f>IFERROR(__xludf.DUMMYFUNCTION("""COMPUTED_VALUE"""),4780.0)</f>
        <v>4780</v>
      </c>
      <c r="D77" s="6">
        <f>IFERROR(__xludf.DUMMYFUNCTION("""COMPUTED_VALUE"""),4437.45)</f>
        <v>4437.45</v>
      </c>
      <c r="E77" s="6">
        <f>IFERROR(__xludf.DUMMYFUNCTION("""COMPUTED_VALUE"""),4467.05)</f>
        <v>4467.05</v>
      </c>
      <c r="F77" s="6">
        <f>IFERROR(__xludf.DUMMYFUNCTION("""COMPUTED_VALUE"""),1560932.0)</f>
        <v>1560932</v>
      </c>
    </row>
    <row r="78">
      <c r="A78" s="7">
        <f>IFERROR(__xludf.DUMMYFUNCTION("""COMPUTED_VALUE"""),45737.64583333333)</f>
        <v>45737.64583</v>
      </c>
      <c r="B78" s="6">
        <f>IFERROR(__xludf.DUMMYFUNCTION("""COMPUTED_VALUE"""),4428.2)</f>
        <v>4428.2</v>
      </c>
      <c r="C78" s="6">
        <f>IFERROR(__xludf.DUMMYFUNCTION("""COMPUTED_VALUE"""),4532.7)</f>
        <v>4532.7</v>
      </c>
      <c r="D78" s="6">
        <f>IFERROR(__xludf.DUMMYFUNCTION("""COMPUTED_VALUE"""),4239.0)</f>
        <v>4239</v>
      </c>
      <c r="E78" s="6">
        <f>IFERROR(__xludf.DUMMYFUNCTION("""COMPUTED_VALUE"""),4520.25)</f>
        <v>4520.25</v>
      </c>
      <c r="F78" s="6">
        <f>IFERROR(__xludf.DUMMYFUNCTION("""COMPUTED_VALUE"""),3814886.0)</f>
        <v>3814886</v>
      </c>
    </row>
    <row r="79">
      <c r="A79" s="7">
        <f>IFERROR(__xludf.DUMMYFUNCTION("""COMPUTED_VALUE"""),45744.64583333333)</f>
        <v>45744.64583</v>
      </c>
      <c r="B79" s="6">
        <f>IFERROR(__xludf.DUMMYFUNCTION("""COMPUTED_VALUE"""),4559.0)</f>
        <v>4559</v>
      </c>
      <c r="C79" s="6">
        <f>IFERROR(__xludf.DUMMYFUNCTION("""COMPUTED_VALUE"""),4679.0)</f>
        <v>4679</v>
      </c>
      <c r="D79" s="6">
        <f>IFERROR(__xludf.DUMMYFUNCTION("""COMPUTED_VALUE"""),4475.0)</f>
        <v>4475</v>
      </c>
      <c r="E79" s="6">
        <f>IFERROR(__xludf.DUMMYFUNCTION("""COMPUTED_VALUE"""),4491.35)</f>
        <v>4491.35</v>
      </c>
      <c r="F79" s="6">
        <f>IFERROR(__xludf.DUMMYFUNCTION("""COMPUTED_VALUE"""),2310106.0)</f>
        <v>2310106</v>
      </c>
    </row>
    <row r="80">
      <c r="A80" s="7">
        <f>IFERROR(__xludf.DUMMYFUNCTION("""COMPUTED_VALUE"""),45751.64583333333)</f>
        <v>45751.64583</v>
      </c>
      <c r="B80" s="6">
        <f>IFERROR(__xludf.DUMMYFUNCTION("""COMPUTED_VALUE"""),4474.6)</f>
        <v>4474.6</v>
      </c>
      <c r="C80" s="6">
        <f>IFERROR(__xludf.DUMMYFUNCTION("""COMPUTED_VALUE"""),4508.95)</f>
        <v>4508.95</v>
      </c>
      <c r="D80" s="6">
        <f>IFERROR(__xludf.DUMMYFUNCTION("""COMPUTED_VALUE"""),4101.0)</f>
        <v>4101</v>
      </c>
      <c r="E80" s="6">
        <f>IFERROR(__xludf.DUMMYFUNCTION("""COMPUTED_VALUE"""),4136.25)</f>
        <v>4136.25</v>
      </c>
      <c r="F80" s="6">
        <f>IFERROR(__xludf.DUMMYFUNCTION("""COMPUTED_VALUE"""),1666259.0)</f>
        <v>1666259</v>
      </c>
    </row>
    <row r="81">
      <c r="A81" s="7">
        <f>IFERROR(__xludf.DUMMYFUNCTION("""COMPUTED_VALUE"""),45758.64583333333)</f>
        <v>45758.64583</v>
      </c>
      <c r="B81" s="6">
        <f>IFERROR(__xludf.DUMMYFUNCTION("""COMPUTED_VALUE"""),3900.0)</f>
        <v>3900</v>
      </c>
      <c r="C81" s="6">
        <f>IFERROR(__xludf.DUMMYFUNCTION("""COMPUTED_VALUE"""),4253.25)</f>
        <v>4253.25</v>
      </c>
      <c r="D81" s="6">
        <f>IFERROR(__xludf.DUMMYFUNCTION("""COMPUTED_VALUE"""),3802.0)</f>
        <v>3802</v>
      </c>
      <c r="E81" s="6">
        <f>IFERROR(__xludf.DUMMYFUNCTION("""COMPUTED_VALUE"""),4240.8)</f>
        <v>4240.8</v>
      </c>
      <c r="F81" s="6">
        <f>IFERROR(__xludf.DUMMYFUNCTION("""COMPUTED_VALUE"""),1861482.0)</f>
        <v>1861482</v>
      </c>
    </row>
    <row r="82">
      <c r="A82" s="7">
        <f>IFERROR(__xludf.DUMMYFUNCTION("""COMPUTED_VALUE"""),45764.64583333333)</f>
        <v>45764.64583</v>
      </c>
      <c r="B82" s="6">
        <f>IFERROR(__xludf.DUMMYFUNCTION("""COMPUTED_VALUE"""),4326.0)</f>
        <v>4326</v>
      </c>
      <c r="C82" s="6">
        <f>IFERROR(__xludf.DUMMYFUNCTION("""COMPUTED_VALUE"""),4329.5)</f>
        <v>4329.5</v>
      </c>
      <c r="D82" s="6">
        <f>IFERROR(__xludf.DUMMYFUNCTION("""COMPUTED_VALUE"""),4040.1)</f>
        <v>4040.1</v>
      </c>
      <c r="E82" s="6">
        <f>IFERROR(__xludf.DUMMYFUNCTION("""COMPUTED_VALUE"""),4191.9)</f>
        <v>4191.9</v>
      </c>
      <c r="F82" s="6">
        <f>IFERROR(__xludf.DUMMYFUNCTION("""COMPUTED_VALUE"""),1382442.0)</f>
        <v>1382442</v>
      </c>
    </row>
    <row r="83">
      <c r="A83" s="7">
        <f>IFERROR(__xludf.DUMMYFUNCTION("""COMPUTED_VALUE"""),45772.64583333333)</f>
        <v>45772.64583</v>
      </c>
      <c r="B83" s="6">
        <f>IFERROR(__xludf.DUMMYFUNCTION("""COMPUTED_VALUE"""),4210.0)</f>
        <v>4210</v>
      </c>
      <c r="C83" s="6">
        <f>IFERROR(__xludf.DUMMYFUNCTION("""COMPUTED_VALUE"""),4599.8)</f>
        <v>4599.8</v>
      </c>
      <c r="D83" s="6">
        <f>IFERROR(__xludf.DUMMYFUNCTION("""COMPUTED_VALUE"""),4200.0)</f>
        <v>4200</v>
      </c>
      <c r="E83" s="6">
        <f>IFERROR(__xludf.DUMMYFUNCTION("""COMPUTED_VALUE"""),4498.3)</f>
        <v>4498.3</v>
      </c>
      <c r="F83" s="6">
        <f>IFERROR(__xludf.DUMMYFUNCTION("""COMPUTED_VALUE"""),3873025.0)</f>
        <v>3873025</v>
      </c>
    </row>
    <row r="84">
      <c r="A84" s="7">
        <f>IFERROR(__xludf.DUMMYFUNCTION("""COMPUTED_VALUE"""),45779.64583333333)</f>
        <v>45779.64583</v>
      </c>
      <c r="B84" s="6">
        <f>IFERROR(__xludf.DUMMYFUNCTION("""COMPUTED_VALUE"""),4510.0)</f>
        <v>4510</v>
      </c>
      <c r="C84" s="6">
        <f>IFERROR(__xludf.DUMMYFUNCTION("""COMPUTED_VALUE"""),4715.0)</f>
        <v>4715</v>
      </c>
      <c r="D84" s="6">
        <f>IFERROR(__xludf.DUMMYFUNCTION("""COMPUTED_VALUE"""),4412.2)</f>
        <v>4412.2</v>
      </c>
      <c r="E84" s="6">
        <f>IFERROR(__xludf.DUMMYFUNCTION("""COMPUTED_VALUE"""),4579.9)</f>
        <v>4579.9</v>
      </c>
      <c r="F84" s="6">
        <f>IFERROR(__xludf.DUMMYFUNCTION("""COMPUTED_VALUE"""),1410023.0)</f>
        <v>1410023</v>
      </c>
    </row>
    <row r="85">
      <c r="A85" s="7">
        <f>IFERROR(__xludf.DUMMYFUNCTION("""COMPUTED_VALUE"""),45786.64583333333)</f>
        <v>45786.64583</v>
      </c>
      <c r="B85" s="6">
        <f>IFERROR(__xludf.DUMMYFUNCTION("""COMPUTED_VALUE"""),4599.9)</f>
        <v>4599.9</v>
      </c>
      <c r="C85" s="6">
        <f>IFERROR(__xludf.DUMMYFUNCTION("""COMPUTED_VALUE"""),4699.0)</f>
        <v>4699</v>
      </c>
      <c r="D85" s="6">
        <f>IFERROR(__xludf.DUMMYFUNCTION("""COMPUTED_VALUE"""),4478.8)</f>
        <v>4478.8</v>
      </c>
      <c r="E85" s="6">
        <f>IFERROR(__xludf.DUMMYFUNCTION("""COMPUTED_VALUE"""),4621.6)</f>
        <v>4621.6</v>
      </c>
      <c r="F85" s="6">
        <f>IFERROR(__xludf.DUMMYFUNCTION("""COMPUTED_VALUE"""),1633180.0)</f>
        <v>1633180</v>
      </c>
    </row>
    <row r="86">
      <c r="A86" s="7">
        <f>IFERROR(__xludf.DUMMYFUNCTION("""COMPUTED_VALUE"""),45793.64583333333)</f>
        <v>45793.64583</v>
      </c>
      <c r="B86" s="6">
        <f>IFERROR(__xludf.DUMMYFUNCTION("""COMPUTED_VALUE"""),4750.0)</f>
        <v>4750</v>
      </c>
      <c r="C86" s="6">
        <f>IFERROR(__xludf.DUMMYFUNCTION("""COMPUTED_VALUE"""),5088.8)</f>
        <v>5088.8</v>
      </c>
      <c r="D86" s="6">
        <f>IFERROR(__xludf.DUMMYFUNCTION("""COMPUTED_VALUE"""),4702.1)</f>
        <v>4702.1</v>
      </c>
      <c r="E86" s="6">
        <f>IFERROR(__xludf.DUMMYFUNCTION("""COMPUTED_VALUE"""),5047.8)</f>
        <v>5047.8</v>
      </c>
      <c r="F86" s="6">
        <f>IFERROR(__xludf.DUMMYFUNCTION("""COMPUTED_VALUE"""),2133438.0)</f>
        <v>2133438</v>
      </c>
    </row>
    <row r="87">
      <c r="A87" s="7">
        <f>IFERROR(__xludf.DUMMYFUNCTION("""COMPUTED_VALUE"""),45800.64583333333)</f>
        <v>45800.64583</v>
      </c>
      <c r="B87" s="6">
        <f>IFERROR(__xludf.DUMMYFUNCTION("""COMPUTED_VALUE"""),5047.3)</f>
        <v>5047.3</v>
      </c>
      <c r="C87" s="6">
        <f>IFERROR(__xludf.DUMMYFUNCTION("""COMPUTED_VALUE"""),5130.0)</f>
        <v>5130</v>
      </c>
      <c r="D87" s="6">
        <f>IFERROR(__xludf.DUMMYFUNCTION("""COMPUTED_VALUE"""),4970.2)</f>
        <v>4970.2</v>
      </c>
      <c r="E87" s="6">
        <f>IFERROR(__xludf.DUMMYFUNCTION("""COMPUTED_VALUE"""),5045.8)</f>
        <v>5045.8</v>
      </c>
      <c r="F87" s="6">
        <f>IFERROR(__xludf.DUMMYFUNCTION("""COMPUTED_VALUE"""),1514267.0)</f>
        <v>1514267</v>
      </c>
    </row>
    <row r="88">
      <c r="A88" s="7">
        <f>IFERROR(__xludf.DUMMYFUNCTION("""COMPUTED_VALUE"""),45807.64583333333)</f>
        <v>45807.64583</v>
      </c>
      <c r="B88" s="6">
        <f>IFERROR(__xludf.DUMMYFUNCTION("""COMPUTED_VALUE"""),5054.5)</f>
        <v>5054.5</v>
      </c>
      <c r="C88" s="6">
        <f>IFERROR(__xludf.DUMMYFUNCTION("""COMPUTED_VALUE"""),5276.8)</f>
        <v>5276.8</v>
      </c>
      <c r="D88" s="6">
        <f>IFERROR(__xludf.DUMMYFUNCTION("""COMPUTED_VALUE"""),5041.2)</f>
        <v>5041.2</v>
      </c>
      <c r="E88" s="6">
        <f>IFERROR(__xludf.DUMMYFUNCTION("""COMPUTED_VALUE"""),5068.9)</f>
        <v>5068.9</v>
      </c>
      <c r="F88" s="6">
        <f>IFERROR(__xludf.DUMMYFUNCTION("""COMPUTED_VALUE"""),1463333.0)</f>
        <v>1463333</v>
      </c>
    </row>
    <row r="89">
      <c r="A89" s="7">
        <f>IFERROR(__xludf.DUMMYFUNCTION("""COMPUTED_VALUE"""),45814.64583333333)</f>
        <v>45814.64583</v>
      </c>
      <c r="B89" s="6">
        <f>IFERROR(__xludf.DUMMYFUNCTION("""COMPUTED_VALUE"""),5056.0)</f>
        <v>5056</v>
      </c>
      <c r="C89" s="6">
        <f>IFERROR(__xludf.DUMMYFUNCTION("""COMPUTED_VALUE"""),5219.0)</f>
        <v>5219</v>
      </c>
      <c r="D89" s="6">
        <f>IFERROR(__xludf.DUMMYFUNCTION("""COMPUTED_VALUE"""),5001.0)</f>
        <v>5001</v>
      </c>
      <c r="E89" s="6">
        <f>IFERROR(__xludf.DUMMYFUNCTION("""COMPUTED_VALUE"""),5204.0)</f>
        <v>5204</v>
      </c>
      <c r="F89" s="6">
        <f>IFERROR(__xludf.DUMMYFUNCTION("""COMPUTED_VALUE"""),1047623.0)</f>
        <v>1047623</v>
      </c>
    </row>
    <row r="90">
      <c r="A90" s="7">
        <f>IFERROR(__xludf.DUMMYFUNCTION("""COMPUTED_VALUE"""),45821.64583333333)</f>
        <v>45821.64583</v>
      </c>
      <c r="B90" s="6">
        <f>IFERROR(__xludf.DUMMYFUNCTION("""COMPUTED_VALUE"""),5210.5)</f>
        <v>5210.5</v>
      </c>
      <c r="C90" s="6">
        <f>IFERROR(__xludf.DUMMYFUNCTION("""COMPUTED_VALUE"""),5499.0)</f>
        <v>5499</v>
      </c>
      <c r="D90" s="6">
        <f>IFERROR(__xludf.DUMMYFUNCTION("""COMPUTED_VALUE"""),5210.5)</f>
        <v>5210.5</v>
      </c>
      <c r="E90" s="6">
        <f>IFERROR(__xludf.DUMMYFUNCTION("""COMPUTED_VALUE"""),5429.0)</f>
        <v>5429</v>
      </c>
      <c r="F90" s="6">
        <f>IFERROR(__xludf.DUMMYFUNCTION("""COMPUTED_VALUE"""),1307148.0)</f>
        <v>1307148</v>
      </c>
    </row>
    <row r="91">
      <c r="A91" s="7">
        <f>IFERROR(__xludf.DUMMYFUNCTION("""COMPUTED_VALUE"""),45828.64583333333)</f>
        <v>45828.64583</v>
      </c>
      <c r="B91" s="6">
        <f>IFERROR(__xludf.DUMMYFUNCTION("""COMPUTED_VALUE"""),5420.0)</f>
        <v>5420</v>
      </c>
      <c r="C91" s="6">
        <f>IFERROR(__xludf.DUMMYFUNCTION("""COMPUTED_VALUE"""),5554.5)</f>
        <v>5554.5</v>
      </c>
      <c r="D91" s="6">
        <f>IFERROR(__xludf.DUMMYFUNCTION("""COMPUTED_VALUE"""),5244.5)</f>
        <v>5244.5</v>
      </c>
      <c r="E91" s="6">
        <f>IFERROR(__xludf.DUMMYFUNCTION("""COMPUTED_VALUE"""),5376.5)</f>
        <v>5376.5</v>
      </c>
      <c r="F91" s="6">
        <f>IFERROR(__xludf.DUMMYFUNCTION("""COMPUTED_VALUE"""),1525664.0)</f>
        <v>1525664</v>
      </c>
    </row>
    <row r="92">
      <c r="A92" s="7">
        <f>IFERROR(__xludf.DUMMYFUNCTION("""COMPUTED_VALUE"""),45835.64583333333)</f>
        <v>45835.64583</v>
      </c>
      <c r="B92" s="6">
        <f>IFERROR(__xludf.DUMMYFUNCTION("""COMPUTED_VALUE"""),5325.0)</f>
        <v>5325</v>
      </c>
      <c r="C92" s="6">
        <f>IFERROR(__xludf.DUMMYFUNCTION("""COMPUTED_VALUE"""),5464.5)</f>
        <v>5464.5</v>
      </c>
      <c r="D92" s="6">
        <f>IFERROR(__xludf.DUMMYFUNCTION("""COMPUTED_VALUE"""),5280.0)</f>
        <v>5280</v>
      </c>
      <c r="E92" s="6">
        <f>IFERROR(__xludf.DUMMYFUNCTION("""COMPUTED_VALUE"""),5293.0)</f>
        <v>5293</v>
      </c>
      <c r="F92" s="6">
        <f>IFERROR(__xludf.DUMMYFUNCTION("""COMPUTED_VALUE"""),1190714.0)</f>
        <v>1190714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IFERROR(__xludf.DUMMYFUNCTION("""COMPUTED_VALUE"""),5319.5)</f>
        <v>5319.5</v>
      </c>
      <c r="C93" s="6">
        <f>IFERROR(__xludf.DUMMYFUNCTION("""COMPUTED_VALUE"""),5388.0)</f>
        <v>5388</v>
      </c>
      <c r="D93" s="6">
        <f>IFERROR(__xludf.DUMMYFUNCTION("""COMPUTED_VALUE"""),5241.0)</f>
        <v>5241</v>
      </c>
      <c r="E93" s="6">
        <f>IFERROR(__xludf.DUMMYFUNCTION("""COMPUTED_VALUE"""),5316.0)</f>
        <v>5316</v>
      </c>
      <c r="F93" s="6">
        <f>IFERROR(__xludf.DUMMYFUNCTION("""COMPUTED_VALUE"""),885514.0)</f>
        <v>885514</v>
      </c>
    </row>
    <row r="94">
      <c r="A94" s="7">
        <f>IFERROR(__xludf.DUMMYFUNCTION("""COMPUTED_VALUE"""),45849.64583333333)</f>
        <v>45849.64583</v>
      </c>
      <c r="B94" s="6">
        <f>IFERROR(__xludf.DUMMYFUNCTION("""COMPUTED_VALUE"""),5317.0)</f>
        <v>5317</v>
      </c>
      <c r="C94" s="6">
        <f>IFERROR(__xludf.DUMMYFUNCTION("""COMPUTED_VALUE"""),5414.5)</f>
        <v>5414.5</v>
      </c>
      <c r="D94" s="6">
        <f>IFERROR(__xludf.DUMMYFUNCTION("""COMPUTED_VALUE"""),5170.5)</f>
        <v>5170.5</v>
      </c>
      <c r="E94" s="6">
        <f>IFERROR(__xludf.DUMMYFUNCTION("""COMPUTED_VALUE"""),5206.0)</f>
        <v>5206</v>
      </c>
      <c r="F94" s="6">
        <f>IFERROR(__xludf.DUMMYFUNCTION("""COMPUTED_VALUE"""),1203287.0)</f>
        <v>1203287</v>
      </c>
    </row>
    <row r="95">
      <c r="A95" s="7">
        <f>IFERROR(__xludf.DUMMYFUNCTION("""COMPUTED_VALUE"""),45856.64583333333)</f>
        <v>45856.64583</v>
      </c>
      <c r="B95" s="6">
        <f>IFERROR(__xludf.DUMMYFUNCTION("""COMPUTED_VALUE"""),5201.0)</f>
        <v>5201</v>
      </c>
      <c r="C95" s="6">
        <f>IFERROR(__xludf.DUMMYFUNCTION("""COMPUTED_VALUE"""),5338.0)</f>
        <v>5338</v>
      </c>
      <c r="D95" s="6">
        <f>IFERROR(__xludf.DUMMYFUNCTION("""COMPUTED_VALUE"""),5070.5)</f>
        <v>5070.5</v>
      </c>
      <c r="E95" s="6">
        <f>IFERROR(__xludf.DUMMYFUNCTION("""COMPUTED_VALUE"""),5124.0)</f>
        <v>5124</v>
      </c>
      <c r="F95" s="6">
        <f>IFERROR(__xludf.DUMMYFUNCTION("""COMPUTED_VALUE"""),2276850.0)</f>
        <v>2276850</v>
      </c>
    </row>
    <row r="96">
      <c r="A96" s="7">
        <f>IFERROR(__xludf.DUMMYFUNCTION("""COMPUTED_VALUE"""),45863.64583333333)</f>
        <v>45863.64583</v>
      </c>
      <c r="B96" s="6">
        <f>IFERROR(__xludf.DUMMYFUNCTION("""COMPUTED_VALUE"""),5125.0)</f>
        <v>5125</v>
      </c>
      <c r="C96" s="6">
        <f>IFERROR(__xludf.DUMMYFUNCTION("""COMPUTED_VALUE"""),5310.0)</f>
        <v>5310</v>
      </c>
      <c r="D96" s="6">
        <f>IFERROR(__xludf.DUMMYFUNCTION("""COMPUTED_VALUE"""),5070.5)</f>
        <v>5070.5</v>
      </c>
      <c r="E96" s="6">
        <f>IFERROR(__xludf.DUMMYFUNCTION("""COMPUTED_VALUE"""),5096.0)</f>
        <v>5096</v>
      </c>
      <c r="F96" s="6">
        <f>IFERROR(__xludf.DUMMYFUNCTION("""COMPUTED_VALUE"""),1321876.0)</f>
        <v>1321876</v>
      </c>
    </row>
    <row r="97">
      <c r="A97" s="7">
        <f>IFERROR(__xludf.DUMMYFUNCTION("""COMPUTED_VALUE"""),45870.64583333333)</f>
        <v>45870.64583</v>
      </c>
      <c r="B97" s="6">
        <f>IFERROR(__xludf.DUMMYFUNCTION("""COMPUTED_VALUE"""),5090.0)</f>
        <v>5090</v>
      </c>
      <c r="C97" s="6">
        <f>IFERROR(__xludf.DUMMYFUNCTION("""COMPUTED_VALUE"""),5150.0)</f>
        <v>5150</v>
      </c>
      <c r="D97" s="6">
        <f>IFERROR(__xludf.DUMMYFUNCTION("""COMPUTED_VALUE"""),5006.0)</f>
        <v>5006</v>
      </c>
      <c r="E97" s="6">
        <f>IFERROR(__xludf.DUMMYFUNCTION("""COMPUTED_VALUE"""),5017.5)</f>
        <v>5017.5</v>
      </c>
      <c r="F97" s="6">
        <f>IFERROR(__xludf.DUMMYFUNCTION("""COMPUTED_VALUE"""),953226.0)</f>
        <v>953226</v>
      </c>
    </row>
    <row r="98">
      <c r="A98" s="7">
        <f>IFERROR(__xludf.DUMMYFUNCTION("""COMPUTED_VALUE"""),45877.64583333333)</f>
        <v>45877.64583</v>
      </c>
      <c r="B98" s="6">
        <f>IFERROR(__xludf.DUMMYFUNCTION("""COMPUTED_VALUE"""),5014.5)</f>
        <v>5014.5</v>
      </c>
      <c r="C98" s="6">
        <f>IFERROR(__xludf.DUMMYFUNCTION("""COMPUTED_VALUE"""),5149.5)</f>
        <v>5149.5</v>
      </c>
      <c r="D98" s="6">
        <f>IFERROR(__xludf.DUMMYFUNCTION("""COMPUTED_VALUE"""),4939.5)</f>
        <v>4939.5</v>
      </c>
      <c r="E98" s="6">
        <f>IFERROR(__xludf.DUMMYFUNCTION("""COMPUTED_VALUE"""),5012.0)</f>
        <v>5012</v>
      </c>
      <c r="F98" s="6">
        <f>IFERROR(__xludf.DUMMYFUNCTION("""COMPUTED_VALUE"""),1009217.0)</f>
        <v>1009217</v>
      </c>
    </row>
    <row r="99">
      <c r="A99" s="7">
        <f>IFERROR(__xludf.DUMMYFUNCTION("""COMPUTED_VALUE"""),45883.64583333333)</f>
        <v>45883.64583</v>
      </c>
      <c r="B99" s="6">
        <f>IFERROR(__xludf.DUMMYFUNCTION("""COMPUTED_VALUE"""),5012.0)</f>
        <v>5012</v>
      </c>
      <c r="C99" s="6">
        <f>IFERROR(__xludf.DUMMYFUNCTION("""COMPUTED_VALUE"""),5272.0)</f>
        <v>5272</v>
      </c>
      <c r="D99" s="6">
        <f>IFERROR(__xludf.DUMMYFUNCTION("""COMPUTED_VALUE"""),4987.0)</f>
        <v>4987</v>
      </c>
      <c r="E99" s="6">
        <f>IFERROR(__xludf.DUMMYFUNCTION("""COMPUTED_VALUE"""),5108.0)</f>
        <v>5108</v>
      </c>
      <c r="F99" s="6">
        <f>IFERROR(__xludf.DUMMYFUNCTION("""COMPUTED_VALUE"""),967855.0)</f>
        <v>967855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IFERROR(__xludf.DUMMYFUNCTION("""COMPUTED_VALUE"""),5149.0)</f>
        <v>5149</v>
      </c>
      <c r="C100" s="6">
        <f>IFERROR(__xludf.DUMMYFUNCTION("""COMPUTED_VALUE"""),5257.5)</f>
        <v>5257.5</v>
      </c>
      <c r="D100" s="6">
        <f>IFERROR(__xludf.DUMMYFUNCTION("""COMPUTED_VALUE"""),5024.5)</f>
        <v>5024.5</v>
      </c>
      <c r="E100" s="6">
        <f>IFERROR(__xludf.DUMMYFUNCTION("""COMPUTED_VALUE"""),5224.5)</f>
        <v>5224.5</v>
      </c>
      <c r="F100" s="6">
        <f>IFERROR(__xludf.DUMMYFUNCTION("""COMPUTED_VALUE"""),993333.0)</f>
        <v>993333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IFERROR(__xludf.DUMMYFUNCTION("""COMPUTED_VALUE"""),5253.0)</f>
        <v>5253</v>
      </c>
      <c r="C101" s="6">
        <f>IFERROR(__xludf.DUMMYFUNCTION("""COMPUTED_VALUE"""),5350.0)</f>
        <v>5350</v>
      </c>
      <c r="D101" s="6">
        <f>IFERROR(__xludf.DUMMYFUNCTION("""COMPUTED_VALUE"""),5146.0)</f>
        <v>5146</v>
      </c>
      <c r="E101" s="6">
        <f>IFERROR(__xludf.DUMMYFUNCTION("""COMPUTED_VALUE"""),5165.5)</f>
        <v>5165.5</v>
      </c>
      <c r="F101" s="6">
        <f>IFERROR(__xludf.DUMMYFUNCTION("""COMPUTED_VALUE"""),3723454.0)</f>
        <v>3723454</v>
      </c>
    </row>
  </sheetData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IFERROR(__xludf.DUMMYFUNCTION("GOOGLEFINANCE(""NSE:LUPIN"",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IFERROR(__xludf.DUMMYFUNCTION("""COMPUTED_VALUE"""),1078.05)</f>
        <v>1078.05</v>
      </c>
      <c r="C2" s="6">
        <f>IFERROR(__xludf.DUMMYFUNCTION("""COMPUTED_VALUE"""),1116.95)</f>
        <v>1116.95</v>
      </c>
      <c r="D2" s="6">
        <f>IFERROR(__xludf.DUMMYFUNCTION("""COMPUTED_VALUE"""),1075.25)</f>
        <v>1075.25</v>
      </c>
      <c r="E2" s="6">
        <f>IFERROR(__xludf.DUMMYFUNCTION("""COMPUTED_VALUE"""),1093.85)</f>
        <v>1093.85</v>
      </c>
      <c r="F2" s="6">
        <f>IFERROR(__xludf.DUMMYFUNCTION("""COMPUTED_VALUE"""),4067642.0)</f>
        <v>4067642</v>
      </c>
    </row>
    <row r="3">
      <c r="A3" s="7">
        <f>IFERROR(__xludf.DUMMYFUNCTION("""COMPUTED_VALUE"""),45177.64583333333)</f>
        <v>45177.64583</v>
      </c>
      <c r="B3" s="6">
        <f>IFERROR(__xludf.DUMMYFUNCTION("""COMPUTED_VALUE"""),1095.0)</f>
        <v>1095</v>
      </c>
      <c r="C3" s="6">
        <f>IFERROR(__xludf.DUMMYFUNCTION("""COMPUTED_VALUE"""),1148.75)</f>
        <v>1148.75</v>
      </c>
      <c r="D3" s="6">
        <f>IFERROR(__xludf.DUMMYFUNCTION("""COMPUTED_VALUE"""),1093.25)</f>
        <v>1093.25</v>
      </c>
      <c r="E3" s="6">
        <f>IFERROR(__xludf.DUMMYFUNCTION("""COMPUTED_VALUE"""),1128.6)</f>
        <v>1128.6</v>
      </c>
      <c r="F3" s="6">
        <f>IFERROR(__xludf.DUMMYFUNCTION("""COMPUTED_VALUE"""),5354971.0)</f>
        <v>5354971</v>
      </c>
    </row>
    <row r="4">
      <c r="A4" s="7">
        <f>IFERROR(__xludf.DUMMYFUNCTION("""COMPUTED_VALUE"""),45184.64583333333)</f>
        <v>45184.64583</v>
      </c>
      <c r="B4" s="6">
        <f>IFERROR(__xludf.DUMMYFUNCTION("""COMPUTED_VALUE"""),1129.45)</f>
        <v>1129.45</v>
      </c>
      <c r="C4" s="6">
        <f>IFERROR(__xludf.DUMMYFUNCTION("""COMPUTED_VALUE"""),1174.5)</f>
        <v>1174.5</v>
      </c>
      <c r="D4" s="6">
        <f>IFERROR(__xludf.DUMMYFUNCTION("""COMPUTED_VALUE"""),1121.95)</f>
        <v>1121.95</v>
      </c>
      <c r="E4" s="6">
        <f>IFERROR(__xludf.DUMMYFUNCTION("""COMPUTED_VALUE"""),1150.7)</f>
        <v>1150.7</v>
      </c>
      <c r="F4" s="6">
        <f>IFERROR(__xludf.DUMMYFUNCTION("""COMPUTED_VALUE"""),6494976.0)</f>
        <v>6494976</v>
      </c>
    </row>
    <row r="5">
      <c r="A5" s="7">
        <f>IFERROR(__xludf.DUMMYFUNCTION("""COMPUTED_VALUE"""),45191.64583333333)</f>
        <v>45191.64583</v>
      </c>
      <c r="B5" s="6">
        <f>IFERROR(__xludf.DUMMYFUNCTION("""COMPUTED_VALUE"""),1145.5)</f>
        <v>1145.5</v>
      </c>
      <c r="C5" s="6">
        <f>IFERROR(__xludf.DUMMYFUNCTION("""COMPUTED_VALUE"""),1158.0)</f>
        <v>1158</v>
      </c>
      <c r="D5" s="6">
        <f>IFERROR(__xludf.DUMMYFUNCTION("""COMPUTED_VALUE"""),1091.5)</f>
        <v>1091.5</v>
      </c>
      <c r="E5" s="6">
        <f>IFERROR(__xludf.DUMMYFUNCTION("""COMPUTED_VALUE"""),1097.45)</f>
        <v>1097.45</v>
      </c>
      <c r="F5" s="6">
        <f>IFERROR(__xludf.DUMMYFUNCTION("""COMPUTED_VALUE"""),3704338.0)</f>
        <v>3704338</v>
      </c>
    </row>
    <row r="6">
      <c r="A6" s="7">
        <f>IFERROR(__xludf.DUMMYFUNCTION("""COMPUTED_VALUE"""),45198.64583333333)</f>
        <v>45198.64583</v>
      </c>
      <c r="B6" s="6">
        <f>IFERROR(__xludf.DUMMYFUNCTION("""COMPUTED_VALUE"""),1099.0)</f>
        <v>1099</v>
      </c>
      <c r="C6" s="6">
        <f>IFERROR(__xludf.DUMMYFUNCTION("""COMPUTED_VALUE"""),1184.7)</f>
        <v>1184.7</v>
      </c>
      <c r="D6" s="6">
        <f>IFERROR(__xludf.DUMMYFUNCTION("""COMPUTED_VALUE"""),1093.85)</f>
        <v>1093.85</v>
      </c>
      <c r="E6" s="6">
        <f>IFERROR(__xludf.DUMMYFUNCTION("""COMPUTED_VALUE"""),1171.25)</f>
        <v>1171.25</v>
      </c>
      <c r="F6" s="6">
        <f>IFERROR(__xludf.DUMMYFUNCTION("""COMPUTED_VALUE"""),4258501.0)</f>
        <v>4258501</v>
      </c>
    </row>
    <row r="7">
      <c r="A7" s="7">
        <f>IFERROR(__xludf.DUMMYFUNCTION("""COMPUTED_VALUE"""),45205.64583333333)</f>
        <v>45205.64583</v>
      </c>
      <c r="B7" s="6">
        <f>IFERROR(__xludf.DUMMYFUNCTION("""COMPUTED_VALUE"""),1171.0)</f>
        <v>1171</v>
      </c>
      <c r="C7" s="6">
        <f>IFERROR(__xludf.DUMMYFUNCTION("""COMPUTED_VALUE"""),1181.45)</f>
        <v>1181.45</v>
      </c>
      <c r="D7" s="6">
        <f>IFERROR(__xludf.DUMMYFUNCTION("""COMPUTED_VALUE"""),1142.05)</f>
        <v>1142.05</v>
      </c>
      <c r="E7" s="6">
        <f>IFERROR(__xludf.DUMMYFUNCTION("""COMPUTED_VALUE"""),1155.05)</f>
        <v>1155.05</v>
      </c>
      <c r="F7" s="6">
        <f>IFERROR(__xludf.DUMMYFUNCTION("""COMPUTED_VALUE"""),2611119.0)</f>
        <v>2611119</v>
      </c>
    </row>
    <row r="8">
      <c r="A8" s="7">
        <f>IFERROR(__xludf.DUMMYFUNCTION("""COMPUTED_VALUE"""),45212.64583333333)</f>
        <v>45212.64583</v>
      </c>
      <c r="B8" s="6">
        <f>IFERROR(__xludf.DUMMYFUNCTION("""COMPUTED_VALUE"""),1138.6)</f>
        <v>1138.6</v>
      </c>
      <c r="C8" s="6">
        <f>IFERROR(__xludf.DUMMYFUNCTION("""COMPUTED_VALUE"""),1193.0)</f>
        <v>1193</v>
      </c>
      <c r="D8" s="6">
        <f>IFERROR(__xludf.DUMMYFUNCTION("""COMPUTED_VALUE"""),1138.05)</f>
        <v>1138.05</v>
      </c>
      <c r="E8" s="6">
        <f>IFERROR(__xludf.DUMMYFUNCTION("""COMPUTED_VALUE"""),1187.9)</f>
        <v>1187.9</v>
      </c>
      <c r="F8" s="6">
        <f>IFERROR(__xludf.DUMMYFUNCTION("""COMPUTED_VALUE"""),3726657.0)</f>
        <v>3726657</v>
      </c>
    </row>
    <row r="9">
      <c r="A9" s="7">
        <f>IFERROR(__xludf.DUMMYFUNCTION("""COMPUTED_VALUE"""),45219.64583333333)</f>
        <v>45219.64583</v>
      </c>
      <c r="B9" s="6">
        <f>IFERROR(__xludf.DUMMYFUNCTION("""COMPUTED_VALUE"""),1191.65)</f>
        <v>1191.65</v>
      </c>
      <c r="C9" s="6">
        <f>IFERROR(__xludf.DUMMYFUNCTION("""COMPUTED_VALUE"""),1215.4)</f>
        <v>1215.4</v>
      </c>
      <c r="D9" s="6">
        <f>IFERROR(__xludf.DUMMYFUNCTION("""COMPUTED_VALUE"""),1173.35)</f>
        <v>1173.35</v>
      </c>
      <c r="E9" s="6">
        <f>IFERROR(__xludf.DUMMYFUNCTION("""COMPUTED_VALUE"""),1179.65)</f>
        <v>1179.65</v>
      </c>
      <c r="F9" s="6">
        <f>IFERROR(__xludf.DUMMYFUNCTION("""COMPUTED_VALUE"""),4514925.0)</f>
        <v>4514925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IFERROR(__xludf.DUMMYFUNCTION("""COMPUTED_VALUE"""),1173.1)</f>
        <v>1173.1</v>
      </c>
      <c r="C10" s="6">
        <f>IFERROR(__xludf.DUMMYFUNCTION("""COMPUTED_VALUE"""),1190.0)</f>
        <v>1190</v>
      </c>
      <c r="D10" s="6">
        <f>IFERROR(__xludf.DUMMYFUNCTION("""COMPUTED_VALUE"""),1125.05)</f>
        <v>1125.05</v>
      </c>
      <c r="E10" s="6">
        <f>IFERROR(__xludf.DUMMYFUNCTION("""COMPUTED_VALUE"""),1131.65)</f>
        <v>1131.65</v>
      </c>
      <c r="F10" s="6">
        <f>IFERROR(__xludf.DUMMYFUNCTION("""COMPUTED_VALUE"""),2310084.0)</f>
        <v>2310084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IFERROR(__xludf.DUMMYFUNCTION("""COMPUTED_VALUE"""),1139.0)</f>
        <v>1139</v>
      </c>
      <c r="C11" s="6">
        <f>IFERROR(__xludf.DUMMYFUNCTION("""COMPUTED_VALUE"""),1202.55)</f>
        <v>1202.55</v>
      </c>
      <c r="D11" s="6">
        <f>IFERROR(__xludf.DUMMYFUNCTION("""COMPUTED_VALUE"""),1123.0)</f>
        <v>1123</v>
      </c>
      <c r="E11" s="6">
        <f>IFERROR(__xludf.DUMMYFUNCTION("""COMPUTED_VALUE"""),1186.55)</f>
        <v>1186.55</v>
      </c>
      <c r="F11" s="6">
        <f>IFERROR(__xludf.DUMMYFUNCTION("""COMPUTED_VALUE"""),7045501.0)</f>
        <v>7045501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IFERROR(__xludf.DUMMYFUNCTION("""COMPUTED_VALUE"""),1194.0)</f>
        <v>1194</v>
      </c>
      <c r="C12" s="6">
        <f>IFERROR(__xludf.DUMMYFUNCTION("""COMPUTED_VALUE"""),1238.45)</f>
        <v>1238.45</v>
      </c>
      <c r="D12" s="6">
        <f>IFERROR(__xludf.DUMMYFUNCTION("""COMPUTED_VALUE"""),1173.0)</f>
        <v>1173</v>
      </c>
      <c r="E12" s="6">
        <f>IFERROR(__xludf.DUMMYFUNCTION("""COMPUTED_VALUE"""),1180.15)</f>
        <v>1180.15</v>
      </c>
      <c r="F12" s="6">
        <f>IFERROR(__xludf.DUMMYFUNCTION("""COMPUTED_VALUE"""),1.0549933E7)</f>
        <v>10549933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IFERROR(__xludf.DUMMYFUNCTION("""COMPUTED_VALUE"""),1184.95)</f>
        <v>1184.95</v>
      </c>
      <c r="C13" s="6">
        <f>IFERROR(__xludf.DUMMYFUNCTION("""COMPUTED_VALUE"""),1211.4)</f>
        <v>1211.4</v>
      </c>
      <c r="D13" s="6">
        <f>IFERROR(__xludf.DUMMYFUNCTION("""COMPUTED_VALUE"""),1153.55)</f>
        <v>1153.55</v>
      </c>
      <c r="E13" s="6">
        <f>IFERROR(__xludf.DUMMYFUNCTION("""COMPUTED_VALUE"""),1196.3)</f>
        <v>1196.3</v>
      </c>
      <c r="F13" s="6">
        <f>IFERROR(__xludf.DUMMYFUNCTION("""COMPUTED_VALUE"""),4915126.0)</f>
        <v>4915126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IFERROR(__xludf.DUMMYFUNCTION("""COMPUTED_VALUE"""),1196.3)</f>
        <v>1196.3</v>
      </c>
      <c r="C14" s="6">
        <f>IFERROR(__xludf.DUMMYFUNCTION("""COMPUTED_VALUE"""),1245.0)</f>
        <v>1245</v>
      </c>
      <c r="D14" s="6">
        <f>IFERROR(__xludf.DUMMYFUNCTION("""COMPUTED_VALUE"""),1183.55)</f>
        <v>1183.55</v>
      </c>
      <c r="E14" s="6">
        <f>IFERROR(__xludf.DUMMYFUNCTION("""COMPUTED_VALUE"""),1243.2)</f>
        <v>1243.2</v>
      </c>
      <c r="F14" s="6">
        <f>IFERROR(__xludf.DUMMYFUNCTION("""COMPUTED_VALUE"""),8169875.0)</f>
        <v>8169875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IFERROR(__xludf.DUMMYFUNCTION("""COMPUTED_VALUE"""),1243.3)</f>
        <v>1243.3</v>
      </c>
      <c r="C15" s="6">
        <f>IFERROR(__xludf.DUMMYFUNCTION("""COMPUTED_VALUE"""),1305.2)</f>
        <v>1305.2</v>
      </c>
      <c r="D15" s="6">
        <f>IFERROR(__xludf.DUMMYFUNCTION("""COMPUTED_VALUE"""),1235.75)</f>
        <v>1235.75</v>
      </c>
      <c r="E15" s="6">
        <f>IFERROR(__xludf.DUMMYFUNCTION("""COMPUTED_VALUE"""),1296.65)</f>
        <v>1296.65</v>
      </c>
      <c r="F15" s="6">
        <f>IFERROR(__xludf.DUMMYFUNCTION("""COMPUTED_VALUE"""),5802474.0)</f>
        <v>5802474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IFERROR(__xludf.DUMMYFUNCTION("""COMPUTED_VALUE"""),1308.95)</f>
        <v>1308.95</v>
      </c>
      <c r="C16" s="6">
        <f>IFERROR(__xludf.DUMMYFUNCTION("""COMPUTED_VALUE"""),1308.95)</f>
        <v>1308.95</v>
      </c>
      <c r="D16" s="6">
        <f>IFERROR(__xludf.DUMMYFUNCTION("""COMPUTED_VALUE"""),1230.6)</f>
        <v>1230.6</v>
      </c>
      <c r="E16" s="6">
        <f>IFERROR(__xludf.DUMMYFUNCTION("""COMPUTED_VALUE"""),1239.35)</f>
        <v>1239.35</v>
      </c>
      <c r="F16" s="6">
        <f>IFERROR(__xludf.DUMMYFUNCTION("""COMPUTED_VALUE"""),6438814.0)</f>
        <v>6438814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IFERROR(__xludf.DUMMYFUNCTION("""COMPUTED_VALUE"""),1239.5)</f>
        <v>1239.5</v>
      </c>
      <c r="C17" s="6">
        <f>IFERROR(__xludf.DUMMYFUNCTION("""COMPUTED_VALUE"""),1265.15)</f>
        <v>1265.15</v>
      </c>
      <c r="D17" s="6">
        <f>IFERROR(__xludf.DUMMYFUNCTION("""COMPUTED_VALUE"""),1224.05)</f>
        <v>1224.05</v>
      </c>
      <c r="E17" s="6">
        <f>IFERROR(__xludf.DUMMYFUNCTION("""COMPUTED_VALUE"""),1246.1)</f>
        <v>1246.1</v>
      </c>
      <c r="F17" s="6">
        <f>IFERROR(__xludf.DUMMYFUNCTION("""COMPUTED_VALUE"""),4060240.0)</f>
        <v>4060240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IFERROR(__xludf.DUMMYFUNCTION("""COMPUTED_VALUE"""),1265.0)</f>
        <v>1265</v>
      </c>
      <c r="C18" s="6">
        <f>IFERROR(__xludf.DUMMYFUNCTION("""COMPUTED_VALUE"""),1288.15)</f>
        <v>1288.15</v>
      </c>
      <c r="D18" s="6">
        <f>IFERROR(__xludf.DUMMYFUNCTION("""COMPUTED_VALUE"""),1200.15)</f>
        <v>1200.15</v>
      </c>
      <c r="E18" s="6">
        <f>IFERROR(__xludf.DUMMYFUNCTION("""COMPUTED_VALUE"""),1265.1)</f>
        <v>1265.1</v>
      </c>
      <c r="F18" s="6">
        <f>IFERROR(__xludf.DUMMYFUNCTION("""COMPUTED_VALUE"""),4898962.0)</f>
        <v>4898962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IFERROR(__xludf.DUMMYFUNCTION("""COMPUTED_VALUE"""),1268.8)</f>
        <v>1268.8</v>
      </c>
      <c r="C19" s="6">
        <f>IFERROR(__xludf.DUMMYFUNCTION("""COMPUTED_VALUE"""),1346.85)</f>
        <v>1346.85</v>
      </c>
      <c r="D19" s="6">
        <f>IFERROR(__xludf.DUMMYFUNCTION("""COMPUTED_VALUE"""),1266.1)</f>
        <v>1266.1</v>
      </c>
      <c r="E19" s="6">
        <f>IFERROR(__xludf.DUMMYFUNCTION("""COMPUTED_VALUE"""),1322.95)</f>
        <v>1322.95</v>
      </c>
      <c r="F19" s="6">
        <f>IFERROR(__xludf.DUMMYFUNCTION("""COMPUTED_VALUE"""),6724380.0)</f>
        <v>6724380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IFERROR(__xludf.DUMMYFUNCTION("""COMPUTED_VALUE"""),1324.0)</f>
        <v>1324</v>
      </c>
      <c r="C20" s="6">
        <f>IFERROR(__xludf.DUMMYFUNCTION("""COMPUTED_VALUE"""),1425.0)</f>
        <v>1425</v>
      </c>
      <c r="D20" s="6">
        <f>IFERROR(__xludf.DUMMYFUNCTION("""COMPUTED_VALUE"""),1308.65)</f>
        <v>1308.65</v>
      </c>
      <c r="E20" s="6">
        <f>IFERROR(__xludf.DUMMYFUNCTION("""COMPUTED_VALUE"""),1389.45)</f>
        <v>1389.45</v>
      </c>
      <c r="F20" s="6">
        <f>IFERROR(__xludf.DUMMYFUNCTION("""COMPUTED_VALUE"""),1.2766742E7)</f>
        <v>12766742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IFERROR(__xludf.DUMMYFUNCTION("""COMPUTED_VALUE"""),1400.95)</f>
        <v>1400.95</v>
      </c>
      <c r="C21" s="6">
        <f>IFERROR(__xludf.DUMMYFUNCTION("""COMPUTED_VALUE"""),1415.0)</f>
        <v>1415</v>
      </c>
      <c r="D21" s="6">
        <f>IFERROR(__xludf.DUMMYFUNCTION("""COMPUTED_VALUE"""),1375.0)</f>
        <v>1375</v>
      </c>
      <c r="E21" s="6">
        <f>IFERROR(__xludf.DUMMYFUNCTION("""COMPUTED_VALUE"""),1397.75)</f>
        <v>1397.75</v>
      </c>
      <c r="F21" s="6">
        <f>IFERROR(__xludf.DUMMYFUNCTION("""COMPUTED_VALUE"""),3399813.0)</f>
        <v>3399813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IFERROR(__xludf.DUMMYFUNCTION("""COMPUTED_VALUE"""),1420.0)</f>
        <v>1420</v>
      </c>
      <c r="C22" s="6">
        <f>IFERROR(__xludf.DUMMYFUNCTION("""COMPUTED_VALUE"""),1469.8)</f>
        <v>1469.8</v>
      </c>
      <c r="D22" s="6">
        <f>IFERROR(__xludf.DUMMYFUNCTION("""COMPUTED_VALUE"""),1414.0)</f>
        <v>1414</v>
      </c>
      <c r="E22" s="6">
        <f>IFERROR(__xludf.DUMMYFUNCTION("""COMPUTED_VALUE"""),1454.05)</f>
        <v>1454.05</v>
      </c>
      <c r="F22" s="6">
        <f>IFERROR(__xludf.DUMMYFUNCTION("""COMPUTED_VALUE"""),3742522.0)</f>
        <v>3742522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IFERROR(__xludf.DUMMYFUNCTION("""COMPUTED_VALUE"""),1454.05)</f>
        <v>1454.05</v>
      </c>
      <c r="C23" s="6">
        <f>IFERROR(__xludf.DUMMYFUNCTION("""COMPUTED_VALUE"""),1521.35)</f>
        <v>1521.35</v>
      </c>
      <c r="D23" s="6">
        <f>IFERROR(__xludf.DUMMYFUNCTION("""COMPUTED_VALUE"""),1436.35)</f>
        <v>1436.35</v>
      </c>
      <c r="E23" s="6">
        <f>IFERROR(__xludf.DUMMYFUNCTION("""COMPUTED_VALUE"""),1502.75)</f>
        <v>1502.75</v>
      </c>
      <c r="F23" s="6">
        <f>IFERROR(__xludf.DUMMYFUNCTION("""COMPUTED_VALUE"""),4472000.0)</f>
        <v>4472000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IFERROR(__xludf.DUMMYFUNCTION("""COMPUTED_VALUE"""),1502.75)</f>
        <v>1502.75</v>
      </c>
      <c r="C24" s="6">
        <f>IFERROR(__xludf.DUMMYFUNCTION("""COMPUTED_VALUE"""),1700.0)</f>
        <v>1700</v>
      </c>
      <c r="D24" s="6">
        <f>IFERROR(__xludf.DUMMYFUNCTION("""COMPUTED_VALUE"""),1498.1)</f>
        <v>1498.1</v>
      </c>
      <c r="E24" s="6">
        <f>IFERROR(__xludf.DUMMYFUNCTION("""COMPUTED_VALUE"""),1622.1)</f>
        <v>1622.1</v>
      </c>
      <c r="F24" s="6">
        <f>IFERROR(__xludf.DUMMYFUNCTION("""COMPUTED_VALUE"""),1.3967945E7)</f>
        <v>13967945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IFERROR(__xludf.DUMMYFUNCTION("""COMPUTED_VALUE"""),1601.0)</f>
        <v>1601</v>
      </c>
      <c r="C25" s="6">
        <f>IFERROR(__xludf.DUMMYFUNCTION("""COMPUTED_VALUE"""),1638.8)</f>
        <v>1638.8</v>
      </c>
      <c r="D25" s="6">
        <f>IFERROR(__xludf.DUMMYFUNCTION("""COMPUTED_VALUE"""),1583.85)</f>
        <v>1583.85</v>
      </c>
      <c r="E25" s="6">
        <f>IFERROR(__xludf.DUMMYFUNCTION("""COMPUTED_VALUE"""),1620.65)</f>
        <v>1620.65</v>
      </c>
      <c r="F25" s="6">
        <f>IFERROR(__xludf.DUMMYFUNCTION("""COMPUTED_VALUE"""),6203103.0)</f>
        <v>6203103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IFERROR(__xludf.DUMMYFUNCTION("""COMPUTED_VALUE"""),1634.8)</f>
        <v>1634.8</v>
      </c>
      <c r="C26" s="6">
        <f>IFERROR(__xludf.DUMMYFUNCTION("""COMPUTED_VALUE"""),1634.8)</f>
        <v>1634.8</v>
      </c>
      <c r="D26" s="6">
        <f>IFERROR(__xludf.DUMMYFUNCTION("""COMPUTED_VALUE"""),1553.3)</f>
        <v>1553.3</v>
      </c>
      <c r="E26" s="6">
        <f>IFERROR(__xludf.DUMMYFUNCTION("""COMPUTED_VALUE"""),1614.95)</f>
        <v>1614.95</v>
      </c>
      <c r="F26" s="6">
        <f>IFERROR(__xludf.DUMMYFUNCTION("""COMPUTED_VALUE"""),6040522.0)</f>
        <v>6040522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IFERROR(__xludf.DUMMYFUNCTION("""COMPUTED_VALUE"""),1637.95)</f>
        <v>1637.95</v>
      </c>
      <c r="C27" s="6">
        <f>IFERROR(__xludf.DUMMYFUNCTION("""COMPUTED_VALUE"""),1700.0)</f>
        <v>1700</v>
      </c>
      <c r="D27" s="6">
        <f>IFERROR(__xludf.DUMMYFUNCTION("""COMPUTED_VALUE"""),1634.4)</f>
        <v>1634.4</v>
      </c>
      <c r="E27" s="6">
        <f>IFERROR(__xludf.DUMMYFUNCTION("""COMPUTED_VALUE"""),1669.75)</f>
        <v>1669.75</v>
      </c>
      <c r="F27" s="6">
        <f>IFERROR(__xludf.DUMMYFUNCTION("""COMPUTED_VALUE"""),4303039.0)</f>
        <v>4303039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IFERROR(__xludf.DUMMYFUNCTION("""COMPUTED_VALUE"""),1680.95)</f>
        <v>1680.95</v>
      </c>
      <c r="C28" s="6">
        <f>IFERROR(__xludf.DUMMYFUNCTION("""COMPUTED_VALUE"""),1704.25)</f>
        <v>1704.25</v>
      </c>
      <c r="D28" s="6">
        <f>IFERROR(__xludf.DUMMYFUNCTION("""COMPUTED_VALUE"""),1589.55)</f>
        <v>1589.55</v>
      </c>
      <c r="E28" s="6">
        <f>IFERROR(__xludf.DUMMYFUNCTION("""COMPUTED_VALUE"""),1636.8)</f>
        <v>1636.8</v>
      </c>
      <c r="F28" s="6">
        <f>IFERROR(__xludf.DUMMYFUNCTION("""COMPUTED_VALUE"""),4586622.0)</f>
        <v>4586622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IFERROR(__xludf.DUMMYFUNCTION("""COMPUTED_VALUE"""),1624.0)</f>
        <v>1624</v>
      </c>
      <c r="C29" s="6">
        <f>IFERROR(__xludf.DUMMYFUNCTION("""COMPUTED_VALUE"""),1641.25)</f>
        <v>1641.25</v>
      </c>
      <c r="D29" s="6">
        <f>IFERROR(__xludf.DUMMYFUNCTION("""COMPUTED_VALUE"""),1551.6)</f>
        <v>1551.6</v>
      </c>
      <c r="E29" s="6">
        <f>IFERROR(__xludf.DUMMYFUNCTION("""COMPUTED_VALUE"""),1608.25)</f>
        <v>1608.25</v>
      </c>
      <c r="F29" s="6">
        <f>IFERROR(__xludf.DUMMYFUNCTION("""COMPUTED_VALUE"""),3642303.0)</f>
        <v>3642303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IFERROR(__xludf.DUMMYFUNCTION("""COMPUTED_VALUE"""),1611.45)</f>
        <v>1611.45</v>
      </c>
      <c r="C30" s="6">
        <f>IFERROR(__xludf.DUMMYFUNCTION("""COMPUTED_VALUE"""),1629.95)</f>
        <v>1629.95</v>
      </c>
      <c r="D30" s="6">
        <f>IFERROR(__xludf.DUMMYFUNCTION("""COMPUTED_VALUE"""),1592.0)</f>
        <v>1592</v>
      </c>
      <c r="E30" s="6">
        <f>IFERROR(__xludf.DUMMYFUNCTION("""COMPUTED_VALUE"""),1616.8)</f>
        <v>1616.8</v>
      </c>
      <c r="F30" s="6">
        <f>IFERROR(__xludf.DUMMYFUNCTION("""COMPUTED_VALUE"""),2362529.0)</f>
        <v>2362529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IFERROR(__xludf.DUMMYFUNCTION("""COMPUTED_VALUE"""),1650.0)</f>
        <v>1650</v>
      </c>
      <c r="C31" s="6">
        <f>IFERROR(__xludf.DUMMYFUNCTION("""COMPUTED_VALUE"""),1684.75)</f>
        <v>1684.75</v>
      </c>
      <c r="D31" s="6">
        <f>IFERROR(__xludf.DUMMYFUNCTION("""COMPUTED_VALUE"""),1583.45)</f>
        <v>1583.45</v>
      </c>
      <c r="E31" s="6">
        <f>IFERROR(__xludf.DUMMYFUNCTION("""COMPUTED_VALUE"""),1599.25)</f>
        <v>1599.25</v>
      </c>
      <c r="F31" s="6">
        <f>IFERROR(__xludf.DUMMYFUNCTION("""COMPUTED_VALUE"""),4304726.0)</f>
        <v>4304726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IFERROR(__xludf.DUMMYFUNCTION("""COMPUTED_VALUE"""),1619.0)</f>
        <v>1619</v>
      </c>
      <c r="C32" s="6">
        <f>IFERROR(__xludf.DUMMYFUNCTION("""COMPUTED_VALUE"""),1643.3)</f>
        <v>1643.3</v>
      </c>
      <c r="D32" s="6">
        <f>IFERROR(__xludf.DUMMYFUNCTION("""COMPUTED_VALUE"""),1585.05)</f>
        <v>1585.05</v>
      </c>
      <c r="E32" s="6">
        <f>IFERROR(__xludf.DUMMYFUNCTION("""COMPUTED_VALUE"""),1622.25)</f>
        <v>1622.25</v>
      </c>
      <c r="F32" s="6">
        <f>IFERROR(__xludf.DUMMYFUNCTION("""COMPUTED_VALUE"""),4633299.0)</f>
        <v>4633299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IFERROR(__xludf.DUMMYFUNCTION("""COMPUTED_VALUE"""),1617.75)</f>
        <v>1617.75</v>
      </c>
      <c r="C33" s="6">
        <f>IFERROR(__xludf.DUMMYFUNCTION("""COMPUTED_VALUE"""),1640.95)</f>
        <v>1640.95</v>
      </c>
      <c r="D33" s="6">
        <f>IFERROR(__xludf.DUMMYFUNCTION("""COMPUTED_VALUE"""),1541.0)</f>
        <v>1541</v>
      </c>
      <c r="E33" s="6">
        <f>IFERROR(__xludf.DUMMYFUNCTION("""COMPUTED_VALUE"""),1547.55)</f>
        <v>1547.55</v>
      </c>
      <c r="F33" s="6">
        <f>IFERROR(__xludf.DUMMYFUNCTION("""COMPUTED_VALUE"""),4081637.0)</f>
        <v>4081637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IFERROR(__xludf.DUMMYFUNCTION("""COMPUTED_VALUE"""),1586.3)</f>
        <v>1586.3</v>
      </c>
      <c r="C34" s="6">
        <f>IFERROR(__xludf.DUMMYFUNCTION("""COMPUTED_VALUE"""),1624.0)</f>
        <v>1624</v>
      </c>
      <c r="D34" s="6">
        <f>IFERROR(__xludf.DUMMYFUNCTION("""COMPUTED_VALUE"""),1559.15)</f>
        <v>1559.15</v>
      </c>
      <c r="E34" s="6">
        <f>IFERROR(__xludf.DUMMYFUNCTION("""COMPUTED_VALUE"""),1615.95)</f>
        <v>1615.95</v>
      </c>
      <c r="F34" s="6">
        <f>IFERROR(__xludf.DUMMYFUNCTION("""COMPUTED_VALUE"""),5304582.0)</f>
        <v>5304582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IFERROR(__xludf.DUMMYFUNCTION("""COMPUTED_VALUE"""),1625.0)</f>
        <v>1625</v>
      </c>
      <c r="C35" s="6">
        <f>IFERROR(__xludf.DUMMYFUNCTION("""COMPUTED_VALUE"""),1683.0)</f>
        <v>1683</v>
      </c>
      <c r="D35" s="6">
        <f>IFERROR(__xludf.DUMMYFUNCTION("""COMPUTED_VALUE"""),1612.45)</f>
        <v>1612.45</v>
      </c>
      <c r="E35" s="6">
        <f>IFERROR(__xludf.DUMMYFUNCTION("""COMPUTED_VALUE"""),1654.75)</f>
        <v>1654.75</v>
      </c>
      <c r="F35" s="6">
        <f>IFERROR(__xludf.DUMMYFUNCTION("""COMPUTED_VALUE"""),3818251.0)</f>
        <v>3818251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IFERROR(__xludf.DUMMYFUNCTION("""COMPUTED_VALUE"""),1667.9)</f>
        <v>1667.9</v>
      </c>
      <c r="C36" s="6">
        <f>IFERROR(__xludf.DUMMYFUNCTION("""COMPUTED_VALUE"""),1687.0)</f>
        <v>1687</v>
      </c>
      <c r="D36" s="6">
        <f>IFERROR(__xludf.DUMMYFUNCTION("""COMPUTED_VALUE"""),1560.0)</f>
        <v>1560</v>
      </c>
      <c r="E36" s="6">
        <f>IFERROR(__xludf.DUMMYFUNCTION("""COMPUTED_VALUE"""),1608.55)</f>
        <v>1608.55</v>
      </c>
      <c r="F36" s="6">
        <f>IFERROR(__xludf.DUMMYFUNCTION("""COMPUTED_VALUE"""),1.0086005E7)</f>
        <v>10086005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IFERROR(__xludf.DUMMYFUNCTION("""COMPUTED_VALUE"""),1632.35)</f>
        <v>1632.35</v>
      </c>
      <c r="C37" s="6">
        <f>IFERROR(__xludf.DUMMYFUNCTION("""COMPUTED_VALUE"""),1728.0)</f>
        <v>1728</v>
      </c>
      <c r="D37" s="6">
        <f>IFERROR(__xludf.DUMMYFUNCTION("""COMPUTED_VALUE"""),1591.15)</f>
        <v>1591.15</v>
      </c>
      <c r="E37" s="6">
        <f>IFERROR(__xludf.DUMMYFUNCTION("""COMPUTED_VALUE"""),1614.35)</f>
        <v>1614.35</v>
      </c>
      <c r="F37" s="6">
        <f>IFERROR(__xludf.DUMMYFUNCTION("""COMPUTED_VALUE"""),8306663.0)</f>
        <v>8306663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IFERROR(__xludf.DUMMYFUNCTION("""COMPUTED_VALUE"""),1628.45)</f>
        <v>1628.45</v>
      </c>
      <c r="C38" s="6">
        <f>IFERROR(__xludf.DUMMYFUNCTION("""COMPUTED_VALUE"""),1648.6)</f>
        <v>1648.6</v>
      </c>
      <c r="D38" s="6">
        <f>IFERROR(__xludf.DUMMYFUNCTION("""COMPUTED_VALUE"""),1572.5)</f>
        <v>1572.5</v>
      </c>
      <c r="E38" s="6">
        <f>IFERROR(__xludf.DUMMYFUNCTION("""COMPUTED_VALUE"""),1582.55)</f>
        <v>1582.55</v>
      </c>
      <c r="F38" s="6">
        <f>IFERROR(__xludf.DUMMYFUNCTION("""COMPUTED_VALUE"""),6890363.0)</f>
        <v>6890363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IFERROR(__xludf.DUMMYFUNCTION("""COMPUTED_VALUE"""),1614.85)</f>
        <v>1614.85</v>
      </c>
      <c r="C39" s="6">
        <f>IFERROR(__xludf.DUMMYFUNCTION("""COMPUTED_VALUE"""),1651.0)</f>
        <v>1651</v>
      </c>
      <c r="D39" s="6">
        <f>IFERROR(__xludf.DUMMYFUNCTION("""COMPUTED_VALUE"""),1493.3)</f>
        <v>1493.3</v>
      </c>
      <c r="E39" s="6">
        <f>IFERROR(__xludf.DUMMYFUNCTION("""COMPUTED_VALUE"""),1629.55)</f>
        <v>1629.55</v>
      </c>
      <c r="F39" s="6">
        <f>IFERROR(__xludf.DUMMYFUNCTION("""COMPUTED_VALUE"""),6926711.0)</f>
        <v>6926711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IFERROR(__xludf.DUMMYFUNCTION("""COMPUTED_VALUE"""),1644.0)</f>
        <v>1644</v>
      </c>
      <c r="C40" s="6">
        <f>IFERROR(__xludf.DUMMYFUNCTION("""COMPUTED_VALUE"""),1660.0)</f>
        <v>1660</v>
      </c>
      <c r="D40" s="6">
        <f>IFERROR(__xludf.DUMMYFUNCTION("""COMPUTED_VALUE"""),1596.55)</f>
        <v>1596.55</v>
      </c>
      <c r="E40" s="6">
        <f>IFERROR(__xludf.DUMMYFUNCTION("""COMPUTED_VALUE"""),1604.1)</f>
        <v>1604.1</v>
      </c>
      <c r="F40" s="6">
        <f>IFERROR(__xludf.DUMMYFUNCTION("""COMPUTED_VALUE"""),4931543.0)</f>
        <v>4931543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IFERROR(__xludf.DUMMYFUNCTION("""COMPUTED_VALUE"""),1608.95)</f>
        <v>1608.95</v>
      </c>
      <c r="C41" s="6">
        <f>IFERROR(__xludf.DUMMYFUNCTION("""COMPUTED_VALUE"""),1613.85)</f>
        <v>1613.85</v>
      </c>
      <c r="D41" s="6">
        <f>IFERROR(__xludf.DUMMYFUNCTION("""COMPUTED_VALUE"""),1543.0)</f>
        <v>1543</v>
      </c>
      <c r="E41" s="6">
        <f>IFERROR(__xludf.DUMMYFUNCTION("""COMPUTED_VALUE"""),1561.0)</f>
        <v>1561</v>
      </c>
      <c r="F41" s="6">
        <f>IFERROR(__xludf.DUMMYFUNCTION("""COMPUTED_VALUE"""),4346271.0)</f>
        <v>4346271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IFERROR(__xludf.DUMMYFUNCTION("""COMPUTED_VALUE"""),1565.95)</f>
        <v>1565.95</v>
      </c>
      <c r="C42" s="6">
        <f>IFERROR(__xludf.DUMMYFUNCTION("""COMPUTED_VALUE"""),1635.0)</f>
        <v>1635</v>
      </c>
      <c r="D42" s="6">
        <f>IFERROR(__xludf.DUMMYFUNCTION("""COMPUTED_VALUE"""),1545.0)</f>
        <v>1545</v>
      </c>
      <c r="E42" s="6">
        <f>IFERROR(__xludf.DUMMYFUNCTION("""COMPUTED_VALUE"""),1621.35)</f>
        <v>1621.35</v>
      </c>
      <c r="F42" s="6">
        <f>IFERROR(__xludf.DUMMYFUNCTION("""COMPUTED_VALUE"""),9223061.0)</f>
        <v>9223061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IFERROR(__xludf.DUMMYFUNCTION("""COMPUTED_VALUE"""),1615.05)</f>
        <v>1615.05</v>
      </c>
      <c r="C43" s="6">
        <f>IFERROR(__xludf.DUMMYFUNCTION("""COMPUTED_VALUE"""),1785.0)</f>
        <v>1785</v>
      </c>
      <c r="D43" s="6">
        <f>IFERROR(__xludf.DUMMYFUNCTION("""COMPUTED_VALUE"""),1598.25)</f>
        <v>1598.25</v>
      </c>
      <c r="E43" s="6">
        <f>IFERROR(__xludf.DUMMYFUNCTION("""COMPUTED_VALUE"""),1770.2)</f>
        <v>1770.2</v>
      </c>
      <c r="F43" s="6">
        <f>IFERROR(__xludf.DUMMYFUNCTION("""COMPUTED_VALUE"""),1.1746403E7)</f>
        <v>11746403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IFERROR(__xludf.DUMMYFUNCTION("""COMPUTED_VALUE"""),1770.2)</f>
        <v>1770.2</v>
      </c>
      <c r="C44" s="6">
        <f>IFERROR(__xludf.DUMMYFUNCTION("""COMPUTED_VALUE"""),1834.5)</f>
        <v>1834.5</v>
      </c>
      <c r="D44" s="6">
        <f>IFERROR(__xludf.DUMMYFUNCTION("""COMPUTED_VALUE"""),1760.25)</f>
        <v>1760.25</v>
      </c>
      <c r="E44" s="6">
        <f>IFERROR(__xludf.DUMMYFUNCTION("""COMPUTED_VALUE"""),1797.75)</f>
        <v>1797.75</v>
      </c>
      <c r="F44" s="6">
        <f>IFERROR(__xludf.DUMMYFUNCTION("""COMPUTED_VALUE"""),5502125.0)</f>
        <v>5502125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IFERROR(__xludf.DUMMYFUNCTION("""COMPUTED_VALUE"""),1819.95)</f>
        <v>1819.95</v>
      </c>
      <c r="C45" s="6">
        <f>IFERROR(__xludf.DUMMYFUNCTION("""COMPUTED_VALUE"""),1848.0)</f>
        <v>1848</v>
      </c>
      <c r="D45" s="6">
        <f>IFERROR(__xludf.DUMMYFUNCTION("""COMPUTED_VALUE"""),1776.6)</f>
        <v>1776.6</v>
      </c>
      <c r="E45" s="6">
        <f>IFERROR(__xludf.DUMMYFUNCTION("""COMPUTED_VALUE"""),1786.65)</f>
        <v>1786.65</v>
      </c>
      <c r="F45" s="6">
        <f>IFERROR(__xludf.DUMMYFUNCTION("""COMPUTED_VALUE"""),3240712.0)</f>
        <v>3240712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IFERROR(__xludf.DUMMYFUNCTION("""COMPUTED_VALUE"""),1785.5)</f>
        <v>1785.5</v>
      </c>
      <c r="C46" s="6">
        <f>IFERROR(__xludf.DUMMYFUNCTION("""COMPUTED_VALUE"""),1849.9)</f>
        <v>1849.9</v>
      </c>
      <c r="D46" s="6">
        <f>IFERROR(__xludf.DUMMYFUNCTION("""COMPUTED_VALUE"""),1766.05)</f>
        <v>1766.05</v>
      </c>
      <c r="E46" s="6">
        <f>IFERROR(__xludf.DUMMYFUNCTION("""COMPUTED_VALUE"""),1840.7)</f>
        <v>1840.7</v>
      </c>
      <c r="F46" s="6">
        <f>IFERROR(__xludf.DUMMYFUNCTION("""COMPUTED_VALUE"""),5700134.0)</f>
        <v>5700134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IFERROR(__xludf.DUMMYFUNCTION("""COMPUTED_VALUE"""),1852.2)</f>
        <v>1852.2</v>
      </c>
      <c r="C47" s="6">
        <f>IFERROR(__xludf.DUMMYFUNCTION("""COMPUTED_VALUE"""),1984.0)</f>
        <v>1984</v>
      </c>
      <c r="D47" s="6">
        <f>IFERROR(__xludf.DUMMYFUNCTION("""COMPUTED_VALUE"""),1841.0)</f>
        <v>1841</v>
      </c>
      <c r="E47" s="6">
        <f>IFERROR(__xludf.DUMMYFUNCTION("""COMPUTED_VALUE"""),1961.5)</f>
        <v>1961.5</v>
      </c>
      <c r="F47" s="6">
        <f>IFERROR(__xludf.DUMMYFUNCTION("""COMPUTED_VALUE"""),8936098.0)</f>
        <v>8936098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IFERROR(__xludf.DUMMYFUNCTION("""COMPUTED_VALUE"""),1900.05)</f>
        <v>1900.05</v>
      </c>
      <c r="C48" s="6">
        <f>IFERROR(__xludf.DUMMYFUNCTION("""COMPUTED_VALUE"""),2125.0)</f>
        <v>2125</v>
      </c>
      <c r="D48" s="6">
        <f>IFERROR(__xludf.DUMMYFUNCTION("""COMPUTED_VALUE"""),1900.05)</f>
        <v>1900.05</v>
      </c>
      <c r="E48" s="6">
        <f>IFERROR(__xludf.DUMMYFUNCTION("""COMPUTED_VALUE"""),2113.55)</f>
        <v>2113.55</v>
      </c>
      <c r="F48" s="6">
        <f>IFERROR(__xludf.DUMMYFUNCTION("""COMPUTED_VALUE"""),1.625052E7)</f>
        <v>16250520</v>
      </c>
    </row>
    <row r="49">
      <c r="A49" s="7">
        <f>IFERROR(__xludf.DUMMYFUNCTION("""COMPUTED_VALUE"""),45520.64583333333)</f>
        <v>45520.64583</v>
      </c>
      <c r="B49" s="6">
        <f>IFERROR(__xludf.DUMMYFUNCTION("""COMPUTED_VALUE"""),2106.0)</f>
        <v>2106</v>
      </c>
      <c r="C49" s="6">
        <f>IFERROR(__xludf.DUMMYFUNCTION("""COMPUTED_VALUE"""),2131.55)</f>
        <v>2131.55</v>
      </c>
      <c r="D49" s="6">
        <f>IFERROR(__xludf.DUMMYFUNCTION("""COMPUTED_VALUE"""),2068.35)</f>
        <v>2068.35</v>
      </c>
      <c r="E49" s="6">
        <f>IFERROR(__xludf.DUMMYFUNCTION("""COMPUTED_VALUE"""),2086.05)</f>
        <v>2086.05</v>
      </c>
      <c r="F49" s="6">
        <f>IFERROR(__xludf.DUMMYFUNCTION("""COMPUTED_VALUE"""),6241447.0)</f>
        <v>6241447</v>
      </c>
    </row>
    <row r="50">
      <c r="A50" s="7">
        <f>IFERROR(__xludf.DUMMYFUNCTION("""COMPUTED_VALUE"""),45527.64583333333)</f>
        <v>45527.64583</v>
      </c>
      <c r="B50" s="6">
        <f>IFERROR(__xludf.DUMMYFUNCTION("""COMPUTED_VALUE"""),2095.0)</f>
        <v>2095</v>
      </c>
      <c r="C50" s="6">
        <f>IFERROR(__xludf.DUMMYFUNCTION("""COMPUTED_VALUE"""),2129.25)</f>
        <v>2129.25</v>
      </c>
      <c r="D50" s="6">
        <f>IFERROR(__xludf.DUMMYFUNCTION("""COMPUTED_VALUE"""),2059.6)</f>
        <v>2059.6</v>
      </c>
      <c r="E50" s="6">
        <f>IFERROR(__xludf.DUMMYFUNCTION("""COMPUTED_VALUE"""),2093.55)</f>
        <v>2093.55</v>
      </c>
      <c r="F50" s="6">
        <f>IFERROR(__xludf.DUMMYFUNCTION("""COMPUTED_VALUE"""),4962230.0)</f>
        <v>4962230</v>
      </c>
    </row>
    <row r="51">
      <c r="A51" s="7">
        <f>IFERROR(__xludf.DUMMYFUNCTION("""COMPUTED_VALUE"""),45534.64583333333)</f>
        <v>45534.64583</v>
      </c>
      <c r="B51" s="6">
        <f>IFERROR(__xludf.DUMMYFUNCTION("""COMPUTED_VALUE"""),2100.0)</f>
        <v>2100</v>
      </c>
      <c r="C51" s="6">
        <f>IFERROR(__xludf.DUMMYFUNCTION("""COMPUTED_VALUE"""),2256.7)</f>
        <v>2256.7</v>
      </c>
      <c r="D51" s="6">
        <f>IFERROR(__xludf.DUMMYFUNCTION("""COMPUTED_VALUE"""),2092.1)</f>
        <v>2092.1</v>
      </c>
      <c r="E51" s="6">
        <f>IFERROR(__xludf.DUMMYFUNCTION("""COMPUTED_VALUE"""),2240.2)</f>
        <v>2240.2</v>
      </c>
      <c r="F51" s="6">
        <f>IFERROR(__xludf.DUMMYFUNCTION("""COMPUTED_VALUE"""),8009454.0)</f>
        <v>8009454</v>
      </c>
    </row>
    <row r="52">
      <c r="A52" s="7">
        <f>IFERROR(__xludf.DUMMYFUNCTION("""COMPUTED_VALUE"""),45541.64583333333)</f>
        <v>45541.64583</v>
      </c>
      <c r="B52" s="6">
        <f>IFERROR(__xludf.DUMMYFUNCTION("""COMPUTED_VALUE"""),2257.0)</f>
        <v>2257</v>
      </c>
      <c r="C52" s="6">
        <f>IFERROR(__xludf.DUMMYFUNCTION("""COMPUTED_VALUE"""),2312.0)</f>
        <v>2312</v>
      </c>
      <c r="D52" s="6">
        <f>IFERROR(__xludf.DUMMYFUNCTION("""COMPUTED_VALUE"""),2206.6)</f>
        <v>2206.6</v>
      </c>
      <c r="E52" s="6">
        <f>IFERROR(__xludf.DUMMYFUNCTION("""COMPUTED_VALUE"""),2256.5)</f>
        <v>2256.5</v>
      </c>
      <c r="F52" s="6">
        <f>IFERROR(__xludf.DUMMYFUNCTION("""COMPUTED_VALUE"""),7091253.0)</f>
        <v>7091253</v>
      </c>
    </row>
    <row r="53">
      <c r="A53" s="7">
        <f>IFERROR(__xludf.DUMMYFUNCTION("""COMPUTED_VALUE"""),45548.64583333333)</f>
        <v>45548.64583</v>
      </c>
      <c r="B53" s="6">
        <f>IFERROR(__xludf.DUMMYFUNCTION("""COMPUTED_VALUE"""),2221.95)</f>
        <v>2221.95</v>
      </c>
      <c r="C53" s="6">
        <f>IFERROR(__xludf.DUMMYFUNCTION("""COMPUTED_VALUE"""),2278.8)</f>
        <v>2278.8</v>
      </c>
      <c r="D53" s="6">
        <f>IFERROR(__xludf.DUMMYFUNCTION("""COMPUTED_VALUE"""),2185.55)</f>
        <v>2185.55</v>
      </c>
      <c r="E53" s="6">
        <f>IFERROR(__xludf.DUMMYFUNCTION("""COMPUTED_VALUE"""),2256.45)</f>
        <v>2256.45</v>
      </c>
      <c r="F53" s="6">
        <f>IFERROR(__xludf.DUMMYFUNCTION("""COMPUTED_VALUE"""),6180399.0)</f>
        <v>6180399</v>
      </c>
    </row>
    <row r="54">
      <c r="A54" s="7">
        <f>IFERROR(__xludf.DUMMYFUNCTION("""COMPUTED_VALUE"""),45555.64583333333)</f>
        <v>45555.64583</v>
      </c>
      <c r="B54" s="6">
        <f>IFERROR(__xludf.DUMMYFUNCTION("""COMPUTED_VALUE"""),2269.0)</f>
        <v>2269</v>
      </c>
      <c r="C54" s="6">
        <f>IFERROR(__xludf.DUMMYFUNCTION("""COMPUTED_VALUE"""),2286.0)</f>
        <v>2286</v>
      </c>
      <c r="D54" s="6">
        <f>IFERROR(__xludf.DUMMYFUNCTION("""COMPUTED_VALUE"""),2138.15)</f>
        <v>2138.15</v>
      </c>
      <c r="E54" s="6">
        <f>IFERROR(__xludf.DUMMYFUNCTION("""COMPUTED_VALUE"""),2151.7)</f>
        <v>2151.7</v>
      </c>
      <c r="F54" s="6">
        <f>IFERROR(__xludf.DUMMYFUNCTION("""COMPUTED_VALUE"""),4961077.0)</f>
        <v>4961077</v>
      </c>
    </row>
    <row r="55">
      <c r="A55" s="7">
        <f>IFERROR(__xludf.DUMMYFUNCTION("""COMPUTED_VALUE"""),45562.64583333333)</f>
        <v>45562.64583</v>
      </c>
      <c r="B55" s="6">
        <f>IFERROR(__xludf.DUMMYFUNCTION("""COMPUTED_VALUE"""),2158.0)</f>
        <v>2158</v>
      </c>
      <c r="C55" s="6">
        <f>IFERROR(__xludf.DUMMYFUNCTION("""COMPUTED_VALUE"""),2237.55)</f>
        <v>2237.55</v>
      </c>
      <c r="D55" s="6">
        <f>IFERROR(__xludf.DUMMYFUNCTION("""COMPUTED_VALUE"""),2141.55)</f>
        <v>2141.55</v>
      </c>
      <c r="E55" s="6">
        <f>IFERROR(__xludf.DUMMYFUNCTION("""COMPUTED_VALUE"""),2218.5)</f>
        <v>2218.5</v>
      </c>
      <c r="F55" s="6">
        <f>IFERROR(__xludf.DUMMYFUNCTION("""COMPUTED_VALUE"""),5797195.0)</f>
        <v>5797195</v>
      </c>
    </row>
    <row r="56">
      <c r="A56" s="7">
        <f>IFERROR(__xludf.DUMMYFUNCTION("""COMPUTED_VALUE"""),45569.64583333333)</f>
        <v>45569.64583</v>
      </c>
      <c r="B56" s="6">
        <f>IFERROR(__xludf.DUMMYFUNCTION("""COMPUTED_VALUE"""),2183.0)</f>
        <v>2183</v>
      </c>
      <c r="C56" s="6">
        <f>IFERROR(__xludf.DUMMYFUNCTION("""COMPUTED_VALUE"""),2240.0)</f>
        <v>2240</v>
      </c>
      <c r="D56" s="6">
        <f>IFERROR(__xludf.DUMMYFUNCTION("""COMPUTED_VALUE"""),2154.3)</f>
        <v>2154.3</v>
      </c>
      <c r="E56" s="6">
        <f>IFERROR(__xludf.DUMMYFUNCTION("""COMPUTED_VALUE"""),2198.25)</f>
        <v>2198.25</v>
      </c>
      <c r="F56" s="6">
        <f>IFERROR(__xludf.DUMMYFUNCTION("""COMPUTED_VALUE"""),3764101.0)</f>
        <v>3764101</v>
      </c>
    </row>
    <row r="57">
      <c r="A57" s="7">
        <f>IFERROR(__xludf.DUMMYFUNCTION("""COMPUTED_VALUE"""),45576.64583333333)</f>
        <v>45576.64583</v>
      </c>
      <c r="B57" s="6">
        <f>IFERROR(__xludf.DUMMYFUNCTION("""COMPUTED_VALUE"""),2198.25)</f>
        <v>2198.25</v>
      </c>
      <c r="C57" s="6">
        <f>IFERROR(__xludf.DUMMYFUNCTION("""COMPUTED_VALUE"""),2304.9)</f>
        <v>2304.9</v>
      </c>
      <c r="D57" s="6">
        <f>IFERROR(__xludf.DUMMYFUNCTION("""COMPUTED_VALUE"""),2112.0)</f>
        <v>2112</v>
      </c>
      <c r="E57" s="6">
        <f>IFERROR(__xludf.DUMMYFUNCTION("""COMPUTED_VALUE"""),2224.5)</f>
        <v>2224.5</v>
      </c>
      <c r="F57" s="6">
        <f>IFERROR(__xludf.DUMMYFUNCTION("""COMPUTED_VALUE"""),6347815.0)</f>
        <v>6347815</v>
      </c>
    </row>
    <row r="58">
      <c r="A58" s="7">
        <f>IFERROR(__xludf.DUMMYFUNCTION("""COMPUTED_VALUE"""),45583.64583333333)</f>
        <v>45583.64583</v>
      </c>
      <c r="B58" s="6">
        <f>IFERROR(__xludf.DUMMYFUNCTION("""COMPUTED_VALUE"""),2218.05)</f>
        <v>2218.05</v>
      </c>
      <c r="C58" s="6">
        <f>IFERROR(__xludf.DUMMYFUNCTION("""COMPUTED_VALUE"""),2272.9)</f>
        <v>2272.9</v>
      </c>
      <c r="D58" s="6">
        <f>IFERROR(__xludf.DUMMYFUNCTION("""COMPUTED_VALUE"""),2153.65)</f>
        <v>2153.65</v>
      </c>
      <c r="E58" s="6">
        <f>IFERROR(__xludf.DUMMYFUNCTION("""COMPUTED_VALUE"""),2179.7)</f>
        <v>2179.7</v>
      </c>
      <c r="F58" s="6">
        <f>IFERROR(__xludf.DUMMYFUNCTION("""COMPUTED_VALUE"""),3649128.0)</f>
        <v>3649128</v>
      </c>
    </row>
    <row r="59">
      <c r="A59" s="7">
        <f>IFERROR(__xludf.DUMMYFUNCTION("""COMPUTED_VALUE"""),45590.64583333333)</f>
        <v>45590.64583</v>
      </c>
      <c r="B59" s="6">
        <f>IFERROR(__xludf.DUMMYFUNCTION("""COMPUTED_VALUE"""),2179.7)</f>
        <v>2179.7</v>
      </c>
      <c r="C59" s="6">
        <f>IFERROR(__xludf.DUMMYFUNCTION("""COMPUTED_VALUE"""),2206.95)</f>
        <v>2206.95</v>
      </c>
      <c r="D59" s="6">
        <f>IFERROR(__xludf.DUMMYFUNCTION("""COMPUTED_VALUE"""),2062.2)</f>
        <v>2062.2</v>
      </c>
      <c r="E59" s="6">
        <f>IFERROR(__xludf.DUMMYFUNCTION("""COMPUTED_VALUE"""),2156.7)</f>
        <v>2156.7</v>
      </c>
      <c r="F59" s="6">
        <f>IFERROR(__xludf.DUMMYFUNCTION("""COMPUTED_VALUE"""),3982288.0)</f>
        <v>3982288</v>
      </c>
    </row>
    <row r="60">
      <c r="A60" s="7">
        <f>IFERROR(__xludf.DUMMYFUNCTION("""COMPUTED_VALUE"""),45604.64583333333)</f>
        <v>45604.64583</v>
      </c>
      <c r="B60" s="6">
        <f>IFERROR(__xludf.DUMMYFUNCTION("""COMPUTED_VALUE"""),2212.8)</f>
        <v>2212.8</v>
      </c>
      <c r="C60" s="6">
        <f>IFERROR(__xludf.DUMMYFUNCTION("""COMPUTED_VALUE"""),2218.85)</f>
        <v>2218.85</v>
      </c>
      <c r="D60" s="6">
        <f>IFERROR(__xludf.DUMMYFUNCTION("""COMPUTED_VALUE"""),2078.85)</f>
        <v>2078.85</v>
      </c>
      <c r="E60" s="6">
        <f>IFERROR(__xludf.DUMMYFUNCTION("""COMPUTED_VALUE"""),2104.6)</f>
        <v>2104.6</v>
      </c>
      <c r="F60" s="6">
        <f>IFERROR(__xludf.DUMMYFUNCTION("""COMPUTED_VALUE"""),8611475.0)</f>
        <v>8611475</v>
      </c>
    </row>
    <row r="61">
      <c r="A61" s="7">
        <f>IFERROR(__xludf.DUMMYFUNCTION("""COMPUTED_VALUE"""),45610.64583333333)</f>
        <v>45610.64583</v>
      </c>
      <c r="B61" s="6">
        <f>IFERROR(__xludf.DUMMYFUNCTION("""COMPUTED_VALUE"""),2140.0)</f>
        <v>2140</v>
      </c>
      <c r="C61" s="6">
        <f>IFERROR(__xludf.DUMMYFUNCTION("""COMPUTED_VALUE"""),2142.45)</f>
        <v>2142.45</v>
      </c>
      <c r="D61" s="6">
        <f>IFERROR(__xludf.DUMMYFUNCTION("""COMPUTED_VALUE"""),2004.65)</f>
        <v>2004.65</v>
      </c>
      <c r="E61" s="6">
        <f>IFERROR(__xludf.DUMMYFUNCTION("""COMPUTED_VALUE"""),2015.85)</f>
        <v>2015.85</v>
      </c>
      <c r="F61" s="6">
        <f>IFERROR(__xludf.DUMMYFUNCTION("""COMPUTED_VALUE"""),3994810.0)</f>
        <v>3994810</v>
      </c>
    </row>
    <row r="62">
      <c r="A62" s="7">
        <f>IFERROR(__xludf.DUMMYFUNCTION("""COMPUTED_VALUE"""),45618.64583333333)</f>
        <v>45618.64583</v>
      </c>
      <c r="B62" s="6">
        <f>IFERROR(__xludf.DUMMYFUNCTION("""COMPUTED_VALUE"""),2007.5)</f>
        <v>2007.5</v>
      </c>
      <c r="C62" s="6">
        <f>IFERROR(__xludf.DUMMYFUNCTION("""COMPUTED_VALUE"""),2077.2)</f>
        <v>2077.2</v>
      </c>
      <c r="D62" s="6">
        <f>IFERROR(__xludf.DUMMYFUNCTION("""COMPUTED_VALUE"""),2000.0)</f>
        <v>2000</v>
      </c>
      <c r="E62" s="6">
        <f>IFERROR(__xludf.DUMMYFUNCTION("""COMPUTED_VALUE"""),2071.35)</f>
        <v>2071.35</v>
      </c>
      <c r="F62" s="6">
        <f>IFERROR(__xludf.DUMMYFUNCTION("""COMPUTED_VALUE"""),2617238.0)</f>
        <v>2617238</v>
      </c>
    </row>
    <row r="63">
      <c r="A63" s="7">
        <f>IFERROR(__xludf.DUMMYFUNCTION("""COMPUTED_VALUE"""),45625.64583333333)</f>
        <v>45625.64583</v>
      </c>
      <c r="B63" s="6">
        <f>IFERROR(__xludf.DUMMYFUNCTION("""COMPUTED_VALUE"""),2086.6)</f>
        <v>2086.6</v>
      </c>
      <c r="C63" s="6">
        <f>IFERROR(__xludf.DUMMYFUNCTION("""COMPUTED_VALUE"""),2119.0)</f>
        <v>2119</v>
      </c>
      <c r="D63" s="6">
        <f>IFERROR(__xludf.DUMMYFUNCTION("""COMPUTED_VALUE"""),1986.0)</f>
        <v>1986</v>
      </c>
      <c r="E63" s="6">
        <f>IFERROR(__xludf.DUMMYFUNCTION("""COMPUTED_VALUE"""),2050.75)</f>
        <v>2050.75</v>
      </c>
      <c r="F63" s="6">
        <f>IFERROR(__xludf.DUMMYFUNCTION("""COMPUTED_VALUE"""),4425031.0)</f>
        <v>4425031</v>
      </c>
    </row>
    <row r="64">
      <c r="A64" s="7">
        <f>IFERROR(__xludf.DUMMYFUNCTION("""COMPUTED_VALUE"""),45632.64583333333)</f>
        <v>45632.64583</v>
      </c>
      <c r="B64" s="6">
        <f>IFERROR(__xludf.DUMMYFUNCTION("""COMPUTED_VALUE"""),2049.5)</f>
        <v>2049.5</v>
      </c>
      <c r="C64" s="6">
        <f>IFERROR(__xludf.DUMMYFUNCTION("""COMPUTED_VALUE"""),2141.85)</f>
        <v>2141.85</v>
      </c>
      <c r="D64" s="6">
        <f>IFERROR(__xludf.DUMMYFUNCTION("""COMPUTED_VALUE"""),2043.7)</f>
        <v>2043.7</v>
      </c>
      <c r="E64" s="6">
        <f>IFERROR(__xludf.DUMMYFUNCTION("""COMPUTED_VALUE"""),2133.55)</f>
        <v>2133.55</v>
      </c>
      <c r="F64" s="6">
        <f>IFERROR(__xludf.DUMMYFUNCTION("""COMPUTED_VALUE"""),4040043.0)</f>
        <v>4040043</v>
      </c>
    </row>
    <row r="65">
      <c r="A65" s="7">
        <f>IFERROR(__xludf.DUMMYFUNCTION("""COMPUTED_VALUE"""),45639.64583333333)</f>
        <v>45639.64583</v>
      </c>
      <c r="B65" s="6">
        <f>IFERROR(__xludf.DUMMYFUNCTION("""COMPUTED_VALUE"""),2136.0)</f>
        <v>2136</v>
      </c>
      <c r="C65" s="6">
        <f>IFERROR(__xludf.DUMMYFUNCTION("""COMPUTED_VALUE"""),2161.85)</f>
        <v>2161.85</v>
      </c>
      <c r="D65" s="6">
        <f>IFERROR(__xludf.DUMMYFUNCTION("""COMPUTED_VALUE"""),2041.0)</f>
        <v>2041</v>
      </c>
      <c r="E65" s="6">
        <f>IFERROR(__xludf.DUMMYFUNCTION("""COMPUTED_VALUE"""),2076.75)</f>
        <v>2076.75</v>
      </c>
      <c r="F65" s="6">
        <f>IFERROR(__xludf.DUMMYFUNCTION("""COMPUTED_VALUE"""),3213580.0)</f>
        <v>3213580</v>
      </c>
    </row>
    <row r="66">
      <c r="A66" s="7">
        <f>IFERROR(__xludf.DUMMYFUNCTION("""COMPUTED_VALUE"""),45646.64583333333)</f>
        <v>45646.64583</v>
      </c>
      <c r="B66" s="6">
        <f>IFERROR(__xludf.DUMMYFUNCTION("""COMPUTED_VALUE"""),2089.9)</f>
        <v>2089.9</v>
      </c>
      <c r="C66" s="6">
        <f>IFERROR(__xludf.DUMMYFUNCTION("""COMPUTED_VALUE"""),2177.75)</f>
        <v>2177.75</v>
      </c>
      <c r="D66" s="6">
        <f>IFERROR(__xludf.DUMMYFUNCTION("""COMPUTED_VALUE"""),2038.0)</f>
        <v>2038</v>
      </c>
      <c r="E66" s="6">
        <f>IFERROR(__xludf.DUMMYFUNCTION("""COMPUTED_VALUE"""),2150.7)</f>
        <v>2150.7</v>
      </c>
      <c r="F66" s="6">
        <f>IFERROR(__xludf.DUMMYFUNCTION("""COMPUTED_VALUE"""),5230602.0)</f>
        <v>5230602</v>
      </c>
    </row>
    <row r="67">
      <c r="A67" s="7">
        <f>IFERROR(__xludf.DUMMYFUNCTION("""COMPUTED_VALUE"""),45653.64583333333)</f>
        <v>45653.64583</v>
      </c>
      <c r="B67" s="6">
        <f>IFERROR(__xludf.DUMMYFUNCTION("""COMPUTED_VALUE"""),2154.9)</f>
        <v>2154.9</v>
      </c>
      <c r="C67" s="6">
        <f>IFERROR(__xludf.DUMMYFUNCTION("""COMPUTED_VALUE"""),2238.0)</f>
        <v>2238</v>
      </c>
      <c r="D67" s="6">
        <f>IFERROR(__xludf.DUMMYFUNCTION("""COMPUTED_VALUE"""),2126.55)</f>
        <v>2126.55</v>
      </c>
      <c r="E67" s="6">
        <f>IFERROR(__xludf.DUMMYFUNCTION("""COMPUTED_VALUE"""),2227.8)</f>
        <v>2227.8</v>
      </c>
      <c r="F67" s="6">
        <f>IFERROR(__xludf.DUMMYFUNCTION("""COMPUTED_VALUE"""),3292430.0)</f>
        <v>3292430</v>
      </c>
    </row>
    <row r="68">
      <c r="A68" s="7">
        <f>IFERROR(__xludf.DUMMYFUNCTION("""COMPUTED_VALUE"""),45660.64583333333)</f>
        <v>45660.64583</v>
      </c>
      <c r="B68" s="6">
        <f>IFERROR(__xludf.DUMMYFUNCTION("""COMPUTED_VALUE"""),2227.8)</f>
        <v>2227.8</v>
      </c>
      <c r="C68" s="6">
        <f>IFERROR(__xludf.DUMMYFUNCTION("""COMPUTED_VALUE"""),2402.9)</f>
        <v>2402.9</v>
      </c>
      <c r="D68" s="6">
        <f>IFERROR(__xludf.DUMMYFUNCTION("""COMPUTED_VALUE"""),2226.85)</f>
        <v>2226.85</v>
      </c>
      <c r="E68" s="6">
        <f>IFERROR(__xludf.DUMMYFUNCTION("""COMPUTED_VALUE"""),2368.85)</f>
        <v>2368.85</v>
      </c>
      <c r="F68" s="6">
        <f>IFERROR(__xludf.DUMMYFUNCTION("""COMPUTED_VALUE"""),9417528.0)</f>
        <v>9417528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IFERROR(__xludf.DUMMYFUNCTION("""COMPUTED_VALUE"""),2370.0)</f>
        <v>2370</v>
      </c>
      <c r="C69" s="6">
        <f>IFERROR(__xludf.DUMMYFUNCTION("""COMPUTED_VALUE"""),2392.25)</f>
        <v>2392.25</v>
      </c>
      <c r="D69" s="6">
        <f>IFERROR(__xludf.DUMMYFUNCTION("""COMPUTED_VALUE"""),2183.5)</f>
        <v>2183.5</v>
      </c>
      <c r="E69" s="6">
        <f>IFERROR(__xludf.DUMMYFUNCTION("""COMPUTED_VALUE"""),2191.1)</f>
        <v>2191.1</v>
      </c>
      <c r="F69" s="6">
        <f>IFERROR(__xludf.DUMMYFUNCTION("""COMPUTED_VALUE"""),5062822.0)</f>
        <v>5062822</v>
      </c>
    </row>
    <row r="70">
      <c r="A70" s="7">
        <f>IFERROR(__xludf.DUMMYFUNCTION("""COMPUTED_VALUE"""),45674.64583333333)</f>
        <v>45674.64583</v>
      </c>
      <c r="B70" s="6">
        <f>IFERROR(__xludf.DUMMYFUNCTION("""COMPUTED_VALUE"""),2159.0)</f>
        <v>2159</v>
      </c>
      <c r="C70" s="6">
        <f>IFERROR(__xludf.DUMMYFUNCTION("""COMPUTED_VALUE"""),2192.95)</f>
        <v>2192.95</v>
      </c>
      <c r="D70" s="6">
        <f>IFERROR(__xludf.DUMMYFUNCTION("""COMPUTED_VALUE"""),2068.05)</f>
        <v>2068.05</v>
      </c>
      <c r="E70" s="6">
        <f>IFERROR(__xludf.DUMMYFUNCTION("""COMPUTED_VALUE"""),2113.15)</f>
        <v>2113.15</v>
      </c>
      <c r="F70" s="6">
        <f>IFERROR(__xludf.DUMMYFUNCTION("""COMPUTED_VALUE"""),2338580.0)</f>
        <v>2338580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IFERROR(__xludf.DUMMYFUNCTION("""COMPUTED_VALUE"""),2119.15)</f>
        <v>2119.15</v>
      </c>
      <c r="C71" s="6">
        <f>IFERROR(__xludf.DUMMYFUNCTION("""COMPUTED_VALUE"""),2165.8)</f>
        <v>2165.8</v>
      </c>
      <c r="D71" s="6">
        <f>IFERROR(__xludf.DUMMYFUNCTION("""COMPUTED_VALUE"""),2066.25)</f>
        <v>2066.25</v>
      </c>
      <c r="E71" s="6">
        <f>IFERROR(__xludf.DUMMYFUNCTION("""COMPUTED_VALUE"""),2134.25)</f>
        <v>2134.25</v>
      </c>
      <c r="F71" s="6">
        <f>IFERROR(__xludf.DUMMYFUNCTION("""COMPUTED_VALUE"""),2951111.0)</f>
        <v>2951111</v>
      </c>
    </row>
    <row r="72">
      <c r="A72" s="7">
        <f>IFERROR(__xludf.DUMMYFUNCTION("""COMPUTED_VALUE"""),45695.64583333333)</f>
        <v>45695.64583</v>
      </c>
      <c r="B72" s="6">
        <f>IFERROR(__xludf.DUMMYFUNCTION("""COMPUTED_VALUE"""),2056.25)</f>
        <v>2056.25</v>
      </c>
      <c r="C72" s="6">
        <f>IFERROR(__xludf.DUMMYFUNCTION("""COMPUTED_VALUE"""),2225.0)</f>
        <v>2225</v>
      </c>
      <c r="D72" s="6">
        <f>IFERROR(__xludf.DUMMYFUNCTION("""COMPUTED_VALUE"""),2001.0)</f>
        <v>2001</v>
      </c>
      <c r="E72" s="6">
        <f>IFERROR(__xludf.DUMMYFUNCTION("""COMPUTED_VALUE"""),2201.15)</f>
        <v>2201.15</v>
      </c>
      <c r="F72" s="6">
        <f>IFERROR(__xludf.DUMMYFUNCTION("""COMPUTED_VALUE"""),4222316.0)</f>
        <v>4222316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IFERROR(__xludf.DUMMYFUNCTION("""COMPUTED_VALUE"""),2201.9)</f>
        <v>2201.9</v>
      </c>
      <c r="C73" s="6">
        <f>IFERROR(__xludf.DUMMYFUNCTION("""COMPUTED_VALUE"""),2218.8)</f>
        <v>2218.8</v>
      </c>
      <c r="D73" s="6">
        <f>IFERROR(__xludf.DUMMYFUNCTION("""COMPUTED_VALUE"""),1931.6)</f>
        <v>1931.6</v>
      </c>
      <c r="E73" s="6">
        <f>IFERROR(__xludf.DUMMYFUNCTION("""COMPUTED_VALUE"""),1969.9)</f>
        <v>1969.9</v>
      </c>
      <c r="F73" s="6">
        <f>IFERROR(__xludf.DUMMYFUNCTION("""COMPUTED_VALUE"""),8644483.0)</f>
        <v>8644483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IFERROR(__xludf.DUMMYFUNCTION("""COMPUTED_VALUE"""),1956.05)</f>
        <v>1956.05</v>
      </c>
      <c r="C74" s="6">
        <f>IFERROR(__xludf.DUMMYFUNCTION("""COMPUTED_VALUE"""),2032.9)</f>
        <v>2032.9</v>
      </c>
      <c r="D74" s="6">
        <f>IFERROR(__xludf.DUMMYFUNCTION("""COMPUTED_VALUE"""),1892.75)</f>
        <v>1892.75</v>
      </c>
      <c r="E74" s="6">
        <f>IFERROR(__xludf.DUMMYFUNCTION("""COMPUTED_VALUE"""),1905.35)</f>
        <v>1905.35</v>
      </c>
      <c r="F74" s="6">
        <f>IFERROR(__xludf.DUMMYFUNCTION("""COMPUTED_VALUE"""),4505995.0)</f>
        <v>4505995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IFERROR(__xludf.DUMMYFUNCTION("""COMPUTED_VALUE"""),1905.35)</f>
        <v>1905.35</v>
      </c>
      <c r="C75" s="6">
        <f>IFERROR(__xludf.DUMMYFUNCTION("""COMPUTED_VALUE"""),1945.8)</f>
        <v>1945.8</v>
      </c>
      <c r="D75" s="6">
        <f>IFERROR(__xludf.DUMMYFUNCTION("""COMPUTED_VALUE"""),1859.5)</f>
        <v>1859.5</v>
      </c>
      <c r="E75" s="6">
        <f>IFERROR(__xludf.DUMMYFUNCTION("""COMPUTED_VALUE"""),1904.65)</f>
        <v>1904.65</v>
      </c>
      <c r="F75" s="6">
        <f>IFERROR(__xludf.DUMMYFUNCTION("""COMPUTED_VALUE"""),4055865.0)</f>
        <v>4055865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IFERROR(__xludf.DUMMYFUNCTION("""COMPUTED_VALUE"""),1904.0)</f>
        <v>1904</v>
      </c>
      <c r="C76" s="6">
        <f>IFERROR(__xludf.DUMMYFUNCTION("""COMPUTED_VALUE"""),2047.65)</f>
        <v>2047.65</v>
      </c>
      <c r="D76" s="6">
        <f>IFERROR(__xludf.DUMMYFUNCTION("""COMPUTED_VALUE"""),1891.15)</f>
        <v>1891.15</v>
      </c>
      <c r="E76" s="6">
        <f>IFERROR(__xludf.DUMMYFUNCTION("""COMPUTED_VALUE"""),2030.0)</f>
        <v>2030</v>
      </c>
      <c r="F76" s="6">
        <f>IFERROR(__xludf.DUMMYFUNCTION("""COMPUTED_VALUE"""),3730580.0)</f>
        <v>3730580</v>
      </c>
    </row>
    <row r="77">
      <c r="A77" s="7">
        <f>IFERROR(__xludf.DUMMYFUNCTION("""COMPUTED_VALUE"""),45729.64583333333)</f>
        <v>45729.64583</v>
      </c>
      <c r="B77" s="6">
        <f>IFERROR(__xludf.DUMMYFUNCTION("""COMPUTED_VALUE"""),2049.8)</f>
        <v>2049.8</v>
      </c>
      <c r="C77" s="6">
        <f>IFERROR(__xludf.DUMMYFUNCTION("""COMPUTED_VALUE"""),2080.1)</f>
        <v>2080.1</v>
      </c>
      <c r="D77" s="6">
        <f>IFERROR(__xludf.DUMMYFUNCTION("""COMPUTED_VALUE"""),1937.4)</f>
        <v>1937.4</v>
      </c>
      <c r="E77" s="6">
        <f>IFERROR(__xludf.DUMMYFUNCTION("""COMPUTED_VALUE"""),1968.45)</f>
        <v>1968.45</v>
      </c>
      <c r="F77" s="6">
        <f>IFERROR(__xludf.DUMMYFUNCTION("""COMPUTED_VALUE"""),2879176.0)</f>
        <v>2879176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IFERROR(__xludf.DUMMYFUNCTION("""COMPUTED_VALUE"""),1993.0)</f>
        <v>1993</v>
      </c>
      <c r="C78" s="6">
        <f>IFERROR(__xludf.DUMMYFUNCTION("""COMPUTED_VALUE"""),2124.8)</f>
        <v>2124.8</v>
      </c>
      <c r="D78" s="6">
        <f>IFERROR(__xludf.DUMMYFUNCTION("""COMPUTED_VALUE"""),1989.5)</f>
        <v>1989.5</v>
      </c>
      <c r="E78" s="6">
        <f>IFERROR(__xludf.DUMMYFUNCTION("""COMPUTED_VALUE"""),2114.7)</f>
        <v>2114.7</v>
      </c>
      <c r="F78" s="6">
        <f>IFERROR(__xludf.DUMMYFUNCTION("""COMPUTED_VALUE"""),2390433.0)</f>
        <v>2390433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IFERROR(__xludf.DUMMYFUNCTION("""COMPUTED_VALUE"""),2129.0)</f>
        <v>2129</v>
      </c>
      <c r="C79" s="6">
        <f>IFERROR(__xludf.DUMMYFUNCTION("""COMPUTED_VALUE"""),2135.0)</f>
        <v>2135</v>
      </c>
      <c r="D79" s="6">
        <f>IFERROR(__xludf.DUMMYFUNCTION("""COMPUTED_VALUE"""),1993.6)</f>
        <v>1993.6</v>
      </c>
      <c r="E79" s="6">
        <f>IFERROR(__xludf.DUMMYFUNCTION("""COMPUTED_VALUE"""),2027.95)</f>
        <v>2027.95</v>
      </c>
      <c r="F79" s="6">
        <f>IFERROR(__xludf.DUMMYFUNCTION("""COMPUTED_VALUE"""),4151292.0)</f>
        <v>4151292</v>
      </c>
    </row>
    <row r="80">
      <c r="A80" s="7">
        <f>IFERROR(__xludf.DUMMYFUNCTION("""COMPUTED_VALUE"""),45751.64583333333)</f>
        <v>45751.64583</v>
      </c>
      <c r="B80" s="6">
        <f>IFERROR(__xludf.DUMMYFUNCTION("""COMPUTED_VALUE"""),2017.65)</f>
        <v>2017.65</v>
      </c>
      <c r="C80" s="6">
        <f>IFERROR(__xludf.DUMMYFUNCTION("""COMPUTED_VALUE"""),2150.0)</f>
        <v>2150</v>
      </c>
      <c r="D80" s="6">
        <f>IFERROR(__xludf.DUMMYFUNCTION("""COMPUTED_VALUE"""),1916.0)</f>
        <v>1916</v>
      </c>
      <c r="E80" s="6">
        <f>IFERROR(__xludf.DUMMYFUNCTION("""COMPUTED_VALUE"""),1971.05)</f>
        <v>1971.05</v>
      </c>
      <c r="F80" s="6">
        <f>IFERROR(__xludf.DUMMYFUNCTION("""COMPUTED_VALUE"""),8992192.0)</f>
        <v>8992192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IFERROR(__xludf.DUMMYFUNCTION("""COMPUTED_VALUE"""),1795.2)</f>
        <v>1795.2</v>
      </c>
      <c r="C81" s="6">
        <f>IFERROR(__xludf.DUMMYFUNCTION("""COMPUTED_VALUE"""),2018.65)</f>
        <v>2018.65</v>
      </c>
      <c r="D81" s="6">
        <f>IFERROR(__xludf.DUMMYFUNCTION("""COMPUTED_VALUE"""),1795.2)</f>
        <v>1795.2</v>
      </c>
      <c r="E81" s="6">
        <f>IFERROR(__xludf.DUMMYFUNCTION("""COMPUTED_VALUE"""),1969.25)</f>
        <v>1969.25</v>
      </c>
      <c r="F81" s="6">
        <f>IFERROR(__xludf.DUMMYFUNCTION("""COMPUTED_VALUE"""),4984237.0)</f>
        <v>4984237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IFERROR(__xludf.DUMMYFUNCTION("""COMPUTED_VALUE"""),2030.0)</f>
        <v>2030</v>
      </c>
      <c r="C82" s="6">
        <f>IFERROR(__xludf.DUMMYFUNCTION("""COMPUTED_VALUE"""),2030.0)</f>
        <v>2030</v>
      </c>
      <c r="D82" s="6">
        <f>IFERROR(__xludf.DUMMYFUNCTION("""COMPUTED_VALUE"""),1921.0)</f>
        <v>1921</v>
      </c>
      <c r="E82" s="6">
        <f>IFERROR(__xludf.DUMMYFUNCTION("""COMPUTED_VALUE"""),1937.2)</f>
        <v>1937.2</v>
      </c>
      <c r="F82" s="6">
        <f>IFERROR(__xludf.DUMMYFUNCTION("""COMPUTED_VALUE"""),4705190.0)</f>
        <v>4705190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IFERROR(__xludf.DUMMYFUNCTION("""COMPUTED_VALUE"""),1954.2)</f>
        <v>1954.2</v>
      </c>
      <c r="C83" s="6">
        <f>IFERROR(__xludf.DUMMYFUNCTION("""COMPUTED_VALUE"""),2149.5)</f>
        <v>2149.5</v>
      </c>
      <c r="D83" s="6">
        <f>IFERROR(__xludf.DUMMYFUNCTION("""COMPUTED_VALUE"""),1928.4)</f>
        <v>1928.4</v>
      </c>
      <c r="E83" s="6">
        <f>IFERROR(__xludf.DUMMYFUNCTION("""COMPUTED_VALUE"""),2019.6)</f>
        <v>2019.6</v>
      </c>
      <c r="F83" s="6">
        <f>IFERROR(__xludf.DUMMYFUNCTION("""COMPUTED_VALUE"""),5621487.0)</f>
        <v>5621487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IFERROR(__xludf.DUMMYFUNCTION("""COMPUTED_VALUE"""),2019.6)</f>
        <v>2019.6</v>
      </c>
      <c r="C84" s="6">
        <f>IFERROR(__xludf.DUMMYFUNCTION("""COMPUTED_VALUE"""),2119.0)</f>
        <v>2119</v>
      </c>
      <c r="D84" s="6">
        <f>IFERROR(__xludf.DUMMYFUNCTION("""COMPUTED_VALUE"""),2015.1)</f>
        <v>2015.1</v>
      </c>
      <c r="E84" s="6">
        <f>IFERROR(__xludf.DUMMYFUNCTION("""COMPUTED_VALUE"""),2057.1)</f>
        <v>2057.1</v>
      </c>
      <c r="F84" s="6">
        <f>IFERROR(__xludf.DUMMYFUNCTION("""COMPUTED_VALUE"""),4112629.0)</f>
        <v>4112629</v>
      </c>
    </row>
    <row r="85">
      <c r="A85" s="7">
        <f>IFERROR(__xludf.DUMMYFUNCTION("""COMPUTED_VALUE"""),45786.64583333333)</f>
        <v>45786.64583</v>
      </c>
      <c r="B85" s="6">
        <f>IFERROR(__xludf.DUMMYFUNCTION("""COMPUTED_VALUE"""),2070.0)</f>
        <v>2070</v>
      </c>
      <c r="C85" s="6">
        <f>IFERROR(__xludf.DUMMYFUNCTION("""COMPUTED_VALUE"""),2100.0)</f>
        <v>2100</v>
      </c>
      <c r="D85" s="6">
        <f>IFERROR(__xludf.DUMMYFUNCTION("""COMPUTED_VALUE"""),1976.1)</f>
        <v>1976.1</v>
      </c>
      <c r="E85" s="6">
        <f>IFERROR(__xludf.DUMMYFUNCTION("""COMPUTED_VALUE"""),2037.4)</f>
        <v>2037.4</v>
      </c>
      <c r="F85" s="6">
        <f>IFERROR(__xludf.DUMMYFUNCTION("""COMPUTED_VALUE"""),3921567.0)</f>
        <v>3921567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IFERROR(__xludf.DUMMYFUNCTION("""COMPUTED_VALUE"""),1998.0)</f>
        <v>1998</v>
      </c>
      <c r="C86" s="6">
        <f>IFERROR(__xludf.DUMMYFUNCTION("""COMPUTED_VALUE"""),2118.9)</f>
        <v>2118.9</v>
      </c>
      <c r="D86" s="6">
        <f>IFERROR(__xludf.DUMMYFUNCTION("""COMPUTED_VALUE"""),1974.0)</f>
        <v>1974</v>
      </c>
      <c r="E86" s="6">
        <f>IFERROR(__xludf.DUMMYFUNCTION("""COMPUTED_VALUE"""),2068.4)</f>
        <v>2068.4</v>
      </c>
      <c r="F86" s="6">
        <f>IFERROR(__xludf.DUMMYFUNCTION("""COMPUTED_VALUE"""),8145740.0)</f>
        <v>8145740</v>
      </c>
    </row>
    <row r="87">
      <c r="A87" s="7">
        <f>IFERROR(__xludf.DUMMYFUNCTION("""COMPUTED_VALUE"""),45800.64583333333)</f>
        <v>45800.64583</v>
      </c>
      <c r="B87" s="6">
        <f>IFERROR(__xludf.DUMMYFUNCTION("""COMPUTED_VALUE"""),2072.1)</f>
        <v>2072.1</v>
      </c>
      <c r="C87" s="6">
        <f>IFERROR(__xludf.DUMMYFUNCTION("""COMPUTED_VALUE"""),2077.0)</f>
        <v>2077</v>
      </c>
      <c r="D87" s="6">
        <f>IFERROR(__xludf.DUMMYFUNCTION("""COMPUTED_VALUE"""),1946.9)</f>
        <v>1946.9</v>
      </c>
      <c r="E87" s="6">
        <f>IFERROR(__xludf.DUMMYFUNCTION("""COMPUTED_VALUE"""),1978.9)</f>
        <v>1978.9</v>
      </c>
      <c r="F87" s="6">
        <f>IFERROR(__xludf.DUMMYFUNCTION("""COMPUTED_VALUE"""),5526192.0)</f>
        <v>5526192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IFERROR(__xludf.DUMMYFUNCTION("""COMPUTED_VALUE"""),1984.0)</f>
        <v>1984</v>
      </c>
      <c r="C88" s="6">
        <f>IFERROR(__xludf.DUMMYFUNCTION("""COMPUTED_VALUE"""),2004.9)</f>
        <v>2004.9</v>
      </c>
      <c r="D88" s="6">
        <f>IFERROR(__xludf.DUMMYFUNCTION("""COMPUTED_VALUE"""),1938.4)</f>
        <v>1938.4</v>
      </c>
      <c r="E88" s="6">
        <f>IFERROR(__xludf.DUMMYFUNCTION("""COMPUTED_VALUE"""),1957.7)</f>
        <v>1957.7</v>
      </c>
      <c r="F88" s="6">
        <f>IFERROR(__xludf.DUMMYFUNCTION("""COMPUTED_VALUE"""),5113823.0)</f>
        <v>5113823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IFERROR(__xludf.DUMMYFUNCTION("""COMPUTED_VALUE"""),1954.0)</f>
        <v>1954</v>
      </c>
      <c r="C89" s="6">
        <f>IFERROR(__xludf.DUMMYFUNCTION("""COMPUTED_VALUE"""),2007.9)</f>
        <v>2007.9</v>
      </c>
      <c r="D89" s="6">
        <f>IFERROR(__xludf.DUMMYFUNCTION("""COMPUTED_VALUE"""),1935.0)</f>
        <v>1935</v>
      </c>
      <c r="E89" s="6">
        <f>IFERROR(__xludf.DUMMYFUNCTION("""COMPUTED_VALUE"""),1999.6)</f>
        <v>1999.6</v>
      </c>
      <c r="F89" s="6">
        <f>IFERROR(__xludf.DUMMYFUNCTION("""COMPUTED_VALUE"""),4150928.0)</f>
        <v>4150928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IFERROR(__xludf.DUMMYFUNCTION("""COMPUTED_VALUE"""),2010.0)</f>
        <v>2010</v>
      </c>
      <c r="C90" s="6">
        <f>IFERROR(__xludf.DUMMYFUNCTION("""COMPUTED_VALUE"""),2049.5)</f>
        <v>2049.5</v>
      </c>
      <c r="D90" s="6">
        <f>IFERROR(__xludf.DUMMYFUNCTION("""COMPUTED_VALUE"""),1980.0)</f>
        <v>1980</v>
      </c>
      <c r="E90" s="6">
        <f>IFERROR(__xludf.DUMMYFUNCTION("""COMPUTED_VALUE"""),1999.6)</f>
        <v>1999.6</v>
      </c>
      <c r="F90" s="6">
        <f>IFERROR(__xludf.DUMMYFUNCTION("""COMPUTED_VALUE"""),4628110.0)</f>
        <v>4628110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IFERROR(__xludf.DUMMYFUNCTION("""COMPUTED_VALUE"""),1999.6)</f>
        <v>1999.6</v>
      </c>
      <c r="C91" s="6">
        <f>IFERROR(__xludf.DUMMYFUNCTION("""COMPUTED_VALUE"""),2019.6)</f>
        <v>2019.6</v>
      </c>
      <c r="D91" s="6">
        <f>IFERROR(__xludf.DUMMYFUNCTION("""COMPUTED_VALUE"""),1920.6)</f>
        <v>1920.6</v>
      </c>
      <c r="E91" s="6">
        <f>IFERROR(__xludf.DUMMYFUNCTION("""COMPUTED_VALUE"""),1948.0)</f>
        <v>1948</v>
      </c>
      <c r="F91" s="6">
        <f>IFERROR(__xludf.DUMMYFUNCTION("""COMPUTED_VALUE"""),4075770.0)</f>
        <v>4075770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IFERROR(__xludf.DUMMYFUNCTION("""COMPUTED_VALUE"""),1925.1)</f>
        <v>1925.1</v>
      </c>
      <c r="C92" s="6">
        <f>IFERROR(__xludf.DUMMYFUNCTION("""COMPUTED_VALUE"""),1964.4)</f>
        <v>1964.4</v>
      </c>
      <c r="D92" s="6">
        <f>IFERROR(__xludf.DUMMYFUNCTION("""COMPUTED_VALUE"""),1910.0)</f>
        <v>1910</v>
      </c>
      <c r="E92" s="6">
        <f>IFERROR(__xludf.DUMMYFUNCTION("""COMPUTED_VALUE"""),1935.2)</f>
        <v>1935.2</v>
      </c>
      <c r="F92" s="6">
        <f>IFERROR(__xludf.DUMMYFUNCTION("""COMPUTED_VALUE"""),7121393.0)</f>
        <v>7121393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IFERROR(__xludf.DUMMYFUNCTION("""COMPUTED_VALUE"""),1938.5)</f>
        <v>1938.5</v>
      </c>
      <c r="C93" s="6">
        <f>IFERROR(__xludf.DUMMYFUNCTION("""COMPUTED_VALUE"""),1996.0)</f>
        <v>1996</v>
      </c>
      <c r="D93" s="6">
        <f>IFERROR(__xludf.DUMMYFUNCTION("""COMPUTED_VALUE"""),1905.0)</f>
        <v>1905</v>
      </c>
      <c r="E93" s="6">
        <f>IFERROR(__xludf.DUMMYFUNCTION("""COMPUTED_VALUE"""),1980.9)</f>
        <v>1980.9</v>
      </c>
      <c r="F93" s="6">
        <f>IFERROR(__xludf.DUMMYFUNCTION("""COMPUTED_VALUE"""),4960357.0)</f>
        <v>4960357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IFERROR(__xludf.DUMMYFUNCTION("""COMPUTED_VALUE"""),1985.0)</f>
        <v>1985</v>
      </c>
      <c r="C94" s="6">
        <f>IFERROR(__xludf.DUMMYFUNCTION("""COMPUTED_VALUE"""),1990.8)</f>
        <v>1990.8</v>
      </c>
      <c r="D94" s="6">
        <f>IFERROR(__xludf.DUMMYFUNCTION("""COMPUTED_VALUE"""),1875.0)</f>
        <v>1875</v>
      </c>
      <c r="E94" s="6">
        <f>IFERROR(__xludf.DUMMYFUNCTION("""COMPUTED_VALUE"""),1894.7)</f>
        <v>1894.7</v>
      </c>
      <c r="F94" s="6">
        <f>IFERROR(__xludf.DUMMYFUNCTION("""COMPUTED_VALUE"""),7543245.0)</f>
        <v>7543245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IFERROR(__xludf.DUMMYFUNCTION("""COMPUTED_VALUE"""),1894.7)</f>
        <v>1894.7</v>
      </c>
      <c r="C95" s="6">
        <f>IFERROR(__xludf.DUMMYFUNCTION("""COMPUTED_VALUE"""),1961.6)</f>
        <v>1961.6</v>
      </c>
      <c r="D95" s="6">
        <f>IFERROR(__xludf.DUMMYFUNCTION("""COMPUTED_VALUE"""),1888.6)</f>
        <v>1888.6</v>
      </c>
      <c r="E95" s="6">
        <f>IFERROR(__xludf.DUMMYFUNCTION("""COMPUTED_VALUE"""),1932.2)</f>
        <v>1932.2</v>
      </c>
      <c r="F95" s="6">
        <f>IFERROR(__xludf.DUMMYFUNCTION("""COMPUTED_VALUE"""),3401531.0)</f>
        <v>3401531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IFERROR(__xludf.DUMMYFUNCTION("""COMPUTED_VALUE"""),1927.0)</f>
        <v>1927</v>
      </c>
      <c r="C96" s="6">
        <f>IFERROR(__xludf.DUMMYFUNCTION("""COMPUTED_VALUE"""),1960.0)</f>
        <v>1960</v>
      </c>
      <c r="D96" s="6">
        <f>IFERROR(__xludf.DUMMYFUNCTION("""COMPUTED_VALUE"""),1877.3)</f>
        <v>1877.3</v>
      </c>
      <c r="E96" s="6">
        <f>IFERROR(__xludf.DUMMYFUNCTION("""COMPUTED_VALUE"""),1951.0)</f>
        <v>1951</v>
      </c>
      <c r="F96" s="6">
        <f>IFERROR(__xludf.DUMMYFUNCTION("""COMPUTED_VALUE"""),4451067.0)</f>
        <v>4451067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IFERROR(__xludf.DUMMYFUNCTION("""COMPUTED_VALUE"""),1952.0)</f>
        <v>1952</v>
      </c>
      <c r="C97" s="6">
        <f>IFERROR(__xludf.DUMMYFUNCTION("""COMPUTED_VALUE"""),1992.1)</f>
        <v>1992.1</v>
      </c>
      <c r="D97" s="6">
        <f>IFERROR(__xludf.DUMMYFUNCTION("""COMPUTED_VALUE"""),1860.7)</f>
        <v>1860.7</v>
      </c>
      <c r="E97" s="6">
        <f>IFERROR(__xludf.DUMMYFUNCTION("""COMPUTED_VALUE"""),1867.3)</f>
        <v>1867.3</v>
      </c>
      <c r="F97" s="6">
        <f>IFERROR(__xludf.DUMMYFUNCTION("""COMPUTED_VALUE"""),4795126.0)</f>
        <v>4795126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IFERROR(__xludf.DUMMYFUNCTION("""COMPUTED_VALUE"""),1883.9)</f>
        <v>1883.9</v>
      </c>
      <c r="C98" s="6">
        <f>IFERROR(__xludf.DUMMYFUNCTION("""COMPUTED_VALUE"""),1952.7)</f>
        <v>1952.7</v>
      </c>
      <c r="D98" s="6">
        <f>IFERROR(__xludf.DUMMYFUNCTION("""COMPUTED_VALUE"""),1836.8)</f>
        <v>1836.8</v>
      </c>
      <c r="E98" s="6">
        <f>IFERROR(__xludf.DUMMYFUNCTION("""COMPUTED_VALUE"""),1918.0)</f>
        <v>1918</v>
      </c>
      <c r="F98" s="6">
        <f>IFERROR(__xludf.DUMMYFUNCTION("""COMPUTED_VALUE"""),9455108.0)</f>
        <v>9455108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IFERROR(__xludf.DUMMYFUNCTION("""COMPUTED_VALUE"""),1918.0)</f>
        <v>1918</v>
      </c>
      <c r="C99" s="6">
        <f>IFERROR(__xludf.DUMMYFUNCTION("""COMPUTED_VALUE"""),2009.8)</f>
        <v>2009.8</v>
      </c>
      <c r="D99" s="6">
        <f>IFERROR(__xludf.DUMMYFUNCTION("""COMPUTED_VALUE"""),1906.3)</f>
        <v>1906.3</v>
      </c>
      <c r="E99" s="6">
        <f>IFERROR(__xludf.DUMMYFUNCTION("""COMPUTED_VALUE"""),1961.6)</f>
        <v>1961.6</v>
      </c>
      <c r="F99" s="6">
        <f>IFERROR(__xludf.DUMMYFUNCTION("""COMPUTED_VALUE"""),3842395.0)</f>
        <v>3842395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IFERROR(__xludf.DUMMYFUNCTION("""COMPUTED_VALUE"""),1975.0)</f>
        <v>1975</v>
      </c>
      <c r="C100" s="6">
        <f>IFERROR(__xludf.DUMMYFUNCTION("""COMPUTED_VALUE"""),1986.1)</f>
        <v>1986.1</v>
      </c>
      <c r="D100" s="6">
        <f>IFERROR(__xludf.DUMMYFUNCTION("""COMPUTED_VALUE"""),1932.1)</f>
        <v>1932.1</v>
      </c>
      <c r="E100" s="6">
        <f>IFERROR(__xludf.DUMMYFUNCTION("""COMPUTED_VALUE"""),1974.7)</f>
        <v>1974.7</v>
      </c>
      <c r="F100" s="6">
        <f>IFERROR(__xludf.DUMMYFUNCTION("""COMPUTED_VALUE"""),3258594.0)</f>
        <v>3258594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IFERROR(__xludf.DUMMYFUNCTION("""COMPUTED_VALUE"""),1984.0)</f>
        <v>1984</v>
      </c>
      <c r="C101" s="6">
        <f>IFERROR(__xludf.DUMMYFUNCTION("""COMPUTED_VALUE"""),1985.9)</f>
        <v>1985.9</v>
      </c>
      <c r="D101" s="6">
        <f>IFERROR(__xludf.DUMMYFUNCTION("""COMPUTED_VALUE"""),1911.0)</f>
        <v>1911</v>
      </c>
      <c r="E101" s="6">
        <f>IFERROR(__xludf.DUMMYFUNCTION("""COMPUTED_VALUE"""),1924.6)</f>
        <v>1924.6</v>
      </c>
      <c r="F101" s="6">
        <f>IFERROR(__xludf.DUMMYFUNCTION("""COMPUTED_VALUE"""),9962200.0)</f>
        <v>9962200</v>
      </c>
    </row>
  </sheetData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IFERROR(__xludf.DUMMYFUNCTION("GOOGLEFINANCE(""NSE:M&amp;M"",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IFERROR(__xludf.DUMMYFUNCTION("""COMPUTED_VALUE"""),1528.0)</f>
        <v>1528</v>
      </c>
      <c r="C2" s="6">
        <f>IFERROR(__xludf.DUMMYFUNCTION("""COMPUTED_VALUE"""),1604.5)</f>
        <v>1604.5</v>
      </c>
      <c r="D2" s="6">
        <f>IFERROR(__xludf.DUMMYFUNCTION("""COMPUTED_VALUE"""),1524.1)</f>
        <v>1524.1</v>
      </c>
      <c r="E2" s="6">
        <f>IFERROR(__xludf.DUMMYFUNCTION("""COMPUTED_VALUE"""),1591.95)</f>
        <v>1591.95</v>
      </c>
      <c r="F2" s="6">
        <f>IFERROR(__xludf.DUMMYFUNCTION("""COMPUTED_VALUE"""),1.2258618E7)</f>
        <v>12258618</v>
      </c>
    </row>
    <row r="3">
      <c r="A3" s="7">
        <f>IFERROR(__xludf.DUMMYFUNCTION("""COMPUTED_VALUE"""),45177.64583333333)</f>
        <v>45177.64583</v>
      </c>
      <c r="B3" s="6">
        <f>IFERROR(__xludf.DUMMYFUNCTION("""COMPUTED_VALUE"""),1605.9)</f>
        <v>1605.9</v>
      </c>
      <c r="C3" s="6">
        <f>IFERROR(__xludf.DUMMYFUNCTION("""COMPUTED_VALUE"""),1605.9)</f>
        <v>1605.9</v>
      </c>
      <c r="D3" s="6">
        <f>IFERROR(__xludf.DUMMYFUNCTION("""COMPUTED_VALUE"""),1558.7)</f>
        <v>1558.7</v>
      </c>
      <c r="E3" s="6">
        <f>IFERROR(__xludf.DUMMYFUNCTION("""COMPUTED_VALUE"""),1567.55)</f>
        <v>1567.55</v>
      </c>
      <c r="F3" s="6">
        <f>IFERROR(__xludf.DUMMYFUNCTION("""COMPUTED_VALUE"""),7318646.0)</f>
        <v>7318646</v>
      </c>
    </row>
    <row r="4">
      <c r="A4" s="7">
        <f>IFERROR(__xludf.DUMMYFUNCTION("""COMPUTED_VALUE"""),45184.64583333333)</f>
        <v>45184.64583</v>
      </c>
      <c r="B4" s="6">
        <f>IFERROR(__xludf.DUMMYFUNCTION("""COMPUTED_VALUE"""),1567.65)</f>
        <v>1567.65</v>
      </c>
      <c r="C4" s="6">
        <f>IFERROR(__xludf.DUMMYFUNCTION("""COMPUTED_VALUE"""),1610.7)</f>
        <v>1610.7</v>
      </c>
      <c r="D4" s="6">
        <f>IFERROR(__xludf.DUMMYFUNCTION("""COMPUTED_VALUE"""),1513.05)</f>
        <v>1513.05</v>
      </c>
      <c r="E4" s="6">
        <f>IFERROR(__xludf.DUMMYFUNCTION("""COMPUTED_VALUE"""),1601.1)</f>
        <v>1601.1</v>
      </c>
      <c r="F4" s="6">
        <f>IFERROR(__xludf.DUMMYFUNCTION("""COMPUTED_VALUE"""),1.5721548E7)</f>
        <v>15721548</v>
      </c>
    </row>
    <row r="5">
      <c r="A5" s="7">
        <f>IFERROR(__xludf.DUMMYFUNCTION("""COMPUTED_VALUE"""),45191.64583333333)</f>
        <v>45191.64583</v>
      </c>
      <c r="B5" s="6">
        <f>IFERROR(__xludf.DUMMYFUNCTION("""COMPUTED_VALUE"""),1608.75)</f>
        <v>1608.75</v>
      </c>
      <c r="C5" s="6">
        <f>IFERROR(__xludf.DUMMYFUNCTION("""COMPUTED_VALUE"""),1670.0)</f>
        <v>1670</v>
      </c>
      <c r="D5" s="6">
        <f>IFERROR(__xludf.DUMMYFUNCTION("""COMPUTED_VALUE"""),1566.1)</f>
        <v>1566.1</v>
      </c>
      <c r="E5" s="6">
        <f>IFERROR(__xludf.DUMMYFUNCTION("""COMPUTED_VALUE"""),1607.15)</f>
        <v>1607.15</v>
      </c>
      <c r="F5" s="6">
        <f>IFERROR(__xludf.DUMMYFUNCTION("""COMPUTED_VALUE"""),1.9730235E7)</f>
        <v>19730235</v>
      </c>
    </row>
    <row r="6">
      <c r="A6" s="7">
        <f>IFERROR(__xludf.DUMMYFUNCTION("""COMPUTED_VALUE"""),45198.64583333333)</f>
        <v>45198.64583</v>
      </c>
      <c r="B6" s="6">
        <f>IFERROR(__xludf.DUMMYFUNCTION("""COMPUTED_VALUE"""),1612.95)</f>
        <v>1612.95</v>
      </c>
      <c r="C6" s="6">
        <f>IFERROR(__xludf.DUMMYFUNCTION("""COMPUTED_VALUE"""),1620.0)</f>
        <v>1620</v>
      </c>
      <c r="D6" s="6">
        <f>IFERROR(__xludf.DUMMYFUNCTION("""COMPUTED_VALUE"""),1544.0)</f>
        <v>1544</v>
      </c>
      <c r="E6" s="6">
        <f>IFERROR(__xludf.DUMMYFUNCTION("""COMPUTED_VALUE"""),1554.25)</f>
        <v>1554.25</v>
      </c>
      <c r="F6" s="6">
        <f>IFERROR(__xludf.DUMMYFUNCTION("""COMPUTED_VALUE"""),1.0327581E7)</f>
        <v>10327581</v>
      </c>
    </row>
    <row r="7">
      <c r="A7" s="7">
        <f>IFERROR(__xludf.DUMMYFUNCTION("""COMPUTED_VALUE"""),45205.64583333333)</f>
        <v>45205.64583</v>
      </c>
      <c r="B7" s="6">
        <f>IFERROR(__xludf.DUMMYFUNCTION("""COMPUTED_VALUE"""),1597.2)</f>
        <v>1597.2</v>
      </c>
      <c r="C7" s="6">
        <f>IFERROR(__xludf.DUMMYFUNCTION("""COMPUTED_VALUE"""),1598.0)</f>
        <v>1598</v>
      </c>
      <c r="D7" s="6">
        <f>IFERROR(__xludf.DUMMYFUNCTION("""COMPUTED_VALUE"""),1501.75)</f>
        <v>1501.75</v>
      </c>
      <c r="E7" s="6">
        <f>IFERROR(__xludf.DUMMYFUNCTION("""COMPUTED_VALUE"""),1548.85)</f>
        <v>1548.85</v>
      </c>
      <c r="F7" s="6">
        <f>IFERROR(__xludf.DUMMYFUNCTION("""COMPUTED_VALUE"""),9752071.0)</f>
        <v>9752071</v>
      </c>
    </row>
    <row r="8">
      <c r="A8" s="7">
        <f>IFERROR(__xludf.DUMMYFUNCTION("""COMPUTED_VALUE"""),45212.64583333333)</f>
        <v>45212.64583</v>
      </c>
      <c r="B8" s="6">
        <f>IFERROR(__xludf.DUMMYFUNCTION("""COMPUTED_VALUE"""),1540.0)</f>
        <v>1540</v>
      </c>
      <c r="C8" s="6">
        <f>IFERROR(__xludf.DUMMYFUNCTION("""COMPUTED_VALUE"""),1574.4)</f>
        <v>1574.4</v>
      </c>
      <c r="D8" s="6">
        <f>IFERROR(__xludf.DUMMYFUNCTION("""COMPUTED_VALUE"""),1514.0)</f>
        <v>1514</v>
      </c>
      <c r="E8" s="6">
        <f>IFERROR(__xludf.DUMMYFUNCTION("""COMPUTED_VALUE"""),1562.45)</f>
        <v>1562.45</v>
      </c>
      <c r="F8" s="6">
        <f>IFERROR(__xludf.DUMMYFUNCTION("""COMPUTED_VALUE"""),8814174.0)</f>
        <v>8814174</v>
      </c>
    </row>
    <row r="9">
      <c r="A9" s="7">
        <f>IFERROR(__xludf.DUMMYFUNCTION("""COMPUTED_VALUE"""),45219.64583333333)</f>
        <v>45219.64583</v>
      </c>
      <c r="B9" s="6">
        <f>IFERROR(__xludf.DUMMYFUNCTION("""COMPUTED_VALUE"""),1562.85)</f>
        <v>1562.85</v>
      </c>
      <c r="C9" s="6">
        <f>IFERROR(__xludf.DUMMYFUNCTION("""COMPUTED_VALUE"""),1583.9)</f>
        <v>1583.9</v>
      </c>
      <c r="D9" s="6">
        <f>IFERROR(__xludf.DUMMYFUNCTION("""COMPUTED_VALUE"""),1545.1)</f>
        <v>1545.1</v>
      </c>
      <c r="E9" s="6">
        <f>IFERROR(__xludf.DUMMYFUNCTION("""COMPUTED_VALUE"""),1558.25)</f>
        <v>1558.25</v>
      </c>
      <c r="F9" s="6">
        <f>IFERROR(__xludf.DUMMYFUNCTION("""COMPUTED_VALUE"""),5975246.0)</f>
        <v>5975246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IFERROR(__xludf.DUMMYFUNCTION("""COMPUTED_VALUE"""),1548.25)</f>
        <v>1548.25</v>
      </c>
      <c r="C10" s="6">
        <f>IFERROR(__xludf.DUMMYFUNCTION("""COMPUTED_VALUE"""),1576.6)</f>
        <v>1576.6</v>
      </c>
      <c r="D10" s="6">
        <f>IFERROR(__xludf.DUMMYFUNCTION("""COMPUTED_VALUE"""),1500.0)</f>
        <v>1500</v>
      </c>
      <c r="E10" s="6">
        <f>IFERROR(__xludf.DUMMYFUNCTION("""COMPUTED_VALUE"""),1510.8)</f>
        <v>1510.8</v>
      </c>
      <c r="F10" s="6">
        <f>IFERROR(__xludf.DUMMYFUNCTION("""COMPUTED_VALUE"""),1.3264849E7)</f>
        <v>13264849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IFERROR(__xludf.DUMMYFUNCTION("""COMPUTED_VALUE"""),1502.1)</f>
        <v>1502.1</v>
      </c>
      <c r="C11" s="6">
        <f>IFERROR(__xludf.DUMMYFUNCTION("""COMPUTED_VALUE"""),1515.45)</f>
        <v>1515.45</v>
      </c>
      <c r="D11" s="6">
        <f>IFERROR(__xludf.DUMMYFUNCTION("""COMPUTED_VALUE"""),1450.0)</f>
        <v>1450</v>
      </c>
      <c r="E11" s="6">
        <f>IFERROR(__xludf.DUMMYFUNCTION("""COMPUTED_VALUE"""),1469.0)</f>
        <v>1469</v>
      </c>
      <c r="F11" s="6">
        <f>IFERROR(__xludf.DUMMYFUNCTION("""COMPUTED_VALUE"""),1.2368604E7)</f>
        <v>12368604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IFERROR(__xludf.DUMMYFUNCTION("""COMPUTED_VALUE"""),1481.8)</f>
        <v>1481.8</v>
      </c>
      <c r="C12" s="6">
        <f>IFERROR(__xludf.DUMMYFUNCTION("""COMPUTED_VALUE"""),1558.7)</f>
        <v>1558.7</v>
      </c>
      <c r="D12" s="6">
        <f>IFERROR(__xludf.DUMMYFUNCTION("""COMPUTED_VALUE"""),1473.55)</f>
        <v>1473.55</v>
      </c>
      <c r="E12" s="6">
        <f>IFERROR(__xludf.DUMMYFUNCTION("""COMPUTED_VALUE"""),1524.1)</f>
        <v>1524.1</v>
      </c>
      <c r="F12" s="6">
        <f>IFERROR(__xludf.DUMMYFUNCTION("""COMPUTED_VALUE"""),1.4258988E7)</f>
        <v>14258988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IFERROR(__xludf.DUMMYFUNCTION("""COMPUTED_VALUE"""),1540.0)</f>
        <v>1540</v>
      </c>
      <c r="C13" s="6">
        <f>IFERROR(__xludf.DUMMYFUNCTION("""COMPUTED_VALUE"""),1596.0)</f>
        <v>1596</v>
      </c>
      <c r="D13" s="6">
        <f>IFERROR(__xludf.DUMMYFUNCTION("""COMPUTED_VALUE"""),1513.05)</f>
        <v>1513.05</v>
      </c>
      <c r="E13" s="6">
        <f>IFERROR(__xludf.DUMMYFUNCTION("""COMPUTED_VALUE"""),1584.55)</f>
        <v>1584.55</v>
      </c>
      <c r="F13" s="6">
        <f>IFERROR(__xludf.DUMMYFUNCTION("""COMPUTED_VALUE"""),1.035105E7)</f>
        <v>10351050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IFERROR(__xludf.DUMMYFUNCTION("""COMPUTED_VALUE"""),1589.8)</f>
        <v>1589.8</v>
      </c>
      <c r="C14" s="6">
        <f>IFERROR(__xludf.DUMMYFUNCTION("""COMPUTED_VALUE"""),1589.8)</f>
        <v>1589.8</v>
      </c>
      <c r="D14" s="6">
        <f>IFERROR(__xludf.DUMMYFUNCTION("""COMPUTED_VALUE"""),1535.0)</f>
        <v>1535</v>
      </c>
      <c r="E14" s="6">
        <f>IFERROR(__xludf.DUMMYFUNCTION("""COMPUTED_VALUE"""),1553.2)</f>
        <v>1553.2</v>
      </c>
      <c r="F14" s="6">
        <f>IFERROR(__xludf.DUMMYFUNCTION("""COMPUTED_VALUE"""),9193101.0)</f>
        <v>9193101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IFERROR(__xludf.DUMMYFUNCTION("""COMPUTED_VALUE"""),1553.2)</f>
        <v>1553.2</v>
      </c>
      <c r="C15" s="6">
        <f>IFERROR(__xludf.DUMMYFUNCTION("""COMPUTED_VALUE"""),1666.0)</f>
        <v>1666</v>
      </c>
      <c r="D15" s="6">
        <f>IFERROR(__xludf.DUMMYFUNCTION("""COMPUTED_VALUE"""),1542.15)</f>
        <v>1542.15</v>
      </c>
      <c r="E15" s="6">
        <f>IFERROR(__xludf.DUMMYFUNCTION("""COMPUTED_VALUE"""),1625.5)</f>
        <v>1625.5</v>
      </c>
      <c r="F15" s="6">
        <f>IFERROR(__xludf.DUMMYFUNCTION("""COMPUTED_VALUE"""),1.3882701E7)</f>
        <v>13882701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IFERROR(__xludf.DUMMYFUNCTION("""COMPUTED_VALUE"""),1662.85)</f>
        <v>1662.85</v>
      </c>
      <c r="C16" s="6">
        <f>IFERROR(__xludf.DUMMYFUNCTION("""COMPUTED_VALUE"""),1710.45)</f>
        <v>1710.45</v>
      </c>
      <c r="D16" s="6">
        <f>IFERROR(__xludf.DUMMYFUNCTION("""COMPUTED_VALUE"""),1639.45)</f>
        <v>1639.45</v>
      </c>
      <c r="E16" s="6">
        <f>IFERROR(__xludf.DUMMYFUNCTION("""COMPUTED_VALUE"""),1668.55)</f>
        <v>1668.55</v>
      </c>
      <c r="F16" s="6">
        <f>IFERROR(__xludf.DUMMYFUNCTION("""COMPUTED_VALUE"""),1.3107901E7)</f>
        <v>13107901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IFERROR(__xludf.DUMMYFUNCTION("""COMPUTED_VALUE"""),1674.0)</f>
        <v>1674</v>
      </c>
      <c r="C17" s="6">
        <f>IFERROR(__xludf.DUMMYFUNCTION("""COMPUTED_VALUE"""),1739.6)</f>
        <v>1739.6</v>
      </c>
      <c r="D17" s="6">
        <f>IFERROR(__xludf.DUMMYFUNCTION("""COMPUTED_VALUE"""),1626.5)</f>
        <v>1626.5</v>
      </c>
      <c r="E17" s="6">
        <f>IFERROR(__xludf.DUMMYFUNCTION("""COMPUTED_VALUE"""),1724.95)</f>
        <v>1724.95</v>
      </c>
      <c r="F17" s="6">
        <f>IFERROR(__xludf.DUMMYFUNCTION("""COMPUTED_VALUE"""),1.3520968E7)</f>
        <v>13520968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IFERROR(__xludf.DUMMYFUNCTION("""COMPUTED_VALUE"""),1720.0)</f>
        <v>1720</v>
      </c>
      <c r="C18" s="6">
        <f>IFERROR(__xludf.DUMMYFUNCTION("""COMPUTED_VALUE"""),1731.85)</f>
        <v>1731.85</v>
      </c>
      <c r="D18" s="6">
        <f>IFERROR(__xludf.DUMMYFUNCTION("""COMPUTED_VALUE"""),1620.4)</f>
        <v>1620.4</v>
      </c>
      <c r="E18" s="6">
        <f>IFERROR(__xludf.DUMMYFUNCTION("""COMPUTED_VALUE"""),1634.25)</f>
        <v>1634.25</v>
      </c>
      <c r="F18" s="6">
        <f>IFERROR(__xludf.DUMMYFUNCTION("""COMPUTED_VALUE"""),1.2409918E7)</f>
        <v>12409918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IFERROR(__xludf.DUMMYFUNCTION("""COMPUTED_VALUE"""),1640.9)</f>
        <v>1640.9</v>
      </c>
      <c r="C19" s="6">
        <f>IFERROR(__xludf.DUMMYFUNCTION("""COMPUTED_VALUE"""),1758.0)</f>
        <v>1758</v>
      </c>
      <c r="D19" s="6">
        <f>IFERROR(__xludf.DUMMYFUNCTION("""COMPUTED_VALUE"""),1634.5)</f>
        <v>1634.5</v>
      </c>
      <c r="E19" s="6">
        <f>IFERROR(__xludf.DUMMYFUNCTION("""COMPUTED_VALUE"""),1729.4)</f>
        <v>1729.4</v>
      </c>
      <c r="F19" s="6">
        <f>IFERROR(__xludf.DUMMYFUNCTION("""COMPUTED_VALUE"""),8234425.0)</f>
        <v>8234425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IFERROR(__xludf.DUMMYFUNCTION("""COMPUTED_VALUE"""),1729.4)</f>
        <v>1729.4</v>
      </c>
      <c r="C20" s="6">
        <f>IFERROR(__xludf.DUMMYFUNCTION("""COMPUTED_VALUE"""),1730.0)</f>
        <v>1730</v>
      </c>
      <c r="D20" s="6">
        <f>IFERROR(__xludf.DUMMYFUNCTION("""COMPUTED_VALUE"""),1636.5)</f>
        <v>1636.5</v>
      </c>
      <c r="E20" s="6">
        <f>IFERROR(__xludf.DUMMYFUNCTION("""COMPUTED_VALUE"""),1642.0)</f>
        <v>1642</v>
      </c>
      <c r="F20" s="6">
        <f>IFERROR(__xludf.DUMMYFUNCTION("""COMPUTED_VALUE"""),1.0637712E7)</f>
        <v>10637712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IFERROR(__xludf.DUMMYFUNCTION("""COMPUTED_VALUE"""),1648.15)</f>
        <v>1648.15</v>
      </c>
      <c r="C21" s="6">
        <f>IFERROR(__xludf.DUMMYFUNCTION("""COMPUTED_VALUE"""),1653.4)</f>
        <v>1653.4</v>
      </c>
      <c r="D21" s="6">
        <f>IFERROR(__xludf.DUMMYFUNCTION("""COMPUTED_VALUE"""),1601.5)</f>
        <v>1601.5</v>
      </c>
      <c r="E21" s="6">
        <f>IFERROR(__xludf.DUMMYFUNCTION("""COMPUTED_VALUE"""),1624.45)</f>
        <v>1624.45</v>
      </c>
      <c r="F21" s="6">
        <f>IFERROR(__xludf.DUMMYFUNCTION("""COMPUTED_VALUE"""),1.1278453E7)</f>
        <v>11278453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IFERROR(__xludf.DUMMYFUNCTION("""COMPUTED_VALUE"""),1619.0)</f>
        <v>1619</v>
      </c>
      <c r="C22" s="6">
        <f>IFERROR(__xludf.DUMMYFUNCTION("""COMPUTED_VALUE"""),1647.6)</f>
        <v>1647.6</v>
      </c>
      <c r="D22" s="6">
        <f>IFERROR(__xludf.DUMMYFUNCTION("""COMPUTED_VALUE"""),1575.0)</f>
        <v>1575</v>
      </c>
      <c r="E22" s="6">
        <f>IFERROR(__xludf.DUMMYFUNCTION("""COMPUTED_VALUE"""),1635.5)</f>
        <v>1635.5</v>
      </c>
      <c r="F22" s="6">
        <f>IFERROR(__xludf.DUMMYFUNCTION("""COMPUTED_VALUE"""),7354675.0)</f>
        <v>7354675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IFERROR(__xludf.DUMMYFUNCTION("""COMPUTED_VALUE"""),1635.5)</f>
        <v>1635.5</v>
      </c>
      <c r="C23" s="6">
        <f>IFERROR(__xludf.DUMMYFUNCTION("""COMPUTED_VALUE"""),1702.6)</f>
        <v>1702.6</v>
      </c>
      <c r="D23" s="6">
        <f>IFERROR(__xludf.DUMMYFUNCTION("""COMPUTED_VALUE"""),1609.05)</f>
        <v>1609.05</v>
      </c>
      <c r="E23" s="6">
        <f>IFERROR(__xludf.DUMMYFUNCTION("""COMPUTED_VALUE"""),1660.75)</f>
        <v>1660.75</v>
      </c>
      <c r="F23" s="6">
        <f>IFERROR(__xludf.DUMMYFUNCTION("""COMPUTED_VALUE"""),1.6169497E7)</f>
        <v>16169497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IFERROR(__xludf.DUMMYFUNCTION("""COMPUTED_VALUE"""),1676.7)</f>
        <v>1676.7</v>
      </c>
      <c r="C24" s="6">
        <f>IFERROR(__xludf.DUMMYFUNCTION("""COMPUTED_VALUE"""),1752.0)</f>
        <v>1752</v>
      </c>
      <c r="D24" s="6">
        <f>IFERROR(__xludf.DUMMYFUNCTION("""COMPUTED_VALUE"""),1628.0)</f>
        <v>1628</v>
      </c>
      <c r="E24" s="6">
        <f>IFERROR(__xludf.DUMMYFUNCTION("""COMPUTED_VALUE"""),1646.4)</f>
        <v>1646.4</v>
      </c>
      <c r="F24" s="6">
        <f>IFERROR(__xludf.DUMMYFUNCTION("""COMPUTED_VALUE"""),1.1543598E7)</f>
        <v>11543598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IFERROR(__xludf.DUMMYFUNCTION("""COMPUTED_VALUE"""),1654.0)</f>
        <v>1654</v>
      </c>
      <c r="C25" s="6">
        <f>IFERROR(__xludf.DUMMYFUNCTION("""COMPUTED_VALUE"""),1864.65)</f>
        <v>1864.65</v>
      </c>
      <c r="D25" s="6">
        <f>IFERROR(__xludf.DUMMYFUNCTION("""COMPUTED_VALUE"""),1623.45)</f>
        <v>1623.45</v>
      </c>
      <c r="E25" s="6">
        <f>IFERROR(__xludf.DUMMYFUNCTION("""COMPUTED_VALUE"""),1835.55)</f>
        <v>1835.55</v>
      </c>
      <c r="F25" s="6">
        <f>IFERROR(__xludf.DUMMYFUNCTION("""COMPUTED_VALUE"""),2.4717841E7)</f>
        <v>24717841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IFERROR(__xludf.DUMMYFUNCTION("""COMPUTED_VALUE"""),1836.05)</f>
        <v>1836.05</v>
      </c>
      <c r="C26" s="6">
        <f>IFERROR(__xludf.DUMMYFUNCTION("""COMPUTED_VALUE"""),1947.85)</f>
        <v>1947.85</v>
      </c>
      <c r="D26" s="6">
        <f>IFERROR(__xludf.DUMMYFUNCTION("""COMPUTED_VALUE"""),1820.0)</f>
        <v>1820</v>
      </c>
      <c r="E26" s="6">
        <f>IFERROR(__xludf.DUMMYFUNCTION("""COMPUTED_VALUE"""),1929.95)</f>
        <v>1929.95</v>
      </c>
      <c r="F26" s="6">
        <f>IFERROR(__xludf.DUMMYFUNCTION("""COMPUTED_VALUE"""),1.5662596E7)</f>
        <v>15662596</v>
      </c>
    </row>
    <row r="27">
      <c r="A27" s="7">
        <f>IFERROR(__xludf.DUMMYFUNCTION("""COMPUTED_VALUE"""),45352.64583333333)</f>
        <v>45352.64583</v>
      </c>
      <c r="B27" s="6">
        <f>IFERROR(__xludf.DUMMYFUNCTION("""COMPUTED_VALUE"""),1935.0)</f>
        <v>1935</v>
      </c>
      <c r="C27" s="6">
        <f>IFERROR(__xludf.DUMMYFUNCTION("""COMPUTED_VALUE"""),1982.3)</f>
        <v>1982.3</v>
      </c>
      <c r="D27" s="6">
        <f>IFERROR(__xludf.DUMMYFUNCTION("""COMPUTED_VALUE"""),1892.55)</f>
        <v>1892.55</v>
      </c>
      <c r="E27" s="6">
        <f>IFERROR(__xludf.DUMMYFUNCTION("""COMPUTED_VALUE"""),1972.95)</f>
        <v>1972.95</v>
      </c>
      <c r="F27" s="6">
        <f>IFERROR(__xludf.DUMMYFUNCTION("""COMPUTED_VALUE"""),1.6191954E7)</f>
        <v>16191954</v>
      </c>
    </row>
    <row r="28">
      <c r="A28" s="7">
        <f>IFERROR(__xludf.DUMMYFUNCTION("""COMPUTED_VALUE"""),45358.64583333333)</f>
        <v>45358.64583</v>
      </c>
      <c r="B28" s="6">
        <f>IFERROR(__xludf.DUMMYFUNCTION("""COMPUTED_VALUE"""),1967.0)</f>
        <v>1967</v>
      </c>
      <c r="C28" s="6">
        <f>IFERROR(__xludf.DUMMYFUNCTION("""COMPUTED_VALUE"""),1979.9)</f>
        <v>1979.9</v>
      </c>
      <c r="D28" s="6">
        <f>IFERROR(__xludf.DUMMYFUNCTION("""COMPUTED_VALUE"""),1884.3)</f>
        <v>1884.3</v>
      </c>
      <c r="E28" s="6">
        <f>IFERROR(__xludf.DUMMYFUNCTION("""COMPUTED_VALUE"""),1897.55)</f>
        <v>1897.55</v>
      </c>
      <c r="F28" s="6">
        <f>IFERROR(__xludf.DUMMYFUNCTION("""COMPUTED_VALUE"""),2.3850729E7)</f>
        <v>23850729</v>
      </c>
    </row>
    <row r="29">
      <c r="A29" s="7">
        <f>IFERROR(__xludf.DUMMYFUNCTION("""COMPUTED_VALUE"""),45366.64583333333)</f>
        <v>45366.64583</v>
      </c>
      <c r="B29" s="6">
        <f>IFERROR(__xludf.DUMMYFUNCTION("""COMPUTED_VALUE"""),1913.0)</f>
        <v>1913</v>
      </c>
      <c r="C29" s="6">
        <f>IFERROR(__xludf.DUMMYFUNCTION("""COMPUTED_VALUE"""),1913.7)</f>
        <v>1913.7</v>
      </c>
      <c r="D29" s="6">
        <f>IFERROR(__xludf.DUMMYFUNCTION("""COMPUTED_VALUE"""),1788.8)</f>
        <v>1788.8</v>
      </c>
      <c r="E29" s="6">
        <f>IFERROR(__xludf.DUMMYFUNCTION("""COMPUTED_VALUE"""),1799.5)</f>
        <v>1799.5</v>
      </c>
      <c r="F29" s="6">
        <f>IFERROR(__xludf.DUMMYFUNCTION("""COMPUTED_VALUE"""),1.8601367E7)</f>
        <v>18601367</v>
      </c>
    </row>
    <row r="30">
      <c r="A30" s="7">
        <f>IFERROR(__xludf.DUMMYFUNCTION("""COMPUTED_VALUE"""),45373.64583333333)</f>
        <v>45373.64583</v>
      </c>
      <c r="B30" s="6">
        <f>IFERROR(__xludf.DUMMYFUNCTION("""COMPUTED_VALUE"""),1807.95)</f>
        <v>1807.95</v>
      </c>
      <c r="C30" s="6">
        <f>IFERROR(__xludf.DUMMYFUNCTION("""COMPUTED_VALUE"""),1905.45)</f>
        <v>1905.45</v>
      </c>
      <c r="D30" s="6">
        <f>IFERROR(__xludf.DUMMYFUNCTION("""COMPUTED_VALUE"""),1801.05)</f>
        <v>1801.05</v>
      </c>
      <c r="E30" s="6">
        <f>IFERROR(__xludf.DUMMYFUNCTION("""COMPUTED_VALUE"""),1878.8)</f>
        <v>1878.8</v>
      </c>
      <c r="F30" s="6">
        <f>IFERROR(__xludf.DUMMYFUNCTION("""COMPUTED_VALUE"""),1.3003666E7)</f>
        <v>13003666</v>
      </c>
    </row>
    <row r="31">
      <c r="A31" s="7">
        <f>IFERROR(__xludf.DUMMYFUNCTION("""COMPUTED_VALUE"""),45379.64583333333)</f>
        <v>45379.64583</v>
      </c>
      <c r="B31" s="6">
        <f>IFERROR(__xludf.DUMMYFUNCTION("""COMPUTED_VALUE"""),1878.2)</f>
        <v>1878.2</v>
      </c>
      <c r="C31" s="6">
        <f>IFERROR(__xludf.DUMMYFUNCTION("""COMPUTED_VALUE"""),1962.95)</f>
        <v>1962.95</v>
      </c>
      <c r="D31" s="6">
        <f>IFERROR(__xludf.DUMMYFUNCTION("""COMPUTED_VALUE"""),1855.3)</f>
        <v>1855.3</v>
      </c>
      <c r="E31" s="6">
        <f>IFERROR(__xludf.DUMMYFUNCTION("""COMPUTED_VALUE"""),1921.35)</f>
        <v>1921.35</v>
      </c>
      <c r="F31" s="6">
        <f>IFERROR(__xludf.DUMMYFUNCTION("""COMPUTED_VALUE"""),1.2080195E7)</f>
        <v>12080195</v>
      </c>
    </row>
    <row r="32">
      <c r="A32" s="7">
        <f>IFERROR(__xludf.DUMMYFUNCTION("""COMPUTED_VALUE"""),45387.64583333333)</f>
        <v>45387.64583</v>
      </c>
      <c r="B32" s="6">
        <f>IFERROR(__xludf.DUMMYFUNCTION("""COMPUTED_VALUE"""),1938.0)</f>
        <v>1938</v>
      </c>
      <c r="C32" s="6">
        <f>IFERROR(__xludf.DUMMYFUNCTION("""COMPUTED_VALUE"""),2027.45)</f>
        <v>2027.45</v>
      </c>
      <c r="D32" s="6">
        <f>IFERROR(__xludf.DUMMYFUNCTION("""COMPUTED_VALUE"""),1891.8)</f>
        <v>1891.8</v>
      </c>
      <c r="E32" s="6">
        <f>IFERROR(__xludf.DUMMYFUNCTION("""COMPUTED_VALUE"""),2013.3)</f>
        <v>2013.3</v>
      </c>
      <c r="F32" s="6">
        <f>IFERROR(__xludf.DUMMYFUNCTION("""COMPUTED_VALUE"""),1.5587877E7)</f>
        <v>15587877</v>
      </c>
    </row>
    <row r="33">
      <c r="A33" s="7">
        <f>IFERROR(__xludf.DUMMYFUNCTION("""COMPUTED_VALUE"""),45394.64583333333)</f>
        <v>45394.64583</v>
      </c>
      <c r="B33" s="6">
        <f>IFERROR(__xludf.DUMMYFUNCTION("""COMPUTED_VALUE"""),2018.0)</f>
        <v>2018</v>
      </c>
      <c r="C33" s="6">
        <f>IFERROR(__xludf.DUMMYFUNCTION("""COMPUTED_VALUE"""),2108.6)</f>
        <v>2108.6</v>
      </c>
      <c r="D33" s="6">
        <f>IFERROR(__xludf.DUMMYFUNCTION("""COMPUTED_VALUE"""),2016.9)</f>
        <v>2016.9</v>
      </c>
      <c r="E33" s="6">
        <f>IFERROR(__xludf.DUMMYFUNCTION("""COMPUTED_VALUE"""),2070.95)</f>
        <v>2070.95</v>
      </c>
      <c r="F33" s="6">
        <f>IFERROR(__xludf.DUMMYFUNCTION("""COMPUTED_VALUE"""),1.1924179E7)</f>
        <v>11924179</v>
      </c>
    </row>
    <row r="34">
      <c r="A34" s="7">
        <f>IFERROR(__xludf.DUMMYFUNCTION("""COMPUTED_VALUE"""),45401.64583333333)</f>
        <v>45401.64583</v>
      </c>
      <c r="B34" s="6">
        <f>IFERROR(__xludf.DUMMYFUNCTION("""COMPUTED_VALUE"""),2055.25)</f>
        <v>2055.25</v>
      </c>
      <c r="C34" s="6">
        <f>IFERROR(__xludf.DUMMYFUNCTION("""COMPUTED_VALUE"""),2087.0)</f>
        <v>2087</v>
      </c>
      <c r="D34" s="6">
        <f>IFERROR(__xludf.DUMMYFUNCTION("""COMPUTED_VALUE"""),1998.2)</f>
        <v>1998.2</v>
      </c>
      <c r="E34" s="6">
        <f>IFERROR(__xludf.DUMMYFUNCTION("""COMPUTED_VALUE"""),2082.9)</f>
        <v>2082.9</v>
      </c>
      <c r="F34" s="6">
        <f>IFERROR(__xludf.DUMMYFUNCTION("""COMPUTED_VALUE"""),1.0799759E7)</f>
        <v>10799759</v>
      </c>
    </row>
    <row r="35">
      <c r="A35" s="7">
        <f>IFERROR(__xludf.DUMMYFUNCTION("""COMPUTED_VALUE"""),45408.64583333333)</f>
        <v>45408.64583</v>
      </c>
      <c r="B35" s="6">
        <f>IFERROR(__xludf.DUMMYFUNCTION("""COMPUTED_VALUE"""),2124.55)</f>
        <v>2124.55</v>
      </c>
      <c r="C35" s="6">
        <f>IFERROR(__xludf.DUMMYFUNCTION("""COMPUTED_VALUE"""),2133.0)</f>
        <v>2133</v>
      </c>
      <c r="D35" s="6">
        <f>IFERROR(__xludf.DUMMYFUNCTION("""COMPUTED_VALUE"""),2038.8)</f>
        <v>2038.8</v>
      </c>
      <c r="E35" s="6">
        <f>IFERROR(__xludf.DUMMYFUNCTION("""COMPUTED_VALUE"""),2044.9)</f>
        <v>2044.9</v>
      </c>
      <c r="F35" s="6">
        <f>IFERROR(__xludf.DUMMYFUNCTION("""COMPUTED_VALUE"""),1.3302123E7)</f>
        <v>13302123</v>
      </c>
    </row>
    <row r="36">
      <c r="A36" s="7">
        <f>IFERROR(__xludf.DUMMYFUNCTION("""COMPUTED_VALUE"""),45415.64583333333)</f>
        <v>45415.64583</v>
      </c>
      <c r="B36" s="6">
        <f>IFERROR(__xludf.DUMMYFUNCTION("""COMPUTED_VALUE"""),2045.5)</f>
        <v>2045.5</v>
      </c>
      <c r="C36" s="6">
        <f>IFERROR(__xludf.DUMMYFUNCTION("""COMPUTED_VALUE"""),2210.0)</f>
        <v>2210</v>
      </c>
      <c r="D36" s="6">
        <f>IFERROR(__xludf.DUMMYFUNCTION("""COMPUTED_VALUE"""),2001.0)</f>
        <v>2001</v>
      </c>
      <c r="E36" s="6">
        <f>IFERROR(__xludf.DUMMYFUNCTION("""COMPUTED_VALUE"""),2193.0)</f>
        <v>2193</v>
      </c>
      <c r="F36" s="6">
        <f>IFERROR(__xludf.DUMMYFUNCTION("""COMPUTED_VALUE"""),1.5676515E7)</f>
        <v>15676515</v>
      </c>
    </row>
    <row r="37">
      <c r="A37" s="7">
        <f>IFERROR(__xludf.DUMMYFUNCTION("""COMPUTED_VALUE"""),45422.64583333333)</f>
        <v>45422.64583</v>
      </c>
      <c r="B37" s="6">
        <f>IFERROR(__xludf.DUMMYFUNCTION("""COMPUTED_VALUE"""),2200.45)</f>
        <v>2200.45</v>
      </c>
      <c r="C37" s="6">
        <f>IFERROR(__xludf.DUMMYFUNCTION("""COMPUTED_VALUE"""),2256.75)</f>
        <v>2256.75</v>
      </c>
      <c r="D37" s="6">
        <f>IFERROR(__xludf.DUMMYFUNCTION("""COMPUTED_VALUE"""),2160.0)</f>
        <v>2160</v>
      </c>
      <c r="E37" s="6">
        <f>IFERROR(__xludf.DUMMYFUNCTION("""COMPUTED_VALUE"""),2193.05)</f>
        <v>2193.05</v>
      </c>
      <c r="F37" s="6">
        <f>IFERROR(__xludf.DUMMYFUNCTION("""COMPUTED_VALUE"""),1.2877206E7)</f>
        <v>12877206</v>
      </c>
    </row>
    <row r="38">
      <c r="A38" s="7">
        <f>IFERROR(__xludf.DUMMYFUNCTION("""COMPUTED_VALUE"""),45436.64583333333)</f>
        <v>45436.64583</v>
      </c>
      <c r="B38" s="6">
        <f>IFERROR(__xludf.DUMMYFUNCTION("""COMPUTED_VALUE"""),2503.0)</f>
        <v>2503</v>
      </c>
      <c r="C38" s="6">
        <f>IFERROR(__xludf.DUMMYFUNCTION("""COMPUTED_VALUE"""),2617.4)</f>
        <v>2617.4</v>
      </c>
      <c r="D38" s="6">
        <f>IFERROR(__xludf.DUMMYFUNCTION("""COMPUTED_VALUE"""),2467.0)</f>
        <v>2467</v>
      </c>
      <c r="E38" s="6">
        <f>IFERROR(__xludf.DUMMYFUNCTION("""COMPUTED_VALUE"""),2579.75)</f>
        <v>2579.75</v>
      </c>
      <c r="F38" s="6">
        <f>IFERROR(__xludf.DUMMYFUNCTION("""COMPUTED_VALUE"""),1.4356717E7)</f>
        <v>14356717</v>
      </c>
    </row>
    <row r="39">
      <c r="A39" s="7">
        <f>IFERROR(__xludf.DUMMYFUNCTION("""COMPUTED_VALUE"""),45443.64583333333)</f>
        <v>45443.64583</v>
      </c>
      <c r="B39" s="6">
        <f>IFERROR(__xludf.DUMMYFUNCTION("""COMPUTED_VALUE"""),2581.15)</f>
        <v>2581.15</v>
      </c>
      <c r="C39" s="6">
        <f>IFERROR(__xludf.DUMMYFUNCTION("""COMPUTED_VALUE"""),2589.75)</f>
        <v>2589.75</v>
      </c>
      <c r="D39" s="6">
        <f>IFERROR(__xludf.DUMMYFUNCTION("""COMPUTED_VALUE"""),2478.0)</f>
        <v>2478</v>
      </c>
      <c r="E39" s="6">
        <f>IFERROR(__xludf.DUMMYFUNCTION("""COMPUTED_VALUE"""),2506.25)</f>
        <v>2506.25</v>
      </c>
      <c r="F39" s="6">
        <f>IFERROR(__xludf.DUMMYFUNCTION("""COMPUTED_VALUE"""),1.9735038E7)</f>
        <v>19735038</v>
      </c>
    </row>
    <row r="40">
      <c r="A40" s="7">
        <f>IFERROR(__xludf.DUMMYFUNCTION("""COMPUTED_VALUE"""),45450.64583333333)</f>
        <v>45450.64583</v>
      </c>
      <c r="B40" s="6">
        <f>IFERROR(__xludf.DUMMYFUNCTION("""COMPUTED_VALUE"""),2575.05)</f>
        <v>2575.05</v>
      </c>
      <c r="C40" s="6">
        <f>IFERROR(__xludf.DUMMYFUNCTION("""COMPUTED_VALUE"""),2867.6)</f>
        <v>2867.6</v>
      </c>
      <c r="D40" s="6">
        <f>IFERROR(__xludf.DUMMYFUNCTION("""COMPUTED_VALUE"""),2448.2)</f>
        <v>2448.2</v>
      </c>
      <c r="E40" s="6">
        <f>IFERROR(__xludf.DUMMYFUNCTION("""COMPUTED_VALUE"""),2857.45)</f>
        <v>2857.45</v>
      </c>
      <c r="F40" s="6">
        <f>IFERROR(__xludf.DUMMYFUNCTION("""COMPUTED_VALUE"""),2.4756768E7)</f>
        <v>24756768</v>
      </c>
    </row>
    <row r="41">
      <c r="A41" s="7">
        <f>IFERROR(__xludf.DUMMYFUNCTION("""COMPUTED_VALUE"""),45457.64583333333)</f>
        <v>45457.64583</v>
      </c>
      <c r="B41" s="6">
        <f>IFERROR(__xludf.DUMMYFUNCTION("""COMPUTED_VALUE"""),2861.0)</f>
        <v>2861</v>
      </c>
      <c r="C41" s="6">
        <f>IFERROR(__xludf.DUMMYFUNCTION("""COMPUTED_VALUE"""),2946.0)</f>
        <v>2946</v>
      </c>
      <c r="D41" s="6">
        <f>IFERROR(__xludf.DUMMYFUNCTION("""COMPUTED_VALUE"""),2782.05)</f>
        <v>2782.05</v>
      </c>
      <c r="E41" s="6">
        <f>IFERROR(__xludf.DUMMYFUNCTION("""COMPUTED_VALUE"""),2928.6)</f>
        <v>2928.6</v>
      </c>
      <c r="F41" s="6">
        <f>IFERROR(__xludf.DUMMYFUNCTION("""COMPUTED_VALUE"""),1.2908582E7)</f>
        <v>12908582</v>
      </c>
    </row>
    <row r="42">
      <c r="A42" s="7">
        <f>IFERROR(__xludf.DUMMYFUNCTION("""COMPUTED_VALUE"""),45464.64583333333)</f>
        <v>45464.64583</v>
      </c>
      <c r="B42" s="6">
        <f>IFERROR(__xludf.DUMMYFUNCTION("""COMPUTED_VALUE"""),2965.0)</f>
        <v>2965</v>
      </c>
      <c r="C42" s="6">
        <f>IFERROR(__xludf.DUMMYFUNCTION("""COMPUTED_VALUE"""),3013.5)</f>
        <v>3013.5</v>
      </c>
      <c r="D42" s="6">
        <f>IFERROR(__xludf.DUMMYFUNCTION("""COMPUTED_VALUE"""),2825.05)</f>
        <v>2825.05</v>
      </c>
      <c r="E42" s="6">
        <f>IFERROR(__xludf.DUMMYFUNCTION("""COMPUTED_VALUE"""),2839.95)</f>
        <v>2839.95</v>
      </c>
      <c r="F42" s="6">
        <f>IFERROR(__xludf.DUMMYFUNCTION("""COMPUTED_VALUE"""),2.0824689E7)</f>
        <v>20824689</v>
      </c>
    </row>
    <row r="43">
      <c r="A43" s="7">
        <f>IFERROR(__xludf.DUMMYFUNCTION("""COMPUTED_VALUE"""),45471.64583333333)</f>
        <v>45471.64583</v>
      </c>
      <c r="B43" s="6">
        <f>IFERROR(__xludf.DUMMYFUNCTION("""COMPUTED_VALUE"""),2836.5)</f>
        <v>2836.5</v>
      </c>
      <c r="C43" s="6">
        <f>IFERROR(__xludf.DUMMYFUNCTION("""COMPUTED_VALUE"""),2947.0)</f>
        <v>2947</v>
      </c>
      <c r="D43" s="6">
        <f>IFERROR(__xludf.DUMMYFUNCTION("""COMPUTED_VALUE"""),2793.05)</f>
        <v>2793.05</v>
      </c>
      <c r="E43" s="6">
        <f>IFERROR(__xludf.DUMMYFUNCTION("""COMPUTED_VALUE"""),2866.65)</f>
        <v>2866.65</v>
      </c>
      <c r="F43" s="6">
        <f>IFERROR(__xludf.DUMMYFUNCTION("""COMPUTED_VALUE"""),1.7341337E7)</f>
        <v>17341337</v>
      </c>
    </row>
    <row r="44">
      <c r="A44" s="7">
        <f>IFERROR(__xludf.DUMMYFUNCTION("""COMPUTED_VALUE"""),45478.64583333333)</f>
        <v>45478.64583</v>
      </c>
      <c r="B44" s="6">
        <f>IFERROR(__xludf.DUMMYFUNCTION("""COMPUTED_VALUE"""),2841.0)</f>
        <v>2841</v>
      </c>
      <c r="C44" s="6">
        <f>IFERROR(__xludf.DUMMYFUNCTION("""COMPUTED_VALUE"""),2922.0)</f>
        <v>2922</v>
      </c>
      <c r="D44" s="6">
        <f>IFERROR(__xludf.DUMMYFUNCTION("""COMPUTED_VALUE"""),2838.25)</f>
        <v>2838.25</v>
      </c>
      <c r="E44" s="6">
        <f>IFERROR(__xludf.DUMMYFUNCTION("""COMPUTED_VALUE"""),2880.6)</f>
        <v>2880.6</v>
      </c>
      <c r="F44" s="6">
        <f>IFERROR(__xludf.DUMMYFUNCTION("""COMPUTED_VALUE"""),7714417.0)</f>
        <v>7714417</v>
      </c>
    </row>
    <row r="45">
      <c r="A45" s="7">
        <f>IFERROR(__xludf.DUMMYFUNCTION("""COMPUTED_VALUE"""),45485.64583333333)</f>
        <v>45485.64583</v>
      </c>
      <c r="B45" s="6">
        <f>IFERROR(__xludf.DUMMYFUNCTION("""COMPUTED_VALUE"""),2880.6)</f>
        <v>2880.6</v>
      </c>
      <c r="C45" s="6">
        <f>IFERROR(__xludf.DUMMYFUNCTION("""COMPUTED_VALUE"""),2940.0)</f>
        <v>2940</v>
      </c>
      <c r="D45" s="6">
        <f>IFERROR(__xludf.DUMMYFUNCTION("""COMPUTED_VALUE"""),2687.15)</f>
        <v>2687.15</v>
      </c>
      <c r="E45" s="6">
        <f>IFERROR(__xludf.DUMMYFUNCTION("""COMPUTED_VALUE"""),2703.95)</f>
        <v>2703.95</v>
      </c>
      <c r="F45" s="6">
        <f>IFERROR(__xludf.DUMMYFUNCTION("""COMPUTED_VALUE"""),2.6729039E7)</f>
        <v>26729039</v>
      </c>
    </row>
    <row r="46">
      <c r="A46" s="7">
        <f>IFERROR(__xludf.DUMMYFUNCTION("""COMPUTED_VALUE"""),45492.64583333333)</f>
        <v>45492.64583</v>
      </c>
      <c r="B46" s="6">
        <f>IFERROR(__xludf.DUMMYFUNCTION("""COMPUTED_VALUE"""),2722.85)</f>
        <v>2722.85</v>
      </c>
      <c r="C46" s="6">
        <f>IFERROR(__xludf.DUMMYFUNCTION("""COMPUTED_VALUE"""),2825.95)</f>
        <v>2825.95</v>
      </c>
      <c r="D46" s="6">
        <f>IFERROR(__xludf.DUMMYFUNCTION("""COMPUTED_VALUE"""),2708.1)</f>
        <v>2708.1</v>
      </c>
      <c r="E46" s="6">
        <f>IFERROR(__xludf.DUMMYFUNCTION("""COMPUTED_VALUE"""),2749.3)</f>
        <v>2749.3</v>
      </c>
      <c r="F46" s="6">
        <f>IFERROR(__xludf.DUMMYFUNCTION("""COMPUTED_VALUE"""),1.0109115E7)</f>
        <v>10109115</v>
      </c>
    </row>
    <row r="47">
      <c r="A47" s="7">
        <f>IFERROR(__xludf.DUMMYFUNCTION("""COMPUTED_VALUE"""),45499.64583333333)</f>
        <v>45499.64583</v>
      </c>
      <c r="B47" s="6">
        <f>IFERROR(__xludf.DUMMYFUNCTION("""COMPUTED_VALUE"""),2751.05)</f>
        <v>2751.05</v>
      </c>
      <c r="C47" s="6">
        <f>IFERROR(__xludf.DUMMYFUNCTION("""COMPUTED_VALUE"""),2897.4)</f>
        <v>2897.4</v>
      </c>
      <c r="D47" s="6">
        <f>IFERROR(__xludf.DUMMYFUNCTION("""COMPUTED_VALUE"""),2725.0)</f>
        <v>2725</v>
      </c>
      <c r="E47" s="6">
        <f>IFERROR(__xludf.DUMMYFUNCTION("""COMPUTED_VALUE"""),2887.8)</f>
        <v>2887.8</v>
      </c>
      <c r="F47" s="6">
        <f>IFERROR(__xludf.DUMMYFUNCTION("""COMPUTED_VALUE"""),1.1266492E7)</f>
        <v>11266492</v>
      </c>
    </row>
    <row r="48">
      <c r="A48" s="7">
        <f>IFERROR(__xludf.DUMMYFUNCTION("""COMPUTED_VALUE"""),45506.64583333333)</f>
        <v>45506.64583</v>
      </c>
      <c r="B48" s="6">
        <f>IFERROR(__xludf.DUMMYFUNCTION("""COMPUTED_VALUE"""),2900.0)</f>
        <v>2900</v>
      </c>
      <c r="C48" s="6">
        <f>IFERROR(__xludf.DUMMYFUNCTION("""COMPUTED_VALUE"""),2979.6)</f>
        <v>2979.6</v>
      </c>
      <c r="D48" s="6">
        <f>IFERROR(__xludf.DUMMYFUNCTION("""COMPUTED_VALUE"""),2733.85)</f>
        <v>2733.85</v>
      </c>
      <c r="E48" s="6">
        <f>IFERROR(__xludf.DUMMYFUNCTION("""COMPUTED_VALUE"""),2749.65)</f>
        <v>2749.65</v>
      </c>
      <c r="F48" s="6">
        <f>IFERROR(__xludf.DUMMYFUNCTION("""COMPUTED_VALUE"""),1.6930904E7)</f>
        <v>16930904</v>
      </c>
    </row>
    <row r="49">
      <c r="A49" s="7">
        <f>IFERROR(__xludf.DUMMYFUNCTION("""COMPUTED_VALUE"""),45513.64583333333)</f>
        <v>45513.64583</v>
      </c>
      <c r="B49" s="6">
        <f>IFERROR(__xludf.DUMMYFUNCTION("""COMPUTED_VALUE"""),2679.65)</f>
        <v>2679.65</v>
      </c>
      <c r="C49" s="6">
        <f>IFERROR(__xludf.DUMMYFUNCTION("""COMPUTED_VALUE"""),2765.0)</f>
        <v>2765</v>
      </c>
      <c r="D49" s="6">
        <f>IFERROR(__xludf.DUMMYFUNCTION("""COMPUTED_VALUE"""),2625.7)</f>
        <v>2625.7</v>
      </c>
      <c r="E49" s="6">
        <f>IFERROR(__xludf.DUMMYFUNCTION("""COMPUTED_VALUE"""),2749.15)</f>
        <v>2749.15</v>
      </c>
      <c r="F49" s="6">
        <f>IFERROR(__xludf.DUMMYFUNCTION("""COMPUTED_VALUE"""),1.4232476E7)</f>
        <v>14232476</v>
      </c>
    </row>
    <row r="50">
      <c r="A50" s="7">
        <f>IFERROR(__xludf.DUMMYFUNCTION("""COMPUTED_VALUE"""),45520.64583333333)</f>
        <v>45520.64583</v>
      </c>
      <c r="B50" s="6">
        <f>IFERROR(__xludf.DUMMYFUNCTION("""COMPUTED_VALUE"""),2749.15)</f>
        <v>2749.15</v>
      </c>
      <c r="C50" s="6">
        <f>IFERROR(__xludf.DUMMYFUNCTION("""COMPUTED_VALUE"""),2845.05)</f>
        <v>2845.05</v>
      </c>
      <c r="D50" s="6">
        <f>IFERROR(__xludf.DUMMYFUNCTION("""COMPUTED_VALUE"""),2704.1)</f>
        <v>2704.1</v>
      </c>
      <c r="E50" s="6">
        <f>IFERROR(__xludf.DUMMYFUNCTION("""COMPUTED_VALUE"""),2840.45)</f>
        <v>2840.45</v>
      </c>
      <c r="F50" s="6">
        <f>IFERROR(__xludf.DUMMYFUNCTION("""COMPUTED_VALUE"""),1.0599446E7)</f>
        <v>10599446</v>
      </c>
    </row>
    <row r="51">
      <c r="A51" s="7">
        <f>IFERROR(__xludf.DUMMYFUNCTION("""COMPUTED_VALUE"""),45527.64583333333)</f>
        <v>45527.64583</v>
      </c>
      <c r="B51" s="6">
        <f>IFERROR(__xludf.DUMMYFUNCTION("""COMPUTED_VALUE"""),2859.9)</f>
        <v>2859.9</v>
      </c>
      <c r="C51" s="6">
        <f>IFERROR(__xludf.DUMMYFUNCTION("""COMPUTED_VALUE"""),2859.9)</f>
        <v>2859.9</v>
      </c>
      <c r="D51" s="6">
        <f>IFERROR(__xludf.DUMMYFUNCTION("""COMPUTED_VALUE"""),2724.05)</f>
        <v>2724.05</v>
      </c>
      <c r="E51" s="6">
        <f>IFERROR(__xludf.DUMMYFUNCTION("""COMPUTED_VALUE"""),2759.0)</f>
        <v>2759</v>
      </c>
      <c r="F51" s="6">
        <f>IFERROR(__xludf.DUMMYFUNCTION("""COMPUTED_VALUE"""),1.0050779E7)</f>
        <v>10050779</v>
      </c>
    </row>
    <row r="52">
      <c r="A52" s="7">
        <f>IFERROR(__xludf.DUMMYFUNCTION("""COMPUTED_VALUE"""),45534.64583333333)</f>
        <v>45534.64583</v>
      </c>
      <c r="B52" s="6">
        <f>IFERROR(__xludf.DUMMYFUNCTION("""COMPUTED_VALUE"""),2764.95)</f>
        <v>2764.95</v>
      </c>
      <c r="C52" s="6">
        <f>IFERROR(__xludf.DUMMYFUNCTION("""COMPUTED_VALUE"""),2827.0)</f>
        <v>2827</v>
      </c>
      <c r="D52" s="6">
        <f>IFERROR(__xludf.DUMMYFUNCTION("""COMPUTED_VALUE"""),2741.65)</f>
        <v>2741.65</v>
      </c>
      <c r="E52" s="6">
        <f>IFERROR(__xludf.DUMMYFUNCTION("""COMPUTED_VALUE"""),2805.4)</f>
        <v>2805.4</v>
      </c>
      <c r="F52" s="6">
        <f>IFERROR(__xludf.DUMMYFUNCTION("""COMPUTED_VALUE"""),1.3353744E7)</f>
        <v>13353744</v>
      </c>
    </row>
    <row r="53">
      <c r="A53" s="7">
        <f>IFERROR(__xludf.DUMMYFUNCTION("""COMPUTED_VALUE"""),45541.64583333333)</f>
        <v>45541.64583</v>
      </c>
      <c r="B53" s="6">
        <f>IFERROR(__xludf.DUMMYFUNCTION("""COMPUTED_VALUE"""),2848.8)</f>
        <v>2848.8</v>
      </c>
      <c r="C53" s="6">
        <f>IFERROR(__xludf.DUMMYFUNCTION("""COMPUTED_VALUE"""),2848.8)</f>
        <v>2848.8</v>
      </c>
      <c r="D53" s="6">
        <f>IFERROR(__xludf.DUMMYFUNCTION("""COMPUTED_VALUE"""),2680.1)</f>
        <v>2680.1</v>
      </c>
      <c r="E53" s="6">
        <f>IFERROR(__xludf.DUMMYFUNCTION("""COMPUTED_VALUE"""),2698.1)</f>
        <v>2698.1</v>
      </c>
      <c r="F53" s="6">
        <f>IFERROR(__xludf.DUMMYFUNCTION("""COMPUTED_VALUE"""),1.0756228E7)</f>
        <v>10756228</v>
      </c>
    </row>
    <row r="54">
      <c r="A54" s="7">
        <f>IFERROR(__xludf.DUMMYFUNCTION("""COMPUTED_VALUE"""),45548.64583333333)</f>
        <v>45548.64583</v>
      </c>
      <c r="B54" s="6">
        <f>IFERROR(__xludf.DUMMYFUNCTION("""COMPUTED_VALUE"""),2688.15)</f>
        <v>2688.15</v>
      </c>
      <c r="C54" s="6">
        <f>IFERROR(__xludf.DUMMYFUNCTION("""COMPUTED_VALUE"""),2758.55)</f>
        <v>2758.55</v>
      </c>
      <c r="D54" s="6">
        <f>IFERROR(__xludf.DUMMYFUNCTION("""COMPUTED_VALUE"""),2635.6)</f>
        <v>2635.6</v>
      </c>
      <c r="E54" s="6">
        <f>IFERROR(__xludf.DUMMYFUNCTION("""COMPUTED_VALUE"""),2739.1)</f>
        <v>2739.1</v>
      </c>
      <c r="F54" s="6">
        <f>IFERROR(__xludf.DUMMYFUNCTION("""COMPUTED_VALUE"""),1.117007E7)</f>
        <v>11170070</v>
      </c>
    </row>
    <row r="55">
      <c r="A55" s="7">
        <f>IFERROR(__xludf.DUMMYFUNCTION("""COMPUTED_VALUE"""),45555.64583333333)</f>
        <v>45555.64583</v>
      </c>
      <c r="B55" s="6">
        <f>IFERROR(__xludf.DUMMYFUNCTION("""COMPUTED_VALUE"""),2740.2)</f>
        <v>2740.2</v>
      </c>
      <c r="C55" s="6">
        <f>IFERROR(__xludf.DUMMYFUNCTION("""COMPUTED_VALUE"""),2960.0)</f>
        <v>2960</v>
      </c>
      <c r="D55" s="6">
        <f>IFERROR(__xludf.DUMMYFUNCTION("""COMPUTED_VALUE"""),2732.05)</f>
        <v>2732.05</v>
      </c>
      <c r="E55" s="6">
        <f>IFERROR(__xludf.DUMMYFUNCTION("""COMPUTED_VALUE"""),2950.85)</f>
        <v>2950.85</v>
      </c>
      <c r="F55" s="6">
        <f>IFERROR(__xludf.DUMMYFUNCTION("""COMPUTED_VALUE"""),2.0449319E7)</f>
        <v>20449319</v>
      </c>
    </row>
    <row r="56">
      <c r="A56" s="7">
        <f>IFERROR(__xludf.DUMMYFUNCTION("""COMPUTED_VALUE"""),45562.64583333333)</f>
        <v>45562.64583</v>
      </c>
      <c r="B56" s="6">
        <f>IFERROR(__xludf.DUMMYFUNCTION("""COMPUTED_VALUE"""),2962.75)</f>
        <v>2962.75</v>
      </c>
      <c r="C56" s="6">
        <f>IFERROR(__xludf.DUMMYFUNCTION("""COMPUTED_VALUE"""),3222.1)</f>
        <v>3222.1</v>
      </c>
      <c r="D56" s="6">
        <f>IFERROR(__xludf.DUMMYFUNCTION("""COMPUTED_VALUE"""),2956.15)</f>
        <v>2956.15</v>
      </c>
      <c r="E56" s="6">
        <f>IFERROR(__xludf.DUMMYFUNCTION("""COMPUTED_VALUE"""),3183.65)</f>
        <v>3183.65</v>
      </c>
      <c r="F56" s="6">
        <f>IFERROR(__xludf.DUMMYFUNCTION("""COMPUTED_VALUE"""),2.3399439E7)</f>
        <v>23399439</v>
      </c>
    </row>
    <row r="57">
      <c r="A57" s="7">
        <f>IFERROR(__xludf.DUMMYFUNCTION("""COMPUTED_VALUE"""),45569.64583333333)</f>
        <v>45569.64583</v>
      </c>
      <c r="B57" s="6">
        <f>IFERROR(__xludf.DUMMYFUNCTION("""COMPUTED_VALUE"""),3163.15)</f>
        <v>3163.15</v>
      </c>
      <c r="C57" s="6">
        <f>IFERROR(__xludf.DUMMYFUNCTION("""COMPUTED_VALUE"""),3185.45)</f>
        <v>3185.45</v>
      </c>
      <c r="D57" s="6">
        <f>IFERROR(__xludf.DUMMYFUNCTION("""COMPUTED_VALUE"""),3009.5)</f>
        <v>3009.5</v>
      </c>
      <c r="E57" s="6">
        <f>IFERROR(__xludf.DUMMYFUNCTION("""COMPUTED_VALUE"""),3017.45)</f>
        <v>3017.45</v>
      </c>
      <c r="F57" s="6">
        <f>IFERROR(__xludf.DUMMYFUNCTION("""COMPUTED_VALUE"""),1.5101184E7)</f>
        <v>15101184</v>
      </c>
    </row>
    <row r="58">
      <c r="A58" s="7">
        <f>IFERROR(__xludf.DUMMYFUNCTION("""COMPUTED_VALUE"""),45576.64583333333)</f>
        <v>45576.64583</v>
      </c>
      <c r="B58" s="6">
        <f>IFERROR(__xludf.DUMMYFUNCTION("""COMPUTED_VALUE"""),3028.0)</f>
        <v>3028</v>
      </c>
      <c r="C58" s="6">
        <f>IFERROR(__xludf.DUMMYFUNCTION("""COMPUTED_VALUE"""),3220.3)</f>
        <v>3220.3</v>
      </c>
      <c r="D58" s="6">
        <f>IFERROR(__xludf.DUMMYFUNCTION("""COMPUTED_VALUE"""),2982.9)</f>
        <v>2982.9</v>
      </c>
      <c r="E58" s="6">
        <f>IFERROR(__xludf.DUMMYFUNCTION("""COMPUTED_VALUE"""),3134.35)</f>
        <v>3134.35</v>
      </c>
      <c r="F58" s="6">
        <f>IFERROR(__xludf.DUMMYFUNCTION("""COMPUTED_VALUE"""),1.5385184E7)</f>
        <v>15385184</v>
      </c>
    </row>
    <row r="59">
      <c r="A59" s="7">
        <f>IFERROR(__xludf.DUMMYFUNCTION("""COMPUTED_VALUE"""),45583.64583333333)</f>
        <v>45583.64583</v>
      </c>
      <c r="B59" s="6">
        <f>IFERROR(__xludf.DUMMYFUNCTION("""COMPUTED_VALUE"""),3151.0)</f>
        <v>3151</v>
      </c>
      <c r="C59" s="6">
        <f>IFERROR(__xludf.DUMMYFUNCTION("""COMPUTED_VALUE"""),3192.95)</f>
        <v>3192.95</v>
      </c>
      <c r="D59" s="6">
        <f>IFERROR(__xludf.DUMMYFUNCTION("""COMPUTED_VALUE"""),2914.7)</f>
        <v>2914.7</v>
      </c>
      <c r="E59" s="6">
        <f>IFERROR(__xludf.DUMMYFUNCTION("""COMPUTED_VALUE"""),2964.25)</f>
        <v>2964.25</v>
      </c>
      <c r="F59" s="6">
        <f>IFERROR(__xludf.DUMMYFUNCTION("""COMPUTED_VALUE"""),1.3672933E7)</f>
        <v>13672933</v>
      </c>
    </row>
    <row r="60">
      <c r="A60" s="7">
        <f>IFERROR(__xludf.DUMMYFUNCTION("""COMPUTED_VALUE"""),45590.64583333333)</f>
        <v>45590.64583</v>
      </c>
      <c r="B60" s="6">
        <f>IFERROR(__xludf.DUMMYFUNCTION("""COMPUTED_VALUE"""),2959.75)</f>
        <v>2959.75</v>
      </c>
      <c r="C60" s="6">
        <f>IFERROR(__xludf.DUMMYFUNCTION("""COMPUTED_VALUE"""),3008.95)</f>
        <v>3008.95</v>
      </c>
      <c r="D60" s="6">
        <f>IFERROR(__xludf.DUMMYFUNCTION("""COMPUTED_VALUE"""),2679.3)</f>
        <v>2679.3</v>
      </c>
      <c r="E60" s="6">
        <f>IFERROR(__xludf.DUMMYFUNCTION("""COMPUTED_VALUE"""),2720.85)</f>
        <v>2720.85</v>
      </c>
      <c r="F60" s="6">
        <f>IFERROR(__xludf.DUMMYFUNCTION("""COMPUTED_VALUE"""),2.5694185E7)</f>
        <v>25694185</v>
      </c>
    </row>
    <row r="61">
      <c r="A61" s="7">
        <f>IFERROR(__xludf.DUMMYFUNCTION("""COMPUTED_VALUE"""),45604.64583333333)</f>
        <v>45604.64583</v>
      </c>
      <c r="B61" s="6">
        <f>IFERROR(__xludf.DUMMYFUNCTION("""COMPUTED_VALUE"""),2804.5)</f>
        <v>2804.5</v>
      </c>
      <c r="C61" s="6">
        <f>IFERROR(__xludf.DUMMYFUNCTION("""COMPUTED_VALUE"""),2990.95)</f>
        <v>2990.95</v>
      </c>
      <c r="D61" s="6">
        <f>IFERROR(__xludf.DUMMYFUNCTION("""COMPUTED_VALUE"""),2804.5)</f>
        <v>2804.5</v>
      </c>
      <c r="E61" s="6">
        <f>IFERROR(__xludf.DUMMYFUNCTION("""COMPUTED_VALUE"""),2974.9)</f>
        <v>2974.9</v>
      </c>
      <c r="F61" s="6">
        <f>IFERROR(__xludf.DUMMYFUNCTION("""COMPUTED_VALUE"""),2.2731354E7)</f>
        <v>22731354</v>
      </c>
    </row>
    <row r="62">
      <c r="A62" s="7">
        <f>IFERROR(__xludf.DUMMYFUNCTION("""COMPUTED_VALUE"""),45610.64583333333)</f>
        <v>45610.64583</v>
      </c>
      <c r="B62" s="6">
        <f>IFERROR(__xludf.DUMMYFUNCTION("""COMPUTED_VALUE"""),2962.35)</f>
        <v>2962.35</v>
      </c>
      <c r="C62" s="6">
        <f>IFERROR(__xludf.DUMMYFUNCTION("""COMPUTED_VALUE"""),3009.6)</f>
        <v>3009.6</v>
      </c>
      <c r="D62" s="6">
        <f>IFERROR(__xludf.DUMMYFUNCTION("""COMPUTED_VALUE"""),2736.25)</f>
        <v>2736.25</v>
      </c>
      <c r="E62" s="6">
        <f>IFERROR(__xludf.DUMMYFUNCTION("""COMPUTED_VALUE"""),2807.2)</f>
        <v>2807.2</v>
      </c>
      <c r="F62" s="6">
        <f>IFERROR(__xludf.DUMMYFUNCTION("""COMPUTED_VALUE"""),1.1470914E7)</f>
        <v>11470914</v>
      </c>
    </row>
    <row r="63">
      <c r="A63" s="7">
        <f>IFERROR(__xludf.DUMMYFUNCTION("""COMPUTED_VALUE"""),45618.64583333333)</f>
        <v>45618.64583</v>
      </c>
      <c r="B63" s="6">
        <f>IFERROR(__xludf.DUMMYFUNCTION("""COMPUTED_VALUE"""),2844.0)</f>
        <v>2844</v>
      </c>
      <c r="C63" s="6">
        <f>IFERROR(__xludf.DUMMYFUNCTION("""COMPUTED_VALUE"""),3063.5)</f>
        <v>3063.5</v>
      </c>
      <c r="D63" s="6">
        <f>IFERROR(__xludf.DUMMYFUNCTION("""COMPUTED_VALUE"""),2800.05)</f>
        <v>2800.05</v>
      </c>
      <c r="E63" s="6">
        <f>IFERROR(__xludf.DUMMYFUNCTION("""COMPUTED_VALUE"""),3012.95)</f>
        <v>3012.95</v>
      </c>
      <c r="F63" s="6">
        <f>IFERROR(__xludf.DUMMYFUNCTION("""COMPUTED_VALUE"""),1.6284689E7)</f>
        <v>16284689</v>
      </c>
    </row>
    <row r="64">
      <c r="A64" s="7">
        <f>IFERROR(__xludf.DUMMYFUNCTION("""COMPUTED_VALUE"""),45625.64583333333)</f>
        <v>45625.64583</v>
      </c>
      <c r="B64" s="6">
        <f>IFERROR(__xludf.DUMMYFUNCTION("""COMPUTED_VALUE"""),3075.0)</f>
        <v>3075</v>
      </c>
      <c r="C64" s="6">
        <f>IFERROR(__xludf.DUMMYFUNCTION("""COMPUTED_VALUE"""),3149.65)</f>
        <v>3149.65</v>
      </c>
      <c r="D64" s="6">
        <f>IFERROR(__xludf.DUMMYFUNCTION("""COMPUTED_VALUE"""),2892.0)</f>
        <v>2892</v>
      </c>
      <c r="E64" s="6">
        <f>IFERROR(__xludf.DUMMYFUNCTION("""COMPUTED_VALUE"""),2966.1)</f>
        <v>2966.1</v>
      </c>
      <c r="F64" s="6">
        <f>IFERROR(__xludf.DUMMYFUNCTION("""COMPUTED_VALUE"""),2.0038429E7)</f>
        <v>20038429</v>
      </c>
    </row>
    <row r="65">
      <c r="A65" s="7">
        <f>IFERROR(__xludf.DUMMYFUNCTION("""COMPUTED_VALUE"""),45632.64583333333)</f>
        <v>45632.64583</v>
      </c>
      <c r="B65" s="6">
        <f>IFERROR(__xludf.DUMMYFUNCTION("""COMPUTED_VALUE"""),2984.0)</f>
        <v>2984</v>
      </c>
      <c r="C65" s="6">
        <f>IFERROR(__xludf.DUMMYFUNCTION("""COMPUTED_VALUE"""),3099.0)</f>
        <v>3099</v>
      </c>
      <c r="D65" s="6">
        <f>IFERROR(__xludf.DUMMYFUNCTION("""COMPUTED_VALUE"""),2961.9)</f>
        <v>2961.9</v>
      </c>
      <c r="E65" s="6">
        <f>IFERROR(__xludf.DUMMYFUNCTION("""COMPUTED_VALUE"""),3073.0)</f>
        <v>3073</v>
      </c>
      <c r="F65" s="6">
        <f>IFERROR(__xludf.DUMMYFUNCTION("""COMPUTED_VALUE"""),1.4477543E7)</f>
        <v>14477543</v>
      </c>
    </row>
    <row r="66">
      <c r="A66" s="7">
        <f>IFERROR(__xludf.DUMMYFUNCTION("""COMPUTED_VALUE"""),45639.64583333333)</f>
        <v>45639.64583</v>
      </c>
      <c r="B66" s="6">
        <f>IFERROR(__xludf.DUMMYFUNCTION("""COMPUTED_VALUE"""),3063.4)</f>
        <v>3063.4</v>
      </c>
      <c r="C66" s="6">
        <f>IFERROR(__xludf.DUMMYFUNCTION("""COMPUTED_VALUE"""),3115.0)</f>
        <v>3115</v>
      </c>
      <c r="D66" s="6">
        <f>IFERROR(__xludf.DUMMYFUNCTION("""COMPUTED_VALUE"""),3000.0)</f>
        <v>3000</v>
      </c>
      <c r="E66" s="6">
        <f>IFERROR(__xludf.DUMMYFUNCTION("""COMPUTED_VALUE"""),3081.4)</f>
        <v>3081.4</v>
      </c>
      <c r="F66" s="6">
        <f>IFERROR(__xludf.DUMMYFUNCTION("""COMPUTED_VALUE"""),1.0777799E7)</f>
        <v>10777799</v>
      </c>
    </row>
    <row r="67">
      <c r="A67" s="7">
        <f>IFERROR(__xludf.DUMMYFUNCTION("""COMPUTED_VALUE"""),45646.64583333333)</f>
        <v>45646.64583</v>
      </c>
      <c r="B67" s="6">
        <f>IFERROR(__xludf.DUMMYFUNCTION("""COMPUTED_VALUE"""),3089.4)</f>
        <v>3089.4</v>
      </c>
      <c r="C67" s="6">
        <f>IFERROR(__xludf.DUMMYFUNCTION("""COMPUTED_VALUE"""),3093.75)</f>
        <v>3093.75</v>
      </c>
      <c r="D67" s="6">
        <f>IFERROR(__xludf.DUMMYFUNCTION("""COMPUTED_VALUE"""),2886.35)</f>
        <v>2886.35</v>
      </c>
      <c r="E67" s="6">
        <f>IFERROR(__xludf.DUMMYFUNCTION("""COMPUTED_VALUE"""),2906.35)</f>
        <v>2906.35</v>
      </c>
      <c r="F67" s="6">
        <f>IFERROR(__xludf.DUMMYFUNCTION("""COMPUTED_VALUE"""),1.7297525E7)</f>
        <v>17297525</v>
      </c>
    </row>
    <row r="68">
      <c r="A68" s="7">
        <f>IFERROR(__xludf.DUMMYFUNCTION("""COMPUTED_VALUE"""),45653.64583333333)</f>
        <v>45653.64583</v>
      </c>
      <c r="B68" s="6">
        <f>IFERROR(__xludf.DUMMYFUNCTION("""COMPUTED_VALUE"""),2918.0)</f>
        <v>2918</v>
      </c>
      <c r="C68" s="6">
        <f>IFERROR(__xludf.DUMMYFUNCTION("""COMPUTED_VALUE"""),3064.0)</f>
        <v>3064</v>
      </c>
      <c r="D68" s="6">
        <f>IFERROR(__xludf.DUMMYFUNCTION("""COMPUTED_VALUE"""),2891.1)</f>
        <v>2891.1</v>
      </c>
      <c r="E68" s="6">
        <f>IFERROR(__xludf.DUMMYFUNCTION("""COMPUTED_VALUE"""),3049.45)</f>
        <v>3049.45</v>
      </c>
      <c r="F68" s="6">
        <f>IFERROR(__xludf.DUMMYFUNCTION("""COMPUTED_VALUE"""),8453532.0)</f>
        <v>8453532</v>
      </c>
    </row>
    <row r="69">
      <c r="A69" s="7">
        <f>IFERROR(__xludf.DUMMYFUNCTION("""COMPUTED_VALUE"""),45660.64583333333)</f>
        <v>45660.64583</v>
      </c>
      <c r="B69" s="6">
        <f>IFERROR(__xludf.DUMMYFUNCTION("""COMPUTED_VALUE"""),3028.05)</f>
        <v>3028.05</v>
      </c>
      <c r="C69" s="6">
        <f>IFERROR(__xludf.DUMMYFUNCTION("""COMPUTED_VALUE"""),3237.05)</f>
        <v>3237.05</v>
      </c>
      <c r="D69" s="6">
        <f>IFERROR(__xludf.DUMMYFUNCTION("""COMPUTED_VALUE"""),2971.2)</f>
        <v>2971.2</v>
      </c>
      <c r="E69" s="6">
        <f>IFERROR(__xludf.DUMMYFUNCTION("""COMPUTED_VALUE"""),3190.55)</f>
        <v>3190.55</v>
      </c>
      <c r="F69" s="6">
        <f>IFERROR(__xludf.DUMMYFUNCTION("""COMPUTED_VALUE"""),1.2114607E7)</f>
        <v>12114607</v>
      </c>
    </row>
    <row r="70">
      <c r="A70" s="7">
        <f>IFERROR(__xludf.DUMMYFUNCTION("""COMPUTED_VALUE"""),45667.64583333333)</f>
        <v>45667.64583</v>
      </c>
      <c r="B70" s="6">
        <f>IFERROR(__xludf.DUMMYFUNCTION("""COMPUTED_VALUE"""),3209.6)</f>
        <v>3209.6</v>
      </c>
      <c r="C70" s="6">
        <f>IFERROR(__xludf.DUMMYFUNCTION("""COMPUTED_VALUE"""),3235.0)</f>
        <v>3235</v>
      </c>
      <c r="D70" s="6">
        <f>IFERROR(__xludf.DUMMYFUNCTION("""COMPUTED_VALUE"""),3055.0)</f>
        <v>3055</v>
      </c>
      <c r="E70" s="6">
        <f>IFERROR(__xludf.DUMMYFUNCTION("""COMPUTED_VALUE"""),3092.85)</f>
        <v>3092.85</v>
      </c>
      <c r="F70" s="6">
        <f>IFERROR(__xludf.DUMMYFUNCTION("""COMPUTED_VALUE"""),1.2126144E7)</f>
        <v>12126144</v>
      </c>
    </row>
    <row r="71">
      <c r="A71" s="7">
        <f>IFERROR(__xludf.DUMMYFUNCTION("""COMPUTED_VALUE"""),45674.64583333333)</f>
        <v>45674.64583</v>
      </c>
      <c r="B71" s="6">
        <f>IFERROR(__xludf.DUMMYFUNCTION("""COMPUTED_VALUE"""),3053.65)</f>
        <v>3053.65</v>
      </c>
      <c r="C71" s="6">
        <f>IFERROR(__xludf.DUMMYFUNCTION("""COMPUTED_VALUE"""),3078.45)</f>
        <v>3078.45</v>
      </c>
      <c r="D71" s="6">
        <f>IFERROR(__xludf.DUMMYFUNCTION("""COMPUTED_VALUE"""),2903.1)</f>
        <v>2903.1</v>
      </c>
      <c r="E71" s="6">
        <f>IFERROR(__xludf.DUMMYFUNCTION("""COMPUTED_VALUE"""),2917.35)</f>
        <v>2917.35</v>
      </c>
      <c r="F71" s="6">
        <f>IFERROR(__xludf.DUMMYFUNCTION("""COMPUTED_VALUE"""),1.2100906E7)</f>
        <v>12100906</v>
      </c>
    </row>
    <row r="72">
      <c r="A72" s="7">
        <f>IFERROR(__xludf.DUMMYFUNCTION("""COMPUTED_VALUE"""),45681.64583333333)</f>
        <v>45681.64583</v>
      </c>
      <c r="B72" s="6">
        <f>IFERROR(__xludf.DUMMYFUNCTION("""COMPUTED_VALUE"""),2910.0)</f>
        <v>2910</v>
      </c>
      <c r="C72" s="6">
        <f>IFERROR(__xludf.DUMMYFUNCTION("""COMPUTED_VALUE"""),2935.95)</f>
        <v>2935.95</v>
      </c>
      <c r="D72" s="6">
        <f>IFERROR(__xludf.DUMMYFUNCTION("""COMPUTED_VALUE"""),2790.0)</f>
        <v>2790</v>
      </c>
      <c r="E72" s="6">
        <f>IFERROR(__xludf.DUMMYFUNCTION("""COMPUTED_VALUE"""),2801.4)</f>
        <v>2801.4</v>
      </c>
      <c r="F72" s="6">
        <f>IFERROR(__xludf.DUMMYFUNCTION("""COMPUTED_VALUE"""),1.4735865E7)</f>
        <v>14735865</v>
      </c>
    </row>
    <row r="73">
      <c r="A73" s="7">
        <f>IFERROR(__xludf.DUMMYFUNCTION("""COMPUTED_VALUE"""),45695.64583333333)</f>
        <v>45695.64583</v>
      </c>
      <c r="B73" s="6">
        <f>IFERROR(__xludf.DUMMYFUNCTION("""COMPUTED_VALUE"""),3056.6)</f>
        <v>3056.6</v>
      </c>
      <c r="C73" s="6">
        <f>IFERROR(__xludf.DUMMYFUNCTION("""COMPUTED_VALUE"""),3270.55)</f>
        <v>3270.55</v>
      </c>
      <c r="D73" s="6">
        <f>IFERROR(__xludf.DUMMYFUNCTION("""COMPUTED_VALUE"""),3044.75)</f>
        <v>3044.75</v>
      </c>
      <c r="E73" s="6">
        <f>IFERROR(__xludf.DUMMYFUNCTION("""COMPUTED_VALUE"""),3198.45)</f>
        <v>3198.45</v>
      </c>
      <c r="F73" s="6">
        <f>IFERROR(__xludf.DUMMYFUNCTION("""COMPUTED_VALUE"""),1.69222E7)</f>
        <v>16922200</v>
      </c>
    </row>
    <row r="74">
      <c r="A74" s="7">
        <f>IFERROR(__xludf.DUMMYFUNCTION("""COMPUTED_VALUE"""),45702.64583333333)</f>
        <v>45702.64583</v>
      </c>
      <c r="B74" s="6">
        <f>IFERROR(__xludf.DUMMYFUNCTION("""COMPUTED_VALUE"""),3209.2)</f>
        <v>3209.2</v>
      </c>
      <c r="C74" s="6">
        <f>IFERROR(__xludf.DUMMYFUNCTION("""COMPUTED_VALUE"""),3270.95)</f>
        <v>3270.95</v>
      </c>
      <c r="D74" s="6">
        <f>IFERROR(__xludf.DUMMYFUNCTION("""COMPUTED_VALUE"""),2907.05)</f>
        <v>2907.05</v>
      </c>
      <c r="E74" s="6">
        <f>IFERROR(__xludf.DUMMYFUNCTION("""COMPUTED_VALUE"""),2942.6)</f>
        <v>2942.6</v>
      </c>
      <c r="F74" s="6">
        <f>IFERROR(__xludf.DUMMYFUNCTION("""COMPUTED_VALUE"""),1.5374535E7)</f>
        <v>15374535</v>
      </c>
    </row>
    <row r="75">
      <c r="A75" s="7">
        <f>IFERROR(__xludf.DUMMYFUNCTION("""COMPUTED_VALUE"""),45709.64583333333)</f>
        <v>45709.64583</v>
      </c>
      <c r="B75" s="6">
        <f>IFERROR(__xludf.DUMMYFUNCTION("""COMPUTED_VALUE"""),2940.8)</f>
        <v>2940.8</v>
      </c>
      <c r="C75" s="6">
        <f>IFERROR(__xludf.DUMMYFUNCTION("""COMPUTED_VALUE"""),2955.0)</f>
        <v>2955</v>
      </c>
      <c r="D75" s="6">
        <f>IFERROR(__xludf.DUMMYFUNCTION("""COMPUTED_VALUE"""),2653.35)</f>
        <v>2653.35</v>
      </c>
      <c r="E75" s="6">
        <f>IFERROR(__xludf.DUMMYFUNCTION("""COMPUTED_VALUE"""),2669.35)</f>
        <v>2669.35</v>
      </c>
      <c r="F75" s="6">
        <f>IFERROR(__xludf.DUMMYFUNCTION("""COMPUTED_VALUE"""),2.2486662E7)</f>
        <v>22486662</v>
      </c>
    </row>
    <row r="76">
      <c r="A76" s="7">
        <f>IFERROR(__xludf.DUMMYFUNCTION("""COMPUTED_VALUE"""),45716.64583333333)</f>
        <v>45716.64583</v>
      </c>
      <c r="B76" s="6">
        <f>IFERROR(__xludf.DUMMYFUNCTION("""COMPUTED_VALUE"""),2669.0)</f>
        <v>2669</v>
      </c>
      <c r="C76" s="6">
        <f>IFERROR(__xludf.DUMMYFUNCTION("""COMPUTED_VALUE"""),2840.0)</f>
        <v>2840</v>
      </c>
      <c r="D76" s="6">
        <f>IFERROR(__xludf.DUMMYFUNCTION("""COMPUTED_VALUE"""),2572.2)</f>
        <v>2572.2</v>
      </c>
      <c r="E76" s="6">
        <f>IFERROR(__xludf.DUMMYFUNCTION("""COMPUTED_VALUE"""),2585.1)</f>
        <v>2585.1</v>
      </c>
      <c r="F76" s="6">
        <f>IFERROR(__xludf.DUMMYFUNCTION("""COMPUTED_VALUE"""),2.1303191E7)</f>
        <v>21303191</v>
      </c>
    </row>
    <row r="77">
      <c r="A77" s="7">
        <f>IFERROR(__xludf.DUMMYFUNCTION("""COMPUTED_VALUE"""),45723.64583333333)</f>
        <v>45723.64583</v>
      </c>
      <c r="B77" s="6">
        <f>IFERROR(__xludf.DUMMYFUNCTION("""COMPUTED_VALUE"""),2613.8)</f>
        <v>2613.8</v>
      </c>
      <c r="C77" s="6">
        <f>IFERROR(__xludf.DUMMYFUNCTION("""COMPUTED_VALUE"""),2766.85)</f>
        <v>2766.85</v>
      </c>
      <c r="D77" s="6">
        <f>IFERROR(__xludf.DUMMYFUNCTION("""COMPUTED_VALUE"""),2550.0)</f>
        <v>2550</v>
      </c>
      <c r="E77" s="6">
        <f>IFERROR(__xludf.DUMMYFUNCTION("""COMPUTED_VALUE"""),2727.85)</f>
        <v>2727.85</v>
      </c>
      <c r="F77" s="6">
        <f>IFERROR(__xludf.DUMMYFUNCTION("""COMPUTED_VALUE"""),1.558443E7)</f>
        <v>15584430</v>
      </c>
    </row>
    <row r="78">
      <c r="A78" s="7">
        <f>IFERROR(__xludf.DUMMYFUNCTION("""COMPUTED_VALUE"""),45729.64583333333)</f>
        <v>45729.64583</v>
      </c>
      <c r="B78" s="6">
        <f>IFERROR(__xludf.DUMMYFUNCTION("""COMPUTED_VALUE"""),2695.0)</f>
        <v>2695</v>
      </c>
      <c r="C78" s="6">
        <f>IFERROR(__xludf.DUMMYFUNCTION("""COMPUTED_VALUE"""),2734.65)</f>
        <v>2734.65</v>
      </c>
      <c r="D78" s="6">
        <f>IFERROR(__xludf.DUMMYFUNCTION("""COMPUTED_VALUE"""),2613.15)</f>
        <v>2613.15</v>
      </c>
      <c r="E78" s="6">
        <f>IFERROR(__xludf.DUMMYFUNCTION("""COMPUTED_VALUE"""),2643.5)</f>
        <v>2643.5</v>
      </c>
      <c r="F78" s="6">
        <f>IFERROR(__xludf.DUMMYFUNCTION("""COMPUTED_VALUE"""),1.2030654E7)</f>
        <v>12030654</v>
      </c>
    </row>
    <row r="79">
      <c r="A79" s="7">
        <f>IFERROR(__xludf.DUMMYFUNCTION("""COMPUTED_VALUE"""),45737.64583333333)</f>
        <v>45737.64583</v>
      </c>
      <c r="B79" s="6">
        <f>IFERROR(__xludf.DUMMYFUNCTION("""COMPUTED_VALUE"""),2635.0)</f>
        <v>2635</v>
      </c>
      <c r="C79" s="6">
        <f>IFERROR(__xludf.DUMMYFUNCTION("""COMPUTED_VALUE"""),2893.0)</f>
        <v>2893</v>
      </c>
      <c r="D79" s="6">
        <f>IFERROR(__xludf.DUMMYFUNCTION("""COMPUTED_VALUE"""),0.0)</f>
        <v>0</v>
      </c>
      <c r="E79" s="6">
        <f>IFERROR(__xludf.DUMMYFUNCTION("""COMPUTED_VALUE"""),2801.85)</f>
        <v>2801.85</v>
      </c>
      <c r="F79" s="6">
        <f>IFERROR(__xludf.DUMMYFUNCTION("""COMPUTED_VALUE"""),1.2140226E7)</f>
        <v>12140226</v>
      </c>
    </row>
    <row r="80">
      <c r="A80" s="7">
        <f>IFERROR(__xludf.DUMMYFUNCTION("""COMPUTED_VALUE"""),45744.64583333333)</f>
        <v>45744.64583</v>
      </c>
      <c r="B80" s="6">
        <f>IFERROR(__xludf.DUMMYFUNCTION("""COMPUTED_VALUE"""),2815.3)</f>
        <v>2815.3</v>
      </c>
      <c r="C80" s="6">
        <f>IFERROR(__xludf.DUMMYFUNCTION("""COMPUTED_VALUE"""),2822.15)</f>
        <v>2822.15</v>
      </c>
      <c r="D80" s="6">
        <f>IFERROR(__xludf.DUMMYFUNCTION("""COMPUTED_VALUE"""),2635.0)</f>
        <v>2635</v>
      </c>
      <c r="E80" s="6">
        <f>IFERROR(__xludf.DUMMYFUNCTION("""COMPUTED_VALUE"""),2665.8)</f>
        <v>2665.8</v>
      </c>
      <c r="F80" s="6">
        <f>IFERROR(__xludf.DUMMYFUNCTION("""COMPUTED_VALUE"""),2.2483449E7)</f>
        <v>22483449</v>
      </c>
    </row>
    <row r="81">
      <c r="A81" s="7">
        <f>IFERROR(__xludf.DUMMYFUNCTION("""COMPUTED_VALUE"""),45751.64583333333)</f>
        <v>45751.64583</v>
      </c>
      <c r="B81" s="6">
        <f>IFERROR(__xludf.DUMMYFUNCTION("""COMPUTED_VALUE"""),2652.8)</f>
        <v>2652.8</v>
      </c>
      <c r="C81" s="6">
        <f>IFERROR(__xludf.DUMMYFUNCTION("""COMPUTED_VALUE"""),2728.0)</f>
        <v>2728</v>
      </c>
      <c r="D81" s="6">
        <f>IFERROR(__xludf.DUMMYFUNCTION("""COMPUTED_VALUE"""),2557.05)</f>
        <v>2557.05</v>
      </c>
      <c r="E81" s="6">
        <f>IFERROR(__xludf.DUMMYFUNCTION("""COMPUTED_VALUE"""),2596.55)</f>
        <v>2596.55</v>
      </c>
      <c r="F81" s="6">
        <f>IFERROR(__xludf.DUMMYFUNCTION("""COMPUTED_VALUE"""),1.1503609E7)</f>
        <v>11503609</v>
      </c>
    </row>
    <row r="82">
      <c r="A82" s="7">
        <f>IFERROR(__xludf.DUMMYFUNCTION("""COMPUTED_VALUE"""),45758.64583333333)</f>
        <v>45758.64583</v>
      </c>
      <c r="B82" s="6">
        <f>IFERROR(__xludf.DUMMYFUNCTION("""COMPUTED_VALUE"""),2425.0)</f>
        <v>2425</v>
      </c>
      <c r="C82" s="6">
        <f>IFERROR(__xludf.DUMMYFUNCTION("""COMPUTED_VALUE"""),2604.0)</f>
        <v>2604</v>
      </c>
      <c r="D82" s="6">
        <f>IFERROR(__xludf.DUMMYFUNCTION("""COMPUTED_VALUE"""),2425.0)</f>
        <v>2425</v>
      </c>
      <c r="E82" s="6">
        <f>IFERROR(__xludf.DUMMYFUNCTION("""COMPUTED_VALUE"""),2580.35)</f>
        <v>2580.35</v>
      </c>
      <c r="F82" s="6">
        <f>IFERROR(__xludf.DUMMYFUNCTION("""COMPUTED_VALUE"""),1.513842E7)</f>
        <v>15138420</v>
      </c>
    </row>
    <row r="83">
      <c r="A83" s="7">
        <f>IFERROR(__xludf.DUMMYFUNCTION("""COMPUTED_VALUE"""),45764.64583333333)</f>
        <v>45764.64583</v>
      </c>
      <c r="B83" s="6">
        <f>IFERROR(__xludf.DUMMYFUNCTION("""COMPUTED_VALUE"""),2606.0)</f>
        <v>2606</v>
      </c>
      <c r="C83" s="6">
        <f>IFERROR(__xludf.DUMMYFUNCTION("""COMPUTED_VALUE"""),2690.0)</f>
        <v>2690</v>
      </c>
      <c r="D83" s="6">
        <f>IFERROR(__xludf.DUMMYFUNCTION("""COMPUTED_VALUE"""),2602.4)</f>
        <v>2602.4</v>
      </c>
      <c r="E83" s="6">
        <f>IFERROR(__xludf.DUMMYFUNCTION("""COMPUTED_VALUE"""),2679.4)</f>
        <v>2679.4</v>
      </c>
      <c r="F83" s="6">
        <f>IFERROR(__xludf.DUMMYFUNCTION("""COMPUTED_VALUE"""),8997794.0)</f>
        <v>8997794</v>
      </c>
    </row>
    <row r="84">
      <c r="A84" s="7">
        <f>IFERROR(__xludf.DUMMYFUNCTION("""COMPUTED_VALUE"""),45772.64583333333)</f>
        <v>45772.64583</v>
      </c>
      <c r="B84" s="6">
        <f>IFERROR(__xludf.DUMMYFUNCTION("""COMPUTED_VALUE"""),2699.9)</f>
        <v>2699.9</v>
      </c>
      <c r="C84" s="6">
        <f>IFERROR(__xludf.DUMMYFUNCTION("""COMPUTED_VALUE"""),2939.6)</f>
        <v>2939.6</v>
      </c>
      <c r="D84" s="6">
        <f>IFERROR(__xludf.DUMMYFUNCTION("""COMPUTED_VALUE"""),2665.9)</f>
        <v>2665.9</v>
      </c>
      <c r="E84" s="6">
        <f>IFERROR(__xludf.DUMMYFUNCTION("""COMPUTED_VALUE"""),2864.2)</f>
        <v>2864.2</v>
      </c>
      <c r="F84" s="6">
        <f>IFERROR(__xludf.DUMMYFUNCTION("""COMPUTED_VALUE"""),1.5008733E7)</f>
        <v>15008733</v>
      </c>
    </row>
    <row r="85">
      <c r="A85" s="7">
        <f>IFERROR(__xludf.DUMMYFUNCTION("""COMPUTED_VALUE"""),45779.64583333333)</f>
        <v>45779.64583</v>
      </c>
      <c r="B85" s="6">
        <f>IFERROR(__xludf.DUMMYFUNCTION("""COMPUTED_VALUE"""),2918.9)</f>
        <v>2918.9</v>
      </c>
      <c r="C85" s="6">
        <f>IFERROR(__xludf.DUMMYFUNCTION("""COMPUTED_VALUE"""),3000.0)</f>
        <v>3000</v>
      </c>
      <c r="D85" s="6">
        <f>IFERROR(__xludf.DUMMYFUNCTION("""COMPUTED_VALUE"""),2882.3)</f>
        <v>2882.3</v>
      </c>
      <c r="E85" s="6">
        <f>IFERROR(__xludf.DUMMYFUNCTION("""COMPUTED_VALUE"""),2917.2)</f>
        <v>2917.2</v>
      </c>
      <c r="F85" s="6">
        <f>IFERROR(__xludf.DUMMYFUNCTION("""COMPUTED_VALUE"""),9473749.0)</f>
        <v>9473749</v>
      </c>
    </row>
    <row r="86">
      <c r="A86" s="7">
        <f>IFERROR(__xludf.DUMMYFUNCTION("""COMPUTED_VALUE"""),45786.64583333333)</f>
        <v>45786.64583</v>
      </c>
      <c r="B86" s="6">
        <f>IFERROR(__xludf.DUMMYFUNCTION("""COMPUTED_VALUE"""),2948.9)</f>
        <v>2948.9</v>
      </c>
      <c r="C86" s="6">
        <f>IFERROR(__xludf.DUMMYFUNCTION("""COMPUTED_VALUE"""),3159.7)</f>
        <v>3159.7</v>
      </c>
      <c r="D86" s="6">
        <f>IFERROR(__xludf.DUMMYFUNCTION("""COMPUTED_VALUE"""),2937.7)</f>
        <v>2937.7</v>
      </c>
      <c r="E86" s="6">
        <f>IFERROR(__xludf.DUMMYFUNCTION("""COMPUTED_VALUE"""),2982.1)</f>
        <v>2982.1</v>
      </c>
      <c r="F86" s="6">
        <f>IFERROR(__xludf.DUMMYFUNCTION("""COMPUTED_VALUE"""),1.830806E7)</f>
        <v>18308060</v>
      </c>
    </row>
    <row r="87">
      <c r="A87" s="7">
        <f>IFERROR(__xludf.DUMMYFUNCTION("""COMPUTED_VALUE"""),45793.64583333333)</f>
        <v>45793.64583</v>
      </c>
      <c r="B87" s="6">
        <f>IFERROR(__xludf.DUMMYFUNCTION("""COMPUTED_VALUE"""),3044.7)</f>
        <v>3044.7</v>
      </c>
      <c r="C87" s="6">
        <f>IFERROR(__xludf.DUMMYFUNCTION("""COMPUTED_VALUE"""),3170.7)</f>
        <v>3170.7</v>
      </c>
      <c r="D87" s="6">
        <f>IFERROR(__xludf.DUMMYFUNCTION("""COMPUTED_VALUE"""),3018.0)</f>
        <v>3018</v>
      </c>
      <c r="E87" s="6">
        <f>IFERROR(__xludf.DUMMYFUNCTION("""COMPUTED_VALUE"""),3135.6)</f>
        <v>3135.6</v>
      </c>
      <c r="F87" s="6">
        <f>IFERROR(__xludf.DUMMYFUNCTION("""COMPUTED_VALUE"""),1.2944356E7)</f>
        <v>12944356</v>
      </c>
    </row>
    <row r="88">
      <c r="A88" s="7">
        <f>IFERROR(__xludf.DUMMYFUNCTION("""COMPUTED_VALUE"""),45800.64583333333)</f>
        <v>45800.64583</v>
      </c>
      <c r="B88" s="6">
        <f>IFERROR(__xludf.DUMMYFUNCTION("""COMPUTED_VALUE"""),3115.0)</f>
        <v>3115</v>
      </c>
      <c r="C88" s="6">
        <f>IFERROR(__xludf.DUMMYFUNCTION("""COMPUTED_VALUE"""),3157.0)</f>
        <v>3157</v>
      </c>
      <c r="D88" s="6">
        <f>IFERROR(__xludf.DUMMYFUNCTION("""COMPUTED_VALUE"""),2980.5)</f>
        <v>2980.5</v>
      </c>
      <c r="E88" s="6">
        <f>IFERROR(__xludf.DUMMYFUNCTION("""COMPUTED_VALUE"""),3012.7)</f>
        <v>3012.7</v>
      </c>
      <c r="F88" s="6">
        <f>IFERROR(__xludf.DUMMYFUNCTION("""COMPUTED_VALUE"""),1.177298E7)</f>
        <v>11772980</v>
      </c>
    </row>
    <row r="89">
      <c r="A89" s="7">
        <f>IFERROR(__xludf.DUMMYFUNCTION("""COMPUTED_VALUE"""),45807.64583333333)</f>
        <v>45807.64583</v>
      </c>
      <c r="B89" s="6">
        <f>IFERROR(__xludf.DUMMYFUNCTION("""COMPUTED_VALUE"""),3038.0)</f>
        <v>3038</v>
      </c>
      <c r="C89" s="6">
        <f>IFERROR(__xludf.DUMMYFUNCTION("""COMPUTED_VALUE"""),3101.0)</f>
        <v>3101</v>
      </c>
      <c r="D89" s="6">
        <f>IFERROR(__xludf.DUMMYFUNCTION("""COMPUTED_VALUE"""),2957.0)</f>
        <v>2957</v>
      </c>
      <c r="E89" s="6">
        <f>IFERROR(__xludf.DUMMYFUNCTION("""COMPUTED_VALUE"""),2976.8)</f>
        <v>2976.8</v>
      </c>
      <c r="F89" s="6">
        <f>IFERROR(__xludf.DUMMYFUNCTION("""COMPUTED_VALUE"""),1.2048948E7)</f>
        <v>12048948</v>
      </c>
    </row>
    <row r="90">
      <c r="A90" s="7">
        <f>IFERROR(__xludf.DUMMYFUNCTION("""COMPUTED_VALUE"""),45814.64583333333)</f>
        <v>45814.64583</v>
      </c>
      <c r="B90" s="6">
        <f>IFERROR(__xludf.DUMMYFUNCTION("""COMPUTED_VALUE"""),2976.8)</f>
        <v>2976.8</v>
      </c>
      <c r="C90" s="6">
        <f>IFERROR(__xludf.DUMMYFUNCTION("""COMPUTED_VALUE"""),3112.9)</f>
        <v>3112.9</v>
      </c>
      <c r="D90" s="6">
        <f>IFERROR(__xludf.DUMMYFUNCTION("""COMPUTED_VALUE"""),2962.3)</f>
        <v>2962.3</v>
      </c>
      <c r="E90" s="6">
        <f>IFERROR(__xludf.DUMMYFUNCTION("""COMPUTED_VALUE"""),3106.5)</f>
        <v>3106.5</v>
      </c>
      <c r="F90" s="6">
        <f>IFERROR(__xludf.DUMMYFUNCTION("""COMPUTED_VALUE"""),1.3289191E7)</f>
        <v>13289191</v>
      </c>
    </row>
    <row r="91">
      <c r="A91" s="7">
        <f>IFERROR(__xludf.DUMMYFUNCTION("""COMPUTED_VALUE"""),45821.64583333333)</f>
        <v>45821.64583</v>
      </c>
      <c r="B91" s="6">
        <f>IFERROR(__xludf.DUMMYFUNCTION("""COMPUTED_VALUE"""),3130.0)</f>
        <v>3130</v>
      </c>
      <c r="C91" s="6">
        <f>IFERROR(__xludf.DUMMYFUNCTION("""COMPUTED_VALUE"""),3141.0)</f>
        <v>3141</v>
      </c>
      <c r="D91" s="6">
        <f>IFERROR(__xludf.DUMMYFUNCTION("""COMPUTED_VALUE"""),2932.0)</f>
        <v>2932</v>
      </c>
      <c r="E91" s="6">
        <f>IFERROR(__xludf.DUMMYFUNCTION("""COMPUTED_VALUE"""),3006.0)</f>
        <v>3006</v>
      </c>
      <c r="F91" s="6">
        <f>IFERROR(__xludf.DUMMYFUNCTION("""COMPUTED_VALUE"""),9183261.0)</f>
        <v>9183261</v>
      </c>
    </row>
    <row r="92">
      <c r="A92" s="7">
        <f>IFERROR(__xludf.DUMMYFUNCTION("""COMPUTED_VALUE"""),45828.64583333333)</f>
        <v>45828.64583</v>
      </c>
      <c r="B92" s="6">
        <f>IFERROR(__xludf.DUMMYFUNCTION("""COMPUTED_VALUE"""),3001.0)</f>
        <v>3001</v>
      </c>
      <c r="C92" s="6">
        <f>IFERROR(__xludf.DUMMYFUNCTION("""COMPUTED_VALUE"""),3203.0)</f>
        <v>3203</v>
      </c>
      <c r="D92" s="6">
        <f>IFERROR(__xludf.DUMMYFUNCTION("""COMPUTED_VALUE"""),2986.6)</f>
        <v>2986.6</v>
      </c>
      <c r="E92" s="6">
        <f>IFERROR(__xludf.DUMMYFUNCTION("""COMPUTED_VALUE"""),3184.4)</f>
        <v>3184.4</v>
      </c>
      <c r="F92" s="6">
        <f>IFERROR(__xludf.DUMMYFUNCTION("""COMPUTED_VALUE"""),1.6088878E7)</f>
        <v>16088878</v>
      </c>
    </row>
    <row r="93">
      <c r="A93" s="7">
        <f>IFERROR(__xludf.DUMMYFUNCTION("""COMPUTED_VALUE"""),45835.64583333333)</f>
        <v>45835.64583</v>
      </c>
      <c r="B93" s="6">
        <f>IFERROR(__xludf.DUMMYFUNCTION("""COMPUTED_VALUE"""),3163.6)</f>
        <v>3163.6</v>
      </c>
      <c r="C93" s="6">
        <f>IFERROR(__xludf.DUMMYFUNCTION("""COMPUTED_VALUE"""),3241.5)</f>
        <v>3241.5</v>
      </c>
      <c r="D93" s="6">
        <f>IFERROR(__xludf.DUMMYFUNCTION("""COMPUTED_VALUE"""),3122.7)</f>
        <v>3122.7</v>
      </c>
      <c r="E93" s="6">
        <f>IFERROR(__xludf.DUMMYFUNCTION("""COMPUTED_VALUE"""),3203.3)</f>
        <v>3203.3</v>
      </c>
      <c r="F93" s="6">
        <f>IFERROR(__xludf.DUMMYFUNCTION("""COMPUTED_VALUE"""),1.4650757E7)</f>
        <v>14650757</v>
      </c>
    </row>
    <row r="94">
      <c r="A94" s="7">
        <f>IFERROR(__xludf.DUMMYFUNCTION("""COMPUTED_VALUE"""),45842.64583333333)</f>
        <v>45842.64583</v>
      </c>
      <c r="B94" s="6">
        <f>IFERROR(__xludf.DUMMYFUNCTION("""COMPUTED_VALUE"""),3205.4)</f>
        <v>3205.4</v>
      </c>
      <c r="C94" s="6">
        <f>IFERROR(__xludf.DUMMYFUNCTION("""COMPUTED_VALUE"""),3221.0)</f>
        <v>3221</v>
      </c>
      <c r="D94" s="6">
        <f>IFERROR(__xludf.DUMMYFUNCTION("""COMPUTED_VALUE"""),3134.1)</f>
        <v>3134.1</v>
      </c>
      <c r="E94" s="6">
        <f>IFERROR(__xludf.DUMMYFUNCTION("""COMPUTED_VALUE"""),3162.5)</f>
        <v>3162.5</v>
      </c>
      <c r="F94" s="6">
        <f>IFERROR(__xludf.DUMMYFUNCTION("""COMPUTED_VALUE"""),8120767.0)</f>
        <v>8120767</v>
      </c>
    </row>
    <row r="95">
      <c r="A95" s="7">
        <f>IFERROR(__xludf.DUMMYFUNCTION("""COMPUTED_VALUE"""),45849.64583333333)</f>
        <v>45849.64583</v>
      </c>
      <c r="B95" s="6">
        <f>IFERROR(__xludf.DUMMYFUNCTION("""COMPUTED_VALUE"""),3162.5)</f>
        <v>3162.5</v>
      </c>
      <c r="C95" s="6">
        <f>IFERROR(__xludf.DUMMYFUNCTION("""COMPUTED_VALUE"""),3192.6)</f>
        <v>3192.6</v>
      </c>
      <c r="D95" s="6">
        <f>IFERROR(__xludf.DUMMYFUNCTION("""COMPUTED_VALUE"""),3062.4)</f>
        <v>3062.4</v>
      </c>
      <c r="E95" s="6">
        <f>IFERROR(__xludf.DUMMYFUNCTION("""COMPUTED_VALUE"""),3073.2)</f>
        <v>3073.2</v>
      </c>
      <c r="F95" s="6">
        <f>IFERROR(__xludf.DUMMYFUNCTION("""COMPUTED_VALUE"""),8355247.0)</f>
        <v>8355247</v>
      </c>
    </row>
    <row r="96">
      <c r="A96" s="7">
        <f>IFERROR(__xludf.DUMMYFUNCTION("""COMPUTED_VALUE"""),45856.64583333333)</f>
        <v>45856.64583</v>
      </c>
      <c r="B96" s="6">
        <f>IFERROR(__xludf.DUMMYFUNCTION("""COMPUTED_VALUE"""),3072.8)</f>
        <v>3072.8</v>
      </c>
      <c r="C96" s="6">
        <f>IFERROR(__xludf.DUMMYFUNCTION("""COMPUTED_VALUE"""),3252.0)</f>
        <v>3252</v>
      </c>
      <c r="D96" s="6">
        <f>IFERROR(__xludf.DUMMYFUNCTION("""COMPUTED_VALUE"""),3053.6)</f>
        <v>3053.6</v>
      </c>
      <c r="E96" s="6">
        <f>IFERROR(__xludf.DUMMYFUNCTION("""COMPUTED_VALUE"""),3192.4)</f>
        <v>3192.4</v>
      </c>
      <c r="F96" s="6">
        <f>IFERROR(__xludf.DUMMYFUNCTION("""COMPUTED_VALUE"""),1.3985936E7)</f>
        <v>13985936</v>
      </c>
    </row>
    <row r="97">
      <c r="A97" s="7">
        <f>IFERROR(__xludf.DUMMYFUNCTION("""COMPUTED_VALUE"""),45863.64583333333)</f>
        <v>45863.64583</v>
      </c>
      <c r="B97" s="6">
        <f>IFERROR(__xludf.DUMMYFUNCTION("""COMPUTED_VALUE"""),3177.0)</f>
        <v>3177</v>
      </c>
      <c r="C97" s="6">
        <f>IFERROR(__xludf.DUMMYFUNCTION("""COMPUTED_VALUE"""),3303.0)</f>
        <v>3303</v>
      </c>
      <c r="D97" s="6">
        <f>IFERROR(__xludf.DUMMYFUNCTION("""COMPUTED_VALUE"""),3152.8)</f>
        <v>3152.8</v>
      </c>
      <c r="E97" s="6">
        <f>IFERROR(__xludf.DUMMYFUNCTION("""COMPUTED_VALUE"""),3246.4)</f>
        <v>3246.4</v>
      </c>
      <c r="F97" s="6">
        <f>IFERROR(__xludf.DUMMYFUNCTION("""COMPUTED_VALUE"""),9395669.0)</f>
        <v>9395669</v>
      </c>
    </row>
    <row r="98">
      <c r="A98" s="7">
        <f>IFERROR(__xludf.DUMMYFUNCTION("""COMPUTED_VALUE"""),45870.64583333333)</f>
        <v>45870.64583</v>
      </c>
      <c r="B98" s="6">
        <f>IFERROR(__xludf.DUMMYFUNCTION("""COMPUTED_VALUE"""),3246.4)</f>
        <v>3246.4</v>
      </c>
      <c r="C98" s="6">
        <f>IFERROR(__xludf.DUMMYFUNCTION("""COMPUTED_VALUE"""),3256.9)</f>
        <v>3256.9</v>
      </c>
      <c r="D98" s="6">
        <f>IFERROR(__xludf.DUMMYFUNCTION("""COMPUTED_VALUE"""),3116.7)</f>
        <v>3116.7</v>
      </c>
      <c r="E98" s="6">
        <f>IFERROR(__xludf.DUMMYFUNCTION("""COMPUTED_VALUE"""),3159.3)</f>
        <v>3159.3</v>
      </c>
      <c r="F98" s="6">
        <f>IFERROR(__xludf.DUMMYFUNCTION("""COMPUTED_VALUE"""),1.4211163E7)</f>
        <v>14211163</v>
      </c>
    </row>
    <row r="99">
      <c r="A99" s="7">
        <f>IFERROR(__xludf.DUMMYFUNCTION("""COMPUTED_VALUE"""),45877.64583333333)</f>
        <v>45877.64583</v>
      </c>
      <c r="B99" s="6">
        <f>IFERROR(__xludf.DUMMYFUNCTION("""COMPUTED_VALUE"""),3170.0)</f>
        <v>3170</v>
      </c>
      <c r="C99" s="6">
        <f>IFERROR(__xludf.DUMMYFUNCTION("""COMPUTED_VALUE"""),3240.1)</f>
        <v>3240.1</v>
      </c>
      <c r="D99" s="6">
        <f>IFERROR(__xludf.DUMMYFUNCTION("""COMPUTED_VALUE"""),3135.6)</f>
        <v>3135.6</v>
      </c>
      <c r="E99" s="6">
        <f>IFERROR(__xludf.DUMMYFUNCTION("""COMPUTED_VALUE"""),3144.2)</f>
        <v>3144.2</v>
      </c>
      <c r="F99" s="6">
        <f>IFERROR(__xludf.DUMMYFUNCTION("""COMPUTED_VALUE"""),1.0451635E7)</f>
        <v>10451635</v>
      </c>
    </row>
    <row r="100">
      <c r="A100" s="7">
        <f>IFERROR(__xludf.DUMMYFUNCTION("""COMPUTED_VALUE"""),45883.64583333333)</f>
        <v>45883.64583</v>
      </c>
      <c r="B100" s="6">
        <f>IFERROR(__xludf.DUMMYFUNCTION("""COMPUTED_VALUE"""),3150.9)</f>
        <v>3150.9</v>
      </c>
      <c r="C100" s="6">
        <f>IFERROR(__xludf.DUMMYFUNCTION("""COMPUTED_VALUE"""),3313.5)</f>
        <v>3313.5</v>
      </c>
      <c r="D100" s="6">
        <f>IFERROR(__xludf.DUMMYFUNCTION("""COMPUTED_VALUE"""),3130.3)</f>
        <v>3130.3</v>
      </c>
      <c r="E100" s="6">
        <f>IFERROR(__xludf.DUMMYFUNCTION("""COMPUTED_VALUE"""),3265.4)</f>
        <v>3265.4</v>
      </c>
      <c r="F100" s="6">
        <f>IFERROR(__xludf.DUMMYFUNCTION("""COMPUTED_VALUE"""),9307489.0)</f>
        <v>9307489</v>
      </c>
    </row>
    <row r="101">
      <c r="A101" s="7">
        <f>IFERROR(__xludf.DUMMYFUNCTION("""COMPUTED_VALUE"""),45891.64583333333)</f>
        <v>45891.64583</v>
      </c>
      <c r="B101" s="6">
        <f>IFERROR(__xludf.DUMMYFUNCTION("""COMPUTED_VALUE"""),3350.0)</f>
        <v>3350</v>
      </c>
      <c r="C101" s="6">
        <f>IFERROR(__xludf.DUMMYFUNCTION("""COMPUTED_VALUE"""),3432.0)</f>
        <v>3432</v>
      </c>
      <c r="D101" s="6">
        <f>IFERROR(__xludf.DUMMYFUNCTION("""COMPUTED_VALUE"""),3335.0)</f>
        <v>3335</v>
      </c>
      <c r="E101" s="6">
        <f>IFERROR(__xludf.DUMMYFUNCTION("""COMPUTED_VALUE"""),3403.0)</f>
        <v>3403</v>
      </c>
      <c r="F101" s="6">
        <f>IFERROR(__xludf.DUMMYFUNCTION("""COMPUTED_VALUE"""),1.5816201E7)</f>
        <v>15816201</v>
      </c>
    </row>
    <row r="102">
      <c r="A102" s="7">
        <f>IFERROR(__xludf.DUMMYFUNCTION("""COMPUTED_VALUE"""),45895.64583333333)</f>
        <v>45895.64583</v>
      </c>
      <c r="B102" s="6">
        <f>IFERROR(__xludf.DUMMYFUNCTION("""COMPUTED_VALUE"""),3428.0)</f>
        <v>3428</v>
      </c>
      <c r="C102" s="6">
        <f>IFERROR(__xludf.DUMMYFUNCTION("""COMPUTED_VALUE"""),3429.0)</f>
        <v>3429</v>
      </c>
      <c r="D102" s="6">
        <f>IFERROR(__xludf.DUMMYFUNCTION("""COMPUTED_VALUE"""),3318.1)</f>
        <v>3318.1</v>
      </c>
      <c r="E102" s="6">
        <f>IFERROR(__xludf.DUMMYFUNCTION("""COMPUTED_VALUE"""),3330.8)</f>
        <v>3330.8</v>
      </c>
      <c r="F102" s="6">
        <f>IFERROR(__xludf.DUMMYFUNCTION("""COMPUTED_VALUE"""),3.4808079E7)</f>
        <v>34808079</v>
      </c>
    </row>
  </sheetData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IFERROR(__xludf.DUMMYFUNCTION("GOOGLEFINANCE(""NSE:M&amp;MFIN"",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IFERROR(__xludf.DUMMYFUNCTION("""COMPUTED_VALUE"""),287.52)</f>
        <v>287.52</v>
      </c>
      <c r="C2" s="6">
        <f>IFERROR(__xludf.DUMMYFUNCTION("""COMPUTED_VALUE"""),293.75)</f>
        <v>293.75</v>
      </c>
      <c r="D2" s="6">
        <f>IFERROR(__xludf.DUMMYFUNCTION("""COMPUTED_VALUE"""),283.53)</f>
        <v>283.53</v>
      </c>
      <c r="E2" s="6">
        <f>IFERROR(__xludf.DUMMYFUNCTION("""COMPUTED_VALUE"""),291.07)</f>
        <v>291.07</v>
      </c>
      <c r="F2" s="6">
        <f>IFERROR(__xludf.DUMMYFUNCTION("""COMPUTED_VALUE"""),1.4119067E7)</f>
        <v>14119067</v>
      </c>
    </row>
    <row r="3">
      <c r="A3" s="7">
        <f>IFERROR(__xludf.DUMMYFUNCTION("""COMPUTED_VALUE"""),45177.64583333333)</f>
        <v>45177.64583</v>
      </c>
      <c r="B3" s="6">
        <f>IFERROR(__xludf.DUMMYFUNCTION("""COMPUTED_VALUE"""),290.92)</f>
        <v>290.92</v>
      </c>
      <c r="C3" s="6">
        <f>IFERROR(__xludf.DUMMYFUNCTION("""COMPUTED_VALUE"""),299.15)</f>
        <v>299.15</v>
      </c>
      <c r="D3" s="6">
        <f>IFERROR(__xludf.DUMMYFUNCTION("""COMPUTED_VALUE"""),281.24)</f>
        <v>281.24</v>
      </c>
      <c r="E3" s="6">
        <f>IFERROR(__xludf.DUMMYFUNCTION("""COMPUTED_VALUE"""),293.5)</f>
        <v>293.5</v>
      </c>
      <c r="F3" s="6">
        <f>IFERROR(__xludf.DUMMYFUNCTION("""COMPUTED_VALUE"""),1.6680567E7)</f>
        <v>16680567</v>
      </c>
    </row>
    <row r="4">
      <c r="A4" s="7">
        <f>IFERROR(__xludf.DUMMYFUNCTION("""COMPUTED_VALUE"""),45184.64583333333)</f>
        <v>45184.64583</v>
      </c>
      <c r="B4" s="6">
        <f>IFERROR(__xludf.DUMMYFUNCTION("""COMPUTED_VALUE"""),296.32)</f>
        <v>296.32</v>
      </c>
      <c r="C4" s="6">
        <f>IFERROR(__xludf.DUMMYFUNCTION("""COMPUTED_VALUE"""),297.44)</f>
        <v>297.44</v>
      </c>
      <c r="D4" s="6">
        <f>IFERROR(__xludf.DUMMYFUNCTION("""COMPUTED_VALUE"""),279.74)</f>
        <v>279.74</v>
      </c>
      <c r="E4" s="6">
        <f>IFERROR(__xludf.DUMMYFUNCTION("""COMPUTED_VALUE"""),292.82)</f>
        <v>292.82</v>
      </c>
      <c r="F4" s="6">
        <f>IFERROR(__xludf.DUMMYFUNCTION("""COMPUTED_VALUE"""),1.4956688E7)</f>
        <v>14956688</v>
      </c>
    </row>
    <row r="5">
      <c r="A5" s="7">
        <f>IFERROR(__xludf.DUMMYFUNCTION("""COMPUTED_VALUE"""),45191.64583333333)</f>
        <v>45191.64583</v>
      </c>
      <c r="B5" s="6">
        <f>IFERROR(__xludf.DUMMYFUNCTION("""COMPUTED_VALUE"""),293.79)</f>
        <v>293.79</v>
      </c>
      <c r="C5" s="6">
        <f>IFERROR(__xludf.DUMMYFUNCTION("""COMPUTED_VALUE"""),305.67)</f>
        <v>305.67</v>
      </c>
      <c r="D5" s="6">
        <f>IFERROR(__xludf.DUMMYFUNCTION("""COMPUTED_VALUE"""),287.86)</f>
        <v>287.86</v>
      </c>
      <c r="E5" s="6">
        <f>IFERROR(__xludf.DUMMYFUNCTION("""COMPUTED_VALUE"""),294.38)</f>
        <v>294.38</v>
      </c>
      <c r="F5" s="6">
        <f>IFERROR(__xludf.DUMMYFUNCTION("""COMPUTED_VALUE"""),2.7392767E7)</f>
        <v>27392767</v>
      </c>
    </row>
    <row r="6">
      <c r="A6" s="7">
        <f>IFERROR(__xludf.DUMMYFUNCTION("""COMPUTED_VALUE"""),45198.64583333333)</f>
        <v>45198.64583</v>
      </c>
      <c r="B6" s="6">
        <f>IFERROR(__xludf.DUMMYFUNCTION("""COMPUTED_VALUE"""),294.87)</f>
        <v>294.87</v>
      </c>
      <c r="C6" s="6">
        <f>IFERROR(__xludf.DUMMYFUNCTION("""COMPUTED_VALUE"""),298.56)</f>
        <v>298.56</v>
      </c>
      <c r="D6" s="6">
        <f>IFERROR(__xludf.DUMMYFUNCTION("""COMPUTED_VALUE"""),282.65)</f>
        <v>282.65</v>
      </c>
      <c r="E6" s="6">
        <f>IFERROR(__xludf.DUMMYFUNCTION("""COMPUTED_VALUE"""),293.21)</f>
        <v>293.21</v>
      </c>
      <c r="F6" s="6">
        <f>IFERROR(__xludf.DUMMYFUNCTION("""COMPUTED_VALUE"""),2.4156623E7)</f>
        <v>24156623</v>
      </c>
    </row>
    <row r="7">
      <c r="A7" s="7">
        <f>IFERROR(__xludf.DUMMYFUNCTION("""COMPUTED_VALUE"""),45205.64583333333)</f>
        <v>45205.64583</v>
      </c>
      <c r="B7" s="6">
        <f>IFERROR(__xludf.DUMMYFUNCTION("""COMPUTED_VALUE"""),292.77)</f>
        <v>292.77</v>
      </c>
      <c r="C7" s="6">
        <f>IFERROR(__xludf.DUMMYFUNCTION("""COMPUTED_VALUE"""),293.99)</f>
        <v>293.99</v>
      </c>
      <c r="D7" s="6">
        <f>IFERROR(__xludf.DUMMYFUNCTION("""COMPUTED_VALUE"""),276.67)</f>
        <v>276.67</v>
      </c>
      <c r="E7" s="6">
        <f>IFERROR(__xludf.DUMMYFUNCTION("""COMPUTED_VALUE"""),281.1)</f>
        <v>281.1</v>
      </c>
      <c r="F7" s="6">
        <f>IFERROR(__xludf.DUMMYFUNCTION("""COMPUTED_VALUE"""),2.1092759E7)</f>
        <v>21092759</v>
      </c>
    </row>
    <row r="8">
      <c r="A8" s="7">
        <f>IFERROR(__xludf.DUMMYFUNCTION("""COMPUTED_VALUE"""),45212.64583333333)</f>
        <v>45212.64583</v>
      </c>
      <c r="B8" s="6">
        <f>IFERROR(__xludf.DUMMYFUNCTION("""COMPUTED_VALUE"""),278.28)</f>
        <v>278.28</v>
      </c>
      <c r="C8" s="6">
        <f>IFERROR(__xludf.DUMMYFUNCTION("""COMPUTED_VALUE"""),286.94)</f>
        <v>286.94</v>
      </c>
      <c r="D8" s="6">
        <f>IFERROR(__xludf.DUMMYFUNCTION("""COMPUTED_VALUE"""),274.92)</f>
        <v>274.92</v>
      </c>
      <c r="E8" s="6">
        <f>IFERROR(__xludf.DUMMYFUNCTION("""COMPUTED_VALUE"""),279.39)</f>
        <v>279.39</v>
      </c>
      <c r="F8" s="6">
        <f>IFERROR(__xludf.DUMMYFUNCTION("""COMPUTED_VALUE"""),1.1324106E7)</f>
        <v>11324106</v>
      </c>
    </row>
    <row r="9">
      <c r="A9" s="7">
        <f>IFERROR(__xludf.DUMMYFUNCTION("""COMPUTED_VALUE"""),45219.64583333333)</f>
        <v>45219.64583</v>
      </c>
      <c r="B9" s="6">
        <f>IFERROR(__xludf.DUMMYFUNCTION("""COMPUTED_VALUE"""),279.39)</f>
        <v>279.39</v>
      </c>
      <c r="C9" s="6">
        <f>IFERROR(__xludf.DUMMYFUNCTION("""COMPUTED_VALUE"""),282.07)</f>
        <v>282.07</v>
      </c>
      <c r="D9" s="6">
        <f>IFERROR(__xludf.DUMMYFUNCTION("""COMPUTED_VALUE"""),267.13)</f>
        <v>267.13</v>
      </c>
      <c r="E9" s="6">
        <f>IFERROR(__xludf.DUMMYFUNCTION("""COMPUTED_VALUE"""),270.35)</f>
        <v>270.35</v>
      </c>
      <c r="F9" s="6">
        <f>IFERROR(__xludf.DUMMYFUNCTION("""COMPUTED_VALUE"""),1.3328823E7)</f>
        <v>13328823</v>
      </c>
    </row>
    <row r="10">
      <c r="A10" s="7">
        <f>IFERROR(__xludf.DUMMYFUNCTION("""COMPUTED_VALUE"""),45226.64583333333)</f>
        <v>45226.64583</v>
      </c>
      <c r="B10" s="6">
        <f>IFERROR(__xludf.DUMMYFUNCTION("""COMPUTED_VALUE"""),270.49)</f>
        <v>270.49</v>
      </c>
      <c r="C10" s="6">
        <f>IFERROR(__xludf.DUMMYFUNCTION("""COMPUTED_VALUE"""),274.92)</f>
        <v>274.92</v>
      </c>
      <c r="D10" s="6">
        <f>IFERROR(__xludf.DUMMYFUNCTION("""COMPUTED_VALUE"""),260.37)</f>
        <v>260.37</v>
      </c>
      <c r="E10" s="6">
        <f>IFERROR(__xludf.DUMMYFUNCTION("""COMPUTED_VALUE"""),269.81)</f>
        <v>269.81</v>
      </c>
      <c r="F10" s="6">
        <f>IFERROR(__xludf.DUMMYFUNCTION("""COMPUTED_VALUE"""),1.0161222E7)</f>
        <v>10161222</v>
      </c>
    </row>
    <row r="11">
      <c r="A11" s="7">
        <f>IFERROR(__xludf.DUMMYFUNCTION("""COMPUTED_VALUE"""),45233.64583333333)</f>
        <v>45233.64583</v>
      </c>
      <c r="B11" s="6">
        <f>IFERROR(__xludf.DUMMYFUNCTION("""COMPUTED_VALUE"""),251.03)</f>
        <v>251.03</v>
      </c>
      <c r="C11" s="6">
        <f>IFERROR(__xludf.DUMMYFUNCTION("""COMPUTED_VALUE"""),252.49)</f>
        <v>252.49</v>
      </c>
      <c r="D11" s="6">
        <f>IFERROR(__xludf.DUMMYFUNCTION("""COMPUTED_VALUE"""),230.94)</f>
        <v>230.94</v>
      </c>
      <c r="E11" s="6">
        <f>IFERROR(__xludf.DUMMYFUNCTION("""COMPUTED_VALUE"""),251.28)</f>
        <v>251.28</v>
      </c>
      <c r="F11" s="6">
        <f>IFERROR(__xludf.DUMMYFUNCTION("""COMPUTED_VALUE"""),5.2970719E7)</f>
        <v>52970719</v>
      </c>
    </row>
    <row r="12">
      <c r="A12" s="7">
        <f>IFERROR(__xludf.DUMMYFUNCTION("""COMPUTED_VALUE"""),45240.64583333333)</f>
        <v>45240.64583</v>
      </c>
      <c r="B12" s="6">
        <f>IFERROR(__xludf.DUMMYFUNCTION("""COMPUTED_VALUE"""),252.35)</f>
        <v>252.35</v>
      </c>
      <c r="C12" s="6">
        <f>IFERROR(__xludf.DUMMYFUNCTION("""COMPUTED_VALUE"""),266.11)</f>
        <v>266.11</v>
      </c>
      <c r="D12" s="6">
        <f>IFERROR(__xludf.DUMMYFUNCTION("""COMPUTED_VALUE"""),251.37)</f>
        <v>251.37</v>
      </c>
      <c r="E12" s="6">
        <f>IFERROR(__xludf.DUMMYFUNCTION("""COMPUTED_VALUE"""),264.22)</f>
        <v>264.22</v>
      </c>
      <c r="F12" s="6">
        <f>IFERROR(__xludf.DUMMYFUNCTION("""COMPUTED_VALUE"""),1.0672085E7)</f>
        <v>10672085</v>
      </c>
    </row>
    <row r="13">
      <c r="A13" s="7">
        <f>IFERROR(__xludf.DUMMYFUNCTION("""COMPUTED_VALUE"""),45247.64583333333)</f>
        <v>45247.64583</v>
      </c>
      <c r="B13" s="6">
        <f>IFERROR(__xludf.DUMMYFUNCTION("""COMPUTED_VALUE"""),266.21)</f>
        <v>266.21</v>
      </c>
      <c r="C13" s="6">
        <f>IFERROR(__xludf.DUMMYFUNCTION("""COMPUTED_VALUE"""),272.05)</f>
        <v>272.05</v>
      </c>
      <c r="D13" s="6">
        <f>IFERROR(__xludf.DUMMYFUNCTION("""COMPUTED_VALUE"""),261.44)</f>
        <v>261.44</v>
      </c>
      <c r="E13" s="6">
        <f>IFERROR(__xludf.DUMMYFUNCTION("""COMPUTED_VALUE"""),266.41)</f>
        <v>266.41</v>
      </c>
      <c r="F13" s="6">
        <f>IFERROR(__xludf.DUMMYFUNCTION("""COMPUTED_VALUE"""),6675958.0)</f>
        <v>6675958</v>
      </c>
    </row>
    <row r="14">
      <c r="A14" s="7">
        <f>IFERROR(__xludf.DUMMYFUNCTION("""COMPUTED_VALUE"""),45254.64583333333)</f>
        <v>45254.64583</v>
      </c>
      <c r="B14" s="6">
        <f>IFERROR(__xludf.DUMMYFUNCTION("""COMPUTED_VALUE"""),267.09)</f>
        <v>267.09</v>
      </c>
      <c r="C14" s="6">
        <f>IFERROR(__xludf.DUMMYFUNCTION("""COMPUTED_VALUE"""),269.57)</f>
        <v>269.57</v>
      </c>
      <c r="D14" s="6">
        <f>IFERROR(__xludf.DUMMYFUNCTION("""COMPUTED_VALUE"""),256.38)</f>
        <v>256.38</v>
      </c>
      <c r="E14" s="6">
        <f>IFERROR(__xludf.DUMMYFUNCTION("""COMPUTED_VALUE"""),256.77)</f>
        <v>256.77</v>
      </c>
      <c r="F14" s="6">
        <f>IFERROR(__xludf.DUMMYFUNCTION("""COMPUTED_VALUE"""),9561181.0)</f>
        <v>9561181</v>
      </c>
    </row>
    <row r="15">
      <c r="A15" s="7">
        <f>IFERROR(__xludf.DUMMYFUNCTION("""COMPUTED_VALUE"""),45261.64583333333)</f>
        <v>45261.64583</v>
      </c>
      <c r="B15" s="6">
        <f>IFERROR(__xludf.DUMMYFUNCTION("""COMPUTED_VALUE"""),257.7)</f>
        <v>257.7</v>
      </c>
      <c r="C15" s="6">
        <f>IFERROR(__xludf.DUMMYFUNCTION("""COMPUTED_VALUE"""),269.86)</f>
        <v>269.86</v>
      </c>
      <c r="D15" s="6">
        <f>IFERROR(__xludf.DUMMYFUNCTION("""COMPUTED_VALUE"""),255.51)</f>
        <v>255.51</v>
      </c>
      <c r="E15" s="6">
        <f>IFERROR(__xludf.DUMMYFUNCTION("""COMPUTED_VALUE"""),266.26)</f>
        <v>266.26</v>
      </c>
      <c r="F15" s="6">
        <f>IFERROR(__xludf.DUMMYFUNCTION("""COMPUTED_VALUE"""),1.0161937E7)</f>
        <v>10161937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IFERROR(__xludf.DUMMYFUNCTION("""COMPUTED_VALUE"""),269.32)</f>
        <v>269.32</v>
      </c>
      <c r="C16" s="6">
        <f>IFERROR(__xludf.DUMMYFUNCTION("""COMPUTED_VALUE"""),273.75)</f>
        <v>273.75</v>
      </c>
      <c r="D16" s="6">
        <f>IFERROR(__xludf.DUMMYFUNCTION("""COMPUTED_VALUE"""),262.22)</f>
        <v>262.22</v>
      </c>
      <c r="E16" s="6">
        <f>IFERROR(__xludf.DUMMYFUNCTION("""COMPUTED_VALUE"""),265.87)</f>
        <v>265.87</v>
      </c>
      <c r="F16" s="6">
        <f>IFERROR(__xludf.DUMMYFUNCTION("""COMPUTED_VALUE"""),2.5188263E7)</f>
        <v>25188263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IFERROR(__xludf.DUMMYFUNCTION("""COMPUTED_VALUE"""),265.87)</f>
        <v>265.87</v>
      </c>
      <c r="C17" s="6">
        <f>IFERROR(__xludf.DUMMYFUNCTION("""COMPUTED_VALUE"""),288.01)</f>
        <v>288.01</v>
      </c>
      <c r="D17" s="6">
        <f>IFERROR(__xludf.DUMMYFUNCTION("""COMPUTED_VALUE"""),260.23)</f>
        <v>260.23</v>
      </c>
      <c r="E17" s="6">
        <f>IFERROR(__xludf.DUMMYFUNCTION("""COMPUTED_VALUE"""),278.96)</f>
        <v>278.96</v>
      </c>
      <c r="F17" s="6">
        <f>IFERROR(__xludf.DUMMYFUNCTION("""COMPUTED_VALUE"""),2.4674944E7)</f>
        <v>24674944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IFERROR(__xludf.DUMMYFUNCTION("""COMPUTED_VALUE"""),279.15)</f>
        <v>279.15</v>
      </c>
      <c r="C18" s="6">
        <f>IFERROR(__xludf.DUMMYFUNCTION("""COMPUTED_VALUE"""),279.15)</f>
        <v>279.15</v>
      </c>
      <c r="D18" s="6">
        <f>IFERROR(__xludf.DUMMYFUNCTION("""COMPUTED_VALUE"""),254.83)</f>
        <v>254.83</v>
      </c>
      <c r="E18" s="6">
        <f>IFERROR(__xludf.DUMMYFUNCTION("""COMPUTED_VALUE"""),260.18)</f>
        <v>260.18</v>
      </c>
      <c r="F18" s="6">
        <f>IFERROR(__xludf.DUMMYFUNCTION("""COMPUTED_VALUE"""),1.929934E7)</f>
        <v>19299340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IFERROR(__xludf.DUMMYFUNCTION("""COMPUTED_VALUE"""),261.25)</f>
        <v>261.25</v>
      </c>
      <c r="C19" s="6">
        <f>IFERROR(__xludf.DUMMYFUNCTION("""COMPUTED_VALUE"""),273.95)</f>
        <v>273.95</v>
      </c>
      <c r="D19" s="6">
        <f>IFERROR(__xludf.DUMMYFUNCTION("""COMPUTED_VALUE"""),260.18)</f>
        <v>260.18</v>
      </c>
      <c r="E19" s="6">
        <f>IFERROR(__xludf.DUMMYFUNCTION("""COMPUTED_VALUE"""),269.23)</f>
        <v>269.23</v>
      </c>
      <c r="F19" s="6">
        <f>IFERROR(__xludf.DUMMYFUNCTION("""COMPUTED_VALUE"""),2.0922744E7)</f>
        <v>20922744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IFERROR(__xludf.DUMMYFUNCTION("""COMPUTED_VALUE"""),270.15)</f>
        <v>270.15</v>
      </c>
      <c r="C20" s="6">
        <f>IFERROR(__xludf.DUMMYFUNCTION("""COMPUTED_VALUE"""),276.14)</f>
        <v>276.14</v>
      </c>
      <c r="D20" s="6">
        <f>IFERROR(__xludf.DUMMYFUNCTION("""COMPUTED_VALUE"""),261.35)</f>
        <v>261.35</v>
      </c>
      <c r="E20" s="6">
        <f>IFERROR(__xludf.DUMMYFUNCTION("""COMPUTED_VALUE"""),269.57)</f>
        <v>269.57</v>
      </c>
      <c r="F20" s="6">
        <f>IFERROR(__xludf.DUMMYFUNCTION("""COMPUTED_VALUE"""),2.4042159E7)</f>
        <v>24042159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IFERROR(__xludf.DUMMYFUNCTION("""COMPUTED_VALUE"""),271.46)</f>
        <v>271.46</v>
      </c>
      <c r="C21" s="6">
        <f>IFERROR(__xludf.DUMMYFUNCTION("""COMPUTED_VALUE"""),274.09)</f>
        <v>274.09</v>
      </c>
      <c r="D21" s="6">
        <f>IFERROR(__xludf.DUMMYFUNCTION("""COMPUTED_VALUE"""),259.5)</f>
        <v>259.5</v>
      </c>
      <c r="E21" s="6">
        <f>IFERROR(__xludf.DUMMYFUNCTION("""COMPUTED_VALUE"""),272.49)</f>
        <v>272.49</v>
      </c>
      <c r="F21" s="6">
        <f>IFERROR(__xludf.DUMMYFUNCTION("""COMPUTED_VALUE"""),2.1921131E7)</f>
        <v>21921131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IFERROR(__xludf.DUMMYFUNCTION("""COMPUTED_VALUE"""),275.36)</f>
        <v>275.36</v>
      </c>
      <c r="C22" s="6">
        <f>IFERROR(__xludf.DUMMYFUNCTION("""COMPUTED_VALUE"""),275.65)</f>
        <v>275.65</v>
      </c>
      <c r="D22" s="6">
        <f>IFERROR(__xludf.DUMMYFUNCTION("""COMPUTED_VALUE"""),259.64)</f>
        <v>259.64</v>
      </c>
      <c r="E22" s="6">
        <f>IFERROR(__xludf.DUMMYFUNCTION("""COMPUTED_VALUE"""),262.85)</f>
        <v>262.85</v>
      </c>
      <c r="F22" s="6">
        <f>IFERROR(__xludf.DUMMYFUNCTION("""COMPUTED_VALUE"""),1.3758924E7)</f>
        <v>13758924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IFERROR(__xludf.DUMMYFUNCTION("""COMPUTED_VALUE"""),265.58)</f>
        <v>265.58</v>
      </c>
      <c r="C23" s="6">
        <f>IFERROR(__xludf.DUMMYFUNCTION("""COMPUTED_VALUE"""),288.39)</f>
        <v>288.39</v>
      </c>
      <c r="D23" s="6">
        <f>IFERROR(__xludf.DUMMYFUNCTION("""COMPUTED_VALUE"""),262.42)</f>
        <v>262.42</v>
      </c>
      <c r="E23" s="6">
        <f>IFERROR(__xludf.DUMMYFUNCTION("""COMPUTED_VALUE"""),279.69)</f>
        <v>279.69</v>
      </c>
      <c r="F23" s="6">
        <f>IFERROR(__xludf.DUMMYFUNCTION("""COMPUTED_VALUE"""),3.3526298E7)</f>
        <v>33526298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IFERROR(__xludf.DUMMYFUNCTION("""COMPUTED_VALUE"""),281.19)</f>
        <v>281.19</v>
      </c>
      <c r="C24" s="6">
        <f>IFERROR(__xludf.DUMMYFUNCTION("""COMPUTED_VALUE"""),294.72)</f>
        <v>294.72</v>
      </c>
      <c r="D24" s="6">
        <f>IFERROR(__xludf.DUMMYFUNCTION("""COMPUTED_VALUE"""),274.48)</f>
        <v>274.48</v>
      </c>
      <c r="E24" s="6">
        <f>IFERROR(__xludf.DUMMYFUNCTION("""COMPUTED_VALUE"""),281.05)</f>
        <v>281.05</v>
      </c>
      <c r="F24" s="6">
        <f>IFERROR(__xludf.DUMMYFUNCTION("""COMPUTED_VALUE"""),2.0994874E7)</f>
        <v>20994874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IFERROR(__xludf.DUMMYFUNCTION("""COMPUTED_VALUE"""),282.22)</f>
        <v>282.22</v>
      </c>
      <c r="C25" s="6">
        <f>IFERROR(__xludf.DUMMYFUNCTION("""COMPUTED_VALUE"""),285.62)</f>
        <v>285.62</v>
      </c>
      <c r="D25" s="6">
        <f>IFERROR(__xludf.DUMMYFUNCTION("""COMPUTED_VALUE"""),268.35)</f>
        <v>268.35</v>
      </c>
      <c r="E25" s="6">
        <f>IFERROR(__xludf.DUMMYFUNCTION("""COMPUTED_VALUE"""),281.68)</f>
        <v>281.68</v>
      </c>
      <c r="F25" s="6">
        <f>IFERROR(__xludf.DUMMYFUNCTION("""COMPUTED_VALUE"""),1.1334113E7)</f>
        <v>11334113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IFERROR(__xludf.DUMMYFUNCTION("""COMPUTED_VALUE"""),281.15)</f>
        <v>281.15</v>
      </c>
      <c r="C26" s="6">
        <f>IFERROR(__xludf.DUMMYFUNCTION("""COMPUTED_VALUE"""),288.98)</f>
        <v>288.98</v>
      </c>
      <c r="D26" s="6">
        <f>IFERROR(__xludf.DUMMYFUNCTION("""COMPUTED_VALUE"""),276.82)</f>
        <v>276.82</v>
      </c>
      <c r="E26" s="6">
        <f>IFERROR(__xludf.DUMMYFUNCTION("""COMPUTED_VALUE"""),285.04)</f>
        <v>285.04</v>
      </c>
      <c r="F26" s="6">
        <f>IFERROR(__xludf.DUMMYFUNCTION("""COMPUTED_VALUE"""),1.2993182E7)</f>
        <v>12993182</v>
      </c>
    </row>
    <row r="27">
      <c r="A27" s="7">
        <f>IFERROR(__xludf.DUMMYFUNCTION("""COMPUTED_VALUE"""),45352.64583333333)</f>
        <v>45352.64583</v>
      </c>
      <c r="B27" s="6">
        <f>IFERROR(__xludf.DUMMYFUNCTION("""COMPUTED_VALUE"""),284.11)</f>
        <v>284.11</v>
      </c>
      <c r="C27" s="6">
        <f>IFERROR(__xludf.DUMMYFUNCTION("""COMPUTED_VALUE"""),287.03)</f>
        <v>287.03</v>
      </c>
      <c r="D27" s="6">
        <f>IFERROR(__xludf.DUMMYFUNCTION("""COMPUTED_VALUE"""),270.93)</f>
        <v>270.93</v>
      </c>
      <c r="E27" s="6">
        <f>IFERROR(__xludf.DUMMYFUNCTION("""COMPUTED_VALUE"""),279.98)</f>
        <v>279.98</v>
      </c>
      <c r="F27" s="6">
        <f>IFERROR(__xludf.DUMMYFUNCTION("""COMPUTED_VALUE"""),9529369.0)</f>
        <v>9529369</v>
      </c>
    </row>
    <row r="28">
      <c r="A28" s="7">
        <f>IFERROR(__xludf.DUMMYFUNCTION("""COMPUTED_VALUE"""),45358.64583333333)</f>
        <v>45358.64583</v>
      </c>
      <c r="B28" s="6">
        <f>IFERROR(__xludf.DUMMYFUNCTION("""COMPUTED_VALUE"""),279.88)</f>
        <v>279.88</v>
      </c>
      <c r="C28" s="6">
        <f>IFERROR(__xludf.DUMMYFUNCTION("""COMPUTED_VALUE"""),288.39)</f>
        <v>288.39</v>
      </c>
      <c r="D28" s="6">
        <f>IFERROR(__xludf.DUMMYFUNCTION("""COMPUTED_VALUE"""),270.49)</f>
        <v>270.49</v>
      </c>
      <c r="E28" s="6">
        <f>IFERROR(__xludf.DUMMYFUNCTION("""COMPUTED_VALUE"""),279.2)</f>
        <v>279.2</v>
      </c>
      <c r="F28" s="6">
        <f>IFERROR(__xludf.DUMMYFUNCTION("""COMPUTED_VALUE"""),1.2687875E7)</f>
        <v>12687875</v>
      </c>
    </row>
    <row r="29">
      <c r="A29" s="7">
        <f>IFERROR(__xludf.DUMMYFUNCTION("""COMPUTED_VALUE"""),45366.64583333333)</f>
        <v>45366.64583</v>
      </c>
      <c r="B29" s="6">
        <f>IFERROR(__xludf.DUMMYFUNCTION("""COMPUTED_VALUE"""),273.46)</f>
        <v>273.46</v>
      </c>
      <c r="C29" s="6">
        <f>IFERROR(__xludf.DUMMYFUNCTION("""COMPUTED_VALUE"""),284.5)</f>
        <v>284.5</v>
      </c>
      <c r="D29" s="6">
        <f>IFERROR(__xludf.DUMMYFUNCTION("""COMPUTED_VALUE"""),251.37)</f>
        <v>251.37</v>
      </c>
      <c r="E29" s="6">
        <f>IFERROR(__xludf.DUMMYFUNCTION("""COMPUTED_VALUE"""),254.58)</f>
        <v>254.58</v>
      </c>
      <c r="F29" s="6">
        <f>IFERROR(__xludf.DUMMYFUNCTION("""COMPUTED_VALUE"""),1.5319666E7)</f>
        <v>15319666</v>
      </c>
    </row>
    <row r="30">
      <c r="A30" s="7">
        <f>IFERROR(__xludf.DUMMYFUNCTION("""COMPUTED_VALUE"""),45373.64583333333)</f>
        <v>45373.64583</v>
      </c>
      <c r="B30" s="6">
        <f>IFERROR(__xludf.DUMMYFUNCTION("""COMPUTED_VALUE"""),254.78)</f>
        <v>254.78</v>
      </c>
      <c r="C30" s="6">
        <f>IFERROR(__xludf.DUMMYFUNCTION("""COMPUTED_VALUE"""),268.16)</f>
        <v>268.16</v>
      </c>
      <c r="D30" s="6">
        <f>IFERROR(__xludf.DUMMYFUNCTION("""COMPUTED_VALUE"""),249.13)</f>
        <v>249.13</v>
      </c>
      <c r="E30" s="6">
        <f>IFERROR(__xludf.DUMMYFUNCTION("""COMPUTED_VALUE"""),266.21)</f>
        <v>266.21</v>
      </c>
      <c r="F30" s="6">
        <f>IFERROR(__xludf.DUMMYFUNCTION("""COMPUTED_VALUE"""),1.3874366E7)</f>
        <v>13874366</v>
      </c>
    </row>
    <row r="31">
      <c r="A31" s="7">
        <f>IFERROR(__xludf.DUMMYFUNCTION("""COMPUTED_VALUE"""),45379.64583333333)</f>
        <v>45379.64583</v>
      </c>
      <c r="B31" s="6">
        <f>IFERROR(__xludf.DUMMYFUNCTION("""COMPUTED_VALUE"""),264.46)</f>
        <v>264.46</v>
      </c>
      <c r="C31" s="6">
        <f>IFERROR(__xludf.DUMMYFUNCTION("""COMPUTED_VALUE"""),272.44)</f>
        <v>272.44</v>
      </c>
      <c r="D31" s="6">
        <f>IFERROR(__xludf.DUMMYFUNCTION("""COMPUTED_VALUE"""),263.88)</f>
        <v>263.88</v>
      </c>
      <c r="E31" s="6">
        <f>IFERROR(__xludf.DUMMYFUNCTION("""COMPUTED_VALUE"""),271.27)</f>
        <v>271.27</v>
      </c>
      <c r="F31" s="6">
        <f>IFERROR(__xludf.DUMMYFUNCTION("""COMPUTED_VALUE"""),7651922.0)</f>
        <v>7651922</v>
      </c>
    </row>
    <row r="32">
      <c r="A32" s="7">
        <f>IFERROR(__xludf.DUMMYFUNCTION("""COMPUTED_VALUE"""),45387.64583333333)</f>
        <v>45387.64583</v>
      </c>
      <c r="B32" s="6">
        <f>IFERROR(__xludf.DUMMYFUNCTION("""COMPUTED_VALUE"""),271.56)</f>
        <v>271.56</v>
      </c>
      <c r="C32" s="6">
        <f>IFERROR(__xludf.DUMMYFUNCTION("""COMPUTED_VALUE"""),292.63)</f>
        <v>292.63</v>
      </c>
      <c r="D32" s="6">
        <f>IFERROR(__xludf.DUMMYFUNCTION("""COMPUTED_VALUE"""),271.56)</f>
        <v>271.56</v>
      </c>
      <c r="E32" s="6">
        <f>IFERROR(__xludf.DUMMYFUNCTION("""COMPUTED_VALUE"""),290.44)</f>
        <v>290.44</v>
      </c>
      <c r="F32" s="6">
        <f>IFERROR(__xludf.DUMMYFUNCTION("""COMPUTED_VALUE"""),1.1912335E7)</f>
        <v>11912335</v>
      </c>
    </row>
    <row r="33">
      <c r="A33" s="7">
        <f>IFERROR(__xludf.DUMMYFUNCTION("""COMPUTED_VALUE"""),45394.64583333333)</f>
        <v>45394.64583</v>
      </c>
      <c r="B33" s="6">
        <f>IFERROR(__xludf.DUMMYFUNCTION("""COMPUTED_VALUE"""),292.87)</f>
        <v>292.87</v>
      </c>
      <c r="C33" s="6">
        <f>IFERROR(__xludf.DUMMYFUNCTION("""COMPUTED_VALUE"""),300.17)</f>
        <v>300.17</v>
      </c>
      <c r="D33" s="6">
        <f>IFERROR(__xludf.DUMMYFUNCTION("""COMPUTED_VALUE"""),287.76)</f>
        <v>287.76</v>
      </c>
      <c r="E33" s="6">
        <f>IFERROR(__xludf.DUMMYFUNCTION("""COMPUTED_VALUE"""),295.25)</f>
        <v>295.25</v>
      </c>
      <c r="F33" s="6">
        <f>IFERROR(__xludf.DUMMYFUNCTION("""COMPUTED_VALUE"""),1.0129059E7)</f>
        <v>10129059</v>
      </c>
    </row>
    <row r="34">
      <c r="A34" s="7">
        <f>IFERROR(__xludf.DUMMYFUNCTION("""COMPUTED_VALUE"""),45401.64583333333)</f>
        <v>45401.64583</v>
      </c>
      <c r="B34" s="6">
        <f>IFERROR(__xludf.DUMMYFUNCTION("""COMPUTED_VALUE"""),292.48)</f>
        <v>292.48</v>
      </c>
      <c r="C34" s="6">
        <f>IFERROR(__xludf.DUMMYFUNCTION("""COMPUTED_VALUE"""),292.48)</f>
        <v>292.48</v>
      </c>
      <c r="D34" s="6">
        <f>IFERROR(__xludf.DUMMYFUNCTION("""COMPUTED_VALUE"""),273.85)</f>
        <v>273.85</v>
      </c>
      <c r="E34" s="6">
        <f>IFERROR(__xludf.DUMMYFUNCTION("""COMPUTED_VALUE"""),275.5)</f>
        <v>275.5</v>
      </c>
      <c r="F34" s="6">
        <f>IFERROR(__xludf.DUMMYFUNCTION("""COMPUTED_VALUE"""),1.0810898E7)</f>
        <v>10810898</v>
      </c>
    </row>
    <row r="35">
      <c r="A35" s="7">
        <f>IFERROR(__xludf.DUMMYFUNCTION("""COMPUTED_VALUE"""),45408.64583333333)</f>
        <v>45408.64583</v>
      </c>
      <c r="B35" s="6">
        <f>IFERROR(__xludf.DUMMYFUNCTION("""COMPUTED_VALUE"""),279.01)</f>
        <v>279.01</v>
      </c>
      <c r="C35" s="6">
        <f>IFERROR(__xludf.DUMMYFUNCTION("""COMPUTED_VALUE"""),281.63)</f>
        <v>281.63</v>
      </c>
      <c r="D35" s="6">
        <f>IFERROR(__xludf.DUMMYFUNCTION("""COMPUTED_VALUE"""),248.11)</f>
        <v>248.11</v>
      </c>
      <c r="E35" s="6">
        <f>IFERROR(__xludf.DUMMYFUNCTION("""COMPUTED_VALUE"""),251.66)</f>
        <v>251.66</v>
      </c>
      <c r="F35" s="6">
        <f>IFERROR(__xludf.DUMMYFUNCTION("""COMPUTED_VALUE"""),5.1938512E7)</f>
        <v>51938512</v>
      </c>
    </row>
    <row r="36">
      <c r="A36" s="7">
        <f>IFERROR(__xludf.DUMMYFUNCTION("""COMPUTED_VALUE"""),45415.64583333333)</f>
        <v>45415.64583</v>
      </c>
      <c r="B36" s="6">
        <f>IFERROR(__xludf.DUMMYFUNCTION("""COMPUTED_VALUE"""),252.98)</f>
        <v>252.98</v>
      </c>
      <c r="C36" s="6">
        <f>IFERROR(__xludf.DUMMYFUNCTION("""COMPUTED_VALUE"""),265.72)</f>
        <v>265.72</v>
      </c>
      <c r="D36" s="6">
        <f>IFERROR(__xludf.DUMMYFUNCTION("""COMPUTED_VALUE"""),252.0)</f>
        <v>252</v>
      </c>
      <c r="E36" s="6">
        <f>IFERROR(__xludf.DUMMYFUNCTION("""COMPUTED_VALUE"""),259.89)</f>
        <v>259.89</v>
      </c>
      <c r="F36" s="6">
        <f>IFERROR(__xludf.DUMMYFUNCTION("""COMPUTED_VALUE"""),1.6927898E7)</f>
        <v>16927898</v>
      </c>
    </row>
    <row r="37">
      <c r="A37" s="7">
        <f>IFERROR(__xludf.DUMMYFUNCTION("""COMPUTED_VALUE"""),45422.64583333333)</f>
        <v>45422.64583</v>
      </c>
      <c r="B37" s="6">
        <f>IFERROR(__xludf.DUMMYFUNCTION("""COMPUTED_VALUE"""),265.92)</f>
        <v>265.92</v>
      </c>
      <c r="C37" s="6">
        <f>IFERROR(__xludf.DUMMYFUNCTION("""COMPUTED_VALUE"""),266.41)</f>
        <v>266.41</v>
      </c>
      <c r="D37" s="6">
        <f>IFERROR(__xludf.DUMMYFUNCTION("""COMPUTED_VALUE"""),239.55)</f>
        <v>239.55</v>
      </c>
      <c r="E37" s="6">
        <f>IFERROR(__xludf.DUMMYFUNCTION("""COMPUTED_VALUE"""),243.78)</f>
        <v>243.78</v>
      </c>
      <c r="F37" s="6">
        <f>IFERROR(__xludf.DUMMYFUNCTION("""COMPUTED_VALUE"""),3.5568496E7)</f>
        <v>35568496</v>
      </c>
    </row>
    <row r="38">
      <c r="A38" s="7">
        <f>IFERROR(__xludf.DUMMYFUNCTION("""COMPUTED_VALUE"""),45436.64583333333)</f>
        <v>45436.64583</v>
      </c>
      <c r="B38" s="6">
        <f>IFERROR(__xludf.DUMMYFUNCTION("""COMPUTED_VALUE"""),257.79)</f>
        <v>257.79</v>
      </c>
      <c r="C38" s="6">
        <f>IFERROR(__xludf.DUMMYFUNCTION("""COMPUTED_VALUE"""),265.53)</f>
        <v>265.53</v>
      </c>
      <c r="D38" s="6">
        <f>IFERROR(__xludf.DUMMYFUNCTION("""COMPUTED_VALUE"""),254.05)</f>
        <v>254.05</v>
      </c>
      <c r="E38" s="6">
        <f>IFERROR(__xludf.DUMMYFUNCTION("""COMPUTED_VALUE"""),264.07)</f>
        <v>264.07</v>
      </c>
      <c r="F38" s="6">
        <f>IFERROR(__xludf.DUMMYFUNCTION("""COMPUTED_VALUE"""),9597078.0)</f>
        <v>9597078</v>
      </c>
    </row>
    <row r="39">
      <c r="A39" s="7">
        <f>IFERROR(__xludf.DUMMYFUNCTION("""COMPUTED_VALUE"""),45443.64583333333)</f>
        <v>45443.64583</v>
      </c>
      <c r="B39" s="6">
        <f>IFERROR(__xludf.DUMMYFUNCTION("""COMPUTED_VALUE"""),264.02)</f>
        <v>264.02</v>
      </c>
      <c r="C39" s="6">
        <f>IFERROR(__xludf.DUMMYFUNCTION("""COMPUTED_VALUE"""),264.9)</f>
        <v>264.9</v>
      </c>
      <c r="D39" s="6">
        <f>IFERROR(__xludf.DUMMYFUNCTION("""COMPUTED_VALUE"""),253.95)</f>
        <v>253.95</v>
      </c>
      <c r="E39" s="6">
        <f>IFERROR(__xludf.DUMMYFUNCTION("""COMPUTED_VALUE"""),260.37)</f>
        <v>260.37</v>
      </c>
      <c r="F39" s="6">
        <f>IFERROR(__xludf.DUMMYFUNCTION("""COMPUTED_VALUE"""),1.131648E7)</f>
        <v>11316480</v>
      </c>
    </row>
    <row r="40">
      <c r="A40" s="7">
        <f>IFERROR(__xludf.DUMMYFUNCTION("""COMPUTED_VALUE"""),45450.64583333333)</f>
        <v>45450.64583</v>
      </c>
      <c r="B40" s="6">
        <f>IFERROR(__xludf.DUMMYFUNCTION("""COMPUTED_VALUE"""),265.63)</f>
        <v>265.63</v>
      </c>
      <c r="C40" s="6">
        <f>IFERROR(__xludf.DUMMYFUNCTION("""COMPUTED_VALUE"""),275.45)</f>
        <v>275.45</v>
      </c>
      <c r="D40" s="6">
        <f>IFERROR(__xludf.DUMMYFUNCTION("""COMPUTED_VALUE"""),249.43)</f>
        <v>249.43</v>
      </c>
      <c r="E40" s="6">
        <f>IFERROR(__xludf.DUMMYFUNCTION("""COMPUTED_VALUE"""),274.82)</f>
        <v>274.82</v>
      </c>
      <c r="F40" s="6">
        <f>IFERROR(__xludf.DUMMYFUNCTION("""COMPUTED_VALUE"""),2.1627819E7)</f>
        <v>21627819</v>
      </c>
    </row>
    <row r="41">
      <c r="A41" s="7">
        <f>IFERROR(__xludf.DUMMYFUNCTION("""COMPUTED_VALUE"""),45457.64583333333)</f>
        <v>45457.64583</v>
      </c>
      <c r="B41" s="6">
        <f>IFERROR(__xludf.DUMMYFUNCTION("""COMPUTED_VALUE"""),277.3)</f>
        <v>277.3</v>
      </c>
      <c r="C41" s="6">
        <f>IFERROR(__xludf.DUMMYFUNCTION("""COMPUTED_VALUE"""),291.9)</f>
        <v>291.9</v>
      </c>
      <c r="D41" s="6">
        <f>IFERROR(__xludf.DUMMYFUNCTION("""COMPUTED_VALUE"""),275.84)</f>
        <v>275.84</v>
      </c>
      <c r="E41" s="6">
        <f>IFERROR(__xludf.DUMMYFUNCTION("""COMPUTED_VALUE"""),290.88)</f>
        <v>290.88</v>
      </c>
      <c r="F41" s="6">
        <f>IFERROR(__xludf.DUMMYFUNCTION("""COMPUTED_VALUE"""),1.7769974E7)</f>
        <v>17769974</v>
      </c>
    </row>
    <row r="42">
      <c r="A42" s="7">
        <f>IFERROR(__xludf.DUMMYFUNCTION("""COMPUTED_VALUE"""),45464.64583333333)</f>
        <v>45464.64583</v>
      </c>
      <c r="B42" s="6">
        <f>IFERROR(__xludf.DUMMYFUNCTION("""COMPUTED_VALUE"""),293.75)</f>
        <v>293.75</v>
      </c>
      <c r="C42" s="6">
        <f>IFERROR(__xludf.DUMMYFUNCTION("""COMPUTED_VALUE"""),304.55)</f>
        <v>304.55</v>
      </c>
      <c r="D42" s="6">
        <f>IFERROR(__xludf.DUMMYFUNCTION("""COMPUTED_VALUE"""),288.05)</f>
        <v>288.05</v>
      </c>
      <c r="E42" s="6">
        <f>IFERROR(__xludf.DUMMYFUNCTION("""COMPUTED_VALUE"""),297.78)</f>
        <v>297.78</v>
      </c>
      <c r="F42" s="6">
        <f>IFERROR(__xludf.DUMMYFUNCTION("""COMPUTED_VALUE"""),1.7612103E7)</f>
        <v>17612103</v>
      </c>
    </row>
    <row r="43">
      <c r="A43" s="7">
        <f>IFERROR(__xludf.DUMMYFUNCTION("""COMPUTED_VALUE"""),45471.64583333333)</f>
        <v>45471.64583</v>
      </c>
      <c r="B43" s="6">
        <f>IFERROR(__xludf.DUMMYFUNCTION("""COMPUTED_VALUE"""),297.74)</f>
        <v>297.74</v>
      </c>
      <c r="C43" s="6">
        <f>IFERROR(__xludf.DUMMYFUNCTION("""COMPUTED_VALUE"""),307.81)</f>
        <v>307.81</v>
      </c>
      <c r="D43" s="6">
        <f>IFERROR(__xludf.DUMMYFUNCTION("""COMPUTED_VALUE"""),290.58)</f>
        <v>290.58</v>
      </c>
      <c r="E43" s="6">
        <f>IFERROR(__xludf.DUMMYFUNCTION("""COMPUTED_VALUE"""),292.48)</f>
        <v>292.48</v>
      </c>
      <c r="F43" s="6">
        <f>IFERROR(__xludf.DUMMYFUNCTION("""COMPUTED_VALUE"""),2.3874919E7)</f>
        <v>23874919</v>
      </c>
    </row>
    <row r="44">
      <c r="A44" s="7">
        <f>IFERROR(__xludf.DUMMYFUNCTION("""COMPUTED_VALUE"""),45478.64583333333)</f>
        <v>45478.64583</v>
      </c>
      <c r="B44" s="6">
        <f>IFERROR(__xludf.DUMMYFUNCTION("""COMPUTED_VALUE"""),292.77)</f>
        <v>292.77</v>
      </c>
      <c r="C44" s="6">
        <f>IFERROR(__xludf.DUMMYFUNCTION("""COMPUTED_VALUE"""),300.46)</f>
        <v>300.46</v>
      </c>
      <c r="D44" s="6">
        <f>IFERROR(__xludf.DUMMYFUNCTION("""COMPUTED_VALUE"""),280.81)</f>
        <v>280.81</v>
      </c>
      <c r="E44" s="6">
        <f>IFERROR(__xludf.DUMMYFUNCTION("""COMPUTED_VALUE"""),292.38)</f>
        <v>292.38</v>
      </c>
      <c r="F44" s="6">
        <f>IFERROR(__xludf.DUMMYFUNCTION("""COMPUTED_VALUE"""),1.8295083E7)</f>
        <v>18295083</v>
      </c>
    </row>
    <row r="45">
      <c r="A45" s="7">
        <f>IFERROR(__xludf.DUMMYFUNCTION("""COMPUTED_VALUE"""),45485.64583333333)</f>
        <v>45485.64583</v>
      </c>
      <c r="B45" s="6">
        <f>IFERROR(__xludf.DUMMYFUNCTION("""COMPUTED_VALUE"""),294.04)</f>
        <v>294.04</v>
      </c>
      <c r="C45" s="6">
        <f>IFERROR(__xludf.DUMMYFUNCTION("""COMPUTED_VALUE"""),300.9)</f>
        <v>300.9</v>
      </c>
      <c r="D45" s="6">
        <f>IFERROR(__xludf.DUMMYFUNCTION("""COMPUTED_VALUE"""),287.62)</f>
        <v>287.62</v>
      </c>
      <c r="E45" s="6">
        <f>IFERROR(__xludf.DUMMYFUNCTION("""COMPUTED_VALUE"""),290.15)</f>
        <v>290.15</v>
      </c>
      <c r="F45" s="6">
        <f>IFERROR(__xludf.DUMMYFUNCTION("""COMPUTED_VALUE"""),1.2042824E7)</f>
        <v>12042824</v>
      </c>
    </row>
    <row r="46">
      <c r="A46" s="7">
        <f>IFERROR(__xludf.DUMMYFUNCTION("""COMPUTED_VALUE"""),45492.64583333333)</f>
        <v>45492.64583</v>
      </c>
      <c r="B46" s="6">
        <f>IFERROR(__xludf.DUMMYFUNCTION("""COMPUTED_VALUE"""),293.16)</f>
        <v>293.16</v>
      </c>
      <c r="C46" s="6">
        <f>IFERROR(__xludf.DUMMYFUNCTION("""COMPUTED_VALUE"""),296.96)</f>
        <v>296.96</v>
      </c>
      <c r="D46" s="6">
        <f>IFERROR(__xludf.DUMMYFUNCTION("""COMPUTED_VALUE"""),280.27)</f>
        <v>280.27</v>
      </c>
      <c r="E46" s="6">
        <f>IFERROR(__xludf.DUMMYFUNCTION("""COMPUTED_VALUE"""),282.41)</f>
        <v>282.41</v>
      </c>
      <c r="F46" s="6">
        <f>IFERROR(__xludf.DUMMYFUNCTION("""COMPUTED_VALUE"""),1.2517259E7)</f>
        <v>12517259</v>
      </c>
    </row>
    <row r="47">
      <c r="A47" s="7">
        <f>IFERROR(__xludf.DUMMYFUNCTION("""COMPUTED_VALUE"""),45499.64583333333)</f>
        <v>45499.64583</v>
      </c>
      <c r="B47" s="6">
        <f>IFERROR(__xludf.DUMMYFUNCTION("""COMPUTED_VALUE"""),280.42)</f>
        <v>280.42</v>
      </c>
      <c r="C47" s="6">
        <f>IFERROR(__xludf.DUMMYFUNCTION("""COMPUTED_VALUE"""),297.3)</f>
        <v>297.3</v>
      </c>
      <c r="D47" s="6">
        <f>IFERROR(__xludf.DUMMYFUNCTION("""COMPUTED_VALUE"""),273.41)</f>
        <v>273.41</v>
      </c>
      <c r="E47" s="6">
        <f>IFERROR(__xludf.DUMMYFUNCTION("""COMPUTED_VALUE"""),285.72)</f>
        <v>285.72</v>
      </c>
      <c r="F47" s="6">
        <f>IFERROR(__xludf.DUMMYFUNCTION("""COMPUTED_VALUE"""),1.7266691E7)</f>
        <v>17266691</v>
      </c>
    </row>
    <row r="48">
      <c r="A48" s="7">
        <f>IFERROR(__xludf.DUMMYFUNCTION("""COMPUTED_VALUE"""),45506.64583333333)</f>
        <v>45506.64583</v>
      </c>
      <c r="B48" s="6">
        <f>IFERROR(__xludf.DUMMYFUNCTION("""COMPUTED_VALUE"""),287.03)</f>
        <v>287.03</v>
      </c>
      <c r="C48" s="6">
        <f>IFERROR(__xludf.DUMMYFUNCTION("""COMPUTED_VALUE"""),302.45)</f>
        <v>302.45</v>
      </c>
      <c r="D48" s="6">
        <f>IFERROR(__xludf.DUMMYFUNCTION("""COMPUTED_VALUE"""),287.03)</f>
        <v>287.03</v>
      </c>
      <c r="E48" s="6">
        <f>IFERROR(__xludf.DUMMYFUNCTION("""COMPUTED_VALUE"""),297.2)</f>
        <v>297.2</v>
      </c>
      <c r="F48" s="6">
        <f>IFERROR(__xludf.DUMMYFUNCTION("""COMPUTED_VALUE"""),1.1720205E7)</f>
        <v>11720205</v>
      </c>
    </row>
    <row r="49">
      <c r="A49" s="7">
        <f>IFERROR(__xludf.DUMMYFUNCTION("""COMPUTED_VALUE"""),45513.64583333333)</f>
        <v>45513.64583</v>
      </c>
      <c r="B49" s="6">
        <f>IFERROR(__xludf.DUMMYFUNCTION("""COMPUTED_VALUE"""),282.17)</f>
        <v>282.17</v>
      </c>
      <c r="C49" s="6">
        <f>IFERROR(__xludf.DUMMYFUNCTION("""COMPUTED_VALUE"""),296.13)</f>
        <v>296.13</v>
      </c>
      <c r="D49" s="6">
        <f>IFERROR(__xludf.DUMMYFUNCTION("""COMPUTED_VALUE"""),279.35)</f>
        <v>279.35</v>
      </c>
      <c r="E49" s="6">
        <f>IFERROR(__xludf.DUMMYFUNCTION("""COMPUTED_VALUE"""),291.99)</f>
        <v>291.99</v>
      </c>
      <c r="F49" s="6">
        <f>IFERROR(__xludf.DUMMYFUNCTION("""COMPUTED_VALUE"""),1.1513247E7)</f>
        <v>11513247</v>
      </c>
    </row>
    <row r="50">
      <c r="A50" s="7">
        <f>IFERROR(__xludf.DUMMYFUNCTION("""COMPUTED_VALUE"""),45520.64583333333)</f>
        <v>45520.64583</v>
      </c>
      <c r="B50" s="6">
        <f>IFERROR(__xludf.DUMMYFUNCTION("""COMPUTED_VALUE"""),291.8)</f>
        <v>291.8</v>
      </c>
      <c r="C50" s="6">
        <f>IFERROR(__xludf.DUMMYFUNCTION("""COMPUTED_VALUE"""),296.03)</f>
        <v>296.03</v>
      </c>
      <c r="D50" s="6">
        <f>IFERROR(__xludf.DUMMYFUNCTION("""COMPUTED_VALUE"""),278.28)</f>
        <v>278.28</v>
      </c>
      <c r="E50" s="6">
        <f>IFERROR(__xludf.DUMMYFUNCTION("""COMPUTED_VALUE"""),287.86)</f>
        <v>287.86</v>
      </c>
      <c r="F50" s="6">
        <f>IFERROR(__xludf.DUMMYFUNCTION("""COMPUTED_VALUE"""),5556213.0)</f>
        <v>5556213</v>
      </c>
    </row>
    <row r="51">
      <c r="A51" s="7">
        <f>IFERROR(__xludf.DUMMYFUNCTION("""COMPUTED_VALUE"""),45527.64583333333)</f>
        <v>45527.64583</v>
      </c>
      <c r="B51" s="6">
        <f>IFERROR(__xludf.DUMMYFUNCTION("""COMPUTED_VALUE"""),289.42)</f>
        <v>289.42</v>
      </c>
      <c r="C51" s="6">
        <f>IFERROR(__xludf.DUMMYFUNCTION("""COMPUTED_VALUE"""),310.82)</f>
        <v>310.82</v>
      </c>
      <c r="D51" s="6">
        <f>IFERROR(__xludf.DUMMYFUNCTION("""COMPUTED_VALUE"""),285.57)</f>
        <v>285.57</v>
      </c>
      <c r="E51" s="6">
        <f>IFERROR(__xludf.DUMMYFUNCTION("""COMPUTED_VALUE"""),296.76)</f>
        <v>296.76</v>
      </c>
      <c r="F51" s="6">
        <f>IFERROR(__xludf.DUMMYFUNCTION("""COMPUTED_VALUE"""),1.5667405E7)</f>
        <v>15667405</v>
      </c>
    </row>
    <row r="52">
      <c r="A52" s="7">
        <f>IFERROR(__xludf.DUMMYFUNCTION("""COMPUTED_VALUE"""),45534.64583333333)</f>
        <v>45534.64583</v>
      </c>
      <c r="B52" s="6">
        <f>IFERROR(__xludf.DUMMYFUNCTION("""COMPUTED_VALUE"""),298.32)</f>
        <v>298.32</v>
      </c>
      <c r="C52" s="6">
        <f>IFERROR(__xludf.DUMMYFUNCTION("""COMPUTED_VALUE"""),314.52)</f>
        <v>314.52</v>
      </c>
      <c r="D52" s="6">
        <f>IFERROR(__xludf.DUMMYFUNCTION("""COMPUTED_VALUE"""),298.22)</f>
        <v>298.22</v>
      </c>
      <c r="E52" s="6">
        <f>IFERROR(__xludf.DUMMYFUNCTION("""COMPUTED_VALUE"""),305.86)</f>
        <v>305.86</v>
      </c>
      <c r="F52" s="6">
        <f>IFERROR(__xludf.DUMMYFUNCTION("""COMPUTED_VALUE"""),1.8164784E7)</f>
        <v>18164784</v>
      </c>
    </row>
    <row r="53">
      <c r="A53" s="7">
        <f>IFERROR(__xludf.DUMMYFUNCTION("""COMPUTED_VALUE"""),45541.64583333333)</f>
        <v>45541.64583</v>
      </c>
      <c r="B53" s="6">
        <f>IFERROR(__xludf.DUMMYFUNCTION("""COMPUTED_VALUE"""),309.07)</f>
        <v>309.07</v>
      </c>
      <c r="C53" s="6">
        <f>IFERROR(__xludf.DUMMYFUNCTION("""COMPUTED_VALUE"""),324.44)</f>
        <v>324.44</v>
      </c>
      <c r="D53" s="6">
        <f>IFERROR(__xludf.DUMMYFUNCTION("""COMPUTED_VALUE"""),307.17)</f>
        <v>307.17</v>
      </c>
      <c r="E53" s="6">
        <f>IFERROR(__xludf.DUMMYFUNCTION("""COMPUTED_VALUE"""),318.36)</f>
        <v>318.36</v>
      </c>
      <c r="F53" s="6">
        <f>IFERROR(__xludf.DUMMYFUNCTION("""COMPUTED_VALUE"""),2.8163825E7)</f>
        <v>28163825</v>
      </c>
    </row>
    <row r="54">
      <c r="A54" s="7">
        <f>IFERROR(__xludf.DUMMYFUNCTION("""COMPUTED_VALUE"""),45548.64583333333)</f>
        <v>45548.64583</v>
      </c>
      <c r="B54" s="6">
        <f>IFERROR(__xludf.DUMMYFUNCTION("""COMPUTED_VALUE"""),316.32)</f>
        <v>316.32</v>
      </c>
      <c r="C54" s="6">
        <f>IFERROR(__xludf.DUMMYFUNCTION("""COMPUTED_VALUE"""),327.46)</f>
        <v>327.46</v>
      </c>
      <c r="D54" s="6">
        <f>IFERROR(__xludf.DUMMYFUNCTION("""COMPUTED_VALUE"""),311.02)</f>
        <v>311.02</v>
      </c>
      <c r="E54" s="6">
        <f>IFERROR(__xludf.DUMMYFUNCTION("""COMPUTED_VALUE"""),323.96)</f>
        <v>323.96</v>
      </c>
      <c r="F54" s="6">
        <f>IFERROR(__xludf.DUMMYFUNCTION("""COMPUTED_VALUE"""),9912241.0)</f>
        <v>9912241</v>
      </c>
    </row>
    <row r="55">
      <c r="A55" s="7">
        <f>IFERROR(__xludf.DUMMYFUNCTION("""COMPUTED_VALUE"""),45555.64583333333)</f>
        <v>45555.64583</v>
      </c>
      <c r="B55" s="6">
        <f>IFERROR(__xludf.DUMMYFUNCTION("""COMPUTED_VALUE"""),325.95)</f>
        <v>325.95</v>
      </c>
      <c r="C55" s="6">
        <f>IFERROR(__xludf.DUMMYFUNCTION("""COMPUTED_VALUE"""),327.75)</f>
        <v>327.75</v>
      </c>
      <c r="D55" s="6">
        <f>IFERROR(__xludf.DUMMYFUNCTION("""COMPUTED_VALUE"""),306.35)</f>
        <v>306.35</v>
      </c>
      <c r="E55" s="6">
        <f>IFERROR(__xludf.DUMMYFUNCTION("""COMPUTED_VALUE"""),312.09)</f>
        <v>312.09</v>
      </c>
      <c r="F55" s="6">
        <f>IFERROR(__xludf.DUMMYFUNCTION("""COMPUTED_VALUE"""),2.2685401E7)</f>
        <v>22685401</v>
      </c>
    </row>
    <row r="56">
      <c r="A56" s="7">
        <f>IFERROR(__xludf.DUMMYFUNCTION("""COMPUTED_VALUE"""),45562.64583333333)</f>
        <v>45562.64583</v>
      </c>
      <c r="B56" s="6">
        <f>IFERROR(__xludf.DUMMYFUNCTION("""COMPUTED_VALUE"""),314.32)</f>
        <v>314.32</v>
      </c>
      <c r="C56" s="6">
        <f>IFERROR(__xludf.DUMMYFUNCTION("""COMPUTED_VALUE"""),333.74)</f>
        <v>333.74</v>
      </c>
      <c r="D56" s="6">
        <f>IFERROR(__xludf.DUMMYFUNCTION("""COMPUTED_VALUE"""),311.84)</f>
        <v>311.84</v>
      </c>
      <c r="E56" s="6">
        <f>IFERROR(__xludf.DUMMYFUNCTION("""COMPUTED_VALUE"""),324.49)</f>
        <v>324.49</v>
      </c>
      <c r="F56" s="6">
        <f>IFERROR(__xludf.DUMMYFUNCTION("""COMPUTED_VALUE"""),1.7589322E7)</f>
        <v>17589322</v>
      </c>
    </row>
    <row r="57">
      <c r="A57" s="7">
        <f>IFERROR(__xludf.DUMMYFUNCTION("""COMPUTED_VALUE"""),45569.64583333333)</f>
        <v>45569.64583</v>
      </c>
      <c r="B57" s="6">
        <f>IFERROR(__xludf.DUMMYFUNCTION("""COMPUTED_VALUE"""),325.85)</f>
        <v>325.85</v>
      </c>
      <c r="C57" s="6">
        <f>IFERROR(__xludf.DUMMYFUNCTION("""COMPUTED_VALUE"""),332.42)</f>
        <v>332.42</v>
      </c>
      <c r="D57" s="6">
        <f>IFERROR(__xludf.DUMMYFUNCTION("""COMPUTED_VALUE"""),290.92)</f>
        <v>290.92</v>
      </c>
      <c r="E57" s="6">
        <f>IFERROR(__xludf.DUMMYFUNCTION("""COMPUTED_VALUE"""),292.34)</f>
        <v>292.34</v>
      </c>
      <c r="F57" s="6">
        <f>IFERROR(__xludf.DUMMYFUNCTION("""COMPUTED_VALUE"""),2.3763519E7)</f>
        <v>23763519</v>
      </c>
    </row>
    <row r="58">
      <c r="A58" s="7">
        <f>IFERROR(__xludf.DUMMYFUNCTION("""COMPUTED_VALUE"""),45576.64583333333)</f>
        <v>45576.64583</v>
      </c>
      <c r="B58" s="6">
        <f>IFERROR(__xludf.DUMMYFUNCTION("""COMPUTED_VALUE"""),294.82)</f>
        <v>294.82</v>
      </c>
      <c r="C58" s="6">
        <f>IFERROR(__xludf.DUMMYFUNCTION("""COMPUTED_VALUE"""),296.71)</f>
        <v>296.71</v>
      </c>
      <c r="D58" s="6">
        <f>IFERROR(__xludf.DUMMYFUNCTION("""COMPUTED_VALUE"""),274.92)</f>
        <v>274.92</v>
      </c>
      <c r="E58" s="6">
        <f>IFERROR(__xludf.DUMMYFUNCTION("""COMPUTED_VALUE"""),276.38)</f>
        <v>276.38</v>
      </c>
      <c r="F58" s="6">
        <f>IFERROR(__xludf.DUMMYFUNCTION("""COMPUTED_VALUE"""),2.3313434E7)</f>
        <v>23313434</v>
      </c>
    </row>
    <row r="59">
      <c r="A59" s="7">
        <f>IFERROR(__xludf.DUMMYFUNCTION("""COMPUTED_VALUE"""),45583.64583333333)</f>
        <v>45583.64583</v>
      </c>
      <c r="B59" s="6">
        <f>IFERROR(__xludf.DUMMYFUNCTION("""COMPUTED_VALUE"""),278.66)</f>
        <v>278.66</v>
      </c>
      <c r="C59" s="6">
        <f>IFERROR(__xludf.DUMMYFUNCTION("""COMPUTED_VALUE"""),285.48)</f>
        <v>285.48</v>
      </c>
      <c r="D59" s="6">
        <f>IFERROR(__xludf.DUMMYFUNCTION("""COMPUTED_VALUE"""),271.76)</f>
        <v>271.76</v>
      </c>
      <c r="E59" s="6">
        <f>IFERROR(__xludf.DUMMYFUNCTION("""COMPUTED_VALUE"""),283.14)</f>
        <v>283.14</v>
      </c>
      <c r="F59" s="6">
        <f>IFERROR(__xludf.DUMMYFUNCTION("""COMPUTED_VALUE"""),1.2951191E7)</f>
        <v>12951191</v>
      </c>
    </row>
    <row r="60">
      <c r="A60" s="7">
        <f>IFERROR(__xludf.DUMMYFUNCTION("""COMPUTED_VALUE"""),45590.64583333333)</f>
        <v>45590.64583</v>
      </c>
      <c r="B60" s="6">
        <f>IFERROR(__xludf.DUMMYFUNCTION("""COMPUTED_VALUE"""),284.79)</f>
        <v>284.79</v>
      </c>
      <c r="C60" s="6">
        <f>IFERROR(__xludf.DUMMYFUNCTION("""COMPUTED_VALUE"""),287.42)</f>
        <v>287.42</v>
      </c>
      <c r="D60" s="6">
        <f>IFERROR(__xludf.DUMMYFUNCTION("""COMPUTED_VALUE"""),252.2)</f>
        <v>252.2</v>
      </c>
      <c r="E60" s="6">
        <f>IFERROR(__xludf.DUMMYFUNCTION("""COMPUTED_VALUE"""),261.01)</f>
        <v>261.01</v>
      </c>
      <c r="F60" s="6">
        <f>IFERROR(__xludf.DUMMYFUNCTION("""COMPUTED_VALUE"""),3.5919071E7)</f>
        <v>35919071</v>
      </c>
    </row>
    <row r="61">
      <c r="A61" s="7">
        <f>IFERROR(__xludf.DUMMYFUNCTION("""COMPUTED_VALUE"""),45604.64583333333)</f>
        <v>45604.64583</v>
      </c>
      <c r="B61" s="6">
        <f>IFERROR(__xludf.DUMMYFUNCTION("""COMPUTED_VALUE"""),265.19)</f>
        <v>265.19</v>
      </c>
      <c r="C61" s="6">
        <f>IFERROR(__xludf.DUMMYFUNCTION("""COMPUTED_VALUE"""),272.44)</f>
        <v>272.44</v>
      </c>
      <c r="D61" s="6">
        <f>IFERROR(__xludf.DUMMYFUNCTION("""COMPUTED_VALUE"""),262.56)</f>
        <v>262.56</v>
      </c>
      <c r="E61" s="6">
        <f>IFERROR(__xludf.DUMMYFUNCTION("""COMPUTED_VALUE"""),268.69)</f>
        <v>268.69</v>
      </c>
      <c r="F61" s="6">
        <f>IFERROR(__xludf.DUMMYFUNCTION("""COMPUTED_VALUE"""),6680229.0)</f>
        <v>6680229</v>
      </c>
    </row>
    <row r="62">
      <c r="A62" s="7">
        <f>IFERROR(__xludf.DUMMYFUNCTION("""COMPUTED_VALUE"""),45610.64583333333)</f>
        <v>45610.64583</v>
      </c>
      <c r="B62" s="6">
        <f>IFERROR(__xludf.DUMMYFUNCTION("""COMPUTED_VALUE"""),265.63)</f>
        <v>265.63</v>
      </c>
      <c r="C62" s="6">
        <f>IFERROR(__xludf.DUMMYFUNCTION("""COMPUTED_VALUE"""),267.91)</f>
        <v>267.91</v>
      </c>
      <c r="D62" s="6">
        <f>IFERROR(__xludf.DUMMYFUNCTION("""COMPUTED_VALUE"""),248.11)</f>
        <v>248.11</v>
      </c>
      <c r="E62" s="6">
        <f>IFERROR(__xludf.DUMMYFUNCTION("""COMPUTED_VALUE"""),249.91)</f>
        <v>249.91</v>
      </c>
      <c r="F62" s="6">
        <f>IFERROR(__xludf.DUMMYFUNCTION("""COMPUTED_VALUE"""),5530125.0)</f>
        <v>5530125</v>
      </c>
    </row>
    <row r="63">
      <c r="A63" s="7">
        <f>IFERROR(__xludf.DUMMYFUNCTION("""COMPUTED_VALUE"""),45618.64583333333)</f>
        <v>45618.64583</v>
      </c>
      <c r="B63" s="6">
        <f>IFERROR(__xludf.DUMMYFUNCTION("""COMPUTED_VALUE"""),248.7)</f>
        <v>248.7</v>
      </c>
      <c r="C63" s="6">
        <f>IFERROR(__xludf.DUMMYFUNCTION("""COMPUTED_VALUE"""),257.55)</f>
        <v>257.55</v>
      </c>
      <c r="D63" s="6">
        <f>IFERROR(__xludf.DUMMYFUNCTION("""COMPUTED_VALUE"""),247.43)</f>
        <v>247.43</v>
      </c>
      <c r="E63" s="6">
        <f>IFERROR(__xludf.DUMMYFUNCTION("""COMPUTED_VALUE"""),256.68)</f>
        <v>256.68</v>
      </c>
      <c r="F63" s="6">
        <f>IFERROR(__xludf.DUMMYFUNCTION("""COMPUTED_VALUE"""),3350224.0)</f>
        <v>3350224</v>
      </c>
    </row>
    <row r="64">
      <c r="A64" s="7">
        <f>IFERROR(__xludf.DUMMYFUNCTION("""COMPUTED_VALUE"""),45625.64583333333)</f>
        <v>45625.64583</v>
      </c>
      <c r="B64" s="6">
        <f>IFERROR(__xludf.DUMMYFUNCTION("""COMPUTED_VALUE"""),257.4)</f>
        <v>257.4</v>
      </c>
      <c r="C64" s="6">
        <f>IFERROR(__xludf.DUMMYFUNCTION("""COMPUTED_VALUE"""),270.98)</f>
        <v>270.98</v>
      </c>
      <c r="D64" s="6">
        <f>IFERROR(__xludf.DUMMYFUNCTION("""COMPUTED_VALUE"""),257.4)</f>
        <v>257.4</v>
      </c>
      <c r="E64" s="6">
        <f>IFERROR(__xludf.DUMMYFUNCTION("""COMPUTED_VALUE"""),266.02)</f>
        <v>266.02</v>
      </c>
      <c r="F64" s="6">
        <f>IFERROR(__xludf.DUMMYFUNCTION("""COMPUTED_VALUE"""),5924008.0)</f>
        <v>5924008</v>
      </c>
    </row>
    <row r="65">
      <c r="A65" s="7">
        <f>IFERROR(__xludf.DUMMYFUNCTION("""COMPUTED_VALUE"""),45632.64583333333)</f>
        <v>45632.64583</v>
      </c>
      <c r="B65" s="6">
        <f>IFERROR(__xludf.DUMMYFUNCTION("""COMPUTED_VALUE"""),265.63)</f>
        <v>265.63</v>
      </c>
      <c r="C65" s="6">
        <f>IFERROR(__xludf.DUMMYFUNCTION("""COMPUTED_VALUE"""),283.19)</f>
        <v>283.19</v>
      </c>
      <c r="D65" s="6">
        <f>IFERROR(__xludf.DUMMYFUNCTION("""COMPUTED_VALUE"""),263.68)</f>
        <v>263.68</v>
      </c>
      <c r="E65" s="6">
        <f>IFERROR(__xludf.DUMMYFUNCTION("""COMPUTED_VALUE"""),270.49)</f>
        <v>270.49</v>
      </c>
      <c r="F65" s="6">
        <f>IFERROR(__xludf.DUMMYFUNCTION("""COMPUTED_VALUE"""),1.089567E7)</f>
        <v>10895670</v>
      </c>
    </row>
    <row r="66">
      <c r="A66" s="7">
        <f>IFERROR(__xludf.DUMMYFUNCTION("""COMPUTED_VALUE"""),45639.64583333333)</f>
        <v>45639.64583</v>
      </c>
      <c r="B66" s="6">
        <f>IFERROR(__xludf.DUMMYFUNCTION("""COMPUTED_VALUE"""),270.93)</f>
        <v>270.93</v>
      </c>
      <c r="C66" s="6">
        <f>IFERROR(__xludf.DUMMYFUNCTION("""COMPUTED_VALUE"""),281.24)</f>
        <v>281.24</v>
      </c>
      <c r="D66" s="6">
        <f>IFERROR(__xludf.DUMMYFUNCTION("""COMPUTED_VALUE"""),263.24)</f>
        <v>263.24</v>
      </c>
      <c r="E66" s="6">
        <f>IFERROR(__xludf.DUMMYFUNCTION("""COMPUTED_VALUE"""),267.33)</f>
        <v>267.33</v>
      </c>
      <c r="F66" s="6">
        <f>IFERROR(__xludf.DUMMYFUNCTION("""COMPUTED_VALUE"""),8018228.0)</f>
        <v>8018228</v>
      </c>
    </row>
    <row r="67">
      <c r="A67" s="7">
        <f>IFERROR(__xludf.DUMMYFUNCTION("""COMPUTED_VALUE"""),45646.64583333333)</f>
        <v>45646.64583</v>
      </c>
      <c r="B67" s="6">
        <f>IFERROR(__xludf.DUMMYFUNCTION("""COMPUTED_VALUE"""),267.33)</f>
        <v>267.33</v>
      </c>
      <c r="C67" s="6">
        <f>IFERROR(__xludf.DUMMYFUNCTION("""COMPUTED_VALUE"""),271.76)</f>
        <v>271.76</v>
      </c>
      <c r="D67" s="6">
        <f>IFERROR(__xludf.DUMMYFUNCTION("""COMPUTED_VALUE"""),257.02)</f>
        <v>257.02</v>
      </c>
      <c r="E67" s="6">
        <f>IFERROR(__xludf.DUMMYFUNCTION("""COMPUTED_VALUE"""),258.86)</f>
        <v>258.86</v>
      </c>
      <c r="F67" s="6">
        <f>IFERROR(__xludf.DUMMYFUNCTION("""COMPUTED_VALUE"""),5462643.0)</f>
        <v>5462643</v>
      </c>
    </row>
    <row r="68">
      <c r="A68" s="7">
        <f>IFERROR(__xludf.DUMMYFUNCTION("""COMPUTED_VALUE"""),45653.64583333333)</f>
        <v>45653.64583</v>
      </c>
      <c r="B68" s="6">
        <f>IFERROR(__xludf.DUMMYFUNCTION("""COMPUTED_VALUE"""),260.42)</f>
        <v>260.42</v>
      </c>
      <c r="C68" s="6">
        <f>IFERROR(__xludf.DUMMYFUNCTION("""COMPUTED_VALUE"""),264.65)</f>
        <v>264.65</v>
      </c>
      <c r="D68" s="6">
        <f>IFERROR(__xludf.DUMMYFUNCTION("""COMPUTED_VALUE"""),255.02)</f>
        <v>255.02</v>
      </c>
      <c r="E68" s="6">
        <f>IFERROR(__xludf.DUMMYFUNCTION("""COMPUTED_VALUE"""),259.79)</f>
        <v>259.79</v>
      </c>
      <c r="F68" s="6">
        <f>IFERROR(__xludf.DUMMYFUNCTION("""COMPUTED_VALUE"""),5499551.0)</f>
        <v>5499551</v>
      </c>
    </row>
    <row r="69">
      <c r="A69" s="7">
        <f>IFERROR(__xludf.DUMMYFUNCTION("""COMPUTED_VALUE"""),45660.64583333333)</f>
        <v>45660.64583</v>
      </c>
      <c r="B69" s="6">
        <f>IFERROR(__xludf.DUMMYFUNCTION("""COMPUTED_VALUE"""),259.79)</f>
        <v>259.79</v>
      </c>
      <c r="C69" s="6">
        <f>IFERROR(__xludf.DUMMYFUNCTION("""COMPUTED_VALUE"""),273.56)</f>
        <v>273.56</v>
      </c>
      <c r="D69" s="6">
        <f>IFERROR(__xludf.DUMMYFUNCTION("""COMPUTED_VALUE"""),255.07)</f>
        <v>255.07</v>
      </c>
      <c r="E69" s="6">
        <f>IFERROR(__xludf.DUMMYFUNCTION("""COMPUTED_VALUE"""),268.98)</f>
        <v>268.98</v>
      </c>
      <c r="F69" s="6">
        <f>IFERROR(__xludf.DUMMYFUNCTION("""COMPUTED_VALUE"""),9457361.0)</f>
        <v>9457361</v>
      </c>
    </row>
    <row r="70">
      <c r="A70" s="7">
        <f>IFERROR(__xludf.DUMMYFUNCTION("""COMPUTED_VALUE"""),45667.64583333333)</f>
        <v>45667.64583</v>
      </c>
      <c r="B70" s="6">
        <f>IFERROR(__xludf.DUMMYFUNCTION("""COMPUTED_VALUE"""),268.84)</f>
        <v>268.84</v>
      </c>
      <c r="C70" s="6">
        <f>IFERROR(__xludf.DUMMYFUNCTION("""COMPUTED_VALUE"""),276.14)</f>
        <v>276.14</v>
      </c>
      <c r="D70" s="6">
        <f>IFERROR(__xludf.DUMMYFUNCTION("""COMPUTED_VALUE"""),262.71)</f>
        <v>262.71</v>
      </c>
      <c r="E70" s="6">
        <f>IFERROR(__xludf.DUMMYFUNCTION("""COMPUTED_VALUE"""),268.11)</f>
        <v>268.11</v>
      </c>
      <c r="F70" s="6">
        <f>IFERROR(__xludf.DUMMYFUNCTION("""COMPUTED_VALUE"""),1.0579745E7)</f>
        <v>10579745</v>
      </c>
    </row>
    <row r="71">
      <c r="A71" s="7">
        <f>IFERROR(__xludf.DUMMYFUNCTION("""COMPUTED_VALUE"""),45674.64583333333)</f>
        <v>45674.64583</v>
      </c>
      <c r="B71" s="6">
        <f>IFERROR(__xludf.DUMMYFUNCTION("""COMPUTED_VALUE"""),265.63)</f>
        <v>265.63</v>
      </c>
      <c r="C71" s="6">
        <f>IFERROR(__xludf.DUMMYFUNCTION("""COMPUTED_VALUE"""),268.93)</f>
        <v>268.93</v>
      </c>
      <c r="D71" s="6">
        <f>IFERROR(__xludf.DUMMYFUNCTION("""COMPUTED_VALUE"""),254.44)</f>
        <v>254.44</v>
      </c>
      <c r="E71" s="6">
        <f>IFERROR(__xludf.DUMMYFUNCTION("""COMPUTED_VALUE"""),261.3)</f>
        <v>261.3</v>
      </c>
      <c r="F71" s="6">
        <f>IFERROR(__xludf.DUMMYFUNCTION("""COMPUTED_VALUE"""),8371560.0)</f>
        <v>8371560</v>
      </c>
    </row>
    <row r="72">
      <c r="A72" s="7">
        <f>IFERROR(__xludf.DUMMYFUNCTION("""COMPUTED_VALUE"""),45681.64583333333)</f>
        <v>45681.64583</v>
      </c>
      <c r="B72" s="6">
        <f>IFERROR(__xludf.DUMMYFUNCTION("""COMPUTED_VALUE"""),261.3)</f>
        <v>261.3</v>
      </c>
      <c r="C72" s="6">
        <f>IFERROR(__xludf.DUMMYFUNCTION("""COMPUTED_VALUE"""),271.27)</f>
        <v>271.27</v>
      </c>
      <c r="D72" s="6">
        <f>IFERROR(__xludf.DUMMYFUNCTION("""COMPUTED_VALUE"""),252.49)</f>
        <v>252.49</v>
      </c>
      <c r="E72" s="6">
        <f>IFERROR(__xludf.DUMMYFUNCTION("""COMPUTED_VALUE"""),260.81)</f>
        <v>260.81</v>
      </c>
      <c r="F72" s="6">
        <f>IFERROR(__xludf.DUMMYFUNCTION("""COMPUTED_VALUE"""),6394890.0)</f>
        <v>6394890</v>
      </c>
    </row>
    <row r="73">
      <c r="A73" s="7">
        <f>IFERROR(__xludf.DUMMYFUNCTION("""COMPUTED_VALUE"""),45695.64583333333)</f>
        <v>45695.64583</v>
      </c>
      <c r="B73" s="6">
        <f>IFERROR(__xludf.DUMMYFUNCTION("""COMPUTED_VALUE"""),273.41)</f>
        <v>273.41</v>
      </c>
      <c r="C73" s="6">
        <f>IFERROR(__xludf.DUMMYFUNCTION("""COMPUTED_VALUE"""),295.98)</f>
        <v>295.98</v>
      </c>
      <c r="D73" s="6">
        <f>IFERROR(__xludf.DUMMYFUNCTION("""COMPUTED_VALUE"""),271.37)</f>
        <v>271.37</v>
      </c>
      <c r="E73" s="6">
        <f>IFERROR(__xludf.DUMMYFUNCTION("""COMPUTED_VALUE"""),289.66)</f>
        <v>289.66</v>
      </c>
      <c r="F73" s="6">
        <f>IFERROR(__xludf.DUMMYFUNCTION("""COMPUTED_VALUE"""),8180762.0)</f>
        <v>8180762</v>
      </c>
    </row>
    <row r="74">
      <c r="A74" s="7">
        <f>IFERROR(__xludf.DUMMYFUNCTION("""COMPUTED_VALUE"""),45702.64583333333)</f>
        <v>45702.64583</v>
      </c>
      <c r="B74" s="6">
        <f>IFERROR(__xludf.DUMMYFUNCTION("""COMPUTED_VALUE"""),289.66)</f>
        <v>289.66</v>
      </c>
      <c r="C74" s="6">
        <f>IFERROR(__xludf.DUMMYFUNCTION("""COMPUTED_VALUE"""),292.53)</f>
        <v>292.53</v>
      </c>
      <c r="D74" s="6">
        <f>IFERROR(__xludf.DUMMYFUNCTION("""COMPUTED_VALUE"""),262.08)</f>
        <v>262.08</v>
      </c>
      <c r="E74" s="6">
        <f>IFERROR(__xludf.DUMMYFUNCTION("""COMPUTED_VALUE"""),263.92)</f>
        <v>263.92</v>
      </c>
      <c r="F74" s="6">
        <f>IFERROR(__xludf.DUMMYFUNCTION("""COMPUTED_VALUE"""),7975759.0)</f>
        <v>7975759</v>
      </c>
    </row>
    <row r="75">
      <c r="A75" s="7">
        <f>IFERROR(__xludf.DUMMYFUNCTION("""COMPUTED_VALUE"""),45709.64583333333)</f>
        <v>45709.64583</v>
      </c>
      <c r="B75" s="6">
        <f>IFERROR(__xludf.DUMMYFUNCTION("""COMPUTED_VALUE"""),261.73)</f>
        <v>261.73</v>
      </c>
      <c r="C75" s="6">
        <f>IFERROR(__xludf.DUMMYFUNCTION("""COMPUTED_VALUE"""),276.33)</f>
        <v>276.33</v>
      </c>
      <c r="D75" s="6">
        <f>IFERROR(__xludf.DUMMYFUNCTION("""COMPUTED_VALUE"""),258.18)</f>
        <v>258.18</v>
      </c>
      <c r="E75" s="6">
        <f>IFERROR(__xludf.DUMMYFUNCTION("""COMPUTED_VALUE"""),263.15)</f>
        <v>263.15</v>
      </c>
      <c r="F75" s="6">
        <f>IFERROR(__xludf.DUMMYFUNCTION("""COMPUTED_VALUE"""),9998453.0)</f>
        <v>9998453</v>
      </c>
    </row>
    <row r="76">
      <c r="A76" s="7">
        <f>IFERROR(__xludf.DUMMYFUNCTION("""COMPUTED_VALUE"""),45716.64583333333)</f>
        <v>45716.64583</v>
      </c>
      <c r="B76" s="6">
        <f>IFERROR(__xludf.DUMMYFUNCTION("""COMPUTED_VALUE"""),261.83)</f>
        <v>261.83</v>
      </c>
      <c r="C76" s="6">
        <f>IFERROR(__xludf.DUMMYFUNCTION("""COMPUTED_VALUE"""),277.98)</f>
        <v>277.98</v>
      </c>
      <c r="D76" s="6">
        <f>IFERROR(__xludf.DUMMYFUNCTION("""COMPUTED_VALUE"""),258.72)</f>
        <v>258.72</v>
      </c>
      <c r="E76" s="6">
        <f>IFERROR(__xludf.DUMMYFUNCTION("""COMPUTED_VALUE"""),263.29)</f>
        <v>263.29</v>
      </c>
      <c r="F76" s="6">
        <f>IFERROR(__xludf.DUMMYFUNCTION("""COMPUTED_VALUE"""),6879338.0)</f>
        <v>6879338</v>
      </c>
    </row>
    <row r="77">
      <c r="A77" s="7">
        <f>IFERROR(__xludf.DUMMYFUNCTION("""COMPUTED_VALUE"""),45723.64583333333)</f>
        <v>45723.64583</v>
      </c>
      <c r="B77" s="6">
        <f>IFERROR(__xludf.DUMMYFUNCTION("""COMPUTED_VALUE"""),264.51)</f>
        <v>264.51</v>
      </c>
      <c r="C77" s="6">
        <f>IFERROR(__xludf.DUMMYFUNCTION("""COMPUTED_VALUE"""),273.56)</f>
        <v>273.56</v>
      </c>
      <c r="D77" s="6">
        <f>IFERROR(__xludf.DUMMYFUNCTION("""COMPUTED_VALUE"""),256.87)</f>
        <v>256.87</v>
      </c>
      <c r="E77" s="6">
        <f>IFERROR(__xludf.DUMMYFUNCTION("""COMPUTED_VALUE"""),267.23)</f>
        <v>267.23</v>
      </c>
      <c r="F77" s="6">
        <f>IFERROR(__xludf.DUMMYFUNCTION("""COMPUTED_VALUE"""),6836479.0)</f>
        <v>6836479</v>
      </c>
    </row>
    <row r="78">
      <c r="A78" s="7">
        <f>IFERROR(__xludf.DUMMYFUNCTION("""COMPUTED_VALUE"""),45729.64583333333)</f>
        <v>45729.64583</v>
      </c>
      <c r="B78" s="6">
        <f>IFERROR(__xludf.DUMMYFUNCTION("""COMPUTED_VALUE"""),267.18)</f>
        <v>267.18</v>
      </c>
      <c r="C78" s="6">
        <f>IFERROR(__xludf.DUMMYFUNCTION("""COMPUTED_VALUE"""),273.95)</f>
        <v>273.95</v>
      </c>
      <c r="D78" s="6">
        <f>IFERROR(__xludf.DUMMYFUNCTION("""COMPUTED_VALUE"""),258.13)</f>
        <v>258.13</v>
      </c>
      <c r="E78" s="6">
        <f>IFERROR(__xludf.DUMMYFUNCTION("""COMPUTED_VALUE"""),264.02)</f>
        <v>264.02</v>
      </c>
      <c r="F78" s="6">
        <f>IFERROR(__xludf.DUMMYFUNCTION("""COMPUTED_VALUE"""),4782734.0)</f>
        <v>4782734</v>
      </c>
    </row>
    <row r="79">
      <c r="A79" s="7">
        <f>IFERROR(__xludf.DUMMYFUNCTION("""COMPUTED_VALUE"""),45737.64583333333)</f>
        <v>45737.64583</v>
      </c>
      <c r="B79" s="6">
        <f>IFERROR(__xludf.DUMMYFUNCTION("""COMPUTED_VALUE"""),266.6)</f>
        <v>266.6</v>
      </c>
      <c r="C79" s="6">
        <f>IFERROR(__xludf.DUMMYFUNCTION("""COMPUTED_VALUE"""),285.57)</f>
        <v>285.57</v>
      </c>
      <c r="D79" s="6">
        <f>IFERROR(__xludf.DUMMYFUNCTION("""COMPUTED_VALUE"""),263.97)</f>
        <v>263.97</v>
      </c>
      <c r="E79" s="6">
        <f>IFERROR(__xludf.DUMMYFUNCTION("""COMPUTED_VALUE"""),283.48)</f>
        <v>283.48</v>
      </c>
      <c r="F79" s="6">
        <f>IFERROR(__xludf.DUMMYFUNCTION("""COMPUTED_VALUE"""),8842310.0)</f>
        <v>8842310</v>
      </c>
    </row>
    <row r="80">
      <c r="A80" s="7">
        <f>IFERROR(__xludf.DUMMYFUNCTION("""COMPUTED_VALUE"""),45744.64583333333)</f>
        <v>45744.64583</v>
      </c>
      <c r="B80" s="6">
        <f>IFERROR(__xludf.DUMMYFUNCTION("""COMPUTED_VALUE"""),283.87)</f>
        <v>283.87</v>
      </c>
      <c r="C80" s="6">
        <f>IFERROR(__xludf.DUMMYFUNCTION("""COMPUTED_VALUE"""),288.01)</f>
        <v>288.01</v>
      </c>
      <c r="D80" s="6">
        <f>IFERROR(__xludf.DUMMYFUNCTION("""COMPUTED_VALUE"""),273.02)</f>
        <v>273.02</v>
      </c>
      <c r="E80" s="6">
        <f>IFERROR(__xludf.DUMMYFUNCTION("""COMPUTED_VALUE"""),275.36)</f>
        <v>275.36</v>
      </c>
      <c r="F80" s="6">
        <f>IFERROR(__xludf.DUMMYFUNCTION("""COMPUTED_VALUE"""),7044159.0)</f>
        <v>7044159</v>
      </c>
    </row>
    <row r="81">
      <c r="A81" s="7">
        <f>IFERROR(__xludf.DUMMYFUNCTION("""COMPUTED_VALUE"""),45751.64583333333)</f>
        <v>45751.64583</v>
      </c>
      <c r="B81" s="6">
        <f>IFERROR(__xludf.DUMMYFUNCTION("""COMPUTED_VALUE"""),275.31)</f>
        <v>275.31</v>
      </c>
      <c r="C81" s="6">
        <f>IFERROR(__xludf.DUMMYFUNCTION("""COMPUTED_VALUE"""),275.89)</f>
        <v>275.89</v>
      </c>
      <c r="D81" s="6">
        <f>IFERROR(__xludf.DUMMYFUNCTION("""COMPUTED_VALUE"""),251.32)</f>
        <v>251.32</v>
      </c>
      <c r="E81" s="6">
        <f>IFERROR(__xludf.DUMMYFUNCTION("""COMPUTED_VALUE"""),255.22)</f>
        <v>255.22</v>
      </c>
      <c r="F81" s="6">
        <f>IFERROR(__xludf.DUMMYFUNCTION("""COMPUTED_VALUE"""),1.3190783E7)</f>
        <v>13190783</v>
      </c>
    </row>
    <row r="82">
      <c r="A82" s="7">
        <f>IFERROR(__xludf.DUMMYFUNCTION("""COMPUTED_VALUE"""),45758.64583333333)</f>
        <v>45758.64583</v>
      </c>
      <c r="B82" s="6">
        <f>IFERROR(__xludf.DUMMYFUNCTION("""COMPUTED_VALUE"""),231.52)</f>
        <v>231.52</v>
      </c>
      <c r="C82" s="6">
        <f>IFERROR(__xludf.DUMMYFUNCTION("""COMPUTED_VALUE"""),257.89)</f>
        <v>257.89</v>
      </c>
      <c r="D82" s="6">
        <f>IFERROR(__xludf.DUMMYFUNCTION("""COMPUTED_VALUE"""),231.52)</f>
        <v>231.52</v>
      </c>
      <c r="E82" s="6">
        <f>IFERROR(__xludf.DUMMYFUNCTION("""COMPUTED_VALUE"""),255.99)</f>
        <v>255.99</v>
      </c>
      <c r="F82" s="6">
        <f>IFERROR(__xludf.DUMMYFUNCTION("""COMPUTED_VALUE"""),5121756.0)</f>
        <v>5121756</v>
      </c>
    </row>
    <row r="83">
      <c r="A83" s="7">
        <f>IFERROR(__xludf.DUMMYFUNCTION("""COMPUTED_VALUE"""),45764.64583333333)</f>
        <v>45764.64583</v>
      </c>
      <c r="B83" s="6">
        <f>IFERROR(__xludf.DUMMYFUNCTION("""COMPUTED_VALUE"""),260.86)</f>
        <v>260.86</v>
      </c>
      <c r="C83" s="6">
        <f>IFERROR(__xludf.DUMMYFUNCTION("""COMPUTED_VALUE"""),269.28)</f>
        <v>269.28</v>
      </c>
      <c r="D83" s="6">
        <f>IFERROR(__xludf.DUMMYFUNCTION("""COMPUTED_VALUE"""),257.4)</f>
        <v>257.4</v>
      </c>
      <c r="E83" s="6">
        <f>IFERROR(__xludf.DUMMYFUNCTION("""COMPUTED_VALUE"""),268.06)</f>
        <v>268.06</v>
      </c>
      <c r="F83" s="6">
        <f>IFERROR(__xludf.DUMMYFUNCTION("""COMPUTED_VALUE"""),4562170.0)</f>
        <v>4562170</v>
      </c>
    </row>
    <row r="84">
      <c r="A84" s="7">
        <f>IFERROR(__xludf.DUMMYFUNCTION("""COMPUTED_VALUE"""),45772.64583333333)</f>
        <v>45772.64583</v>
      </c>
      <c r="B84" s="6">
        <f>IFERROR(__xludf.DUMMYFUNCTION("""COMPUTED_VALUE"""),269.47)</f>
        <v>269.47</v>
      </c>
      <c r="C84" s="6">
        <f>IFERROR(__xludf.DUMMYFUNCTION("""COMPUTED_VALUE"""),272.34)</f>
        <v>272.34</v>
      </c>
      <c r="D84" s="6">
        <f>IFERROR(__xludf.DUMMYFUNCTION("""COMPUTED_VALUE"""),256.29)</f>
        <v>256.29</v>
      </c>
      <c r="E84" s="6">
        <f>IFERROR(__xludf.DUMMYFUNCTION("""COMPUTED_VALUE"""),257.45)</f>
        <v>257.45</v>
      </c>
      <c r="F84" s="6">
        <f>IFERROR(__xludf.DUMMYFUNCTION("""COMPUTED_VALUE"""),1.9281431E7)</f>
        <v>19281431</v>
      </c>
    </row>
    <row r="85">
      <c r="A85" s="7">
        <f>IFERROR(__xludf.DUMMYFUNCTION("""COMPUTED_VALUE"""),45779.64583333333)</f>
        <v>45779.64583</v>
      </c>
      <c r="B85" s="6">
        <f>IFERROR(__xludf.DUMMYFUNCTION("""COMPUTED_VALUE"""),256.87)</f>
        <v>256.87</v>
      </c>
      <c r="C85" s="6">
        <f>IFERROR(__xludf.DUMMYFUNCTION("""COMPUTED_VALUE"""),258.82)</f>
        <v>258.82</v>
      </c>
      <c r="D85" s="6">
        <f>IFERROR(__xludf.DUMMYFUNCTION("""COMPUTED_VALUE"""),251.37)</f>
        <v>251.37</v>
      </c>
      <c r="E85" s="6">
        <f>IFERROR(__xludf.DUMMYFUNCTION("""COMPUTED_VALUE"""),254.1)</f>
        <v>254.1</v>
      </c>
      <c r="F85" s="6">
        <f>IFERROR(__xludf.DUMMYFUNCTION("""COMPUTED_VALUE"""),1.2235512E7)</f>
        <v>12235512</v>
      </c>
    </row>
    <row r="86">
      <c r="A86" s="7">
        <f>IFERROR(__xludf.DUMMYFUNCTION("""COMPUTED_VALUE"""),45786.64583333333)</f>
        <v>45786.64583</v>
      </c>
      <c r="B86" s="6">
        <f>IFERROR(__xludf.DUMMYFUNCTION("""COMPUTED_VALUE"""),255.17)</f>
        <v>255.17</v>
      </c>
      <c r="C86" s="6">
        <f>IFERROR(__xludf.DUMMYFUNCTION("""COMPUTED_VALUE"""),259.06)</f>
        <v>259.06</v>
      </c>
      <c r="D86" s="6">
        <f>IFERROR(__xludf.DUMMYFUNCTION("""COMPUTED_VALUE"""),236.24)</f>
        <v>236.24</v>
      </c>
      <c r="E86" s="6">
        <f>IFERROR(__xludf.DUMMYFUNCTION("""COMPUTED_VALUE"""),237.65)</f>
        <v>237.65</v>
      </c>
      <c r="F86" s="6">
        <f>IFERROR(__xludf.DUMMYFUNCTION("""COMPUTED_VALUE"""),1.4830182E7)</f>
        <v>14830182</v>
      </c>
    </row>
    <row r="87">
      <c r="A87" s="7">
        <f>IFERROR(__xludf.DUMMYFUNCTION("""COMPUTED_VALUE"""),45793.64583333333)</f>
        <v>45793.64583</v>
      </c>
      <c r="B87" s="6">
        <f>IFERROR(__xludf.DUMMYFUNCTION("""COMPUTED_VALUE"""),246.17)</f>
        <v>246.17</v>
      </c>
      <c r="C87" s="6">
        <f>IFERROR(__xludf.DUMMYFUNCTION("""COMPUTED_VALUE"""),268.75)</f>
        <v>268.75</v>
      </c>
      <c r="D87" s="6">
        <f>IFERROR(__xludf.DUMMYFUNCTION("""COMPUTED_VALUE"""),243.35)</f>
        <v>243.35</v>
      </c>
      <c r="E87" s="6">
        <f>IFERROR(__xludf.DUMMYFUNCTION("""COMPUTED_VALUE"""),266.95)</f>
        <v>266.95</v>
      </c>
      <c r="F87" s="6">
        <f>IFERROR(__xludf.DUMMYFUNCTION("""COMPUTED_VALUE"""),2.3889835E7)</f>
        <v>23889835</v>
      </c>
    </row>
    <row r="88">
      <c r="A88" s="7">
        <f>IFERROR(__xludf.DUMMYFUNCTION("""COMPUTED_VALUE"""),45800.64583333333)</f>
        <v>45800.64583</v>
      </c>
      <c r="B88" s="6">
        <f>IFERROR(__xludf.DUMMYFUNCTION("""COMPUTED_VALUE"""),266.3)</f>
        <v>266.3</v>
      </c>
      <c r="C88" s="6">
        <f>IFERROR(__xludf.DUMMYFUNCTION("""COMPUTED_VALUE"""),268.9)</f>
        <v>268.9</v>
      </c>
      <c r="D88" s="6">
        <f>IFERROR(__xludf.DUMMYFUNCTION("""COMPUTED_VALUE"""),252.45)</f>
        <v>252.45</v>
      </c>
      <c r="E88" s="6">
        <f>IFERROR(__xludf.DUMMYFUNCTION("""COMPUTED_VALUE"""),256.1)</f>
        <v>256.1</v>
      </c>
      <c r="F88" s="6">
        <f>IFERROR(__xludf.DUMMYFUNCTION("""COMPUTED_VALUE"""),1.4242046E7)</f>
        <v>14242046</v>
      </c>
    </row>
    <row r="89">
      <c r="A89" s="7">
        <f>IFERROR(__xludf.DUMMYFUNCTION("""COMPUTED_VALUE"""),45807.64583333333)</f>
        <v>45807.64583</v>
      </c>
      <c r="B89" s="6">
        <f>IFERROR(__xludf.DUMMYFUNCTION("""COMPUTED_VALUE"""),257.0)</f>
        <v>257</v>
      </c>
      <c r="C89" s="6">
        <f>IFERROR(__xludf.DUMMYFUNCTION("""COMPUTED_VALUE"""),265.9)</f>
        <v>265.9</v>
      </c>
      <c r="D89" s="6">
        <f>IFERROR(__xludf.DUMMYFUNCTION("""COMPUTED_VALUE"""),253.4)</f>
        <v>253.4</v>
      </c>
      <c r="E89" s="6">
        <f>IFERROR(__xludf.DUMMYFUNCTION("""COMPUTED_VALUE"""),261.1)</f>
        <v>261.1</v>
      </c>
      <c r="F89" s="6">
        <f>IFERROR(__xludf.DUMMYFUNCTION("""COMPUTED_VALUE"""),1.3908004E7)</f>
        <v>13908004</v>
      </c>
    </row>
    <row r="90">
      <c r="A90" s="7">
        <f>IFERROR(__xludf.DUMMYFUNCTION("""COMPUTED_VALUE"""),45814.64583333333)</f>
        <v>45814.64583</v>
      </c>
      <c r="B90" s="6">
        <f>IFERROR(__xludf.DUMMYFUNCTION("""COMPUTED_VALUE"""),261.1)</f>
        <v>261.1</v>
      </c>
      <c r="C90" s="6">
        <f>IFERROR(__xludf.DUMMYFUNCTION("""COMPUTED_VALUE"""),278.2)</f>
        <v>278.2</v>
      </c>
      <c r="D90" s="6">
        <f>IFERROR(__xludf.DUMMYFUNCTION("""COMPUTED_VALUE"""),258.6)</f>
        <v>258.6</v>
      </c>
      <c r="E90" s="6">
        <f>IFERROR(__xludf.DUMMYFUNCTION("""COMPUTED_VALUE"""),275.55)</f>
        <v>275.55</v>
      </c>
      <c r="F90" s="6">
        <f>IFERROR(__xludf.DUMMYFUNCTION("""COMPUTED_VALUE"""),1.5770605E7)</f>
        <v>15770605</v>
      </c>
    </row>
    <row r="91">
      <c r="A91" s="7">
        <f>IFERROR(__xludf.DUMMYFUNCTION("""COMPUTED_VALUE"""),45821.64583333333)</f>
        <v>45821.64583</v>
      </c>
      <c r="B91" s="6">
        <f>IFERROR(__xludf.DUMMYFUNCTION("""COMPUTED_VALUE"""),279.4)</f>
        <v>279.4</v>
      </c>
      <c r="C91" s="6">
        <f>IFERROR(__xludf.DUMMYFUNCTION("""COMPUTED_VALUE"""),288.55)</f>
        <v>288.55</v>
      </c>
      <c r="D91" s="6">
        <f>IFERROR(__xludf.DUMMYFUNCTION("""COMPUTED_VALUE"""),266.75)</f>
        <v>266.75</v>
      </c>
      <c r="E91" s="6">
        <f>IFERROR(__xludf.DUMMYFUNCTION("""COMPUTED_VALUE"""),270.5)</f>
        <v>270.5</v>
      </c>
      <c r="F91" s="6">
        <f>IFERROR(__xludf.DUMMYFUNCTION("""COMPUTED_VALUE"""),2.2077409E7)</f>
        <v>22077409</v>
      </c>
    </row>
    <row r="92">
      <c r="A92" s="7">
        <f>IFERROR(__xludf.DUMMYFUNCTION("""COMPUTED_VALUE"""),45828.64583333333)</f>
        <v>45828.64583</v>
      </c>
      <c r="B92" s="6">
        <f>IFERROR(__xludf.DUMMYFUNCTION("""COMPUTED_VALUE"""),270.5)</f>
        <v>270.5</v>
      </c>
      <c r="C92" s="6">
        <f>IFERROR(__xludf.DUMMYFUNCTION("""COMPUTED_VALUE"""),274.8)</f>
        <v>274.8</v>
      </c>
      <c r="D92" s="6">
        <f>IFERROR(__xludf.DUMMYFUNCTION("""COMPUTED_VALUE"""),259.05)</f>
        <v>259.05</v>
      </c>
      <c r="E92" s="6">
        <f>IFERROR(__xludf.DUMMYFUNCTION("""COMPUTED_VALUE"""),262.6)</f>
        <v>262.6</v>
      </c>
      <c r="F92" s="6">
        <f>IFERROR(__xludf.DUMMYFUNCTION("""COMPUTED_VALUE"""),1.3825429E7)</f>
        <v>13825429</v>
      </c>
    </row>
    <row r="93">
      <c r="A93" s="7">
        <f>IFERROR(__xludf.DUMMYFUNCTION("""COMPUTED_VALUE"""),45835.64583333333)</f>
        <v>45835.64583</v>
      </c>
      <c r="B93" s="6">
        <f>IFERROR(__xludf.DUMMYFUNCTION("""COMPUTED_VALUE"""),262.4)</f>
        <v>262.4</v>
      </c>
      <c r="C93" s="6">
        <f>IFERROR(__xludf.DUMMYFUNCTION("""COMPUTED_VALUE"""),274.5)</f>
        <v>274.5</v>
      </c>
      <c r="D93" s="6">
        <f>IFERROR(__xludf.DUMMYFUNCTION("""COMPUTED_VALUE"""),259.2)</f>
        <v>259.2</v>
      </c>
      <c r="E93" s="6">
        <f>IFERROR(__xludf.DUMMYFUNCTION("""COMPUTED_VALUE"""),272.75)</f>
        <v>272.75</v>
      </c>
      <c r="F93" s="6">
        <f>IFERROR(__xludf.DUMMYFUNCTION("""COMPUTED_VALUE"""),1.1158818E7)</f>
        <v>11158818</v>
      </c>
    </row>
    <row r="94">
      <c r="A94" s="7">
        <f>IFERROR(__xludf.DUMMYFUNCTION("""COMPUTED_VALUE"""),45842.64583333333)</f>
        <v>45842.64583</v>
      </c>
      <c r="B94" s="6">
        <f>IFERROR(__xludf.DUMMYFUNCTION("""COMPUTED_VALUE"""),274.05)</f>
        <v>274.05</v>
      </c>
      <c r="C94" s="6">
        <f>IFERROR(__xludf.DUMMYFUNCTION("""COMPUTED_VALUE"""),274.6)</f>
        <v>274.6</v>
      </c>
      <c r="D94" s="6">
        <f>IFERROR(__xludf.DUMMYFUNCTION("""COMPUTED_VALUE"""),259.4)</f>
        <v>259.4</v>
      </c>
      <c r="E94" s="6">
        <f>IFERROR(__xludf.DUMMYFUNCTION("""COMPUTED_VALUE"""),266.45)</f>
        <v>266.45</v>
      </c>
      <c r="F94" s="6">
        <f>IFERROR(__xludf.DUMMYFUNCTION("""COMPUTED_VALUE"""),2.0329903E7)</f>
        <v>20329903</v>
      </c>
    </row>
    <row r="95">
      <c r="A95" s="7">
        <f>IFERROR(__xludf.DUMMYFUNCTION("""COMPUTED_VALUE"""),45849.64583333333)</f>
        <v>45849.64583</v>
      </c>
      <c r="B95" s="6">
        <f>IFERROR(__xludf.DUMMYFUNCTION("""COMPUTED_VALUE"""),267.0)</f>
        <v>267</v>
      </c>
      <c r="C95" s="6">
        <f>IFERROR(__xludf.DUMMYFUNCTION("""COMPUTED_VALUE"""),271.95)</f>
        <v>271.95</v>
      </c>
      <c r="D95" s="6">
        <f>IFERROR(__xludf.DUMMYFUNCTION("""COMPUTED_VALUE"""),264.4)</f>
        <v>264.4</v>
      </c>
      <c r="E95" s="6">
        <f>IFERROR(__xludf.DUMMYFUNCTION("""COMPUTED_VALUE"""),265.8)</f>
        <v>265.8</v>
      </c>
      <c r="F95" s="6">
        <f>IFERROR(__xludf.DUMMYFUNCTION("""COMPUTED_VALUE"""),7614247.0)</f>
        <v>7614247</v>
      </c>
    </row>
    <row r="96">
      <c r="A96" s="7">
        <f>IFERROR(__xludf.DUMMYFUNCTION("""COMPUTED_VALUE"""),45856.64583333333)</f>
        <v>45856.64583</v>
      </c>
      <c r="B96" s="6">
        <f>IFERROR(__xludf.DUMMYFUNCTION("""COMPUTED_VALUE"""),266.25)</f>
        <v>266.25</v>
      </c>
      <c r="C96" s="6">
        <f>IFERROR(__xludf.DUMMYFUNCTION("""COMPUTED_VALUE"""),268.8)</f>
        <v>268.8</v>
      </c>
      <c r="D96" s="6">
        <f>IFERROR(__xludf.DUMMYFUNCTION("""COMPUTED_VALUE"""),258.45)</f>
        <v>258.45</v>
      </c>
      <c r="E96" s="6">
        <f>IFERROR(__xludf.DUMMYFUNCTION("""COMPUTED_VALUE"""),259.85)</f>
        <v>259.85</v>
      </c>
      <c r="F96" s="6">
        <f>IFERROR(__xludf.DUMMYFUNCTION("""COMPUTED_VALUE"""),9126103.0)</f>
        <v>9126103</v>
      </c>
    </row>
    <row r="97">
      <c r="A97" s="7">
        <f>IFERROR(__xludf.DUMMYFUNCTION("""COMPUTED_VALUE"""),45863.64583333333)</f>
        <v>45863.64583</v>
      </c>
      <c r="B97" s="6">
        <f>IFERROR(__xludf.DUMMYFUNCTION("""COMPUTED_VALUE"""),260.4)</f>
        <v>260.4</v>
      </c>
      <c r="C97" s="6">
        <f>IFERROR(__xludf.DUMMYFUNCTION("""COMPUTED_VALUE"""),267.45)</f>
        <v>267.45</v>
      </c>
      <c r="D97" s="6">
        <f>IFERROR(__xludf.DUMMYFUNCTION("""COMPUTED_VALUE"""),252.2)</f>
        <v>252.2</v>
      </c>
      <c r="E97" s="6">
        <f>IFERROR(__xludf.DUMMYFUNCTION("""COMPUTED_VALUE"""),253.4)</f>
        <v>253.4</v>
      </c>
      <c r="F97" s="6">
        <f>IFERROR(__xludf.DUMMYFUNCTION("""COMPUTED_VALUE"""),2.1365102E7)</f>
        <v>21365102</v>
      </c>
    </row>
    <row r="98">
      <c r="A98" s="7">
        <f>IFERROR(__xludf.DUMMYFUNCTION("""COMPUTED_VALUE"""),45870.64583333333)</f>
        <v>45870.64583</v>
      </c>
      <c r="B98" s="6">
        <f>IFERROR(__xludf.DUMMYFUNCTION("""COMPUTED_VALUE"""),253.4)</f>
        <v>253.4</v>
      </c>
      <c r="C98" s="6">
        <f>IFERROR(__xludf.DUMMYFUNCTION("""COMPUTED_VALUE"""),261.0)</f>
        <v>261</v>
      </c>
      <c r="D98" s="6">
        <f>IFERROR(__xludf.DUMMYFUNCTION("""COMPUTED_VALUE"""),246.35)</f>
        <v>246.35</v>
      </c>
      <c r="E98" s="6">
        <f>IFERROR(__xludf.DUMMYFUNCTION("""COMPUTED_VALUE"""),258.5)</f>
        <v>258.5</v>
      </c>
      <c r="F98" s="6">
        <f>IFERROR(__xludf.DUMMYFUNCTION("""COMPUTED_VALUE"""),2.3241326E7)</f>
        <v>23241326</v>
      </c>
    </row>
    <row r="99">
      <c r="A99" s="7">
        <f>IFERROR(__xludf.DUMMYFUNCTION("""COMPUTED_VALUE"""),45877.64583333333)</f>
        <v>45877.64583</v>
      </c>
      <c r="B99" s="6">
        <f>IFERROR(__xludf.DUMMYFUNCTION("""COMPUTED_VALUE"""),258.0)</f>
        <v>258</v>
      </c>
      <c r="C99" s="6">
        <f>IFERROR(__xludf.DUMMYFUNCTION("""COMPUTED_VALUE"""),260.4)</f>
        <v>260.4</v>
      </c>
      <c r="D99" s="6">
        <f>IFERROR(__xludf.DUMMYFUNCTION("""COMPUTED_VALUE"""),251.0)</f>
        <v>251</v>
      </c>
      <c r="E99" s="6">
        <f>IFERROR(__xludf.DUMMYFUNCTION("""COMPUTED_VALUE"""),252.5)</f>
        <v>252.5</v>
      </c>
      <c r="F99" s="6">
        <f>IFERROR(__xludf.DUMMYFUNCTION("""COMPUTED_VALUE"""),5561798.0)</f>
        <v>5561798</v>
      </c>
    </row>
    <row r="100">
      <c r="A100" s="7">
        <f>IFERROR(__xludf.DUMMYFUNCTION("""COMPUTED_VALUE"""),45883.64583333333)</f>
        <v>45883.64583</v>
      </c>
      <c r="B100" s="6">
        <f>IFERROR(__xludf.DUMMYFUNCTION("""COMPUTED_VALUE"""),253.0)</f>
        <v>253</v>
      </c>
      <c r="C100" s="6">
        <f>IFERROR(__xludf.DUMMYFUNCTION("""COMPUTED_VALUE"""),260.9)</f>
        <v>260.9</v>
      </c>
      <c r="D100" s="6">
        <f>IFERROR(__xludf.DUMMYFUNCTION("""COMPUTED_VALUE"""),251.05)</f>
        <v>251.05</v>
      </c>
      <c r="E100" s="6">
        <f>IFERROR(__xludf.DUMMYFUNCTION("""COMPUTED_VALUE"""),255.1)</f>
        <v>255.1</v>
      </c>
      <c r="F100" s="6">
        <f>IFERROR(__xludf.DUMMYFUNCTION("""COMPUTED_VALUE"""),3289210.0)</f>
        <v>3289210</v>
      </c>
    </row>
    <row r="101">
      <c r="A101" s="7">
        <f>IFERROR(__xludf.DUMMYFUNCTION("""COMPUTED_VALUE"""),45891.64583333333)</f>
        <v>45891.64583</v>
      </c>
      <c r="B101" s="6">
        <f>IFERROR(__xludf.DUMMYFUNCTION("""COMPUTED_VALUE"""),260.0)</f>
        <v>260</v>
      </c>
      <c r="C101" s="6">
        <f>IFERROR(__xludf.DUMMYFUNCTION("""COMPUTED_VALUE"""),269.25)</f>
        <v>269.25</v>
      </c>
      <c r="D101" s="6">
        <f>IFERROR(__xludf.DUMMYFUNCTION("""COMPUTED_VALUE"""),258.1)</f>
        <v>258.1</v>
      </c>
      <c r="E101" s="6">
        <f>IFERROR(__xludf.DUMMYFUNCTION("""COMPUTED_VALUE"""),263.0)</f>
        <v>263</v>
      </c>
      <c r="F101" s="6">
        <f>IFERROR(__xludf.DUMMYFUNCTION("""COMPUTED_VALUE"""),9337900.0)</f>
        <v>9337900</v>
      </c>
    </row>
    <row r="102">
      <c r="A102" s="7">
        <f>IFERROR(__xludf.DUMMYFUNCTION("""COMPUTED_VALUE"""),45895.64583333333)</f>
        <v>45895.64583</v>
      </c>
      <c r="B102" s="6">
        <f>IFERROR(__xludf.DUMMYFUNCTION("""COMPUTED_VALUE"""),263.0)</f>
        <v>263</v>
      </c>
      <c r="C102" s="6">
        <f>IFERROR(__xludf.DUMMYFUNCTION("""COMPUTED_VALUE"""),267.95)</f>
        <v>267.95</v>
      </c>
      <c r="D102" s="6">
        <f>IFERROR(__xludf.DUMMYFUNCTION("""COMPUTED_VALUE"""),260.0)</f>
        <v>260</v>
      </c>
      <c r="E102" s="6">
        <f>IFERROR(__xludf.DUMMYFUNCTION("""COMPUTED_VALUE"""),260.5)</f>
        <v>260.5</v>
      </c>
      <c r="F102" s="6">
        <f>IFERROR(__xludf.DUMMYFUNCTION("""COMPUTED_VALUE"""),1.9931251E7)</f>
        <v>19931251</v>
      </c>
    </row>
  </sheetData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IFERROR(__xludf.DUMMYFUNCTION("GOOGLEFINANCE(""NSE:MAHABANK"",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IFERROR(__xludf.DUMMYFUNCTION("""COMPUTED_VALUE"""),39.25)</f>
        <v>39.25</v>
      </c>
      <c r="C2" s="6">
        <f>IFERROR(__xludf.DUMMYFUNCTION("""COMPUTED_VALUE"""),40.4)</f>
        <v>40.4</v>
      </c>
      <c r="D2" s="6">
        <f>IFERROR(__xludf.DUMMYFUNCTION("""COMPUTED_VALUE"""),37.75)</f>
        <v>37.75</v>
      </c>
      <c r="E2" s="6">
        <f>IFERROR(__xludf.DUMMYFUNCTION("""COMPUTED_VALUE"""),38.35)</f>
        <v>38.35</v>
      </c>
      <c r="F2" s="6">
        <f>IFERROR(__xludf.DUMMYFUNCTION("""COMPUTED_VALUE"""),1.08936006E8)</f>
        <v>108936006</v>
      </c>
    </row>
    <row r="3">
      <c r="A3" s="7">
        <f>IFERROR(__xludf.DUMMYFUNCTION("""COMPUTED_VALUE"""),45177.64583333333)</f>
        <v>45177.64583</v>
      </c>
      <c r="B3" s="6">
        <f>IFERROR(__xludf.DUMMYFUNCTION("""COMPUTED_VALUE"""),38.65)</f>
        <v>38.65</v>
      </c>
      <c r="C3" s="6">
        <f>IFERROR(__xludf.DUMMYFUNCTION("""COMPUTED_VALUE"""),42.8)</f>
        <v>42.8</v>
      </c>
      <c r="D3" s="6">
        <f>IFERROR(__xludf.DUMMYFUNCTION("""COMPUTED_VALUE"""),38.5)</f>
        <v>38.5</v>
      </c>
      <c r="E3" s="6">
        <f>IFERROR(__xludf.DUMMYFUNCTION("""COMPUTED_VALUE"""),42.05)</f>
        <v>42.05</v>
      </c>
      <c r="F3" s="6">
        <f>IFERROR(__xludf.DUMMYFUNCTION("""COMPUTED_VALUE"""),2.45005227E8)</f>
        <v>245005227</v>
      </c>
    </row>
    <row r="4">
      <c r="A4" s="7">
        <f>IFERROR(__xludf.DUMMYFUNCTION("""COMPUTED_VALUE"""),45184.64583333333)</f>
        <v>45184.64583</v>
      </c>
      <c r="B4" s="6">
        <f>IFERROR(__xludf.DUMMYFUNCTION("""COMPUTED_VALUE"""),42.4)</f>
        <v>42.4</v>
      </c>
      <c r="C4" s="6">
        <f>IFERROR(__xludf.DUMMYFUNCTION("""COMPUTED_VALUE"""),46.2)</f>
        <v>46.2</v>
      </c>
      <c r="D4" s="6">
        <f>IFERROR(__xludf.DUMMYFUNCTION("""COMPUTED_VALUE"""),40.1)</f>
        <v>40.1</v>
      </c>
      <c r="E4" s="6">
        <f>IFERROR(__xludf.DUMMYFUNCTION("""COMPUTED_VALUE"""),45.1)</f>
        <v>45.1</v>
      </c>
      <c r="F4" s="6">
        <f>IFERROR(__xludf.DUMMYFUNCTION("""COMPUTED_VALUE"""),3.5905849E8)</f>
        <v>359058490</v>
      </c>
    </row>
    <row r="5">
      <c r="A5" s="7">
        <f>IFERROR(__xludf.DUMMYFUNCTION("""COMPUTED_VALUE"""),45191.64583333333)</f>
        <v>45191.64583</v>
      </c>
      <c r="B5" s="6">
        <f>IFERROR(__xludf.DUMMYFUNCTION("""COMPUTED_VALUE"""),45.15)</f>
        <v>45.15</v>
      </c>
      <c r="C5" s="6">
        <f>IFERROR(__xludf.DUMMYFUNCTION("""COMPUTED_VALUE"""),51.4)</f>
        <v>51.4</v>
      </c>
      <c r="D5" s="6">
        <f>IFERROR(__xludf.DUMMYFUNCTION("""COMPUTED_VALUE"""),44.3)</f>
        <v>44.3</v>
      </c>
      <c r="E5" s="6">
        <f>IFERROR(__xludf.DUMMYFUNCTION("""COMPUTED_VALUE"""),46.9)</f>
        <v>46.9</v>
      </c>
      <c r="F5" s="6">
        <f>IFERROR(__xludf.DUMMYFUNCTION("""COMPUTED_VALUE"""),5.96346952E8)</f>
        <v>596346952</v>
      </c>
    </row>
    <row r="6">
      <c r="A6" s="7">
        <f>IFERROR(__xludf.DUMMYFUNCTION("""COMPUTED_VALUE"""),45198.64583333333)</f>
        <v>45198.64583</v>
      </c>
      <c r="B6" s="6">
        <f>IFERROR(__xludf.DUMMYFUNCTION("""COMPUTED_VALUE"""),47.2)</f>
        <v>47.2</v>
      </c>
      <c r="C6" s="6">
        <f>IFERROR(__xludf.DUMMYFUNCTION("""COMPUTED_VALUE"""),49.4)</f>
        <v>49.4</v>
      </c>
      <c r="D6" s="6">
        <f>IFERROR(__xludf.DUMMYFUNCTION("""COMPUTED_VALUE"""),45.6)</f>
        <v>45.6</v>
      </c>
      <c r="E6" s="6">
        <f>IFERROR(__xludf.DUMMYFUNCTION("""COMPUTED_VALUE"""),47.65)</f>
        <v>47.65</v>
      </c>
      <c r="F6" s="6">
        <f>IFERROR(__xludf.DUMMYFUNCTION("""COMPUTED_VALUE"""),2.66585341E8)</f>
        <v>266585341</v>
      </c>
    </row>
    <row r="7">
      <c r="A7" s="7">
        <f>IFERROR(__xludf.DUMMYFUNCTION("""COMPUTED_VALUE"""),45205.64583333333)</f>
        <v>45205.64583</v>
      </c>
      <c r="B7" s="6">
        <f>IFERROR(__xludf.DUMMYFUNCTION("""COMPUTED_VALUE"""),47.65)</f>
        <v>47.65</v>
      </c>
      <c r="C7" s="6">
        <f>IFERROR(__xludf.DUMMYFUNCTION("""COMPUTED_VALUE"""),51.9)</f>
        <v>51.9</v>
      </c>
      <c r="D7" s="6">
        <f>IFERROR(__xludf.DUMMYFUNCTION("""COMPUTED_VALUE"""),47.25)</f>
        <v>47.25</v>
      </c>
      <c r="E7" s="6">
        <f>IFERROR(__xludf.DUMMYFUNCTION("""COMPUTED_VALUE"""),48.55)</f>
        <v>48.55</v>
      </c>
      <c r="F7" s="6">
        <f>IFERROR(__xludf.DUMMYFUNCTION("""COMPUTED_VALUE"""),2.9901351E8)</f>
        <v>299013510</v>
      </c>
    </row>
    <row r="8">
      <c r="A8" s="7">
        <f>IFERROR(__xludf.DUMMYFUNCTION("""COMPUTED_VALUE"""),45212.64583333333)</f>
        <v>45212.64583</v>
      </c>
      <c r="B8" s="6">
        <f>IFERROR(__xludf.DUMMYFUNCTION("""COMPUTED_VALUE"""),47.5)</f>
        <v>47.5</v>
      </c>
      <c r="C8" s="6">
        <f>IFERROR(__xludf.DUMMYFUNCTION("""COMPUTED_VALUE"""),47.6)</f>
        <v>47.6</v>
      </c>
      <c r="D8" s="6">
        <f>IFERROR(__xludf.DUMMYFUNCTION("""COMPUTED_VALUE"""),45.0)</f>
        <v>45</v>
      </c>
      <c r="E8" s="6">
        <f>IFERROR(__xludf.DUMMYFUNCTION("""COMPUTED_VALUE"""),46.8)</f>
        <v>46.8</v>
      </c>
      <c r="F8" s="6">
        <f>IFERROR(__xludf.DUMMYFUNCTION("""COMPUTED_VALUE"""),1.7001489E8)</f>
        <v>170014890</v>
      </c>
    </row>
    <row r="9">
      <c r="A9" s="7">
        <f>IFERROR(__xludf.DUMMYFUNCTION("""COMPUTED_VALUE"""),45219.64583333333)</f>
        <v>45219.64583</v>
      </c>
      <c r="B9" s="6">
        <f>IFERROR(__xludf.DUMMYFUNCTION("""COMPUTED_VALUE"""),47.1)</f>
        <v>47.1</v>
      </c>
      <c r="C9" s="6">
        <f>IFERROR(__xludf.DUMMYFUNCTION("""COMPUTED_VALUE"""),49.6)</f>
        <v>49.6</v>
      </c>
      <c r="D9" s="6">
        <f>IFERROR(__xludf.DUMMYFUNCTION("""COMPUTED_VALUE"""),43.55)</f>
        <v>43.55</v>
      </c>
      <c r="E9" s="6">
        <f>IFERROR(__xludf.DUMMYFUNCTION("""COMPUTED_VALUE"""),43.8)</f>
        <v>43.8</v>
      </c>
      <c r="F9" s="6">
        <f>IFERROR(__xludf.DUMMYFUNCTION("""COMPUTED_VALUE"""),2.01030414E8)</f>
        <v>201030414</v>
      </c>
    </row>
    <row r="10">
      <c r="A10" s="7">
        <f>IFERROR(__xludf.DUMMYFUNCTION("""COMPUTED_VALUE"""),45226.64583333333)</f>
        <v>45226.64583</v>
      </c>
      <c r="B10" s="6">
        <f>IFERROR(__xludf.DUMMYFUNCTION("""COMPUTED_VALUE"""),43.9)</f>
        <v>43.9</v>
      </c>
      <c r="C10" s="6">
        <f>IFERROR(__xludf.DUMMYFUNCTION("""COMPUTED_VALUE"""),44.2)</f>
        <v>44.2</v>
      </c>
      <c r="D10" s="6">
        <f>IFERROR(__xludf.DUMMYFUNCTION("""COMPUTED_VALUE"""),38.65)</f>
        <v>38.65</v>
      </c>
      <c r="E10" s="6">
        <f>IFERROR(__xludf.DUMMYFUNCTION("""COMPUTED_VALUE"""),42.4)</f>
        <v>42.4</v>
      </c>
      <c r="F10" s="6">
        <f>IFERROR(__xludf.DUMMYFUNCTION("""COMPUTED_VALUE"""),2.4630004E8)</f>
        <v>246300040</v>
      </c>
    </row>
    <row r="11">
      <c r="A11" s="7">
        <f>IFERROR(__xludf.DUMMYFUNCTION("""COMPUTED_VALUE"""),45233.64583333333)</f>
        <v>45233.64583</v>
      </c>
      <c r="B11" s="6">
        <f>IFERROR(__xludf.DUMMYFUNCTION("""COMPUTED_VALUE"""),42.4)</f>
        <v>42.4</v>
      </c>
      <c r="C11" s="6">
        <f>IFERROR(__xludf.DUMMYFUNCTION("""COMPUTED_VALUE"""),43.3)</f>
        <v>43.3</v>
      </c>
      <c r="D11" s="6">
        <f>IFERROR(__xludf.DUMMYFUNCTION("""COMPUTED_VALUE"""),41.2)</f>
        <v>41.2</v>
      </c>
      <c r="E11" s="6">
        <f>IFERROR(__xludf.DUMMYFUNCTION("""COMPUTED_VALUE"""),42.7)</f>
        <v>42.7</v>
      </c>
      <c r="F11" s="6">
        <f>IFERROR(__xludf.DUMMYFUNCTION("""COMPUTED_VALUE"""),1.13756346E8)</f>
        <v>113756346</v>
      </c>
    </row>
    <row r="12">
      <c r="A12" s="7">
        <f>IFERROR(__xludf.DUMMYFUNCTION("""COMPUTED_VALUE"""),45240.64583333333)</f>
        <v>45240.64583</v>
      </c>
      <c r="B12" s="6">
        <f>IFERROR(__xludf.DUMMYFUNCTION("""COMPUTED_VALUE"""),43.3)</f>
        <v>43.3</v>
      </c>
      <c r="C12" s="6">
        <f>IFERROR(__xludf.DUMMYFUNCTION("""COMPUTED_VALUE"""),44.4)</f>
        <v>44.4</v>
      </c>
      <c r="D12" s="6">
        <f>IFERROR(__xludf.DUMMYFUNCTION("""COMPUTED_VALUE"""),42.75)</f>
        <v>42.75</v>
      </c>
      <c r="E12" s="6">
        <f>IFERROR(__xludf.DUMMYFUNCTION("""COMPUTED_VALUE"""),43.15)</f>
        <v>43.15</v>
      </c>
      <c r="F12" s="6">
        <f>IFERROR(__xludf.DUMMYFUNCTION("""COMPUTED_VALUE"""),7.6194214E7)</f>
        <v>76194214</v>
      </c>
    </row>
    <row r="13">
      <c r="A13" s="7">
        <f>IFERROR(__xludf.DUMMYFUNCTION("""COMPUTED_VALUE"""),45247.64583333333)</f>
        <v>45247.64583</v>
      </c>
      <c r="B13" s="6">
        <f>IFERROR(__xludf.DUMMYFUNCTION("""COMPUTED_VALUE"""),43.4)</f>
        <v>43.4</v>
      </c>
      <c r="C13" s="6">
        <f>IFERROR(__xludf.DUMMYFUNCTION("""COMPUTED_VALUE"""),46.85)</f>
        <v>46.85</v>
      </c>
      <c r="D13" s="6">
        <f>IFERROR(__xludf.DUMMYFUNCTION("""COMPUTED_VALUE"""),42.9)</f>
        <v>42.9</v>
      </c>
      <c r="E13" s="6">
        <f>IFERROR(__xludf.DUMMYFUNCTION("""COMPUTED_VALUE"""),44.7)</f>
        <v>44.7</v>
      </c>
      <c r="F13" s="6">
        <f>IFERROR(__xludf.DUMMYFUNCTION("""COMPUTED_VALUE"""),1.32239269E8)</f>
        <v>132239269</v>
      </c>
    </row>
    <row r="14">
      <c r="A14" s="7">
        <f>IFERROR(__xludf.DUMMYFUNCTION("""COMPUTED_VALUE"""),45254.64583333333)</f>
        <v>45254.64583</v>
      </c>
      <c r="B14" s="6">
        <f>IFERROR(__xludf.DUMMYFUNCTION("""COMPUTED_VALUE"""),44.95)</f>
        <v>44.95</v>
      </c>
      <c r="C14" s="6">
        <f>IFERROR(__xludf.DUMMYFUNCTION("""COMPUTED_VALUE"""),45.35)</f>
        <v>45.35</v>
      </c>
      <c r="D14" s="6">
        <f>IFERROR(__xludf.DUMMYFUNCTION("""COMPUTED_VALUE"""),43.1)</f>
        <v>43.1</v>
      </c>
      <c r="E14" s="6">
        <f>IFERROR(__xludf.DUMMYFUNCTION("""COMPUTED_VALUE"""),43.2)</f>
        <v>43.2</v>
      </c>
      <c r="F14" s="6">
        <f>IFERROR(__xludf.DUMMYFUNCTION("""COMPUTED_VALUE"""),5.1181755E7)</f>
        <v>51181755</v>
      </c>
    </row>
    <row r="15">
      <c r="A15" s="7">
        <f>IFERROR(__xludf.DUMMYFUNCTION("""COMPUTED_VALUE"""),45261.64583333333)</f>
        <v>45261.64583</v>
      </c>
      <c r="B15" s="6">
        <f>IFERROR(__xludf.DUMMYFUNCTION("""COMPUTED_VALUE"""),43.3)</f>
        <v>43.3</v>
      </c>
      <c r="C15" s="6">
        <f>IFERROR(__xludf.DUMMYFUNCTION("""COMPUTED_VALUE"""),45.4)</f>
        <v>45.4</v>
      </c>
      <c r="D15" s="6">
        <f>IFERROR(__xludf.DUMMYFUNCTION("""COMPUTED_VALUE"""),42.85)</f>
        <v>42.85</v>
      </c>
      <c r="E15" s="6">
        <f>IFERROR(__xludf.DUMMYFUNCTION("""COMPUTED_VALUE"""),44.35)</f>
        <v>44.35</v>
      </c>
      <c r="F15" s="6">
        <f>IFERROR(__xludf.DUMMYFUNCTION("""COMPUTED_VALUE"""),6.1907105E7)</f>
        <v>61907105</v>
      </c>
    </row>
    <row r="16">
      <c r="A16" s="7">
        <f>IFERROR(__xludf.DUMMYFUNCTION("""COMPUTED_VALUE"""),45268.64583333333)</f>
        <v>45268.64583</v>
      </c>
      <c r="B16" s="6">
        <f>IFERROR(__xludf.DUMMYFUNCTION("""COMPUTED_VALUE"""),45.65)</f>
        <v>45.65</v>
      </c>
      <c r="C16" s="6">
        <f>IFERROR(__xludf.DUMMYFUNCTION("""COMPUTED_VALUE"""),47.1)</f>
        <v>47.1</v>
      </c>
      <c r="D16" s="6">
        <f>IFERROR(__xludf.DUMMYFUNCTION("""COMPUTED_VALUE"""),45.2)</f>
        <v>45.2</v>
      </c>
      <c r="E16" s="6">
        <f>IFERROR(__xludf.DUMMYFUNCTION("""COMPUTED_VALUE"""),46.2)</f>
        <v>46.2</v>
      </c>
      <c r="F16" s="6">
        <f>IFERROR(__xludf.DUMMYFUNCTION("""COMPUTED_VALUE"""),1.5403423E8)</f>
        <v>154034230</v>
      </c>
    </row>
    <row r="17">
      <c r="A17" s="7">
        <f>IFERROR(__xludf.DUMMYFUNCTION("""COMPUTED_VALUE"""),45275.64583333333)</f>
        <v>45275.64583</v>
      </c>
      <c r="B17" s="6">
        <f>IFERROR(__xludf.DUMMYFUNCTION("""COMPUTED_VALUE"""),46.45)</f>
        <v>46.45</v>
      </c>
      <c r="C17" s="6">
        <f>IFERROR(__xludf.DUMMYFUNCTION("""COMPUTED_VALUE"""),48.0)</f>
        <v>48</v>
      </c>
      <c r="D17" s="6">
        <f>IFERROR(__xludf.DUMMYFUNCTION("""COMPUTED_VALUE"""),46.3)</f>
        <v>46.3</v>
      </c>
      <c r="E17" s="6">
        <f>IFERROR(__xludf.DUMMYFUNCTION("""COMPUTED_VALUE"""),47.35)</f>
        <v>47.35</v>
      </c>
      <c r="F17" s="6">
        <f>IFERROR(__xludf.DUMMYFUNCTION("""COMPUTED_VALUE"""),1.43540138E8)</f>
        <v>143540138</v>
      </c>
    </row>
    <row r="18">
      <c r="A18" s="7">
        <f>IFERROR(__xludf.DUMMYFUNCTION("""COMPUTED_VALUE"""),45282.64583333333)</f>
        <v>45282.64583</v>
      </c>
      <c r="B18" s="6">
        <f>IFERROR(__xludf.DUMMYFUNCTION("""COMPUTED_VALUE"""),47.6)</f>
        <v>47.6</v>
      </c>
      <c r="C18" s="6">
        <f>IFERROR(__xludf.DUMMYFUNCTION("""COMPUTED_VALUE"""),48.8)</f>
        <v>48.8</v>
      </c>
      <c r="D18" s="6">
        <f>IFERROR(__xludf.DUMMYFUNCTION("""COMPUTED_VALUE"""),43.05)</f>
        <v>43.05</v>
      </c>
      <c r="E18" s="6">
        <f>IFERROR(__xludf.DUMMYFUNCTION("""COMPUTED_VALUE"""),45.6)</f>
        <v>45.6</v>
      </c>
      <c r="F18" s="6">
        <f>IFERROR(__xludf.DUMMYFUNCTION("""COMPUTED_VALUE"""),1.85217009E8)</f>
        <v>185217009</v>
      </c>
    </row>
    <row r="19">
      <c r="A19" s="7">
        <f>IFERROR(__xludf.DUMMYFUNCTION("""COMPUTED_VALUE"""),45289.64583333333)</f>
        <v>45289.64583</v>
      </c>
      <c r="B19" s="6">
        <f>IFERROR(__xludf.DUMMYFUNCTION("""COMPUTED_VALUE"""),45.8)</f>
        <v>45.8</v>
      </c>
      <c r="C19" s="6">
        <f>IFERROR(__xludf.DUMMYFUNCTION("""COMPUTED_VALUE"""),46.4)</f>
        <v>46.4</v>
      </c>
      <c r="D19" s="6">
        <f>IFERROR(__xludf.DUMMYFUNCTION("""COMPUTED_VALUE"""),44.75)</f>
        <v>44.75</v>
      </c>
      <c r="E19" s="6">
        <f>IFERROR(__xludf.DUMMYFUNCTION("""COMPUTED_VALUE"""),45.15)</f>
        <v>45.15</v>
      </c>
      <c r="F19" s="6">
        <f>IFERROR(__xludf.DUMMYFUNCTION("""COMPUTED_VALUE"""),7.6518608E7)</f>
        <v>76518608</v>
      </c>
    </row>
    <row r="20">
      <c r="A20" s="7">
        <f>IFERROR(__xludf.DUMMYFUNCTION("""COMPUTED_VALUE"""),45296.64583333333)</f>
        <v>45296.64583</v>
      </c>
      <c r="B20" s="6">
        <f>IFERROR(__xludf.DUMMYFUNCTION("""COMPUTED_VALUE"""),45.25)</f>
        <v>45.25</v>
      </c>
      <c r="C20" s="6">
        <f>IFERROR(__xludf.DUMMYFUNCTION("""COMPUTED_VALUE"""),47.75)</f>
        <v>47.75</v>
      </c>
      <c r="D20" s="6">
        <f>IFERROR(__xludf.DUMMYFUNCTION("""COMPUTED_VALUE"""),45.1)</f>
        <v>45.1</v>
      </c>
      <c r="E20" s="6">
        <f>IFERROR(__xludf.DUMMYFUNCTION("""COMPUTED_VALUE"""),46.7)</f>
        <v>46.7</v>
      </c>
      <c r="F20" s="6">
        <f>IFERROR(__xludf.DUMMYFUNCTION("""COMPUTED_VALUE"""),1.39946583E8)</f>
        <v>139946583</v>
      </c>
    </row>
    <row r="21">
      <c r="A21" s="7">
        <f>IFERROR(__xludf.DUMMYFUNCTION("""COMPUTED_VALUE"""),45303.64583333333)</f>
        <v>45303.64583</v>
      </c>
      <c r="B21" s="6">
        <f>IFERROR(__xludf.DUMMYFUNCTION("""COMPUTED_VALUE"""),46.9)</f>
        <v>46.9</v>
      </c>
      <c r="C21" s="6">
        <f>IFERROR(__xludf.DUMMYFUNCTION("""COMPUTED_VALUE"""),48.65)</f>
        <v>48.65</v>
      </c>
      <c r="D21" s="6">
        <f>IFERROR(__xludf.DUMMYFUNCTION("""COMPUTED_VALUE"""),45.2)</f>
        <v>45.2</v>
      </c>
      <c r="E21" s="6">
        <f>IFERROR(__xludf.DUMMYFUNCTION("""COMPUTED_VALUE"""),48.3)</f>
        <v>48.3</v>
      </c>
      <c r="F21" s="6">
        <f>IFERROR(__xludf.DUMMYFUNCTION("""COMPUTED_VALUE"""),1.43457558E8)</f>
        <v>143457558</v>
      </c>
    </row>
    <row r="22">
      <c r="A22" s="7">
        <f>IFERROR(__xludf.DUMMYFUNCTION("""COMPUTED_VALUE"""),45316.64583333333)</f>
        <v>45316.64583</v>
      </c>
      <c r="B22" s="6">
        <f>IFERROR(__xludf.DUMMYFUNCTION("""COMPUTED_VALUE"""),53.9)</f>
        <v>53.9</v>
      </c>
      <c r="C22" s="6">
        <f>IFERROR(__xludf.DUMMYFUNCTION("""COMPUTED_VALUE"""),54.9)</f>
        <v>54.9</v>
      </c>
      <c r="D22" s="6">
        <f>IFERROR(__xludf.DUMMYFUNCTION("""COMPUTED_VALUE"""),50.15)</f>
        <v>50.15</v>
      </c>
      <c r="E22" s="6">
        <f>IFERROR(__xludf.DUMMYFUNCTION("""COMPUTED_VALUE"""),53.4)</f>
        <v>53.4</v>
      </c>
      <c r="F22" s="6">
        <f>IFERROR(__xludf.DUMMYFUNCTION("""COMPUTED_VALUE"""),1.71508452E8)</f>
        <v>171508452</v>
      </c>
    </row>
    <row r="23">
      <c r="A23" s="7">
        <f>IFERROR(__xludf.DUMMYFUNCTION("""COMPUTED_VALUE"""),45324.64583333333)</f>
        <v>45324.64583</v>
      </c>
      <c r="B23" s="6">
        <f>IFERROR(__xludf.DUMMYFUNCTION("""COMPUTED_VALUE"""),53.9)</f>
        <v>53.9</v>
      </c>
      <c r="C23" s="6">
        <f>IFERROR(__xludf.DUMMYFUNCTION("""COMPUTED_VALUE"""),58.9)</f>
        <v>58.9</v>
      </c>
      <c r="D23" s="6">
        <f>IFERROR(__xludf.DUMMYFUNCTION("""COMPUTED_VALUE"""),53.45)</f>
        <v>53.45</v>
      </c>
      <c r="E23" s="6">
        <f>IFERROR(__xludf.DUMMYFUNCTION("""COMPUTED_VALUE"""),57.4)</f>
        <v>57.4</v>
      </c>
      <c r="F23" s="6">
        <f>IFERROR(__xludf.DUMMYFUNCTION("""COMPUTED_VALUE"""),3.27778163E8)</f>
        <v>327778163</v>
      </c>
    </row>
    <row r="24">
      <c r="A24" s="7">
        <f>IFERROR(__xludf.DUMMYFUNCTION("""COMPUTED_VALUE"""),45331.64583333333)</f>
        <v>45331.64583</v>
      </c>
      <c r="B24" s="6">
        <f>IFERROR(__xludf.DUMMYFUNCTION("""COMPUTED_VALUE"""),57.8)</f>
        <v>57.8</v>
      </c>
      <c r="C24" s="6">
        <f>IFERROR(__xludf.DUMMYFUNCTION("""COMPUTED_VALUE"""),69.45)</f>
        <v>69.45</v>
      </c>
      <c r="D24" s="6">
        <f>IFERROR(__xludf.DUMMYFUNCTION("""COMPUTED_VALUE"""),57.4)</f>
        <v>57.4</v>
      </c>
      <c r="E24" s="6">
        <f>IFERROR(__xludf.DUMMYFUNCTION("""COMPUTED_VALUE"""),61.55)</f>
        <v>61.55</v>
      </c>
      <c r="F24" s="6">
        <f>IFERROR(__xludf.DUMMYFUNCTION("""COMPUTED_VALUE"""),6.1579902E8)</f>
        <v>615799020</v>
      </c>
    </row>
    <row r="25">
      <c r="A25" s="7">
        <f>IFERROR(__xludf.DUMMYFUNCTION("""COMPUTED_VALUE"""),45338.64583333333)</f>
        <v>45338.64583</v>
      </c>
      <c r="B25" s="6">
        <f>IFERROR(__xludf.DUMMYFUNCTION("""COMPUTED_VALUE"""),62.0)</f>
        <v>62</v>
      </c>
      <c r="C25" s="6">
        <f>IFERROR(__xludf.DUMMYFUNCTION("""COMPUTED_VALUE"""),63.5)</f>
        <v>63.5</v>
      </c>
      <c r="D25" s="6">
        <f>IFERROR(__xludf.DUMMYFUNCTION("""COMPUTED_VALUE"""),54.05)</f>
        <v>54.05</v>
      </c>
      <c r="E25" s="6">
        <f>IFERROR(__xludf.DUMMYFUNCTION("""COMPUTED_VALUE"""),61.95)</f>
        <v>61.95</v>
      </c>
      <c r="F25" s="6">
        <f>IFERROR(__xludf.DUMMYFUNCTION("""COMPUTED_VALUE"""),3.05393695E8)</f>
        <v>305393695</v>
      </c>
    </row>
    <row r="26">
      <c r="A26" s="7">
        <f>IFERROR(__xludf.DUMMYFUNCTION("""COMPUTED_VALUE"""),45345.64583333333)</f>
        <v>45345.64583</v>
      </c>
      <c r="B26" s="6">
        <f>IFERROR(__xludf.DUMMYFUNCTION("""COMPUTED_VALUE"""),61.95)</f>
        <v>61.95</v>
      </c>
      <c r="C26" s="6">
        <f>IFERROR(__xludf.DUMMYFUNCTION("""COMPUTED_VALUE"""),63.65)</f>
        <v>63.65</v>
      </c>
      <c r="D26" s="6">
        <f>IFERROR(__xludf.DUMMYFUNCTION("""COMPUTED_VALUE"""),58.65)</f>
        <v>58.65</v>
      </c>
      <c r="E26" s="6">
        <f>IFERROR(__xludf.DUMMYFUNCTION("""COMPUTED_VALUE"""),61.05)</f>
        <v>61.05</v>
      </c>
      <c r="F26" s="6">
        <f>IFERROR(__xludf.DUMMYFUNCTION("""COMPUTED_VALUE"""),1.6520351E8)</f>
        <v>165203510</v>
      </c>
    </row>
    <row r="27">
      <c r="A27" s="7">
        <f>IFERROR(__xludf.DUMMYFUNCTION("""COMPUTED_VALUE"""),45358.64583333333)</f>
        <v>45358.64583</v>
      </c>
      <c r="B27" s="6">
        <f>IFERROR(__xludf.DUMMYFUNCTION("""COMPUTED_VALUE"""),60.45)</f>
        <v>60.45</v>
      </c>
      <c r="C27" s="6">
        <f>IFERROR(__xludf.DUMMYFUNCTION("""COMPUTED_VALUE"""),64.45)</f>
        <v>64.45</v>
      </c>
      <c r="D27" s="6">
        <f>IFERROR(__xludf.DUMMYFUNCTION("""COMPUTED_VALUE"""),59.7)</f>
        <v>59.7</v>
      </c>
      <c r="E27" s="6">
        <f>IFERROR(__xludf.DUMMYFUNCTION("""COMPUTED_VALUE"""),61.9)</f>
        <v>61.9</v>
      </c>
      <c r="F27" s="6">
        <f>IFERROR(__xludf.DUMMYFUNCTION("""COMPUTED_VALUE"""),1.70034034E8)</f>
        <v>170034034</v>
      </c>
    </row>
    <row r="28">
      <c r="A28" s="7">
        <f>IFERROR(__xludf.DUMMYFUNCTION("""COMPUTED_VALUE"""),45366.64583333333)</f>
        <v>45366.64583</v>
      </c>
      <c r="B28" s="6">
        <f>IFERROR(__xludf.DUMMYFUNCTION("""COMPUTED_VALUE"""),62.25)</f>
        <v>62.25</v>
      </c>
      <c r="C28" s="6">
        <f>IFERROR(__xludf.DUMMYFUNCTION("""COMPUTED_VALUE"""),63.45)</f>
        <v>63.45</v>
      </c>
      <c r="D28" s="6">
        <f>IFERROR(__xludf.DUMMYFUNCTION("""COMPUTED_VALUE"""),52.8)</f>
        <v>52.8</v>
      </c>
      <c r="E28" s="6">
        <f>IFERROR(__xludf.DUMMYFUNCTION("""COMPUTED_VALUE"""),59.4)</f>
        <v>59.4</v>
      </c>
      <c r="F28" s="6">
        <f>IFERROR(__xludf.DUMMYFUNCTION("""COMPUTED_VALUE"""),2.39511984E8)</f>
        <v>239511984</v>
      </c>
    </row>
    <row r="29">
      <c r="A29" s="7">
        <f>IFERROR(__xludf.DUMMYFUNCTION("""COMPUTED_VALUE"""),45373.64583333333)</f>
        <v>45373.64583</v>
      </c>
      <c r="B29" s="6">
        <f>IFERROR(__xludf.DUMMYFUNCTION("""COMPUTED_VALUE"""),60.4)</f>
        <v>60.4</v>
      </c>
      <c r="C29" s="6">
        <f>IFERROR(__xludf.DUMMYFUNCTION("""COMPUTED_VALUE"""),60.65)</f>
        <v>60.65</v>
      </c>
      <c r="D29" s="6">
        <f>IFERROR(__xludf.DUMMYFUNCTION("""COMPUTED_VALUE"""),57.7)</f>
        <v>57.7</v>
      </c>
      <c r="E29" s="6">
        <f>IFERROR(__xludf.DUMMYFUNCTION("""COMPUTED_VALUE"""),59.85)</f>
        <v>59.85</v>
      </c>
      <c r="F29" s="6">
        <f>IFERROR(__xludf.DUMMYFUNCTION("""COMPUTED_VALUE"""),9.1114027E7)</f>
        <v>91114027</v>
      </c>
    </row>
    <row r="30">
      <c r="A30" s="7">
        <f>IFERROR(__xludf.DUMMYFUNCTION("""COMPUTED_VALUE"""),45379.64583333333)</f>
        <v>45379.64583</v>
      </c>
      <c r="B30" s="6">
        <f>IFERROR(__xludf.DUMMYFUNCTION("""COMPUTED_VALUE"""),59.85)</f>
        <v>59.85</v>
      </c>
      <c r="C30" s="6">
        <f>IFERROR(__xludf.DUMMYFUNCTION("""COMPUTED_VALUE"""),63.1)</f>
        <v>63.1</v>
      </c>
      <c r="D30" s="6">
        <f>IFERROR(__xludf.DUMMYFUNCTION("""COMPUTED_VALUE"""),58.55)</f>
        <v>58.55</v>
      </c>
      <c r="E30" s="6">
        <f>IFERROR(__xludf.DUMMYFUNCTION("""COMPUTED_VALUE"""),62.35)</f>
        <v>62.35</v>
      </c>
      <c r="F30" s="6">
        <f>IFERROR(__xludf.DUMMYFUNCTION("""COMPUTED_VALUE"""),9.1772867E7)</f>
        <v>91772867</v>
      </c>
    </row>
    <row r="31">
      <c r="A31" s="7">
        <f>IFERROR(__xludf.DUMMYFUNCTION("""COMPUTED_VALUE"""),45387.64583333333)</f>
        <v>45387.64583</v>
      </c>
      <c r="B31" s="6">
        <f>IFERROR(__xludf.DUMMYFUNCTION("""COMPUTED_VALUE"""),62.95)</f>
        <v>62.95</v>
      </c>
      <c r="C31" s="6">
        <f>IFERROR(__xludf.DUMMYFUNCTION("""COMPUTED_VALUE"""),67.65)</f>
        <v>67.65</v>
      </c>
      <c r="D31" s="6">
        <f>IFERROR(__xludf.DUMMYFUNCTION("""COMPUTED_VALUE"""),62.85)</f>
        <v>62.85</v>
      </c>
      <c r="E31" s="6">
        <f>IFERROR(__xludf.DUMMYFUNCTION("""COMPUTED_VALUE"""),65.7)</f>
        <v>65.7</v>
      </c>
      <c r="F31" s="6">
        <f>IFERROR(__xludf.DUMMYFUNCTION("""COMPUTED_VALUE"""),1.87091434E8)</f>
        <v>187091434</v>
      </c>
    </row>
    <row r="32">
      <c r="A32" s="7">
        <f>IFERROR(__xludf.DUMMYFUNCTION("""COMPUTED_VALUE"""),45394.64583333333)</f>
        <v>45394.64583</v>
      </c>
      <c r="B32" s="6">
        <f>IFERROR(__xludf.DUMMYFUNCTION("""COMPUTED_VALUE"""),66.05)</f>
        <v>66.05</v>
      </c>
      <c r="C32" s="6">
        <f>IFERROR(__xludf.DUMMYFUNCTION("""COMPUTED_VALUE"""),66.25)</f>
        <v>66.25</v>
      </c>
      <c r="D32" s="6">
        <f>IFERROR(__xludf.DUMMYFUNCTION("""COMPUTED_VALUE"""),63.35)</f>
        <v>63.35</v>
      </c>
      <c r="E32" s="6">
        <f>IFERROR(__xludf.DUMMYFUNCTION("""COMPUTED_VALUE"""),63.6)</f>
        <v>63.6</v>
      </c>
      <c r="F32" s="6">
        <f>IFERROR(__xludf.DUMMYFUNCTION("""COMPUTED_VALUE"""),7.2437167E7)</f>
        <v>72437167</v>
      </c>
    </row>
    <row r="33">
      <c r="A33" s="7">
        <f>IFERROR(__xludf.DUMMYFUNCTION("""COMPUTED_VALUE"""),45401.64583333333)</f>
        <v>45401.64583</v>
      </c>
      <c r="B33" s="6">
        <f>IFERROR(__xludf.DUMMYFUNCTION("""COMPUTED_VALUE"""),61.4)</f>
        <v>61.4</v>
      </c>
      <c r="C33" s="6">
        <f>IFERROR(__xludf.DUMMYFUNCTION("""COMPUTED_VALUE"""),63.45)</f>
        <v>63.45</v>
      </c>
      <c r="D33" s="6">
        <f>IFERROR(__xludf.DUMMYFUNCTION("""COMPUTED_VALUE"""),59.2)</f>
        <v>59.2</v>
      </c>
      <c r="E33" s="6">
        <f>IFERROR(__xludf.DUMMYFUNCTION("""COMPUTED_VALUE"""),61.6)</f>
        <v>61.6</v>
      </c>
      <c r="F33" s="6">
        <f>IFERROR(__xludf.DUMMYFUNCTION("""COMPUTED_VALUE"""),8.1754411E7)</f>
        <v>81754411</v>
      </c>
    </row>
    <row r="34">
      <c r="A34" s="7">
        <f>IFERROR(__xludf.DUMMYFUNCTION("""COMPUTED_VALUE"""),45408.64583333333)</f>
        <v>45408.64583</v>
      </c>
      <c r="B34" s="6">
        <f>IFERROR(__xludf.DUMMYFUNCTION("""COMPUTED_VALUE"""),62.0)</f>
        <v>62</v>
      </c>
      <c r="C34" s="6">
        <f>IFERROR(__xludf.DUMMYFUNCTION("""COMPUTED_VALUE"""),69.4)</f>
        <v>69.4</v>
      </c>
      <c r="D34" s="6">
        <f>IFERROR(__xludf.DUMMYFUNCTION("""COMPUTED_VALUE"""),62.0)</f>
        <v>62</v>
      </c>
      <c r="E34" s="6">
        <f>IFERROR(__xludf.DUMMYFUNCTION("""COMPUTED_VALUE"""),67.65)</f>
        <v>67.65</v>
      </c>
      <c r="F34" s="6">
        <f>IFERROR(__xludf.DUMMYFUNCTION("""COMPUTED_VALUE"""),1.905594E8)</f>
        <v>190559400</v>
      </c>
    </row>
    <row r="35">
      <c r="A35" s="7">
        <f>IFERROR(__xludf.DUMMYFUNCTION("""COMPUTED_VALUE"""),45415.64583333333)</f>
        <v>45415.64583</v>
      </c>
      <c r="B35" s="6">
        <f>IFERROR(__xludf.DUMMYFUNCTION("""COMPUTED_VALUE"""),68.8)</f>
        <v>68.8</v>
      </c>
      <c r="C35" s="6">
        <f>IFERROR(__xludf.DUMMYFUNCTION("""COMPUTED_VALUE"""),72.55)</f>
        <v>72.55</v>
      </c>
      <c r="D35" s="6">
        <f>IFERROR(__xludf.DUMMYFUNCTION("""COMPUTED_VALUE"""),67.05)</f>
        <v>67.05</v>
      </c>
      <c r="E35" s="6">
        <f>IFERROR(__xludf.DUMMYFUNCTION("""COMPUTED_VALUE"""),68.4)</f>
        <v>68.4</v>
      </c>
      <c r="F35" s="6">
        <f>IFERROR(__xludf.DUMMYFUNCTION("""COMPUTED_VALUE"""),2.17932402E8)</f>
        <v>217932402</v>
      </c>
    </row>
    <row r="36">
      <c r="A36" s="7">
        <f>IFERROR(__xludf.DUMMYFUNCTION("""COMPUTED_VALUE"""),45422.64583333333)</f>
        <v>45422.64583</v>
      </c>
      <c r="B36" s="6">
        <f>IFERROR(__xludf.DUMMYFUNCTION("""COMPUTED_VALUE"""),68.8)</f>
        <v>68.8</v>
      </c>
      <c r="C36" s="6">
        <f>IFERROR(__xludf.DUMMYFUNCTION("""COMPUTED_VALUE"""),69.05)</f>
        <v>69.05</v>
      </c>
      <c r="D36" s="6">
        <f>IFERROR(__xludf.DUMMYFUNCTION("""COMPUTED_VALUE"""),61.35)</f>
        <v>61.35</v>
      </c>
      <c r="E36" s="6">
        <f>IFERROR(__xludf.DUMMYFUNCTION("""COMPUTED_VALUE"""),63.9)</f>
        <v>63.9</v>
      </c>
      <c r="F36" s="6">
        <f>IFERROR(__xludf.DUMMYFUNCTION("""COMPUTED_VALUE"""),1.1450814E8)</f>
        <v>114508140</v>
      </c>
    </row>
    <row r="37">
      <c r="A37" s="7">
        <f>IFERROR(__xludf.DUMMYFUNCTION("""COMPUTED_VALUE"""),45436.64583333333)</f>
        <v>45436.64583</v>
      </c>
      <c r="B37" s="6">
        <f>IFERROR(__xludf.DUMMYFUNCTION("""COMPUTED_VALUE"""),64.9)</f>
        <v>64.9</v>
      </c>
      <c r="C37" s="6">
        <f>IFERROR(__xludf.DUMMYFUNCTION("""COMPUTED_VALUE"""),70.3)</f>
        <v>70.3</v>
      </c>
      <c r="D37" s="6">
        <f>IFERROR(__xludf.DUMMYFUNCTION("""COMPUTED_VALUE"""),64.35)</f>
        <v>64.35</v>
      </c>
      <c r="E37" s="6">
        <f>IFERROR(__xludf.DUMMYFUNCTION("""COMPUTED_VALUE"""),68.15)</f>
        <v>68.15</v>
      </c>
      <c r="F37" s="6">
        <f>IFERROR(__xludf.DUMMYFUNCTION("""COMPUTED_VALUE"""),1.04699299E8)</f>
        <v>104699299</v>
      </c>
    </row>
    <row r="38">
      <c r="A38" s="7">
        <f>IFERROR(__xludf.DUMMYFUNCTION("""COMPUTED_VALUE"""),45443.64583333333)</f>
        <v>45443.64583</v>
      </c>
      <c r="B38" s="6">
        <f>IFERROR(__xludf.DUMMYFUNCTION("""COMPUTED_VALUE"""),68.6)</f>
        <v>68.6</v>
      </c>
      <c r="C38" s="6">
        <f>IFERROR(__xludf.DUMMYFUNCTION("""COMPUTED_VALUE"""),71.5)</f>
        <v>71.5</v>
      </c>
      <c r="D38" s="6">
        <f>IFERROR(__xludf.DUMMYFUNCTION("""COMPUTED_VALUE"""),66.5)</f>
        <v>66.5</v>
      </c>
      <c r="E38" s="6">
        <f>IFERROR(__xludf.DUMMYFUNCTION("""COMPUTED_VALUE"""),69.05)</f>
        <v>69.05</v>
      </c>
      <c r="F38" s="6">
        <f>IFERROR(__xludf.DUMMYFUNCTION("""COMPUTED_VALUE"""),1.52326902E8)</f>
        <v>152326902</v>
      </c>
    </row>
    <row r="39">
      <c r="A39" s="7">
        <f>IFERROR(__xludf.DUMMYFUNCTION("""COMPUTED_VALUE"""),45450.64583333333)</f>
        <v>45450.64583</v>
      </c>
      <c r="B39" s="6">
        <f>IFERROR(__xludf.DUMMYFUNCTION("""COMPUTED_VALUE"""),73.0)</f>
        <v>73</v>
      </c>
      <c r="C39" s="6">
        <f>IFERROR(__xludf.DUMMYFUNCTION("""COMPUTED_VALUE"""),73.5)</f>
        <v>73.5</v>
      </c>
      <c r="D39" s="6">
        <f>IFERROR(__xludf.DUMMYFUNCTION("""COMPUTED_VALUE"""),59.0)</f>
        <v>59</v>
      </c>
      <c r="E39" s="6">
        <f>IFERROR(__xludf.DUMMYFUNCTION("""COMPUTED_VALUE"""),66.65)</f>
        <v>66.65</v>
      </c>
      <c r="F39" s="6">
        <f>IFERROR(__xludf.DUMMYFUNCTION("""COMPUTED_VALUE"""),2.37175856E8)</f>
        <v>237175856</v>
      </c>
    </row>
    <row r="40">
      <c r="A40" s="7">
        <f>IFERROR(__xludf.DUMMYFUNCTION("""COMPUTED_VALUE"""),45457.64583333333)</f>
        <v>45457.64583</v>
      </c>
      <c r="B40" s="6">
        <f>IFERROR(__xludf.DUMMYFUNCTION("""COMPUTED_VALUE"""),66.95)</f>
        <v>66.95</v>
      </c>
      <c r="C40" s="6">
        <f>IFERROR(__xludf.DUMMYFUNCTION("""COMPUTED_VALUE"""),68.38)</f>
        <v>68.38</v>
      </c>
      <c r="D40" s="6">
        <f>IFERROR(__xludf.DUMMYFUNCTION("""COMPUTED_VALUE"""),65.5)</f>
        <v>65.5</v>
      </c>
      <c r="E40" s="6">
        <f>IFERROR(__xludf.DUMMYFUNCTION("""COMPUTED_VALUE"""),66.33)</f>
        <v>66.33</v>
      </c>
      <c r="F40" s="6">
        <f>IFERROR(__xludf.DUMMYFUNCTION("""COMPUTED_VALUE"""),8.2345459E7)</f>
        <v>82345459</v>
      </c>
    </row>
    <row r="41">
      <c r="A41" s="7">
        <f>IFERROR(__xludf.DUMMYFUNCTION("""COMPUTED_VALUE"""),45464.64583333333)</f>
        <v>45464.64583</v>
      </c>
      <c r="B41" s="6">
        <f>IFERROR(__xludf.DUMMYFUNCTION("""COMPUTED_VALUE"""),66.7)</f>
        <v>66.7</v>
      </c>
      <c r="C41" s="6">
        <f>IFERROR(__xludf.DUMMYFUNCTION("""COMPUTED_VALUE"""),67.45)</f>
        <v>67.45</v>
      </c>
      <c r="D41" s="6">
        <f>IFERROR(__xludf.DUMMYFUNCTION("""COMPUTED_VALUE"""),64.25)</f>
        <v>64.25</v>
      </c>
      <c r="E41" s="6">
        <f>IFERROR(__xludf.DUMMYFUNCTION("""COMPUTED_VALUE"""),65.17)</f>
        <v>65.17</v>
      </c>
      <c r="F41" s="6">
        <f>IFERROR(__xludf.DUMMYFUNCTION("""COMPUTED_VALUE"""),7.9585755E7)</f>
        <v>79585755</v>
      </c>
    </row>
    <row r="42">
      <c r="A42" s="7">
        <f>IFERROR(__xludf.DUMMYFUNCTION("""COMPUTED_VALUE"""),45471.64583333333)</f>
        <v>45471.64583</v>
      </c>
      <c r="B42" s="6">
        <f>IFERROR(__xludf.DUMMYFUNCTION("""COMPUTED_VALUE"""),65.0)</f>
        <v>65</v>
      </c>
      <c r="C42" s="6">
        <f>IFERROR(__xludf.DUMMYFUNCTION("""COMPUTED_VALUE"""),66.4)</f>
        <v>66.4</v>
      </c>
      <c r="D42" s="6">
        <f>IFERROR(__xludf.DUMMYFUNCTION("""COMPUTED_VALUE"""),63.82)</f>
        <v>63.82</v>
      </c>
      <c r="E42" s="6">
        <f>IFERROR(__xludf.DUMMYFUNCTION("""COMPUTED_VALUE"""),64.81)</f>
        <v>64.81</v>
      </c>
      <c r="F42" s="6">
        <f>IFERROR(__xludf.DUMMYFUNCTION("""COMPUTED_VALUE"""),6.8693684E7)</f>
        <v>68693684</v>
      </c>
    </row>
    <row r="43">
      <c r="A43" s="7">
        <f>IFERROR(__xludf.DUMMYFUNCTION("""COMPUTED_VALUE"""),45478.64583333333)</f>
        <v>45478.64583</v>
      </c>
      <c r="B43" s="6">
        <f>IFERROR(__xludf.DUMMYFUNCTION("""COMPUTED_VALUE"""),64.9)</f>
        <v>64.9</v>
      </c>
      <c r="C43" s="6">
        <f>IFERROR(__xludf.DUMMYFUNCTION("""COMPUTED_VALUE"""),65.28)</f>
        <v>65.28</v>
      </c>
      <c r="D43" s="6">
        <f>IFERROR(__xludf.DUMMYFUNCTION("""COMPUTED_VALUE"""),63.26)</f>
        <v>63.26</v>
      </c>
      <c r="E43" s="6">
        <f>IFERROR(__xludf.DUMMYFUNCTION("""COMPUTED_VALUE"""),63.77)</f>
        <v>63.77</v>
      </c>
      <c r="F43" s="6">
        <f>IFERROR(__xludf.DUMMYFUNCTION("""COMPUTED_VALUE"""),4.7391742E7)</f>
        <v>47391742</v>
      </c>
    </row>
    <row r="44">
      <c r="A44" s="7">
        <f>IFERROR(__xludf.DUMMYFUNCTION("""COMPUTED_VALUE"""),45485.64583333333)</f>
        <v>45485.64583</v>
      </c>
      <c r="B44" s="6">
        <f>IFERROR(__xludf.DUMMYFUNCTION("""COMPUTED_VALUE"""),63.81)</f>
        <v>63.81</v>
      </c>
      <c r="C44" s="6">
        <f>IFERROR(__xludf.DUMMYFUNCTION("""COMPUTED_VALUE"""),66.85)</f>
        <v>66.85</v>
      </c>
      <c r="D44" s="6">
        <f>IFERROR(__xludf.DUMMYFUNCTION("""COMPUTED_VALUE"""),63.05)</f>
        <v>63.05</v>
      </c>
      <c r="E44" s="6">
        <f>IFERROR(__xludf.DUMMYFUNCTION("""COMPUTED_VALUE"""),65.08)</f>
        <v>65.08</v>
      </c>
      <c r="F44" s="6">
        <f>IFERROR(__xludf.DUMMYFUNCTION("""COMPUTED_VALUE"""),8.9871785E7)</f>
        <v>89871785</v>
      </c>
    </row>
    <row r="45">
      <c r="A45" s="7">
        <f>IFERROR(__xludf.DUMMYFUNCTION("""COMPUTED_VALUE"""),45492.64583333333)</f>
        <v>45492.64583</v>
      </c>
      <c r="B45" s="6">
        <f>IFERROR(__xludf.DUMMYFUNCTION("""COMPUTED_VALUE"""),65.75)</f>
        <v>65.75</v>
      </c>
      <c r="C45" s="6">
        <f>IFERROR(__xludf.DUMMYFUNCTION("""COMPUTED_VALUE"""),70.8)</f>
        <v>70.8</v>
      </c>
      <c r="D45" s="6">
        <f>IFERROR(__xludf.DUMMYFUNCTION("""COMPUTED_VALUE"""),64.8)</f>
        <v>64.8</v>
      </c>
      <c r="E45" s="6">
        <f>IFERROR(__xludf.DUMMYFUNCTION("""COMPUTED_VALUE"""),65.65)</f>
        <v>65.65</v>
      </c>
      <c r="F45" s="6">
        <f>IFERROR(__xludf.DUMMYFUNCTION("""COMPUTED_VALUE"""),2.32339661E8)</f>
        <v>232339661</v>
      </c>
    </row>
    <row r="46">
      <c r="A46" s="7">
        <f>IFERROR(__xludf.DUMMYFUNCTION("""COMPUTED_VALUE"""),45499.64583333333)</f>
        <v>45499.64583</v>
      </c>
      <c r="B46" s="6">
        <f>IFERROR(__xludf.DUMMYFUNCTION("""COMPUTED_VALUE"""),65.65)</f>
        <v>65.65</v>
      </c>
      <c r="C46" s="6">
        <f>IFERROR(__xludf.DUMMYFUNCTION("""COMPUTED_VALUE"""),68.9)</f>
        <v>68.9</v>
      </c>
      <c r="D46" s="6">
        <f>IFERROR(__xludf.DUMMYFUNCTION("""COMPUTED_VALUE"""),62.93)</f>
        <v>62.93</v>
      </c>
      <c r="E46" s="6">
        <f>IFERROR(__xludf.DUMMYFUNCTION("""COMPUTED_VALUE"""),67.73)</f>
        <v>67.73</v>
      </c>
      <c r="F46" s="6">
        <f>IFERROR(__xludf.DUMMYFUNCTION("""COMPUTED_VALUE"""),9.8642191E7)</f>
        <v>98642191</v>
      </c>
    </row>
    <row r="47">
      <c r="A47" s="7">
        <f>IFERROR(__xludf.DUMMYFUNCTION("""COMPUTED_VALUE"""),45506.64583333333)</f>
        <v>45506.64583</v>
      </c>
      <c r="B47" s="6">
        <f>IFERROR(__xludf.DUMMYFUNCTION("""COMPUTED_VALUE"""),68.9)</f>
        <v>68.9</v>
      </c>
      <c r="C47" s="6">
        <f>IFERROR(__xludf.DUMMYFUNCTION("""COMPUTED_VALUE"""),70.77)</f>
        <v>70.77</v>
      </c>
      <c r="D47" s="6">
        <f>IFERROR(__xludf.DUMMYFUNCTION("""COMPUTED_VALUE"""),64.8)</f>
        <v>64.8</v>
      </c>
      <c r="E47" s="6">
        <f>IFERROR(__xludf.DUMMYFUNCTION("""COMPUTED_VALUE"""),65.51)</f>
        <v>65.51</v>
      </c>
      <c r="F47" s="6">
        <f>IFERROR(__xludf.DUMMYFUNCTION("""COMPUTED_VALUE"""),7.379394E7)</f>
        <v>73793940</v>
      </c>
    </row>
    <row r="48">
      <c r="A48" s="7">
        <f>IFERROR(__xludf.DUMMYFUNCTION("""COMPUTED_VALUE"""),45513.64583333333)</f>
        <v>45513.64583</v>
      </c>
      <c r="B48" s="6">
        <f>IFERROR(__xludf.DUMMYFUNCTION("""COMPUTED_VALUE"""),63.69)</f>
        <v>63.69</v>
      </c>
      <c r="C48" s="6">
        <f>IFERROR(__xludf.DUMMYFUNCTION("""COMPUTED_VALUE"""),64.16)</f>
        <v>64.16</v>
      </c>
      <c r="D48" s="6">
        <f>IFERROR(__xludf.DUMMYFUNCTION("""COMPUTED_VALUE"""),61.01)</f>
        <v>61.01</v>
      </c>
      <c r="E48" s="6">
        <f>IFERROR(__xludf.DUMMYFUNCTION("""COMPUTED_VALUE"""),61.92)</f>
        <v>61.92</v>
      </c>
      <c r="F48" s="6">
        <f>IFERROR(__xludf.DUMMYFUNCTION("""COMPUTED_VALUE"""),6.7150632E7)</f>
        <v>67150632</v>
      </c>
    </row>
    <row r="49">
      <c r="A49" s="7">
        <f>IFERROR(__xludf.DUMMYFUNCTION("""COMPUTED_VALUE"""),45520.64583333333)</f>
        <v>45520.64583</v>
      </c>
      <c r="B49" s="6">
        <f>IFERROR(__xludf.DUMMYFUNCTION("""COMPUTED_VALUE"""),61.9)</f>
        <v>61.9</v>
      </c>
      <c r="C49" s="6">
        <f>IFERROR(__xludf.DUMMYFUNCTION("""COMPUTED_VALUE"""),61.9)</f>
        <v>61.9</v>
      </c>
      <c r="D49" s="6">
        <f>IFERROR(__xludf.DUMMYFUNCTION("""COMPUTED_VALUE"""),59.71)</f>
        <v>59.71</v>
      </c>
      <c r="E49" s="6">
        <f>IFERROR(__xludf.DUMMYFUNCTION("""COMPUTED_VALUE"""),61.17)</f>
        <v>61.17</v>
      </c>
      <c r="F49" s="6">
        <f>IFERROR(__xludf.DUMMYFUNCTION("""COMPUTED_VALUE"""),3.6946225E7)</f>
        <v>36946225</v>
      </c>
    </row>
    <row r="50">
      <c r="A50" s="7">
        <f>IFERROR(__xludf.DUMMYFUNCTION("""COMPUTED_VALUE"""),45527.64583333333)</f>
        <v>45527.64583</v>
      </c>
      <c r="B50" s="6">
        <f>IFERROR(__xludf.DUMMYFUNCTION("""COMPUTED_VALUE"""),61.3)</f>
        <v>61.3</v>
      </c>
      <c r="C50" s="6">
        <f>IFERROR(__xludf.DUMMYFUNCTION("""COMPUTED_VALUE"""),63.85)</f>
        <v>63.85</v>
      </c>
      <c r="D50" s="6">
        <f>IFERROR(__xludf.DUMMYFUNCTION("""COMPUTED_VALUE"""),61.3)</f>
        <v>61.3</v>
      </c>
      <c r="E50" s="6">
        <f>IFERROR(__xludf.DUMMYFUNCTION("""COMPUTED_VALUE"""),62.31)</f>
        <v>62.31</v>
      </c>
      <c r="F50" s="6">
        <f>IFERROR(__xludf.DUMMYFUNCTION("""COMPUTED_VALUE"""),3.7967633E7)</f>
        <v>37967633</v>
      </c>
    </row>
    <row r="51">
      <c r="A51" s="7">
        <f>IFERROR(__xludf.DUMMYFUNCTION("""COMPUTED_VALUE"""),45534.64583333333)</f>
        <v>45534.64583</v>
      </c>
      <c r="B51" s="6">
        <f>IFERROR(__xludf.DUMMYFUNCTION("""COMPUTED_VALUE"""),63.0)</f>
        <v>63</v>
      </c>
      <c r="C51" s="6">
        <f>IFERROR(__xludf.DUMMYFUNCTION("""COMPUTED_VALUE"""),63.62)</f>
        <v>63.62</v>
      </c>
      <c r="D51" s="6">
        <f>IFERROR(__xludf.DUMMYFUNCTION("""COMPUTED_VALUE"""),61.61)</f>
        <v>61.61</v>
      </c>
      <c r="E51" s="6">
        <f>IFERROR(__xludf.DUMMYFUNCTION("""COMPUTED_VALUE"""),62.57)</f>
        <v>62.57</v>
      </c>
      <c r="F51" s="6">
        <f>IFERROR(__xludf.DUMMYFUNCTION("""COMPUTED_VALUE"""),4.3186382E7)</f>
        <v>43186382</v>
      </c>
    </row>
    <row r="52">
      <c r="A52" s="7">
        <f>IFERROR(__xludf.DUMMYFUNCTION("""COMPUTED_VALUE"""),45541.64583333333)</f>
        <v>45541.64583</v>
      </c>
      <c r="B52" s="6">
        <f>IFERROR(__xludf.DUMMYFUNCTION("""COMPUTED_VALUE"""),62.6)</f>
        <v>62.6</v>
      </c>
      <c r="C52" s="6">
        <f>IFERROR(__xludf.DUMMYFUNCTION("""COMPUTED_VALUE"""),62.79)</f>
        <v>62.79</v>
      </c>
      <c r="D52" s="6">
        <f>IFERROR(__xludf.DUMMYFUNCTION("""COMPUTED_VALUE"""),60.01)</f>
        <v>60.01</v>
      </c>
      <c r="E52" s="6">
        <f>IFERROR(__xludf.DUMMYFUNCTION("""COMPUTED_VALUE"""),60.2)</f>
        <v>60.2</v>
      </c>
      <c r="F52" s="6">
        <f>IFERROR(__xludf.DUMMYFUNCTION("""COMPUTED_VALUE"""),2.508581E7)</f>
        <v>25085810</v>
      </c>
    </row>
    <row r="53">
      <c r="A53" s="7">
        <f>IFERROR(__xludf.DUMMYFUNCTION("""COMPUTED_VALUE"""),45548.64583333333)</f>
        <v>45548.64583</v>
      </c>
      <c r="B53" s="6">
        <f>IFERROR(__xludf.DUMMYFUNCTION("""COMPUTED_VALUE"""),60.2)</f>
        <v>60.2</v>
      </c>
      <c r="C53" s="6">
        <f>IFERROR(__xludf.DUMMYFUNCTION("""COMPUTED_VALUE"""),61.33)</f>
        <v>61.33</v>
      </c>
      <c r="D53" s="6">
        <f>IFERROR(__xludf.DUMMYFUNCTION("""COMPUTED_VALUE"""),58.4)</f>
        <v>58.4</v>
      </c>
      <c r="E53" s="6">
        <f>IFERROR(__xludf.DUMMYFUNCTION("""COMPUTED_VALUE"""),61.02)</f>
        <v>61.02</v>
      </c>
      <c r="F53" s="6">
        <f>IFERROR(__xludf.DUMMYFUNCTION("""COMPUTED_VALUE"""),3.4348601E7)</f>
        <v>34348601</v>
      </c>
    </row>
    <row r="54">
      <c r="A54" s="7">
        <f>IFERROR(__xludf.DUMMYFUNCTION("""COMPUTED_VALUE"""),45555.64583333333)</f>
        <v>45555.64583</v>
      </c>
      <c r="B54" s="6">
        <f>IFERROR(__xludf.DUMMYFUNCTION("""COMPUTED_VALUE"""),61.11)</f>
        <v>61.11</v>
      </c>
      <c r="C54" s="6">
        <f>IFERROR(__xludf.DUMMYFUNCTION("""COMPUTED_VALUE"""),61.96)</f>
        <v>61.96</v>
      </c>
      <c r="D54" s="6">
        <f>IFERROR(__xludf.DUMMYFUNCTION("""COMPUTED_VALUE"""),57.4)</f>
        <v>57.4</v>
      </c>
      <c r="E54" s="6">
        <f>IFERROR(__xludf.DUMMYFUNCTION("""COMPUTED_VALUE"""),58.42)</f>
        <v>58.42</v>
      </c>
      <c r="F54" s="6">
        <f>IFERROR(__xludf.DUMMYFUNCTION("""COMPUTED_VALUE"""),4.392494E7)</f>
        <v>43924940</v>
      </c>
    </row>
    <row r="55">
      <c r="A55" s="7">
        <f>IFERROR(__xludf.DUMMYFUNCTION("""COMPUTED_VALUE"""),45562.64583333333)</f>
        <v>45562.64583</v>
      </c>
      <c r="B55" s="6">
        <f>IFERROR(__xludf.DUMMYFUNCTION("""COMPUTED_VALUE"""),59.0)</f>
        <v>59</v>
      </c>
      <c r="C55" s="6">
        <f>IFERROR(__xludf.DUMMYFUNCTION("""COMPUTED_VALUE"""),63.45)</f>
        <v>63.45</v>
      </c>
      <c r="D55" s="6">
        <f>IFERROR(__xludf.DUMMYFUNCTION("""COMPUTED_VALUE"""),58.83)</f>
        <v>58.83</v>
      </c>
      <c r="E55" s="6">
        <f>IFERROR(__xludf.DUMMYFUNCTION("""COMPUTED_VALUE"""),59.83)</f>
        <v>59.83</v>
      </c>
      <c r="F55" s="6">
        <f>IFERROR(__xludf.DUMMYFUNCTION("""COMPUTED_VALUE"""),9.0340475E7)</f>
        <v>90340475</v>
      </c>
    </row>
    <row r="56">
      <c r="A56" s="7">
        <f>IFERROR(__xludf.DUMMYFUNCTION("""COMPUTED_VALUE"""),45569.64583333333)</f>
        <v>45569.64583</v>
      </c>
      <c r="B56" s="6">
        <f>IFERROR(__xludf.DUMMYFUNCTION("""COMPUTED_VALUE"""),60.0)</f>
        <v>60</v>
      </c>
      <c r="C56" s="6">
        <f>IFERROR(__xludf.DUMMYFUNCTION("""COMPUTED_VALUE"""),61.08)</f>
        <v>61.08</v>
      </c>
      <c r="D56" s="6">
        <f>IFERROR(__xludf.DUMMYFUNCTION("""COMPUTED_VALUE"""),57.41)</f>
        <v>57.41</v>
      </c>
      <c r="E56" s="6">
        <f>IFERROR(__xludf.DUMMYFUNCTION("""COMPUTED_VALUE"""),57.65)</f>
        <v>57.65</v>
      </c>
      <c r="F56" s="6">
        <f>IFERROR(__xludf.DUMMYFUNCTION("""COMPUTED_VALUE"""),4.2255638E7)</f>
        <v>42255638</v>
      </c>
    </row>
    <row r="57">
      <c r="A57" s="7">
        <f>IFERROR(__xludf.DUMMYFUNCTION("""COMPUTED_VALUE"""),45576.64583333333)</f>
        <v>45576.64583</v>
      </c>
      <c r="B57" s="6">
        <f>IFERROR(__xludf.DUMMYFUNCTION("""COMPUTED_VALUE"""),58.51)</f>
        <v>58.51</v>
      </c>
      <c r="C57" s="6">
        <f>IFERROR(__xludf.DUMMYFUNCTION("""COMPUTED_VALUE"""),58.87)</f>
        <v>58.87</v>
      </c>
      <c r="D57" s="6">
        <f>IFERROR(__xludf.DUMMYFUNCTION("""COMPUTED_VALUE"""),53.8)</f>
        <v>53.8</v>
      </c>
      <c r="E57" s="6">
        <f>IFERROR(__xludf.DUMMYFUNCTION("""COMPUTED_VALUE"""),54.24)</f>
        <v>54.24</v>
      </c>
      <c r="F57" s="6">
        <f>IFERROR(__xludf.DUMMYFUNCTION("""COMPUTED_VALUE"""),8.4021903E7)</f>
        <v>84021903</v>
      </c>
    </row>
    <row r="58">
      <c r="A58" s="7">
        <f>IFERROR(__xludf.DUMMYFUNCTION("""COMPUTED_VALUE"""),45583.64583333333)</f>
        <v>45583.64583</v>
      </c>
      <c r="B58" s="6">
        <f>IFERROR(__xludf.DUMMYFUNCTION("""COMPUTED_VALUE"""),54.35)</f>
        <v>54.35</v>
      </c>
      <c r="C58" s="6">
        <f>IFERROR(__xludf.DUMMYFUNCTION("""COMPUTED_VALUE"""),55.7)</f>
        <v>55.7</v>
      </c>
      <c r="D58" s="6">
        <f>IFERROR(__xludf.DUMMYFUNCTION("""COMPUTED_VALUE"""),52.45)</f>
        <v>52.45</v>
      </c>
      <c r="E58" s="6">
        <f>IFERROR(__xludf.DUMMYFUNCTION("""COMPUTED_VALUE"""),54.3)</f>
        <v>54.3</v>
      </c>
      <c r="F58" s="6">
        <f>IFERROR(__xludf.DUMMYFUNCTION("""COMPUTED_VALUE"""),8.6057845E7)</f>
        <v>86057845</v>
      </c>
    </row>
    <row r="59">
      <c r="A59" s="7">
        <f>IFERROR(__xludf.DUMMYFUNCTION("""COMPUTED_VALUE"""),45590.64583333333)</f>
        <v>45590.64583</v>
      </c>
      <c r="B59" s="6">
        <f>IFERROR(__xludf.DUMMYFUNCTION("""COMPUTED_VALUE"""),54.6)</f>
        <v>54.6</v>
      </c>
      <c r="C59" s="6">
        <f>IFERROR(__xludf.DUMMYFUNCTION("""COMPUTED_VALUE"""),54.79)</f>
        <v>54.79</v>
      </c>
      <c r="D59" s="6">
        <f>IFERROR(__xludf.DUMMYFUNCTION("""COMPUTED_VALUE"""),47.37)</f>
        <v>47.37</v>
      </c>
      <c r="E59" s="6">
        <f>IFERROR(__xludf.DUMMYFUNCTION("""COMPUTED_VALUE"""),49.02)</f>
        <v>49.02</v>
      </c>
      <c r="F59" s="6">
        <f>IFERROR(__xludf.DUMMYFUNCTION("""COMPUTED_VALUE"""),7.7558532E7)</f>
        <v>77558532</v>
      </c>
    </row>
    <row r="60">
      <c r="A60" s="7">
        <f>IFERROR(__xludf.DUMMYFUNCTION("""COMPUTED_VALUE"""),45604.64583333333)</f>
        <v>45604.64583</v>
      </c>
      <c r="B60" s="6">
        <f>IFERROR(__xludf.DUMMYFUNCTION("""COMPUTED_VALUE"""),55.52)</f>
        <v>55.52</v>
      </c>
      <c r="C60" s="6">
        <f>IFERROR(__xludf.DUMMYFUNCTION("""COMPUTED_VALUE"""),57.1)</f>
        <v>57.1</v>
      </c>
      <c r="D60" s="6">
        <f>IFERROR(__xludf.DUMMYFUNCTION("""COMPUTED_VALUE"""),53.0)</f>
        <v>53</v>
      </c>
      <c r="E60" s="6">
        <f>IFERROR(__xludf.DUMMYFUNCTION("""COMPUTED_VALUE"""),54.03)</f>
        <v>54.03</v>
      </c>
      <c r="F60" s="6">
        <f>IFERROR(__xludf.DUMMYFUNCTION("""COMPUTED_VALUE"""),7.8765469E7)</f>
        <v>78765469</v>
      </c>
    </row>
    <row r="61">
      <c r="A61" s="7">
        <f>IFERROR(__xludf.DUMMYFUNCTION("""COMPUTED_VALUE"""),45610.64583333333)</f>
        <v>45610.64583</v>
      </c>
      <c r="B61" s="6">
        <f>IFERROR(__xludf.DUMMYFUNCTION("""COMPUTED_VALUE"""),53.65)</f>
        <v>53.65</v>
      </c>
      <c r="C61" s="6">
        <f>IFERROR(__xludf.DUMMYFUNCTION("""COMPUTED_VALUE"""),54.4)</f>
        <v>54.4</v>
      </c>
      <c r="D61" s="6">
        <f>IFERROR(__xludf.DUMMYFUNCTION("""COMPUTED_VALUE"""),50.0)</f>
        <v>50</v>
      </c>
      <c r="E61" s="6">
        <f>IFERROR(__xludf.DUMMYFUNCTION("""COMPUTED_VALUE"""),50.5)</f>
        <v>50.5</v>
      </c>
      <c r="F61" s="6">
        <f>IFERROR(__xludf.DUMMYFUNCTION("""COMPUTED_VALUE"""),3.7276428E7)</f>
        <v>37276428</v>
      </c>
    </row>
    <row r="62">
      <c r="A62" s="7">
        <f>IFERROR(__xludf.DUMMYFUNCTION("""COMPUTED_VALUE"""),45618.64583333333)</f>
        <v>45618.64583</v>
      </c>
      <c r="B62" s="6">
        <f>IFERROR(__xludf.DUMMYFUNCTION("""COMPUTED_VALUE"""),50.5)</f>
        <v>50.5</v>
      </c>
      <c r="C62" s="6">
        <f>IFERROR(__xludf.DUMMYFUNCTION("""COMPUTED_VALUE"""),53.25)</f>
        <v>53.25</v>
      </c>
      <c r="D62" s="6">
        <f>IFERROR(__xludf.DUMMYFUNCTION("""COMPUTED_VALUE"""),49.61)</f>
        <v>49.61</v>
      </c>
      <c r="E62" s="6">
        <f>IFERROR(__xludf.DUMMYFUNCTION("""COMPUTED_VALUE"""),52.94)</f>
        <v>52.94</v>
      </c>
      <c r="F62" s="6">
        <f>IFERROR(__xludf.DUMMYFUNCTION("""COMPUTED_VALUE"""),5.0057421E7)</f>
        <v>50057421</v>
      </c>
    </row>
    <row r="63">
      <c r="A63" s="7">
        <f>IFERROR(__xludf.DUMMYFUNCTION("""COMPUTED_VALUE"""),45625.64583333333)</f>
        <v>45625.64583</v>
      </c>
      <c r="B63" s="6">
        <f>IFERROR(__xludf.DUMMYFUNCTION("""COMPUTED_VALUE"""),55.0)</f>
        <v>55</v>
      </c>
      <c r="C63" s="6">
        <f>IFERROR(__xludf.DUMMYFUNCTION("""COMPUTED_VALUE"""),57.55)</f>
        <v>57.55</v>
      </c>
      <c r="D63" s="6">
        <f>IFERROR(__xludf.DUMMYFUNCTION("""COMPUTED_VALUE"""),54.05)</f>
        <v>54.05</v>
      </c>
      <c r="E63" s="6">
        <f>IFERROR(__xludf.DUMMYFUNCTION("""COMPUTED_VALUE"""),57.03)</f>
        <v>57.03</v>
      </c>
      <c r="F63" s="6">
        <f>IFERROR(__xludf.DUMMYFUNCTION("""COMPUTED_VALUE"""),8.9359367E7)</f>
        <v>89359367</v>
      </c>
    </row>
    <row r="64">
      <c r="A64" s="7">
        <f>IFERROR(__xludf.DUMMYFUNCTION("""COMPUTED_VALUE"""),45632.64583333333)</f>
        <v>45632.64583</v>
      </c>
      <c r="B64" s="6">
        <f>IFERROR(__xludf.DUMMYFUNCTION("""COMPUTED_VALUE"""),56.58)</f>
        <v>56.58</v>
      </c>
      <c r="C64" s="6">
        <f>IFERROR(__xludf.DUMMYFUNCTION("""COMPUTED_VALUE"""),59.85)</f>
        <v>59.85</v>
      </c>
      <c r="D64" s="6">
        <f>IFERROR(__xludf.DUMMYFUNCTION("""COMPUTED_VALUE"""),55.77)</f>
        <v>55.77</v>
      </c>
      <c r="E64" s="6">
        <f>IFERROR(__xludf.DUMMYFUNCTION("""COMPUTED_VALUE"""),57.84)</f>
        <v>57.84</v>
      </c>
      <c r="F64" s="6">
        <f>IFERROR(__xludf.DUMMYFUNCTION("""COMPUTED_VALUE"""),1.47214786E8)</f>
        <v>147214786</v>
      </c>
    </row>
    <row r="65">
      <c r="A65" s="7">
        <f>IFERROR(__xludf.DUMMYFUNCTION("""COMPUTED_VALUE"""),45639.64583333333)</f>
        <v>45639.64583</v>
      </c>
      <c r="B65" s="6">
        <f>IFERROR(__xludf.DUMMYFUNCTION("""COMPUTED_VALUE"""),58.14)</f>
        <v>58.14</v>
      </c>
      <c r="C65" s="6">
        <f>IFERROR(__xludf.DUMMYFUNCTION("""COMPUTED_VALUE"""),58.56)</f>
        <v>58.56</v>
      </c>
      <c r="D65" s="6">
        <f>IFERROR(__xludf.DUMMYFUNCTION("""COMPUTED_VALUE"""),54.18)</f>
        <v>54.18</v>
      </c>
      <c r="E65" s="6">
        <f>IFERROR(__xludf.DUMMYFUNCTION("""COMPUTED_VALUE"""),55.58)</f>
        <v>55.58</v>
      </c>
      <c r="F65" s="6">
        <f>IFERROR(__xludf.DUMMYFUNCTION("""COMPUTED_VALUE"""),5.9736869E7)</f>
        <v>59736869</v>
      </c>
    </row>
    <row r="66">
      <c r="A66" s="7">
        <f>IFERROR(__xludf.DUMMYFUNCTION("""COMPUTED_VALUE"""),45646.64583333333)</f>
        <v>45646.64583</v>
      </c>
      <c r="B66" s="6">
        <f>IFERROR(__xludf.DUMMYFUNCTION("""COMPUTED_VALUE"""),55.65)</f>
        <v>55.65</v>
      </c>
      <c r="C66" s="6">
        <f>IFERROR(__xludf.DUMMYFUNCTION("""COMPUTED_VALUE"""),56.58)</f>
        <v>56.58</v>
      </c>
      <c r="D66" s="6">
        <f>IFERROR(__xludf.DUMMYFUNCTION("""COMPUTED_VALUE"""),52.24)</f>
        <v>52.24</v>
      </c>
      <c r="E66" s="6">
        <f>IFERROR(__xludf.DUMMYFUNCTION("""COMPUTED_VALUE"""),54.74)</f>
        <v>54.74</v>
      </c>
      <c r="F66" s="6">
        <f>IFERROR(__xludf.DUMMYFUNCTION("""COMPUTED_VALUE"""),8.4726757E7)</f>
        <v>84726757</v>
      </c>
    </row>
    <row r="67">
      <c r="A67" s="7">
        <f>IFERROR(__xludf.DUMMYFUNCTION("""COMPUTED_VALUE"""),45653.64583333333)</f>
        <v>45653.64583</v>
      </c>
      <c r="B67" s="6">
        <f>IFERROR(__xludf.DUMMYFUNCTION("""COMPUTED_VALUE"""),55.0)</f>
        <v>55</v>
      </c>
      <c r="C67" s="6">
        <f>IFERROR(__xludf.DUMMYFUNCTION("""COMPUTED_VALUE"""),55.25)</f>
        <v>55.25</v>
      </c>
      <c r="D67" s="6">
        <f>IFERROR(__xludf.DUMMYFUNCTION("""COMPUTED_VALUE"""),52.56)</f>
        <v>52.56</v>
      </c>
      <c r="E67" s="6">
        <f>IFERROR(__xludf.DUMMYFUNCTION("""COMPUTED_VALUE"""),52.72)</f>
        <v>52.72</v>
      </c>
      <c r="F67" s="6">
        <f>IFERROR(__xludf.DUMMYFUNCTION("""COMPUTED_VALUE"""),2.4111843E7)</f>
        <v>24111843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IFERROR(__xludf.DUMMYFUNCTION("""COMPUTED_VALUE"""),52.65)</f>
        <v>52.65</v>
      </c>
      <c r="C68" s="6">
        <f>IFERROR(__xludf.DUMMYFUNCTION("""COMPUTED_VALUE"""),56.3)</f>
        <v>56.3</v>
      </c>
      <c r="D68" s="6">
        <f>IFERROR(__xludf.DUMMYFUNCTION("""COMPUTED_VALUE"""),50.72)</f>
        <v>50.72</v>
      </c>
      <c r="E68" s="6">
        <f>IFERROR(__xludf.DUMMYFUNCTION("""COMPUTED_VALUE"""),55.13)</f>
        <v>55.13</v>
      </c>
      <c r="F68" s="6">
        <f>IFERROR(__xludf.DUMMYFUNCTION("""COMPUTED_VALUE"""),9.2622596E7)</f>
        <v>92622596</v>
      </c>
    </row>
    <row r="69">
      <c r="A69" s="7">
        <f>IFERROR(__xludf.DUMMYFUNCTION("""COMPUTED_VALUE"""),45667.64583333333)</f>
        <v>45667.64583</v>
      </c>
      <c r="B69" s="6">
        <f>IFERROR(__xludf.DUMMYFUNCTION("""COMPUTED_VALUE"""),55.48)</f>
        <v>55.48</v>
      </c>
      <c r="C69" s="6">
        <f>IFERROR(__xludf.DUMMYFUNCTION("""COMPUTED_VALUE"""),55.48)</f>
        <v>55.48</v>
      </c>
      <c r="D69" s="6">
        <f>IFERROR(__xludf.DUMMYFUNCTION("""COMPUTED_VALUE"""),47.73)</f>
        <v>47.73</v>
      </c>
      <c r="E69" s="6">
        <f>IFERROR(__xludf.DUMMYFUNCTION("""COMPUTED_VALUE"""),48.75)</f>
        <v>48.75</v>
      </c>
      <c r="F69" s="6">
        <f>IFERROR(__xludf.DUMMYFUNCTION("""COMPUTED_VALUE"""),7.9162637E7)</f>
        <v>79162637</v>
      </c>
    </row>
    <row r="70">
      <c r="A70" s="7">
        <f>IFERROR(__xludf.DUMMYFUNCTION("""COMPUTED_VALUE"""),45674.64583333333)</f>
        <v>45674.64583</v>
      </c>
      <c r="B70" s="6">
        <f>IFERROR(__xludf.DUMMYFUNCTION("""COMPUTED_VALUE"""),47.5)</f>
        <v>47.5</v>
      </c>
      <c r="C70" s="6">
        <f>IFERROR(__xludf.DUMMYFUNCTION("""COMPUTED_VALUE"""),54.4)</f>
        <v>54.4</v>
      </c>
      <c r="D70" s="6">
        <f>IFERROR(__xludf.DUMMYFUNCTION("""COMPUTED_VALUE"""),46.11)</f>
        <v>46.11</v>
      </c>
      <c r="E70" s="6">
        <f>IFERROR(__xludf.DUMMYFUNCTION("""COMPUTED_VALUE"""),51.39)</f>
        <v>51.39</v>
      </c>
      <c r="F70" s="6">
        <f>IFERROR(__xludf.DUMMYFUNCTION("""COMPUTED_VALUE"""),1.63544772E8)</f>
        <v>163544772</v>
      </c>
    </row>
    <row r="71">
      <c r="A71" s="7">
        <f>IFERROR(__xludf.DUMMYFUNCTION("""COMPUTED_VALUE"""),45681.64583333333)</f>
        <v>45681.64583</v>
      </c>
      <c r="B71" s="6">
        <f>IFERROR(__xludf.DUMMYFUNCTION("""COMPUTED_VALUE"""),51.6)</f>
        <v>51.6</v>
      </c>
      <c r="C71" s="6">
        <f>IFERROR(__xludf.DUMMYFUNCTION("""COMPUTED_VALUE"""),52.85)</f>
        <v>52.85</v>
      </c>
      <c r="D71" s="6">
        <f>IFERROR(__xludf.DUMMYFUNCTION("""COMPUTED_VALUE"""),49.3)</f>
        <v>49.3</v>
      </c>
      <c r="E71" s="6">
        <f>IFERROR(__xludf.DUMMYFUNCTION("""COMPUTED_VALUE"""),49.65)</f>
        <v>49.65</v>
      </c>
      <c r="F71" s="6">
        <f>IFERROR(__xludf.DUMMYFUNCTION("""COMPUTED_VALUE"""),5.7481352E7)</f>
        <v>57481352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IFERROR(__xludf.DUMMYFUNCTION("""COMPUTED_VALUE"""),50.02)</f>
        <v>50.02</v>
      </c>
      <c r="C72" s="6">
        <f>IFERROR(__xludf.DUMMYFUNCTION("""COMPUTED_VALUE"""),51.77)</f>
        <v>51.77</v>
      </c>
      <c r="D72" s="6">
        <f>IFERROR(__xludf.DUMMYFUNCTION("""COMPUTED_VALUE"""),49.29)</f>
        <v>49.29</v>
      </c>
      <c r="E72" s="6">
        <f>IFERROR(__xludf.DUMMYFUNCTION("""COMPUTED_VALUE"""),49.92)</f>
        <v>49.92</v>
      </c>
      <c r="F72" s="6">
        <f>IFERROR(__xludf.DUMMYFUNCTION("""COMPUTED_VALUE"""),4.8500798E7)</f>
        <v>48500798</v>
      </c>
    </row>
    <row r="73">
      <c r="A73" s="7">
        <f>IFERROR(__xludf.DUMMYFUNCTION("""COMPUTED_VALUE"""),45702.64583333333)</f>
        <v>45702.64583</v>
      </c>
      <c r="B73" s="6">
        <f>IFERROR(__xludf.DUMMYFUNCTION("""COMPUTED_VALUE"""),49.97)</f>
        <v>49.97</v>
      </c>
      <c r="C73" s="6">
        <f>IFERROR(__xludf.DUMMYFUNCTION("""COMPUTED_VALUE"""),50.15)</f>
        <v>50.15</v>
      </c>
      <c r="D73" s="6">
        <f>IFERROR(__xludf.DUMMYFUNCTION("""COMPUTED_VALUE"""),46.8)</f>
        <v>46.8</v>
      </c>
      <c r="E73" s="6">
        <f>IFERROR(__xludf.DUMMYFUNCTION("""COMPUTED_VALUE"""),47.73)</f>
        <v>47.73</v>
      </c>
      <c r="F73" s="6">
        <f>IFERROR(__xludf.DUMMYFUNCTION("""COMPUTED_VALUE"""),4.1626156E7)</f>
        <v>41626156</v>
      </c>
    </row>
    <row r="74">
      <c r="A74" s="7">
        <f>IFERROR(__xludf.DUMMYFUNCTION("""COMPUTED_VALUE"""),45709.64583333333)</f>
        <v>45709.64583</v>
      </c>
      <c r="B74" s="6">
        <f>IFERROR(__xludf.DUMMYFUNCTION("""COMPUTED_VALUE"""),47.49)</f>
        <v>47.49</v>
      </c>
      <c r="C74" s="6">
        <f>IFERROR(__xludf.DUMMYFUNCTION("""COMPUTED_VALUE"""),51.24)</f>
        <v>51.24</v>
      </c>
      <c r="D74" s="6">
        <f>IFERROR(__xludf.DUMMYFUNCTION("""COMPUTED_VALUE"""),46.32)</f>
        <v>46.32</v>
      </c>
      <c r="E74" s="6">
        <f>IFERROR(__xludf.DUMMYFUNCTION("""COMPUTED_VALUE"""),49.71)</f>
        <v>49.71</v>
      </c>
      <c r="F74" s="6">
        <f>IFERROR(__xludf.DUMMYFUNCTION("""COMPUTED_VALUE"""),3.9132383E7)</f>
        <v>39132383</v>
      </c>
    </row>
    <row r="75">
      <c r="A75" s="7">
        <f>IFERROR(__xludf.DUMMYFUNCTION("""COMPUTED_VALUE"""),45716.64583333333)</f>
        <v>45716.64583</v>
      </c>
      <c r="B75" s="6">
        <f>IFERROR(__xludf.DUMMYFUNCTION("""COMPUTED_VALUE"""),49.47)</f>
        <v>49.47</v>
      </c>
      <c r="C75" s="6">
        <f>IFERROR(__xludf.DUMMYFUNCTION("""COMPUTED_VALUE"""),50.25)</f>
        <v>50.25</v>
      </c>
      <c r="D75" s="6">
        <f>IFERROR(__xludf.DUMMYFUNCTION("""COMPUTED_VALUE"""),46.21)</f>
        <v>46.21</v>
      </c>
      <c r="E75" s="6">
        <f>IFERROR(__xludf.DUMMYFUNCTION("""COMPUTED_VALUE"""),46.41)</f>
        <v>46.41</v>
      </c>
      <c r="F75" s="6">
        <f>IFERROR(__xludf.DUMMYFUNCTION("""COMPUTED_VALUE"""),2.4177641E7)</f>
        <v>24177641</v>
      </c>
    </row>
    <row r="76">
      <c r="A76" s="7">
        <f>IFERROR(__xludf.DUMMYFUNCTION("""COMPUTED_VALUE"""),45723.64583333333)</f>
        <v>45723.64583</v>
      </c>
      <c r="B76" s="6">
        <f>IFERROR(__xludf.DUMMYFUNCTION("""COMPUTED_VALUE"""),46.5)</f>
        <v>46.5</v>
      </c>
      <c r="C76" s="6">
        <f>IFERROR(__xludf.DUMMYFUNCTION("""COMPUTED_VALUE"""),48.4)</f>
        <v>48.4</v>
      </c>
      <c r="D76" s="6">
        <f>IFERROR(__xludf.DUMMYFUNCTION("""COMPUTED_VALUE"""),43.67)</f>
        <v>43.67</v>
      </c>
      <c r="E76" s="6">
        <f>IFERROR(__xludf.DUMMYFUNCTION("""COMPUTED_VALUE"""),47.96)</f>
        <v>47.96</v>
      </c>
      <c r="F76" s="6">
        <f>IFERROR(__xludf.DUMMYFUNCTION("""COMPUTED_VALUE"""),4.79165E7)</f>
        <v>47916500</v>
      </c>
    </row>
    <row r="77">
      <c r="A77" s="7">
        <f>IFERROR(__xludf.DUMMYFUNCTION("""COMPUTED_VALUE"""),45729.64583333333)</f>
        <v>45729.64583</v>
      </c>
      <c r="B77" s="6">
        <f>IFERROR(__xludf.DUMMYFUNCTION("""COMPUTED_VALUE"""),47.96)</f>
        <v>47.96</v>
      </c>
      <c r="C77" s="6">
        <f>IFERROR(__xludf.DUMMYFUNCTION("""COMPUTED_VALUE"""),48.44)</f>
        <v>48.44</v>
      </c>
      <c r="D77" s="6">
        <f>IFERROR(__xludf.DUMMYFUNCTION("""COMPUTED_VALUE"""),45.34)</f>
        <v>45.34</v>
      </c>
      <c r="E77" s="6">
        <f>IFERROR(__xludf.DUMMYFUNCTION("""COMPUTED_VALUE"""),45.43)</f>
        <v>45.43</v>
      </c>
      <c r="F77" s="6">
        <f>IFERROR(__xludf.DUMMYFUNCTION("""COMPUTED_VALUE"""),2.9489435E7)</f>
        <v>29489435</v>
      </c>
    </row>
    <row r="78">
      <c r="A78" s="7">
        <f>IFERROR(__xludf.DUMMYFUNCTION("""COMPUTED_VALUE"""),45737.64583333333)</f>
        <v>45737.64583</v>
      </c>
      <c r="B78" s="6">
        <f>IFERROR(__xludf.DUMMYFUNCTION("""COMPUTED_VALUE"""),44.47)</f>
        <v>44.47</v>
      </c>
      <c r="C78" s="6">
        <f>IFERROR(__xludf.DUMMYFUNCTION("""COMPUTED_VALUE"""),48.35)</f>
        <v>48.35</v>
      </c>
      <c r="D78" s="6">
        <f>IFERROR(__xludf.DUMMYFUNCTION("""COMPUTED_VALUE"""),44.47)</f>
        <v>44.47</v>
      </c>
      <c r="E78" s="6">
        <f>IFERROR(__xludf.DUMMYFUNCTION("""COMPUTED_VALUE"""),47.98)</f>
        <v>47.98</v>
      </c>
      <c r="F78" s="6">
        <f>IFERROR(__xludf.DUMMYFUNCTION("""COMPUTED_VALUE"""),4.6237765E7)</f>
        <v>46237765</v>
      </c>
    </row>
    <row r="79">
      <c r="A79" s="7">
        <f>IFERROR(__xludf.DUMMYFUNCTION("""COMPUTED_VALUE"""),45744.64583333333)</f>
        <v>45744.64583</v>
      </c>
      <c r="B79" s="6">
        <f>IFERROR(__xludf.DUMMYFUNCTION("""COMPUTED_VALUE"""),48.4)</f>
        <v>48.4</v>
      </c>
      <c r="C79" s="6">
        <f>IFERROR(__xludf.DUMMYFUNCTION("""COMPUTED_VALUE"""),49.55)</f>
        <v>49.55</v>
      </c>
      <c r="D79" s="6">
        <f>IFERROR(__xludf.DUMMYFUNCTION("""COMPUTED_VALUE"""),45.9)</f>
        <v>45.9</v>
      </c>
      <c r="E79" s="6">
        <f>IFERROR(__xludf.DUMMYFUNCTION("""COMPUTED_VALUE"""),46.34)</f>
        <v>46.34</v>
      </c>
      <c r="F79" s="6">
        <f>IFERROR(__xludf.DUMMYFUNCTION("""COMPUTED_VALUE"""),7.2016421E7)</f>
        <v>72016421</v>
      </c>
    </row>
    <row r="80">
      <c r="A80" s="7">
        <f>IFERROR(__xludf.DUMMYFUNCTION("""COMPUTED_VALUE"""),45751.64583333333)</f>
        <v>45751.64583</v>
      </c>
      <c r="B80" s="6">
        <f>IFERROR(__xludf.DUMMYFUNCTION("""COMPUTED_VALUE"""),46.01)</f>
        <v>46.01</v>
      </c>
      <c r="C80" s="6">
        <f>IFERROR(__xludf.DUMMYFUNCTION("""COMPUTED_VALUE"""),47.96)</f>
        <v>47.96</v>
      </c>
      <c r="D80" s="6">
        <f>IFERROR(__xludf.DUMMYFUNCTION("""COMPUTED_VALUE"""),45.3)</f>
        <v>45.3</v>
      </c>
      <c r="E80" s="6">
        <f>IFERROR(__xludf.DUMMYFUNCTION("""COMPUTED_VALUE"""),46.57)</f>
        <v>46.57</v>
      </c>
      <c r="F80" s="6">
        <f>IFERROR(__xludf.DUMMYFUNCTION("""COMPUTED_VALUE"""),3.6359216E7)</f>
        <v>36359216</v>
      </c>
    </row>
    <row r="81">
      <c r="A81" s="7">
        <f>IFERROR(__xludf.DUMMYFUNCTION("""COMPUTED_VALUE"""),45758.64583333333)</f>
        <v>45758.64583</v>
      </c>
      <c r="B81" s="6">
        <f>IFERROR(__xludf.DUMMYFUNCTION("""COMPUTED_VALUE"""),42.0)</f>
        <v>42</v>
      </c>
      <c r="C81" s="6">
        <f>IFERROR(__xludf.DUMMYFUNCTION("""COMPUTED_VALUE"""),46.39)</f>
        <v>46.39</v>
      </c>
      <c r="D81" s="6">
        <f>IFERROR(__xludf.DUMMYFUNCTION("""COMPUTED_VALUE"""),42.0)</f>
        <v>42</v>
      </c>
      <c r="E81" s="6">
        <f>IFERROR(__xludf.DUMMYFUNCTION("""COMPUTED_VALUE"""),45.66)</f>
        <v>45.66</v>
      </c>
      <c r="F81" s="6">
        <f>IFERROR(__xludf.DUMMYFUNCTION("""COMPUTED_VALUE"""),4.4471852E7)</f>
        <v>44471852</v>
      </c>
    </row>
    <row r="82">
      <c r="A82" s="7">
        <f>IFERROR(__xludf.DUMMYFUNCTION("""COMPUTED_VALUE"""),45764.64583333333)</f>
        <v>45764.64583</v>
      </c>
      <c r="B82" s="6">
        <f>IFERROR(__xludf.DUMMYFUNCTION("""COMPUTED_VALUE"""),46.5)</f>
        <v>46.5</v>
      </c>
      <c r="C82" s="6">
        <f>IFERROR(__xludf.DUMMYFUNCTION("""COMPUTED_VALUE"""),48.9)</f>
        <v>48.9</v>
      </c>
      <c r="D82" s="6">
        <f>IFERROR(__xludf.DUMMYFUNCTION("""COMPUTED_VALUE"""),45.92)</f>
        <v>45.92</v>
      </c>
      <c r="E82" s="6">
        <f>IFERROR(__xludf.DUMMYFUNCTION("""COMPUTED_VALUE"""),48.4)</f>
        <v>48.4</v>
      </c>
      <c r="F82" s="6">
        <f>IFERROR(__xludf.DUMMYFUNCTION("""COMPUTED_VALUE"""),3.3048835E7)</f>
        <v>33048835</v>
      </c>
    </row>
    <row r="83">
      <c r="A83" s="7">
        <f>IFERROR(__xludf.DUMMYFUNCTION("""COMPUTED_VALUE"""),45772.64583333333)</f>
        <v>45772.64583</v>
      </c>
      <c r="B83" s="6">
        <f>IFERROR(__xludf.DUMMYFUNCTION("""COMPUTED_VALUE"""),49.07)</f>
        <v>49.07</v>
      </c>
      <c r="C83" s="6">
        <f>IFERROR(__xludf.DUMMYFUNCTION("""COMPUTED_VALUE"""),51.96)</f>
        <v>51.96</v>
      </c>
      <c r="D83" s="6">
        <f>IFERROR(__xludf.DUMMYFUNCTION("""COMPUTED_VALUE"""),49.0)</f>
        <v>49</v>
      </c>
      <c r="E83" s="6">
        <f>IFERROR(__xludf.DUMMYFUNCTION("""COMPUTED_VALUE"""),50.01)</f>
        <v>50.01</v>
      </c>
      <c r="F83" s="6">
        <f>IFERROR(__xludf.DUMMYFUNCTION("""COMPUTED_VALUE"""),9.3936006E7)</f>
        <v>93936006</v>
      </c>
    </row>
    <row r="84">
      <c r="A84" s="7">
        <f>IFERROR(__xludf.DUMMYFUNCTION("""COMPUTED_VALUE"""),45779.64583333333)</f>
        <v>45779.64583</v>
      </c>
      <c r="B84" s="6">
        <f>IFERROR(__xludf.DUMMYFUNCTION("""COMPUTED_VALUE"""),50.45)</f>
        <v>50.45</v>
      </c>
      <c r="C84" s="6">
        <f>IFERROR(__xludf.DUMMYFUNCTION("""COMPUTED_VALUE"""),52.4)</f>
        <v>52.4</v>
      </c>
      <c r="D84" s="6">
        <f>IFERROR(__xludf.DUMMYFUNCTION("""COMPUTED_VALUE"""),50.26)</f>
        <v>50.26</v>
      </c>
      <c r="E84" s="6">
        <f>IFERROR(__xludf.DUMMYFUNCTION("""COMPUTED_VALUE"""),50.63)</f>
        <v>50.63</v>
      </c>
      <c r="F84" s="6">
        <f>IFERROR(__xludf.DUMMYFUNCTION("""COMPUTED_VALUE"""),4.7550902E7)</f>
        <v>47550902</v>
      </c>
    </row>
    <row r="85">
      <c r="A85" s="7">
        <f>IFERROR(__xludf.DUMMYFUNCTION("""COMPUTED_VALUE"""),45786.64583333333)</f>
        <v>45786.64583</v>
      </c>
      <c r="B85" s="6">
        <f>IFERROR(__xludf.DUMMYFUNCTION("""COMPUTED_VALUE"""),51.05)</f>
        <v>51.05</v>
      </c>
      <c r="C85" s="6">
        <f>IFERROR(__xludf.DUMMYFUNCTION("""COMPUTED_VALUE"""),52.25)</f>
        <v>52.25</v>
      </c>
      <c r="D85" s="6">
        <f>IFERROR(__xludf.DUMMYFUNCTION("""COMPUTED_VALUE"""),47.51)</f>
        <v>47.51</v>
      </c>
      <c r="E85" s="6">
        <f>IFERROR(__xludf.DUMMYFUNCTION("""COMPUTED_VALUE"""),48.34)</f>
        <v>48.34</v>
      </c>
      <c r="F85" s="6">
        <f>IFERROR(__xludf.DUMMYFUNCTION("""COMPUTED_VALUE"""),5.8880863E7)</f>
        <v>58880863</v>
      </c>
    </row>
    <row r="86">
      <c r="A86" s="7">
        <f>IFERROR(__xludf.DUMMYFUNCTION("""COMPUTED_VALUE"""),45793.64583333333)</f>
        <v>45793.64583</v>
      </c>
      <c r="B86" s="6">
        <f>IFERROR(__xludf.DUMMYFUNCTION("""COMPUTED_VALUE"""),50.0)</f>
        <v>50</v>
      </c>
      <c r="C86" s="6">
        <f>IFERROR(__xludf.DUMMYFUNCTION("""COMPUTED_VALUE"""),51.59)</f>
        <v>51.59</v>
      </c>
      <c r="D86" s="6">
        <f>IFERROR(__xludf.DUMMYFUNCTION("""COMPUTED_VALUE"""),49.9)</f>
        <v>49.9</v>
      </c>
      <c r="E86" s="6">
        <f>IFERROR(__xludf.DUMMYFUNCTION("""COMPUTED_VALUE"""),51.06)</f>
        <v>51.06</v>
      </c>
      <c r="F86" s="6">
        <f>IFERROR(__xludf.DUMMYFUNCTION("""COMPUTED_VALUE"""),5.1280201E7)</f>
        <v>51280201</v>
      </c>
    </row>
    <row r="87">
      <c r="A87" s="7">
        <f>IFERROR(__xludf.DUMMYFUNCTION("""COMPUTED_VALUE"""),45800.64583333333)</f>
        <v>45800.64583</v>
      </c>
      <c r="B87" s="6">
        <f>IFERROR(__xludf.DUMMYFUNCTION("""COMPUTED_VALUE"""),51.09)</f>
        <v>51.09</v>
      </c>
      <c r="C87" s="6">
        <f>IFERROR(__xludf.DUMMYFUNCTION("""COMPUTED_VALUE"""),54.09)</f>
        <v>54.09</v>
      </c>
      <c r="D87" s="6">
        <f>IFERROR(__xludf.DUMMYFUNCTION("""COMPUTED_VALUE"""),50.12)</f>
        <v>50.12</v>
      </c>
      <c r="E87" s="6">
        <f>IFERROR(__xludf.DUMMYFUNCTION("""COMPUTED_VALUE"""),51.25)</f>
        <v>51.25</v>
      </c>
      <c r="F87" s="6">
        <f>IFERROR(__xludf.DUMMYFUNCTION("""COMPUTED_VALUE"""),8.1051406E7)</f>
        <v>81051406</v>
      </c>
    </row>
    <row r="88">
      <c r="A88" s="7">
        <f>IFERROR(__xludf.DUMMYFUNCTION("""COMPUTED_VALUE"""),45807.64583333333)</f>
        <v>45807.64583</v>
      </c>
      <c r="B88" s="6">
        <f>IFERROR(__xludf.DUMMYFUNCTION("""COMPUTED_VALUE"""),51.5)</f>
        <v>51.5</v>
      </c>
      <c r="C88" s="6">
        <f>IFERROR(__xludf.DUMMYFUNCTION("""COMPUTED_VALUE"""),54.42)</f>
        <v>54.42</v>
      </c>
      <c r="D88" s="6">
        <f>IFERROR(__xludf.DUMMYFUNCTION("""COMPUTED_VALUE"""),50.55)</f>
        <v>50.55</v>
      </c>
      <c r="E88" s="6">
        <f>IFERROR(__xludf.DUMMYFUNCTION("""COMPUTED_VALUE"""),53.98)</f>
        <v>53.98</v>
      </c>
      <c r="F88" s="6">
        <f>IFERROR(__xludf.DUMMYFUNCTION("""COMPUTED_VALUE"""),7.1767288E7)</f>
        <v>71767288</v>
      </c>
    </row>
    <row r="89">
      <c r="A89" s="7">
        <f>IFERROR(__xludf.DUMMYFUNCTION("""COMPUTED_VALUE"""),45814.64583333333)</f>
        <v>45814.64583</v>
      </c>
      <c r="B89" s="6">
        <f>IFERROR(__xludf.DUMMYFUNCTION("""COMPUTED_VALUE"""),54.35)</f>
        <v>54.35</v>
      </c>
      <c r="C89" s="6">
        <f>IFERROR(__xludf.DUMMYFUNCTION("""COMPUTED_VALUE"""),58.0)</f>
        <v>58</v>
      </c>
      <c r="D89" s="6">
        <f>IFERROR(__xludf.DUMMYFUNCTION("""COMPUTED_VALUE"""),54.1)</f>
        <v>54.1</v>
      </c>
      <c r="E89" s="6">
        <f>IFERROR(__xludf.DUMMYFUNCTION("""COMPUTED_VALUE"""),55.04)</f>
        <v>55.04</v>
      </c>
      <c r="F89" s="6">
        <f>IFERROR(__xludf.DUMMYFUNCTION("""COMPUTED_VALUE"""),1.72290359E8)</f>
        <v>172290359</v>
      </c>
    </row>
    <row r="90">
      <c r="A90" s="7">
        <f>IFERROR(__xludf.DUMMYFUNCTION("""COMPUTED_VALUE"""),45821.64583333333)</f>
        <v>45821.64583</v>
      </c>
      <c r="B90" s="6">
        <f>IFERROR(__xludf.DUMMYFUNCTION("""COMPUTED_VALUE"""),55.36)</f>
        <v>55.36</v>
      </c>
      <c r="C90" s="6">
        <f>IFERROR(__xludf.DUMMYFUNCTION("""COMPUTED_VALUE"""),57.85)</f>
        <v>57.85</v>
      </c>
      <c r="D90" s="6">
        <f>IFERROR(__xludf.DUMMYFUNCTION("""COMPUTED_VALUE"""),52.67)</f>
        <v>52.67</v>
      </c>
      <c r="E90" s="6">
        <f>IFERROR(__xludf.DUMMYFUNCTION("""COMPUTED_VALUE"""),54.4)</f>
        <v>54.4</v>
      </c>
      <c r="F90" s="6">
        <f>IFERROR(__xludf.DUMMYFUNCTION("""COMPUTED_VALUE"""),8.5080125E7)</f>
        <v>85080125</v>
      </c>
    </row>
    <row r="91">
      <c r="A91" s="7">
        <f>IFERROR(__xludf.DUMMYFUNCTION("""COMPUTED_VALUE"""),45828.64583333333)</f>
        <v>45828.64583</v>
      </c>
      <c r="B91" s="6">
        <f>IFERROR(__xludf.DUMMYFUNCTION("""COMPUTED_VALUE"""),54.5)</f>
        <v>54.5</v>
      </c>
      <c r="C91" s="6">
        <f>IFERROR(__xludf.DUMMYFUNCTION("""COMPUTED_VALUE"""),56.19)</f>
        <v>56.19</v>
      </c>
      <c r="D91" s="6">
        <f>IFERROR(__xludf.DUMMYFUNCTION("""COMPUTED_VALUE"""),53.05)</f>
        <v>53.05</v>
      </c>
      <c r="E91" s="6">
        <f>IFERROR(__xludf.DUMMYFUNCTION("""COMPUTED_VALUE"""),53.87)</f>
        <v>53.87</v>
      </c>
      <c r="F91" s="6">
        <f>IFERROR(__xludf.DUMMYFUNCTION("""COMPUTED_VALUE"""),4.8095585E7)</f>
        <v>48095585</v>
      </c>
    </row>
    <row r="92">
      <c r="A92" s="7">
        <f>IFERROR(__xludf.DUMMYFUNCTION("""COMPUTED_VALUE"""),45835.64583333333)</f>
        <v>45835.64583</v>
      </c>
      <c r="B92" s="6">
        <f>IFERROR(__xludf.DUMMYFUNCTION("""COMPUTED_VALUE"""),53.22)</f>
        <v>53.22</v>
      </c>
      <c r="C92" s="6">
        <f>IFERROR(__xludf.DUMMYFUNCTION("""COMPUTED_VALUE"""),55.41)</f>
        <v>55.41</v>
      </c>
      <c r="D92" s="6">
        <f>IFERROR(__xludf.DUMMYFUNCTION("""COMPUTED_VALUE"""),53.18)</f>
        <v>53.18</v>
      </c>
      <c r="E92" s="6">
        <f>IFERROR(__xludf.DUMMYFUNCTION("""COMPUTED_VALUE"""),54.3)</f>
        <v>54.3</v>
      </c>
      <c r="F92" s="6">
        <f>IFERROR(__xludf.DUMMYFUNCTION("""COMPUTED_VALUE"""),4.7751689E7)</f>
        <v>47751689</v>
      </c>
    </row>
    <row r="93">
      <c r="A93" s="7">
        <f>IFERROR(__xludf.DUMMYFUNCTION("""COMPUTED_VALUE"""),45842.64583333333)</f>
        <v>45842.64583</v>
      </c>
      <c r="B93" s="6">
        <f>IFERROR(__xludf.DUMMYFUNCTION("""COMPUTED_VALUE"""),54.6)</f>
        <v>54.6</v>
      </c>
      <c r="C93" s="6">
        <f>IFERROR(__xludf.DUMMYFUNCTION("""COMPUTED_VALUE"""),58.79)</f>
        <v>58.79</v>
      </c>
      <c r="D93" s="6">
        <f>IFERROR(__xludf.DUMMYFUNCTION("""COMPUTED_VALUE"""),54.6)</f>
        <v>54.6</v>
      </c>
      <c r="E93" s="6">
        <f>IFERROR(__xludf.DUMMYFUNCTION("""COMPUTED_VALUE"""),57.49)</f>
        <v>57.49</v>
      </c>
      <c r="F93" s="6">
        <f>IFERROR(__xludf.DUMMYFUNCTION("""COMPUTED_VALUE"""),1.4909151E8)</f>
        <v>149091510</v>
      </c>
    </row>
    <row r="94">
      <c r="A94" s="7">
        <f>IFERROR(__xludf.DUMMYFUNCTION("""COMPUTED_VALUE"""),45849.64583333333)</f>
        <v>45849.64583</v>
      </c>
      <c r="B94" s="6">
        <f>IFERROR(__xludf.DUMMYFUNCTION("""COMPUTED_VALUE"""),57.74)</f>
        <v>57.74</v>
      </c>
      <c r="C94" s="6">
        <f>IFERROR(__xludf.DUMMYFUNCTION("""COMPUTED_VALUE"""),57.85)</f>
        <v>57.85</v>
      </c>
      <c r="D94" s="6">
        <f>IFERROR(__xludf.DUMMYFUNCTION("""COMPUTED_VALUE"""),55.73)</f>
        <v>55.73</v>
      </c>
      <c r="E94" s="6">
        <f>IFERROR(__xludf.DUMMYFUNCTION("""COMPUTED_VALUE"""),55.95)</f>
        <v>55.95</v>
      </c>
      <c r="F94" s="6">
        <f>IFERROR(__xludf.DUMMYFUNCTION("""COMPUTED_VALUE"""),4.3247697E7)</f>
        <v>43247697</v>
      </c>
    </row>
    <row r="95">
      <c r="A95" s="7">
        <f>IFERROR(__xludf.DUMMYFUNCTION("""COMPUTED_VALUE"""),45856.64583333333)</f>
        <v>45856.64583</v>
      </c>
      <c r="B95" s="6">
        <f>IFERROR(__xludf.DUMMYFUNCTION("""COMPUTED_VALUE"""),55.97)</f>
        <v>55.97</v>
      </c>
      <c r="C95" s="6">
        <f>IFERROR(__xludf.DUMMYFUNCTION("""COMPUTED_VALUE"""),58.0)</f>
        <v>58</v>
      </c>
      <c r="D95" s="6">
        <f>IFERROR(__xludf.DUMMYFUNCTION("""COMPUTED_VALUE"""),55.61)</f>
        <v>55.61</v>
      </c>
      <c r="E95" s="6">
        <f>IFERROR(__xludf.DUMMYFUNCTION("""COMPUTED_VALUE"""),56.62)</f>
        <v>56.62</v>
      </c>
      <c r="F95" s="6">
        <f>IFERROR(__xludf.DUMMYFUNCTION("""COMPUTED_VALUE"""),7.6130535E7)</f>
        <v>76130535</v>
      </c>
    </row>
    <row r="96">
      <c r="A96" s="7">
        <f>IFERROR(__xludf.DUMMYFUNCTION("""COMPUTED_VALUE"""),45863.64583333333)</f>
        <v>45863.64583</v>
      </c>
      <c r="B96" s="6">
        <f>IFERROR(__xludf.DUMMYFUNCTION("""COMPUTED_VALUE"""),56.89)</f>
        <v>56.89</v>
      </c>
      <c r="C96" s="6">
        <f>IFERROR(__xludf.DUMMYFUNCTION("""COMPUTED_VALUE"""),57.49)</f>
        <v>57.49</v>
      </c>
      <c r="D96" s="6">
        <f>IFERROR(__xludf.DUMMYFUNCTION("""COMPUTED_VALUE"""),56.07)</f>
        <v>56.07</v>
      </c>
      <c r="E96" s="6">
        <f>IFERROR(__xludf.DUMMYFUNCTION("""COMPUTED_VALUE"""),56.72)</f>
        <v>56.72</v>
      </c>
      <c r="F96" s="6">
        <f>IFERROR(__xludf.DUMMYFUNCTION("""COMPUTED_VALUE"""),3.9135905E7)</f>
        <v>39135905</v>
      </c>
    </row>
    <row r="97">
      <c r="A97" s="7">
        <f>IFERROR(__xludf.DUMMYFUNCTION("""COMPUTED_VALUE"""),45870.64583333333)</f>
        <v>45870.64583</v>
      </c>
      <c r="B97" s="6">
        <f>IFERROR(__xludf.DUMMYFUNCTION("""COMPUTED_VALUE"""),56.94)</f>
        <v>56.94</v>
      </c>
      <c r="C97" s="6">
        <f>IFERROR(__xludf.DUMMYFUNCTION("""COMPUTED_VALUE"""),57.39)</f>
        <v>57.39</v>
      </c>
      <c r="D97" s="6">
        <f>IFERROR(__xludf.DUMMYFUNCTION("""COMPUTED_VALUE"""),54.01)</f>
        <v>54.01</v>
      </c>
      <c r="E97" s="6">
        <f>IFERROR(__xludf.DUMMYFUNCTION("""COMPUTED_VALUE"""),54.27)</f>
        <v>54.27</v>
      </c>
      <c r="F97" s="6">
        <f>IFERROR(__xludf.DUMMYFUNCTION("""COMPUTED_VALUE"""),3.1525607E7)</f>
        <v>31525607</v>
      </c>
    </row>
    <row r="98">
      <c r="A98" s="7">
        <f>IFERROR(__xludf.DUMMYFUNCTION("""COMPUTED_VALUE"""),45877.64583333333)</f>
        <v>45877.64583</v>
      </c>
      <c r="B98" s="6">
        <f>IFERROR(__xludf.DUMMYFUNCTION("""COMPUTED_VALUE"""),54.27)</f>
        <v>54.27</v>
      </c>
      <c r="C98" s="6">
        <f>IFERROR(__xludf.DUMMYFUNCTION("""COMPUTED_VALUE"""),55.92)</f>
        <v>55.92</v>
      </c>
      <c r="D98" s="6">
        <f>IFERROR(__xludf.DUMMYFUNCTION("""COMPUTED_VALUE"""),52.25)</f>
        <v>52.25</v>
      </c>
      <c r="E98" s="6">
        <f>IFERROR(__xludf.DUMMYFUNCTION("""COMPUTED_VALUE"""),55.66)</f>
        <v>55.66</v>
      </c>
      <c r="F98" s="6">
        <f>IFERROR(__xludf.DUMMYFUNCTION("""COMPUTED_VALUE"""),4.071839E7)</f>
        <v>40718390</v>
      </c>
    </row>
    <row r="99">
      <c r="A99" s="7">
        <f>IFERROR(__xludf.DUMMYFUNCTION("""COMPUTED_VALUE"""),45883.64583333333)</f>
        <v>45883.64583</v>
      </c>
      <c r="B99" s="6">
        <f>IFERROR(__xludf.DUMMYFUNCTION("""COMPUTED_VALUE"""),55.79)</f>
        <v>55.79</v>
      </c>
      <c r="C99" s="6">
        <f>IFERROR(__xludf.DUMMYFUNCTION("""COMPUTED_VALUE"""),56.25)</f>
        <v>56.25</v>
      </c>
      <c r="D99" s="6">
        <f>IFERROR(__xludf.DUMMYFUNCTION("""COMPUTED_VALUE"""),54.0)</f>
        <v>54</v>
      </c>
      <c r="E99" s="6">
        <f>IFERROR(__xludf.DUMMYFUNCTION("""COMPUTED_VALUE"""),54.39)</f>
        <v>54.39</v>
      </c>
      <c r="F99" s="6">
        <f>IFERROR(__xludf.DUMMYFUNCTION("""COMPUTED_VALUE"""),1.6667394E7)</f>
        <v>16667394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IFERROR(__xludf.DUMMYFUNCTION("""COMPUTED_VALUE"""),55.1)</f>
        <v>55.1</v>
      </c>
      <c r="C100" s="6">
        <f>IFERROR(__xludf.DUMMYFUNCTION("""COMPUTED_VALUE"""),55.96)</f>
        <v>55.96</v>
      </c>
      <c r="D100" s="6">
        <f>IFERROR(__xludf.DUMMYFUNCTION("""COMPUTED_VALUE"""),54.66)</f>
        <v>54.66</v>
      </c>
      <c r="E100" s="6">
        <f>IFERROR(__xludf.DUMMYFUNCTION("""COMPUTED_VALUE"""),54.8)</f>
        <v>54.8</v>
      </c>
      <c r="F100" s="6">
        <f>IFERROR(__xludf.DUMMYFUNCTION("""COMPUTED_VALUE"""),2.0143328E7)</f>
        <v>20143328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IFERROR(__xludf.DUMMYFUNCTION("""COMPUTED_VALUE"""),54.51)</f>
        <v>54.51</v>
      </c>
      <c r="C101" s="6">
        <f>IFERROR(__xludf.DUMMYFUNCTION("""COMPUTED_VALUE"""),54.97)</f>
        <v>54.97</v>
      </c>
      <c r="D101" s="6">
        <f>IFERROR(__xludf.DUMMYFUNCTION("""COMPUTED_VALUE"""),53.1)</f>
        <v>53.1</v>
      </c>
      <c r="E101" s="6">
        <f>IFERROR(__xludf.DUMMYFUNCTION("""COMPUTED_VALUE"""),53.23)</f>
        <v>53.23</v>
      </c>
      <c r="F101" s="6">
        <f>IFERROR(__xludf.DUMMYFUNCTION("""COMPUTED_VALUE"""),7.3856331E7)</f>
        <v>73856331</v>
      </c>
    </row>
  </sheetData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IFERROR(__xludf.DUMMYFUNCTION("GOOGLEFINANCE(""NSE:MANKIND"",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IFERROR(__xludf.DUMMYFUNCTION("""COMPUTED_VALUE"""),1785.35)</f>
        <v>1785.35</v>
      </c>
      <c r="C2" s="6">
        <f>IFERROR(__xludf.DUMMYFUNCTION("""COMPUTED_VALUE"""),1826.45)</f>
        <v>1826.45</v>
      </c>
      <c r="D2" s="6">
        <f>IFERROR(__xludf.DUMMYFUNCTION("""COMPUTED_VALUE"""),1686.15)</f>
        <v>1686.15</v>
      </c>
      <c r="E2" s="6">
        <f>IFERROR(__xludf.DUMMYFUNCTION("""COMPUTED_VALUE"""),1716.55)</f>
        <v>1716.55</v>
      </c>
      <c r="F2" s="6">
        <f>IFERROR(__xludf.DUMMYFUNCTION("""COMPUTED_VALUE"""),1447526.0)</f>
        <v>1447526</v>
      </c>
    </row>
    <row r="3">
      <c r="A3" s="7">
        <f>IFERROR(__xludf.DUMMYFUNCTION("""COMPUTED_VALUE"""),45177.64583333333)</f>
        <v>45177.64583</v>
      </c>
      <c r="B3" s="6">
        <f>IFERROR(__xludf.DUMMYFUNCTION("""COMPUTED_VALUE"""),1748.0)</f>
        <v>1748</v>
      </c>
      <c r="C3" s="6">
        <f>IFERROR(__xludf.DUMMYFUNCTION("""COMPUTED_VALUE"""),1803.45)</f>
        <v>1803.45</v>
      </c>
      <c r="D3" s="6">
        <f>IFERROR(__xludf.DUMMYFUNCTION("""COMPUTED_VALUE"""),1705.25)</f>
        <v>1705.25</v>
      </c>
      <c r="E3" s="6">
        <f>IFERROR(__xludf.DUMMYFUNCTION("""COMPUTED_VALUE"""),1756.55)</f>
        <v>1756.55</v>
      </c>
      <c r="F3" s="6">
        <f>IFERROR(__xludf.DUMMYFUNCTION("""COMPUTED_VALUE"""),1389238.0)</f>
        <v>1389238</v>
      </c>
    </row>
    <row r="4">
      <c r="A4" s="7">
        <f>IFERROR(__xludf.DUMMYFUNCTION("""COMPUTED_VALUE"""),45184.64583333333)</f>
        <v>45184.64583</v>
      </c>
      <c r="B4" s="6">
        <f>IFERROR(__xludf.DUMMYFUNCTION("""COMPUTED_VALUE"""),1766.5)</f>
        <v>1766.5</v>
      </c>
      <c r="C4" s="6">
        <f>IFERROR(__xludf.DUMMYFUNCTION("""COMPUTED_VALUE"""),1839.9)</f>
        <v>1839.9</v>
      </c>
      <c r="D4" s="6">
        <f>IFERROR(__xludf.DUMMYFUNCTION("""COMPUTED_VALUE"""),1752.05)</f>
        <v>1752.05</v>
      </c>
      <c r="E4" s="6">
        <f>IFERROR(__xludf.DUMMYFUNCTION("""COMPUTED_VALUE"""),1765.65)</f>
        <v>1765.65</v>
      </c>
      <c r="F4" s="6">
        <f>IFERROR(__xludf.DUMMYFUNCTION("""COMPUTED_VALUE"""),1685989.0)</f>
        <v>1685989</v>
      </c>
    </row>
    <row r="5">
      <c r="A5" s="7">
        <f>IFERROR(__xludf.DUMMYFUNCTION("""COMPUTED_VALUE"""),45191.64583333333)</f>
        <v>45191.64583</v>
      </c>
      <c r="B5" s="6">
        <f>IFERROR(__xludf.DUMMYFUNCTION("""COMPUTED_VALUE"""),1770.0)</f>
        <v>1770</v>
      </c>
      <c r="C5" s="6">
        <f>IFERROR(__xludf.DUMMYFUNCTION("""COMPUTED_VALUE"""),1773.4)</f>
        <v>1773.4</v>
      </c>
      <c r="D5" s="6">
        <f>IFERROR(__xludf.DUMMYFUNCTION("""COMPUTED_VALUE"""),1693.6)</f>
        <v>1693.6</v>
      </c>
      <c r="E5" s="6">
        <f>IFERROR(__xludf.DUMMYFUNCTION("""COMPUTED_VALUE"""),1751.8)</f>
        <v>1751.8</v>
      </c>
      <c r="F5" s="6">
        <f>IFERROR(__xludf.DUMMYFUNCTION("""COMPUTED_VALUE"""),914033.0)</f>
        <v>914033</v>
      </c>
    </row>
    <row r="6">
      <c r="A6" s="7">
        <f>IFERROR(__xludf.DUMMYFUNCTION("""COMPUTED_VALUE"""),45198.64583333333)</f>
        <v>45198.64583</v>
      </c>
      <c r="B6" s="6">
        <f>IFERROR(__xludf.DUMMYFUNCTION("""COMPUTED_VALUE"""),1759.9)</f>
        <v>1759.9</v>
      </c>
      <c r="C6" s="6">
        <f>IFERROR(__xludf.DUMMYFUNCTION("""COMPUTED_VALUE"""),1845.0)</f>
        <v>1845</v>
      </c>
      <c r="D6" s="6">
        <f>IFERROR(__xludf.DUMMYFUNCTION("""COMPUTED_VALUE"""),1721.55)</f>
        <v>1721.55</v>
      </c>
      <c r="E6" s="6">
        <f>IFERROR(__xludf.DUMMYFUNCTION("""COMPUTED_VALUE"""),1795.3)</f>
        <v>1795.3</v>
      </c>
      <c r="F6" s="6">
        <f>IFERROR(__xludf.DUMMYFUNCTION("""COMPUTED_VALUE"""),666750.0)</f>
        <v>666750</v>
      </c>
    </row>
    <row r="7">
      <c r="A7" s="7">
        <f>IFERROR(__xludf.DUMMYFUNCTION("""COMPUTED_VALUE"""),45205.64583333333)</f>
        <v>45205.64583</v>
      </c>
      <c r="B7" s="6">
        <f>IFERROR(__xludf.DUMMYFUNCTION("""COMPUTED_VALUE"""),1790.0)</f>
        <v>1790</v>
      </c>
      <c r="C7" s="6">
        <f>IFERROR(__xludf.DUMMYFUNCTION("""COMPUTED_VALUE"""),1818.8)</f>
        <v>1818.8</v>
      </c>
      <c r="D7" s="6">
        <f>IFERROR(__xludf.DUMMYFUNCTION("""COMPUTED_VALUE"""),1746.65)</f>
        <v>1746.65</v>
      </c>
      <c r="E7" s="6">
        <f>IFERROR(__xludf.DUMMYFUNCTION("""COMPUTED_VALUE"""),1799.45)</f>
        <v>1799.45</v>
      </c>
      <c r="F7" s="6">
        <f>IFERROR(__xludf.DUMMYFUNCTION("""COMPUTED_VALUE"""),674424.0)</f>
        <v>674424</v>
      </c>
    </row>
    <row r="8">
      <c r="A8" s="7">
        <f>IFERROR(__xludf.DUMMYFUNCTION("""COMPUTED_VALUE"""),45212.64583333333)</f>
        <v>45212.64583</v>
      </c>
      <c r="B8" s="6">
        <f>IFERROR(__xludf.DUMMYFUNCTION("""COMPUTED_VALUE"""),1800.0)</f>
        <v>1800</v>
      </c>
      <c r="C8" s="6">
        <f>IFERROR(__xludf.DUMMYFUNCTION("""COMPUTED_VALUE"""),1804.8)</f>
        <v>1804.8</v>
      </c>
      <c r="D8" s="6">
        <f>IFERROR(__xludf.DUMMYFUNCTION("""COMPUTED_VALUE"""),1757.25)</f>
        <v>1757.25</v>
      </c>
      <c r="E8" s="6">
        <f>IFERROR(__xludf.DUMMYFUNCTION("""COMPUTED_VALUE"""),1789.4)</f>
        <v>1789.4</v>
      </c>
      <c r="F8" s="6">
        <f>IFERROR(__xludf.DUMMYFUNCTION("""COMPUTED_VALUE"""),309626.0)</f>
        <v>309626</v>
      </c>
    </row>
    <row r="9">
      <c r="A9" s="7">
        <f>IFERROR(__xludf.DUMMYFUNCTION("""COMPUTED_VALUE"""),45219.64583333333)</f>
        <v>45219.64583</v>
      </c>
      <c r="B9" s="6">
        <f>IFERROR(__xludf.DUMMYFUNCTION("""COMPUTED_VALUE"""),1789.85)</f>
        <v>1789.85</v>
      </c>
      <c r="C9" s="6">
        <f>IFERROR(__xludf.DUMMYFUNCTION("""COMPUTED_VALUE"""),1848.0)</f>
        <v>1848</v>
      </c>
      <c r="D9" s="6">
        <f>IFERROR(__xludf.DUMMYFUNCTION("""COMPUTED_VALUE"""),1774.15)</f>
        <v>1774.15</v>
      </c>
      <c r="E9" s="6">
        <f>IFERROR(__xludf.DUMMYFUNCTION("""COMPUTED_VALUE"""),1799.8)</f>
        <v>1799.8</v>
      </c>
      <c r="F9" s="6">
        <f>IFERROR(__xludf.DUMMYFUNCTION("""COMPUTED_VALUE"""),656681.0)</f>
        <v>656681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IFERROR(__xludf.DUMMYFUNCTION("""COMPUTED_VALUE"""),1800.0)</f>
        <v>1800</v>
      </c>
      <c r="C10" s="6">
        <f>IFERROR(__xludf.DUMMYFUNCTION("""COMPUTED_VALUE"""),1807.95)</f>
        <v>1807.95</v>
      </c>
      <c r="D10" s="6">
        <f>IFERROR(__xludf.DUMMYFUNCTION("""COMPUTED_VALUE"""),1690.0)</f>
        <v>1690</v>
      </c>
      <c r="E10" s="6">
        <f>IFERROR(__xludf.DUMMYFUNCTION("""COMPUTED_VALUE"""),1758.85)</f>
        <v>1758.85</v>
      </c>
      <c r="F10" s="6">
        <f>IFERROR(__xludf.DUMMYFUNCTION("""COMPUTED_VALUE"""),664811.0)</f>
        <v>664811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IFERROR(__xludf.DUMMYFUNCTION("""COMPUTED_VALUE"""),1764.8)</f>
        <v>1764.8</v>
      </c>
      <c r="C11" s="6">
        <f>IFERROR(__xludf.DUMMYFUNCTION("""COMPUTED_VALUE"""),1825.0)</f>
        <v>1825</v>
      </c>
      <c r="D11" s="6">
        <f>IFERROR(__xludf.DUMMYFUNCTION("""COMPUTED_VALUE"""),1683.05)</f>
        <v>1683.05</v>
      </c>
      <c r="E11" s="6">
        <f>IFERROR(__xludf.DUMMYFUNCTION("""COMPUTED_VALUE"""),1775.1)</f>
        <v>1775.1</v>
      </c>
      <c r="F11" s="6">
        <f>IFERROR(__xludf.DUMMYFUNCTION("""COMPUTED_VALUE"""),1024575.0)</f>
        <v>1024575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IFERROR(__xludf.DUMMYFUNCTION("""COMPUTED_VALUE"""),1775.0)</f>
        <v>1775</v>
      </c>
      <c r="C12" s="6">
        <f>IFERROR(__xludf.DUMMYFUNCTION("""COMPUTED_VALUE"""),1877.75)</f>
        <v>1877.75</v>
      </c>
      <c r="D12" s="6">
        <f>IFERROR(__xludf.DUMMYFUNCTION("""COMPUTED_VALUE"""),1733.0)</f>
        <v>1733</v>
      </c>
      <c r="E12" s="6">
        <f>IFERROR(__xludf.DUMMYFUNCTION("""COMPUTED_VALUE"""),1833.3)</f>
        <v>1833.3</v>
      </c>
      <c r="F12" s="6">
        <f>IFERROR(__xludf.DUMMYFUNCTION("""COMPUTED_VALUE"""),1489621.0)</f>
        <v>1489621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IFERROR(__xludf.DUMMYFUNCTION("""COMPUTED_VALUE"""),1833.3)</f>
        <v>1833.3</v>
      </c>
      <c r="C13" s="6">
        <f>IFERROR(__xludf.DUMMYFUNCTION("""COMPUTED_VALUE"""),1925.0)</f>
        <v>1925</v>
      </c>
      <c r="D13" s="6">
        <f>IFERROR(__xludf.DUMMYFUNCTION("""COMPUTED_VALUE"""),1823.5)</f>
        <v>1823.5</v>
      </c>
      <c r="E13" s="6">
        <f>IFERROR(__xludf.DUMMYFUNCTION("""COMPUTED_VALUE"""),1920.1)</f>
        <v>1920.1</v>
      </c>
      <c r="F13" s="6">
        <f>IFERROR(__xludf.DUMMYFUNCTION("""COMPUTED_VALUE"""),728539.0)</f>
        <v>728539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IFERROR(__xludf.DUMMYFUNCTION("""COMPUTED_VALUE"""),1949.0)</f>
        <v>1949</v>
      </c>
      <c r="C14" s="6">
        <f>IFERROR(__xludf.DUMMYFUNCTION("""COMPUTED_VALUE"""),2041.15)</f>
        <v>2041.15</v>
      </c>
      <c r="D14" s="6">
        <f>IFERROR(__xludf.DUMMYFUNCTION("""COMPUTED_VALUE"""),1901.0)</f>
        <v>1901</v>
      </c>
      <c r="E14" s="6">
        <f>IFERROR(__xludf.DUMMYFUNCTION("""COMPUTED_VALUE"""),1912.95)</f>
        <v>1912.95</v>
      </c>
      <c r="F14" s="6">
        <f>IFERROR(__xludf.DUMMYFUNCTION("""COMPUTED_VALUE"""),1419244.0)</f>
        <v>1419244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IFERROR(__xludf.DUMMYFUNCTION("""COMPUTED_VALUE"""),1912.95)</f>
        <v>1912.95</v>
      </c>
      <c r="C15" s="6">
        <f>IFERROR(__xludf.DUMMYFUNCTION("""COMPUTED_VALUE"""),1939.0)</f>
        <v>1939</v>
      </c>
      <c r="D15" s="6">
        <f>IFERROR(__xludf.DUMMYFUNCTION("""COMPUTED_VALUE"""),1845.5)</f>
        <v>1845.5</v>
      </c>
      <c r="E15" s="6">
        <f>IFERROR(__xludf.DUMMYFUNCTION("""COMPUTED_VALUE"""),1914.0)</f>
        <v>1914</v>
      </c>
      <c r="F15" s="6">
        <f>IFERROR(__xludf.DUMMYFUNCTION("""COMPUTED_VALUE"""),694722.0)</f>
        <v>694722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IFERROR(__xludf.DUMMYFUNCTION("""COMPUTED_VALUE"""),1944.95)</f>
        <v>1944.95</v>
      </c>
      <c r="C16" s="6">
        <f>IFERROR(__xludf.DUMMYFUNCTION("""COMPUTED_VALUE"""),2016.8)</f>
        <v>2016.8</v>
      </c>
      <c r="D16" s="6">
        <f>IFERROR(__xludf.DUMMYFUNCTION("""COMPUTED_VALUE"""),1889.95)</f>
        <v>1889.95</v>
      </c>
      <c r="E16" s="6">
        <f>IFERROR(__xludf.DUMMYFUNCTION("""COMPUTED_VALUE"""),1952.85)</f>
        <v>1952.85</v>
      </c>
      <c r="F16" s="6">
        <f>IFERROR(__xludf.DUMMYFUNCTION("""COMPUTED_VALUE"""),1323817.0)</f>
        <v>1323817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IFERROR(__xludf.DUMMYFUNCTION("""COMPUTED_VALUE"""),1957.95)</f>
        <v>1957.95</v>
      </c>
      <c r="C17" s="6">
        <f>IFERROR(__xludf.DUMMYFUNCTION("""COMPUTED_VALUE"""),2039.1)</f>
        <v>2039.1</v>
      </c>
      <c r="D17" s="6">
        <f>IFERROR(__xludf.DUMMYFUNCTION("""COMPUTED_VALUE"""),1821.0)</f>
        <v>1821</v>
      </c>
      <c r="E17" s="6">
        <f>IFERROR(__xludf.DUMMYFUNCTION("""COMPUTED_VALUE"""),1892.95)</f>
        <v>1892.95</v>
      </c>
      <c r="F17" s="6">
        <f>IFERROR(__xludf.DUMMYFUNCTION("""COMPUTED_VALUE"""),3.4698122E7)</f>
        <v>34698122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IFERROR(__xludf.DUMMYFUNCTION("""COMPUTED_VALUE"""),1924.0)</f>
        <v>1924</v>
      </c>
      <c r="C18" s="6">
        <f>IFERROR(__xludf.DUMMYFUNCTION("""COMPUTED_VALUE"""),1956.95)</f>
        <v>1956.95</v>
      </c>
      <c r="D18" s="6">
        <f>IFERROR(__xludf.DUMMYFUNCTION("""COMPUTED_VALUE"""),1851.05)</f>
        <v>1851.05</v>
      </c>
      <c r="E18" s="6">
        <f>IFERROR(__xludf.DUMMYFUNCTION("""COMPUTED_VALUE"""),1933.3)</f>
        <v>1933.3</v>
      </c>
      <c r="F18" s="6">
        <f>IFERROR(__xludf.DUMMYFUNCTION("""COMPUTED_VALUE"""),1694118.0)</f>
        <v>1694118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IFERROR(__xludf.DUMMYFUNCTION("""COMPUTED_VALUE"""),1935.0)</f>
        <v>1935</v>
      </c>
      <c r="C19" s="6">
        <f>IFERROR(__xludf.DUMMYFUNCTION("""COMPUTED_VALUE"""),2030.95)</f>
        <v>2030.95</v>
      </c>
      <c r="D19" s="6">
        <f>IFERROR(__xludf.DUMMYFUNCTION("""COMPUTED_VALUE"""),1912.1)</f>
        <v>1912.1</v>
      </c>
      <c r="E19" s="6">
        <f>IFERROR(__xludf.DUMMYFUNCTION("""COMPUTED_VALUE"""),1982.5)</f>
        <v>1982.5</v>
      </c>
      <c r="F19" s="6">
        <f>IFERROR(__xludf.DUMMYFUNCTION("""COMPUTED_VALUE"""),1155390.0)</f>
        <v>1155390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IFERROR(__xludf.DUMMYFUNCTION("""COMPUTED_VALUE"""),1990.0)</f>
        <v>1990</v>
      </c>
      <c r="C20" s="6">
        <f>IFERROR(__xludf.DUMMYFUNCTION("""COMPUTED_VALUE"""),2177.0)</f>
        <v>2177</v>
      </c>
      <c r="D20" s="6">
        <f>IFERROR(__xludf.DUMMYFUNCTION("""COMPUTED_VALUE"""),1967.3)</f>
        <v>1967.3</v>
      </c>
      <c r="E20" s="6">
        <f>IFERROR(__xludf.DUMMYFUNCTION("""COMPUTED_VALUE"""),2057.65)</f>
        <v>2057.65</v>
      </c>
      <c r="F20" s="6">
        <f>IFERROR(__xludf.DUMMYFUNCTION("""COMPUTED_VALUE"""),3117484.0)</f>
        <v>3117484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IFERROR(__xludf.DUMMYFUNCTION("""COMPUTED_VALUE"""),2078.0)</f>
        <v>2078</v>
      </c>
      <c r="C21" s="6">
        <f>IFERROR(__xludf.DUMMYFUNCTION("""COMPUTED_VALUE"""),2261.0)</f>
        <v>2261</v>
      </c>
      <c r="D21" s="6">
        <f>IFERROR(__xludf.DUMMYFUNCTION("""COMPUTED_VALUE"""),1990.0)</f>
        <v>1990</v>
      </c>
      <c r="E21" s="6">
        <f>IFERROR(__xludf.DUMMYFUNCTION("""COMPUTED_VALUE"""),2215.0)</f>
        <v>2215</v>
      </c>
      <c r="F21" s="6">
        <f>IFERROR(__xludf.DUMMYFUNCTION("""COMPUTED_VALUE"""),2885444.0)</f>
        <v>2885444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IFERROR(__xludf.DUMMYFUNCTION("""COMPUTED_VALUE"""),2195.0)</f>
        <v>2195</v>
      </c>
      <c r="C22" s="6">
        <f>IFERROR(__xludf.DUMMYFUNCTION("""COMPUTED_VALUE"""),2205.5)</f>
        <v>2205.5</v>
      </c>
      <c r="D22" s="6">
        <f>IFERROR(__xludf.DUMMYFUNCTION("""COMPUTED_VALUE"""),2025.05)</f>
        <v>2025.05</v>
      </c>
      <c r="E22" s="6">
        <f>IFERROR(__xludf.DUMMYFUNCTION("""COMPUTED_VALUE"""),2030.4)</f>
        <v>2030.4</v>
      </c>
      <c r="F22" s="6">
        <f>IFERROR(__xludf.DUMMYFUNCTION("""COMPUTED_VALUE"""),1130912.0)</f>
        <v>1130912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IFERROR(__xludf.DUMMYFUNCTION("""COMPUTED_VALUE"""),2059.95)</f>
        <v>2059.95</v>
      </c>
      <c r="C23" s="6">
        <f>IFERROR(__xludf.DUMMYFUNCTION("""COMPUTED_VALUE"""),2120.0)</f>
        <v>2120</v>
      </c>
      <c r="D23" s="6">
        <f>IFERROR(__xludf.DUMMYFUNCTION("""COMPUTED_VALUE"""),1980.0)</f>
        <v>1980</v>
      </c>
      <c r="E23" s="6">
        <f>IFERROR(__xludf.DUMMYFUNCTION("""COMPUTED_VALUE"""),2035.25)</f>
        <v>2035.25</v>
      </c>
      <c r="F23" s="6">
        <f>IFERROR(__xludf.DUMMYFUNCTION("""COMPUTED_VALUE"""),3129737.0)</f>
        <v>3129737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IFERROR(__xludf.DUMMYFUNCTION("""COMPUTED_VALUE"""),2075.0)</f>
        <v>2075</v>
      </c>
      <c r="C24" s="6">
        <f>IFERROR(__xludf.DUMMYFUNCTION("""COMPUTED_VALUE"""),2297.4)</f>
        <v>2297.4</v>
      </c>
      <c r="D24" s="6">
        <f>IFERROR(__xludf.DUMMYFUNCTION("""COMPUTED_VALUE"""),2027.0)</f>
        <v>2027</v>
      </c>
      <c r="E24" s="6">
        <f>IFERROR(__xludf.DUMMYFUNCTION("""COMPUTED_VALUE"""),2241.85)</f>
        <v>2241.85</v>
      </c>
      <c r="F24" s="6">
        <f>IFERROR(__xludf.DUMMYFUNCTION("""COMPUTED_VALUE"""),4110631.0)</f>
        <v>4110631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IFERROR(__xludf.DUMMYFUNCTION("""COMPUTED_VALUE"""),2240.0)</f>
        <v>2240</v>
      </c>
      <c r="C25" s="6">
        <f>IFERROR(__xludf.DUMMYFUNCTION("""COMPUTED_VALUE"""),2250.0)</f>
        <v>2250</v>
      </c>
      <c r="D25" s="6">
        <f>IFERROR(__xludf.DUMMYFUNCTION("""COMPUTED_VALUE"""),2126.0)</f>
        <v>2126</v>
      </c>
      <c r="E25" s="6">
        <f>IFERROR(__xludf.DUMMYFUNCTION("""COMPUTED_VALUE"""),2213.75)</f>
        <v>2213.75</v>
      </c>
      <c r="F25" s="6">
        <f>IFERROR(__xludf.DUMMYFUNCTION("""COMPUTED_VALUE"""),1997946.0)</f>
        <v>1997946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IFERROR(__xludf.DUMMYFUNCTION("""COMPUTED_VALUE"""),2249.0)</f>
        <v>2249</v>
      </c>
      <c r="C26" s="6">
        <f>IFERROR(__xludf.DUMMYFUNCTION("""COMPUTED_VALUE"""),2249.0)</f>
        <v>2249</v>
      </c>
      <c r="D26" s="6">
        <f>IFERROR(__xludf.DUMMYFUNCTION("""COMPUTED_VALUE"""),2148.0)</f>
        <v>2148</v>
      </c>
      <c r="E26" s="6">
        <f>IFERROR(__xludf.DUMMYFUNCTION("""COMPUTED_VALUE"""),2154.05)</f>
        <v>2154.05</v>
      </c>
      <c r="F26" s="6">
        <f>IFERROR(__xludf.DUMMYFUNCTION("""COMPUTED_VALUE"""),1503879.0)</f>
        <v>1503879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IFERROR(__xludf.DUMMYFUNCTION("""COMPUTED_VALUE"""),2148.6)</f>
        <v>2148.6</v>
      </c>
      <c r="C27" s="6">
        <f>IFERROR(__xludf.DUMMYFUNCTION("""COMPUTED_VALUE"""),2214.85)</f>
        <v>2214.85</v>
      </c>
      <c r="D27" s="6">
        <f>IFERROR(__xludf.DUMMYFUNCTION("""COMPUTED_VALUE"""),2118.0)</f>
        <v>2118</v>
      </c>
      <c r="E27" s="6">
        <f>IFERROR(__xludf.DUMMYFUNCTION("""COMPUTED_VALUE"""),2154.2)</f>
        <v>2154.2</v>
      </c>
      <c r="F27" s="6">
        <f>IFERROR(__xludf.DUMMYFUNCTION("""COMPUTED_VALUE"""),943287.0)</f>
        <v>943287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IFERROR(__xludf.DUMMYFUNCTION("""COMPUTED_VALUE"""),2168.6)</f>
        <v>2168.6</v>
      </c>
      <c r="C28" s="6">
        <f>IFERROR(__xludf.DUMMYFUNCTION("""COMPUTED_VALUE"""),2240.0)</f>
        <v>2240</v>
      </c>
      <c r="D28" s="6">
        <f>IFERROR(__xludf.DUMMYFUNCTION("""COMPUTED_VALUE"""),2016.55)</f>
        <v>2016.55</v>
      </c>
      <c r="E28" s="6">
        <f>IFERROR(__xludf.DUMMYFUNCTION("""COMPUTED_VALUE"""),2183.75)</f>
        <v>2183.75</v>
      </c>
      <c r="F28" s="6">
        <f>IFERROR(__xludf.DUMMYFUNCTION("""COMPUTED_VALUE"""),2982717.0)</f>
        <v>2982717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IFERROR(__xludf.DUMMYFUNCTION("""COMPUTED_VALUE"""),2190.0)</f>
        <v>2190</v>
      </c>
      <c r="C29" s="6">
        <f>IFERROR(__xludf.DUMMYFUNCTION("""COMPUTED_VALUE"""),2270.0)</f>
        <v>2270</v>
      </c>
      <c r="D29" s="6">
        <f>IFERROR(__xludf.DUMMYFUNCTION("""COMPUTED_VALUE"""),2075.65)</f>
        <v>2075.65</v>
      </c>
      <c r="E29" s="6">
        <f>IFERROR(__xludf.DUMMYFUNCTION("""COMPUTED_VALUE"""),2213.9)</f>
        <v>2213.9</v>
      </c>
      <c r="F29" s="6">
        <f>IFERROR(__xludf.DUMMYFUNCTION("""COMPUTED_VALUE"""),1570340.0)</f>
        <v>1570340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IFERROR(__xludf.DUMMYFUNCTION("""COMPUTED_VALUE"""),2176.1)</f>
        <v>2176.1</v>
      </c>
      <c r="C30" s="6">
        <f>IFERROR(__xludf.DUMMYFUNCTION("""COMPUTED_VALUE"""),2366.35)</f>
        <v>2366.35</v>
      </c>
      <c r="D30" s="6">
        <f>IFERROR(__xludf.DUMMYFUNCTION("""COMPUTED_VALUE"""),2117.0)</f>
        <v>2117</v>
      </c>
      <c r="E30" s="6">
        <f>IFERROR(__xludf.DUMMYFUNCTION("""COMPUTED_VALUE"""),2300.75)</f>
        <v>2300.75</v>
      </c>
      <c r="F30" s="6">
        <f>IFERROR(__xludf.DUMMYFUNCTION("""COMPUTED_VALUE"""),1.9045991E7)</f>
        <v>19045991</v>
      </c>
    </row>
    <row r="31">
      <c r="A31" s="7">
        <f>IFERROR(__xludf.DUMMYFUNCTION("""COMPUTED_VALUE"""),45387.64583333333)</f>
        <v>45387.64583</v>
      </c>
      <c r="B31" s="6">
        <f>IFERROR(__xludf.DUMMYFUNCTION("""COMPUTED_VALUE"""),2312.4)</f>
        <v>2312.4</v>
      </c>
      <c r="C31" s="6">
        <f>IFERROR(__xludf.DUMMYFUNCTION("""COMPUTED_VALUE"""),2410.0)</f>
        <v>2410</v>
      </c>
      <c r="D31" s="6">
        <f>IFERROR(__xludf.DUMMYFUNCTION("""COMPUTED_VALUE"""),2295.0)</f>
        <v>2295</v>
      </c>
      <c r="E31" s="6">
        <f>IFERROR(__xludf.DUMMYFUNCTION("""COMPUTED_VALUE"""),2344.75)</f>
        <v>2344.75</v>
      </c>
      <c r="F31" s="6">
        <f>IFERROR(__xludf.DUMMYFUNCTION("""COMPUTED_VALUE"""),2315287.0)</f>
        <v>2315287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IFERROR(__xludf.DUMMYFUNCTION("""COMPUTED_VALUE"""),2370.0)</f>
        <v>2370</v>
      </c>
      <c r="C32" s="6">
        <f>IFERROR(__xludf.DUMMYFUNCTION("""COMPUTED_VALUE"""),2405.75)</f>
        <v>2405.75</v>
      </c>
      <c r="D32" s="6">
        <f>IFERROR(__xludf.DUMMYFUNCTION("""COMPUTED_VALUE"""),2310.0)</f>
        <v>2310</v>
      </c>
      <c r="E32" s="6">
        <f>IFERROR(__xludf.DUMMYFUNCTION("""COMPUTED_VALUE"""),2320.35)</f>
        <v>2320.35</v>
      </c>
      <c r="F32" s="6">
        <f>IFERROR(__xludf.DUMMYFUNCTION("""COMPUTED_VALUE"""),1227189.0)</f>
        <v>1227189</v>
      </c>
    </row>
    <row r="33">
      <c r="A33" s="7">
        <f>IFERROR(__xludf.DUMMYFUNCTION("""COMPUTED_VALUE"""),45401.64583333333)</f>
        <v>45401.64583</v>
      </c>
      <c r="B33" s="6">
        <f>IFERROR(__xludf.DUMMYFUNCTION("""COMPUTED_VALUE"""),2256.0)</f>
        <v>2256</v>
      </c>
      <c r="C33" s="6">
        <f>IFERROR(__xludf.DUMMYFUNCTION("""COMPUTED_VALUE"""),2420.0)</f>
        <v>2420</v>
      </c>
      <c r="D33" s="6">
        <f>IFERROR(__xludf.DUMMYFUNCTION("""COMPUTED_VALUE"""),2241.1)</f>
        <v>2241.1</v>
      </c>
      <c r="E33" s="6">
        <f>IFERROR(__xludf.DUMMYFUNCTION("""COMPUTED_VALUE"""),2337.45)</f>
        <v>2337.45</v>
      </c>
      <c r="F33" s="6">
        <f>IFERROR(__xludf.DUMMYFUNCTION("""COMPUTED_VALUE"""),1775610.0)</f>
        <v>1775610</v>
      </c>
    </row>
    <row r="34">
      <c r="A34" s="7">
        <f>IFERROR(__xludf.DUMMYFUNCTION("""COMPUTED_VALUE"""),45408.64583333333)</f>
        <v>45408.64583</v>
      </c>
      <c r="B34" s="6">
        <f>IFERROR(__xludf.DUMMYFUNCTION("""COMPUTED_VALUE"""),2341.85)</f>
        <v>2341.85</v>
      </c>
      <c r="C34" s="6">
        <f>IFERROR(__xludf.DUMMYFUNCTION("""COMPUTED_VALUE"""),2490.0)</f>
        <v>2490</v>
      </c>
      <c r="D34" s="6">
        <f>IFERROR(__xludf.DUMMYFUNCTION("""COMPUTED_VALUE"""),2320.05)</f>
        <v>2320.05</v>
      </c>
      <c r="E34" s="6">
        <f>IFERROR(__xludf.DUMMYFUNCTION("""COMPUTED_VALUE"""),2369.0)</f>
        <v>2369</v>
      </c>
      <c r="F34" s="6">
        <f>IFERROR(__xludf.DUMMYFUNCTION("""COMPUTED_VALUE"""),2091104.0)</f>
        <v>2091104</v>
      </c>
    </row>
    <row r="35">
      <c r="A35" s="7">
        <f>IFERROR(__xludf.DUMMYFUNCTION("""COMPUTED_VALUE"""),45415.64583333333)</f>
        <v>45415.64583</v>
      </c>
      <c r="B35" s="6">
        <f>IFERROR(__xludf.DUMMYFUNCTION("""COMPUTED_VALUE"""),2404.95)</f>
        <v>2404.95</v>
      </c>
      <c r="C35" s="6">
        <f>IFERROR(__xludf.DUMMYFUNCTION("""COMPUTED_VALUE"""),2420.0)</f>
        <v>2420</v>
      </c>
      <c r="D35" s="6">
        <f>IFERROR(__xludf.DUMMYFUNCTION("""COMPUTED_VALUE"""),2305.0)</f>
        <v>2305</v>
      </c>
      <c r="E35" s="6">
        <f>IFERROR(__xludf.DUMMYFUNCTION("""COMPUTED_VALUE"""),2314.9)</f>
        <v>2314.9</v>
      </c>
      <c r="F35" s="6">
        <f>IFERROR(__xludf.DUMMYFUNCTION("""COMPUTED_VALUE"""),1004304.0)</f>
        <v>1004304</v>
      </c>
    </row>
    <row r="36">
      <c r="A36" s="7">
        <f>IFERROR(__xludf.DUMMYFUNCTION("""COMPUTED_VALUE"""),45422.64583333333)</f>
        <v>45422.64583</v>
      </c>
      <c r="B36" s="6">
        <f>IFERROR(__xludf.DUMMYFUNCTION("""COMPUTED_VALUE"""),2320.0)</f>
        <v>2320</v>
      </c>
      <c r="C36" s="6">
        <f>IFERROR(__xludf.DUMMYFUNCTION("""COMPUTED_VALUE"""),2320.95)</f>
        <v>2320.95</v>
      </c>
      <c r="D36" s="6">
        <f>IFERROR(__xludf.DUMMYFUNCTION("""COMPUTED_VALUE"""),2140.0)</f>
        <v>2140</v>
      </c>
      <c r="E36" s="6">
        <f>IFERROR(__xludf.DUMMYFUNCTION("""COMPUTED_VALUE"""),2236.75)</f>
        <v>2236.75</v>
      </c>
      <c r="F36" s="6">
        <f>IFERROR(__xludf.DUMMYFUNCTION("""COMPUTED_VALUE"""),2054820.0)</f>
        <v>2054820</v>
      </c>
    </row>
    <row r="37">
      <c r="A37" s="7">
        <f>IFERROR(__xludf.DUMMYFUNCTION("""COMPUTED_VALUE"""),45436.64583333333)</f>
        <v>45436.64583</v>
      </c>
      <c r="B37" s="6">
        <f>IFERROR(__xludf.DUMMYFUNCTION("""COMPUTED_VALUE"""),2111.0)</f>
        <v>2111</v>
      </c>
      <c r="C37" s="6">
        <f>IFERROR(__xludf.DUMMYFUNCTION("""COMPUTED_VALUE"""),2151.0)</f>
        <v>2151</v>
      </c>
      <c r="D37" s="6">
        <f>IFERROR(__xludf.DUMMYFUNCTION("""COMPUTED_VALUE"""),2056.0)</f>
        <v>2056</v>
      </c>
      <c r="E37" s="6">
        <f>IFERROR(__xludf.DUMMYFUNCTION("""COMPUTED_VALUE"""),2062.8)</f>
        <v>2062.8</v>
      </c>
      <c r="F37" s="6">
        <f>IFERROR(__xludf.DUMMYFUNCTION("""COMPUTED_VALUE"""),3438193.0)</f>
        <v>3438193</v>
      </c>
    </row>
    <row r="38">
      <c r="A38" s="7">
        <f>IFERROR(__xludf.DUMMYFUNCTION("""COMPUTED_VALUE"""),45443.64583333333)</f>
        <v>45443.64583</v>
      </c>
      <c r="B38" s="6">
        <f>IFERROR(__xludf.DUMMYFUNCTION("""COMPUTED_VALUE"""),2096.9)</f>
        <v>2096.9</v>
      </c>
      <c r="C38" s="6">
        <f>IFERROR(__xludf.DUMMYFUNCTION("""COMPUTED_VALUE"""),2200.0)</f>
        <v>2200</v>
      </c>
      <c r="D38" s="6">
        <f>IFERROR(__xludf.DUMMYFUNCTION("""COMPUTED_VALUE"""),2063.85)</f>
        <v>2063.85</v>
      </c>
      <c r="E38" s="6">
        <f>IFERROR(__xludf.DUMMYFUNCTION("""COMPUTED_VALUE"""),2139.75)</f>
        <v>2139.75</v>
      </c>
      <c r="F38" s="6">
        <f>IFERROR(__xludf.DUMMYFUNCTION("""COMPUTED_VALUE"""),1.7344655E7)</f>
        <v>17344655</v>
      </c>
    </row>
    <row r="39">
      <c r="A39" s="7">
        <f>IFERROR(__xludf.DUMMYFUNCTION("""COMPUTED_VALUE"""),45450.64583333333)</f>
        <v>45450.64583</v>
      </c>
      <c r="B39" s="6">
        <f>IFERROR(__xludf.DUMMYFUNCTION("""COMPUTED_VALUE"""),2191.0)</f>
        <v>2191</v>
      </c>
      <c r="C39" s="6">
        <f>IFERROR(__xludf.DUMMYFUNCTION("""COMPUTED_VALUE"""),2198.75)</f>
        <v>2198.75</v>
      </c>
      <c r="D39" s="6">
        <f>IFERROR(__xludf.DUMMYFUNCTION("""COMPUTED_VALUE"""),1931.35)</f>
        <v>1931.35</v>
      </c>
      <c r="E39" s="6">
        <f>IFERROR(__xludf.DUMMYFUNCTION("""COMPUTED_VALUE"""),2127.5)</f>
        <v>2127.5</v>
      </c>
      <c r="F39" s="6">
        <f>IFERROR(__xludf.DUMMYFUNCTION("""COMPUTED_VALUE"""),3531947.0)</f>
        <v>3531947</v>
      </c>
    </row>
    <row r="40">
      <c r="A40" s="7">
        <f>IFERROR(__xludf.DUMMYFUNCTION("""COMPUTED_VALUE"""),45457.64583333333)</f>
        <v>45457.64583</v>
      </c>
      <c r="B40" s="6">
        <f>IFERROR(__xludf.DUMMYFUNCTION("""COMPUTED_VALUE"""),2146.8)</f>
        <v>2146.8</v>
      </c>
      <c r="C40" s="6">
        <f>IFERROR(__xludf.DUMMYFUNCTION("""COMPUTED_VALUE"""),2276.0)</f>
        <v>2276</v>
      </c>
      <c r="D40" s="6">
        <f>IFERROR(__xludf.DUMMYFUNCTION("""COMPUTED_VALUE"""),2136.1)</f>
        <v>2136.1</v>
      </c>
      <c r="E40" s="6">
        <f>IFERROR(__xludf.DUMMYFUNCTION("""COMPUTED_VALUE"""),2240.6)</f>
        <v>2240.6</v>
      </c>
      <c r="F40" s="6">
        <f>IFERROR(__xludf.DUMMYFUNCTION("""COMPUTED_VALUE"""),2644267.0)</f>
        <v>2644267</v>
      </c>
    </row>
    <row r="41">
      <c r="A41" s="7">
        <f>IFERROR(__xludf.DUMMYFUNCTION("""COMPUTED_VALUE"""),45464.64583333333)</f>
        <v>45464.64583</v>
      </c>
      <c r="B41" s="6">
        <f>IFERROR(__xludf.DUMMYFUNCTION("""COMPUTED_VALUE"""),2250.95)</f>
        <v>2250.95</v>
      </c>
      <c r="C41" s="6">
        <f>IFERROR(__xludf.DUMMYFUNCTION("""COMPUTED_VALUE"""),2282.75)</f>
        <v>2282.75</v>
      </c>
      <c r="D41" s="6">
        <f>IFERROR(__xludf.DUMMYFUNCTION("""COMPUTED_VALUE"""),2158.1)</f>
        <v>2158.1</v>
      </c>
      <c r="E41" s="6">
        <f>IFERROR(__xludf.DUMMYFUNCTION("""COMPUTED_VALUE"""),2166.35)</f>
        <v>2166.35</v>
      </c>
      <c r="F41" s="6">
        <f>IFERROR(__xludf.DUMMYFUNCTION("""COMPUTED_VALUE"""),1553523.0)</f>
        <v>1553523</v>
      </c>
    </row>
    <row r="42">
      <c r="A42" s="7">
        <f>IFERROR(__xludf.DUMMYFUNCTION("""COMPUTED_VALUE"""),45471.64583333333)</f>
        <v>45471.64583</v>
      </c>
      <c r="B42" s="6">
        <f>IFERROR(__xludf.DUMMYFUNCTION("""COMPUTED_VALUE"""),2176.0)</f>
        <v>2176</v>
      </c>
      <c r="C42" s="6">
        <f>IFERROR(__xludf.DUMMYFUNCTION("""COMPUTED_VALUE"""),2194.95)</f>
        <v>2194.95</v>
      </c>
      <c r="D42" s="6">
        <f>IFERROR(__xludf.DUMMYFUNCTION("""COMPUTED_VALUE"""),2096.0)</f>
        <v>2096</v>
      </c>
      <c r="E42" s="6">
        <f>IFERROR(__xludf.DUMMYFUNCTION("""COMPUTED_VALUE"""),2129.2)</f>
        <v>2129.2</v>
      </c>
      <c r="F42" s="6">
        <f>IFERROR(__xludf.DUMMYFUNCTION("""COMPUTED_VALUE"""),2034871.0)</f>
        <v>2034871</v>
      </c>
    </row>
    <row r="43">
      <c r="A43" s="7">
        <f>IFERROR(__xludf.DUMMYFUNCTION("""COMPUTED_VALUE"""),45478.64583333333)</f>
        <v>45478.64583</v>
      </c>
      <c r="B43" s="6">
        <f>IFERROR(__xludf.DUMMYFUNCTION("""COMPUTED_VALUE"""),2129.2)</f>
        <v>2129.2</v>
      </c>
      <c r="C43" s="6">
        <f>IFERROR(__xludf.DUMMYFUNCTION("""COMPUTED_VALUE"""),2199.65)</f>
        <v>2199.65</v>
      </c>
      <c r="D43" s="6">
        <f>IFERROR(__xludf.DUMMYFUNCTION("""COMPUTED_VALUE"""),2116.35)</f>
        <v>2116.35</v>
      </c>
      <c r="E43" s="6">
        <f>IFERROR(__xludf.DUMMYFUNCTION("""COMPUTED_VALUE"""),2137.85)</f>
        <v>2137.85</v>
      </c>
      <c r="F43" s="6">
        <f>IFERROR(__xludf.DUMMYFUNCTION("""COMPUTED_VALUE"""),1904977.0)</f>
        <v>1904977</v>
      </c>
    </row>
    <row r="44">
      <c r="A44" s="7">
        <f>IFERROR(__xludf.DUMMYFUNCTION("""COMPUTED_VALUE"""),45485.64583333333)</f>
        <v>45485.64583</v>
      </c>
      <c r="B44" s="6">
        <f>IFERROR(__xludf.DUMMYFUNCTION("""COMPUTED_VALUE"""),2137.85)</f>
        <v>2137.85</v>
      </c>
      <c r="C44" s="6">
        <f>IFERROR(__xludf.DUMMYFUNCTION("""COMPUTED_VALUE"""),2214.25)</f>
        <v>2214.25</v>
      </c>
      <c r="D44" s="6">
        <f>IFERROR(__xludf.DUMMYFUNCTION("""COMPUTED_VALUE"""),2055.55)</f>
        <v>2055.55</v>
      </c>
      <c r="E44" s="6">
        <f>IFERROR(__xludf.DUMMYFUNCTION("""COMPUTED_VALUE"""),2152.45)</f>
        <v>2152.45</v>
      </c>
      <c r="F44" s="6">
        <f>IFERROR(__xludf.DUMMYFUNCTION("""COMPUTED_VALUE"""),4506953.0)</f>
        <v>4506953</v>
      </c>
    </row>
    <row r="45">
      <c r="A45" s="7">
        <f>IFERROR(__xludf.DUMMYFUNCTION("""COMPUTED_VALUE"""),45492.64583333333)</f>
        <v>45492.64583</v>
      </c>
      <c r="B45" s="6">
        <f>IFERROR(__xludf.DUMMYFUNCTION("""COMPUTED_VALUE"""),2160.0)</f>
        <v>2160</v>
      </c>
      <c r="C45" s="6">
        <f>IFERROR(__xludf.DUMMYFUNCTION("""COMPUTED_VALUE"""),2173.5)</f>
        <v>2173.5</v>
      </c>
      <c r="D45" s="6">
        <f>IFERROR(__xludf.DUMMYFUNCTION("""COMPUTED_VALUE"""),2110.5)</f>
        <v>2110.5</v>
      </c>
      <c r="E45" s="6">
        <f>IFERROR(__xludf.DUMMYFUNCTION("""COMPUTED_VALUE"""),2129.0)</f>
        <v>2129</v>
      </c>
      <c r="F45" s="6">
        <f>IFERROR(__xludf.DUMMYFUNCTION("""COMPUTED_VALUE"""),1542684.0)</f>
        <v>1542684</v>
      </c>
    </row>
    <row r="46">
      <c r="A46" s="7">
        <f>IFERROR(__xludf.DUMMYFUNCTION("""COMPUTED_VALUE"""),45499.64583333333)</f>
        <v>45499.64583</v>
      </c>
      <c r="B46" s="6">
        <f>IFERROR(__xludf.DUMMYFUNCTION("""COMPUTED_VALUE"""),2121.0)</f>
        <v>2121</v>
      </c>
      <c r="C46" s="6">
        <f>IFERROR(__xludf.DUMMYFUNCTION("""COMPUTED_VALUE"""),2250.0)</f>
        <v>2250</v>
      </c>
      <c r="D46" s="6">
        <f>IFERROR(__xludf.DUMMYFUNCTION("""COMPUTED_VALUE"""),2050.0)</f>
        <v>2050</v>
      </c>
      <c r="E46" s="6">
        <f>IFERROR(__xludf.DUMMYFUNCTION("""COMPUTED_VALUE"""),2055.9)</f>
        <v>2055.9</v>
      </c>
      <c r="F46" s="6">
        <f>IFERROR(__xludf.DUMMYFUNCTION("""COMPUTED_VALUE"""),5007068.0)</f>
        <v>5007068</v>
      </c>
    </row>
    <row r="47">
      <c r="A47" s="7">
        <f>IFERROR(__xludf.DUMMYFUNCTION("""COMPUTED_VALUE"""),45506.64583333333)</f>
        <v>45506.64583</v>
      </c>
      <c r="B47" s="6">
        <f>IFERROR(__xludf.DUMMYFUNCTION("""COMPUTED_VALUE"""),2085.0)</f>
        <v>2085</v>
      </c>
      <c r="C47" s="6">
        <f>IFERROR(__xludf.DUMMYFUNCTION("""COMPUTED_VALUE"""),2104.9)</f>
        <v>2104.9</v>
      </c>
      <c r="D47" s="6">
        <f>IFERROR(__xludf.DUMMYFUNCTION("""COMPUTED_VALUE"""),1960.25)</f>
        <v>1960.25</v>
      </c>
      <c r="E47" s="6">
        <f>IFERROR(__xludf.DUMMYFUNCTION("""COMPUTED_VALUE"""),2000.05)</f>
        <v>2000.05</v>
      </c>
      <c r="F47" s="6">
        <f>IFERROR(__xludf.DUMMYFUNCTION("""COMPUTED_VALUE"""),5687119.0)</f>
        <v>5687119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IFERROR(__xludf.DUMMYFUNCTION("""COMPUTED_VALUE"""),1901.05)</f>
        <v>1901.05</v>
      </c>
      <c r="C48" s="6">
        <f>IFERROR(__xludf.DUMMYFUNCTION("""COMPUTED_VALUE"""),2144.0)</f>
        <v>2144</v>
      </c>
      <c r="D48" s="6">
        <f>IFERROR(__xludf.DUMMYFUNCTION("""COMPUTED_VALUE"""),1901.05)</f>
        <v>1901.05</v>
      </c>
      <c r="E48" s="6">
        <f>IFERROR(__xludf.DUMMYFUNCTION("""COMPUTED_VALUE"""),2136.15)</f>
        <v>2136.15</v>
      </c>
      <c r="F48" s="6">
        <f>IFERROR(__xludf.DUMMYFUNCTION("""COMPUTED_VALUE"""),3521172.0)</f>
        <v>3521172</v>
      </c>
    </row>
    <row r="49">
      <c r="A49" s="7">
        <f>IFERROR(__xludf.DUMMYFUNCTION("""COMPUTED_VALUE"""),45520.64583333333)</f>
        <v>45520.64583</v>
      </c>
      <c r="B49" s="6">
        <f>IFERROR(__xludf.DUMMYFUNCTION("""COMPUTED_VALUE"""),2121.25)</f>
        <v>2121.25</v>
      </c>
      <c r="C49" s="6">
        <f>IFERROR(__xludf.DUMMYFUNCTION("""COMPUTED_VALUE"""),2305.0)</f>
        <v>2305</v>
      </c>
      <c r="D49" s="6">
        <f>IFERROR(__xludf.DUMMYFUNCTION("""COMPUTED_VALUE"""),2096.4)</f>
        <v>2096.4</v>
      </c>
      <c r="E49" s="6">
        <f>IFERROR(__xludf.DUMMYFUNCTION("""COMPUTED_VALUE"""),2300.9)</f>
        <v>2300.9</v>
      </c>
      <c r="F49" s="6">
        <f>IFERROR(__xludf.DUMMYFUNCTION("""COMPUTED_VALUE"""),4399349.0)</f>
        <v>4399349</v>
      </c>
    </row>
    <row r="50">
      <c r="A50" s="7">
        <f>IFERROR(__xludf.DUMMYFUNCTION("""COMPUTED_VALUE"""),45527.64583333333)</f>
        <v>45527.64583</v>
      </c>
      <c r="B50" s="6">
        <f>IFERROR(__xludf.DUMMYFUNCTION("""COMPUTED_VALUE"""),2309.0)</f>
        <v>2309</v>
      </c>
      <c r="C50" s="6">
        <f>IFERROR(__xludf.DUMMYFUNCTION("""COMPUTED_VALUE"""),2386.55)</f>
        <v>2386.55</v>
      </c>
      <c r="D50" s="6">
        <f>IFERROR(__xludf.DUMMYFUNCTION("""COMPUTED_VALUE"""),2270.0)</f>
        <v>2270</v>
      </c>
      <c r="E50" s="6">
        <f>IFERROR(__xludf.DUMMYFUNCTION("""COMPUTED_VALUE"""),2362.45)</f>
        <v>2362.45</v>
      </c>
      <c r="F50" s="6">
        <f>IFERROR(__xludf.DUMMYFUNCTION("""COMPUTED_VALUE"""),2614452.0)</f>
        <v>2614452</v>
      </c>
    </row>
    <row r="51">
      <c r="A51" s="7">
        <f>IFERROR(__xludf.DUMMYFUNCTION("""COMPUTED_VALUE"""),45534.64583333333)</f>
        <v>45534.64583</v>
      </c>
      <c r="B51" s="6">
        <f>IFERROR(__xludf.DUMMYFUNCTION("""COMPUTED_VALUE"""),2368.0)</f>
        <v>2368</v>
      </c>
      <c r="C51" s="6">
        <f>IFERROR(__xludf.DUMMYFUNCTION("""COMPUTED_VALUE"""),2506.1)</f>
        <v>2506.1</v>
      </c>
      <c r="D51" s="6">
        <f>IFERROR(__xludf.DUMMYFUNCTION("""COMPUTED_VALUE"""),2329.3)</f>
        <v>2329.3</v>
      </c>
      <c r="E51" s="6">
        <f>IFERROR(__xludf.DUMMYFUNCTION("""COMPUTED_VALUE"""),2487.75)</f>
        <v>2487.75</v>
      </c>
      <c r="F51" s="6">
        <f>IFERROR(__xludf.DUMMYFUNCTION("""COMPUTED_VALUE"""),2745718.0)</f>
        <v>2745718</v>
      </c>
    </row>
    <row r="52">
      <c r="A52" s="7">
        <f>IFERROR(__xludf.DUMMYFUNCTION("""COMPUTED_VALUE"""),45541.64583333333)</f>
        <v>45541.64583</v>
      </c>
      <c r="B52" s="6">
        <f>IFERROR(__xludf.DUMMYFUNCTION("""COMPUTED_VALUE"""),2521.0)</f>
        <v>2521</v>
      </c>
      <c r="C52" s="6">
        <f>IFERROR(__xludf.DUMMYFUNCTION("""COMPUTED_VALUE"""),2555.4)</f>
        <v>2555.4</v>
      </c>
      <c r="D52" s="6">
        <f>IFERROR(__xludf.DUMMYFUNCTION("""COMPUTED_VALUE"""),2371.0)</f>
        <v>2371</v>
      </c>
      <c r="E52" s="6">
        <f>IFERROR(__xludf.DUMMYFUNCTION("""COMPUTED_VALUE"""),2423.35)</f>
        <v>2423.35</v>
      </c>
      <c r="F52" s="6">
        <f>IFERROR(__xludf.DUMMYFUNCTION("""COMPUTED_VALUE"""),2936927.0)</f>
        <v>2936927</v>
      </c>
    </row>
    <row r="53">
      <c r="A53" s="7">
        <f>IFERROR(__xludf.DUMMYFUNCTION("""COMPUTED_VALUE"""),45548.64583333333)</f>
        <v>45548.64583</v>
      </c>
      <c r="B53" s="6">
        <f>IFERROR(__xludf.DUMMYFUNCTION("""COMPUTED_VALUE"""),2466.0)</f>
        <v>2466</v>
      </c>
      <c r="C53" s="6">
        <f>IFERROR(__xludf.DUMMYFUNCTION("""COMPUTED_VALUE"""),2564.95)</f>
        <v>2564.95</v>
      </c>
      <c r="D53" s="6">
        <f>IFERROR(__xludf.DUMMYFUNCTION("""COMPUTED_VALUE"""),2394.05)</f>
        <v>2394.05</v>
      </c>
      <c r="E53" s="6">
        <f>IFERROR(__xludf.DUMMYFUNCTION("""COMPUTED_VALUE"""),2498.8)</f>
        <v>2498.8</v>
      </c>
      <c r="F53" s="6">
        <f>IFERROR(__xludf.DUMMYFUNCTION("""COMPUTED_VALUE"""),3755896.0)</f>
        <v>3755896</v>
      </c>
    </row>
    <row r="54">
      <c r="A54" s="7">
        <f>IFERROR(__xludf.DUMMYFUNCTION("""COMPUTED_VALUE"""),45555.64583333333)</f>
        <v>45555.64583</v>
      </c>
      <c r="B54" s="6">
        <f>IFERROR(__xludf.DUMMYFUNCTION("""COMPUTED_VALUE"""),2518.8)</f>
        <v>2518.8</v>
      </c>
      <c r="C54" s="6">
        <f>IFERROR(__xludf.DUMMYFUNCTION("""COMPUTED_VALUE"""),2597.0)</f>
        <v>2597</v>
      </c>
      <c r="D54" s="6">
        <f>IFERROR(__xludf.DUMMYFUNCTION("""COMPUTED_VALUE"""),2378.1)</f>
        <v>2378.1</v>
      </c>
      <c r="E54" s="6">
        <f>IFERROR(__xludf.DUMMYFUNCTION("""COMPUTED_VALUE"""),2535.75)</f>
        <v>2535.75</v>
      </c>
      <c r="F54" s="6">
        <f>IFERROR(__xludf.DUMMYFUNCTION("""COMPUTED_VALUE"""),3310512.0)</f>
        <v>3310512</v>
      </c>
    </row>
    <row r="55">
      <c r="A55" s="7">
        <f>IFERROR(__xludf.DUMMYFUNCTION("""COMPUTED_VALUE"""),45562.64583333333)</f>
        <v>45562.64583</v>
      </c>
      <c r="B55" s="6">
        <f>IFERROR(__xludf.DUMMYFUNCTION("""COMPUTED_VALUE"""),2592.9)</f>
        <v>2592.9</v>
      </c>
      <c r="C55" s="6">
        <f>IFERROR(__xludf.DUMMYFUNCTION("""COMPUTED_VALUE"""),2780.0)</f>
        <v>2780</v>
      </c>
      <c r="D55" s="6">
        <f>IFERROR(__xludf.DUMMYFUNCTION("""COMPUTED_VALUE"""),2571.05)</f>
        <v>2571.05</v>
      </c>
      <c r="E55" s="6">
        <f>IFERROR(__xludf.DUMMYFUNCTION("""COMPUTED_VALUE"""),2592.0)</f>
        <v>2592</v>
      </c>
      <c r="F55" s="6">
        <f>IFERROR(__xludf.DUMMYFUNCTION("""COMPUTED_VALUE"""),2689788.0)</f>
        <v>2689788</v>
      </c>
    </row>
    <row r="56">
      <c r="A56" s="7">
        <f>IFERROR(__xludf.DUMMYFUNCTION("""COMPUTED_VALUE"""),45569.64583333333)</f>
        <v>45569.64583</v>
      </c>
      <c r="B56" s="6">
        <f>IFERROR(__xludf.DUMMYFUNCTION("""COMPUTED_VALUE"""),2599.0)</f>
        <v>2599</v>
      </c>
      <c r="C56" s="6">
        <f>IFERROR(__xludf.DUMMYFUNCTION("""COMPUTED_VALUE"""),2620.0)</f>
        <v>2620</v>
      </c>
      <c r="D56" s="6">
        <f>IFERROR(__xludf.DUMMYFUNCTION("""COMPUTED_VALUE"""),2495.95)</f>
        <v>2495.95</v>
      </c>
      <c r="E56" s="6">
        <f>IFERROR(__xludf.DUMMYFUNCTION("""COMPUTED_VALUE"""),2611.65)</f>
        <v>2611.65</v>
      </c>
      <c r="F56" s="6">
        <f>IFERROR(__xludf.DUMMYFUNCTION("""COMPUTED_VALUE"""),1915938.0)</f>
        <v>1915938</v>
      </c>
    </row>
    <row r="57">
      <c r="A57" s="7">
        <f>IFERROR(__xludf.DUMMYFUNCTION("""COMPUTED_VALUE"""),45576.64583333333)</f>
        <v>45576.64583</v>
      </c>
      <c r="B57" s="6">
        <f>IFERROR(__xludf.DUMMYFUNCTION("""COMPUTED_VALUE"""),2594.05)</f>
        <v>2594.05</v>
      </c>
      <c r="C57" s="6">
        <f>IFERROR(__xludf.DUMMYFUNCTION("""COMPUTED_VALUE"""),2811.9)</f>
        <v>2811.9</v>
      </c>
      <c r="D57" s="6">
        <f>IFERROR(__xludf.DUMMYFUNCTION("""COMPUTED_VALUE"""),2475.0)</f>
        <v>2475</v>
      </c>
      <c r="E57" s="6">
        <f>IFERROR(__xludf.DUMMYFUNCTION("""COMPUTED_VALUE"""),2792.55)</f>
        <v>2792.55</v>
      </c>
      <c r="F57" s="6">
        <f>IFERROR(__xludf.DUMMYFUNCTION("""COMPUTED_VALUE"""),1577252.0)</f>
        <v>1577252</v>
      </c>
    </row>
    <row r="58">
      <c r="A58" s="7">
        <f>IFERROR(__xludf.DUMMYFUNCTION("""COMPUTED_VALUE"""),45583.64583333333)</f>
        <v>45583.64583</v>
      </c>
      <c r="B58" s="6">
        <f>IFERROR(__xludf.DUMMYFUNCTION("""COMPUTED_VALUE"""),2828.0)</f>
        <v>2828</v>
      </c>
      <c r="C58" s="6">
        <f>IFERROR(__xludf.DUMMYFUNCTION("""COMPUTED_VALUE"""),2835.0)</f>
        <v>2835</v>
      </c>
      <c r="D58" s="6">
        <f>IFERROR(__xludf.DUMMYFUNCTION("""COMPUTED_VALUE"""),2610.05)</f>
        <v>2610.05</v>
      </c>
      <c r="E58" s="6">
        <f>IFERROR(__xludf.DUMMYFUNCTION("""COMPUTED_VALUE"""),2647.2)</f>
        <v>2647.2</v>
      </c>
      <c r="F58" s="6">
        <f>IFERROR(__xludf.DUMMYFUNCTION("""COMPUTED_VALUE"""),1097208.0)</f>
        <v>1097208</v>
      </c>
    </row>
    <row r="59">
      <c r="A59" s="7">
        <f>IFERROR(__xludf.DUMMYFUNCTION("""COMPUTED_VALUE"""),45590.64583333333)</f>
        <v>45590.64583</v>
      </c>
      <c r="B59" s="6">
        <f>IFERROR(__xludf.DUMMYFUNCTION("""COMPUTED_VALUE"""),2640.1)</f>
        <v>2640.1</v>
      </c>
      <c r="C59" s="6">
        <f>IFERROR(__xludf.DUMMYFUNCTION("""COMPUTED_VALUE"""),2685.15)</f>
        <v>2685.15</v>
      </c>
      <c r="D59" s="6">
        <f>IFERROR(__xludf.DUMMYFUNCTION("""COMPUTED_VALUE"""),2445.0)</f>
        <v>2445</v>
      </c>
      <c r="E59" s="6">
        <f>IFERROR(__xludf.DUMMYFUNCTION("""COMPUTED_VALUE"""),2455.9)</f>
        <v>2455.9</v>
      </c>
      <c r="F59" s="6">
        <f>IFERROR(__xludf.DUMMYFUNCTION("""COMPUTED_VALUE"""),933797.0)</f>
        <v>933797</v>
      </c>
    </row>
    <row r="60">
      <c r="A60" s="7">
        <f>IFERROR(__xludf.DUMMYFUNCTION("""COMPUTED_VALUE"""),45604.64583333333)</f>
        <v>45604.64583</v>
      </c>
      <c r="B60" s="6">
        <f>IFERROR(__xludf.DUMMYFUNCTION("""COMPUTED_VALUE"""),2695.0)</f>
        <v>2695</v>
      </c>
      <c r="C60" s="6">
        <f>IFERROR(__xludf.DUMMYFUNCTION("""COMPUTED_VALUE"""),2874.0)</f>
        <v>2874</v>
      </c>
      <c r="D60" s="6">
        <f>IFERROR(__xludf.DUMMYFUNCTION("""COMPUTED_VALUE"""),2650.05)</f>
        <v>2650.05</v>
      </c>
      <c r="E60" s="6">
        <f>IFERROR(__xludf.DUMMYFUNCTION("""COMPUTED_VALUE"""),2659.5)</f>
        <v>2659.5</v>
      </c>
      <c r="F60" s="6">
        <f>IFERROR(__xludf.DUMMYFUNCTION("""COMPUTED_VALUE"""),2903804.0)</f>
        <v>2903804</v>
      </c>
    </row>
    <row r="61">
      <c r="A61" s="7">
        <f>IFERROR(__xludf.DUMMYFUNCTION("""COMPUTED_VALUE"""),45610.64583333333)</f>
        <v>45610.64583</v>
      </c>
      <c r="B61" s="6">
        <f>IFERROR(__xludf.DUMMYFUNCTION("""COMPUTED_VALUE"""),2662.55)</f>
        <v>2662.55</v>
      </c>
      <c r="C61" s="6">
        <f>IFERROR(__xludf.DUMMYFUNCTION("""COMPUTED_VALUE"""),2689.9)</f>
        <v>2689.9</v>
      </c>
      <c r="D61" s="6">
        <f>IFERROR(__xludf.DUMMYFUNCTION("""COMPUTED_VALUE"""),2506.05)</f>
        <v>2506.05</v>
      </c>
      <c r="E61" s="6">
        <f>IFERROR(__xludf.DUMMYFUNCTION("""COMPUTED_VALUE"""),2597.65)</f>
        <v>2597.65</v>
      </c>
      <c r="F61" s="6">
        <f>IFERROR(__xludf.DUMMYFUNCTION("""COMPUTED_VALUE"""),1167141.0)</f>
        <v>1167141</v>
      </c>
    </row>
    <row r="62">
      <c r="A62" s="7">
        <f>IFERROR(__xludf.DUMMYFUNCTION("""COMPUTED_VALUE"""),45618.64583333333)</f>
        <v>45618.64583</v>
      </c>
      <c r="B62" s="6">
        <f>IFERROR(__xludf.DUMMYFUNCTION("""COMPUTED_VALUE"""),2599.9)</f>
        <v>2599.9</v>
      </c>
      <c r="C62" s="6">
        <f>IFERROR(__xludf.DUMMYFUNCTION("""COMPUTED_VALUE"""),2645.85)</f>
        <v>2645.85</v>
      </c>
      <c r="D62" s="6">
        <f>IFERROR(__xludf.DUMMYFUNCTION("""COMPUTED_VALUE"""),2515.05)</f>
        <v>2515.05</v>
      </c>
      <c r="E62" s="6">
        <f>IFERROR(__xludf.DUMMYFUNCTION("""COMPUTED_VALUE"""),2551.6)</f>
        <v>2551.6</v>
      </c>
      <c r="F62" s="6">
        <f>IFERROR(__xludf.DUMMYFUNCTION("""COMPUTED_VALUE"""),777390.0)</f>
        <v>777390</v>
      </c>
    </row>
    <row r="63">
      <c r="A63" s="7">
        <f>IFERROR(__xludf.DUMMYFUNCTION("""COMPUTED_VALUE"""),45625.64583333333)</f>
        <v>45625.64583</v>
      </c>
      <c r="B63" s="6">
        <f>IFERROR(__xludf.DUMMYFUNCTION("""COMPUTED_VALUE"""),2578.0)</f>
        <v>2578</v>
      </c>
      <c r="C63" s="6">
        <f>IFERROR(__xludf.DUMMYFUNCTION("""COMPUTED_VALUE"""),2666.0)</f>
        <v>2666</v>
      </c>
      <c r="D63" s="6">
        <f>IFERROR(__xludf.DUMMYFUNCTION("""COMPUTED_VALUE"""),2522.7)</f>
        <v>2522.7</v>
      </c>
      <c r="E63" s="6">
        <f>IFERROR(__xludf.DUMMYFUNCTION("""COMPUTED_VALUE"""),2561.2)</f>
        <v>2561.2</v>
      </c>
      <c r="F63" s="6">
        <f>IFERROR(__xludf.DUMMYFUNCTION("""COMPUTED_VALUE"""),1403928.0)</f>
        <v>1403928</v>
      </c>
    </row>
    <row r="64">
      <c r="A64" s="7">
        <f>IFERROR(__xludf.DUMMYFUNCTION("""COMPUTED_VALUE"""),45632.64583333333)</f>
        <v>45632.64583</v>
      </c>
      <c r="B64" s="6">
        <f>IFERROR(__xludf.DUMMYFUNCTION("""COMPUTED_VALUE"""),2543.6)</f>
        <v>2543.6</v>
      </c>
      <c r="C64" s="6">
        <f>IFERROR(__xludf.DUMMYFUNCTION("""COMPUTED_VALUE"""),2639.0)</f>
        <v>2639</v>
      </c>
      <c r="D64" s="6">
        <f>IFERROR(__xludf.DUMMYFUNCTION("""COMPUTED_VALUE"""),2535.4)</f>
        <v>2535.4</v>
      </c>
      <c r="E64" s="6">
        <f>IFERROR(__xludf.DUMMYFUNCTION("""COMPUTED_VALUE"""),2586.45)</f>
        <v>2586.45</v>
      </c>
      <c r="F64" s="6">
        <f>IFERROR(__xludf.DUMMYFUNCTION("""COMPUTED_VALUE"""),1944820.0)</f>
        <v>1944820</v>
      </c>
    </row>
    <row r="65">
      <c r="A65" s="7">
        <f>IFERROR(__xludf.DUMMYFUNCTION("""COMPUTED_VALUE"""),45639.64583333333)</f>
        <v>45639.64583</v>
      </c>
      <c r="B65" s="6">
        <f>IFERROR(__xludf.DUMMYFUNCTION("""COMPUTED_VALUE"""),2595.7)</f>
        <v>2595.7</v>
      </c>
      <c r="C65" s="6">
        <f>IFERROR(__xludf.DUMMYFUNCTION("""COMPUTED_VALUE"""),2719.6)</f>
        <v>2719.6</v>
      </c>
      <c r="D65" s="6">
        <f>IFERROR(__xludf.DUMMYFUNCTION("""COMPUTED_VALUE"""),2570.1)</f>
        <v>2570.1</v>
      </c>
      <c r="E65" s="6">
        <f>IFERROR(__xludf.DUMMYFUNCTION("""COMPUTED_VALUE"""),2641.85)</f>
        <v>2641.85</v>
      </c>
      <c r="F65" s="6">
        <f>IFERROR(__xludf.DUMMYFUNCTION("""COMPUTED_VALUE"""),1970292.0)</f>
        <v>1970292</v>
      </c>
    </row>
    <row r="66">
      <c r="A66" s="7">
        <f>IFERROR(__xludf.DUMMYFUNCTION("""COMPUTED_VALUE"""),45646.64583333333)</f>
        <v>45646.64583</v>
      </c>
      <c r="B66" s="6">
        <f>IFERROR(__xludf.DUMMYFUNCTION("""COMPUTED_VALUE"""),2646.35)</f>
        <v>2646.35</v>
      </c>
      <c r="C66" s="6">
        <f>IFERROR(__xludf.DUMMYFUNCTION("""COMPUTED_VALUE"""),2922.9)</f>
        <v>2922.9</v>
      </c>
      <c r="D66" s="6">
        <f>IFERROR(__xludf.DUMMYFUNCTION("""COMPUTED_VALUE"""),2626.0)</f>
        <v>2626</v>
      </c>
      <c r="E66" s="6">
        <f>IFERROR(__xludf.DUMMYFUNCTION("""COMPUTED_VALUE"""),2805.2)</f>
        <v>2805.2</v>
      </c>
      <c r="F66" s="6">
        <f>IFERROR(__xludf.DUMMYFUNCTION("""COMPUTED_VALUE"""),5123022.0)</f>
        <v>5123022</v>
      </c>
    </row>
    <row r="67">
      <c r="A67" s="7">
        <f>IFERROR(__xludf.DUMMYFUNCTION("""COMPUTED_VALUE"""),45653.64583333333)</f>
        <v>45653.64583</v>
      </c>
      <c r="B67" s="6">
        <f>IFERROR(__xludf.DUMMYFUNCTION("""COMPUTED_VALUE"""),2839.0)</f>
        <v>2839</v>
      </c>
      <c r="C67" s="6">
        <f>IFERROR(__xludf.DUMMYFUNCTION("""COMPUTED_VALUE"""),3054.8)</f>
        <v>3054.8</v>
      </c>
      <c r="D67" s="6">
        <f>IFERROR(__xludf.DUMMYFUNCTION("""COMPUTED_VALUE"""),2782.45)</f>
        <v>2782.45</v>
      </c>
      <c r="E67" s="6">
        <f>IFERROR(__xludf.DUMMYFUNCTION("""COMPUTED_VALUE"""),2871.75)</f>
        <v>2871.75</v>
      </c>
      <c r="F67" s="6">
        <f>IFERROR(__xludf.DUMMYFUNCTION("""COMPUTED_VALUE"""),2946278.0)</f>
        <v>2946278</v>
      </c>
    </row>
    <row r="68">
      <c r="A68" s="7">
        <f>IFERROR(__xludf.DUMMYFUNCTION("""COMPUTED_VALUE"""),45660.64583333333)</f>
        <v>45660.64583</v>
      </c>
      <c r="B68" s="6">
        <f>IFERROR(__xludf.DUMMYFUNCTION("""COMPUTED_VALUE"""),2881.0)</f>
        <v>2881</v>
      </c>
      <c r="C68" s="6">
        <f>IFERROR(__xludf.DUMMYFUNCTION("""COMPUTED_VALUE"""),2962.7)</f>
        <v>2962.7</v>
      </c>
      <c r="D68" s="6">
        <f>IFERROR(__xludf.DUMMYFUNCTION("""COMPUTED_VALUE"""),2840.6)</f>
        <v>2840.6</v>
      </c>
      <c r="E68" s="6">
        <f>IFERROR(__xludf.DUMMYFUNCTION("""COMPUTED_VALUE"""),2937.55)</f>
        <v>2937.55</v>
      </c>
      <c r="F68" s="6">
        <f>IFERROR(__xludf.DUMMYFUNCTION("""COMPUTED_VALUE"""),2075789.0)</f>
        <v>2075789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IFERROR(__xludf.DUMMYFUNCTION("""COMPUTED_VALUE"""),2944.5)</f>
        <v>2944.5</v>
      </c>
      <c r="C69" s="6">
        <f>IFERROR(__xludf.DUMMYFUNCTION("""COMPUTED_VALUE"""),2998.4)</f>
        <v>2998.4</v>
      </c>
      <c r="D69" s="6">
        <f>IFERROR(__xludf.DUMMYFUNCTION("""COMPUTED_VALUE"""),2730.0)</f>
        <v>2730</v>
      </c>
      <c r="E69" s="6">
        <f>IFERROR(__xludf.DUMMYFUNCTION("""COMPUTED_VALUE"""),2739.95)</f>
        <v>2739.95</v>
      </c>
      <c r="F69" s="6">
        <f>IFERROR(__xludf.DUMMYFUNCTION("""COMPUTED_VALUE"""),2406608.0)</f>
        <v>2406608</v>
      </c>
    </row>
    <row r="70">
      <c r="A70" s="7">
        <f>IFERROR(__xludf.DUMMYFUNCTION("""COMPUTED_VALUE"""),45674.64583333333)</f>
        <v>45674.64583</v>
      </c>
      <c r="B70" s="6">
        <f>IFERROR(__xludf.DUMMYFUNCTION("""COMPUTED_VALUE"""),2653.1)</f>
        <v>2653.1</v>
      </c>
      <c r="C70" s="6">
        <f>IFERROR(__xludf.DUMMYFUNCTION("""COMPUTED_VALUE"""),2721.65)</f>
        <v>2721.65</v>
      </c>
      <c r="D70" s="6">
        <f>IFERROR(__xludf.DUMMYFUNCTION("""COMPUTED_VALUE"""),2535.5)</f>
        <v>2535.5</v>
      </c>
      <c r="E70" s="6">
        <f>IFERROR(__xludf.DUMMYFUNCTION("""COMPUTED_VALUE"""),2600.4)</f>
        <v>2600.4</v>
      </c>
      <c r="F70" s="6">
        <f>IFERROR(__xludf.DUMMYFUNCTION("""COMPUTED_VALUE"""),4023541.0)</f>
        <v>4023541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IFERROR(__xludf.DUMMYFUNCTION("""COMPUTED_VALUE"""),2620.0)</f>
        <v>2620</v>
      </c>
      <c r="C71" s="6">
        <f>IFERROR(__xludf.DUMMYFUNCTION("""COMPUTED_VALUE"""),2754.7)</f>
        <v>2754.7</v>
      </c>
      <c r="D71" s="6">
        <f>IFERROR(__xludf.DUMMYFUNCTION("""COMPUTED_VALUE"""),2481.45)</f>
        <v>2481.45</v>
      </c>
      <c r="E71" s="6">
        <f>IFERROR(__xludf.DUMMYFUNCTION("""COMPUTED_VALUE"""),2506.9)</f>
        <v>2506.9</v>
      </c>
      <c r="F71" s="6">
        <f>IFERROR(__xludf.DUMMYFUNCTION("""COMPUTED_VALUE"""),3640764.0)</f>
        <v>3640764</v>
      </c>
    </row>
    <row r="72">
      <c r="A72" s="7">
        <f>IFERROR(__xludf.DUMMYFUNCTION("""COMPUTED_VALUE"""),45695.64583333333)</f>
        <v>45695.64583</v>
      </c>
      <c r="B72" s="6">
        <f>IFERROR(__xludf.DUMMYFUNCTION("""COMPUTED_VALUE"""),2445.0)</f>
        <v>2445</v>
      </c>
      <c r="C72" s="6">
        <f>IFERROR(__xludf.DUMMYFUNCTION("""COMPUTED_VALUE"""),2607.05)</f>
        <v>2607.05</v>
      </c>
      <c r="D72" s="6">
        <f>IFERROR(__xludf.DUMMYFUNCTION("""COMPUTED_VALUE"""),2434.8)</f>
        <v>2434.8</v>
      </c>
      <c r="E72" s="6">
        <f>IFERROR(__xludf.DUMMYFUNCTION("""COMPUTED_VALUE"""),2518.6)</f>
        <v>2518.6</v>
      </c>
      <c r="F72" s="6">
        <f>IFERROR(__xludf.DUMMYFUNCTION("""COMPUTED_VALUE"""),2296988.0)</f>
        <v>2296988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IFERROR(__xludf.DUMMYFUNCTION("""COMPUTED_VALUE"""),2519.2)</f>
        <v>2519.2</v>
      </c>
      <c r="C73" s="6">
        <f>IFERROR(__xludf.DUMMYFUNCTION("""COMPUTED_VALUE"""),2557.45)</f>
        <v>2557.45</v>
      </c>
      <c r="D73" s="6">
        <f>IFERROR(__xludf.DUMMYFUNCTION("""COMPUTED_VALUE"""),2372.7)</f>
        <v>2372.7</v>
      </c>
      <c r="E73" s="6">
        <f>IFERROR(__xludf.DUMMYFUNCTION("""COMPUTED_VALUE"""),2394.35)</f>
        <v>2394.35</v>
      </c>
      <c r="F73" s="6">
        <f>IFERROR(__xludf.DUMMYFUNCTION("""COMPUTED_VALUE"""),3567227.0)</f>
        <v>3567227</v>
      </c>
    </row>
    <row r="74">
      <c r="A74" s="7">
        <f>IFERROR(__xludf.DUMMYFUNCTION("""COMPUTED_VALUE"""),45709.64583333333)</f>
        <v>45709.64583</v>
      </c>
      <c r="B74" s="6">
        <f>IFERROR(__xludf.DUMMYFUNCTION("""COMPUTED_VALUE"""),2370.0)</f>
        <v>2370</v>
      </c>
      <c r="C74" s="6">
        <f>IFERROR(__xludf.DUMMYFUNCTION("""COMPUTED_VALUE"""),2412.75)</f>
        <v>2412.75</v>
      </c>
      <c r="D74" s="6">
        <f>IFERROR(__xludf.DUMMYFUNCTION("""COMPUTED_VALUE"""),2312.05)</f>
        <v>2312.05</v>
      </c>
      <c r="E74" s="6">
        <f>IFERROR(__xludf.DUMMYFUNCTION("""COMPUTED_VALUE"""),2327.75)</f>
        <v>2327.75</v>
      </c>
      <c r="F74" s="6">
        <f>IFERROR(__xludf.DUMMYFUNCTION("""COMPUTED_VALUE"""),2080747.0)</f>
        <v>2080747</v>
      </c>
    </row>
    <row r="75">
      <c r="A75" s="7">
        <f>IFERROR(__xludf.DUMMYFUNCTION("""COMPUTED_VALUE"""),45716.64583333333)</f>
        <v>45716.64583</v>
      </c>
      <c r="B75" s="6">
        <f>IFERROR(__xludf.DUMMYFUNCTION("""COMPUTED_VALUE"""),2318.0)</f>
        <v>2318</v>
      </c>
      <c r="C75" s="6">
        <f>IFERROR(__xludf.DUMMYFUNCTION("""COMPUTED_VALUE"""),2379.05)</f>
        <v>2379.05</v>
      </c>
      <c r="D75" s="6">
        <f>IFERROR(__xludf.DUMMYFUNCTION("""COMPUTED_VALUE"""),2223.0)</f>
        <v>2223</v>
      </c>
      <c r="E75" s="6">
        <f>IFERROR(__xludf.DUMMYFUNCTION("""COMPUTED_VALUE"""),2290.6)</f>
        <v>2290.6</v>
      </c>
      <c r="F75" s="6">
        <f>IFERROR(__xludf.DUMMYFUNCTION("""COMPUTED_VALUE"""),5216224.0)</f>
        <v>5216224</v>
      </c>
    </row>
    <row r="76">
      <c r="A76" s="7">
        <f>IFERROR(__xludf.DUMMYFUNCTION("""COMPUTED_VALUE"""),45723.64583333333)</f>
        <v>45723.64583</v>
      </c>
      <c r="B76" s="6">
        <f>IFERROR(__xludf.DUMMYFUNCTION("""COMPUTED_VALUE"""),2259.4)</f>
        <v>2259.4</v>
      </c>
      <c r="C76" s="6">
        <f>IFERROR(__xludf.DUMMYFUNCTION("""COMPUTED_VALUE"""),2351.95)</f>
        <v>2351.95</v>
      </c>
      <c r="D76" s="6">
        <f>IFERROR(__xludf.DUMMYFUNCTION("""COMPUTED_VALUE"""),2168.2)</f>
        <v>2168.2</v>
      </c>
      <c r="E76" s="6">
        <f>IFERROR(__xludf.DUMMYFUNCTION("""COMPUTED_VALUE"""),2316.05)</f>
        <v>2316.05</v>
      </c>
      <c r="F76" s="6">
        <f>IFERROR(__xludf.DUMMYFUNCTION("""COMPUTED_VALUE"""),2935944.0)</f>
        <v>2935944</v>
      </c>
    </row>
    <row r="77">
      <c r="A77" s="7">
        <f>IFERROR(__xludf.DUMMYFUNCTION("""COMPUTED_VALUE"""),45729.64583333333)</f>
        <v>45729.64583</v>
      </c>
      <c r="B77" s="6">
        <f>IFERROR(__xludf.DUMMYFUNCTION("""COMPUTED_VALUE"""),2326.95)</f>
        <v>2326.95</v>
      </c>
      <c r="C77" s="6">
        <f>IFERROR(__xludf.DUMMYFUNCTION("""COMPUTED_VALUE"""),2326.95)</f>
        <v>2326.95</v>
      </c>
      <c r="D77" s="6">
        <f>IFERROR(__xludf.DUMMYFUNCTION("""COMPUTED_VALUE"""),2132.3)</f>
        <v>2132.3</v>
      </c>
      <c r="E77" s="6">
        <f>IFERROR(__xludf.DUMMYFUNCTION("""COMPUTED_VALUE"""),2201.15)</f>
        <v>2201.15</v>
      </c>
      <c r="F77" s="6">
        <f>IFERROR(__xludf.DUMMYFUNCTION("""COMPUTED_VALUE"""),2455234.0)</f>
        <v>2455234</v>
      </c>
    </row>
    <row r="78">
      <c r="A78" s="7">
        <f>IFERROR(__xludf.DUMMYFUNCTION("""COMPUTED_VALUE"""),45737.64583333333)</f>
        <v>45737.64583</v>
      </c>
      <c r="B78" s="6">
        <f>IFERROR(__xludf.DUMMYFUNCTION("""COMPUTED_VALUE"""),2201.55)</f>
        <v>2201.55</v>
      </c>
      <c r="C78" s="6">
        <f>IFERROR(__xludf.DUMMYFUNCTION("""COMPUTED_VALUE"""),2450.0)</f>
        <v>2450</v>
      </c>
      <c r="D78" s="6">
        <f>IFERROR(__xludf.DUMMYFUNCTION("""COMPUTED_VALUE"""),2115.1)</f>
        <v>2115.1</v>
      </c>
      <c r="E78" s="6">
        <f>IFERROR(__xludf.DUMMYFUNCTION("""COMPUTED_VALUE"""),2415.05)</f>
        <v>2415.05</v>
      </c>
      <c r="F78" s="6">
        <f>IFERROR(__xludf.DUMMYFUNCTION("""COMPUTED_VALUE"""),5096871.0)</f>
        <v>5096871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IFERROR(__xludf.DUMMYFUNCTION("""COMPUTED_VALUE"""),2423.55)</f>
        <v>2423.55</v>
      </c>
      <c r="C79" s="6">
        <f>IFERROR(__xludf.DUMMYFUNCTION("""COMPUTED_VALUE"""),2492.7)</f>
        <v>2492.7</v>
      </c>
      <c r="D79" s="6">
        <f>IFERROR(__xludf.DUMMYFUNCTION("""COMPUTED_VALUE"""),2328.0)</f>
        <v>2328</v>
      </c>
      <c r="E79" s="6">
        <f>IFERROR(__xludf.DUMMYFUNCTION("""COMPUTED_VALUE"""),2424.75)</f>
        <v>2424.75</v>
      </c>
      <c r="F79" s="6">
        <f>IFERROR(__xludf.DUMMYFUNCTION("""COMPUTED_VALUE"""),2404991.0)</f>
        <v>2404991</v>
      </c>
    </row>
    <row r="80">
      <c r="A80" s="7">
        <f>IFERROR(__xludf.DUMMYFUNCTION("""COMPUTED_VALUE"""),45751.64583333333)</f>
        <v>45751.64583</v>
      </c>
      <c r="B80" s="6">
        <f>IFERROR(__xludf.DUMMYFUNCTION("""COMPUTED_VALUE"""),2423.5)</f>
        <v>2423.5</v>
      </c>
      <c r="C80" s="6">
        <f>IFERROR(__xludf.DUMMYFUNCTION("""COMPUTED_VALUE"""),2530.0)</f>
        <v>2530</v>
      </c>
      <c r="D80" s="6">
        <f>IFERROR(__xludf.DUMMYFUNCTION("""COMPUTED_VALUE"""),2397.4)</f>
        <v>2397.4</v>
      </c>
      <c r="E80" s="6">
        <f>IFERROR(__xludf.DUMMYFUNCTION("""COMPUTED_VALUE"""),2451.2)</f>
        <v>2451.2</v>
      </c>
      <c r="F80" s="6">
        <f>IFERROR(__xludf.DUMMYFUNCTION("""COMPUTED_VALUE"""),1521792.0)</f>
        <v>1521792</v>
      </c>
    </row>
    <row r="81">
      <c r="A81" s="7">
        <f>IFERROR(__xludf.DUMMYFUNCTION("""COMPUTED_VALUE"""),45758.64583333333)</f>
        <v>45758.64583</v>
      </c>
      <c r="B81" s="6">
        <f>IFERROR(__xludf.DUMMYFUNCTION("""COMPUTED_VALUE"""),2362.0)</f>
        <v>2362</v>
      </c>
      <c r="C81" s="6">
        <f>IFERROR(__xludf.DUMMYFUNCTION("""COMPUTED_VALUE"""),2453.05)</f>
        <v>2453.05</v>
      </c>
      <c r="D81" s="6">
        <f>IFERROR(__xludf.DUMMYFUNCTION("""COMPUTED_VALUE"""),2292.75)</f>
        <v>2292.75</v>
      </c>
      <c r="E81" s="6">
        <f>IFERROR(__xludf.DUMMYFUNCTION("""COMPUTED_VALUE"""),2350.5)</f>
        <v>2350.5</v>
      </c>
      <c r="F81" s="6">
        <f>IFERROR(__xludf.DUMMYFUNCTION("""COMPUTED_VALUE"""),2273777.0)</f>
        <v>2273777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IFERROR(__xludf.DUMMYFUNCTION("""COMPUTED_VALUE"""),2420.0)</f>
        <v>2420</v>
      </c>
      <c r="C82" s="6">
        <f>IFERROR(__xludf.DUMMYFUNCTION("""COMPUTED_VALUE"""),2600.0)</f>
        <v>2600</v>
      </c>
      <c r="D82" s="6">
        <f>IFERROR(__xludf.DUMMYFUNCTION("""COMPUTED_VALUE"""),2391.0)</f>
        <v>2391</v>
      </c>
      <c r="E82" s="6">
        <f>IFERROR(__xludf.DUMMYFUNCTION("""COMPUTED_VALUE"""),2581.6)</f>
        <v>2581.6</v>
      </c>
      <c r="F82" s="6">
        <f>IFERROR(__xludf.DUMMYFUNCTION("""COMPUTED_VALUE"""),1615491.0)</f>
        <v>1615491</v>
      </c>
    </row>
    <row r="83">
      <c r="A83" s="7">
        <f>IFERROR(__xludf.DUMMYFUNCTION("""COMPUTED_VALUE"""),45772.64583333333)</f>
        <v>45772.64583</v>
      </c>
      <c r="B83" s="6">
        <f>IFERROR(__xludf.DUMMYFUNCTION("""COMPUTED_VALUE"""),2586.3)</f>
        <v>2586.3</v>
      </c>
      <c r="C83" s="6">
        <f>IFERROR(__xludf.DUMMYFUNCTION("""COMPUTED_VALUE"""),2642.2)</f>
        <v>2642.2</v>
      </c>
      <c r="D83" s="6">
        <f>IFERROR(__xludf.DUMMYFUNCTION("""COMPUTED_VALUE"""),2521.7)</f>
        <v>2521.7</v>
      </c>
      <c r="E83" s="6">
        <f>IFERROR(__xludf.DUMMYFUNCTION("""COMPUTED_VALUE"""),2557.5)</f>
        <v>2557.5</v>
      </c>
      <c r="F83" s="6">
        <f>IFERROR(__xludf.DUMMYFUNCTION("""COMPUTED_VALUE"""),2057088.0)</f>
        <v>2057088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IFERROR(__xludf.DUMMYFUNCTION("""COMPUTED_VALUE"""),2537.5)</f>
        <v>2537.5</v>
      </c>
      <c r="C84" s="6">
        <f>IFERROR(__xludf.DUMMYFUNCTION("""COMPUTED_VALUE"""),2598.5)</f>
        <v>2598.5</v>
      </c>
      <c r="D84" s="6">
        <f>IFERROR(__xludf.DUMMYFUNCTION("""COMPUTED_VALUE"""),2358.7)</f>
        <v>2358.7</v>
      </c>
      <c r="E84" s="6">
        <f>IFERROR(__xludf.DUMMYFUNCTION("""COMPUTED_VALUE"""),2385.8)</f>
        <v>2385.8</v>
      </c>
      <c r="F84" s="6">
        <f>IFERROR(__xludf.DUMMYFUNCTION("""COMPUTED_VALUE"""),1279250.0)</f>
        <v>1279250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IFERROR(__xludf.DUMMYFUNCTION("""COMPUTED_VALUE"""),2392.7)</f>
        <v>2392.7</v>
      </c>
      <c r="C85" s="6">
        <f>IFERROR(__xludf.DUMMYFUNCTION("""COMPUTED_VALUE"""),2478.7)</f>
        <v>2478.7</v>
      </c>
      <c r="D85" s="6">
        <f>IFERROR(__xludf.DUMMYFUNCTION("""COMPUTED_VALUE"""),2330.0)</f>
        <v>2330</v>
      </c>
      <c r="E85" s="6">
        <f>IFERROR(__xludf.DUMMYFUNCTION("""COMPUTED_VALUE"""),2408.2)</f>
        <v>2408.2</v>
      </c>
      <c r="F85" s="6">
        <f>IFERROR(__xludf.DUMMYFUNCTION("""COMPUTED_VALUE"""),1466484.0)</f>
        <v>1466484</v>
      </c>
    </row>
    <row r="86">
      <c r="A86" s="7">
        <f>IFERROR(__xludf.DUMMYFUNCTION("""COMPUTED_VALUE"""),45793.64583333333)</f>
        <v>45793.64583</v>
      </c>
      <c r="B86" s="6">
        <f>IFERROR(__xludf.DUMMYFUNCTION("""COMPUTED_VALUE"""),2459.9)</f>
        <v>2459.9</v>
      </c>
      <c r="C86" s="6">
        <f>IFERROR(__xludf.DUMMYFUNCTION("""COMPUTED_VALUE"""),2580.0)</f>
        <v>2580</v>
      </c>
      <c r="D86" s="6">
        <f>IFERROR(__xludf.DUMMYFUNCTION("""COMPUTED_VALUE"""),2444.0)</f>
        <v>2444</v>
      </c>
      <c r="E86" s="6">
        <f>IFERROR(__xludf.DUMMYFUNCTION("""COMPUTED_VALUE"""),2572.7)</f>
        <v>2572.7</v>
      </c>
      <c r="F86" s="6">
        <f>IFERROR(__xludf.DUMMYFUNCTION("""COMPUTED_VALUE"""),1478516.0)</f>
        <v>1478516</v>
      </c>
    </row>
    <row r="87">
      <c r="A87" s="7">
        <f>IFERROR(__xludf.DUMMYFUNCTION("""COMPUTED_VALUE"""),45800.64583333333)</f>
        <v>45800.64583</v>
      </c>
      <c r="B87" s="6">
        <f>IFERROR(__xludf.DUMMYFUNCTION("""COMPUTED_VALUE"""),2580.0)</f>
        <v>2580</v>
      </c>
      <c r="C87" s="6">
        <f>IFERROR(__xludf.DUMMYFUNCTION("""COMPUTED_VALUE"""),2610.0)</f>
        <v>2610</v>
      </c>
      <c r="D87" s="6">
        <f>IFERROR(__xludf.DUMMYFUNCTION("""COMPUTED_VALUE"""),2411.5)</f>
        <v>2411.5</v>
      </c>
      <c r="E87" s="6">
        <f>IFERROR(__xludf.DUMMYFUNCTION("""COMPUTED_VALUE"""),2432.4)</f>
        <v>2432.4</v>
      </c>
      <c r="F87" s="6">
        <f>IFERROR(__xludf.DUMMYFUNCTION("""COMPUTED_VALUE"""),2056228.0)</f>
        <v>2056228</v>
      </c>
    </row>
    <row r="88">
      <c r="A88" s="7">
        <f>IFERROR(__xludf.DUMMYFUNCTION("""COMPUTED_VALUE"""),45807.64583333333)</f>
        <v>45807.64583</v>
      </c>
      <c r="B88" s="6">
        <f>IFERROR(__xludf.DUMMYFUNCTION("""COMPUTED_VALUE"""),2445.0)</f>
        <v>2445</v>
      </c>
      <c r="C88" s="6">
        <f>IFERROR(__xludf.DUMMYFUNCTION("""COMPUTED_VALUE"""),2548.0)</f>
        <v>2548</v>
      </c>
      <c r="D88" s="6">
        <f>IFERROR(__xludf.DUMMYFUNCTION("""COMPUTED_VALUE"""),2420.2)</f>
        <v>2420.2</v>
      </c>
      <c r="E88" s="6">
        <f>IFERROR(__xludf.DUMMYFUNCTION("""COMPUTED_VALUE"""),2467.7)</f>
        <v>2467.7</v>
      </c>
      <c r="F88" s="6">
        <f>IFERROR(__xludf.DUMMYFUNCTION("""COMPUTED_VALUE"""),1585741.0)</f>
        <v>1585741</v>
      </c>
    </row>
    <row r="89">
      <c r="A89" s="7">
        <f>IFERROR(__xludf.DUMMYFUNCTION("""COMPUTED_VALUE"""),45814.64583333333)</f>
        <v>45814.64583</v>
      </c>
      <c r="B89" s="6">
        <f>IFERROR(__xludf.DUMMYFUNCTION("""COMPUTED_VALUE"""),2466.0)</f>
        <v>2466</v>
      </c>
      <c r="C89" s="6">
        <f>IFERROR(__xludf.DUMMYFUNCTION("""COMPUTED_VALUE"""),2471.9)</f>
        <v>2471.9</v>
      </c>
      <c r="D89" s="6">
        <f>IFERROR(__xludf.DUMMYFUNCTION("""COMPUTED_VALUE"""),2335.0)</f>
        <v>2335</v>
      </c>
      <c r="E89" s="6">
        <f>IFERROR(__xludf.DUMMYFUNCTION("""COMPUTED_VALUE"""),2352.4)</f>
        <v>2352.4</v>
      </c>
      <c r="F89" s="6">
        <f>IFERROR(__xludf.DUMMYFUNCTION("""COMPUTED_VALUE"""),1827828.0)</f>
        <v>1827828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IFERROR(__xludf.DUMMYFUNCTION("""COMPUTED_VALUE"""),2367.9)</f>
        <v>2367.9</v>
      </c>
      <c r="C90" s="6">
        <f>IFERROR(__xludf.DUMMYFUNCTION("""COMPUTED_VALUE"""),2440.0)</f>
        <v>2440</v>
      </c>
      <c r="D90" s="6">
        <f>IFERROR(__xludf.DUMMYFUNCTION("""COMPUTED_VALUE"""),2344.1)</f>
        <v>2344.1</v>
      </c>
      <c r="E90" s="6">
        <f>IFERROR(__xludf.DUMMYFUNCTION("""COMPUTED_VALUE"""),2381.3)</f>
        <v>2381.3</v>
      </c>
      <c r="F90" s="6">
        <f>IFERROR(__xludf.DUMMYFUNCTION("""COMPUTED_VALUE"""),2013528.0)</f>
        <v>2013528</v>
      </c>
    </row>
    <row r="91">
      <c r="A91" s="7">
        <f>IFERROR(__xludf.DUMMYFUNCTION("""COMPUTED_VALUE"""),45828.64583333333)</f>
        <v>45828.64583</v>
      </c>
      <c r="B91" s="6">
        <f>IFERROR(__xludf.DUMMYFUNCTION("""COMPUTED_VALUE"""),2380.0)</f>
        <v>2380</v>
      </c>
      <c r="C91" s="6">
        <f>IFERROR(__xludf.DUMMYFUNCTION("""COMPUTED_VALUE"""),2383.7)</f>
        <v>2383.7</v>
      </c>
      <c r="D91" s="6">
        <f>IFERROR(__xludf.DUMMYFUNCTION("""COMPUTED_VALUE"""),2284.0)</f>
        <v>2284</v>
      </c>
      <c r="E91" s="6">
        <f>IFERROR(__xludf.DUMMYFUNCTION("""COMPUTED_VALUE"""),2288.8)</f>
        <v>2288.8</v>
      </c>
      <c r="F91" s="6">
        <f>IFERROR(__xludf.DUMMYFUNCTION("""COMPUTED_VALUE"""),2280618.0)</f>
        <v>2280618</v>
      </c>
    </row>
    <row r="92">
      <c r="A92" s="7">
        <f>IFERROR(__xludf.DUMMYFUNCTION("""COMPUTED_VALUE"""),45835.64583333333)</f>
        <v>45835.64583</v>
      </c>
      <c r="B92" s="6">
        <f>IFERROR(__xludf.DUMMYFUNCTION("""COMPUTED_VALUE"""),2288.8)</f>
        <v>2288.8</v>
      </c>
      <c r="C92" s="6">
        <f>IFERROR(__xludf.DUMMYFUNCTION("""COMPUTED_VALUE"""),2360.9)</f>
        <v>2360.9</v>
      </c>
      <c r="D92" s="6">
        <f>IFERROR(__xludf.DUMMYFUNCTION("""COMPUTED_VALUE"""),2279.4)</f>
        <v>2279.4</v>
      </c>
      <c r="E92" s="6">
        <f>IFERROR(__xludf.DUMMYFUNCTION("""COMPUTED_VALUE"""),2333.4)</f>
        <v>2333.4</v>
      </c>
      <c r="F92" s="6">
        <f>IFERROR(__xludf.DUMMYFUNCTION("""COMPUTED_VALUE"""),1455390.0)</f>
        <v>1455390</v>
      </c>
    </row>
    <row r="93">
      <c r="A93" s="7">
        <f>IFERROR(__xludf.DUMMYFUNCTION("""COMPUTED_VALUE"""),45842.64583333333)</f>
        <v>45842.64583</v>
      </c>
      <c r="B93" s="6">
        <f>IFERROR(__xludf.DUMMYFUNCTION("""COMPUTED_VALUE"""),2345.0)</f>
        <v>2345</v>
      </c>
      <c r="C93" s="6">
        <f>IFERROR(__xludf.DUMMYFUNCTION("""COMPUTED_VALUE"""),2462.5)</f>
        <v>2462.5</v>
      </c>
      <c r="D93" s="6">
        <f>IFERROR(__xludf.DUMMYFUNCTION("""COMPUTED_VALUE"""),2258.0)</f>
        <v>2258</v>
      </c>
      <c r="E93" s="6">
        <f>IFERROR(__xludf.DUMMYFUNCTION("""COMPUTED_VALUE"""),2439.5)</f>
        <v>2439.5</v>
      </c>
      <c r="F93" s="6">
        <f>IFERROR(__xludf.DUMMYFUNCTION("""COMPUTED_VALUE"""),6065407.0)</f>
        <v>6065407</v>
      </c>
    </row>
    <row r="94">
      <c r="A94" s="7">
        <f>IFERROR(__xludf.DUMMYFUNCTION("""COMPUTED_VALUE"""),45849.64583333333)</f>
        <v>45849.64583</v>
      </c>
      <c r="B94" s="6">
        <f>IFERROR(__xludf.DUMMYFUNCTION("""COMPUTED_VALUE"""),2442.5)</f>
        <v>2442.5</v>
      </c>
      <c r="C94" s="6">
        <f>IFERROR(__xludf.DUMMYFUNCTION("""COMPUTED_VALUE"""),2678.0)</f>
        <v>2678</v>
      </c>
      <c r="D94" s="6">
        <f>IFERROR(__xludf.DUMMYFUNCTION("""COMPUTED_VALUE"""),2407.9)</f>
        <v>2407.9</v>
      </c>
      <c r="E94" s="6">
        <f>IFERROR(__xludf.DUMMYFUNCTION("""COMPUTED_VALUE"""),2578.3)</f>
        <v>2578.3</v>
      </c>
      <c r="F94" s="6">
        <f>IFERROR(__xludf.DUMMYFUNCTION("""COMPUTED_VALUE"""),5662322.0)</f>
        <v>5662322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IFERROR(__xludf.DUMMYFUNCTION("""COMPUTED_VALUE"""),2519.6)</f>
        <v>2519.6</v>
      </c>
      <c r="C95" s="6">
        <f>IFERROR(__xludf.DUMMYFUNCTION("""COMPUTED_VALUE"""),2716.5)</f>
        <v>2716.5</v>
      </c>
      <c r="D95" s="6">
        <f>IFERROR(__xludf.DUMMYFUNCTION("""COMPUTED_VALUE"""),2519.6)</f>
        <v>2519.6</v>
      </c>
      <c r="E95" s="6">
        <f>IFERROR(__xludf.DUMMYFUNCTION("""COMPUTED_VALUE"""),2652.3)</f>
        <v>2652.3</v>
      </c>
      <c r="F95" s="6">
        <f>IFERROR(__xludf.DUMMYFUNCTION("""COMPUTED_VALUE"""),4418989.0)</f>
        <v>4418989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IFERROR(__xludf.DUMMYFUNCTION("""COMPUTED_VALUE"""),2694.9)</f>
        <v>2694.9</v>
      </c>
      <c r="C96" s="6">
        <f>IFERROR(__xludf.DUMMYFUNCTION("""COMPUTED_VALUE"""),2694.9)</f>
        <v>2694.9</v>
      </c>
      <c r="D96" s="6">
        <f>IFERROR(__xludf.DUMMYFUNCTION("""COMPUTED_VALUE"""),2549.0)</f>
        <v>2549</v>
      </c>
      <c r="E96" s="6">
        <f>IFERROR(__xludf.DUMMYFUNCTION("""COMPUTED_VALUE"""),2603.4)</f>
        <v>2603.4</v>
      </c>
      <c r="F96" s="6">
        <f>IFERROR(__xludf.DUMMYFUNCTION("""COMPUTED_VALUE"""),2523299.0)</f>
        <v>2523299</v>
      </c>
    </row>
    <row r="97">
      <c r="A97" s="7">
        <f>IFERROR(__xludf.DUMMYFUNCTION("""COMPUTED_VALUE"""),45870.64583333333)</f>
        <v>45870.64583</v>
      </c>
      <c r="B97" s="6">
        <f>IFERROR(__xludf.DUMMYFUNCTION("""COMPUTED_VALUE"""),2598.9)</f>
        <v>2598.9</v>
      </c>
      <c r="C97" s="6">
        <f>IFERROR(__xludf.DUMMYFUNCTION("""COMPUTED_VALUE"""),2652.7)</f>
        <v>2652.7</v>
      </c>
      <c r="D97" s="6">
        <f>IFERROR(__xludf.DUMMYFUNCTION("""COMPUTED_VALUE"""),2517.0)</f>
        <v>2517</v>
      </c>
      <c r="E97" s="6">
        <f>IFERROR(__xludf.DUMMYFUNCTION("""COMPUTED_VALUE"""),2566.3)</f>
        <v>2566.3</v>
      </c>
      <c r="F97" s="6">
        <f>IFERROR(__xludf.DUMMYFUNCTION("""COMPUTED_VALUE"""),2655977.0)</f>
        <v>2655977</v>
      </c>
    </row>
    <row r="98">
      <c r="A98" s="7">
        <f>IFERROR(__xludf.DUMMYFUNCTION("""COMPUTED_VALUE"""),45877.64583333333)</f>
        <v>45877.64583</v>
      </c>
      <c r="B98" s="6">
        <f>IFERROR(__xludf.DUMMYFUNCTION("""COMPUTED_VALUE"""),2566.3)</f>
        <v>2566.3</v>
      </c>
      <c r="C98" s="6">
        <f>IFERROR(__xludf.DUMMYFUNCTION("""COMPUTED_VALUE"""),2661.5)</f>
        <v>2661.5</v>
      </c>
      <c r="D98" s="6">
        <f>IFERROR(__xludf.DUMMYFUNCTION("""COMPUTED_VALUE"""),2455.1)</f>
        <v>2455.1</v>
      </c>
      <c r="E98" s="6">
        <f>IFERROR(__xludf.DUMMYFUNCTION("""COMPUTED_VALUE"""),2467.1)</f>
        <v>2467.1</v>
      </c>
      <c r="F98" s="6">
        <f>IFERROR(__xludf.DUMMYFUNCTION("""COMPUTED_VALUE"""),2833897.0)</f>
        <v>2833897</v>
      </c>
    </row>
    <row r="99">
      <c r="A99" s="7">
        <f>IFERROR(__xludf.DUMMYFUNCTION("""COMPUTED_VALUE"""),45883.64583333333)</f>
        <v>45883.64583</v>
      </c>
      <c r="B99" s="6">
        <f>IFERROR(__xludf.DUMMYFUNCTION("""COMPUTED_VALUE"""),2460.0)</f>
        <v>2460</v>
      </c>
      <c r="C99" s="6">
        <f>IFERROR(__xludf.DUMMYFUNCTION("""COMPUTED_VALUE"""),2561.0)</f>
        <v>2561</v>
      </c>
      <c r="D99" s="6">
        <f>IFERROR(__xludf.DUMMYFUNCTION("""COMPUTED_VALUE"""),2410.0)</f>
        <v>2410</v>
      </c>
      <c r="E99" s="6">
        <f>IFERROR(__xludf.DUMMYFUNCTION("""COMPUTED_VALUE"""),2472.6)</f>
        <v>2472.6</v>
      </c>
      <c r="F99" s="6">
        <f>IFERROR(__xludf.DUMMYFUNCTION("""COMPUTED_VALUE"""),2443960.0)</f>
        <v>2443960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IFERROR(__xludf.DUMMYFUNCTION("""COMPUTED_VALUE"""),2496.5)</f>
        <v>2496.5</v>
      </c>
      <c r="C100" s="6">
        <f>IFERROR(__xludf.DUMMYFUNCTION("""COMPUTED_VALUE"""),2651.5)</f>
        <v>2651.5</v>
      </c>
      <c r="D100" s="6">
        <f>IFERROR(__xludf.DUMMYFUNCTION("""COMPUTED_VALUE"""),2461.0)</f>
        <v>2461</v>
      </c>
      <c r="E100" s="6">
        <f>IFERROR(__xludf.DUMMYFUNCTION("""COMPUTED_VALUE"""),2606.8)</f>
        <v>2606.8</v>
      </c>
      <c r="F100" s="6">
        <f>IFERROR(__xludf.DUMMYFUNCTION("""COMPUTED_VALUE"""),3346996.0)</f>
        <v>3346996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IFERROR(__xludf.DUMMYFUNCTION("""COMPUTED_VALUE"""),2614.6)</f>
        <v>2614.6</v>
      </c>
      <c r="C101" s="6">
        <f>IFERROR(__xludf.DUMMYFUNCTION("""COMPUTED_VALUE"""),2626.4)</f>
        <v>2626.4</v>
      </c>
      <c r="D101" s="6">
        <f>IFERROR(__xludf.DUMMYFUNCTION("""COMPUTED_VALUE"""),2488.0)</f>
        <v>2488</v>
      </c>
      <c r="E101" s="6">
        <f>IFERROR(__xludf.DUMMYFUNCTION("""COMPUTED_VALUE"""),2502.0)</f>
        <v>2502</v>
      </c>
      <c r="F101" s="6">
        <f>IFERROR(__xludf.DUMMYFUNCTION("""COMPUTED_VALUE"""),6973054.0)</f>
        <v>6973054</v>
      </c>
    </row>
  </sheetData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IFERROR(__xludf.DUMMYFUNCTION("GOOGLEFINANCE(""NSE:MARICO"",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IFERROR(__xludf.DUMMYFUNCTION("""COMPUTED_VALUE"""),560.2)</f>
        <v>560.2</v>
      </c>
      <c r="C2" s="6">
        <f>IFERROR(__xludf.DUMMYFUNCTION("""COMPUTED_VALUE"""),575.95)</f>
        <v>575.95</v>
      </c>
      <c r="D2" s="6">
        <f>IFERROR(__xludf.DUMMYFUNCTION("""COMPUTED_VALUE"""),552.2)</f>
        <v>552.2</v>
      </c>
      <c r="E2" s="6">
        <f>IFERROR(__xludf.DUMMYFUNCTION("""COMPUTED_VALUE"""),569.35)</f>
        <v>569.35</v>
      </c>
      <c r="F2" s="6">
        <f>IFERROR(__xludf.DUMMYFUNCTION("""COMPUTED_VALUE"""),1.0130948E7)</f>
        <v>10130948</v>
      </c>
    </row>
    <row r="3">
      <c r="A3" s="7">
        <f>IFERROR(__xludf.DUMMYFUNCTION("""COMPUTED_VALUE"""),45177.64583333333)</f>
        <v>45177.64583</v>
      </c>
      <c r="B3" s="6">
        <f>IFERROR(__xludf.DUMMYFUNCTION("""COMPUTED_VALUE"""),569.35)</f>
        <v>569.35</v>
      </c>
      <c r="C3" s="6">
        <f>IFERROR(__xludf.DUMMYFUNCTION("""COMPUTED_VALUE"""),591.2)</f>
        <v>591.2</v>
      </c>
      <c r="D3" s="6">
        <f>IFERROR(__xludf.DUMMYFUNCTION("""COMPUTED_VALUE"""),566.55)</f>
        <v>566.55</v>
      </c>
      <c r="E3" s="6">
        <f>IFERROR(__xludf.DUMMYFUNCTION("""COMPUTED_VALUE"""),586.65)</f>
        <v>586.65</v>
      </c>
      <c r="F3" s="6">
        <f>IFERROR(__xludf.DUMMYFUNCTION("""COMPUTED_VALUE"""),7437866.0)</f>
        <v>7437866</v>
      </c>
    </row>
    <row r="4">
      <c r="A4" s="7">
        <f>IFERROR(__xludf.DUMMYFUNCTION("""COMPUTED_VALUE"""),45184.64583333333)</f>
        <v>45184.64583</v>
      </c>
      <c r="B4" s="6">
        <f>IFERROR(__xludf.DUMMYFUNCTION("""COMPUTED_VALUE"""),586.05)</f>
        <v>586.05</v>
      </c>
      <c r="C4" s="6">
        <f>IFERROR(__xludf.DUMMYFUNCTION("""COMPUTED_VALUE"""),591.75)</f>
        <v>591.75</v>
      </c>
      <c r="D4" s="6">
        <f>IFERROR(__xludf.DUMMYFUNCTION("""COMPUTED_VALUE"""),575.25)</f>
        <v>575.25</v>
      </c>
      <c r="E4" s="6">
        <f>IFERROR(__xludf.DUMMYFUNCTION("""COMPUTED_VALUE"""),580.15)</f>
        <v>580.15</v>
      </c>
      <c r="F4" s="6">
        <f>IFERROR(__xludf.DUMMYFUNCTION("""COMPUTED_VALUE"""),7897785.0)</f>
        <v>7897785</v>
      </c>
    </row>
    <row r="5">
      <c r="A5" s="7">
        <f>IFERROR(__xludf.DUMMYFUNCTION("""COMPUTED_VALUE"""),45191.64583333333)</f>
        <v>45191.64583</v>
      </c>
      <c r="B5" s="6">
        <f>IFERROR(__xludf.DUMMYFUNCTION("""COMPUTED_VALUE"""),581.25)</f>
        <v>581.25</v>
      </c>
      <c r="C5" s="6">
        <f>IFERROR(__xludf.DUMMYFUNCTION("""COMPUTED_VALUE"""),584.85)</f>
        <v>584.85</v>
      </c>
      <c r="D5" s="6">
        <f>IFERROR(__xludf.DUMMYFUNCTION("""COMPUTED_VALUE"""),568.65)</f>
        <v>568.65</v>
      </c>
      <c r="E5" s="6">
        <f>IFERROR(__xludf.DUMMYFUNCTION("""COMPUTED_VALUE"""),573.9)</f>
        <v>573.9</v>
      </c>
      <c r="F5" s="6">
        <f>IFERROR(__xludf.DUMMYFUNCTION("""COMPUTED_VALUE"""),4776333.0)</f>
        <v>4776333</v>
      </c>
    </row>
    <row r="6">
      <c r="A6" s="7">
        <f>IFERROR(__xludf.DUMMYFUNCTION("""COMPUTED_VALUE"""),45198.64583333333)</f>
        <v>45198.64583</v>
      </c>
      <c r="B6" s="6">
        <f>IFERROR(__xludf.DUMMYFUNCTION("""COMPUTED_VALUE"""),573.1)</f>
        <v>573.1</v>
      </c>
      <c r="C6" s="6">
        <f>IFERROR(__xludf.DUMMYFUNCTION("""COMPUTED_VALUE"""),586.75)</f>
        <v>586.75</v>
      </c>
      <c r="D6" s="6">
        <f>IFERROR(__xludf.DUMMYFUNCTION("""COMPUTED_VALUE"""),556.0)</f>
        <v>556</v>
      </c>
      <c r="E6" s="6">
        <f>IFERROR(__xludf.DUMMYFUNCTION("""COMPUTED_VALUE"""),561.65)</f>
        <v>561.65</v>
      </c>
      <c r="F6" s="6">
        <f>IFERROR(__xludf.DUMMYFUNCTION("""COMPUTED_VALUE"""),6723156.0)</f>
        <v>6723156</v>
      </c>
    </row>
    <row r="7">
      <c r="A7" s="7">
        <f>IFERROR(__xludf.DUMMYFUNCTION("""COMPUTED_VALUE"""),45205.64583333333)</f>
        <v>45205.64583</v>
      </c>
      <c r="B7" s="6">
        <f>IFERROR(__xludf.DUMMYFUNCTION("""COMPUTED_VALUE"""),576.45)</f>
        <v>576.45</v>
      </c>
      <c r="C7" s="6">
        <f>IFERROR(__xludf.DUMMYFUNCTION("""COMPUTED_VALUE"""),595.0)</f>
        <v>595</v>
      </c>
      <c r="D7" s="6">
        <f>IFERROR(__xludf.DUMMYFUNCTION("""COMPUTED_VALUE"""),536.65)</f>
        <v>536.65</v>
      </c>
      <c r="E7" s="6">
        <f>IFERROR(__xludf.DUMMYFUNCTION("""COMPUTED_VALUE"""),537.45)</f>
        <v>537.45</v>
      </c>
      <c r="F7" s="6">
        <f>IFERROR(__xludf.DUMMYFUNCTION("""COMPUTED_VALUE"""),1.4097007E7)</f>
        <v>14097007</v>
      </c>
    </row>
    <row r="8">
      <c r="A8" s="7">
        <f>IFERROR(__xludf.DUMMYFUNCTION("""COMPUTED_VALUE"""),45212.64583333333)</f>
        <v>45212.64583</v>
      </c>
      <c r="B8" s="6">
        <f>IFERROR(__xludf.DUMMYFUNCTION("""COMPUTED_VALUE"""),535.05)</f>
        <v>535.05</v>
      </c>
      <c r="C8" s="6">
        <f>IFERROR(__xludf.DUMMYFUNCTION("""COMPUTED_VALUE"""),543.35)</f>
        <v>543.35</v>
      </c>
      <c r="D8" s="6">
        <f>IFERROR(__xludf.DUMMYFUNCTION("""COMPUTED_VALUE"""),532.45)</f>
        <v>532.45</v>
      </c>
      <c r="E8" s="6">
        <f>IFERROR(__xludf.DUMMYFUNCTION("""COMPUTED_VALUE"""),542.2)</f>
        <v>542.2</v>
      </c>
      <c r="F8" s="6">
        <f>IFERROR(__xludf.DUMMYFUNCTION("""COMPUTED_VALUE"""),4245928.0)</f>
        <v>4245928</v>
      </c>
    </row>
    <row r="9">
      <c r="A9" s="7">
        <f>IFERROR(__xludf.DUMMYFUNCTION("""COMPUTED_VALUE"""),45219.64583333333)</f>
        <v>45219.64583</v>
      </c>
      <c r="B9" s="6">
        <f>IFERROR(__xludf.DUMMYFUNCTION("""COMPUTED_VALUE"""),542.3)</f>
        <v>542.3</v>
      </c>
      <c r="C9" s="6">
        <f>IFERROR(__xludf.DUMMYFUNCTION("""COMPUTED_VALUE"""),550.5)</f>
        <v>550.5</v>
      </c>
      <c r="D9" s="6">
        <f>IFERROR(__xludf.DUMMYFUNCTION("""COMPUTED_VALUE"""),536.65)</f>
        <v>536.65</v>
      </c>
      <c r="E9" s="6">
        <f>IFERROR(__xludf.DUMMYFUNCTION("""COMPUTED_VALUE"""),541.6)</f>
        <v>541.6</v>
      </c>
      <c r="F9" s="6">
        <f>IFERROR(__xludf.DUMMYFUNCTION("""COMPUTED_VALUE"""),4063850.0)</f>
        <v>4063850</v>
      </c>
    </row>
    <row r="10">
      <c r="A10" s="7">
        <f>IFERROR(__xludf.DUMMYFUNCTION("""COMPUTED_VALUE"""),45226.64583333333)</f>
        <v>45226.64583</v>
      </c>
      <c r="B10" s="6">
        <f>IFERROR(__xludf.DUMMYFUNCTION("""COMPUTED_VALUE"""),540.0)</f>
        <v>540</v>
      </c>
      <c r="C10" s="6">
        <f>IFERROR(__xludf.DUMMYFUNCTION("""COMPUTED_VALUE"""),547.6)</f>
        <v>547.6</v>
      </c>
      <c r="D10" s="6">
        <f>IFERROR(__xludf.DUMMYFUNCTION("""COMPUTED_VALUE"""),533.4)</f>
        <v>533.4</v>
      </c>
      <c r="E10" s="6">
        <f>IFERROR(__xludf.DUMMYFUNCTION("""COMPUTED_VALUE"""),537.75)</f>
        <v>537.75</v>
      </c>
      <c r="F10" s="6">
        <f>IFERROR(__xludf.DUMMYFUNCTION("""COMPUTED_VALUE"""),3687518.0)</f>
        <v>3687518</v>
      </c>
    </row>
    <row r="11">
      <c r="A11" s="7">
        <f>IFERROR(__xludf.DUMMYFUNCTION("""COMPUTED_VALUE"""),45233.64583333333)</f>
        <v>45233.64583</v>
      </c>
      <c r="B11" s="6">
        <f>IFERROR(__xludf.DUMMYFUNCTION("""COMPUTED_VALUE"""),537.15)</f>
        <v>537.15</v>
      </c>
      <c r="C11" s="6">
        <f>IFERROR(__xludf.DUMMYFUNCTION("""COMPUTED_VALUE"""),545.75)</f>
        <v>545.75</v>
      </c>
      <c r="D11" s="6">
        <f>IFERROR(__xludf.DUMMYFUNCTION("""COMPUTED_VALUE"""),521.85)</f>
        <v>521.85</v>
      </c>
      <c r="E11" s="6">
        <f>IFERROR(__xludf.DUMMYFUNCTION("""COMPUTED_VALUE"""),528.05)</f>
        <v>528.05</v>
      </c>
      <c r="F11" s="6">
        <f>IFERROR(__xludf.DUMMYFUNCTION("""COMPUTED_VALUE"""),7334928.0)</f>
        <v>7334928</v>
      </c>
    </row>
    <row r="12">
      <c r="A12" s="7">
        <f>IFERROR(__xludf.DUMMYFUNCTION("""COMPUTED_VALUE"""),45240.64583333333)</f>
        <v>45240.64583</v>
      </c>
      <c r="B12" s="6">
        <f>IFERROR(__xludf.DUMMYFUNCTION("""COMPUTED_VALUE"""),532.25)</f>
        <v>532.25</v>
      </c>
      <c r="C12" s="6">
        <f>IFERROR(__xludf.DUMMYFUNCTION("""COMPUTED_VALUE"""),537.0)</f>
        <v>537</v>
      </c>
      <c r="D12" s="6">
        <f>IFERROR(__xludf.DUMMYFUNCTION("""COMPUTED_VALUE"""),516.25)</f>
        <v>516.25</v>
      </c>
      <c r="E12" s="6">
        <f>IFERROR(__xludf.DUMMYFUNCTION("""COMPUTED_VALUE"""),521.25)</f>
        <v>521.25</v>
      </c>
      <c r="F12" s="6">
        <f>IFERROR(__xludf.DUMMYFUNCTION("""COMPUTED_VALUE"""),5962584.0)</f>
        <v>5962584</v>
      </c>
    </row>
    <row r="13">
      <c r="A13" s="7">
        <f>IFERROR(__xludf.DUMMYFUNCTION("""COMPUTED_VALUE"""),45247.64583333333)</f>
        <v>45247.64583</v>
      </c>
      <c r="B13" s="6">
        <f>IFERROR(__xludf.DUMMYFUNCTION("""COMPUTED_VALUE"""),524.9)</f>
        <v>524.9</v>
      </c>
      <c r="C13" s="6">
        <f>IFERROR(__xludf.DUMMYFUNCTION("""COMPUTED_VALUE"""),530.8)</f>
        <v>530.8</v>
      </c>
      <c r="D13" s="6">
        <f>IFERROR(__xludf.DUMMYFUNCTION("""COMPUTED_VALUE"""),516.05)</f>
        <v>516.05</v>
      </c>
      <c r="E13" s="6">
        <f>IFERROR(__xludf.DUMMYFUNCTION("""COMPUTED_VALUE"""),529.95)</f>
        <v>529.95</v>
      </c>
      <c r="F13" s="6">
        <f>IFERROR(__xludf.DUMMYFUNCTION("""COMPUTED_VALUE"""),6425155.0)</f>
        <v>6425155</v>
      </c>
    </row>
    <row r="14">
      <c r="A14" s="7">
        <f>IFERROR(__xludf.DUMMYFUNCTION("""COMPUTED_VALUE"""),45254.64583333333)</f>
        <v>45254.64583</v>
      </c>
      <c r="B14" s="6">
        <f>IFERROR(__xludf.DUMMYFUNCTION("""COMPUTED_VALUE"""),530.8)</f>
        <v>530.8</v>
      </c>
      <c r="C14" s="6">
        <f>IFERROR(__xludf.DUMMYFUNCTION("""COMPUTED_VALUE"""),535.0)</f>
        <v>535</v>
      </c>
      <c r="D14" s="6">
        <f>IFERROR(__xludf.DUMMYFUNCTION("""COMPUTED_VALUE"""),521.8)</f>
        <v>521.8</v>
      </c>
      <c r="E14" s="6">
        <f>IFERROR(__xludf.DUMMYFUNCTION("""COMPUTED_VALUE"""),523.65)</f>
        <v>523.65</v>
      </c>
      <c r="F14" s="6">
        <f>IFERROR(__xludf.DUMMYFUNCTION("""COMPUTED_VALUE"""),5209433.0)</f>
        <v>5209433</v>
      </c>
    </row>
    <row r="15">
      <c r="A15" s="7">
        <f>IFERROR(__xludf.DUMMYFUNCTION("""COMPUTED_VALUE"""),45261.64583333333)</f>
        <v>45261.64583</v>
      </c>
      <c r="B15" s="6">
        <f>IFERROR(__xludf.DUMMYFUNCTION("""COMPUTED_VALUE"""),524.05)</f>
        <v>524.05</v>
      </c>
      <c r="C15" s="6">
        <f>IFERROR(__xludf.DUMMYFUNCTION("""COMPUTED_VALUE"""),541.6)</f>
        <v>541.6</v>
      </c>
      <c r="D15" s="6">
        <f>IFERROR(__xludf.DUMMYFUNCTION("""COMPUTED_VALUE"""),521.35)</f>
        <v>521.35</v>
      </c>
      <c r="E15" s="6">
        <f>IFERROR(__xludf.DUMMYFUNCTION("""COMPUTED_VALUE"""),536.9)</f>
        <v>536.9</v>
      </c>
      <c r="F15" s="6">
        <f>IFERROR(__xludf.DUMMYFUNCTION("""COMPUTED_VALUE"""),6966763.0)</f>
        <v>6966763</v>
      </c>
    </row>
    <row r="16">
      <c r="A16" s="7">
        <f>IFERROR(__xludf.DUMMYFUNCTION("""COMPUTED_VALUE"""),45268.64583333333)</f>
        <v>45268.64583</v>
      </c>
      <c r="B16" s="6">
        <f>IFERROR(__xludf.DUMMYFUNCTION("""COMPUTED_VALUE"""),539.0)</f>
        <v>539</v>
      </c>
      <c r="C16" s="6">
        <f>IFERROR(__xludf.DUMMYFUNCTION("""COMPUTED_VALUE"""),545.95)</f>
        <v>545.95</v>
      </c>
      <c r="D16" s="6">
        <f>IFERROR(__xludf.DUMMYFUNCTION("""COMPUTED_VALUE"""),526.5)</f>
        <v>526.5</v>
      </c>
      <c r="E16" s="6">
        <f>IFERROR(__xludf.DUMMYFUNCTION("""COMPUTED_VALUE"""),530.5)</f>
        <v>530.5</v>
      </c>
      <c r="F16" s="6">
        <f>IFERROR(__xludf.DUMMYFUNCTION("""COMPUTED_VALUE"""),8806540.0)</f>
        <v>8806540</v>
      </c>
    </row>
    <row r="17">
      <c r="A17" s="7">
        <f>IFERROR(__xludf.DUMMYFUNCTION("""COMPUTED_VALUE"""),45275.64583333333)</f>
        <v>45275.64583</v>
      </c>
      <c r="B17" s="6">
        <f>IFERROR(__xludf.DUMMYFUNCTION("""COMPUTED_VALUE"""),530.5)</f>
        <v>530.5</v>
      </c>
      <c r="C17" s="6">
        <f>IFERROR(__xludf.DUMMYFUNCTION("""COMPUTED_VALUE"""),546.85)</f>
        <v>546.85</v>
      </c>
      <c r="D17" s="6">
        <f>IFERROR(__xludf.DUMMYFUNCTION("""COMPUTED_VALUE"""),529.1)</f>
        <v>529.1</v>
      </c>
      <c r="E17" s="6">
        <f>IFERROR(__xludf.DUMMYFUNCTION("""COMPUTED_VALUE"""),535.2)</f>
        <v>535.2</v>
      </c>
      <c r="F17" s="6">
        <f>IFERROR(__xludf.DUMMYFUNCTION("""COMPUTED_VALUE"""),7465463.0)</f>
        <v>7465463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IFERROR(__xludf.DUMMYFUNCTION("""COMPUTED_VALUE"""),535.0)</f>
        <v>535</v>
      </c>
      <c r="C18" s="6">
        <f>IFERROR(__xludf.DUMMYFUNCTION("""COMPUTED_VALUE"""),551.9)</f>
        <v>551.9</v>
      </c>
      <c r="D18" s="6">
        <f>IFERROR(__xludf.DUMMYFUNCTION("""COMPUTED_VALUE"""),520.85)</f>
        <v>520.85</v>
      </c>
      <c r="E18" s="6">
        <f>IFERROR(__xludf.DUMMYFUNCTION("""COMPUTED_VALUE"""),522.85)</f>
        <v>522.85</v>
      </c>
      <c r="F18" s="6">
        <f>IFERROR(__xludf.DUMMYFUNCTION("""COMPUTED_VALUE"""),1.1354208E7)</f>
        <v>11354208</v>
      </c>
    </row>
    <row r="19">
      <c r="A19" s="7">
        <f>IFERROR(__xludf.DUMMYFUNCTION("""COMPUTED_VALUE"""),45289.64583333333)</f>
        <v>45289.64583</v>
      </c>
      <c r="B19" s="6">
        <f>IFERROR(__xludf.DUMMYFUNCTION("""COMPUTED_VALUE"""),527.0)</f>
        <v>527</v>
      </c>
      <c r="C19" s="6">
        <f>IFERROR(__xludf.DUMMYFUNCTION("""COMPUTED_VALUE"""),553.85)</f>
        <v>553.85</v>
      </c>
      <c r="D19" s="6">
        <f>IFERROR(__xludf.DUMMYFUNCTION("""COMPUTED_VALUE"""),524.4)</f>
        <v>524.4</v>
      </c>
      <c r="E19" s="6">
        <f>IFERROR(__xludf.DUMMYFUNCTION("""COMPUTED_VALUE"""),548.5)</f>
        <v>548.5</v>
      </c>
      <c r="F19" s="6">
        <f>IFERROR(__xludf.DUMMYFUNCTION("""COMPUTED_VALUE"""),5799365.0)</f>
        <v>5799365</v>
      </c>
    </row>
    <row r="20">
      <c r="A20" s="7">
        <f>IFERROR(__xludf.DUMMYFUNCTION("""COMPUTED_VALUE"""),45296.64583333333)</f>
        <v>45296.64583</v>
      </c>
      <c r="B20" s="6">
        <f>IFERROR(__xludf.DUMMYFUNCTION("""COMPUTED_VALUE"""),550.0)</f>
        <v>550</v>
      </c>
      <c r="C20" s="6">
        <f>IFERROR(__xludf.DUMMYFUNCTION("""COMPUTED_VALUE"""),557.5)</f>
        <v>557.5</v>
      </c>
      <c r="D20" s="6">
        <f>IFERROR(__xludf.DUMMYFUNCTION("""COMPUTED_VALUE"""),537.4)</f>
        <v>537.4</v>
      </c>
      <c r="E20" s="6">
        <f>IFERROR(__xludf.DUMMYFUNCTION("""COMPUTED_VALUE"""),546.0)</f>
        <v>546</v>
      </c>
      <c r="F20" s="6">
        <f>IFERROR(__xludf.DUMMYFUNCTION("""COMPUTED_VALUE"""),5659921.0)</f>
        <v>5659921</v>
      </c>
    </row>
    <row r="21">
      <c r="A21" s="7">
        <f>IFERROR(__xludf.DUMMYFUNCTION("""COMPUTED_VALUE"""),45303.64583333333)</f>
        <v>45303.64583</v>
      </c>
      <c r="B21" s="6">
        <f>IFERROR(__xludf.DUMMYFUNCTION("""COMPUTED_VALUE"""),530.0)</f>
        <v>530</v>
      </c>
      <c r="C21" s="6">
        <f>IFERROR(__xludf.DUMMYFUNCTION("""COMPUTED_VALUE"""),536.9)</f>
        <v>536.9</v>
      </c>
      <c r="D21" s="6">
        <f>IFERROR(__xludf.DUMMYFUNCTION("""COMPUTED_VALUE"""),520.0)</f>
        <v>520</v>
      </c>
      <c r="E21" s="6">
        <f>IFERROR(__xludf.DUMMYFUNCTION("""COMPUTED_VALUE"""),532.9)</f>
        <v>532.9</v>
      </c>
      <c r="F21" s="6">
        <f>IFERROR(__xludf.DUMMYFUNCTION("""COMPUTED_VALUE"""),8201116.0)</f>
        <v>8201116</v>
      </c>
    </row>
    <row r="22">
      <c r="A22" s="7">
        <f>IFERROR(__xludf.DUMMYFUNCTION("""COMPUTED_VALUE"""),45316.64583333333)</f>
        <v>45316.64583</v>
      </c>
      <c r="B22" s="6">
        <f>IFERROR(__xludf.DUMMYFUNCTION("""COMPUTED_VALUE"""),524.95)</f>
        <v>524.95</v>
      </c>
      <c r="C22" s="6">
        <f>IFERROR(__xludf.DUMMYFUNCTION("""COMPUTED_VALUE"""),534.4)</f>
        <v>534.4</v>
      </c>
      <c r="D22" s="6">
        <f>IFERROR(__xludf.DUMMYFUNCTION("""COMPUTED_VALUE"""),515.65)</f>
        <v>515.65</v>
      </c>
      <c r="E22" s="6">
        <f>IFERROR(__xludf.DUMMYFUNCTION("""COMPUTED_VALUE"""),525.1)</f>
        <v>525.1</v>
      </c>
      <c r="F22" s="6">
        <f>IFERROR(__xludf.DUMMYFUNCTION("""COMPUTED_VALUE"""),4050486.0)</f>
        <v>4050486</v>
      </c>
    </row>
    <row r="23">
      <c r="A23" s="7">
        <f>IFERROR(__xludf.DUMMYFUNCTION("""COMPUTED_VALUE"""),45324.64583333333)</f>
        <v>45324.64583</v>
      </c>
      <c r="B23" s="6">
        <f>IFERROR(__xludf.DUMMYFUNCTION("""COMPUTED_VALUE"""),508.6)</f>
        <v>508.6</v>
      </c>
      <c r="C23" s="6">
        <f>IFERROR(__xludf.DUMMYFUNCTION("""COMPUTED_VALUE"""),554.7)</f>
        <v>554.7</v>
      </c>
      <c r="D23" s="6">
        <f>IFERROR(__xludf.DUMMYFUNCTION("""COMPUTED_VALUE"""),508.6)</f>
        <v>508.6</v>
      </c>
      <c r="E23" s="6">
        <f>IFERROR(__xludf.DUMMYFUNCTION("""COMPUTED_VALUE"""),529.5)</f>
        <v>529.5</v>
      </c>
      <c r="F23" s="6">
        <f>IFERROR(__xludf.DUMMYFUNCTION("""COMPUTED_VALUE"""),1.2438345E7)</f>
        <v>12438345</v>
      </c>
    </row>
    <row r="24">
      <c r="A24" s="7">
        <f>IFERROR(__xludf.DUMMYFUNCTION("""COMPUTED_VALUE"""),45331.64583333333)</f>
        <v>45331.64583</v>
      </c>
      <c r="B24" s="6">
        <f>IFERROR(__xludf.DUMMYFUNCTION("""COMPUTED_VALUE"""),528.0)</f>
        <v>528</v>
      </c>
      <c r="C24" s="6">
        <f>IFERROR(__xludf.DUMMYFUNCTION("""COMPUTED_VALUE"""),534.35)</f>
        <v>534.35</v>
      </c>
      <c r="D24" s="6">
        <f>IFERROR(__xludf.DUMMYFUNCTION("""COMPUTED_VALUE"""),516.65)</f>
        <v>516.65</v>
      </c>
      <c r="E24" s="6">
        <f>IFERROR(__xludf.DUMMYFUNCTION("""COMPUTED_VALUE"""),520.65)</f>
        <v>520.65</v>
      </c>
      <c r="F24" s="6">
        <f>IFERROR(__xludf.DUMMYFUNCTION("""COMPUTED_VALUE"""),4341877.0)</f>
        <v>4341877</v>
      </c>
    </row>
    <row r="25">
      <c r="A25" s="7">
        <f>IFERROR(__xludf.DUMMYFUNCTION("""COMPUTED_VALUE"""),45338.64583333333)</f>
        <v>45338.64583</v>
      </c>
      <c r="B25" s="6">
        <f>IFERROR(__xludf.DUMMYFUNCTION("""COMPUTED_VALUE"""),520.5)</f>
        <v>520.5</v>
      </c>
      <c r="C25" s="6">
        <f>IFERROR(__xludf.DUMMYFUNCTION("""COMPUTED_VALUE"""),528.55)</f>
        <v>528.55</v>
      </c>
      <c r="D25" s="6">
        <f>IFERROR(__xludf.DUMMYFUNCTION("""COMPUTED_VALUE"""),515.5)</f>
        <v>515.5</v>
      </c>
      <c r="E25" s="6">
        <f>IFERROR(__xludf.DUMMYFUNCTION("""COMPUTED_VALUE"""),523.8)</f>
        <v>523.8</v>
      </c>
      <c r="F25" s="6">
        <f>IFERROR(__xludf.DUMMYFUNCTION("""COMPUTED_VALUE"""),5376229.0)</f>
        <v>5376229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IFERROR(__xludf.DUMMYFUNCTION("""COMPUTED_VALUE"""),524.45)</f>
        <v>524.45</v>
      </c>
      <c r="C26" s="6">
        <f>IFERROR(__xludf.DUMMYFUNCTION("""COMPUTED_VALUE"""),545.2)</f>
        <v>545.2</v>
      </c>
      <c r="D26" s="6">
        <f>IFERROR(__xludf.DUMMYFUNCTION("""COMPUTED_VALUE"""),523.5)</f>
        <v>523.5</v>
      </c>
      <c r="E26" s="6">
        <f>IFERROR(__xludf.DUMMYFUNCTION("""COMPUTED_VALUE"""),530.15)</f>
        <v>530.15</v>
      </c>
      <c r="F26" s="6">
        <f>IFERROR(__xludf.DUMMYFUNCTION("""COMPUTED_VALUE"""),9775919.0)</f>
        <v>9775919</v>
      </c>
    </row>
    <row r="27">
      <c r="A27" s="7">
        <f>IFERROR(__xludf.DUMMYFUNCTION("""COMPUTED_VALUE"""),45358.64583333333)</f>
        <v>45358.64583</v>
      </c>
      <c r="B27" s="6">
        <f>IFERROR(__xludf.DUMMYFUNCTION("""COMPUTED_VALUE"""),529.0)</f>
        <v>529</v>
      </c>
      <c r="C27" s="6">
        <f>IFERROR(__xludf.DUMMYFUNCTION("""COMPUTED_VALUE"""),529.9)</f>
        <v>529.9</v>
      </c>
      <c r="D27" s="6">
        <f>IFERROR(__xludf.DUMMYFUNCTION("""COMPUTED_VALUE"""),503.35)</f>
        <v>503.35</v>
      </c>
      <c r="E27" s="6">
        <f>IFERROR(__xludf.DUMMYFUNCTION("""COMPUTED_VALUE"""),514.6)</f>
        <v>514.6</v>
      </c>
      <c r="F27" s="6">
        <f>IFERROR(__xludf.DUMMYFUNCTION("""COMPUTED_VALUE"""),7017369.0)</f>
        <v>7017369</v>
      </c>
    </row>
    <row r="28">
      <c r="A28" s="7">
        <f>IFERROR(__xludf.DUMMYFUNCTION("""COMPUTED_VALUE"""),45366.64583333333)</f>
        <v>45366.64583</v>
      </c>
      <c r="B28" s="6">
        <f>IFERROR(__xludf.DUMMYFUNCTION("""COMPUTED_VALUE"""),514.6)</f>
        <v>514.6</v>
      </c>
      <c r="C28" s="6">
        <f>IFERROR(__xludf.DUMMYFUNCTION("""COMPUTED_VALUE"""),515.0)</f>
        <v>515</v>
      </c>
      <c r="D28" s="6">
        <f>IFERROR(__xludf.DUMMYFUNCTION("""COMPUTED_VALUE"""),492.15)</f>
        <v>492.15</v>
      </c>
      <c r="E28" s="6">
        <f>IFERROR(__xludf.DUMMYFUNCTION("""COMPUTED_VALUE"""),500.15)</f>
        <v>500.15</v>
      </c>
      <c r="F28" s="6">
        <f>IFERROR(__xludf.DUMMYFUNCTION("""COMPUTED_VALUE"""),9619451.0)</f>
        <v>9619451</v>
      </c>
    </row>
    <row r="29">
      <c r="A29" s="7">
        <f>IFERROR(__xludf.DUMMYFUNCTION("""COMPUTED_VALUE"""),45373.64583333333)</f>
        <v>45373.64583</v>
      </c>
      <c r="B29" s="6">
        <f>IFERROR(__xludf.DUMMYFUNCTION("""COMPUTED_VALUE"""),500.15)</f>
        <v>500.15</v>
      </c>
      <c r="C29" s="6">
        <f>IFERROR(__xludf.DUMMYFUNCTION("""COMPUTED_VALUE"""),504.0)</f>
        <v>504</v>
      </c>
      <c r="D29" s="6">
        <f>IFERROR(__xludf.DUMMYFUNCTION("""COMPUTED_VALUE"""),486.3)</f>
        <v>486.3</v>
      </c>
      <c r="E29" s="6">
        <f>IFERROR(__xludf.DUMMYFUNCTION("""COMPUTED_VALUE"""),497.75)</f>
        <v>497.75</v>
      </c>
      <c r="F29" s="6">
        <f>IFERROR(__xludf.DUMMYFUNCTION("""COMPUTED_VALUE"""),6545721.0)</f>
        <v>6545721</v>
      </c>
    </row>
    <row r="30">
      <c r="A30" s="7">
        <f>IFERROR(__xludf.DUMMYFUNCTION("""COMPUTED_VALUE"""),45379.64583333333)</f>
        <v>45379.64583</v>
      </c>
      <c r="B30" s="6">
        <f>IFERROR(__xludf.DUMMYFUNCTION("""COMPUTED_VALUE"""),491.05)</f>
        <v>491.05</v>
      </c>
      <c r="C30" s="6">
        <f>IFERROR(__xludf.DUMMYFUNCTION("""COMPUTED_VALUE"""),499.95)</f>
        <v>499.95</v>
      </c>
      <c r="D30" s="6">
        <f>IFERROR(__xludf.DUMMYFUNCTION("""COMPUTED_VALUE"""),490.8)</f>
        <v>490.8</v>
      </c>
      <c r="E30" s="6">
        <f>IFERROR(__xludf.DUMMYFUNCTION("""COMPUTED_VALUE"""),497.2)</f>
        <v>497.2</v>
      </c>
      <c r="F30" s="6">
        <f>IFERROR(__xludf.DUMMYFUNCTION("""COMPUTED_VALUE"""),4281358.0)</f>
        <v>4281358</v>
      </c>
    </row>
    <row r="31">
      <c r="A31" s="7">
        <f>IFERROR(__xludf.DUMMYFUNCTION("""COMPUTED_VALUE"""),45387.64583333333)</f>
        <v>45387.64583</v>
      </c>
      <c r="B31" s="6">
        <f>IFERROR(__xludf.DUMMYFUNCTION("""COMPUTED_VALUE"""),497.2)</f>
        <v>497.2</v>
      </c>
      <c r="C31" s="6">
        <f>IFERROR(__xludf.DUMMYFUNCTION("""COMPUTED_VALUE"""),510.85)</f>
        <v>510.85</v>
      </c>
      <c r="D31" s="6">
        <f>IFERROR(__xludf.DUMMYFUNCTION("""COMPUTED_VALUE"""),490.55)</f>
        <v>490.55</v>
      </c>
      <c r="E31" s="6">
        <f>IFERROR(__xludf.DUMMYFUNCTION("""COMPUTED_VALUE"""),509.5)</f>
        <v>509.5</v>
      </c>
      <c r="F31" s="6">
        <f>IFERROR(__xludf.DUMMYFUNCTION("""COMPUTED_VALUE"""),6543644.0)</f>
        <v>6543644</v>
      </c>
    </row>
    <row r="32">
      <c r="A32" s="7">
        <f>IFERROR(__xludf.DUMMYFUNCTION("""COMPUTED_VALUE"""),45394.64583333333)</f>
        <v>45394.64583</v>
      </c>
      <c r="B32" s="6">
        <f>IFERROR(__xludf.DUMMYFUNCTION("""COMPUTED_VALUE"""),511.5)</f>
        <v>511.5</v>
      </c>
      <c r="C32" s="6">
        <f>IFERROR(__xludf.DUMMYFUNCTION("""COMPUTED_VALUE"""),521.0)</f>
        <v>521</v>
      </c>
      <c r="D32" s="6">
        <f>IFERROR(__xludf.DUMMYFUNCTION("""COMPUTED_VALUE"""),507.15)</f>
        <v>507.15</v>
      </c>
      <c r="E32" s="6">
        <f>IFERROR(__xludf.DUMMYFUNCTION("""COMPUTED_VALUE"""),514.55)</f>
        <v>514.55</v>
      </c>
      <c r="F32" s="6">
        <f>IFERROR(__xludf.DUMMYFUNCTION("""COMPUTED_VALUE"""),4399844.0)</f>
        <v>4399844</v>
      </c>
    </row>
    <row r="33">
      <c r="A33" s="7">
        <f>IFERROR(__xludf.DUMMYFUNCTION("""COMPUTED_VALUE"""),45401.64583333333)</f>
        <v>45401.64583</v>
      </c>
      <c r="B33" s="6">
        <f>IFERROR(__xludf.DUMMYFUNCTION("""COMPUTED_VALUE"""),510.15)</f>
        <v>510.15</v>
      </c>
      <c r="C33" s="6">
        <f>IFERROR(__xludf.DUMMYFUNCTION("""COMPUTED_VALUE"""),515.95)</f>
        <v>515.95</v>
      </c>
      <c r="D33" s="6">
        <f>IFERROR(__xludf.DUMMYFUNCTION("""COMPUTED_VALUE"""),495.15)</f>
        <v>495.15</v>
      </c>
      <c r="E33" s="6">
        <f>IFERROR(__xludf.DUMMYFUNCTION("""COMPUTED_VALUE"""),505.3)</f>
        <v>505.3</v>
      </c>
      <c r="F33" s="6">
        <f>IFERROR(__xludf.DUMMYFUNCTION("""COMPUTED_VALUE"""),6771506.0)</f>
        <v>6771506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IFERROR(__xludf.DUMMYFUNCTION("""COMPUTED_VALUE"""),515.55)</f>
        <v>515.55</v>
      </c>
      <c r="C34" s="6">
        <f>IFERROR(__xludf.DUMMYFUNCTION("""COMPUTED_VALUE"""),518.7)</f>
        <v>518.7</v>
      </c>
      <c r="D34" s="6">
        <f>IFERROR(__xludf.DUMMYFUNCTION("""COMPUTED_VALUE"""),503.15)</f>
        <v>503.15</v>
      </c>
      <c r="E34" s="6">
        <f>IFERROR(__xludf.DUMMYFUNCTION("""COMPUTED_VALUE"""),517.85)</f>
        <v>517.85</v>
      </c>
      <c r="F34" s="6">
        <f>IFERROR(__xludf.DUMMYFUNCTION("""COMPUTED_VALUE"""),6873774.0)</f>
        <v>6873774</v>
      </c>
    </row>
    <row r="35">
      <c r="A35" s="7">
        <f>IFERROR(__xludf.DUMMYFUNCTION("""COMPUTED_VALUE"""),45415.64583333333)</f>
        <v>45415.64583</v>
      </c>
      <c r="B35" s="6">
        <f>IFERROR(__xludf.DUMMYFUNCTION("""COMPUTED_VALUE"""),520.5)</f>
        <v>520.5</v>
      </c>
      <c r="C35" s="6">
        <f>IFERROR(__xludf.DUMMYFUNCTION("""COMPUTED_VALUE"""),524.0)</f>
        <v>524</v>
      </c>
      <c r="D35" s="6">
        <f>IFERROR(__xludf.DUMMYFUNCTION("""COMPUTED_VALUE"""),510.45)</f>
        <v>510.45</v>
      </c>
      <c r="E35" s="6">
        <f>IFERROR(__xludf.DUMMYFUNCTION("""COMPUTED_VALUE"""),516.9)</f>
        <v>516.9</v>
      </c>
      <c r="F35" s="6">
        <f>IFERROR(__xludf.DUMMYFUNCTION("""COMPUTED_VALUE"""),4989418.0)</f>
        <v>4989418</v>
      </c>
    </row>
    <row r="36">
      <c r="A36" s="7">
        <f>IFERROR(__xludf.DUMMYFUNCTION("""COMPUTED_VALUE"""),45422.64583333333)</f>
        <v>45422.64583</v>
      </c>
      <c r="B36" s="6">
        <f>IFERROR(__xludf.DUMMYFUNCTION("""COMPUTED_VALUE"""),520.9)</f>
        <v>520.9</v>
      </c>
      <c r="C36" s="6">
        <f>IFERROR(__xludf.DUMMYFUNCTION("""COMPUTED_VALUE"""),598.5)</f>
        <v>598.5</v>
      </c>
      <c r="D36" s="6">
        <f>IFERROR(__xludf.DUMMYFUNCTION("""COMPUTED_VALUE"""),518.25)</f>
        <v>518.25</v>
      </c>
      <c r="E36" s="6">
        <f>IFERROR(__xludf.DUMMYFUNCTION("""COMPUTED_VALUE"""),587.15)</f>
        <v>587.15</v>
      </c>
      <c r="F36" s="6">
        <f>IFERROR(__xludf.DUMMYFUNCTION("""COMPUTED_VALUE"""),5.545219E7)</f>
        <v>55452190</v>
      </c>
    </row>
    <row r="37">
      <c r="A37" s="7">
        <f>IFERROR(__xludf.DUMMYFUNCTION("""COMPUTED_VALUE"""),45436.64583333333)</f>
        <v>45436.64583</v>
      </c>
      <c r="B37" s="6">
        <f>IFERROR(__xludf.DUMMYFUNCTION("""COMPUTED_VALUE"""),592.0)</f>
        <v>592</v>
      </c>
      <c r="C37" s="6">
        <f>IFERROR(__xludf.DUMMYFUNCTION("""COMPUTED_VALUE"""),613.7)</f>
        <v>613.7</v>
      </c>
      <c r="D37" s="6">
        <f>IFERROR(__xludf.DUMMYFUNCTION("""COMPUTED_VALUE"""),585.0)</f>
        <v>585</v>
      </c>
      <c r="E37" s="6">
        <f>IFERROR(__xludf.DUMMYFUNCTION("""COMPUTED_VALUE"""),604.0)</f>
        <v>604</v>
      </c>
      <c r="F37" s="6">
        <f>IFERROR(__xludf.DUMMYFUNCTION("""COMPUTED_VALUE"""),1.2189046E7)</f>
        <v>12189046</v>
      </c>
    </row>
    <row r="38">
      <c r="A38" s="7">
        <f>IFERROR(__xludf.DUMMYFUNCTION("""COMPUTED_VALUE"""),45443.64583333333)</f>
        <v>45443.64583</v>
      </c>
      <c r="B38" s="6">
        <f>IFERROR(__xludf.DUMMYFUNCTION("""COMPUTED_VALUE"""),612.9)</f>
        <v>612.9</v>
      </c>
      <c r="C38" s="6">
        <f>IFERROR(__xludf.DUMMYFUNCTION("""COMPUTED_VALUE"""),615.9)</f>
        <v>615.9</v>
      </c>
      <c r="D38" s="6">
        <f>IFERROR(__xludf.DUMMYFUNCTION("""COMPUTED_VALUE"""),590.65)</f>
        <v>590.65</v>
      </c>
      <c r="E38" s="6">
        <f>IFERROR(__xludf.DUMMYFUNCTION("""COMPUTED_VALUE"""),595.55)</f>
        <v>595.55</v>
      </c>
      <c r="F38" s="6">
        <f>IFERROR(__xludf.DUMMYFUNCTION("""COMPUTED_VALUE"""),1.2708134E7)</f>
        <v>12708134</v>
      </c>
    </row>
    <row r="39">
      <c r="A39" s="7">
        <f>IFERROR(__xludf.DUMMYFUNCTION("""COMPUTED_VALUE"""),45450.64583333333)</f>
        <v>45450.64583</v>
      </c>
      <c r="B39" s="6">
        <f>IFERROR(__xludf.DUMMYFUNCTION("""COMPUTED_VALUE"""),609.0)</f>
        <v>609</v>
      </c>
      <c r="C39" s="6">
        <f>IFERROR(__xludf.DUMMYFUNCTION("""COMPUTED_VALUE"""),667.2)</f>
        <v>667.2</v>
      </c>
      <c r="D39" s="6">
        <f>IFERROR(__xludf.DUMMYFUNCTION("""COMPUTED_VALUE"""),588.25)</f>
        <v>588.25</v>
      </c>
      <c r="E39" s="6">
        <f>IFERROR(__xludf.DUMMYFUNCTION("""COMPUTED_VALUE"""),653.0)</f>
        <v>653</v>
      </c>
      <c r="F39" s="6">
        <f>IFERROR(__xludf.DUMMYFUNCTION("""COMPUTED_VALUE"""),2.9157846E7)</f>
        <v>29157846</v>
      </c>
    </row>
    <row r="40">
      <c r="A40" s="7">
        <f>IFERROR(__xludf.DUMMYFUNCTION("""COMPUTED_VALUE"""),45457.64583333333)</f>
        <v>45457.64583</v>
      </c>
      <c r="B40" s="6">
        <f>IFERROR(__xludf.DUMMYFUNCTION("""COMPUTED_VALUE"""),655.0)</f>
        <v>655</v>
      </c>
      <c r="C40" s="6">
        <f>IFERROR(__xludf.DUMMYFUNCTION("""COMPUTED_VALUE"""),661.35)</f>
        <v>661.35</v>
      </c>
      <c r="D40" s="6">
        <f>IFERROR(__xludf.DUMMYFUNCTION("""COMPUTED_VALUE"""),605.35)</f>
        <v>605.35</v>
      </c>
      <c r="E40" s="6">
        <f>IFERROR(__xludf.DUMMYFUNCTION("""COMPUTED_VALUE"""),619.35)</f>
        <v>619.35</v>
      </c>
      <c r="F40" s="6">
        <f>IFERROR(__xludf.DUMMYFUNCTION("""COMPUTED_VALUE"""),2.2352981E7)</f>
        <v>22352981</v>
      </c>
    </row>
    <row r="41">
      <c r="A41" s="7">
        <f>IFERROR(__xludf.DUMMYFUNCTION("""COMPUTED_VALUE"""),45464.64583333333)</f>
        <v>45464.64583</v>
      </c>
      <c r="B41" s="6">
        <f>IFERROR(__xludf.DUMMYFUNCTION("""COMPUTED_VALUE"""),625.0)</f>
        <v>625</v>
      </c>
      <c r="C41" s="6">
        <f>IFERROR(__xludf.DUMMYFUNCTION("""COMPUTED_VALUE"""),630.6)</f>
        <v>630.6</v>
      </c>
      <c r="D41" s="6">
        <f>IFERROR(__xludf.DUMMYFUNCTION("""COMPUTED_VALUE"""),609.0)</f>
        <v>609</v>
      </c>
      <c r="E41" s="6">
        <f>IFERROR(__xludf.DUMMYFUNCTION("""COMPUTED_VALUE"""),609.8)</f>
        <v>609.8</v>
      </c>
      <c r="F41" s="6">
        <f>IFERROR(__xludf.DUMMYFUNCTION("""COMPUTED_VALUE"""),7254899.0)</f>
        <v>7254899</v>
      </c>
    </row>
    <row r="42">
      <c r="A42" s="7">
        <f>IFERROR(__xludf.DUMMYFUNCTION("""COMPUTED_VALUE"""),45471.64583333333)</f>
        <v>45471.64583</v>
      </c>
      <c r="B42" s="6">
        <f>IFERROR(__xludf.DUMMYFUNCTION("""COMPUTED_VALUE"""),610.0)</f>
        <v>610</v>
      </c>
      <c r="C42" s="6">
        <f>IFERROR(__xludf.DUMMYFUNCTION("""COMPUTED_VALUE"""),624.9)</f>
        <v>624.9</v>
      </c>
      <c r="D42" s="6">
        <f>IFERROR(__xludf.DUMMYFUNCTION("""COMPUTED_VALUE"""),607.0)</f>
        <v>607</v>
      </c>
      <c r="E42" s="6">
        <f>IFERROR(__xludf.DUMMYFUNCTION("""COMPUTED_VALUE"""),613.0)</f>
        <v>613</v>
      </c>
      <c r="F42" s="6">
        <f>IFERROR(__xludf.DUMMYFUNCTION("""COMPUTED_VALUE"""),9802457.0)</f>
        <v>9802457</v>
      </c>
    </row>
    <row r="43">
      <c r="A43" s="7">
        <f>IFERROR(__xludf.DUMMYFUNCTION("""COMPUTED_VALUE"""),45478.64583333333)</f>
        <v>45478.64583</v>
      </c>
      <c r="B43" s="6">
        <f>IFERROR(__xludf.DUMMYFUNCTION("""COMPUTED_VALUE"""),614.2)</f>
        <v>614.2</v>
      </c>
      <c r="C43" s="6">
        <f>IFERROR(__xludf.DUMMYFUNCTION("""COMPUTED_VALUE"""),622.9)</f>
        <v>622.9</v>
      </c>
      <c r="D43" s="6">
        <f>IFERROR(__xludf.DUMMYFUNCTION("""COMPUTED_VALUE"""),601.0)</f>
        <v>601</v>
      </c>
      <c r="E43" s="6">
        <f>IFERROR(__xludf.DUMMYFUNCTION("""COMPUTED_VALUE"""),615.35)</f>
        <v>615.35</v>
      </c>
      <c r="F43" s="6">
        <f>IFERROR(__xludf.DUMMYFUNCTION("""COMPUTED_VALUE"""),1.4670413E7)</f>
        <v>14670413</v>
      </c>
    </row>
    <row r="44">
      <c r="A44" s="7">
        <f>IFERROR(__xludf.DUMMYFUNCTION("""COMPUTED_VALUE"""),45485.64583333333)</f>
        <v>45485.64583</v>
      </c>
      <c r="B44" s="6">
        <f>IFERROR(__xludf.DUMMYFUNCTION("""COMPUTED_VALUE"""),632.0)</f>
        <v>632</v>
      </c>
      <c r="C44" s="6">
        <f>IFERROR(__xludf.DUMMYFUNCTION("""COMPUTED_VALUE"""),655.8)</f>
        <v>655.8</v>
      </c>
      <c r="D44" s="6">
        <f>IFERROR(__xludf.DUMMYFUNCTION("""COMPUTED_VALUE"""),629.0)</f>
        <v>629</v>
      </c>
      <c r="E44" s="6">
        <f>IFERROR(__xludf.DUMMYFUNCTION("""COMPUTED_VALUE"""),650.1)</f>
        <v>650.1</v>
      </c>
      <c r="F44" s="6">
        <f>IFERROR(__xludf.DUMMYFUNCTION("""COMPUTED_VALUE"""),2.1739511E7)</f>
        <v>21739511</v>
      </c>
    </row>
    <row r="45">
      <c r="A45" s="7">
        <f>IFERROR(__xludf.DUMMYFUNCTION("""COMPUTED_VALUE"""),45492.64583333333)</f>
        <v>45492.64583</v>
      </c>
      <c r="B45" s="6">
        <f>IFERROR(__xludf.DUMMYFUNCTION("""COMPUTED_VALUE"""),658.95)</f>
        <v>658.95</v>
      </c>
      <c r="C45" s="6">
        <f>IFERROR(__xludf.DUMMYFUNCTION("""COMPUTED_VALUE"""),686.25)</f>
        <v>686.25</v>
      </c>
      <c r="D45" s="6">
        <f>IFERROR(__xludf.DUMMYFUNCTION("""COMPUTED_VALUE"""),646.7)</f>
        <v>646.7</v>
      </c>
      <c r="E45" s="6">
        <f>IFERROR(__xludf.DUMMYFUNCTION("""COMPUTED_VALUE"""),668.65)</f>
        <v>668.65</v>
      </c>
      <c r="F45" s="6">
        <f>IFERROR(__xludf.DUMMYFUNCTION("""COMPUTED_VALUE"""),1.2824804E7)</f>
        <v>12824804</v>
      </c>
    </row>
    <row r="46">
      <c r="A46" s="7">
        <f>IFERROR(__xludf.DUMMYFUNCTION("""COMPUTED_VALUE"""),45499.64583333333)</f>
        <v>45499.64583</v>
      </c>
      <c r="B46" s="6">
        <f>IFERROR(__xludf.DUMMYFUNCTION("""COMPUTED_VALUE"""),669.95)</f>
        <v>669.95</v>
      </c>
      <c r="C46" s="6">
        <f>IFERROR(__xludf.DUMMYFUNCTION("""COMPUTED_VALUE"""),682.0)</f>
        <v>682</v>
      </c>
      <c r="D46" s="6">
        <f>IFERROR(__xludf.DUMMYFUNCTION("""COMPUTED_VALUE"""),649.1)</f>
        <v>649.1</v>
      </c>
      <c r="E46" s="6">
        <f>IFERROR(__xludf.DUMMYFUNCTION("""COMPUTED_VALUE"""),679.75)</f>
        <v>679.75</v>
      </c>
      <c r="F46" s="6">
        <f>IFERROR(__xludf.DUMMYFUNCTION("""COMPUTED_VALUE"""),1.0953948E7)</f>
        <v>10953948</v>
      </c>
    </row>
    <row r="47">
      <c r="A47" s="7">
        <f>IFERROR(__xludf.DUMMYFUNCTION("""COMPUTED_VALUE"""),45506.64583333333)</f>
        <v>45506.64583</v>
      </c>
      <c r="B47" s="6">
        <f>IFERROR(__xludf.DUMMYFUNCTION("""COMPUTED_VALUE"""),679.5)</f>
        <v>679.5</v>
      </c>
      <c r="C47" s="6">
        <f>IFERROR(__xludf.DUMMYFUNCTION("""COMPUTED_VALUE"""),691.0)</f>
        <v>691</v>
      </c>
      <c r="D47" s="6">
        <f>IFERROR(__xludf.DUMMYFUNCTION("""COMPUTED_VALUE"""),659.6)</f>
        <v>659.6</v>
      </c>
      <c r="E47" s="6">
        <f>IFERROR(__xludf.DUMMYFUNCTION("""COMPUTED_VALUE"""),662.4)</f>
        <v>662.4</v>
      </c>
      <c r="F47" s="6">
        <f>IFERROR(__xludf.DUMMYFUNCTION("""COMPUTED_VALUE"""),8734092.0)</f>
        <v>8734092</v>
      </c>
    </row>
    <row r="48">
      <c r="A48" s="7">
        <f>IFERROR(__xludf.DUMMYFUNCTION("""COMPUTED_VALUE"""),45513.64583333333)</f>
        <v>45513.64583</v>
      </c>
      <c r="B48" s="6">
        <f>IFERROR(__xludf.DUMMYFUNCTION("""COMPUTED_VALUE"""),656.15)</f>
        <v>656.15</v>
      </c>
      <c r="C48" s="6">
        <f>IFERROR(__xludf.DUMMYFUNCTION("""COMPUTED_VALUE"""),682.0)</f>
        <v>682</v>
      </c>
      <c r="D48" s="6">
        <f>IFERROR(__xludf.DUMMYFUNCTION("""COMPUTED_VALUE"""),626.25)</f>
        <v>626.25</v>
      </c>
      <c r="E48" s="6">
        <f>IFERROR(__xludf.DUMMYFUNCTION("""COMPUTED_VALUE"""),653.0)</f>
        <v>653</v>
      </c>
      <c r="F48" s="6">
        <f>IFERROR(__xludf.DUMMYFUNCTION("""COMPUTED_VALUE"""),2.3600936E7)</f>
        <v>23600936</v>
      </c>
    </row>
    <row r="49">
      <c r="A49" s="7">
        <f>IFERROR(__xludf.DUMMYFUNCTION("""COMPUTED_VALUE"""),45520.64583333333)</f>
        <v>45520.64583</v>
      </c>
      <c r="B49" s="6">
        <f>IFERROR(__xludf.DUMMYFUNCTION("""COMPUTED_VALUE"""),648.0)</f>
        <v>648</v>
      </c>
      <c r="C49" s="6">
        <f>IFERROR(__xludf.DUMMYFUNCTION("""COMPUTED_VALUE"""),665.75)</f>
        <v>665.75</v>
      </c>
      <c r="D49" s="6">
        <f>IFERROR(__xludf.DUMMYFUNCTION("""COMPUTED_VALUE"""),637.7)</f>
        <v>637.7</v>
      </c>
      <c r="E49" s="6">
        <f>IFERROR(__xludf.DUMMYFUNCTION("""COMPUTED_VALUE"""),661.05)</f>
        <v>661.05</v>
      </c>
      <c r="F49" s="6">
        <f>IFERROR(__xludf.DUMMYFUNCTION("""COMPUTED_VALUE"""),8854407.0)</f>
        <v>8854407</v>
      </c>
    </row>
    <row r="50">
      <c r="A50" s="7">
        <f>IFERROR(__xludf.DUMMYFUNCTION("""COMPUTED_VALUE"""),45527.64583333333)</f>
        <v>45527.64583</v>
      </c>
      <c r="B50" s="6">
        <f>IFERROR(__xludf.DUMMYFUNCTION("""COMPUTED_VALUE"""),666.2)</f>
        <v>666.2</v>
      </c>
      <c r="C50" s="6">
        <f>IFERROR(__xludf.DUMMYFUNCTION("""COMPUTED_VALUE"""),688.65)</f>
        <v>688.65</v>
      </c>
      <c r="D50" s="6">
        <f>IFERROR(__xludf.DUMMYFUNCTION("""COMPUTED_VALUE"""),660.8)</f>
        <v>660.8</v>
      </c>
      <c r="E50" s="6">
        <f>IFERROR(__xludf.DUMMYFUNCTION("""COMPUTED_VALUE"""),678.2)</f>
        <v>678.2</v>
      </c>
      <c r="F50" s="6">
        <f>IFERROR(__xludf.DUMMYFUNCTION("""COMPUTED_VALUE"""),7380555.0)</f>
        <v>7380555</v>
      </c>
    </row>
    <row r="51">
      <c r="A51" s="7">
        <f>IFERROR(__xludf.DUMMYFUNCTION("""COMPUTED_VALUE"""),45534.64583333333)</f>
        <v>45534.64583</v>
      </c>
      <c r="B51" s="6">
        <f>IFERROR(__xludf.DUMMYFUNCTION("""COMPUTED_VALUE"""),681.0)</f>
        <v>681</v>
      </c>
      <c r="C51" s="6">
        <f>IFERROR(__xludf.DUMMYFUNCTION("""COMPUTED_VALUE"""),692.8)</f>
        <v>692.8</v>
      </c>
      <c r="D51" s="6">
        <f>IFERROR(__xludf.DUMMYFUNCTION("""COMPUTED_VALUE"""),644.75)</f>
        <v>644.75</v>
      </c>
      <c r="E51" s="6">
        <f>IFERROR(__xludf.DUMMYFUNCTION("""COMPUTED_VALUE"""),647.15)</f>
        <v>647.15</v>
      </c>
      <c r="F51" s="6">
        <f>IFERROR(__xludf.DUMMYFUNCTION("""COMPUTED_VALUE"""),1.5620551E7)</f>
        <v>15620551</v>
      </c>
    </row>
    <row r="52">
      <c r="A52" s="7">
        <f>IFERROR(__xludf.DUMMYFUNCTION("""COMPUTED_VALUE"""),45541.64583333333)</f>
        <v>45541.64583</v>
      </c>
      <c r="B52" s="6">
        <f>IFERROR(__xludf.DUMMYFUNCTION("""COMPUTED_VALUE"""),648.0)</f>
        <v>648</v>
      </c>
      <c r="C52" s="6">
        <f>IFERROR(__xludf.DUMMYFUNCTION("""COMPUTED_VALUE"""),673.95)</f>
        <v>673.95</v>
      </c>
      <c r="D52" s="6">
        <f>IFERROR(__xludf.DUMMYFUNCTION("""COMPUTED_VALUE"""),633.0)</f>
        <v>633</v>
      </c>
      <c r="E52" s="6">
        <f>IFERROR(__xludf.DUMMYFUNCTION("""COMPUTED_VALUE"""),665.25)</f>
        <v>665.25</v>
      </c>
      <c r="F52" s="6">
        <f>IFERROR(__xludf.DUMMYFUNCTION("""COMPUTED_VALUE"""),1.6463119E7)</f>
        <v>16463119</v>
      </c>
    </row>
    <row r="53">
      <c r="A53" s="7">
        <f>IFERROR(__xludf.DUMMYFUNCTION("""COMPUTED_VALUE"""),45548.64583333333)</f>
        <v>45548.64583</v>
      </c>
      <c r="B53" s="6">
        <f>IFERROR(__xludf.DUMMYFUNCTION("""COMPUTED_VALUE"""),665.0)</f>
        <v>665</v>
      </c>
      <c r="C53" s="6">
        <f>IFERROR(__xludf.DUMMYFUNCTION("""COMPUTED_VALUE"""),690.2)</f>
        <v>690.2</v>
      </c>
      <c r="D53" s="6">
        <f>IFERROR(__xludf.DUMMYFUNCTION("""COMPUTED_VALUE"""),660.5)</f>
        <v>660.5</v>
      </c>
      <c r="E53" s="6">
        <f>IFERROR(__xludf.DUMMYFUNCTION("""COMPUTED_VALUE"""),681.95)</f>
        <v>681.95</v>
      </c>
      <c r="F53" s="6">
        <f>IFERROR(__xludf.DUMMYFUNCTION("""COMPUTED_VALUE"""),1.1938554E7)</f>
        <v>11938554</v>
      </c>
    </row>
    <row r="54">
      <c r="A54" s="7">
        <f>IFERROR(__xludf.DUMMYFUNCTION("""COMPUTED_VALUE"""),45555.64583333333)</f>
        <v>45555.64583</v>
      </c>
      <c r="B54" s="6">
        <f>IFERROR(__xludf.DUMMYFUNCTION("""COMPUTED_VALUE"""),683.05)</f>
        <v>683.05</v>
      </c>
      <c r="C54" s="6">
        <f>IFERROR(__xludf.DUMMYFUNCTION("""COMPUTED_VALUE"""),710.5)</f>
        <v>710.5</v>
      </c>
      <c r="D54" s="6">
        <f>IFERROR(__xludf.DUMMYFUNCTION("""COMPUTED_VALUE"""),675.55)</f>
        <v>675.55</v>
      </c>
      <c r="E54" s="6">
        <f>IFERROR(__xludf.DUMMYFUNCTION("""COMPUTED_VALUE"""),709.0)</f>
        <v>709</v>
      </c>
      <c r="F54" s="6">
        <f>IFERROR(__xludf.DUMMYFUNCTION("""COMPUTED_VALUE"""),9077184.0)</f>
        <v>9077184</v>
      </c>
    </row>
    <row r="55">
      <c r="A55" s="7">
        <f>IFERROR(__xludf.DUMMYFUNCTION("""COMPUTED_VALUE"""),45562.64583333333)</f>
        <v>45562.64583</v>
      </c>
      <c r="B55" s="6">
        <f>IFERROR(__xludf.DUMMYFUNCTION("""COMPUTED_VALUE"""),709.05)</f>
        <v>709.05</v>
      </c>
      <c r="C55" s="6">
        <f>IFERROR(__xludf.DUMMYFUNCTION("""COMPUTED_VALUE"""),713.5)</f>
        <v>713.5</v>
      </c>
      <c r="D55" s="6">
        <f>IFERROR(__xludf.DUMMYFUNCTION("""COMPUTED_VALUE"""),681.55)</f>
        <v>681.55</v>
      </c>
      <c r="E55" s="6">
        <f>IFERROR(__xludf.DUMMYFUNCTION("""COMPUTED_VALUE"""),692.45)</f>
        <v>692.45</v>
      </c>
      <c r="F55" s="6">
        <f>IFERROR(__xludf.DUMMYFUNCTION("""COMPUTED_VALUE"""),2.1963579E7)</f>
        <v>21963579</v>
      </c>
    </row>
    <row r="56">
      <c r="A56" s="7">
        <f>IFERROR(__xludf.DUMMYFUNCTION("""COMPUTED_VALUE"""),45569.64583333333)</f>
        <v>45569.64583</v>
      </c>
      <c r="B56" s="6">
        <f>IFERROR(__xludf.DUMMYFUNCTION("""COMPUTED_VALUE"""),680.5)</f>
        <v>680.5</v>
      </c>
      <c r="C56" s="6">
        <f>IFERROR(__xludf.DUMMYFUNCTION("""COMPUTED_VALUE"""),719.85)</f>
        <v>719.85</v>
      </c>
      <c r="D56" s="6">
        <f>IFERROR(__xludf.DUMMYFUNCTION("""COMPUTED_VALUE"""),680.5)</f>
        <v>680.5</v>
      </c>
      <c r="E56" s="6">
        <f>IFERROR(__xludf.DUMMYFUNCTION("""COMPUTED_VALUE"""),690.2)</f>
        <v>690.2</v>
      </c>
      <c r="F56" s="6">
        <f>IFERROR(__xludf.DUMMYFUNCTION("""COMPUTED_VALUE"""),1.1018938E7)</f>
        <v>11018938</v>
      </c>
    </row>
    <row r="57">
      <c r="A57" s="7">
        <f>IFERROR(__xludf.DUMMYFUNCTION("""COMPUTED_VALUE"""),45576.64583333333)</f>
        <v>45576.64583</v>
      </c>
      <c r="B57" s="6">
        <f>IFERROR(__xludf.DUMMYFUNCTION("""COMPUTED_VALUE"""),686.25)</f>
        <v>686.25</v>
      </c>
      <c r="C57" s="6">
        <f>IFERROR(__xludf.DUMMYFUNCTION("""COMPUTED_VALUE"""),704.65)</f>
        <v>704.65</v>
      </c>
      <c r="D57" s="6">
        <f>IFERROR(__xludf.DUMMYFUNCTION("""COMPUTED_VALUE"""),673.8)</f>
        <v>673.8</v>
      </c>
      <c r="E57" s="6">
        <f>IFERROR(__xludf.DUMMYFUNCTION("""COMPUTED_VALUE"""),685.5)</f>
        <v>685.5</v>
      </c>
      <c r="F57" s="6">
        <f>IFERROR(__xludf.DUMMYFUNCTION("""COMPUTED_VALUE"""),7005441.0)</f>
        <v>7005441</v>
      </c>
    </row>
    <row r="58">
      <c r="A58" s="7">
        <f>IFERROR(__xludf.DUMMYFUNCTION("""COMPUTED_VALUE"""),45583.64583333333)</f>
        <v>45583.64583</v>
      </c>
      <c r="B58" s="6">
        <f>IFERROR(__xludf.DUMMYFUNCTION("""COMPUTED_VALUE"""),685.5)</f>
        <v>685.5</v>
      </c>
      <c r="C58" s="6">
        <f>IFERROR(__xludf.DUMMYFUNCTION("""COMPUTED_VALUE"""),692.5)</f>
        <v>692.5</v>
      </c>
      <c r="D58" s="6">
        <f>IFERROR(__xludf.DUMMYFUNCTION("""COMPUTED_VALUE"""),654.6)</f>
        <v>654.6</v>
      </c>
      <c r="E58" s="6">
        <f>IFERROR(__xludf.DUMMYFUNCTION("""COMPUTED_VALUE"""),669.3)</f>
        <v>669.3</v>
      </c>
      <c r="F58" s="6">
        <f>IFERROR(__xludf.DUMMYFUNCTION("""COMPUTED_VALUE"""),9593468.0)</f>
        <v>9593468</v>
      </c>
    </row>
    <row r="59">
      <c r="A59" s="7">
        <f>IFERROR(__xludf.DUMMYFUNCTION("""COMPUTED_VALUE"""),45590.64583333333)</f>
        <v>45590.64583</v>
      </c>
      <c r="B59" s="6">
        <f>IFERROR(__xludf.DUMMYFUNCTION("""COMPUTED_VALUE"""),665.1)</f>
        <v>665.1</v>
      </c>
      <c r="C59" s="6">
        <f>IFERROR(__xludf.DUMMYFUNCTION("""COMPUTED_VALUE"""),670.1)</f>
        <v>670.1</v>
      </c>
      <c r="D59" s="6">
        <f>IFERROR(__xludf.DUMMYFUNCTION("""COMPUTED_VALUE"""),631.05)</f>
        <v>631.05</v>
      </c>
      <c r="E59" s="6">
        <f>IFERROR(__xludf.DUMMYFUNCTION("""COMPUTED_VALUE"""),640.1)</f>
        <v>640.1</v>
      </c>
      <c r="F59" s="6">
        <f>IFERROR(__xludf.DUMMYFUNCTION("""COMPUTED_VALUE"""),7542971.0)</f>
        <v>7542971</v>
      </c>
    </row>
    <row r="60">
      <c r="A60" s="7">
        <f>IFERROR(__xludf.DUMMYFUNCTION("""COMPUTED_VALUE"""),45604.64583333333)</f>
        <v>45604.64583</v>
      </c>
      <c r="B60" s="6">
        <f>IFERROR(__xludf.DUMMYFUNCTION("""COMPUTED_VALUE"""),642.6)</f>
        <v>642.6</v>
      </c>
      <c r="C60" s="6">
        <f>IFERROR(__xludf.DUMMYFUNCTION("""COMPUTED_VALUE"""),650.0)</f>
        <v>650</v>
      </c>
      <c r="D60" s="6">
        <f>IFERROR(__xludf.DUMMYFUNCTION("""COMPUTED_VALUE"""),624.8)</f>
        <v>624.8</v>
      </c>
      <c r="E60" s="6">
        <f>IFERROR(__xludf.DUMMYFUNCTION("""COMPUTED_VALUE"""),629.85)</f>
        <v>629.85</v>
      </c>
      <c r="F60" s="6">
        <f>IFERROR(__xludf.DUMMYFUNCTION("""COMPUTED_VALUE"""),6352901.0)</f>
        <v>6352901</v>
      </c>
    </row>
    <row r="61">
      <c r="A61" s="7">
        <f>IFERROR(__xludf.DUMMYFUNCTION("""COMPUTED_VALUE"""),45610.64583333333)</f>
        <v>45610.64583</v>
      </c>
      <c r="B61" s="6">
        <f>IFERROR(__xludf.DUMMYFUNCTION("""COMPUTED_VALUE"""),625.0)</f>
        <v>625</v>
      </c>
      <c r="C61" s="6">
        <f>IFERROR(__xludf.DUMMYFUNCTION("""COMPUTED_VALUE"""),628.3)</f>
        <v>628.3</v>
      </c>
      <c r="D61" s="6">
        <f>IFERROR(__xludf.DUMMYFUNCTION("""COMPUTED_VALUE"""),589.05)</f>
        <v>589.05</v>
      </c>
      <c r="E61" s="6">
        <f>IFERROR(__xludf.DUMMYFUNCTION("""COMPUTED_VALUE"""),592.25)</f>
        <v>592.25</v>
      </c>
      <c r="F61" s="6">
        <f>IFERROR(__xludf.DUMMYFUNCTION("""COMPUTED_VALUE"""),1.2546107E7)</f>
        <v>12546107</v>
      </c>
    </row>
    <row r="62">
      <c r="A62" s="7">
        <f>IFERROR(__xludf.DUMMYFUNCTION("""COMPUTED_VALUE"""),45618.64583333333)</f>
        <v>45618.64583</v>
      </c>
      <c r="B62" s="6">
        <f>IFERROR(__xludf.DUMMYFUNCTION("""COMPUTED_VALUE"""),592.25)</f>
        <v>592.25</v>
      </c>
      <c r="C62" s="6">
        <f>IFERROR(__xludf.DUMMYFUNCTION("""COMPUTED_VALUE"""),601.65)</f>
        <v>601.65</v>
      </c>
      <c r="D62" s="6">
        <f>IFERROR(__xludf.DUMMYFUNCTION("""COMPUTED_VALUE"""),579.6)</f>
        <v>579.6</v>
      </c>
      <c r="E62" s="6">
        <f>IFERROR(__xludf.DUMMYFUNCTION("""COMPUTED_VALUE"""),599.15)</f>
        <v>599.15</v>
      </c>
      <c r="F62" s="6">
        <f>IFERROR(__xludf.DUMMYFUNCTION("""COMPUTED_VALUE"""),4602604.0)</f>
        <v>4602604</v>
      </c>
    </row>
    <row r="63">
      <c r="A63" s="7">
        <f>IFERROR(__xludf.DUMMYFUNCTION("""COMPUTED_VALUE"""),45625.64583333333)</f>
        <v>45625.64583</v>
      </c>
      <c r="B63" s="6">
        <f>IFERROR(__xludf.DUMMYFUNCTION("""COMPUTED_VALUE"""),604.15)</f>
        <v>604.15</v>
      </c>
      <c r="C63" s="6">
        <f>IFERROR(__xludf.DUMMYFUNCTION("""COMPUTED_VALUE"""),664.1)</f>
        <v>664.1</v>
      </c>
      <c r="D63" s="6">
        <f>IFERROR(__xludf.DUMMYFUNCTION("""COMPUTED_VALUE"""),598.8)</f>
        <v>598.8</v>
      </c>
      <c r="E63" s="6">
        <f>IFERROR(__xludf.DUMMYFUNCTION("""COMPUTED_VALUE"""),644.95)</f>
        <v>644.95</v>
      </c>
      <c r="F63" s="6">
        <f>IFERROR(__xludf.DUMMYFUNCTION("""COMPUTED_VALUE"""),2.4856108E7)</f>
        <v>24856108</v>
      </c>
    </row>
    <row r="64">
      <c r="A64" s="7">
        <f>IFERROR(__xludf.DUMMYFUNCTION("""COMPUTED_VALUE"""),45632.64583333333)</f>
        <v>45632.64583</v>
      </c>
      <c r="B64" s="6">
        <f>IFERROR(__xludf.DUMMYFUNCTION("""COMPUTED_VALUE"""),637.1)</f>
        <v>637.1</v>
      </c>
      <c r="C64" s="6">
        <f>IFERROR(__xludf.DUMMYFUNCTION("""COMPUTED_VALUE"""),649.15)</f>
        <v>649.15</v>
      </c>
      <c r="D64" s="6">
        <f>IFERROR(__xludf.DUMMYFUNCTION("""COMPUTED_VALUE"""),627.05)</f>
        <v>627.05</v>
      </c>
      <c r="E64" s="6">
        <f>IFERROR(__xludf.DUMMYFUNCTION("""COMPUTED_VALUE"""),633.65)</f>
        <v>633.65</v>
      </c>
      <c r="F64" s="6">
        <f>IFERROR(__xludf.DUMMYFUNCTION("""COMPUTED_VALUE"""),6364437.0)</f>
        <v>6364437</v>
      </c>
    </row>
    <row r="65">
      <c r="A65" s="7">
        <f>IFERROR(__xludf.DUMMYFUNCTION("""COMPUTED_VALUE"""),45639.64583333333)</f>
        <v>45639.64583</v>
      </c>
      <c r="B65" s="6">
        <f>IFERROR(__xludf.DUMMYFUNCTION("""COMPUTED_VALUE"""),621.1)</f>
        <v>621.1</v>
      </c>
      <c r="C65" s="6">
        <f>IFERROR(__xludf.DUMMYFUNCTION("""COMPUTED_VALUE"""),648.6)</f>
        <v>648.6</v>
      </c>
      <c r="D65" s="6">
        <f>IFERROR(__xludf.DUMMYFUNCTION("""COMPUTED_VALUE"""),600.55)</f>
        <v>600.55</v>
      </c>
      <c r="E65" s="6">
        <f>IFERROR(__xludf.DUMMYFUNCTION("""COMPUTED_VALUE"""),639.8)</f>
        <v>639.8</v>
      </c>
      <c r="F65" s="6">
        <f>IFERROR(__xludf.DUMMYFUNCTION("""COMPUTED_VALUE"""),1.3600569E7)</f>
        <v>13600569</v>
      </c>
    </row>
    <row r="66">
      <c r="A66" s="7">
        <f>IFERROR(__xludf.DUMMYFUNCTION("""COMPUTED_VALUE"""),45646.64583333333)</f>
        <v>45646.64583</v>
      </c>
      <c r="B66" s="6">
        <f>IFERROR(__xludf.DUMMYFUNCTION("""COMPUTED_VALUE"""),639.65)</f>
        <v>639.65</v>
      </c>
      <c r="C66" s="6">
        <f>IFERROR(__xludf.DUMMYFUNCTION("""COMPUTED_VALUE"""),648.0)</f>
        <v>648</v>
      </c>
      <c r="D66" s="6">
        <f>IFERROR(__xludf.DUMMYFUNCTION("""COMPUTED_VALUE"""),626.0)</f>
        <v>626</v>
      </c>
      <c r="E66" s="6">
        <f>IFERROR(__xludf.DUMMYFUNCTION("""COMPUTED_VALUE"""),627.95)</f>
        <v>627.95</v>
      </c>
      <c r="F66" s="6">
        <f>IFERROR(__xludf.DUMMYFUNCTION("""COMPUTED_VALUE"""),9612036.0)</f>
        <v>9612036</v>
      </c>
    </row>
    <row r="67">
      <c r="A67" s="7">
        <f>IFERROR(__xludf.DUMMYFUNCTION("""COMPUTED_VALUE"""),45653.64583333333)</f>
        <v>45653.64583</v>
      </c>
      <c r="B67" s="6">
        <f>IFERROR(__xludf.DUMMYFUNCTION("""COMPUTED_VALUE"""),625.15)</f>
        <v>625.15</v>
      </c>
      <c r="C67" s="6">
        <f>IFERROR(__xludf.DUMMYFUNCTION("""COMPUTED_VALUE"""),645.7)</f>
        <v>645.7</v>
      </c>
      <c r="D67" s="6">
        <f>IFERROR(__xludf.DUMMYFUNCTION("""COMPUTED_VALUE"""),620.2)</f>
        <v>620.2</v>
      </c>
      <c r="E67" s="6">
        <f>IFERROR(__xludf.DUMMYFUNCTION("""COMPUTED_VALUE"""),632.6)</f>
        <v>632.6</v>
      </c>
      <c r="F67" s="6">
        <f>IFERROR(__xludf.DUMMYFUNCTION("""COMPUTED_VALUE"""),4193796.0)</f>
        <v>4193796</v>
      </c>
    </row>
    <row r="68">
      <c r="A68" s="7">
        <f>IFERROR(__xludf.DUMMYFUNCTION("""COMPUTED_VALUE"""),45660.64583333333)</f>
        <v>45660.64583</v>
      </c>
      <c r="B68" s="6">
        <f>IFERROR(__xludf.DUMMYFUNCTION("""COMPUTED_VALUE"""),632.6)</f>
        <v>632.6</v>
      </c>
      <c r="C68" s="6">
        <f>IFERROR(__xludf.DUMMYFUNCTION("""COMPUTED_VALUE"""),663.65)</f>
        <v>663.65</v>
      </c>
      <c r="D68" s="6">
        <f>IFERROR(__xludf.DUMMYFUNCTION("""COMPUTED_VALUE"""),628.2)</f>
        <v>628.2</v>
      </c>
      <c r="E68" s="6">
        <f>IFERROR(__xludf.DUMMYFUNCTION("""COMPUTED_VALUE"""),660.95)</f>
        <v>660.95</v>
      </c>
      <c r="F68" s="6">
        <f>IFERROR(__xludf.DUMMYFUNCTION("""COMPUTED_VALUE"""),7624069.0)</f>
        <v>7624069</v>
      </c>
    </row>
    <row r="69">
      <c r="A69" s="7">
        <f>IFERROR(__xludf.DUMMYFUNCTION("""COMPUTED_VALUE"""),45667.64583333333)</f>
        <v>45667.64583</v>
      </c>
      <c r="B69" s="6">
        <f>IFERROR(__xludf.DUMMYFUNCTION("""COMPUTED_VALUE"""),667.0)</f>
        <v>667</v>
      </c>
      <c r="C69" s="6">
        <f>IFERROR(__xludf.DUMMYFUNCTION("""COMPUTED_VALUE"""),679.6)</f>
        <v>679.6</v>
      </c>
      <c r="D69" s="6">
        <f>IFERROR(__xludf.DUMMYFUNCTION("""COMPUTED_VALUE"""),623.25)</f>
        <v>623.25</v>
      </c>
      <c r="E69" s="6">
        <f>IFERROR(__xludf.DUMMYFUNCTION("""COMPUTED_VALUE"""),673.9)</f>
        <v>673.9</v>
      </c>
      <c r="F69" s="6">
        <f>IFERROR(__xludf.DUMMYFUNCTION("""COMPUTED_VALUE"""),1.2294266E7)</f>
        <v>12294266</v>
      </c>
    </row>
    <row r="70">
      <c r="A70" s="7">
        <f>IFERROR(__xludf.DUMMYFUNCTION("""COMPUTED_VALUE"""),45674.64583333333)</f>
        <v>45674.64583</v>
      </c>
      <c r="B70" s="6">
        <f>IFERROR(__xludf.DUMMYFUNCTION("""COMPUTED_VALUE"""),671.0)</f>
        <v>671</v>
      </c>
      <c r="C70" s="6">
        <f>IFERROR(__xludf.DUMMYFUNCTION("""COMPUTED_VALUE"""),675.25)</f>
        <v>675.25</v>
      </c>
      <c r="D70" s="6">
        <f>IFERROR(__xludf.DUMMYFUNCTION("""COMPUTED_VALUE"""),645.4)</f>
        <v>645.4</v>
      </c>
      <c r="E70" s="6">
        <f>IFERROR(__xludf.DUMMYFUNCTION("""COMPUTED_VALUE"""),664.4)</f>
        <v>664.4</v>
      </c>
      <c r="F70" s="6">
        <f>IFERROR(__xludf.DUMMYFUNCTION("""COMPUTED_VALUE"""),8805748.0)</f>
        <v>8805748</v>
      </c>
    </row>
    <row r="71">
      <c r="A71" s="7">
        <f>IFERROR(__xludf.DUMMYFUNCTION("""COMPUTED_VALUE"""),45681.64583333333)</f>
        <v>45681.64583</v>
      </c>
      <c r="B71" s="6">
        <f>IFERROR(__xludf.DUMMYFUNCTION("""COMPUTED_VALUE"""),667.45)</f>
        <v>667.45</v>
      </c>
      <c r="C71" s="6">
        <f>IFERROR(__xludf.DUMMYFUNCTION("""COMPUTED_VALUE"""),674.35)</f>
        <v>674.35</v>
      </c>
      <c r="D71" s="6">
        <f>IFERROR(__xludf.DUMMYFUNCTION("""COMPUTED_VALUE"""),655.35)</f>
        <v>655.35</v>
      </c>
      <c r="E71" s="6">
        <f>IFERROR(__xludf.DUMMYFUNCTION("""COMPUTED_VALUE"""),666.2)</f>
        <v>666.2</v>
      </c>
      <c r="F71" s="6">
        <f>IFERROR(__xludf.DUMMYFUNCTION("""COMPUTED_VALUE"""),5957088.0)</f>
        <v>5957088</v>
      </c>
    </row>
    <row r="72">
      <c r="A72" s="7">
        <f>IFERROR(__xludf.DUMMYFUNCTION("""COMPUTED_VALUE"""),45695.64583333333)</f>
        <v>45695.64583</v>
      </c>
      <c r="B72" s="6">
        <f>IFERROR(__xludf.DUMMYFUNCTION("""COMPUTED_VALUE"""),688.4)</f>
        <v>688.4</v>
      </c>
      <c r="C72" s="6">
        <f>IFERROR(__xludf.DUMMYFUNCTION("""COMPUTED_VALUE"""),690.05)</f>
        <v>690.05</v>
      </c>
      <c r="D72" s="6">
        <f>IFERROR(__xludf.DUMMYFUNCTION("""COMPUTED_VALUE"""),644.95)</f>
        <v>644.95</v>
      </c>
      <c r="E72" s="6">
        <f>IFERROR(__xludf.DUMMYFUNCTION("""COMPUTED_VALUE"""),649.25)</f>
        <v>649.25</v>
      </c>
      <c r="F72" s="6">
        <f>IFERROR(__xludf.DUMMYFUNCTION("""COMPUTED_VALUE"""),7939104.0)</f>
        <v>7939104</v>
      </c>
    </row>
    <row r="73">
      <c r="A73" s="7">
        <f>IFERROR(__xludf.DUMMYFUNCTION("""COMPUTED_VALUE"""),45702.64583333333)</f>
        <v>45702.64583</v>
      </c>
      <c r="B73" s="6">
        <f>IFERROR(__xludf.DUMMYFUNCTION("""COMPUTED_VALUE"""),648.45)</f>
        <v>648.45</v>
      </c>
      <c r="C73" s="6">
        <f>IFERROR(__xludf.DUMMYFUNCTION("""COMPUTED_VALUE"""),652.0)</f>
        <v>652</v>
      </c>
      <c r="D73" s="6">
        <f>IFERROR(__xludf.DUMMYFUNCTION("""COMPUTED_VALUE"""),620.3)</f>
        <v>620.3</v>
      </c>
      <c r="E73" s="6">
        <f>IFERROR(__xludf.DUMMYFUNCTION("""COMPUTED_VALUE"""),633.75)</f>
        <v>633.75</v>
      </c>
      <c r="F73" s="6">
        <f>IFERROR(__xludf.DUMMYFUNCTION("""COMPUTED_VALUE"""),7650865.0)</f>
        <v>7650865</v>
      </c>
    </row>
    <row r="74">
      <c r="A74" s="7">
        <f>IFERROR(__xludf.DUMMYFUNCTION("""COMPUTED_VALUE"""),45709.64583333333)</f>
        <v>45709.64583</v>
      </c>
      <c r="B74" s="6">
        <f>IFERROR(__xludf.DUMMYFUNCTION("""COMPUTED_VALUE"""),625.5)</f>
        <v>625.5</v>
      </c>
      <c r="C74" s="6">
        <f>IFERROR(__xludf.DUMMYFUNCTION("""COMPUTED_VALUE"""),644.65)</f>
        <v>644.65</v>
      </c>
      <c r="D74" s="6">
        <f>IFERROR(__xludf.DUMMYFUNCTION("""COMPUTED_VALUE"""),613.6)</f>
        <v>613.6</v>
      </c>
      <c r="E74" s="6">
        <f>IFERROR(__xludf.DUMMYFUNCTION("""COMPUTED_VALUE"""),624.8)</f>
        <v>624.8</v>
      </c>
      <c r="F74" s="6">
        <f>IFERROR(__xludf.DUMMYFUNCTION("""COMPUTED_VALUE"""),6175189.0)</f>
        <v>6175189</v>
      </c>
    </row>
    <row r="75">
      <c r="A75" s="7">
        <f>IFERROR(__xludf.DUMMYFUNCTION("""COMPUTED_VALUE"""),45716.64583333333)</f>
        <v>45716.64583</v>
      </c>
      <c r="B75" s="6">
        <f>IFERROR(__xludf.DUMMYFUNCTION("""COMPUTED_VALUE"""),611.0)</f>
        <v>611</v>
      </c>
      <c r="C75" s="6">
        <f>IFERROR(__xludf.DUMMYFUNCTION("""COMPUTED_VALUE"""),625.85)</f>
        <v>625.85</v>
      </c>
      <c r="D75" s="6">
        <f>IFERROR(__xludf.DUMMYFUNCTION("""COMPUTED_VALUE"""),598.05)</f>
        <v>598.05</v>
      </c>
      <c r="E75" s="6">
        <f>IFERROR(__xludf.DUMMYFUNCTION("""COMPUTED_VALUE"""),600.6)</f>
        <v>600.6</v>
      </c>
      <c r="F75" s="6">
        <f>IFERROR(__xludf.DUMMYFUNCTION("""COMPUTED_VALUE"""),6889193.0)</f>
        <v>6889193</v>
      </c>
    </row>
    <row r="76">
      <c r="A76" s="7">
        <f>IFERROR(__xludf.DUMMYFUNCTION("""COMPUTED_VALUE"""),45723.64583333333)</f>
        <v>45723.64583</v>
      </c>
      <c r="B76" s="6">
        <f>IFERROR(__xludf.DUMMYFUNCTION("""COMPUTED_VALUE"""),596.8)</f>
        <v>596.8</v>
      </c>
      <c r="C76" s="6">
        <f>IFERROR(__xludf.DUMMYFUNCTION("""COMPUTED_VALUE"""),613.35)</f>
        <v>613.35</v>
      </c>
      <c r="D76" s="6">
        <f>IFERROR(__xludf.DUMMYFUNCTION("""COMPUTED_VALUE"""),577.85)</f>
        <v>577.85</v>
      </c>
      <c r="E76" s="6">
        <f>IFERROR(__xludf.DUMMYFUNCTION("""COMPUTED_VALUE"""),609.65)</f>
        <v>609.65</v>
      </c>
      <c r="F76" s="6">
        <f>IFERROR(__xludf.DUMMYFUNCTION("""COMPUTED_VALUE"""),1.2841994E7)</f>
        <v>12841994</v>
      </c>
    </row>
    <row r="77">
      <c r="A77" s="7">
        <f>IFERROR(__xludf.DUMMYFUNCTION("""COMPUTED_VALUE"""),45729.64583333333)</f>
        <v>45729.64583</v>
      </c>
      <c r="B77" s="6">
        <f>IFERROR(__xludf.DUMMYFUNCTION("""COMPUTED_VALUE"""),609.95)</f>
        <v>609.95</v>
      </c>
      <c r="C77" s="6">
        <f>IFERROR(__xludf.DUMMYFUNCTION("""COMPUTED_VALUE"""),615.0)</f>
        <v>615</v>
      </c>
      <c r="D77" s="6">
        <f>IFERROR(__xludf.DUMMYFUNCTION("""COMPUTED_VALUE"""),592.7)</f>
        <v>592.7</v>
      </c>
      <c r="E77" s="6">
        <f>IFERROR(__xludf.DUMMYFUNCTION("""COMPUTED_VALUE"""),606.3)</f>
        <v>606.3</v>
      </c>
      <c r="F77" s="6">
        <f>IFERROR(__xludf.DUMMYFUNCTION("""COMPUTED_VALUE"""),7783100.0)</f>
        <v>7783100</v>
      </c>
    </row>
    <row r="78">
      <c r="A78" s="7">
        <f>IFERROR(__xludf.DUMMYFUNCTION("""COMPUTED_VALUE"""),45737.64583333333)</f>
        <v>45737.64583</v>
      </c>
      <c r="B78" s="6">
        <f>IFERROR(__xludf.DUMMYFUNCTION("""COMPUTED_VALUE"""),611.9)</f>
        <v>611.9</v>
      </c>
      <c r="C78" s="6">
        <f>IFERROR(__xludf.DUMMYFUNCTION("""COMPUTED_VALUE"""),634.55)</f>
        <v>634.55</v>
      </c>
      <c r="D78" s="6">
        <f>IFERROR(__xludf.DUMMYFUNCTION("""COMPUTED_VALUE"""),610.0)</f>
        <v>610</v>
      </c>
      <c r="E78" s="6">
        <f>IFERROR(__xludf.DUMMYFUNCTION("""COMPUTED_VALUE"""),630.8)</f>
        <v>630.8</v>
      </c>
      <c r="F78" s="6">
        <f>IFERROR(__xludf.DUMMYFUNCTION("""COMPUTED_VALUE"""),4795054.0)</f>
        <v>4795054</v>
      </c>
    </row>
    <row r="79">
      <c r="A79" s="7">
        <f>IFERROR(__xludf.DUMMYFUNCTION("""COMPUTED_VALUE"""),45744.64583333333)</f>
        <v>45744.64583</v>
      </c>
      <c r="B79" s="6">
        <f>IFERROR(__xludf.DUMMYFUNCTION("""COMPUTED_VALUE"""),635.2)</f>
        <v>635.2</v>
      </c>
      <c r="C79" s="6">
        <f>IFERROR(__xludf.DUMMYFUNCTION("""COMPUTED_VALUE"""),661.0)</f>
        <v>661</v>
      </c>
      <c r="D79" s="6">
        <f>IFERROR(__xludf.DUMMYFUNCTION("""COMPUTED_VALUE"""),622.2)</f>
        <v>622.2</v>
      </c>
      <c r="E79" s="6">
        <f>IFERROR(__xludf.DUMMYFUNCTION("""COMPUTED_VALUE"""),651.65)</f>
        <v>651.65</v>
      </c>
      <c r="F79" s="6">
        <f>IFERROR(__xludf.DUMMYFUNCTION("""COMPUTED_VALUE"""),6591314.0)</f>
        <v>6591314</v>
      </c>
    </row>
    <row r="80">
      <c r="A80" s="7">
        <f>IFERROR(__xludf.DUMMYFUNCTION("""COMPUTED_VALUE"""),45751.64583333333)</f>
        <v>45751.64583</v>
      </c>
      <c r="B80" s="6">
        <f>IFERROR(__xludf.DUMMYFUNCTION("""COMPUTED_VALUE"""),641.0)</f>
        <v>641</v>
      </c>
      <c r="C80" s="6">
        <f>IFERROR(__xludf.DUMMYFUNCTION("""COMPUTED_VALUE"""),682.0)</f>
        <v>682</v>
      </c>
      <c r="D80" s="6">
        <f>IFERROR(__xludf.DUMMYFUNCTION("""COMPUTED_VALUE"""),641.0)</f>
        <v>641</v>
      </c>
      <c r="E80" s="6">
        <f>IFERROR(__xludf.DUMMYFUNCTION("""COMPUTED_VALUE"""),677.3)</f>
        <v>677.3</v>
      </c>
      <c r="F80" s="6">
        <f>IFERROR(__xludf.DUMMYFUNCTION("""COMPUTED_VALUE"""),9657833.0)</f>
        <v>9657833</v>
      </c>
    </row>
    <row r="81">
      <c r="A81" s="7">
        <f>IFERROR(__xludf.DUMMYFUNCTION("""COMPUTED_VALUE"""),45758.64583333333)</f>
        <v>45758.64583</v>
      </c>
      <c r="B81" s="6">
        <f>IFERROR(__xludf.DUMMYFUNCTION("""COMPUTED_VALUE"""),650.0)</f>
        <v>650</v>
      </c>
      <c r="C81" s="6">
        <f>IFERROR(__xludf.DUMMYFUNCTION("""COMPUTED_VALUE"""),714.65)</f>
        <v>714.65</v>
      </c>
      <c r="D81" s="6">
        <f>IFERROR(__xludf.DUMMYFUNCTION("""COMPUTED_VALUE"""),647.55)</f>
        <v>647.55</v>
      </c>
      <c r="E81" s="6">
        <f>IFERROR(__xludf.DUMMYFUNCTION("""COMPUTED_VALUE"""),709.95)</f>
        <v>709.95</v>
      </c>
      <c r="F81" s="6">
        <f>IFERROR(__xludf.DUMMYFUNCTION("""COMPUTED_VALUE"""),1.4750156E7)</f>
        <v>14750156</v>
      </c>
    </row>
    <row r="82">
      <c r="A82" s="7">
        <f>IFERROR(__xludf.DUMMYFUNCTION("""COMPUTED_VALUE"""),45764.64583333333)</f>
        <v>45764.64583</v>
      </c>
      <c r="B82" s="6">
        <f>IFERROR(__xludf.DUMMYFUNCTION("""COMPUTED_VALUE"""),716.0)</f>
        <v>716</v>
      </c>
      <c r="C82" s="6">
        <f>IFERROR(__xludf.DUMMYFUNCTION("""COMPUTED_VALUE"""),726.3)</f>
        <v>726.3</v>
      </c>
      <c r="D82" s="6">
        <f>IFERROR(__xludf.DUMMYFUNCTION("""COMPUTED_VALUE"""),701.4)</f>
        <v>701.4</v>
      </c>
      <c r="E82" s="6">
        <f>IFERROR(__xludf.DUMMYFUNCTION("""COMPUTED_VALUE"""),714.8)</f>
        <v>714.8</v>
      </c>
      <c r="F82" s="6">
        <f>IFERROR(__xludf.DUMMYFUNCTION("""COMPUTED_VALUE"""),1.0400384E7)</f>
        <v>10400384</v>
      </c>
    </row>
    <row r="83">
      <c r="A83" s="7">
        <f>IFERROR(__xludf.DUMMYFUNCTION("""COMPUTED_VALUE"""),45772.64583333333)</f>
        <v>45772.64583</v>
      </c>
      <c r="B83" s="6">
        <f>IFERROR(__xludf.DUMMYFUNCTION("""COMPUTED_VALUE"""),714.8)</f>
        <v>714.8</v>
      </c>
      <c r="C83" s="6">
        <f>IFERROR(__xludf.DUMMYFUNCTION("""COMPUTED_VALUE"""),722.8)</f>
        <v>722.8</v>
      </c>
      <c r="D83" s="6">
        <f>IFERROR(__xludf.DUMMYFUNCTION("""COMPUTED_VALUE"""),694.1)</f>
        <v>694.1</v>
      </c>
      <c r="E83" s="6">
        <f>IFERROR(__xludf.DUMMYFUNCTION("""COMPUTED_VALUE"""),710.4)</f>
        <v>710.4</v>
      </c>
      <c r="F83" s="6">
        <f>IFERROR(__xludf.DUMMYFUNCTION("""COMPUTED_VALUE"""),1.1353715E7)</f>
        <v>11353715</v>
      </c>
    </row>
    <row r="84">
      <c r="A84" s="7">
        <f>IFERROR(__xludf.DUMMYFUNCTION("""COMPUTED_VALUE"""),45779.64583333333)</f>
        <v>45779.64583</v>
      </c>
      <c r="B84" s="6">
        <f>IFERROR(__xludf.DUMMYFUNCTION("""COMPUTED_VALUE"""),707.7)</f>
        <v>707.7</v>
      </c>
      <c r="C84" s="6">
        <f>IFERROR(__xludf.DUMMYFUNCTION("""COMPUTED_VALUE"""),723.95)</f>
        <v>723.95</v>
      </c>
      <c r="D84" s="6">
        <f>IFERROR(__xludf.DUMMYFUNCTION("""COMPUTED_VALUE"""),696.0)</f>
        <v>696</v>
      </c>
      <c r="E84" s="6">
        <f>IFERROR(__xludf.DUMMYFUNCTION("""COMPUTED_VALUE"""),697.75)</f>
        <v>697.75</v>
      </c>
      <c r="F84" s="6">
        <f>IFERROR(__xludf.DUMMYFUNCTION("""COMPUTED_VALUE"""),7556917.0)</f>
        <v>7556917</v>
      </c>
    </row>
    <row r="85">
      <c r="A85" s="7">
        <f>IFERROR(__xludf.DUMMYFUNCTION("""COMPUTED_VALUE"""),45786.64583333333)</f>
        <v>45786.64583</v>
      </c>
      <c r="B85" s="6">
        <f>IFERROR(__xludf.DUMMYFUNCTION("""COMPUTED_VALUE"""),709.8)</f>
        <v>709.8</v>
      </c>
      <c r="C85" s="6">
        <f>IFERROR(__xludf.DUMMYFUNCTION("""COMPUTED_VALUE"""),740.2)</f>
        <v>740.2</v>
      </c>
      <c r="D85" s="6">
        <f>IFERROR(__xludf.DUMMYFUNCTION("""COMPUTED_VALUE"""),707.0)</f>
        <v>707</v>
      </c>
      <c r="E85" s="6">
        <f>IFERROR(__xludf.DUMMYFUNCTION("""COMPUTED_VALUE"""),723.3)</f>
        <v>723.3</v>
      </c>
      <c r="F85" s="6">
        <f>IFERROR(__xludf.DUMMYFUNCTION("""COMPUTED_VALUE"""),2.0292629E7)</f>
        <v>20292629</v>
      </c>
    </row>
    <row r="86">
      <c r="A86" s="7">
        <f>IFERROR(__xludf.DUMMYFUNCTION("""COMPUTED_VALUE"""),45793.64583333333)</f>
        <v>45793.64583</v>
      </c>
      <c r="B86" s="6">
        <f>IFERROR(__xludf.DUMMYFUNCTION("""COMPUTED_VALUE"""),734.95)</f>
        <v>734.95</v>
      </c>
      <c r="C86" s="6">
        <f>IFERROR(__xludf.DUMMYFUNCTION("""COMPUTED_VALUE"""),739.0)</f>
        <v>739</v>
      </c>
      <c r="D86" s="6">
        <f>IFERROR(__xludf.DUMMYFUNCTION("""COMPUTED_VALUE"""),716.1)</f>
        <v>716.1</v>
      </c>
      <c r="E86" s="6">
        <f>IFERROR(__xludf.DUMMYFUNCTION("""COMPUTED_VALUE"""),724.4)</f>
        <v>724.4</v>
      </c>
      <c r="F86" s="6">
        <f>IFERROR(__xludf.DUMMYFUNCTION("""COMPUTED_VALUE"""),1.3205501E7)</f>
        <v>13205501</v>
      </c>
    </row>
    <row r="87">
      <c r="A87" s="7">
        <f>IFERROR(__xludf.DUMMYFUNCTION("""COMPUTED_VALUE"""),45800.64583333333)</f>
        <v>45800.64583</v>
      </c>
      <c r="B87" s="6">
        <f>IFERROR(__xludf.DUMMYFUNCTION("""COMPUTED_VALUE"""),724.4)</f>
        <v>724.4</v>
      </c>
      <c r="C87" s="6">
        <f>IFERROR(__xludf.DUMMYFUNCTION("""COMPUTED_VALUE"""),726.8)</f>
        <v>726.8</v>
      </c>
      <c r="D87" s="6">
        <f>IFERROR(__xludf.DUMMYFUNCTION("""COMPUTED_VALUE"""),695.1)</f>
        <v>695.1</v>
      </c>
      <c r="E87" s="6">
        <f>IFERROR(__xludf.DUMMYFUNCTION("""COMPUTED_VALUE"""),700.85)</f>
        <v>700.85</v>
      </c>
      <c r="F87" s="6">
        <f>IFERROR(__xludf.DUMMYFUNCTION("""COMPUTED_VALUE"""),1.0949653E7)</f>
        <v>10949653</v>
      </c>
    </row>
    <row r="88">
      <c r="A88" s="7">
        <f>IFERROR(__xludf.DUMMYFUNCTION("""COMPUTED_VALUE"""),45807.64583333333)</f>
        <v>45807.64583</v>
      </c>
      <c r="B88" s="6">
        <f>IFERROR(__xludf.DUMMYFUNCTION("""COMPUTED_VALUE"""),704.0)</f>
        <v>704</v>
      </c>
      <c r="C88" s="6">
        <f>IFERROR(__xludf.DUMMYFUNCTION("""COMPUTED_VALUE"""),727.9)</f>
        <v>727.9</v>
      </c>
      <c r="D88" s="6">
        <f>IFERROR(__xludf.DUMMYFUNCTION("""COMPUTED_VALUE"""),702.35)</f>
        <v>702.35</v>
      </c>
      <c r="E88" s="6">
        <f>IFERROR(__xludf.DUMMYFUNCTION("""COMPUTED_VALUE"""),716.45)</f>
        <v>716.45</v>
      </c>
      <c r="F88" s="6">
        <f>IFERROR(__xludf.DUMMYFUNCTION("""COMPUTED_VALUE"""),1.174505E7)</f>
        <v>11745050</v>
      </c>
    </row>
    <row r="89">
      <c r="A89" s="7">
        <f>IFERROR(__xludf.DUMMYFUNCTION("""COMPUTED_VALUE"""),45814.64583333333)</f>
        <v>45814.64583</v>
      </c>
      <c r="B89" s="6">
        <f>IFERROR(__xludf.DUMMYFUNCTION("""COMPUTED_VALUE"""),715.05)</f>
        <v>715.05</v>
      </c>
      <c r="C89" s="6">
        <f>IFERROR(__xludf.DUMMYFUNCTION("""COMPUTED_VALUE"""),718.8)</f>
        <v>718.8</v>
      </c>
      <c r="D89" s="6">
        <f>IFERROR(__xludf.DUMMYFUNCTION("""COMPUTED_VALUE"""),697.0)</f>
        <v>697</v>
      </c>
      <c r="E89" s="6">
        <f>IFERROR(__xludf.DUMMYFUNCTION("""COMPUTED_VALUE"""),698.65)</f>
        <v>698.65</v>
      </c>
      <c r="F89" s="6">
        <f>IFERROR(__xludf.DUMMYFUNCTION("""COMPUTED_VALUE"""),7738580.0)</f>
        <v>7738580</v>
      </c>
    </row>
    <row r="90">
      <c r="A90" s="7">
        <f>IFERROR(__xludf.DUMMYFUNCTION("""COMPUTED_VALUE"""),45821.64583333333)</f>
        <v>45821.64583</v>
      </c>
      <c r="B90" s="6">
        <f>IFERROR(__xludf.DUMMYFUNCTION("""COMPUTED_VALUE"""),700.45)</f>
        <v>700.45</v>
      </c>
      <c r="C90" s="6">
        <f>IFERROR(__xludf.DUMMYFUNCTION("""COMPUTED_VALUE"""),708.75)</f>
        <v>708.75</v>
      </c>
      <c r="D90" s="6">
        <f>IFERROR(__xludf.DUMMYFUNCTION("""COMPUTED_VALUE"""),681.85)</f>
        <v>681.85</v>
      </c>
      <c r="E90" s="6">
        <f>IFERROR(__xludf.DUMMYFUNCTION("""COMPUTED_VALUE"""),691.2)</f>
        <v>691.2</v>
      </c>
      <c r="F90" s="6">
        <f>IFERROR(__xludf.DUMMYFUNCTION("""COMPUTED_VALUE"""),9044656.0)</f>
        <v>9044656</v>
      </c>
    </row>
    <row r="91">
      <c r="A91" s="7">
        <f>IFERROR(__xludf.DUMMYFUNCTION("""COMPUTED_VALUE"""),45828.64583333333)</f>
        <v>45828.64583</v>
      </c>
      <c r="B91" s="6">
        <f>IFERROR(__xludf.DUMMYFUNCTION("""COMPUTED_VALUE"""),685.6)</f>
        <v>685.6</v>
      </c>
      <c r="C91" s="6">
        <f>IFERROR(__xludf.DUMMYFUNCTION("""COMPUTED_VALUE"""),696.8)</f>
        <v>696.8</v>
      </c>
      <c r="D91" s="6">
        <f>IFERROR(__xludf.DUMMYFUNCTION("""COMPUTED_VALUE"""),680.3)</f>
        <v>680.3</v>
      </c>
      <c r="E91" s="6">
        <f>IFERROR(__xludf.DUMMYFUNCTION("""COMPUTED_VALUE"""),693.3)</f>
        <v>693.3</v>
      </c>
      <c r="F91" s="6">
        <f>IFERROR(__xludf.DUMMYFUNCTION("""COMPUTED_VALUE"""),9396173.0)</f>
        <v>9396173</v>
      </c>
    </row>
    <row r="92">
      <c r="A92" s="7">
        <f>IFERROR(__xludf.DUMMYFUNCTION("""COMPUTED_VALUE"""),45835.64583333333)</f>
        <v>45835.64583</v>
      </c>
      <c r="B92" s="6">
        <f>IFERROR(__xludf.DUMMYFUNCTION("""COMPUTED_VALUE"""),691.0)</f>
        <v>691</v>
      </c>
      <c r="C92" s="6">
        <f>IFERROR(__xludf.DUMMYFUNCTION("""COMPUTED_VALUE"""),735.7)</f>
        <v>735.7</v>
      </c>
      <c r="D92" s="6">
        <f>IFERROR(__xludf.DUMMYFUNCTION("""COMPUTED_VALUE"""),687.55)</f>
        <v>687.55</v>
      </c>
      <c r="E92" s="6">
        <f>IFERROR(__xludf.DUMMYFUNCTION("""COMPUTED_VALUE"""),731.65)</f>
        <v>731.65</v>
      </c>
      <c r="F92" s="6">
        <f>IFERROR(__xludf.DUMMYFUNCTION("""COMPUTED_VALUE"""),1.3670272E7)</f>
        <v>13670272</v>
      </c>
    </row>
    <row r="93">
      <c r="A93" s="7">
        <f>IFERROR(__xludf.DUMMYFUNCTION("""COMPUTED_VALUE"""),45842.64583333333)</f>
        <v>45842.64583</v>
      </c>
      <c r="B93" s="6">
        <f>IFERROR(__xludf.DUMMYFUNCTION("""COMPUTED_VALUE"""),729.45)</f>
        <v>729.45</v>
      </c>
      <c r="C93" s="6">
        <f>IFERROR(__xludf.DUMMYFUNCTION("""COMPUTED_VALUE"""),744.45)</f>
        <v>744.45</v>
      </c>
      <c r="D93" s="6">
        <f>IFERROR(__xludf.DUMMYFUNCTION("""COMPUTED_VALUE"""),705.35)</f>
        <v>705.35</v>
      </c>
      <c r="E93" s="6">
        <f>IFERROR(__xludf.DUMMYFUNCTION("""COMPUTED_VALUE"""),728.6)</f>
        <v>728.6</v>
      </c>
      <c r="F93" s="6">
        <f>IFERROR(__xludf.DUMMYFUNCTION("""COMPUTED_VALUE"""),1.3498545E7)</f>
        <v>13498545</v>
      </c>
    </row>
    <row r="94">
      <c r="A94" s="7">
        <f>IFERROR(__xludf.DUMMYFUNCTION("""COMPUTED_VALUE"""),45849.64583333333)</f>
        <v>45849.64583</v>
      </c>
      <c r="B94" s="6">
        <f>IFERROR(__xludf.DUMMYFUNCTION("""COMPUTED_VALUE"""),728.95)</f>
        <v>728.95</v>
      </c>
      <c r="C94" s="6">
        <f>IFERROR(__xludf.DUMMYFUNCTION("""COMPUTED_VALUE"""),739.0)</f>
        <v>739</v>
      </c>
      <c r="D94" s="6">
        <f>IFERROR(__xludf.DUMMYFUNCTION("""COMPUTED_VALUE"""),721.05)</f>
        <v>721.05</v>
      </c>
      <c r="E94" s="6">
        <f>IFERROR(__xludf.DUMMYFUNCTION("""COMPUTED_VALUE"""),725.65)</f>
        <v>725.65</v>
      </c>
      <c r="F94" s="6">
        <f>IFERROR(__xludf.DUMMYFUNCTION("""COMPUTED_VALUE"""),9291272.0)</f>
        <v>9291272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IFERROR(__xludf.DUMMYFUNCTION("""COMPUTED_VALUE"""),730.7)</f>
        <v>730.7</v>
      </c>
      <c r="C95" s="6">
        <f>IFERROR(__xludf.DUMMYFUNCTION("""COMPUTED_VALUE"""),745.0)</f>
        <v>745</v>
      </c>
      <c r="D95" s="6">
        <f>IFERROR(__xludf.DUMMYFUNCTION("""COMPUTED_VALUE"""),719.1)</f>
        <v>719.1</v>
      </c>
      <c r="E95" s="6">
        <f>IFERROR(__xludf.DUMMYFUNCTION("""COMPUTED_VALUE"""),720.2)</f>
        <v>720.2</v>
      </c>
      <c r="F95" s="6">
        <f>IFERROR(__xludf.DUMMYFUNCTION("""COMPUTED_VALUE"""),5589927.0)</f>
        <v>5589927</v>
      </c>
    </row>
    <row r="96">
      <c r="A96" s="7">
        <f>IFERROR(__xludf.DUMMYFUNCTION("""COMPUTED_VALUE"""),45863.64583333333)</f>
        <v>45863.64583</v>
      </c>
      <c r="B96" s="6">
        <f>IFERROR(__xludf.DUMMYFUNCTION("""COMPUTED_VALUE"""),720.2)</f>
        <v>720.2</v>
      </c>
      <c r="C96" s="6">
        <f>IFERROR(__xludf.DUMMYFUNCTION("""COMPUTED_VALUE"""),726.5)</f>
        <v>726.5</v>
      </c>
      <c r="D96" s="6">
        <f>IFERROR(__xludf.DUMMYFUNCTION("""COMPUTED_VALUE"""),691.5)</f>
        <v>691.5</v>
      </c>
      <c r="E96" s="6">
        <f>IFERROR(__xludf.DUMMYFUNCTION("""COMPUTED_VALUE"""),693.95)</f>
        <v>693.95</v>
      </c>
      <c r="F96" s="6">
        <f>IFERROR(__xludf.DUMMYFUNCTION("""COMPUTED_VALUE"""),7125085.0)</f>
        <v>7125085</v>
      </c>
    </row>
    <row r="97">
      <c r="A97" s="7">
        <f>IFERROR(__xludf.DUMMYFUNCTION("""COMPUTED_VALUE"""),45870.64583333333)</f>
        <v>45870.64583</v>
      </c>
      <c r="B97" s="6">
        <f>IFERROR(__xludf.DUMMYFUNCTION("""COMPUTED_VALUE"""),694.3)</f>
        <v>694.3</v>
      </c>
      <c r="C97" s="6">
        <f>IFERROR(__xludf.DUMMYFUNCTION("""COMPUTED_VALUE"""),724.95)</f>
        <v>724.95</v>
      </c>
      <c r="D97" s="6">
        <f>IFERROR(__xludf.DUMMYFUNCTION("""COMPUTED_VALUE"""),690.2)</f>
        <v>690.2</v>
      </c>
      <c r="E97" s="6">
        <f>IFERROR(__xludf.DUMMYFUNCTION("""COMPUTED_VALUE"""),711.2)</f>
        <v>711.2</v>
      </c>
      <c r="F97" s="6">
        <f>IFERROR(__xludf.DUMMYFUNCTION("""COMPUTED_VALUE"""),1.1808639E7)</f>
        <v>11808639</v>
      </c>
    </row>
    <row r="98">
      <c r="A98" s="7">
        <f>IFERROR(__xludf.DUMMYFUNCTION("""COMPUTED_VALUE"""),45877.64583333333)</f>
        <v>45877.64583</v>
      </c>
      <c r="B98" s="6">
        <f>IFERROR(__xludf.DUMMYFUNCTION("""COMPUTED_VALUE"""),712.95)</f>
        <v>712.95</v>
      </c>
      <c r="C98" s="6">
        <f>IFERROR(__xludf.DUMMYFUNCTION("""COMPUTED_VALUE"""),734.85)</f>
        <v>734.85</v>
      </c>
      <c r="D98" s="6">
        <f>IFERROR(__xludf.DUMMYFUNCTION("""COMPUTED_VALUE"""),702.7)</f>
        <v>702.7</v>
      </c>
      <c r="E98" s="6">
        <f>IFERROR(__xludf.DUMMYFUNCTION("""COMPUTED_VALUE"""),703.95)</f>
        <v>703.95</v>
      </c>
      <c r="F98" s="6">
        <f>IFERROR(__xludf.DUMMYFUNCTION("""COMPUTED_VALUE"""),1.2779406E7)</f>
        <v>12779406</v>
      </c>
    </row>
    <row r="99">
      <c r="A99" s="7">
        <f>IFERROR(__xludf.DUMMYFUNCTION("""COMPUTED_VALUE"""),45883.64583333333)</f>
        <v>45883.64583</v>
      </c>
      <c r="B99" s="6">
        <f>IFERROR(__xludf.DUMMYFUNCTION("""COMPUTED_VALUE"""),705.8)</f>
        <v>705.8</v>
      </c>
      <c r="C99" s="6">
        <f>IFERROR(__xludf.DUMMYFUNCTION("""COMPUTED_VALUE"""),713.2)</f>
        <v>713.2</v>
      </c>
      <c r="D99" s="6">
        <f>IFERROR(__xludf.DUMMYFUNCTION("""COMPUTED_VALUE"""),695.2)</f>
        <v>695.2</v>
      </c>
      <c r="E99" s="6">
        <f>IFERROR(__xludf.DUMMYFUNCTION("""COMPUTED_VALUE"""),710.55)</f>
        <v>710.55</v>
      </c>
      <c r="F99" s="6">
        <f>IFERROR(__xludf.DUMMYFUNCTION("""COMPUTED_VALUE"""),4773675.0)</f>
        <v>4773675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IFERROR(__xludf.DUMMYFUNCTION("""COMPUTED_VALUE"""),725.05)</f>
        <v>725.05</v>
      </c>
      <c r="C100" s="6">
        <f>IFERROR(__xludf.DUMMYFUNCTION("""COMPUTED_VALUE"""),759.0)</f>
        <v>759</v>
      </c>
      <c r="D100" s="6">
        <f>IFERROR(__xludf.DUMMYFUNCTION("""COMPUTED_VALUE"""),712.05)</f>
        <v>712.05</v>
      </c>
      <c r="E100" s="6">
        <f>IFERROR(__xludf.DUMMYFUNCTION("""COMPUTED_VALUE"""),730.7)</f>
        <v>730.7</v>
      </c>
      <c r="F100" s="6">
        <f>IFERROR(__xludf.DUMMYFUNCTION("""COMPUTED_VALUE"""),1.0127734E7)</f>
        <v>10127734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IFERROR(__xludf.DUMMYFUNCTION("""COMPUTED_VALUE"""),732.75)</f>
        <v>732.75</v>
      </c>
      <c r="C101" s="6">
        <f>IFERROR(__xludf.DUMMYFUNCTION("""COMPUTED_VALUE"""),734.3)</f>
        <v>734.3</v>
      </c>
      <c r="D101" s="6">
        <f>IFERROR(__xludf.DUMMYFUNCTION("""COMPUTED_VALUE"""),715.2)</f>
        <v>715.2</v>
      </c>
      <c r="E101" s="6">
        <f>IFERROR(__xludf.DUMMYFUNCTION("""COMPUTED_VALUE"""),717.75)</f>
        <v>717.75</v>
      </c>
      <c r="F101" s="6">
        <f>IFERROR(__xludf.DUMMYFUNCTION("""COMPUTED_VALUE"""),4.1022485E7)</f>
        <v>41022485</v>
      </c>
    </row>
  </sheetData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IFERROR(__xludf.DUMMYFUNCTION("GOOGLEFINANCE(""NSE:MARUTI"",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IFERROR(__xludf.DUMMYFUNCTION("""COMPUTED_VALUE"""),9514.95)</f>
        <v>9514.95</v>
      </c>
      <c r="C2" s="6">
        <f>IFERROR(__xludf.DUMMYFUNCTION("""COMPUTED_VALUE"""),10397.95)</f>
        <v>10397.95</v>
      </c>
      <c r="D2" s="6">
        <f>IFERROR(__xludf.DUMMYFUNCTION("""COMPUTED_VALUE"""),9506.0)</f>
        <v>9506</v>
      </c>
      <c r="E2" s="6">
        <f>IFERROR(__xludf.DUMMYFUNCTION("""COMPUTED_VALUE"""),10331.25)</f>
        <v>10331.25</v>
      </c>
      <c r="F2" s="6">
        <f>IFERROR(__xludf.DUMMYFUNCTION("""COMPUTED_VALUE"""),3961792.0)</f>
        <v>3961792</v>
      </c>
    </row>
    <row r="3">
      <c r="A3" s="7">
        <f>IFERROR(__xludf.DUMMYFUNCTION("""COMPUTED_VALUE"""),45177.64583333333)</f>
        <v>45177.64583</v>
      </c>
      <c r="B3" s="6">
        <f>IFERROR(__xludf.DUMMYFUNCTION("""COMPUTED_VALUE"""),10401.0)</f>
        <v>10401</v>
      </c>
      <c r="C3" s="6">
        <f>IFERROR(__xludf.DUMMYFUNCTION("""COMPUTED_VALUE"""),10467.95)</f>
        <v>10467.95</v>
      </c>
      <c r="D3" s="6">
        <f>IFERROR(__xludf.DUMMYFUNCTION("""COMPUTED_VALUE"""),10130.15)</f>
        <v>10130.15</v>
      </c>
      <c r="E3" s="6">
        <f>IFERROR(__xludf.DUMMYFUNCTION("""COMPUTED_VALUE"""),10332.0)</f>
        <v>10332</v>
      </c>
      <c r="F3" s="6">
        <f>IFERROR(__xludf.DUMMYFUNCTION("""COMPUTED_VALUE"""),2875943.0)</f>
        <v>2875943</v>
      </c>
    </row>
    <row r="4">
      <c r="A4" s="7">
        <f>IFERROR(__xludf.DUMMYFUNCTION("""COMPUTED_VALUE"""),45184.64583333333)</f>
        <v>45184.64583</v>
      </c>
      <c r="B4" s="6">
        <f>IFERROR(__xludf.DUMMYFUNCTION("""COMPUTED_VALUE"""),10345.0)</f>
        <v>10345</v>
      </c>
      <c r="C4" s="6">
        <f>IFERROR(__xludf.DUMMYFUNCTION("""COMPUTED_VALUE"""),10580.0)</f>
        <v>10580</v>
      </c>
      <c r="D4" s="6">
        <f>IFERROR(__xludf.DUMMYFUNCTION("""COMPUTED_VALUE"""),10344.0)</f>
        <v>10344</v>
      </c>
      <c r="E4" s="6">
        <f>IFERROR(__xludf.DUMMYFUNCTION("""COMPUTED_VALUE"""),10525.25)</f>
        <v>10525.25</v>
      </c>
      <c r="F4" s="6">
        <f>IFERROR(__xludf.DUMMYFUNCTION("""COMPUTED_VALUE"""),2514342.0)</f>
        <v>2514342</v>
      </c>
    </row>
    <row r="5">
      <c r="A5" s="7">
        <f>IFERROR(__xludf.DUMMYFUNCTION("""COMPUTED_VALUE"""),45191.64583333333)</f>
        <v>45191.64583</v>
      </c>
      <c r="B5" s="6">
        <f>IFERROR(__xludf.DUMMYFUNCTION("""COMPUTED_VALUE"""),10500.05)</f>
        <v>10500.05</v>
      </c>
      <c r="C5" s="6">
        <f>IFERROR(__xludf.DUMMYFUNCTION("""COMPUTED_VALUE"""),10623.65)</f>
        <v>10623.65</v>
      </c>
      <c r="D5" s="6">
        <f>IFERROR(__xludf.DUMMYFUNCTION("""COMPUTED_VALUE"""),10206.5)</f>
        <v>10206.5</v>
      </c>
      <c r="E5" s="6">
        <f>IFERROR(__xludf.DUMMYFUNCTION("""COMPUTED_VALUE"""),10535.15)</f>
        <v>10535.15</v>
      </c>
      <c r="F5" s="6">
        <f>IFERROR(__xludf.DUMMYFUNCTION("""COMPUTED_VALUE"""),2538777.0)</f>
        <v>2538777</v>
      </c>
    </row>
    <row r="6">
      <c r="A6" s="7">
        <f>IFERROR(__xludf.DUMMYFUNCTION("""COMPUTED_VALUE"""),45198.64583333333)</f>
        <v>45198.64583</v>
      </c>
      <c r="B6" s="6">
        <f>IFERROR(__xludf.DUMMYFUNCTION("""COMPUTED_VALUE"""),10535.15)</f>
        <v>10535.15</v>
      </c>
      <c r="C6" s="6">
        <f>IFERROR(__xludf.DUMMYFUNCTION("""COMPUTED_VALUE"""),10720.0)</f>
        <v>10720</v>
      </c>
      <c r="D6" s="6">
        <f>IFERROR(__xludf.DUMMYFUNCTION("""COMPUTED_VALUE"""),10510.55)</f>
        <v>10510.55</v>
      </c>
      <c r="E6" s="6">
        <f>IFERROR(__xludf.DUMMYFUNCTION("""COMPUTED_VALUE"""),10610.6)</f>
        <v>10610.6</v>
      </c>
      <c r="F6" s="6">
        <f>IFERROR(__xludf.DUMMYFUNCTION("""COMPUTED_VALUE"""),2747532.0)</f>
        <v>2747532</v>
      </c>
    </row>
    <row r="7">
      <c r="A7" s="7">
        <f>IFERROR(__xludf.DUMMYFUNCTION("""COMPUTED_VALUE"""),45205.64583333333)</f>
        <v>45205.64583</v>
      </c>
      <c r="B7" s="6">
        <f>IFERROR(__xludf.DUMMYFUNCTION("""COMPUTED_VALUE"""),10709.8)</f>
        <v>10709.8</v>
      </c>
      <c r="C7" s="6">
        <f>IFERROR(__xludf.DUMMYFUNCTION("""COMPUTED_VALUE"""),10709.8)</f>
        <v>10709.8</v>
      </c>
      <c r="D7" s="6">
        <f>IFERROR(__xludf.DUMMYFUNCTION("""COMPUTED_VALUE"""),10090.0)</f>
        <v>10090</v>
      </c>
      <c r="E7" s="6">
        <f>IFERROR(__xludf.DUMMYFUNCTION("""COMPUTED_VALUE"""),10302.05)</f>
        <v>10302.05</v>
      </c>
      <c r="F7" s="6">
        <f>IFERROR(__xludf.DUMMYFUNCTION("""COMPUTED_VALUE"""),1743695.0)</f>
        <v>1743695</v>
      </c>
    </row>
    <row r="8">
      <c r="A8" s="7">
        <f>IFERROR(__xludf.DUMMYFUNCTION("""COMPUTED_VALUE"""),45212.64583333333)</f>
        <v>45212.64583</v>
      </c>
      <c r="B8" s="6">
        <f>IFERROR(__xludf.DUMMYFUNCTION("""COMPUTED_VALUE"""),10250.0)</f>
        <v>10250</v>
      </c>
      <c r="C8" s="6">
        <f>IFERROR(__xludf.DUMMYFUNCTION("""COMPUTED_VALUE"""),10745.05)</f>
        <v>10745.05</v>
      </c>
      <c r="D8" s="6">
        <f>IFERROR(__xludf.DUMMYFUNCTION("""COMPUTED_VALUE"""),10183.95)</f>
        <v>10183.95</v>
      </c>
      <c r="E8" s="6">
        <f>IFERROR(__xludf.DUMMYFUNCTION("""COMPUTED_VALUE"""),10727.55)</f>
        <v>10727.55</v>
      </c>
      <c r="F8" s="6">
        <f>IFERROR(__xludf.DUMMYFUNCTION("""COMPUTED_VALUE"""),1967142.0)</f>
        <v>1967142</v>
      </c>
    </row>
    <row r="9">
      <c r="A9" s="7">
        <f>IFERROR(__xludf.DUMMYFUNCTION("""COMPUTED_VALUE"""),45219.64583333333)</f>
        <v>45219.64583</v>
      </c>
      <c r="B9" s="6">
        <f>IFERROR(__xludf.DUMMYFUNCTION("""COMPUTED_VALUE"""),10729.95)</f>
        <v>10729.95</v>
      </c>
      <c r="C9" s="6">
        <f>IFERROR(__xludf.DUMMYFUNCTION("""COMPUTED_VALUE"""),10810.85)</f>
        <v>10810.85</v>
      </c>
      <c r="D9" s="6">
        <f>IFERROR(__xludf.DUMMYFUNCTION("""COMPUTED_VALUE"""),10565.3)</f>
        <v>10565.3</v>
      </c>
      <c r="E9" s="6">
        <f>IFERROR(__xludf.DUMMYFUNCTION("""COMPUTED_VALUE"""),10725.65)</f>
        <v>10725.65</v>
      </c>
      <c r="F9" s="6">
        <f>IFERROR(__xludf.DUMMYFUNCTION("""COMPUTED_VALUE"""),1565145.0)</f>
        <v>1565145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IFERROR(__xludf.DUMMYFUNCTION("""COMPUTED_VALUE"""),10681.0)</f>
        <v>10681</v>
      </c>
      <c r="C10" s="6">
        <f>IFERROR(__xludf.DUMMYFUNCTION("""COMPUTED_VALUE"""),10845.0)</f>
        <v>10845</v>
      </c>
      <c r="D10" s="6">
        <f>IFERROR(__xludf.DUMMYFUNCTION("""COMPUTED_VALUE"""),10392.5)</f>
        <v>10392.5</v>
      </c>
      <c r="E10" s="6">
        <f>IFERROR(__xludf.DUMMYFUNCTION("""COMPUTED_VALUE"""),10560.7)</f>
        <v>10560.7</v>
      </c>
      <c r="F10" s="6">
        <f>IFERROR(__xludf.DUMMYFUNCTION("""COMPUTED_VALUE"""),2251872.0)</f>
        <v>2251872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IFERROR(__xludf.DUMMYFUNCTION("""COMPUTED_VALUE"""),10700.0)</f>
        <v>10700</v>
      </c>
      <c r="C11" s="6">
        <f>IFERROR(__xludf.DUMMYFUNCTION("""COMPUTED_VALUE"""),10700.0)</f>
        <v>10700</v>
      </c>
      <c r="D11" s="6">
        <f>IFERROR(__xludf.DUMMYFUNCTION("""COMPUTED_VALUE"""),10188.65)</f>
        <v>10188.65</v>
      </c>
      <c r="E11" s="6">
        <f>IFERROR(__xludf.DUMMYFUNCTION("""COMPUTED_VALUE"""),10276.3)</f>
        <v>10276.3</v>
      </c>
      <c r="F11" s="6">
        <f>IFERROR(__xludf.DUMMYFUNCTION("""COMPUTED_VALUE"""),3217056.0)</f>
        <v>3217056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IFERROR(__xludf.DUMMYFUNCTION("""COMPUTED_VALUE"""),10338.95)</f>
        <v>10338.95</v>
      </c>
      <c r="C12" s="6">
        <f>IFERROR(__xludf.DUMMYFUNCTION("""COMPUTED_VALUE"""),10449.6)</f>
        <v>10449.6</v>
      </c>
      <c r="D12" s="6">
        <f>IFERROR(__xludf.DUMMYFUNCTION("""COMPUTED_VALUE"""),10235.85)</f>
        <v>10235.85</v>
      </c>
      <c r="E12" s="6">
        <f>IFERROR(__xludf.DUMMYFUNCTION("""COMPUTED_VALUE"""),10388.8)</f>
        <v>10388.8</v>
      </c>
      <c r="F12" s="6">
        <f>IFERROR(__xludf.DUMMYFUNCTION("""COMPUTED_VALUE"""),1559331.0)</f>
        <v>1559331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IFERROR(__xludf.DUMMYFUNCTION("""COMPUTED_VALUE"""),10450.0)</f>
        <v>10450</v>
      </c>
      <c r="C13" s="6">
        <f>IFERROR(__xludf.DUMMYFUNCTION("""COMPUTED_VALUE"""),10606.8)</f>
        <v>10606.8</v>
      </c>
      <c r="D13" s="6">
        <f>IFERROR(__xludf.DUMMYFUNCTION("""COMPUTED_VALUE"""),10363.65)</f>
        <v>10363.65</v>
      </c>
      <c r="E13" s="6">
        <f>IFERROR(__xludf.DUMMYFUNCTION("""COMPUTED_VALUE"""),10523.5)</f>
        <v>10523.5</v>
      </c>
      <c r="F13" s="6">
        <f>IFERROR(__xludf.DUMMYFUNCTION("""COMPUTED_VALUE"""),1618175.0)</f>
        <v>1618175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IFERROR(__xludf.DUMMYFUNCTION("""COMPUTED_VALUE"""),10500.0)</f>
        <v>10500</v>
      </c>
      <c r="C14" s="6">
        <f>IFERROR(__xludf.DUMMYFUNCTION("""COMPUTED_VALUE"""),10619.0)</f>
        <v>10619</v>
      </c>
      <c r="D14" s="6">
        <f>IFERROR(__xludf.DUMMYFUNCTION("""COMPUTED_VALUE"""),10394.05)</f>
        <v>10394.05</v>
      </c>
      <c r="E14" s="6">
        <f>IFERROR(__xludf.DUMMYFUNCTION("""COMPUTED_VALUE"""),10515.65)</f>
        <v>10515.65</v>
      </c>
      <c r="F14" s="6">
        <f>IFERROR(__xludf.DUMMYFUNCTION("""COMPUTED_VALUE"""),1759505.0)</f>
        <v>1759505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IFERROR(__xludf.DUMMYFUNCTION("""COMPUTED_VALUE"""),10539.95)</f>
        <v>10539.95</v>
      </c>
      <c r="C15" s="6">
        <f>IFERROR(__xludf.DUMMYFUNCTION("""COMPUTED_VALUE"""),10759.0)</f>
        <v>10759</v>
      </c>
      <c r="D15" s="6">
        <f>IFERROR(__xludf.DUMMYFUNCTION("""COMPUTED_VALUE"""),10506.0)</f>
        <v>10506</v>
      </c>
      <c r="E15" s="6">
        <f>IFERROR(__xludf.DUMMYFUNCTION("""COMPUTED_VALUE"""),10585.7)</f>
        <v>10585.7</v>
      </c>
      <c r="F15" s="6">
        <f>IFERROR(__xludf.DUMMYFUNCTION("""COMPUTED_VALUE"""),1868546.0)</f>
        <v>1868546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IFERROR(__xludf.DUMMYFUNCTION("""COMPUTED_VALUE"""),10695.0)</f>
        <v>10695</v>
      </c>
      <c r="C16" s="6">
        <f>IFERROR(__xludf.DUMMYFUNCTION("""COMPUTED_VALUE"""),10932.85)</f>
        <v>10932.85</v>
      </c>
      <c r="D16" s="6">
        <f>IFERROR(__xludf.DUMMYFUNCTION("""COMPUTED_VALUE"""),10425.0)</f>
        <v>10425</v>
      </c>
      <c r="E16" s="6">
        <f>IFERROR(__xludf.DUMMYFUNCTION("""COMPUTED_VALUE"""),10618.55)</f>
        <v>10618.55</v>
      </c>
      <c r="F16" s="6">
        <f>IFERROR(__xludf.DUMMYFUNCTION("""COMPUTED_VALUE"""),2923180.0)</f>
        <v>2923180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IFERROR(__xludf.DUMMYFUNCTION("""COMPUTED_VALUE"""),10630.0)</f>
        <v>10630</v>
      </c>
      <c r="C17" s="6">
        <f>IFERROR(__xludf.DUMMYFUNCTION("""COMPUTED_VALUE"""),10638.0)</f>
        <v>10638</v>
      </c>
      <c r="D17" s="6">
        <f>IFERROR(__xludf.DUMMYFUNCTION("""COMPUTED_VALUE"""),9832.6)</f>
        <v>9832.6</v>
      </c>
      <c r="E17" s="6">
        <f>IFERROR(__xludf.DUMMYFUNCTION("""COMPUTED_VALUE"""),10286.4)</f>
        <v>10286.4</v>
      </c>
      <c r="F17" s="6">
        <f>IFERROR(__xludf.DUMMYFUNCTION("""COMPUTED_VALUE"""),4152061.0)</f>
        <v>4152061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IFERROR(__xludf.DUMMYFUNCTION("""COMPUTED_VALUE"""),10295.0)</f>
        <v>10295</v>
      </c>
      <c r="C18" s="6">
        <f>IFERROR(__xludf.DUMMYFUNCTION("""COMPUTED_VALUE"""),10377.0)</f>
        <v>10377</v>
      </c>
      <c r="D18" s="6">
        <f>IFERROR(__xludf.DUMMYFUNCTION("""COMPUTED_VALUE"""),9900.0)</f>
        <v>9900</v>
      </c>
      <c r="E18" s="6">
        <f>IFERROR(__xludf.DUMMYFUNCTION("""COMPUTED_VALUE"""),10217.15)</f>
        <v>10217.15</v>
      </c>
      <c r="F18" s="6">
        <f>IFERROR(__xludf.DUMMYFUNCTION("""COMPUTED_VALUE"""),3594634.0)</f>
        <v>3594634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IFERROR(__xludf.DUMMYFUNCTION("""COMPUTED_VALUE"""),10270.0)</f>
        <v>10270</v>
      </c>
      <c r="C19" s="6">
        <f>IFERROR(__xludf.DUMMYFUNCTION("""COMPUTED_VALUE"""),10396.65)</f>
        <v>10396.65</v>
      </c>
      <c r="D19" s="6">
        <f>IFERROR(__xludf.DUMMYFUNCTION("""COMPUTED_VALUE"""),10114.7)</f>
        <v>10114.7</v>
      </c>
      <c r="E19" s="6">
        <f>IFERROR(__xludf.DUMMYFUNCTION("""COMPUTED_VALUE"""),10302.35)</f>
        <v>10302.35</v>
      </c>
      <c r="F19" s="6">
        <f>IFERROR(__xludf.DUMMYFUNCTION("""COMPUTED_VALUE"""),2082409.0)</f>
        <v>2082409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IFERROR(__xludf.DUMMYFUNCTION("""COMPUTED_VALUE"""),10345.0)</f>
        <v>10345</v>
      </c>
      <c r="C20" s="6">
        <f>IFERROR(__xludf.DUMMYFUNCTION("""COMPUTED_VALUE"""),10345.0)</f>
        <v>10345</v>
      </c>
      <c r="D20" s="6">
        <f>IFERROR(__xludf.DUMMYFUNCTION("""COMPUTED_VALUE"""),9970.0)</f>
        <v>9970</v>
      </c>
      <c r="E20" s="6">
        <f>IFERROR(__xludf.DUMMYFUNCTION("""COMPUTED_VALUE"""),10017.0)</f>
        <v>10017</v>
      </c>
      <c r="F20" s="6">
        <f>IFERROR(__xludf.DUMMYFUNCTION("""COMPUTED_VALUE"""),3094471.0)</f>
        <v>3094471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IFERROR(__xludf.DUMMYFUNCTION("""COMPUTED_VALUE"""),10005.0)</f>
        <v>10005</v>
      </c>
      <c r="C21" s="6">
        <f>IFERROR(__xludf.DUMMYFUNCTION("""COMPUTED_VALUE"""),10128.95)</f>
        <v>10128.95</v>
      </c>
      <c r="D21" s="6">
        <f>IFERROR(__xludf.DUMMYFUNCTION("""COMPUTED_VALUE"""),9890.0)</f>
        <v>9890</v>
      </c>
      <c r="E21" s="6">
        <f>IFERROR(__xludf.DUMMYFUNCTION("""COMPUTED_VALUE"""),9965.65)</f>
        <v>9965.65</v>
      </c>
      <c r="F21" s="6">
        <f>IFERROR(__xludf.DUMMYFUNCTION("""COMPUTED_VALUE"""),3623326.0)</f>
        <v>3623326</v>
      </c>
    </row>
    <row r="22">
      <c r="A22" s="7">
        <f>IFERROR(__xludf.DUMMYFUNCTION("""COMPUTED_VALUE"""),45316.64583333333)</f>
        <v>45316.64583</v>
      </c>
      <c r="B22" s="6">
        <f>IFERROR(__xludf.DUMMYFUNCTION("""COMPUTED_VALUE"""),9862.0)</f>
        <v>9862</v>
      </c>
      <c r="C22" s="6">
        <f>IFERROR(__xludf.DUMMYFUNCTION("""COMPUTED_VALUE"""),10000.0)</f>
        <v>10000</v>
      </c>
      <c r="D22" s="6">
        <f>IFERROR(__xludf.DUMMYFUNCTION("""COMPUTED_VALUE"""),9755.0)</f>
        <v>9755</v>
      </c>
      <c r="E22" s="6">
        <f>IFERROR(__xludf.DUMMYFUNCTION("""COMPUTED_VALUE"""),9881.0)</f>
        <v>9881</v>
      </c>
      <c r="F22" s="6">
        <f>IFERROR(__xludf.DUMMYFUNCTION("""COMPUTED_VALUE"""),2134178.0)</f>
        <v>2134178</v>
      </c>
    </row>
    <row r="23">
      <c r="A23" s="7">
        <f>IFERROR(__xludf.DUMMYFUNCTION("""COMPUTED_VALUE"""),45324.64583333333)</f>
        <v>45324.64583</v>
      </c>
      <c r="B23" s="6">
        <f>IFERROR(__xludf.DUMMYFUNCTION("""COMPUTED_VALUE"""),9931.15)</f>
        <v>9931.15</v>
      </c>
      <c r="C23" s="6">
        <f>IFERROR(__xludf.DUMMYFUNCTION("""COMPUTED_VALUE"""),10711.6)</f>
        <v>10711.6</v>
      </c>
      <c r="D23" s="6">
        <f>IFERROR(__xludf.DUMMYFUNCTION("""COMPUTED_VALUE"""),9875.05)</f>
        <v>9875.05</v>
      </c>
      <c r="E23" s="6">
        <f>IFERROR(__xludf.DUMMYFUNCTION("""COMPUTED_VALUE"""),10655.45)</f>
        <v>10655.45</v>
      </c>
      <c r="F23" s="6">
        <f>IFERROR(__xludf.DUMMYFUNCTION("""COMPUTED_VALUE"""),4527943.0)</f>
        <v>4527943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IFERROR(__xludf.DUMMYFUNCTION("""COMPUTED_VALUE"""),10602.0)</f>
        <v>10602</v>
      </c>
      <c r="C24" s="6">
        <f>IFERROR(__xludf.DUMMYFUNCTION("""COMPUTED_VALUE"""),10973.5)</f>
        <v>10973.5</v>
      </c>
      <c r="D24" s="6">
        <f>IFERROR(__xludf.DUMMYFUNCTION("""COMPUTED_VALUE"""),10400.0)</f>
        <v>10400</v>
      </c>
      <c r="E24" s="6">
        <f>IFERROR(__xludf.DUMMYFUNCTION("""COMPUTED_VALUE"""),10732.85)</f>
        <v>10732.85</v>
      </c>
      <c r="F24" s="6">
        <f>IFERROR(__xludf.DUMMYFUNCTION("""COMPUTED_VALUE"""),2957524.0)</f>
        <v>2957524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IFERROR(__xludf.DUMMYFUNCTION("""COMPUTED_VALUE"""),10700.0)</f>
        <v>10700</v>
      </c>
      <c r="C25" s="6">
        <f>IFERROR(__xludf.DUMMYFUNCTION("""COMPUTED_VALUE"""),11480.0)</f>
        <v>11480</v>
      </c>
      <c r="D25" s="6">
        <f>IFERROR(__xludf.DUMMYFUNCTION("""COMPUTED_VALUE"""),10640.15)</f>
        <v>10640.15</v>
      </c>
      <c r="E25" s="6">
        <f>IFERROR(__xludf.DUMMYFUNCTION("""COMPUTED_VALUE"""),11380.4)</f>
        <v>11380.4</v>
      </c>
      <c r="F25" s="6">
        <f>IFERROR(__xludf.DUMMYFUNCTION("""COMPUTED_VALUE"""),2107044.0)</f>
        <v>2107044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IFERROR(__xludf.DUMMYFUNCTION("""COMPUTED_VALUE"""),11380.4)</f>
        <v>11380.4</v>
      </c>
      <c r="C26" s="6">
        <f>IFERROR(__xludf.DUMMYFUNCTION("""COMPUTED_VALUE"""),11720.0)</f>
        <v>11720</v>
      </c>
      <c r="D26" s="6">
        <f>IFERROR(__xludf.DUMMYFUNCTION("""COMPUTED_VALUE"""),11315.85)</f>
        <v>11315.85</v>
      </c>
      <c r="E26" s="6">
        <f>IFERROR(__xludf.DUMMYFUNCTION("""COMPUTED_VALUE"""),11535.6)</f>
        <v>11535.6</v>
      </c>
      <c r="F26" s="6">
        <f>IFERROR(__xludf.DUMMYFUNCTION("""COMPUTED_VALUE"""),2342178.0)</f>
        <v>2342178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IFERROR(__xludf.DUMMYFUNCTION("""COMPUTED_VALUE"""),11600.0)</f>
        <v>11600</v>
      </c>
      <c r="C27" s="6">
        <f>IFERROR(__xludf.DUMMYFUNCTION("""COMPUTED_VALUE"""),11730.0)</f>
        <v>11730</v>
      </c>
      <c r="D27" s="6">
        <f>IFERROR(__xludf.DUMMYFUNCTION("""COMPUTED_VALUE"""),11421.15)</f>
        <v>11421.15</v>
      </c>
      <c r="E27" s="6">
        <f>IFERROR(__xludf.DUMMYFUNCTION("""COMPUTED_VALUE"""),11510.05)</f>
        <v>11510.05</v>
      </c>
      <c r="F27" s="6">
        <f>IFERROR(__xludf.DUMMYFUNCTION("""COMPUTED_VALUE"""),1585505.0)</f>
        <v>1585505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IFERROR(__xludf.DUMMYFUNCTION("""COMPUTED_VALUE"""),11515.15)</f>
        <v>11515.15</v>
      </c>
      <c r="C28" s="6">
        <f>IFERROR(__xludf.DUMMYFUNCTION("""COMPUTED_VALUE"""),11575.9)</f>
        <v>11575.9</v>
      </c>
      <c r="D28" s="6">
        <f>IFERROR(__xludf.DUMMYFUNCTION("""COMPUTED_VALUE"""),11267.6)</f>
        <v>11267.6</v>
      </c>
      <c r="E28" s="6">
        <f>IFERROR(__xludf.DUMMYFUNCTION("""COMPUTED_VALUE"""),11476.65)</f>
        <v>11476.65</v>
      </c>
      <c r="F28" s="6">
        <f>IFERROR(__xludf.DUMMYFUNCTION("""COMPUTED_VALUE"""),2689755.0)</f>
        <v>2689755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IFERROR(__xludf.DUMMYFUNCTION("""COMPUTED_VALUE"""),11436.65)</f>
        <v>11436.65</v>
      </c>
      <c r="C29" s="6">
        <f>IFERROR(__xludf.DUMMYFUNCTION("""COMPUTED_VALUE"""),12427.3)</f>
        <v>12427.3</v>
      </c>
      <c r="D29" s="6">
        <f>IFERROR(__xludf.DUMMYFUNCTION("""COMPUTED_VALUE"""),11366.3)</f>
        <v>11366.3</v>
      </c>
      <c r="E29" s="6">
        <f>IFERROR(__xludf.DUMMYFUNCTION("""COMPUTED_VALUE"""),12337.7)</f>
        <v>12337.7</v>
      </c>
      <c r="F29" s="6">
        <f>IFERROR(__xludf.DUMMYFUNCTION("""COMPUTED_VALUE"""),3357919.0)</f>
        <v>3357919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IFERROR(__xludf.DUMMYFUNCTION("""COMPUTED_VALUE"""),12285.55)</f>
        <v>12285.55</v>
      </c>
      <c r="C30" s="6">
        <f>IFERROR(__xludf.DUMMYFUNCTION("""COMPUTED_VALUE"""),12726.8)</f>
        <v>12726.8</v>
      </c>
      <c r="D30" s="6">
        <f>IFERROR(__xludf.DUMMYFUNCTION("""COMPUTED_VALUE"""),12141.2)</f>
        <v>12141.2</v>
      </c>
      <c r="E30" s="6">
        <f>IFERROR(__xludf.DUMMYFUNCTION("""COMPUTED_VALUE"""),12600.35)</f>
        <v>12600.35</v>
      </c>
      <c r="F30" s="6">
        <f>IFERROR(__xludf.DUMMYFUNCTION("""COMPUTED_VALUE"""),2246878.0)</f>
        <v>2246878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IFERROR(__xludf.DUMMYFUNCTION("""COMPUTED_VALUE"""),12613.35)</f>
        <v>12613.35</v>
      </c>
      <c r="C31" s="6">
        <f>IFERROR(__xludf.DUMMYFUNCTION("""COMPUTED_VALUE"""),12689.0)</f>
        <v>12689</v>
      </c>
      <c r="D31" s="6">
        <f>IFERROR(__xludf.DUMMYFUNCTION("""COMPUTED_VALUE"""),12318.05)</f>
        <v>12318.05</v>
      </c>
      <c r="E31" s="6">
        <f>IFERROR(__xludf.DUMMYFUNCTION("""COMPUTED_VALUE"""),12421.6)</f>
        <v>12421.6</v>
      </c>
      <c r="F31" s="6">
        <f>IFERROR(__xludf.DUMMYFUNCTION("""COMPUTED_VALUE"""),1642885.0)</f>
        <v>1642885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IFERROR(__xludf.DUMMYFUNCTION("""COMPUTED_VALUE"""),12450.0)</f>
        <v>12450</v>
      </c>
      <c r="C32" s="6">
        <f>IFERROR(__xludf.DUMMYFUNCTION("""COMPUTED_VALUE"""),12985.7)</f>
        <v>12985.7</v>
      </c>
      <c r="D32" s="6">
        <f>IFERROR(__xludf.DUMMYFUNCTION("""COMPUTED_VALUE"""),12225.0)</f>
        <v>12225</v>
      </c>
      <c r="E32" s="6">
        <f>IFERROR(__xludf.DUMMYFUNCTION("""COMPUTED_VALUE"""),12266.55)</f>
        <v>12266.55</v>
      </c>
      <c r="F32" s="6">
        <f>IFERROR(__xludf.DUMMYFUNCTION("""COMPUTED_VALUE"""),2322493.0)</f>
        <v>2322493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IFERROR(__xludf.DUMMYFUNCTION("""COMPUTED_VALUE"""),12199.5)</f>
        <v>12199.5</v>
      </c>
      <c r="C33" s="6">
        <f>IFERROR(__xludf.DUMMYFUNCTION("""COMPUTED_VALUE"""),12759.4)</f>
        <v>12759.4</v>
      </c>
      <c r="D33" s="6">
        <f>IFERROR(__xludf.DUMMYFUNCTION("""COMPUTED_VALUE"""),12032.95)</f>
        <v>12032.95</v>
      </c>
      <c r="E33" s="6">
        <f>IFERROR(__xludf.DUMMYFUNCTION("""COMPUTED_VALUE"""),12710.95)</f>
        <v>12710.95</v>
      </c>
      <c r="F33" s="6">
        <f>IFERROR(__xludf.DUMMYFUNCTION("""COMPUTED_VALUE"""),2725092.0)</f>
        <v>2725092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IFERROR(__xludf.DUMMYFUNCTION("""COMPUTED_VALUE"""),12783.15)</f>
        <v>12783.15</v>
      </c>
      <c r="C34" s="6">
        <f>IFERROR(__xludf.DUMMYFUNCTION("""COMPUTED_VALUE"""),13073.95)</f>
        <v>13073.95</v>
      </c>
      <c r="D34" s="6">
        <f>IFERROR(__xludf.DUMMYFUNCTION("""COMPUTED_VALUE"""),12659.0)</f>
        <v>12659</v>
      </c>
      <c r="E34" s="6">
        <f>IFERROR(__xludf.DUMMYFUNCTION("""COMPUTED_VALUE"""),12703.35)</f>
        <v>12703.35</v>
      </c>
      <c r="F34" s="6">
        <f>IFERROR(__xludf.DUMMYFUNCTION("""COMPUTED_VALUE"""),2381208.0)</f>
        <v>2381208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IFERROR(__xludf.DUMMYFUNCTION("""COMPUTED_VALUE"""),12800.05)</f>
        <v>12800.05</v>
      </c>
      <c r="C35" s="6">
        <f>IFERROR(__xludf.DUMMYFUNCTION("""COMPUTED_VALUE"""),12996.0)</f>
        <v>12996</v>
      </c>
      <c r="D35" s="6">
        <f>IFERROR(__xludf.DUMMYFUNCTION("""COMPUTED_VALUE"""),12411.4)</f>
        <v>12411.4</v>
      </c>
      <c r="E35" s="6">
        <f>IFERROR(__xludf.DUMMYFUNCTION("""COMPUTED_VALUE"""),12492.15)</f>
        <v>12492.15</v>
      </c>
      <c r="F35" s="6">
        <f>IFERROR(__xludf.DUMMYFUNCTION("""COMPUTED_VALUE"""),2792626.0)</f>
        <v>2792626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IFERROR(__xludf.DUMMYFUNCTION("""COMPUTED_VALUE"""),12550.0)</f>
        <v>12550</v>
      </c>
      <c r="C36" s="6">
        <f>IFERROR(__xludf.DUMMYFUNCTION("""COMPUTED_VALUE"""),12739.8)</f>
        <v>12739.8</v>
      </c>
      <c r="D36" s="6">
        <f>IFERROR(__xludf.DUMMYFUNCTION("""COMPUTED_VALUE"""),12239.0)</f>
        <v>12239</v>
      </c>
      <c r="E36" s="6">
        <f>IFERROR(__xludf.DUMMYFUNCTION("""COMPUTED_VALUE"""),12675.5)</f>
        <v>12675.5</v>
      </c>
      <c r="F36" s="6">
        <f>IFERROR(__xludf.DUMMYFUNCTION("""COMPUTED_VALUE"""),2179535.0)</f>
        <v>2179535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IFERROR(__xludf.DUMMYFUNCTION("""COMPUTED_VALUE"""),12600.15)</f>
        <v>12600.15</v>
      </c>
      <c r="C37" s="6">
        <f>IFERROR(__xludf.DUMMYFUNCTION("""COMPUTED_VALUE"""),13034.0)</f>
        <v>13034</v>
      </c>
      <c r="D37" s="6">
        <f>IFERROR(__xludf.DUMMYFUNCTION("""COMPUTED_VALUE"""),12363.1)</f>
        <v>12363.1</v>
      </c>
      <c r="E37" s="6">
        <f>IFERROR(__xludf.DUMMYFUNCTION("""COMPUTED_VALUE"""),13000.45)</f>
        <v>13000.45</v>
      </c>
      <c r="F37" s="6">
        <f>IFERROR(__xludf.DUMMYFUNCTION("""COMPUTED_VALUE"""),2116684.0)</f>
        <v>2116684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IFERROR(__xludf.DUMMYFUNCTION("""COMPUTED_VALUE"""),13023.45)</f>
        <v>13023.45</v>
      </c>
      <c r="C38" s="6">
        <f>IFERROR(__xludf.DUMMYFUNCTION("""COMPUTED_VALUE"""),13058.5)</f>
        <v>13058.5</v>
      </c>
      <c r="D38" s="6">
        <f>IFERROR(__xludf.DUMMYFUNCTION("""COMPUTED_VALUE"""),12330.0)</f>
        <v>12330</v>
      </c>
      <c r="E38" s="6">
        <f>IFERROR(__xludf.DUMMYFUNCTION("""COMPUTED_VALUE"""),12399.3)</f>
        <v>12399.3</v>
      </c>
      <c r="F38" s="6">
        <f>IFERROR(__xludf.DUMMYFUNCTION("""COMPUTED_VALUE"""),2585328.0)</f>
        <v>2585328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IFERROR(__xludf.DUMMYFUNCTION("""COMPUTED_VALUE"""),12825.0)</f>
        <v>12825</v>
      </c>
      <c r="C39" s="6">
        <f>IFERROR(__xludf.DUMMYFUNCTION("""COMPUTED_VALUE"""),12828.0)</f>
        <v>12828</v>
      </c>
      <c r="D39" s="6">
        <f>IFERROR(__xludf.DUMMYFUNCTION("""COMPUTED_VALUE"""),11561.45)</f>
        <v>11561.45</v>
      </c>
      <c r="E39" s="6">
        <f>IFERROR(__xludf.DUMMYFUNCTION("""COMPUTED_VALUE"""),12810.9)</f>
        <v>12810.9</v>
      </c>
      <c r="F39" s="6">
        <f>IFERROR(__xludf.DUMMYFUNCTION("""COMPUTED_VALUE"""),2739461.0)</f>
        <v>2739461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IFERROR(__xludf.DUMMYFUNCTION("""COMPUTED_VALUE"""),12765.15)</f>
        <v>12765.15</v>
      </c>
      <c r="C40" s="6">
        <f>IFERROR(__xludf.DUMMYFUNCTION("""COMPUTED_VALUE"""),12951.6)</f>
        <v>12951.6</v>
      </c>
      <c r="D40" s="6">
        <f>IFERROR(__xludf.DUMMYFUNCTION("""COMPUTED_VALUE"""),12627.9)</f>
        <v>12627.9</v>
      </c>
      <c r="E40" s="6">
        <f>IFERROR(__xludf.DUMMYFUNCTION("""COMPUTED_VALUE"""),12845.2)</f>
        <v>12845.2</v>
      </c>
      <c r="F40" s="6">
        <f>IFERROR(__xludf.DUMMYFUNCTION("""COMPUTED_VALUE"""),1469204.0)</f>
        <v>1469204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IFERROR(__xludf.DUMMYFUNCTION("""COMPUTED_VALUE"""),12878.4)</f>
        <v>12878.4</v>
      </c>
      <c r="C41" s="6">
        <f>IFERROR(__xludf.DUMMYFUNCTION("""COMPUTED_VALUE"""),12880.0)</f>
        <v>12880</v>
      </c>
      <c r="D41" s="6">
        <f>IFERROR(__xludf.DUMMYFUNCTION("""COMPUTED_VALUE"""),12083.5)</f>
        <v>12083.5</v>
      </c>
      <c r="E41" s="6">
        <f>IFERROR(__xludf.DUMMYFUNCTION("""COMPUTED_VALUE"""),12201.5)</f>
        <v>12201.5</v>
      </c>
      <c r="F41" s="6">
        <f>IFERROR(__xludf.DUMMYFUNCTION("""COMPUTED_VALUE"""),3373728.0)</f>
        <v>3373728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IFERROR(__xludf.DUMMYFUNCTION("""COMPUTED_VALUE"""),12181.0)</f>
        <v>12181</v>
      </c>
      <c r="C42" s="6">
        <f>IFERROR(__xludf.DUMMYFUNCTION("""COMPUTED_VALUE"""),12323.85)</f>
        <v>12323.85</v>
      </c>
      <c r="D42" s="6">
        <f>IFERROR(__xludf.DUMMYFUNCTION("""COMPUTED_VALUE"""),12004.15)</f>
        <v>12004.15</v>
      </c>
      <c r="E42" s="6">
        <f>IFERROR(__xludf.DUMMYFUNCTION("""COMPUTED_VALUE"""),12033.85)</f>
        <v>12033.85</v>
      </c>
      <c r="F42" s="6">
        <f>IFERROR(__xludf.DUMMYFUNCTION("""COMPUTED_VALUE"""),3984312.0)</f>
        <v>3984312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IFERROR(__xludf.DUMMYFUNCTION("""COMPUTED_VALUE"""),12045.0)</f>
        <v>12045</v>
      </c>
      <c r="C43" s="6">
        <f>IFERROR(__xludf.DUMMYFUNCTION("""COMPUTED_VALUE"""),12260.0)</f>
        <v>12260</v>
      </c>
      <c r="D43" s="6">
        <f>IFERROR(__xludf.DUMMYFUNCTION("""COMPUTED_VALUE"""),11960.0)</f>
        <v>11960</v>
      </c>
      <c r="E43" s="6">
        <f>IFERROR(__xludf.DUMMYFUNCTION("""COMPUTED_VALUE"""),12104.05)</f>
        <v>12104.05</v>
      </c>
      <c r="F43" s="6">
        <f>IFERROR(__xludf.DUMMYFUNCTION("""COMPUTED_VALUE"""),2996249.0)</f>
        <v>2996249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IFERROR(__xludf.DUMMYFUNCTION("""COMPUTED_VALUE"""),12104.0)</f>
        <v>12104</v>
      </c>
      <c r="C44" s="6">
        <f>IFERROR(__xludf.DUMMYFUNCTION("""COMPUTED_VALUE"""),13300.0)</f>
        <v>13300</v>
      </c>
      <c r="D44" s="6">
        <f>IFERROR(__xludf.DUMMYFUNCTION("""COMPUTED_VALUE"""),11966.0)</f>
        <v>11966</v>
      </c>
      <c r="E44" s="6">
        <f>IFERROR(__xludf.DUMMYFUNCTION("""COMPUTED_VALUE"""),12562.5)</f>
        <v>12562.5</v>
      </c>
      <c r="F44" s="6">
        <f>IFERROR(__xludf.DUMMYFUNCTION("""COMPUTED_VALUE"""),5965312.0)</f>
        <v>5965312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IFERROR(__xludf.DUMMYFUNCTION("""COMPUTED_VALUE"""),12600.0)</f>
        <v>12600</v>
      </c>
      <c r="C45" s="6">
        <f>IFERROR(__xludf.DUMMYFUNCTION("""COMPUTED_VALUE"""),12798.0)</f>
        <v>12798</v>
      </c>
      <c r="D45" s="6">
        <f>IFERROR(__xludf.DUMMYFUNCTION("""COMPUTED_VALUE"""),12463.0)</f>
        <v>12463</v>
      </c>
      <c r="E45" s="6">
        <f>IFERROR(__xludf.DUMMYFUNCTION("""COMPUTED_VALUE"""),12524.3)</f>
        <v>12524.3</v>
      </c>
      <c r="F45" s="6">
        <f>IFERROR(__xludf.DUMMYFUNCTION("""COMPUTED_VALUE"""),1788167.0)</f>
        <v>1788167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IFERROR(__xludf.DUMMYFUNCTION("""COMPUTED_VALUE"""),12500.0)</f>
        <v>12500</v>
      </c>
      <c r="C46" s="6">
        <f>IFERROR(__xludf.DUMMYFUNCTION("""COMPUTED_VALUE"""),12743.1)</f>
        <v>12743.1</v>
      </c>
      <c r="D46" s="6">
        <f>IFERROR(__xludf.DUMMYFUNCTION("""COMPUTED_VALUE"""),12360.0)</f>
        <v>12360</v>
      </c>
      <c r="E46" s="6">
        <f>IFERROR(__xludf.DUMMYFUNCTION("""COMPUTED_VALUE"""),12663.7)</f>
        <v>12663.7</v>
      </c>
      <c r="F46" s="6">
        <f>IFERROR(__xludf.DUMMYFUNCTION("""COMPUTED_VALUE"""),1802231.0)</f>
        <v>1802231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IFERROR(__xludf.DUMMYFUNCTION("""COMPUTED_VALUE"""),12709.0)</f>
        <v>12709</v>
      </c>
      <c r="C47" s="6">
        <f>IFERROR(__xludf.DUMMYFUNCTION("""COMPUTED_VALUE"""),13680.0)</f>
        <v>13680</v>
      </c>
      <c r="D47" s="6">
        <f>IFERROR(__xludf.DUMMYFUNCTION("""COMPUTED_VALUE"""),12603.0)</f>
        <v>12603</v>
      </c>
      <c r="E47" s="6">
        <f>IFERROR(__xludf.DUMMYFUNCTION("""COMPUTED_VALUE"""),12726.4)</f>
        <v>12726.4</v>
      </c>
      <c r="F47" s="6">
        <f>IFERROR(__xludf.DUMMYFUNCTION("""COMPUTED_VALUE"""),5124946.0)</f>
        <v>5124946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IFERROR(__xludf.DUMMYFUNCTION("""COMPUTED_VALUE"""),12490.0)</f>
        <v>12490</v>
      </c>
      <c r="C48" s="6">
        <f>IFERROR(__xludf.DUMMYFUNCTION("""COMPUTED_VALUE"""),12554.9)</f>
        <v>12554.9</v>
      </c>
      <c r="D48" s="6">
        <f>IFERROR(__xludf.DUMMYFUNCTION("""COMPUTED_VALUE"""),12027.65)</f>
        <v>12027.65</v>
      </c>
      <c r="E48" s="6">
        <f>IFERROR(__xludf.DUMMYFUNCTION("""COMPUTED_VALUE"""),12224.2)</f>
        <v>12224.2</v>
      </c>
      <c r="F48" s="6">
        <f>IFERROR(__xludf.DUMMYFUNCTION("""COMPUTED_VALUE"""),2867282.0)</f>
        <v>2867282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IFERROR(__xludf.DUMMYFUNCTION("""COMPUTED_VALUE"""),12200.0)</f>
        <v>12200</v>
      </c>
      <c r="C49" s="6">
        <f>IFERROR(__xludf.DUMMYFUNCTION("""COMPUTED_VALUE"""),12370.0)</f>
        <v>12370</v>
      </c>
      <c r="D49" s="6">
        <f>IFERROR(__xludf.DUMMYFUNCTION("""COMPUTED_VALUE"""),12100.0)</f>
        <v>12100</v>
      </c>
      <c r="E49" s="6">
        <f>IFERROR(__xludf.DUMMYFUNCTION("""COMPUTED_VALUE"""),12213.3)</f>
        <v>12213.3</v>
      </c>
      <c r="F49" s="6">
        <f>IFERROR(__xludf.DUMMYFUNCTION("""COMPUTED_VALUE"""),1758254.0)</f>
        <v>1758254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IFERROR(__xludf.DUMMYFUNCTION("""COMPUTED_VALUE"""),12195.0)</f>
        <v>12195</v>
      </c>
      <c r="C50" s="6">
        <f>IFERROR(__xludf.DUMMYFUNCTION("""COMPUTED_VALUE"""),12375.05)</f>
        <v>12375.05</v>
      </c>
      <c r="D50" s="6">
        <f>IFERROR(__xludf.DUMMYFUNCTION("""COMPUTED_VALUE"""),12126.8)</f>
        <v>12126.8</v>
      </c>
      <c r="E50" s="6">
        <f>IFERROR(__xludf.DUMMYFUNCTION("""COMPUTED_VALUE"""),12302.3)</f>
        <v>12302.3</v>
      </c>
      <c r="F50" s="6">
        <f>IFERROR(__xludf.DUMMYFUNCTION("""COMPUTED_VALUE"""),1987355.0)</f>
        <v>1987355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IFERROR(__xludf.DUMMYFUNCTION("""COMPUTED_VALUE"""),12325.0)</f>
        <v>12325</v>
      </c>
      <c r="C51" s="6">
        <f>IFERROR(__xludf.DUMMYFUNCTION("""COMPUTED_VALUE"""),12570.0)</f>
        <v>12570</v>
      </c>
      <c r="D51" s="6">
        <f>IFERROR(__xludf.DUMMYFUNCTION("""COMPUTED_VALUE"""),12222.0)</f>
        <v>12222</v>
      </c>
      <c r="E51" s="6">
        <f>IFERROR(__xludf.DUMMYFUNCTION("""COMPUTED_VALUE"""),12403.0)</f>
        <v>12403</v>
      </c>
      <c r="F51" s="6">
        <f>IFERROR(__xludf.DUMMYFUNCTION("""COMPUTED_VALUE"""),3903418.0)</f>
        <v>3903418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IFERROR(__xludf.DUMMYFUNCTION("""COMPUTED_VALUE"""),12373.0)</f>
        <v>12373</v>
      </c>
      <c r="C52" s="6">
        <f>IFERROR(__xludf.DUMMYFUNCTION("""COMPUTED_VALUE"""),12525.0)</f>
        <v>12525</v>
      </c>
      <c r="D52" s="6">
        <f>IFERROR(__xludf.DUMMYFUNCTION("""COMPUTED_VALUE"""),12094.7)</f>
        <v>12094.7</v>
      </c>
      <c r="E52" s="6">
        <f>IFERROR(__xludf.DUMMYFUNCTION("""COMPUTED_VALUE"""),12186.15)</f>
        <v>12186.15</v>
      </c>
      <c r="F52" s="6">
        <f>IFERROR(__xludf.DUMMYFUNCTION("""COMPUTED_VALUE"""),2841323.0)</f>
        <v>2841323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IFERROR(__xludf.DUMMYFUNCTION("""COMPUTED_VALUE"""),12197.5)</f>
        <v>12197.5</v>
      </c>
      <c r="C53" s="6">
        <f>IFERROR(__xludf.DUMMYFUNCTION("""COMPUTED_VALUE"""),12427.0)</f>
        <v>12427</v>
      </c>
      <c r="D53" s="6">
        <f>IFERROR(__xludf.DUMMYFUNCTION("""COMPUTED_VALUE"""),12098.0)</f>
        <v>12098</v>
      </c>
      <c r="E53" s="6">
        <f>IFERROR(__xludf.DUMMYFUNCTION("""COMPUTED_VALUE"""),12316.05)</f>
        <v>12316.05</v>
      </c>
      <c r="F53" s="6">
        <f>IFERROR(__xludf.DUMMYFUNCTION("""COMPUTED_VALUE"""),1959634.0)</f>
        <v>1959634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IFERROR(__xludf.DUMMYFUNCTION("""COMPUTED_VALUE"""),12321.95)</f>
        <v>12321.95</v>
      </c>
      <c r="C54" s="6">
        <f>IFERROR(__xludf.DUMMYFUNCTION("""COMPUTED_VALUE"""),12705.15)</f>
        <v>12705.15</v>
      </c>
      <c r="D54" s="6">
        <f>IFERROR(__xludf.DUMMYFUNCTION("""COMPUTED_VALUE"""),12151.65)</f>
        <v>12151.65</v>
      </c>
      <c r="E54" s="6">
        <f>IFERROR(__xludf.DUMMYFUNCTION("""COMPUTED_VALUE"""),12614.5)</f>
        <v>12614.5</v>
      </c>
      <c r="F54" s="6">
        <f>IFERROR(__xludf.DUMMYFUNCTION("""COMPUTED_VALUE"""),2261819.0)</f>
        <v>2261819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IFERROR(__xludf.DUMMYFUNCTION("""COMPUTED_VALUE"""),12625.0)</f>
        <v>12625</v>
      </c>
      <c r="C55" s="6">
        <f>IFERROR(__xludf.DUMMYFUNCTION("""COMPUTED_VALUE"""),13541.65)</f>
        <v>13541.65</v>
      </c>
      <c r="D55" s="6">
        <f>IFERROR(__xludf.DUMMYFUNCTION("""COMPUTED_VALUE"""),12583.1)</f>
        <v>12583.1</v>
      </c>
      <c r="E55" s="6">
        <f>IFERROR(__xludf.DUMMYFUNCTION("""COMPUTED_VALUE"""),13495.6)</f>
        <v>13495.6</v>
      </c>
      <c r="F55" s="6">
        <f>IFERROR(__xludf.DUMMYFUNCTION("""COMPUTED_VALUE"""),3339441.0)</f>
        <v>3339441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IFERROR(__xludf.DUMMYFUNCTION("""COMPUTED_VALUE"""),13343.55)</f>
        <v>13343.55</v>
      </c>
      <c r="C56" s="6">
        <f>IFERROR(__xludf.DUMMYFUNCTION("""COMPUTED_VALUE"""),13500.0)</f>
        <v>13500</v>
      </c>
      <c r="D56" s="6">
        <f>IFERROR(__xludf.DUMMYFUNCTION("""COMPUTED_VALUE"""),12512.5)</f>
        <v>12512.5</v>
      </c>
      <c r="E56" s="6">
        <f>IFERROR(__xludf.DUMMYFUNCTION("""COMPUTED_VALUE"""),12605.75)</f>
        <v>12605.75</v>
      </c>
      <c r="F56" s="6">
        <f>IFERROR(__xludf.DUMMYFUNCTION("""COMPUTED_VALUE"""),2347513.0)</f>
        <v>2347513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IFERROR(__xludf.DUMMYFUNCTION("""COMPUTED_VALUE"""),12626.05)</f>
        <v>12626.05</v>
      </c>
      <c r="C57" s="6">
        <f>IFERROR(__xludf.DUMMYFUNCTION("""COMPUTED_VALUE"""),12980.0)</f>
        <v>12980</v>
      </c>
      <c r="D57" s="6">
        <f>IFERROR(__xludf.DUMMYFUNCTION("""COMPUTED_VALUE"""),12378.0)</f>
        <v>12378</v>
      </c>
      <c r="E57" s="6">
        <f>IFERROR(__xludf.DUMMYFUNCTION("""COMPUTED_VALUE"""),12776.65)</f>
        <v>12776.65</v>
      </c>
      <c r="F57" s="6">
        <f>IFERROR(__xludf.DUMMYFUNCTION("""COMPUTED_VALUE"""),2084732.0)</f>
        <v>2084732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IFERROR(__xludf.DUMMYFUNCTION("""COMPUTED_VALUE"""),12775.0)</f>
        <v>12775</v>
      </c>
      <c r="C58" s="6">
        <f>IFERROR(__xludf.DUMMYFUNCTION("""COMPUTED_VALUE"""),12799.0)</f>
        <v>12799</v>
      </c>
      <c r="D58" s="6">
        <f>IFERROR(__xludf.DUMMYFUNCTION("""COMPUTED_VALUE"""),11844.45)</f>
        <v>11844.45</v>
      </c>
      <c r="E58" s="6">
        <f>IFERROR(__xludf.DUMMYFUNCTION("""COMPUTED_VALUE"""),12105.1)</f>
        <v>12105.1</v>
      </c>
      <c r="F58" s="6">
        <f>IFERROR(__xludf.DUMMYFUNCTION("""COMPUTED_VALUE"""),2821148.0)</f>
        <v>2821148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IFERROR(__xludf.DUMMYFUNCTION("""COMPUTED_VALUE"""),12145.55)</f>
        <v>12145.55</v>
      </c>
      <c r="C59" s="6">
        <f>IFERROR(__xludf.DUMMYFUNCTION("""COMPUTED_VALUE"""),12289.8)</f>
        <v>12289.8</v>
      </c>
      <c r="D59" s="6">
        <f>IFERROR(__xludf.DUMMYFUNCTION("""COMPUTED_VALUE"""),11440.0)</f>
        <v>11440</v>
      </c>
      <c r="E59" s="6">
        <f>IFERROR(__xludf.DUMMYFUNCTION("""COMPUTED_VALUE"""),11502.85)</f>
        <v>11502.85</v>
      </c>
      <c r="F59" s="6">
        <f>IFERROR(__xludf.DUMMYFUNCTION("""COMPUTED_VALUE"""),2869891.0)</f>
        <v>2869891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IFERROR(__xludf.DUMMYFUNCTION("""COMPUTED_VALUE"""),11295.0)</f>
        <v>11295</v>
      </c>
      <c r="C60" s="6">
        <f>IFERROR(__xludf.DUMMYFUNCTION("""COMPUTED_VALUE"""),11430.0)</f>
        <v>11430</v>
      </c>
      <c r="D60" s="6">
        <f>IFERROR(__xludf.DUMMYFUNCTION("""COMPUTED_VALUE"""),10860.0)</f>
        <v>10860</v>
      </c>
      <c r="E60" s="6">
        <f>IFERROR(__xludf.DUMMYFUNCTION("""COMPUTED_VALUE"""),11303.0)</f>
        <v>11303</v>
      </c>
      <c r="F60" s="6">
        <f>IFERROR(__xludf.DUMMYFUNCTION("""COMPUTED_VALUE"""),1981835.0)</f>
        <v>1981835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IFERROR(__xludf.DUMMYFUNCTION("""COMPUTED_VALUE"""),11331.5)</f>
        <v>11331.5</v>
      </c>
      <c r="C61" s="6">
        <f>IFERROR(__xludf.DUMMYFUNCTION("""COMPUTED_VALUE"""),11518.15)</f>
        <v>11518.15</v>
      </c>
      <c r="D61" s="6">
        <f>IFERROR(__xludf.DUMMYFUNCTION("""COMPUTED_VALUE"""),10864.3)</f>
        <v>10864.3</v>
      </c>
      <c r="E61" s="6">
        <f>IFERROR(__xludf.DUMMYFUNCTION("""COMPUTED_VALUE"""),11006.05)</f>
        <v>11006.05</v>
      </c>
      <c r="F61" s="6">
        <f>IFERROR(__xludf.DUMMYFUNCTION("""COMPUTED_VALUE"""),1939486.0)</f>
        <v>1939486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IFERROR(__xludf.DUMMYFUNCTION("""COMPUTED_VALUE"""),10950.0)</f>
        <v>10950</v>
      </c>
      <c r="C62" s="6">
        <f>IFERROR(__xludf.DUMMYFUNCTION("""COMPUTED_VALUE"""),11195.25)</f>
        <v>11195.25</v>
      </c>
      <c r="D62" s="6">
        <f>IFERROR(__xludf.DUMMYFUNCTION("""COMPUTED_VALUE"""),10770.0)</f>
        <v>10770</v>
      </c>
      <c r="E62" s="6">
        <f>IFERROR(__xludf.DUMMYFUNCTION("""COMPUTED_VALUE"""),11063.6)</f>
        <v>11063.6</v>
      </c>
      <c r="F62" s="6">
        <f>IFERROR(__xludf.DUMMYFUNCTION("""COMPUTED_VALUE"""),2231386.0)</f>
        <v>2231386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IFERROR(__xludf.DUMMYFUNCTION("""COMPUTED_VALUE"""),11202.0)</f>
        <v>11202</v>
      </c>
      <c r="C63" s="6">
        <f>IFERROR(__xludf.DUMMYFUNCTION("""COMPUTED_VALUE"""),11247.95)</f>
        <v>11247.95</v>
      </c>
      <c r="D63" s="6">
        <f>IFERROR(__xludf.DUMMYFUNCTION("""COMPUTED_VALUE"""),10870.0)</f>
        <v>10870</v>
      </c>
      <c r="E63" s="6">
        <f>IFERROR(__xludf.DUMMYFUNCTION("""COMPUTED_VALUE"""),11074.2)</f>
        <v>11074.2</v>
      </c>
      <c r="F63" s="6">
        <f>IFERROR(__xludf.DUMMYFUNCTION("""COMPUTED_VALUE"""),2331520.0)</f>
        <v>2331520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IFERROR(__xludf.DUMMYFUNCTION("""COMPUTED_VALUE"""),11151.0)</f>
        <v>11151</v>
      </c>
      <c r="C64" s="6">
        <f>IFERROR(__xludf.DUMMYFUNCTION("""COMPUTED_VALUE"""),11375.95)</f>
        <v>11375.95</v>
      </c>
      <c r="D64" s="6">
        <f>IFERROR(__xludf.DUMMYFUNCTION("""COMPUTED_VALUE"""),11031.0)</f>
        <v>11031</v>
      </c>
      <c r="E64" s="6">
        <f>IFERROR(__xludf.DUMMYFUNCTION("""COMPUTED_VALUE"""),11317.95)</f>
        <v>11317.95</v>
      </c>
      <c r="F64" s="6">
        <f>IFERROR(__xludf.DUMMYFUNCTION("""COMPUTED_VALUE"""),2222913.0)</f>
        <v>2222913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IFERROR(__xludf.DUMMYFUNCTION("""COMPUTED_VALUE"""),11322.0)</f>
        <v>11322</v>
      </c>
      <c r="C65" s="6">
        <f>IFERROR(__xludf.DUMMYFUNCTION("""COMPUTED_VALUE"""),11368.9)</f>
        <v>11368.9</v>
      </c>
      <c r="D65" s="6">
        <f>IFERROR(__xludf.DUMMYFUNCTION("""COMPUTED_VALUE"""),11033.6)</f>
        <v>11033.6</v>
      </c>
      <c r="E65" s="6">
        <f>IFERROR(__xludf.DUMMYFUNCTION("""COMPUTED_VALUE"""),11272.55)</f>
        <v>11272.55</v>
      </c>
      <c r="F65" s="6">
        <f>IFERROR(__xludf.DUMMYFUNCTION("""COMPUTED_VALUE"""),1551778.0)</f>
        <v>1551778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IFERROR(__xludf.DUMMYFUNCTION("""COMPUTED_VALUE"""),11255.55)</f>
        <v>11255.55</v>
      </c>
      <c r="C66" s="6">
        <f>IFERROR(__xludf.DUMMYFUNCTION("""COMPUTED_VALUE"""),11329.45)</f>
        <v>11329.45</v>
      </c>
      <c r="D66" s="6">
        <f>IFERROR(__xludf.DUMMYFUNCTION("""COMPUTED_VALUE"""),10852.45)</f>
        <v>10852.45</v>
      </c>
      <c r="E66" s="6">
        <f>IFERROR(__xludf.DUMMYFUNCTION("""COMPUTED_VALUE"""),10901.05)</f>
        <v>10901.05</v>
      </c>
      <c r="F66" s="6">
        <f>IFERROR(__xludf.DUMMYFUNCTION("""COMPUTED_VALUE"""),1855905.0)</f>
        <v>1855905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IFERROR(__xludf.DUMMYFUNCTION("""COMPUTED_VALUE"""),10928.0)</f>
        <v>10928</v>
      </c>
      <c r="C67" s="6">
        <f>IFERROR(__xludf.DUMMYFUNCTION("""COMPUTED_VALUE"""),11133.0)</f>
        <v>11133</v>
      </c>
      <c r="D67" s="6">
        <f>IFERROR(__xludf.DUMMYFUNCTION("""COMPUTED_VALUE"""),10725.0)</f>
        <v>10725</v>
      </c>
      <c r="E67" s="6">
        <f>IFERROR(__xludf.DUMMYFUNCTION("""COMPUTED_VALUE"""),10941.05)</f>
        <v>10941.05</v>
      </c>
      <c r="F67" s="6">
        <f>IFERROR(__xludf.DUMMYFUNCTION("""COMPUTED_VALUE"""),996098.0)</f>
        <v>996098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IFERROR(__xludf.DUMMYFUNCTION("""COMPUTED_VALUE"""),10941.05)</f>
        <v>10941.05</v>
      </c>
      <c r="C68" s="6">
        <f>IFERROR(__xludf.DUMMYFUNCTION("""COMPUTED_VALUE"""),12049.8)</f>
        <v>12049.8</v>
      </c>
      <c r="D68" s="6">
        <f>IFERROR(__xludf.DUMMYFUNCTION("""COMPUTED_VALUE"""),10750.1)</f>
        <v>10750.1</v>
      </c>
      <c r="E68" s="6">
        <f>IFERROR(__xludf.DUMMYFUNCTION("""COMPUTED_VALUE"""),11934.25)</f>
        <v>11934.25</v>
      </c>
      <c r="F68" s="6">
        <f>IFERROR(__xludf.DUMMYFUNCTION("""COMPUTED_VALUE"""),3036037.0)</f>
        <v>3036037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IFERROR(__xludf.DUMMYFUNCTION("""COMPUTED_VALUE"""),11929.0)</f>
        <v>11929</v>
      </c>
      <c r="C69" s="6">
        <f>IFERROR(__xludf.DUMMYFUNCTION("""COMPUTED_VALUE"""),11979.9)</f>
        <v>11979.9</v>
      </c>
      <c r="D69" s="6">
        <f>IFERROR(__xludf.DUMMYFUNCTION("""COMPUTED_VALUE"""),11570.0)</f>
        <v>11570</v>
      </c>
      <c r="E69" s="6">
        <f>IFERROR(__xludf.DUMMYFUNCTION("""COMPUTED_VALUE"""),11631.1)</f>
        <v>11631.1</v>
      </c>
      <c r="F69" s="6">
        <f>IFERROR(__xludf.DUMMYFUNCTION("""COMPUTED_VALUE"""),1479131.0)</f>
        <v>1479131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IFERROR(__xludf.DUMMYFUNCTION("""COMPUTED_VALUE"""),11468.5)</f>
        <v>11468.5</v>
      </c>
      <c r="C70" s="6">
        <f>IFERROR(__xludf.DUMMYFUNCTION("""COMPUTED_VALUE"""),12192.4)</f>
        <v>12192.4</v>
      </c>
      <c r="D70" s="6">
        <f>IFERROR(__xludf.DUMMYFUNCTION("""COMPUTED_VALUE"""),11468.0)</f>
        <v>11468</v>
      </c>
      <c r="E70" s="6">
        <f>IFERROR(__xludf.DUMMYFUNCTION("""COMPUTED_VALUE"""),12136.35)</f>
        <v>12136.35</v>
      </c>
      <c r="F70" s="6">
        <f>IFERROR(__xludf.DUMMYFUNCTION("""COMPUTED_VALUE"""),2410390.0)</f>
        <v>2410390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IFERROR(__xludf.DUMMYFUNCTION("""COMPUTED_VALUE"""),12147.05)</f>
        <v>12147.05</v>
      </c>
      <c r="C71" s="6">
        <f>IFERROR(__xludf.DUMMYFUNCTION("""COMPUTED_VALUE"""),12147.05)</f>
        <v>12147.05</v>
      </c>
      <c r="D71" s="6">
        <f>IFERROR(__xludf.DUMMYFUNCTION("""COMPUTED_VALUE"""),11862.05)</f>
        <v>11862.05</v>
      </c>
      <c r="E71" s="6">
        <f>IFERROR(__xludf.DUMMYFUNCTION("""COMPUTED_VALUE"""),11967.9)</f>
        <v>11967.9</v>
      </c>
      <c r="F71" s="6">
        <f>IFERROR(__xludf.DUMMYFUNCTION("""COMPUTED_VALUE"""),1739578.0)</f>
        <v>1739578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IFERROR(__xludf.DUMMYFUNCTION("""COMPUTED_VALUE"""),12990.0)</f>
        <v>12990</v>
      </c>
      <c r="C72" s="6">
        <f>IFERROR(__xludf.DUMMYFUNCTION("""COMPUTED_VALUE"""),13461.2)</f>
        <v>13461.2</v>
      </c>
      <c r="D72" s="6">
        <f>IFERROR(__xludf.DUMMYFUNCTION("""COMPUTED_VALUE"""),12921.65)</f>
        <v>12921.65</v>
      </c>
      <c r="E72" s="6">
        <f>IFERROR(__xludf.DUMMYFUNCTION("""COMPUTED_VALUE"""),13049.5)</f>
        <v>13049.5</v>
      </c>
      <c r="F72" s="6">
        <f>IFERROR(__xludf.DUMMYFUNCTION("""COMPUTED_VALUE"""),2497866.0)</f>
        <v>2497866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IFERROR(__xludf.DUMMYFUNCTION("""COMPUTED_VALUE"""),13050.0)</f>
        <v>13050</v>
      </c>
      <c r="C73" s="6">
        <f>IFERROR(__xludf.DUMMYFUNCTION("""COMPUTED_VALUE"""),13060.0)</f>
        <v>13060</v>
      </c>
      <c r="D73" s="6">
        <f>IFERROR(__xludf.DUMMYFUNCTION("""COMPUTED_VALUE"""),12584.1)</f>
        <v>12584.1</v>
      </c>
      <c r="E73" s="6">
        <f>IFERROR(__xludf.DUMMYFUNCTION("""COMPUTED_VALUE"""),12680.25)</f>
        <v>12680.25</v>
      </c>
      <c r="F73" s="6">
        <f>IFERROR(__xludf.DUMMYFUNCTION("""COMPUTED_VALUE"""),1494268.0)</f>
        <v>1494268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IFERROR(__xludf.DUMMYFUNCTION("""COMPUTED_VALUE"""),12601.6)</f>
        <v>12601.6</v>
      </c>
      <c r="C74" s="6">
        <f>IFERROR(__xludf.DUMMYFUNCTION("""COMPUTED_VALUE"""),12884.95)</f>
        <v>12884.95</v>
      </c>
      <c r="D74" s="6">
        <f>IFERROR(__xludf.DUMMYFUNCTION("""COMPUTED_VALUE"""),12245.0)</f>
        <v>12245</v>
      </c>
      <c r="E74" s="6">
        <f>IFERROR(__xludf.DUMMYFUNCTION("""COMPUTED_VALUE"""),12323.45)</f>
        <v>12323.45</v>
      </c>
      <c r="F74" s="6">
        <f>IFERROR(__xludf.DUMMYFUNCTION("""COMPUTED_VALUE"""),1649592.0)</f>
        <v>1649592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IFERROR(__xludf.DUMMYFUNCTION("""COMPUTED_VALUE"""),12248.35)</f>
        <v>12248.35</v>
      </c>
      <c r="C75" s="6">
        <f>IFERROR(__xludf.DUMMYFUNCTION("""COMPUTED_VALUE"""),12550.0)</f>
        <v>12550</v>
      </c>
      <c r="D75" s="6">
        <f>IFERROR(__xludf.DUMMYFUNCTION("""COMPUTED_VALUE"""),11811.7)</f>
        <v>11811.7</v>
      </c>
      <c r="E75" s="6">
        <f>IFERROR(__xludf.DUMMYFUNCTION("""COMPUTED_VALUE"""),11945.85)</f>
        <v>11945.85</v>
      </c>
      <c r="F75" s="6">
        <f>IFERROR(__xludf.DUMMYFUNCTION("""COMPUTED_VALUE"""),1604880.0)</f>
        <v>1604880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IFERROR(__xludf.DUMMYFUNCTION("""COMPUTED_VALUE"""),11886.0)</f>
        <v>11886</v>
      </c>
      <c r="C76" s="6">
        <f>IFERROR(__xludf.DUMMYFUNCTION("""COMPUTED_VALUE"""),12059.45)</f>
        <v>12059.45</v>
      </c>
      <c r="D76" s="6">
        <f>IFERROR(__xludf.DUMMYFUNCTION("""COMPUTED_VALUE"""),11480.0)</f>
        <v>11480</v>
      </c>
      <c r="E76" s="6">
        <f>IFERROR(__xludf.DUMMYFUNCTION("""COMPUTED_VALUE"""),11664.15)</f>
        <v>11664.15</v>
      </c>
      <c r="F76" s="6">
        <f>IFERROR(__xludf.DUMMYFUNCTION("""COMPUTED_VALUE"""),1366704.0)</f>
        <v>1366704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IFERROR(__xludf.DUMMYFUNCTION("""COMPUTED_VALUE"""),11600.0)</f>
        <v>11600</v>
      </c>
      <c r="C77" s="6">
        <f>IFERROR(__xludf.DUMMYFUNCTION("""COMPUTED_VALUE"""),11723.95)</f>
        <v>11723.95</v>
      </c>
      <c r="D77" s="6">
        <f>IFERROR(__xludf.DUMMYFUNCTION("""COMPUTED_VALUE"""),11489.75)</f>
        <v>11489.75</v>
      </c>
      <c r="E77" s="6">
        <f>IFERROR(__xludf.DUMMYFUNCTION("""COMPUTED_VALUE"""),11513.8)</f>
        <v>11513.8</v>
      </c>
      <c r="F77" s="6">
        <f>IFERROR(__xludf.DUMMYFUNCTION("""COMPUTED_VALUE"""),909813.0)</f>
        <v>909813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IFERROR(__xludf.DUMMYFUNCTION("""COMPUTED_VALUE"""),11513.8)</f>
        <v>11513.8</v>
      </c>
      <c r="C78" s="6">
        <f>IFERROR(__xludf.DUMMYFUNCTION("""COMPUTED_VALUE"""),11921.7)</f>
        <v>11921.7</v>
      </c>
      <c r="D78" s="6">
        <f>IFERROR(__xludf.DUMMYFUNCTION("""COMPUTED_VALUE"""),11456.35)</f>
        <v>11456.35</v>
      </c>
      <c r="E78" s="6">
        <f>IFERROR(__xludf.DUMMYFUNCTION("""COMPUTED_VALUE"""),11732.8)</f>
        <v>11732.8</v>
      </c>
      <c r="F78" s="6">
        <f>IFERROR(__xludf.DUMMYFUNCTION("""COMPUTED_VALUE"""),2065341.0)</f>
        <v>2065341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IFERROR(__xludf.DUMMYFUNCTION("""COMPUTED_VALUE"""),11779.95)</f>
        <v>11779.95</v>
      </c>
      <c r="C79" s="6">
        <f>IFERROR(__xludf.DUMMYFUNCTION("""COMPUTED_VALUE"""),12075.25)</f>
        <v>12075.25</v>
      </c>
      <c r="D79" s="6">
        <f>IFERROR(__xludf.DUMMYFUNCTION("""COMPUTED_VALUE"""),11400.1)</f>
        <v>11400.1</v>
      </c>
      <c r="E79" s="6">
        <f>IFERROR(__xludf.DUMMYFUNCTION("""COMPUTED_VALUE"""),11522.15)</f>
        <v>11522.15</v>
      </c>
      <c r="F79" s="6">
        <f>IFERROR(__xludf.DUMMYFUNCTION("""COMPUTED_VALUE"""),2539415.0)</f>
        <v>2539415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IFERROR(__xludf.DUMMYFUNCTION("""COMPUTED_VALUE"""),11480.0)</f>
        <v>11480</v>
      </c>
      <c r="C80" s="6">
        <f>IFERROR(__xludf.DUMMYFUNCTION("""COMPUTED_VALUE"""),11802.95)</f>
        <v>11802.95</v>
      </c>
      <c r="D80" s="6">
        <f>IFERROR(__xludf.DUMMYFUNCTION("""COMPUTED_VALUE"""),11290.0)</f>
        <v>11290</v>
      </c>
      <c r="E80" s="6">
        <f>IFERROR(__xludf.DUMMYFUNCTION("""COMPUTED_VALUE"""),11482.0)</f>
        <v>11482</v>
      </c>
      <c r="F80" s="6">
        <f>IFERROR(__xludf.DUMMYFUNCTION("""COMPUTED_VALUE"""),1633647.0)</f>
        <v>1633647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IFERROR(__xludf.DUMMYFUNCTION("""COMPUTED_VALUE"""),11105.6)</f>
        <v>11105.6</v>
      </c>
      <c r="C81" s="6">
        <f>IFERROR(__xludf.DUMMYFUNCTION("""COMPUTED_VALUE"""),11678.75)</f>
        <v>11678.75</v>
      </c>
      <c r="D81" s="6">
        <f>IFERROR(__xludf.DUMMYFUNCTION("""COMPUTED_VALUE"""),11059.45)</f>
        <v>11059.45</v>
      </c>
      <c r="E81" s="6">
        <f>IFERROR(__xludf.DUMMYFUNCTION("""COMPUTED_VALUE"""),11599.05)</f>
        <v>11599.05</v>
      </c>
      <c r="F81" s="6">
        <f>IFERROR(__xludf.DUMMYFUNCTION("""COMPUTED_VALUE"""),1718855.0)</f>
        <v>1718855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IFERROR(__xludf.DUMMYFUNCTION("""COMPUTED_VALUE"""),11790.0)</f>
        <v>11790</v>
      </c>
      <c r="C82" s="6">
        <f>IFERROR(__xludf.DUMMYFUNCTION("""COMPUTED_VALUE"""),11940.0)</f>
        <v>11940</v>
      </c>
      <c r="D82" s="6">
        <f>IFERROR(__xludf.DUMMYFUNCTION("""COMPUTED_VALUE"""),11525.0)</f>
        <v>11525</v>
      </c>
      <c r="E82" s="6">
        <f>IFERROR(__xludf.DUMMYFUNCTION("""COMPUTED_VALUE"""),11695.0)</f>
        <v>11695</v>
      </c>
      <c r="F82" s="6">
        <f>IFERROR(__xludf.DUMMYFUNCTION("""COMPUTED_VALUE"""),1231233.0)</f>
        <v>1231233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IFERROR(__xludf.DUMMYFUNCTION("""COMPUTED_VALUE"""),11695.0)</f>
        <v>11695</v>
      </c>
      <c r="C83" s="6">
        <f>IFERROR(__xludf.DUMMYFUNCTION("""COMPUTED_VALUE"""),12046.0)</f>
        <v>12046</v>
      </c>
      <c r="D83" s="6">
        <f>IFERROR(__xludf.DUMMYFUNCTION("""COMPUTED_VALUE"""),11588.0)</f>
        <v>11588</v>
      </c>
      <c r="E83" s="6">
        <f>IFERROR(__xludf.DUMMYFUNCTION("""COMPUTED_VALUE"""),11698.0)</f>
        <v>11698</v>
      </c>
      <c r="F83" s="6">
        <f>IFERROR(__xludf.DUMMYFUNCTION("""COMPUTED_VALUE"""),2623214.0)</f>
        <v>2623214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IFERROR(__xludf.DUMMYFUNCTION("""COMPUTED_VALUE"""),11428.0)</f>
        <v>11428</v>
      </c>
      <c r="C84" s="6">
        <f>IFERROR(__xludf.DUMMYFUNCTION("""COMPUTED_VALUE"""),12727.0)</f>
        <v>12727</v>
      </c>
      <c r="D84" s="6">
        <f>IFERROR(__xludf.DUMMYFUNCTION("""COMPUTED_VALUE"""),11289.0)</f>
        <v>11289</v>
      </c>
      <c r="E84" s="6">
        <f>IFERROR(__xludf.DUMMYFUNCTION("""COMPUTED_VALUE"""),12406.0)</f>
        <v>12406</v>
      </c>
      <c r="F84" s="6">
        <f>IFERROR(__xludf.DUMMYFUNCTION("""COMPUTED_VALUE"""),2588057.0)</f>
        <v>2588057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IFERROR(__xludf.DUMMYFUNCTION("""COMPUTED_VALUE"""),12490.0)</f>
        <v>12490</v>
      </c>
      <c r="C85" s="6">
        <f>IFERROR(__xludf.DUMMYFUNCTION("""COMPUTED_VALUE"""),12669.0)</f>
        <v>12669</v>
      </c>
      <c r="D85" s="6">
        <f>IFERROR(__xludf.DUMMYFUNCTION("""COMPUTED_VALUE"""),12115.0)</f>
        <v>12115</v>
      </c>
      <c r="E85" s="6">
        <f>IFERROR(__xludf.DUMMYFUNCTION("""COMPUTED_VALUE"""),12250.0)</f>
        <v>12250</v>
      </c>
      <c r="F85" s="6">
        <f>IFERROR(__xludf.DUMMYFUNCTION("""COMPUTED_VALUE"""),1751992.0)</f>
        <v>1751992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IFERROR(__xludf.DUMMYFUNCTION("""COMPUTED_VALUE"""),12426.0)</f>
        <v>12426</v>
      </c>
      <c r="C86" s="6">
        <f>IFERROR(__xludf.DUMMYFUNCTION("""COMPUTED_VALUE"""),13086.0)</f>
        <v>13086</v>
      </c>
      <c r="D86" s="6">
        <f>IFERROR(__xludf.DUMMYFUNCTION("""COMPUTED_VALUE"""),12411.0)</f>
        <v>12411</v>
      </c>
      <c r="E86" s="6">
        <f>IFERROR(__xludf.DUMMYFUNCTION("""COMPUTED_VALUE"""),12995.0)</f>
        <v>12995</v>
      </c>
      <c r="F86" s="6">
        <f>IFERROR(__xludf.DUMMYFUNCTION("""COMPUTED_VALUE"""),1856255.0)</f>
        <v>1856255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IFERROR(__xludf.DUMMYFUNCTION("""COMPUTED_VALUE"""),12990.0)</f>
        <v>12990</v>
      </c>
      <c r="C87" s="6">
        <f>IFERROR(__xludf.DUMMYFUNCTION("""COMPUTED_VALUE"""),13046.0)</f>
        <v>13046</v>
      </c>
      <c r="D87" s="6">
        <f>IFERROR(__xludf.DUMMYFUNCTION("""COMPUTED_VALUE"""),12395.0)</f>
        <v>12395</v>
      </c>
      <c r="E87" s="6">
        <f>IFERROR(__xludf.DUMMYFUNCTION("""COMPUTED_VALUE"""),12453.0)</f>
        <v>12453</v>
      </c>
      <c r="F87" s="6">
        <f>IFERROR(__xludf.DUMMYFUNCTION("""COMPUTED_VALUE"""),1418805.0)</f>
        <v>1418805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IFERROR(__xludf.DUMMYFUNCTION("""COMPUTED_VALUE"""),12455.0)</f>
        <v>12455</v>
      </c>
      <c r="C88" s="6">
        <f>IFERROR(__xludf.DUMMYFUNCTION("""COMPUTED_VALUE"""),12539.0)</f>
        <v>12539</v>
      </c>
      <c r="D88" s="6">
        <f>IFERROR(__xludf.DUMMYFUNCTION("""COMPUTED_VALUE"""),12251.0)</f>
        <v>12251</v>
      </c>
      <c r="E88" s="6">
        <f>IFERROR(__xludf.DUMMYFUNCTION("""COMPUTED_VALUE"""),12319.0)</f>
        <v>12319</v>
      </c>
      <c r="F88" s="6">
        <f>IFERROR(__xludf.DUMMYFUNCTION("""COMPUTED_VALUE"""),1280013.0)</f>
        <v>1280013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IFERROR(__xludf.DUMMYFUNCTION("""COMPUTED_VALUE"""),12161.0)</f>
        <v>12161</v>
      </c>
      <c r="C89" s="6">
        <f>IFERROR(__xludf.DUMMYFUNCTION("""COMPUTED_VALUE"""),12535.0)</f>
        <v>12535</v>
      </c>
      <c r="D89" s="6">
        <f>IFERROR(__xludf.DUMMYFUNCTION("""COMPUTED_VALUE"""),12016.0)</f>
        <v>12016</v>
      </c>
      <c r="E89" s="6">
        <f>IFERROR(__xludf.DUMMYFUNCTION("""COMPUTED_VALUE"""),12462.0)</f>
        <v>12462</v>
      </c>
      <c r="F89" s="6">
        <f>IFERROR(__xludf.DUMMYFUNCTION("""COMPUTED_VALUE"""),1615844.0)</f>
        <v>1615844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IFERROR(__xludf.DUMMYFUNCTION("""COMPUTED_VALUE"""),12505.0)</f>
        <v>12505</v>
      </c>
      <c r="C90" s="6">
        <f>IFERROR(__xludf.DUMMYFUNCTION("""COMPUTED_VALUE"""),12744.0)</f>
        <v>12744</v>
      </c>
      <c r="D90" s="6">
        <f>IFERROR(__xludf.DUMMYFUNCTION("""COMPUTED_VALUE"""),12176.0)</f>
        <v>12176</v>
      </c>
      <c r="E90" s="6">
        <f>IFERROR(__xludf.DUMMYFUNCTION("""COMPUTED_VALUE"""),12408.0)</f>
        <v>12408</v>
      </c>
      <c r="F90" s="6">
        <f>IFERROR(__xludf.DUMMYFUNCTION("""COMPUTED_VALUE"""),1687628.0)</f>
        <v>1687628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IFERROR(__xludf.DUMMYFUNCTION("""COMPUTED_VALUE"""),12404.0)</f>
        <v>12404</v>
      </c>
      <c r="C91" s="6">
        <f>IFERROR(__xludf.DUMMYFUNCTION("""COMPUTED_VALUE"""),12890.0)</f>
        <v>12890</v>
      </c>
      <c r="D91" s="6">
        <f>IFERROR(__xludf.DUMMYFUNCTION("""COMPUTED_VALUE"""),12336.0)</f>
        <v>12336</v>
      </c>
      <c r="E91" s="6">
        <f>IFERROR(__xludf.DUMMYFUNCTION("""COMPUTED_VALUE"""),12791.0)</f>
        <v>12791</v>
      </c>
      <c r="F91" s="6">
        <f>IFERROR(__xludf.DUMMYFUNCTION("""COMPUTED_VALUE"""),1869822.0)</f>
        <v>1869822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IFERROR(__xludf.DUMMYFUNCTION("""COMPUTED_VALUE"""),12771.0)</f>
        <v>12771</v>
      </c>
      <c r="C92" s="6">
        <f>IFERROR(__xludf.DUMMYFUNCTION("""COMPUTED_VALUE"""),12855.0)</f>
        <v>12855</v>
      </c>
      <c r="D92" s="6">
        <f>IFERROR(__xludf.DUMMYFUNCTION("""COMPUTED_VALUE"""),12553.0)</f>
        <v>12553</v>
      </c>
      <c r="E92" s="6">
        <f>IFERROR(__xludf.DUMMYFUNCTION("""COMPUTED_VALUE"""),12642.0)</f>
        <v>12642</v>
      </c>
      <c r="F92" s="6">
        <f>IFERROR(__xludf.DUMMYFUNCTION("""COMPUTED_VALUE"""),1542428.0)</f>
        <v>1542428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IFERROR(__xludf.DUMMYFUNCTION("""COMPUTED_VALUE"""),12667.0)</f>
        <v>12667</v>
      </c>
      <c r="C93" s="6">
        <f>IFERROR(__xludf.DUMMYFUNCTION("""COMPUTED_VALUE"""),12820.0)</f>
        <v>12820</v>
      </c>
      <c r="D93" s="6">
        <f>IFERROR(__xludf.DUMMYFUNCTION("""COMPUTED_VALUE"""),12320.0)</f>
        <v>12320</v>
      </c>
      <c r="E93" s="6">
        <f>IFERROR(__xludf.DUMMYFUNCTION("""COMPUTED_VALUE"""),12646.0)</f>
        <v>12646</v>
      </c>
      <c r="F93" s="6">
        <f>IFERROR(__xludf.DUMMYFUNCTION("""COMPUTED_VALUE"""),2174000.0)</f>
        <v>2174000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IFERROR(__xludf.DUMMYFUNCTION("""COMPUTED_VALUE"""),12647.0)</f>
        <v>12647</v>
      </c>
      <c r="C94" s="6">
        <f>IFERROR(__xludf.DUMMYFUNCTION("""COMPUTED_VALUE"""),12685.0)</f>
        <v>12685</v>
      </c>
      <c r="D94" s="6">
        <f>IFERROR(__xludf.DUMMYFUNCTION("""COMPUTED_VALUE"""),12359.0)</f>
        <v>12359</v>
      </c>
      <c r="E94" s="6">
        <f>IFERROR(__xludf.DUMMYFUNCTION("""COMPUTED_VALUE"""),12574.0)</f>
        <v>12574</v>
      </c>
      <c r="F94" s="6">
        <f>IFERROR(__xludf.DUMMYFUNCTION("""COMPUTED_VALUE"""),1107114.0)</f>
        <v>1107114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IFERROR(__xludf.DUMMYFUNCTION("""COMPUTED_VALUE"""),12590.0)</f>
        <v>12590</v>
      </c>
      <c r="C95" s="6">
        <f>IFERROR(__xludf.DUMMYFUNCTION("""COMPUTED_VALUE"""),12627.0)</f>
        <v>12627</v>
      </c>
      <c r="D95" s="6">
        <f>IFERROR(__xludf.DUMMYFUNCTION("""COMPUTED_VALUE"""),12370.0)</f>
        <v>12370</v>
      </c>
      <c r="E95" s="6">
        <f>IFERROR(__xludf.DUMMYFUNCTION("""COMPUTED_VALUE"""),12419.0)</f>
        <v>12419</v>
      </c>
      <c r="F95" s="6">
        <f>IFERROR(__xludf.DUMMYFUNCTION("""COMPUTED_VALUE"""),911869.0)</f>
        <v>911869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IFERROR(__xludf.DUMMYFUNCTION("""COMPUTED_VALUE"""),12431.0)</f>
        <v>12431</v>
      </c>
      <c r="C96" s="6">
        <f>IFERROR(__xludf.DUMMYFUNCTION("""COMPUTED_VALUE"""),12719.0)</f>
        <v>12719</v>
      </c>
      <c r="D96" s="6">
        <f>IFERROR(__xludf.DUMMYFUNCTION("""COMPUTED_VALUE"""),12319.0)</f>
        <v>12319</v>
      </c>
      <c r="E96" s="6">
        <f>IFERROR(__xludf.DUMMYFUNCTION("""COMPUTED_VALUE"""),12404.0)</f>
        <v>12404</v>
      </c>
      <c r="F96" s="6">
        <f>IFERROR(__xludf.DUMMYFUNCTION("""COMPUTED_VALUE"""),1160940.0)</f>
        <v>1160940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IFERROR(__xludf.DUMMYFUNCTION("""COMPUTED_VALUE"""),12371.0)</f>
        <v>12371</v>
      </c>
      <c r="C97" s="6">
        <f>IFERROR(__xludf.DUMMYFUNCTION("""COMPUTED_VALUE"""),12779.0)</f>
        <v>12779</v>
      </c>
      <c r="D97" s="6">
        <f>IFERROR(__xludf.DUMMYFUNCTION("""COMPUTED_VALUE"""),12268.0)</f>
        <v>12268</v>
      </c>
      <c r="E97" s="6">
        <f>IFERROR(__xludf.DUMMYFUNCTION("""COMPUTED_VALUE"""),12302.0)</f>
        <v>12302</v>
      </c>
      <c r="F97" s="6">
        <f>IFERROR(__xludf.DUMMYFUNCTION("""COMPUTED_VALUE"""),1837648.0)</f>
        <v>1837648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IFERROR(__xludf.DUMMYFUNCTION("""COMPUTED_VALUE"""),12326.0)</f>
        <v>12326</v>
      </c>
      <c r="C98" s="6">
        <f>IFERROR(__xludf.DUMMYFUNCTION("""COMPUTED_VALUE"""),12725.0)</f>
        <v>12725</v>
      </c>
      <c r="D98" s="6">
        <f>IFERROR(__xludf.DUMMYFUNCTION("""COMPUTED_VALUE"""),12225.0)</f>
        <v>12225</v>
      </c>
      <c r="E98" s="6">
        <f>IFERROR(__xludf.DUMMYFUNCTION("""COMPUTED_VALUE"""),12590.0)</f>
        <v>12590</v>
      </c>
      <c r="F98" s="6">
        <f>IFERROR(__xludf.DUMMYFUNCTION("""COMPUTED_VALUE"""),1061302.0)</f>
        <v>1061302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IFERROR(__xludf.DUMMYFUNCTION("""COMPUTED_VALUE"""),12585.0)</f>
        <v>12585</v>
      </c>
      <c r="C99" s="6">
        <f>IFERROR(__xludf.DUMMYFUNCTION("""COMPUTED_VALUE"""),12959.0)</f>
        <v>12959</v>
      </c>
      <c r="D99" s="6">
        <f>IFERROR(__xludf.DUMMYFUNCTION("""COMPUTED_VALUE"""),12482.0)</f>
        <v>12482</v>
      </c>
      <c r="E99" s="6">
        <f>IFERROR(__xludf.DUMMYFUNCTION("""COMPUTED_VALUE"""),12936.0)</f>
        <v>12936</v>
      </c>
      <c r="F99" s="6">
        <f>IFERROR(__xludf.DUMMYFUNCTION("""COMPUTED_VALUE"""),1262351.0)</f>
        <v>1262351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IFERROR(__xludf.DUMMYFUNCTION("""COMPUTED_VALUE"""),13703.0)</f>
        <v>13703</v>
      </c>
      <c r="C100" s="6">
        <f>IFERROR(__xludf.DUMMYFUNCTION("""COMPUTED_VALUE"""),14401.0)</f>
        <v>14401</v>
      </c>
      <c r="D100" s="6">
        <f>IFERROR(__xludf.DUMMYFUNCTION("""COMPUTED_VALUE"""),13664.0)</f>
        <v>13664</v>
      </c>
      <c r="E100" s="6">
        <f>IFERROR(__xludf.DUMMYFUNCTION("""COMPUTED_VALUE"""),14349.0)</f>
        <v>14349</v>
      </c>
      <c r="F100" s="6">
        <f>IFERROR(__xludf.DUMMYFUNCTION("""COMPUTED_VALUE"""),4425224.0)</f>
        <v>4425224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IFERROR(__xludf.DUMMYFUNCTION("""COMPUTED_VALUE"""),14401.0)</f>
        <v>14401</v>
      </c>
      <c r="C101" s="6">
        <f>IFERROR(__xludf.DUMMYFUNCTION("""COMPUTED_VALUE"""),14825.0)</f>
        <v>14825</v>
      </c>
      <c r="D101" s="6">
        <f>IFERROR(__xludf.DUMMYFUNCTION("""COMPUTED_VALUE"""),14280.0)</f>
        <v>14280</v>
      </c>
      <c r="E101" s="6">
        <f>IFERROR(__xludf.DUMMYFUNCTION("""COMPUTED_VALUE"""),14714.0)</f>
        <v>14714</v>
      </c>
      <c r="F101" s="6">
        <f>IFERROR(__xludf.DUMMYFUNCTION("""COMPUTED_VALUE"""),8137195.0)</f>
        <v>8137195</v>
      </c>
    </row>
  </sheetData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IFERROR(__xludf.DUMMYFUNCTION("GOOGLEFINANCE(""NSE:MAXHEALTH"",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IFERROR(__xludf.DUMMYFUNCTION("""COMPUTED_VALUE"""),560.0)</f>
        <v>560</v>
      </c>
      <c r="C2" s="6">
        <f>IFERROR(__xludf.DUMMYFUNCTION("""COMPUTED_VALUE"""),599.0)</f>
        <v>599</v>
      </c>
      <c r="D2" s="6">
        <f>IFERROR(__xludf.DUMMYFUNCTION("""COMPUTED_VALUE"""),551.1)</f>
        <v>551.1</v>
      </c>
      <c r="E2" s="6">
        <f>IFERROR(__xludf.DUMMYFUNCTION("""COMPUTED_VALUE"""),574.95)</f>
        <v>574.95</v>
      </c>
      <c r="F2" s="6">
        <f>IFERROR(__xludf.DUMMYFUNCTION("""COMPUTED_VALUE"""),9267470.0)</f>
        <v>9267470</v>
      </c>
    </row>
    <row r="3">
      <c r="A3" s="7">
        <f>IFERROR(__xludf.DUMMYFUNCTION("""COMPUTED_VALUE"""),45177.64583333333)</f>
        <v>45177.64583</v>
      </c>
      <c r="B3" s="6">
        <f>IFERROR(__xludf.DUMMYFUNCTION("""COMPUTED_VALUE"""),574.0)</f>
        <v>574</v>
      </c>
      <c r="C3" s="6">
        <f>IFERROR(__xludf.DUMMYFUNCTION("""COMPUTED_VALUE"""),608.8)</f>
        <v>608.8</v>
      </c>
      <c r="D3" s="6">
        <f>IFERROR(__xludf.DUMMYFUNCTION("""COMPUTED_VALUE"""),573.0)</f>
        <v>573</v>
      </c>
      <c r="E3" s="6">
        <f>IFERROR(__xludf.DUMMYFUNCTION("""COMPUTED_VALUE"""),603.0)</f>
        <v>603</v>
      </c>
      <c r="F3" s="6">
        <f>IFERROR(__xludf.DUMMYFUNCTION("""COMPUTED_VALUE"""),7669196.0)</f>
        <v>7669196</v>
      </c>
    </row>
    <row r="4">
      <c r="A4" s="7">
        <f>IFERROR(__xludf.DUMMYFUNCTION("""COMPUTED_VALUE"""),45184.64583333333)</f>
        <v>45184.64583</v>
      </c>
      <c r="B4" s="6">
        <f>IFERROR(__xludf.DUMMYFUNCTION("""COMPUTED_VALUE"""),603.0)</f>
        <v>603</v>
      </c>
      <c r="C4" s="6">
        <f>IFERROR(__xludf.DUMMYFUNCTION("""COMPUTED_VALUE"""),628.0)</f>
        <v>628</v>
      </c>
      <c r="D4" s="6">
        <f>IFERROR(__xludf.DUMMYFUNCTION("""COMPUTED_VALUE"""),567.2)</f>
        <v>567.2</v>
      </c>
      <c r="E4" s="6">
        <f>IFERROR(__xludf.DUMMYFUNCTION("""COMPUTED_VALUE"""),572.45)</f>
        <v>572.45</v>
      </c>
      <c r="F4" s="6">
        <f>IFERROR(__xludf.DUMMYFUNCTION("""COMPUTED_VALUE"""),1.4120943E7)</f>
        <v>14120943</v>
      </c>
    </row>
    <row r="5">
      <c r="A5" s="7">
        <f>IFERROR(__xludf.DUMMYFUNCTION("""COMPUTED_VALUE"""),45191.64583333333)</f>
        <v>45191.64583</v>
      </c>
      <c r="B5" s="6">
        <f>IFERROR(__xludf.DUMMYFUNCTION("""COMPUTED_VALUE"""),572.45)</f>
        <v>572.45</v>
      </c>
      <c r="C5" s="6">
        <f>IFERROR(__xludf.DUMMYFUNCTION("""COMPUTED_VALUE"""),582.4)</f>
        <v>582.4</v>
      </c>
      <c r="D5" s="6">
        <f>IFERROR(__xludf.DUMMYFUNCTION("""COMPUTED_VALUE"""),538.5)</f>
        <v>538.5</v>
      </c>
      <c r="E5" s="6">
        <f>IFERROR(__xludf.DUMMYFUNCTION("""COMPUTED_VALUE"""),543.25)</f>
        <v>543.25</v>
      </c>
      <c r="F5" s="6">
        <f>IFERROR(__xludf.DUMMYFUNCTION("""COMPUTED_VALUE"""),7174314.0)</f>
        <v>7174314</v>
      </c>
    </row>
    <row r="6">
      <c r="A6" s="7">
        <f>IFERROR(__xludf.DUMMYFUNCTION("""COMPUTED_VALUE"""),45198.64583333333)</f>
        <v>45198.64583</v>
      </c>
      <c r="B6" s="6">
        <f>IFERROR(__xludf.DUMMYFUNCTION("""COMPUTED_VALUE"""),543.45)</f>
        <v>543.45</v>
      </c>
      <c r="C6" s="6">
        <f>IFERROR(__xludf.DUMMYFUNCTION("""COMPUTED_VALUE"""),581.0)</f>
        <v>581</v>
      </c>
      <c r="D6" s="6">
        <f>IFERROR(__xludf.DUMMYFUNCTION("""COMPUTED_VALUE"""),531.05)</f>
        <v>531.05</v>
      </c>
      <c r="E6" s="6">
        <f>IFERROR(__xludf.DUMMYFUNCTION("""COMPUTED_VALUE"""),567.4)</f>
        <v>567.4</v>
      </c>
      <c r="F6" s="6">
        <f>IFERROR(__xludf.DUMMYFUNCTION("""COMPUTED_VALUE"""),6909653.0)</f>
        <v>6909653</v>
      </c>
    </row>
    <row r="7">
      <c r="A7" s="7">
        <f>IFERROR(__xludf.DUMMYFUNCTION("""COMPUTED_VALUE"""),45205.64583333333)</f>
        <v>45205.64583</v>
      </c>
      <c r="B7" s="6">
        <f>IFERROR(__xludf.DUMMYFUNCTION("""COMPUTED_VALUE"""),568.95)</f>
        <v>568.95</v>
      </c>
      <c r="C7" s="6">
        <f>IFERROR(__xludf.DUMMYFUNCTION("""COMPUTED_VALUE"""),601.0)</f>
        <v>601</v>
      </c>
      <c r="D7" s="6">
        <f>IFERROR(__xludf.DUMMYFUNCTION("""COMPUTED_VALUE"""),558.0)</f>
        <v>558</v>
      </c>
      <c r="E7" s="6">
        <f>IFERROR(__xludf.DUMMYFUNCTION("""COMPUTED_VALUE"""),560.7)</f>
        <v>560.7</v>
      </c>
      <c r="F7" s="6">
        <f>IFERROR(__xludf.DUMMYFUNCTION("""COMPUTED_VALUE"""),7002398.0)</f>
        <v>7002398</v>
      </c>
    </row>
    <row r="8">
      <c r="A8" s="7">
        <f>IFERROR(__xludf.DUMMYFUNCTION("""COMPUTED_VALUE"""),45212.64583333333)</f>
        <v>45212.64583</v>
      </c>
      <c r="B8" s="6">
        <f>IFERROR(__xludf.DUMMYFUNCTION("""COMPUTED_VALUE"""),554.9)</f>
        <v>554.9</v>
      </c>
      <c r="C8" s="6">
        <f>IFERROR(__xludf.DUMMYFUNCTION("""COMPUTED_VALUE"""),597.7)</f>
        <v>597.7</v>
      </c>
      <c r="D8" s="6">
        <f>IFERROR(__xludf.DUMMYFUNCTION("""COMPUTED_VALUE"""),552.0)</f>
        <v>552</v>
      </c>
      <c r="E8" s="6">
        <f>IFERROR(__xludf.DUMMYFUNCTION("""COMPUTED_VALUE"""),582.8)</f>
        <v>582.8</v>
      </c>
      <c r="F8" s="6">
        <f>IFERROR(__xludf.DUMMYFUNCTION("""COMPUTED_VALUE"""),9631410.0)</f>
        <v>9631410</v>
      </c>
    </row>
    <row r="9">
      <c r="A9" s="7">
        <f>IFERROR(__xludf.DUMMYFUNCTION("""COMPUTED_VALUE"""),45219.64583333333)</f>
        <v>45219.64583</v>
      </c>
      <c r="B9" s="6">
        <f>IFERROR(__xludf.DUMMYFUNCTION("""COMPUTED_VALUE"""),582.9)</f>
        <v>582.9</v>
      </c>
      <c r="C9" s="6">
        <f>IFERROR(__xludf.DUMMYFUNCTION("""COMPUTED_VALUE"""),597.95)</f>
        <v>597.95</v>
      </c>
      <c r="D9" s="6">
        <f>IFERROR(__xludf.DUMMYFUNCTION("""COMPUTED_VALUE"""),570.65)</f>
        <v>570.65</v>
      </c>
      <c r="E9" s="6">
        <f>IFERROR(__xludf.DUMMYFUNCTION("""COMPUTED_VALUE"""),584.05)</f>
        <v>584.05</v>
      </c>
      <c r="F9" s="6">
        <f>IFERROR(__xludf.DUMMYFUNCTION("""COMPUTED_VALUE"""),6722831.0)</f>
        <v>6722831</v>
      </c>
    </row>
    <row r="10">
      <c r="A10" s="7">
        <f>IFERROR(__xludf.DUMMYFUNCTION("""COMPUTED_VALUE"""),45226.64583333333)</f>
        <v>45226.64583</v>
      </c>
      <c r="B10" s="6">
        <f>IFERROR(__xludf.DUMMYFUNCTION("""COMPUTED_VALUE"""),585.0)</f>
        <v>585</v>
      </c>
      <c r="C10" s="6">
        <f>IFERROR(__xludf.DUMMYFUNCTION("""COMPUTED_VALUE"""),585.2)</f>
        <v>585.2</v>
      </c>
      <c r="D10" s="6">
        <f>IFERROR(__xludf.DUMMYFUNCTION("""COMPUTED_VALUE"""),538.65)</f>
        <v>538.65</v>
      </c>
      <c r="E10" s="6">
        <f>IFERROR(__xludf.DUMMYFUNCTION("""COMPUTED_VALUE"""),563.8)</f>
        <v>563.8</v>
      </c>
      <c r="F10" s="6">
        <f>IFERROR(__xludf.DUMMYFUNCTION("""COMPUTED_VALUE"""),7881092.0)</f>
        <v>7881092</v>
      </c>
    </row>
    <row r="11">
      <c r="A11" s="7">
        <f>IFERROR(__xludf.DUMMYFUNCTION("""COMPUTED_VALUE"""),45233.64583333333)</f>
        <v>45233.64583</v>
      </c>
      <c r="B11" s="6">
        <f>IFERROR(__xludf.DUMMYFUNCTION("""COMPUTED_VALUE"""),563.5)</f>
        <v>563.5</v>
      </c>
      <c r="C11" s="6">
        <f>IFERROR(__xludf.DUMMYFUNCTION("""COMPUTED_VALUE"""),593.55)</f>
        <v>593.55</v>
      </c>
      <c r="D11" s="6">
        <f>IFERROR(__xludf.DUMMYFUNCTION("""COMPUTED_VALUE"""),562.0)</f>
        <v>562</v>
      </c>
      <c r="E11" s="6">
        <f>IFERROR(__xludf.DUMMYFUNCTION("""COMPUTED_VALUE"""),578.15)</f>
        <v>578.15</v>
      </c>
      <c r="F11" s="6">
        <f>IFERROR(__xludf.DUMMYFUNCTION("""COMPUTED_VALUE"""),5905985.0)</f>
        <v>5905985</v>
      </c>
    </row>
    <row r="12">
      <c r="A12" s="7">
        <f>IFERROR(__xludf.DUMMYFUNCTION("""COMPUTED_VALUE"""),45240.64583333333)</f>
        <v>45240.64583</v>
      </c>
      <c r="B12" s="6">
        <f>IFERROR(__xludf.DUMMYFUNCTION("""COMPUTED_VALUE"""),582.95)</f>
        <v>582.95</v>
      </c>
      <c r="C12" s="6">
        <f>IFERROR(__xludf.DUMMYFUNCTION("""COMPUTED_VALUE"""),609.0)</f>
        <v>609</v>
      </c>
      <c r="D12" s="6">
        <f>IFERROR(__xludf.DUMMYFUNCTION("""COMPUTED_VALUE"""),570.0)</f>
        <v>570</v>
      </c>
      <c r="E12" s="6">
        <f>IFERROR(__xludf.DUMMYFUNCTION("""COMPUTED_VALUE"""),592.9)</f>
        <v>592.9</v>
      </c>
      <c r="F12" s="6">
        <f>IFERROR(__xludf.DUMMYFUNCTION("""COMPUTED_VALUE"""),5048057.0)</f>
        <v>5048057</v>
      </c>
    </row>
    <row r="13">
      <c r="A13" s="7">
        <f>IFERROR(__xludf.DUMMYFUNCTION("""COMPUTED_VALUE"""),45247.64583333333)</f>
        <v>45247.64583</v>
      </c>
      <c r="B13" s="6">
        <f>IFERROR(__xludf.DUMMYFUNCTION("""COMPUTED_VALUE"""),598.6)</f>
        <v>598.6</v>
      </c>
      <c r="C13" s="6">
        <f>IFERROR(__xludf.DUMMYFUNCTION("""COMPUTED_VALUE"""),623.65)</f>
        <v>623.65</v>
      </c>
      <c r="D13" s="6">
        <f>IFERROR(__xludf.DUMMYFUNCTION("""COMPUTED_VALUE"""),590.1)</f>
        <v>590.1</v>
      </c>
      <c r="E13" s="6">
        <f>IFERROR(__xludf.DUMMYFUNCTION("""COMPUTED_VALUE"""),607.75)</f>
        <v>607.75</v>
      </c>
      <c r="F13" s="6">
        <f>IFERROR(__xludf.DUMMYFUNCTION("""COMPUTED_VALUE"""),5551068.0)</f>
        <v>5551068</v>
      </c>
    </row>
    <row r="14">
      <c r="A14" s="7">
        <f>IFERROR(__xludf.DUMMYFUNCTION("""COMPUTED_VALUE"""),45254.64583333333)</f>
        <v>45254.64583</v>
      </c>
      <c r="B14" s="6">
        <f>IFERROR(__xludf.DUMMYFUNCTION("""COMPUTED_VALUE"""),612.0)</f>
        <v>612</v>
      </c>
      <c r="C14" s="6">
        <f>IFERROR(__xludf.DUMMYFUNCTION("""COMPUTED_VALUE"""),633.2)</f>
        <v>633.2</v>
      </c>
      <c r="D14" s="6">
        <f>IFERROR(__xludf.DUMMYFUNCTION("""COMPUTED_VALUE"""),600.45)</f>
        <v>600.45</v>
      </c>
      <c r="E14" s="6">
        <f>IFERROR(__xludf.DUMMYFUNCTION("""COMPUTED_VALUE"""),612.75)</f>
        <v>612.75</v>
      </c>
      <c r="F14" s="6">
        <f>IFERROR(__xludf.DUMMYFUNCTION("""COMPUTED_VALUE"""),4581065.0)</f>
        <v>4581065</v>
      </c>
    </row>
    <row r="15">
      <c r="A15" s="7">
        <f>IFERROR(__xludf.DUMMYFUNCTION("""COMPUTED_VALUE"""),45261.64583333333)</f>
        <v>45261.64583</v>
      </c>
      <c r="B15" s="6">
        <f>IFERROR(__xludf.DUMMYFUNCTION("""COMPUTED_VALUE"""),611.05)</f>
        <v>611.05</v>
      </c>
      <c r="C15" s="6">
        <f>IFERROR(__xludf.DUMMYFUNCTION("""COMPUTED_VALUE"""),665.7)</f>
        <v>665.7</v>
      </c>
      <c r="D15" s="6">
        <f>IFERROR(__xludf.DUMMYFUNCTION("""COMPUTED_VALUE"""),599.15)</f>
        <v>599.15</v>
      </c>
      <c r="E15" s="6">
        <f>IFERROR(__xludf.DUMMYFUNCTION("""COMPUTED_VALUE"""),652.35)</f>
        <v>652.35</v>
      </c>
      <c r="F15" s="6">
        <f>IFERROR(__xludf.DUMMYFUNCTION("""COMPUTED_VALUE"""),9555493.0)</f>
        <v>9555493</v>
      </c>
    </row>
    <row r="16">
      <c r="A16" s="7">
        <f>IFERROR(__xludf.DUMMYFUNCTION("""COMPUTED_VALUE"""),45268.64583333333)</f>
        <v>45268.64583</v>
      </c>
      <c r="B16" s="6">
        <f>IFERROR(__xludf.DUMMYFUNCTION("""COMPUTED_VALUE"""),658.5)</f>
        <v>658.5</v>
      </c>
      <c r="C16" s="6">
        <f>IFERROR(__xludf.DUMMYFUNCTION("""COMPUTED_VALUE"""),709.0)</f>
        <v>709</v>
      </c>
      <c r="D16" s="6">
        <f>IFERROR(__xludf.DUMMYFUNCTION("""COMPUTED_VALUE"""),651.05)</f>
        <v>651.05</v>
      </c>
      <c r="E16" s="6">
        <f>IFERROR(__xludf.DUMMYFUNCTION("""COMPUTED_VALUE"""),678.2)</f>
        <v>678.2</v>
      </c>
      <c r="F16" s="6">
        <f>IFERROR(__xludf.DUMMYFUNCTION("""COMPUTED_VALUE"""),8557889.0)</f>
        <v>8557889</v>
      </c>
    </row>
    <row r="17">
      <c r="A17" s="7">
        <f>IFERROR(__xludf.DUMMYFUNCTION("""COMPUTED_VALUE"""),45275.64583333333)</f>
        <v>45275.64583</v>
      </c>
      <c r="B17" s="6">
        <f>IFERROR(__xludf.DUMMYFUNCTION("""COMPUTED_VALUE"""),688.0)</f>
        <v>688</v>
      </c>
      <c r="C17" s="6">
        <f>IFERROR(__xludf.DUMMYFUNCTION("""COMPUTED_VALUE"""),728.0)</f>
        <v>728</v>
      </c>
      <c r="D17" s="6">
        <f>IFERROR(__xludf.DUMMYFUNCTION("""COMPUTED_VALUE"""),677.05)</f>
        <v>677.05</v>
      </c>
      <c r="E17" s="6">
        <f>IFERROR(__xludf.DUMMYFUNCTION("""COMPUTED_VALUE"""),688.2)</f>
        <v>688.2</v>
      </c>
      <c r="F17" s="6">
        <f>IFERROR(__xludf.DUMMYFUNCTION("""COMPUTED_VALUE"""),1.1809118E7)</f>
        <v>11809118</v>
      </c>
    </row>
    <row r="18">
      <c r="A18" s="7">
        <f>IFERROR(__xludf.DUMMYFUNCTION("""COMPUTED_VALUE"""),45282.64583333333)</f>
        <v>45282.64583</v>
      </c>
      <c r="B18" s="6">
        <f>IFERROR(__xludf.DUMMYFUNCTION("""COMPUTED_VALUE"""),694.4)</f>
        <v>694.4</v>
      </c>
      <c r="C18" s="6">
        <f>IFERROR(__xludf.DUMMYFUNCTION("""COMPUTED_VALUE"""),697.25)</f>
        <v>697.25</v>
      </c>
      <c r="D18" s="6">
        <f>IFERROR(__xludf.DUMMYFUNCTION("""COMPUTED_VALUE"""),630.9)</f>
        <v>630.9</v>
      </c>
      <c r="E18" s="6">
        <f>IFERROR(__xludf.DUMMYFUNCTION("""COMPUTED_VALUE"""),648.9)</f>
        <v>648.9</v>
      </c>
      <c r="F18" s="6">
        <f>IFERROR(__xludf.DUMMYFUNCTION("""COMPUTED_VALUE"""),8030769.0)</f>
        <v>8030769</v>
      </c>
    </row>
    <row r="19">
      <c r="A19" s="7">
        <f>IFERROR(__xludf.DUMMYFUNCTION("""COMPUTED_VALUE"""),45289.64583333333)</f>
        <v>45289.64583</v>
      </c>
      <c r="B19" s="6">
        <f>IFERROR(__xludf.DUMMYFUNCTION("""COMPUTED_VALUE"""),654.0)</f>
        <v>654</v>
      </c>
      <c r="C19" s="6">
        <f>IFERROR(__xludf.DUMMYFUNCTION("""COMPUTED_VALUE"""),689.9)</f>
        <v>689.9</v>
      </c>
      <c r="D19" s="6">
        <f>IFERROR(__xludf.DUMMYFUNCTION("""COMPUTED_VALUE"""),651.4)</f>
        <v>651.4</v>
      </c>
      <c r="E19" s="6">
        <f>IFERROR(__xludf.DUMMYFUNCTION("""COMPUTED_VALUE"""),686.25)</f>
        <v>686.25</v>
      </c>
      <c r="F19" s="6">
        <f>IFERROR(__xludf.DUMMYFUNCTION("""COMPUTED_VALUE"""),2862710.0)</f>
        <v>2862710</v>
      </c>
    </row>
    <row r="20">
      <c r="A20" s="7">
        <f>IFERROR(__xludf.DUMMYFUNCTION("""COMPUTED_VALUE"""),45296.64583333333)</f>
        <v>45296.64583</v>
      </c>
      <c r="B20" s="6">
        <f>IFERROR(__xludf.DUMMYFUNCTION("""COMPUTED_VALUE"""),689.0)</f>
        <v>689</v>
      </c>
      <c r="C20" s="6">
        <f>IFERROR(__xludf.DUMMYFUNCTION("""COMPUTED_VALUE"""),745.95)</f>
        <v>745.95</v>
      </c>
      <c r="D20" s="6">
        <f>IFERROR(__xludf.DUMMYFUNCTION("""COMPUTED_VALUE"""),669.45)</f>
        <v>669.45</v>
      </c>
      <c r="E20" s="6">
        <f>IFERROR(__xludf.DUMMYFUNCTION("""COMPUTED_VALUE"""),714.75)</f>
        <v>714.75</v>
      </c>
      <c r="F20" s="6">
        <f>IFERROR(__xludf.DUMMYFUNCTION("""COMPUTED_VALUE"""),5579104.0)</f>
        <v>5579104</v>
      </c>
    </row>
    <row r="21">
      <c r="A21" s="7">
        <f>IFERROR(__xludf.DUMMYFUNCTION("""COMPUTED_VALUE"""),45303.64583333333)</f>
        <v>45303.64583</v>
      </c>
      <c r="B21" s="6">
        <f>IFERROR(__xludf.DUMMYFUNCTION("""COMPUTED_VALUE"""),719.0)</f>
        <v>719</v>
      </c>
      <c r="C21" s="6">
        <f>IFERROR(__xludf.DUMMYFUNCTION("""COMPUTED_VALUE"""),760.0)</f>
        <v>760</v>
      </c>
      <c r="D21" s="6">
        <f>IFERROR(__xludf.DUMMYFUNCTION("""COMPUTED_VALUE"""),697.55)</f>
        <v>697.55</v>
      </c>
      <c r="E21" s="6">
        <f>IFERROR(__xludf.DUMMYFUNCTION("""COMPUTED_VALUE"""),737.45)</f>
        <v>737.45</v>
      </c>
      <c r="F21" s="6">
        <f>IFERROR(__xludf.DUMMYFUNCTION("""COMPUTED_VALUE"""),5965123.0)</f>
        <v>5965123</v>
      </c>
    </row>
    <row r="22">
      <c r="A22" s="7">
        <f>IFERROR(__xludf.DUMMYFUNCTION("""COMPUTED_VALUE"""),45316.64583333333)</f>
        <v>45316.64583</v>
      </c>
      <c r="B22" s="6">
        <f>IFERROR(__xludf.DUMMYFUNCTION("""COMPUTED_VALUE"""),757.0)</f>
        <v>757</v>
      </c>
      <c r="C22" s="6">
        <f>IFERROR(__xludf.DUMMYFUNCTION("""COMPUTED_VALUE"""),804.65)</f>
        <v>804.65</v>
      </c>
      <c r="D22" s="6">
        <f>IFERROR(__xludf.DUMMYFUNCTION("""COMPUTED_VALUE"""),715.1)</f>
        <v>715.1</v>
      </c>
      <c r="E22" s="6">
        <f>IFERROR(__xludf.DUMMYFUNCTION("""COMPUTED_VALUE"""),732.5)</f>
        <v>732.5</v>
      </c>
      <c r="F22" s="6">
        <f>IFERROR(__xludf.DUMMYFUNCTION("""COMPUTED_VALUE"""),1.605184E7)</f>
        <v>16051840</v>
      </c>
    </row>
    <row r="23">
      <c r="A23" s="7">
        <f>IFERROR(__xludf.DUMMYFUNCTION("""COMPUTED_VALUE"""),45324.64583333333)</f>
        <v>45324.64583</v>
      </c>
      <c r="B23" s="6">
        <f>IFERROR(__xludf.DUMMYFUNCTION("""COMPUTED_VALUE"""),696.7)</f>
        <v>696.7</v>
      </c>
      <c r="C23" s="6">
        <f>IFERROR(__xludf.DUMMYFUNCTION("""COMPUTED_VALUE"""),812.5)</f>
        <v>812.5</v>
      </c>
      <c r="D23" s="6">
        <f>IFERROR(__xludf.DUMMYFUNCTION("""COMPUTED_VALUE"""),694.8)</f>
        <v>694.8</v>
      </c>
      <c r="E23" s="6">
        <f>IFERROR(__xludf.DUMMYFUNCTION("""COMPUTED_VALUE"""),766.4)</f>
        <v>766.4</v>
      </c>
      <c r="F23" s="6">
        <f>IFERROR(__xludf.DUMMYFUNCTION("""COMPUTED_VALUE"""),1.9635957E7)</f>
        <v>19635957</v>
      </c>
    </row>
    <row r="24">
      <c r="A24" s="7">
        <f>IFERROR(__xludf.DUMMYFUNCTION("""COMPUTED_VALUE"""),45331.64583333333)</f>
        <v>45331.64583</v>
      </c>
      <c r="B24" s="6">
        <f>IFERROR(__xludf.DUMMYFUNCTION("""COMPUTED_VALUE"""),779.0)</f>
        <v>779</v>
      </c>
      <c r="C24" s="6">
        <f>IFERROR(__xludf.DUMMYFUNCTION("""COMPUTED_VALUE"""),883.9)</f>
        <v>883.9</v>
      </c>
      <c r="D24" s="6">
        <f>IFERROR(__xludf.DUMMYFUNCTION("""COMPUTED_VALUE"""),776.0)</f>
        <v>776</v>
      </c>
      <c r="E24" s="6">
        <f>IFERROR(__xludf.DUMMYFUNCTION("""COMPUTED_VALUE"""),874.4)</f>
        <v>874.4</v>
      </c>
      <c r="F24" s="6">
        <f>IFERROR(__xludf.DUMMYFUNCTION("""COMPUTED_VALUE"""),1.5133724E7)</f>
        <v>15133724</v>
      </c>
    </row>
    <row r="25">
      <c r="A25" s="7">
        <f>IFERROR(__xludf.DUMMYFUNCTION("""COMPUTED_VALUE"""),45338.64583333333)</f>
        <v>45338.64583</v>
      </c>
      <c r="B25" s="6">
        <f>IFERROR(__xludf.DUMMYFUNCTION("""COMPUTED_VALUE"""),880.0)</f>
        <v>880</v>
      </c>
      <c r="C25" s="6">
        <f>IFERROR(__xludf.DUMMYFUNCTION("""COMPUTED_VALUE"""),910.0)</f>
        <v>910</v>
      </c>
      <c r="D25" s="6">
        <f>IFERROR(__xludf.DUMMYFUNCTION("""COMPUTED_VALUE"""),852.8)</f>
        <v>852.8</v>
      </c>
      <c r="E25" s="6">
        <f>IFERROR(__xludf.DUMMYFUNCTION("""COMPUTED_VALUE"""),865.45)</f>
        <v>865.45</v>
      </c>
      <c r="F25" s="6">
        <f>IFERROR(__xludf.DUMMYFUNCTION("""COMPUTED_VALUE"""),1.0677188E7)</f>
        <v>10677188</v>
      </c>
    </row>
    <row r="26">
      <c r="A26" s="7">
        <f>IFERROR(__xludf.DUMMYFUNCTION("""COMPUTED_VALUE"""),45345.64583333333)</f>
        <v>45345.64583</v>
      </c>
      <c r="B26" s="6">
        <f>IFERROR(__xludf.DUMMYFUNCTION("""COMPUTED_VALUE"""),875.0)</f>
        <v>875</v>
      </c>
      <c r="C26" s="6">
        <f>IFERROR(__xludf.DUMMYFUNCTION("""COMPUTED_VALUE"""),875.0)</f>
        <v>875</v>
      </c>
      <c r="D26" s="6">
        <f>IFERROR(__xludf.DUMMYFUNCTION("""COMPUTED_VALUE"""),839.0)</f>
        <v>839</v>
      </c>
      <c r="E26" s="6">
        <f>IFERROR(__xludf.DUMMYFUNCTION("""COMPUTED_VALUE"""),851.9)</f>
        <v>851.9</v>
      </c>
      <c r="F26" s="6">
        <f>IFERROR(__xludf.DUMMYFUNCTION("""COMPUTED_VALUE"""),7291492.0)</f>
        <v>7291492</v>
      </c>
    </row>
    <row r="27">
      <c r="A27" s="7">
        <f>IFERROR(__xludf.DUMMYFUNCTION("""COMPUTED_VALUE"""),45358.64583333333)</f>
        <v>45358.64583</v>
      </c>
      <c r="B27" s="6">
        <f>IFERROR(__xludf.DUMMYFUNCTION("""COMPUTED_VALUE"""),769.0)</f>
        <v>769</v>
      </c>
      <c r="C27" s="6">
        <f>IFERROR(__xludf.DUMMYFUNCTION("""COMPUTED_VALUE"""),773.8)</f>
        <v>773.8</v>
      </c>
      <c r="D27" s="6">
        <f>IFERROR(__xludf.DUMMYFUNCTION("""COMPUTED_VALUE"""),725.0)</f>
        <v>725</v>
      </c>
      <c r="E27" s="6">
        <f>IFERROR(__xludf.DUMMYFUNCTION("""COMPUTED_VALUE"""),750.15)</f>
        <v>750.15</v>
      </c>
      <c r="F27" s="6">
        <f>IFERROR(__xludf.DUMMYFUNCTION("""COMPUTED_VALUE"""),2.7046387E7)</f>
        <v>27046387</v>
      </c>
    </row>
    <row r="28">
      <c r="A28" s="7">
        <f>IFERROR(__xludf.DUMMYFUNCTION("""COMPUTED_VALUE"""),45366.64583333333)</f>
        <v>45366.64583</v>
      </c>
      <c r="B28" s="6">
        <f>IFERROR(__xludf.DUMMYFUNCTION("""COMPUTED_VALUE"""),781.0)</f>
        <v>781</v>
      </c>
      <c r="C28" s="6">
        <f>IFERROR(__xludf.DUMMYFUNCTION("""COMPUTED_VALUE"""),787.65)</f>
        <v>787.65</v>
      </c>
      <c r="D28" s="6">
        <f>IFERROR(__xludf.DUMMYFUNCTION("""COMPUTED_VALUE"""),721.3)</f>
        <v>721.3</v>
      </c>
      <c r="E28" s="6">
        <f>IFERROR(__xludf.DUMMYFUNCTION("""COMPUTED_VALUE"""),726.95)</f>
        <v>726.95</v>
      </c>
      <c r="F28" s="6">
        <f>IFERROR(__xludf.DUMMYFUNCTION("""COMPUTED_VALUE"""),1.3541474E7)</f>
        <v>13541474</v>
      </c>
    </row>
    <row r="29">
      <c r="A29" s="7">
        <f>IFERROR(__xludf.DUMMYFUNCTION("""COMPUTED_VALUE"""),45373.64583333333)</f>
        <v>45373.64583</v>
      </c>
      <c r="B29" s="6">
        <f>IFERROR(__xludf.DUMMYFUNCTION("""COMPUTED_VALUE"""),726.8)</f>
        <v>726.8</v>
      </c>
      <c r="C29" s="6">
        <f>IFERROR(__xludf.DUMMYFUNCTION("""COMPUTED_VALUE"""),773.0)</f>
        <v>773</v>
      </c>
      <c r="D29" s="6">
        <f>IFERROR(__xludf.DUMMYFUNCTION("""COMPUTED_VALUE"""),719.45)</f>
        <v>719.45</v>
      </c>
      <c r="E29" s="6">
        <f>IFERROR(__xludf.DUMMYFUNCTION("""COMPUTED_VALUE"""),739.05)</f>
        <v>739.05</v>
      </c>
      <c r="F29" s="6">
        <f>IFERROR(__xludf.DUMMYFUNCTION("""COMPUTED_VALUE"""),1.4710111E7)</f>
        <v>14710111</v>
      </c>
    </row>
    <row r="30">
      <c r="A30" s="7">
        <f>IFERROR(__xludf.DUMMYFUNCTION("""COMPUTED_VALUE"""),45379.64583333333)</f>
        <v>45379.64583</v>
      </c>
      <c r="B30" s="6">
        <f>IFERROR(__xludf.DUMMYFUNCTION("""COMPUTED_VALUE"""),745.0)</f>
        <v>745</v>
      </c>
      <c r="C30" s="6">
        <f>IFERROR(__xludf.DUMMYFUNCTION("""COMPUTED_VALUE"""),827.0)</f>
        <v>827</v>
      </c>
      <c r="D30" s="6">
        <f>IFERROR(__xludf.DUMMYFUNCTION("""COMPUTED_VALUE"""),737.5)</f>
        <v>737.5</v>
      </c>
      <c r="E30" s="6">
        <f>IFERROR(__xludf.DUMMYFUNCTION("""COMPUTED_VALUE"""),819.9)</f>
        <v>819.9</v>
      </c>
      <c r="F30" s="6">
        <f>IFERROR(__xludf.DUMMYFUNCTION("""COMPUTED_VALUE"""),1.1793625E7)</f>
        <v>11793625</v>
      </c>
    </row>
    <row r="31">
      <c r="A31" s="7">
        <f>IFERROR(__xludf.DUMMYFUNCTION("""COMPUTED_VALUE"""),45387.64583333333)</f>
        <v>45387.64583</v>
      </c>
      <c r="B31" s="6">
        <f>IFERROR(__xludf.DUMMYFUNCTION("""COMPUTED_VALUE"""),833.4)</f>
        <v>833.4</v>
      </c>
      <c r="C31" s="6">
        <f>IFERROR(__xludf.DUMMYFUNCTION("""COMPUTED_VALUE"""),833.4)</f>
        <v>833.4</v>
      </c>
      <c r="D31" s="6">
        <f>IFERROR(__xludf.DUMMYFUNCTION("""COMPUTED_VALUE"""),801.0)</f>
        <v>801</v>
      </c>
      <c r="E31" s="6">
        <f>IFERROR(__xludf.DUMMYFUNCTION("""COMPUTED_VALUE"""),804.9)</f>
        <v>804.9</v>
      </c>
      <c r="F31" s="6">
        <f>IFERROR(__xludf.DUMMYFUNCTION("""COMPUTED_VALUE"""),6145559.0)</f>
        <v>6145559</v>
      </c>
    </row>
    <row r="32">
      <c r="A32" s="7">
        <f>IFERROR(__xludf.DUMMYFUNCTION("""COMPUTED_VALUE"""),45394.64583333333)</f>
        <v>45394.64583</v>
      </c>
      <c r="B32" s="6">
        <f>IFERROR(__xludf.DUMMYFUNCTION("""COMPUTED_VALUE"""),808.0)</f>
        <v>808</v>
      </c>
      <c r="C32" s="6">
        <f>IFERROR(__xludf.DUMMYFUNCTION("""COMPUTED_VALUE"""),894.8)</f>
        <v>894.8</v>
      </c>
      <c r="D32" s="6">
        <f>IFERROR(__xludf.DUMMYFUNCTION("""COMPUTED_VALUE"""),806.15)</f>
        <v>806.15</v>
      </c>
      <c r="E32" s="6">
        <f>IFERROR(__xludf.DUMMYFUNCTION("""COMPUTED_VALUE"""),870.45)</f>
        <v>870.45</v>
      </c>
      <c r="F32" s="6">
        <f>IFERROR(__xludf.DUMMYFUNCTION("""COMPUTED_VALUE"""),6405914.0)</f>
        <v>6405914</v>
      </c>
    </row>
    <row r="33">
      <c r="A33" s="7">
        <f>IFERROR(__xludf.DUMMYFUNCTION("""COMPUTED_VALUE"""),45401.64583333333)</f>
        <v>45401.64583</v>
      </c>
      <c r="B33" s="6">
        <f>IFERROR(__xludf.DUMMYFUNCTION("""COMPUTED_VALUE"""),855.0)</f>
        <v>855</v>
      </c>
      <c r="C33" s="6">
        <f>IFERROR(__xludf.DUMMYFUNCTION("""COMPUTED_VALUE"""),861.0)</f>
        <v>861</v>
      </c>
      <c r="D33" s="6">
        <f>IFERROR(__xludf.DUMMYFUNCTION("""COMPUTED_VALUE"""),748.45)</f>
        <v>748.45</v>
      </c>
      <c r="E33" s="6">
        <f>IFERROR(__xludf.DUMMYFUNCTION("""COMPUTED_VALUE"""),772.85)</f>
        <v>772.85</v>
      </c>
      <c r="F33" s="6">
        <f>IFERROR(__xludf.DUMMYFUNCTION("""COMPUTED_VALUE"""),7655566.0)</f>
        <v>7655566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IFERROR(__xludf.DUMMYFUNCTION("""COMPUTED_VALUE"""),770.0)</f>
        <v>770</v>
      </c>
      <c r="C34" s="6">
        <f>IFERROR(__xludf.DUMMYFUNCTION("""COMPUTED_VALUE"""),816.7)</f>
        <v>816.7</v>
      </c>
      <c r="D34" s="6">
        <f>IFERROR(__xludf.DUMMYFUNCTION("""COMPUTED_VALUE"""),752.55)</f>
        <v>752.55</v>
      </c>
      <c r="E34" s="6">
        <f>IFERROR(__xludf.DUMMYFUNCTION("""COMPUTED_VALUE"""),803.2)</f>
        <v>803.2</v>
      </c>
      <c r="F34" s="6">
        <f>IFERROR(__xludf.DUMMYFUNCTION("""COMPUTED_VALUE"""),9749206.0)</f>
        <v>9749206</v>
      </c>
    </row>
    <row r="35">
      <c r="A35" s="7">
        <f>IFERROR(__xludf.DUMMYFUNCTION("""COMPUTED_VALUE"""),45415.64583333333)</f>
        <v>45415.64583</v>
      </c>
      <c r="B35" s="6">
        <f>IFERROR(__xludf.DUMMYFUNCTION("""COMPUTED_VALUE"""),763.05)</f>
        <v>763.05</v>
      </c>
      <c r="C35" s="6">
        <f>IFERROR(__xludf.DUMMYFUNCTION("""COMPUTED_VALUE"""),854.3)</f>
        <v>854.3</v>
      </c>
      <c r="D35" s="6">
        <f>IFERROR(__xludf.DUMMYFUNCTION("""COMPUTED_VALUE"""),762.35)</f>
        <v>762.35</v>
      </c>
      <c r="E35" s="6">
        <f>IFERROR(__xludf.DUMMYFUNCTION("""COMPUTED_VALUE"""),813.45)</f>
        <v>813.45</v>
      </c>
      <c r="F35" s="6">
        <f>IFERROR(__xludf.DUMMYFUNCTION("""COMPUTED_VALUE"""),1.0622103E7)</f>
        <v>10622103</v>
      </c>
    </row>
    <row r="36">
      <c r="A36" s="7">
        <f>IFERROR(__xludf.DUMMYFUNCTION("""COMPUTED_VALUE"""),45422.64583333333)</f>
        <v>45422.64583</v>
      </c>
      <c r="B36" s="6">
        <f>IFERROR(__xludf.DUMMYFUNCTION("""COMPUTED_VALUE"""),820.0)</f>
        <v>820</v>
      </c>
      <c r="C36" s="6">
        <f>IFERROR(__xludf.DUMMYFUNCTION("""COMPUTED_VALUE"""),835.85)</f>
        <v>835.85</v>
      </c>
      <c r="D36" s="6">
        <f>IFERROR(__xludf.DUMMYFUNCTION("""COMPUTED_VALUE"""),782.25)</f>
        <v>782.25</v>
      </c>
      <c r="E36" s="6">
        <f>IFERROR(__xludf.DUMMYFUNCTION("""COMPUTED_VALUE"""),811.4)</f>
        <v>811.4</v>
      </c>
      <c r="F36" s="6">
        <f>IFERROR(__xludf.DUMMYFUNCTION("""COMPUTED_VALUE"""),8471287.0)</f>
        <v>8471287</v>
      </c>
    </row>
    <row r="37">
      <c r="A37" s="7">
        <f>IFERROR(__xludf.DUMMYFUNCTION("""COMPUTED_VALUE"""),45436.64583333333)</f>
        <v>45436.64583</v>
      </c>
      <c r="B37" s="6">
        <f>IFERROR(__xludf.DUMMYFUNCTION("""COMPUTED_VALUE"""),805.0)</f>
        <v>805</v>
      </c>
      <c r="C37" s="6">
        <f>IFERROR(__xludf.DUMMYFUNCTION("""COMPUTED_VALUE"""),867.5)</f>
        <v>867.5</v>
      </c>
      <c r="D37" s="6">
        <f>IFERROR(__xludf.DUMMYFUNCTION("""COMPUTED_VALUE"""),784.4)</f>
        <v>784.4</v>
      </c>
      <c r="E37" s="6">
        <f>IFERROR(__xludf.DUMMYFUNCTION("""COMPUTED_VALUE"""),789.4)</f>
        <v>789.4</v>
      </c>
      <c r="F37" s="6">
        <f>IFERROR(__xludf.DUMMYFUNCTION("""COMPUTED_VALUE"""),8090010.0)</f>
        <v>8090010</v>
      </c>
    </row>
    <row r="38">
      <c r="A38" s="7">
        <f>IFERROR(__xludf.DUMMYFUNCTION("""COMPUTED_VALUE"""),45443.64583333333)</f>
        <v>45443.64583</v>
      </c>
      <c r="B38" s="6">
        <f>IFERROR(__xludf.DUMMYFUNCTION("""COMPUTED_VALUE"""),789.95)</f>
        <v>789.95</v>
      </c>
      <c r="C38" s="6">
        <f>IFERROR(__xludf.DUMMYFUNCTION("""COMPUTED_VALUE"""),817.5)</f>
        <v>817.5</v>
      </c>
      <c r="D38" s="6">
        <f>IFERROR(__xludf.DUMMYFUNCTION("""COMPUTED_VALUE"""),743.1)</f>
        <v>743.1</v>
      </c>
      <c r="E38" s="6">
        <f>IFERROR(__xludf.DUMMYFUNCTION("""COMPUTED_VALUE"""),751.8)</f>
        <v>751.8</v>
      </c>
      <c r="F38" s="6">
        <f>IFERROR(__xludf.DUMMYFUNCTION("""COMPUTED_VALUE"""),1.2027919E7)</f>
        <v>12027919</v>
      </c>
    </row>
    <row r="39">
      <c r="A39" s="7">
        <f>IFERROR(__xludf.DUMMYFUNCTION("""COMPUTED_VALUE"""),45450.64583333333)</f>
        <v>45450.64583</v>
      </c>
      <c r="B39" s="6">
        <f>IFERROR(__xludf.DUMMYFUNCTION("""COMPUTED_VALUE"""),760.0)</f>
        <v>760</v>
      </c>
      <c r="C39" s="6">
        <f>IFERROR(__xludf.DUMMYFUNCTION("""COMPUTED_VALUE"""),840.6)</f>
        <v>840.6</v>
      </c>
      <c r="D39" s="6">
        <f>IFERROR(__xludf.DUMMYFUNCTION("""COMPUTED_VALUE"""),747.3)</f>
        <v>747.3</v>
      </c>
      <c r="E39" s="6">
        <f>IFERROR(__xludf.DUMMYFUNCTION("""COMPUTED_VALUE"""),827.1)</f>
        <v>827.1</v>
      </c>
      <c r="F39" s="6">
        <f>IFERROR(__xludf.DUMMYFUNCTION("""COMPUTED_VALUE"""),1.1016773E7)</f>
        <v>11016773</v>
      </c>
    </row>
    <row r="40">
      <c r="A40" s="7">
        <f>IFERROR(__xludf.DUMMYFUNCTION("""COMPUTED_VALUE"""),45457.64583333333)</f>
        <v>45457.64583</v>
      </c>
      <c r="B40" s="6">
        <f>IFERROR(__xludf.DUMMYFUNCTION("""COMPUTED_VALUE"""),826.7)</f>
        <v>826.7</v>
      </c>
      <c r="C40" s="6">
        <f>IFERROR(__xludf.DUMMYFUNCTION("""COMPUTED_VALUE"""),936.4)</f>
        <v>936.4</v>
      </c>
      <c r="D40" s="6">
        <f>IFERROR(__xludf.DUMMYFUNCTION("""COMPUTED_VALUE"""),799.2)</f>
        <v>799.2</v>
      </c>
      <c r="E40" s="6">
        <f>IFERROR(__xludf.DUMMYFUNCTION("""COMPUTED_VALUE"""),927.9)</f>
        <v>927.9</v>
      </c>
      <c r="F40" s="6">
        <f>IFERROR(__xludf.DUMMYFUNCTION("""COMPUTED_VALUE"""),1.773182E7)</f>
        <v>17731820</v>
      </c>
    </row>
    <row r="41">
      <c r="A41" s="7">
        <f>IFERROR(__xludf.DUMMYFUNCTION("""COMPUTED_VALUE"""),45464.64583333333)</f>
        <v>45464.64583</v>
      </c>
      <c r="B41" s="6">
        <f>IFERROR(__xludf.DUMMYFUNCTION("""COMPUTED_VALUE"""),928.0)</f>
        <v>928</v>
      </c>
      <c r="C41" s="6">
        <f>IFERROR(__xludf.DUMMYFUNCTION("""COMPUTED_VALUE"""),979.9)</f>
        <v>979.9</v>
      </c>
      <c r="D41" s="6">
        <f>IFERROR(__xludf.DUMMYFUNCTION("""COMPUTED_VALUE"""),883.0)</f>
        <v>883</v>
      </c>
      <c r="E41" s="6">
        <f>IFERROR(__xludf.DUMMYFUNCTION("""COMPUTED_VALUE"""),928.25)</f>
        <v>928.25</v>
      </c>
      <c r="F41" s="6">
        <f>IFERROR(__xludf.DUMMYFUNCTION("""COMPUTED_VALUE"""),8816602.0)</f>
        <v>8816602</v>
      </c>
    </row>
    <row r="42">
      <c r="A42" s="7">
        <f>IFERROR(__xludf.DUMMYFUNCTION("""COMPUTED_VALUE"""),45471.64583333333)</f>
        <v>45471.64583</v>
      </c>
      <c r="B42" s="6">
        <f>IFERROR(__xludf.DUMMYFUNCTION("""COMPUTED_VALUE"""),924.3)</f>
        <v>924.3</v>
      </c>
      <c r="C42" s="6">
        <f>IFERROR(__xludf.DUMMYFUNCTION("""COMPUTED_VALUE"""),950.0)</f>
        <v>950</v>
      </c>
      <c r="D42" s="6">
        <f>IFERROR(__xludf.DUMMYFUNCTION("""COMPUTED_VALUE"""),851.35)</f>
        <v>851.35</v>
      </c>
      <c r="E42" s="6">
        <f>IFERROR(__xludf.DUMMYFUNCTION("""COMPUTED_VALUE"""),940.65)</f>
        <v>940.65</v>
      </c>
      <c r="F42" s="6">
        <f>IFERROR(__xludf.DUMMYFUNCTION("""COMPUTED_VALUE"""),1.0572502E7)</f>
        <v>10572502</v>
      </c>
    </row>
    <row r="43">
      <c r="A43" s="7">
        <f>IFERROR(__xludf.DUMMYFUNCTION("""COMPUTED_VALUE"""),45478.64583333333)</f>
        <v>45478.64583</v>
      </c>
      <c r="B43" s="6">
        <f>IFERROR(__xludf.DUMMYFUNCTION("""COMPUTED_VALUE"""),946.3)</f>
        <v>946.3</v>
      </c>
      <c r="C43" s="6">
        <f>IFERROR(__xludf.DUMMYFUNCTION("""COMPUTED_VALUE"""),959.9)</f>
        <v>959.9</v>
      </c>
      <c r="D43" s="6">
        <f>IFERROR(__xludf.DUMMYFUNCTION("""COMPUTED_VALUE"""),904.0)</f>
        <v>904</v>
      </c>
      <c r="E43" s="6">
        <f>IFERROR(__xludf.DUMMYFUNCTION("""COMPUTED_VALUE"""),913.8)</f>
        <v>913.8</v>
      </c>
      <c r="F43" s="6">
        <f>IFERROR(__xludf.DUMMYFUNCTION("""COMPUTED_VALUE"""),8621152.0)</f>
        <v>8621152</v>
      </c>
    </row>
    <row r="44">
      <c r="A44" s="7">
        <f>IFERROR(__xludf.DUMMYFUNCTION("""COMPUTED_VALUE"""),45485.64583333333)</f>
        <v>45485.64583</v>
      </c>
      <c r="B44" s="6">
        <f>IFERROR(__xludf.DUMMYFUNCTION("""COMPUTED_VALUE"""),925.0)</f>
        <v>925</v>
      </c>
      <c r="C44" s="6">
        <f>IFERROR(__xludf.DUMMYFUNCTION("""COMPUTED_VALUE"""),965.6)</f>
        <v>965.6</v>
      </c>
      <c r="D44" s="6">
        <f>IFERROR(__xludf.DUMMYFUNCTION("""COMPUTED_VALUE"""),886.15)</f>
        <v>886.15</v>
      </c>
      <c r="E44" s="6">
        <f>IFERROR(__xludf.DUMMYFUNCTION("""COMPUTED_VALUE"""),900.5)</f>
        <v>900.5</v>
      </c>
      <c r="F44" s="6">
        <f>IFERROR(__xludf.DUMMYFUNCTION("""COMPUTED_VALUE"""),8637527.0)</f>
        <v>8637527</v>
      </c>
    </row>
    <row r="45">
      <c r="A45" s="7">
        <f>IFERROR(__xludf.DUMMYFUNCTION("""COMPUTED_VALUE"""),45492.64583333333)</f>
        <v>45492.64583</v>
      </c>
      <c r="B45" s="6">
        <f>IFERROR(__xludf.DUMMYFUNCTION("""COMPUTED_VALUE"""),896.0)</f>
        <v>896</v>
      </c>
      <c r="C45" s="6">
        <f>IFERROR(__xludf.DUMMYFUNCTION("""COMPUTED_VALUE"""),939.7)</f>
        <v>939.7</v>
      </c>
      <c r="D45" s="6">
        <f>IFERROR(__xludf.DUMMYFUNCTION("""COMPUTED_VALUE"""),893.3)</f>
        <v>893.3</v>
      </c>
      <c r="E45" s="6">
        <f>IFERROR(__xludf.DUMMYFUNCTION("""COMPUTED_VALUE"""),920.45)</f>
        <v>920.45</v>
      </c>
      <c r="F45" s="6">
        <f>IFERROR(__xludf.DUMMYFUNCTION("""COMPUTED_VALUE"""),5432073.0)</f>
        <v>5432073</v>
      </c>
    </row>
    <row r="46">
      <c r="A46" s="7">
        <f>IFERROR(__xludf.DUMMYFUNCTION("""COMPUTED_VALUE"""),45499.64583333333)</f>
        <v>45499.64583</v>
      </c>
      <c r="B46" s="6">
        <f>IFERROR(__xludf.DUMMYFUNCTION("""COMPUTED_VALUE"""),915.45)</f>
        <v>915.45</v>
      </c>
      <c r="C46" s="6">
        <f>IFERROR(__xludf.DUMMYFUNCTION("""COMPUTED_VALUE"""),964.65)</f>
        <v>964.65</v>
      </c>
      <c r="D46" s="6">
        <f>IFERROR(__xludf.DUMMYFUNCTION("""COMPUTED_VALUE"""),902.35)</f>
        <v>902.35</v>
      </c>
      <c r="E46" s="6">
        <f>IFERROR(__xludf.DUMMYFUNCTION("""COMPUTED_VALUE"""),948.5)</f>
        <v>948.5</v>
      </c>
      <c r="F46" s="6">
        <f>IFERROR(__xludf.DUMMYFUNCTION("""COMPUTED_VALUE"""),5405320.0)</f>
        <v>5405320</v>
      </c>
    </row>
    <row r="47">
      <c r="A47" s="7">
        <f>IFERROR(__xludf.DUMMYFUNCTION("""COMPUTED_VALUE"""),45506.64583333333)</f>
        <v>45506.64583</v>
      </c>
      <c r="B47" s="6">
        <f>IFERROR(__xludf.DUMMYFUNCTION("""COMPUTED_VALUE"""),958.95)</f>
        <v>958.95</v>
      </c>
      <c r="C47" s="6">
        <f>IFERROR(__xludf.DUMMYFUNCTION("""COMPUTED_VALUE"""),960.95)</f>
        <v>960.95</v>
      </c>
      <c r="D47" s="6">
        <f>IFERROR(__xludf.DUMMYFUNCTION("""COMPUTED_VALUE"""),903.55)</f>
        <v>903.55</v>
      </c>
      <c r="E47" s="6">
        <f>IFERROR(__xludf.DUMMYFUNCTION("""COMPUTED_VALUE"""),916.3)</f>
        <v>916.3</v>
      </c>
      <c r="F47" s="6">
        <f>IFERROR(__xludf.DUMMYFUNCTION("""COMPUTED_VALUE"""),4417892.0)</f>
        <v>4417892</v>
      </c>
    </row>
    <row r="48">
      <c r="A48" s="7">
        <f>IFERROR(__xludf.DUMMYFUNCTION("""COMPUTED_VALUE"""),45513.64583333333)</f>
        <v>45513.64583</v>
      </c>
      <c r="B48" s="6">
        <f>IFERROR(__xludf.DUMMYFUNCTION("""COMPUTED_VALUE"""),905.0)</f>
        <v>905</v>
      </c>
      <c r="C48" s="6">
        <f>IFERROR(__xludf.DUMMYFUNCTION("""COMPUTED_VALUE"""),908.6)</f>
        <v>908.6</v>
      </c>
      <c r="D48" s="6">
        <f>IFERROR(__xludf.DUMMYFUNCTION("""COMPUTED_VALUE"""),845.9)</f>
        <v>845.9</v>
      </c>
      <c r="E48" s="6">
        <f>IFERROR(__xludf.DUMMYFUNCTION("""COMPUTED_VALUE"""),883.2)</f>
        <v>883.2</v>
      </c>
      <c r="F48" s="6">
        <f>IFERROR(__xludf.DUMMYFUNCTION("""COMPUTED_VALUE"""),7153620.0)</f>
        <v>7153620</v>
      </c>
    </row>
    <row r="49">
      <c r="A49" s="7">
        <f>IFERROR(__xludf.DUMMYFUNCTION("""COMPUTED_VALUE"""),45520.64583333333)</f>
        <v>45520.64583</v>
      </c>
      <c r="B49" s="6">
        <f>IFERROR(__xludf.DUMMYFUNCTION("""COMPUTED_VALUE"""),879.95)</f>
        <v>879.95</v>
      </c>
      <c r="C49" s="6">
        <f>IFERROR(__xludf.DUMMYFUNCTION("""COMPUTED_VALUE"""),892.0)</f>
        <v>892</v>
      </c>
      <c r="D49" s="6">
        <f>IFERROR(__xludf.DUMMYFUNCTION("""COMPUTED_VALUE"""),852.3)</f>
        <v>852.3</v>
      </c>
      <c r="E49" s="6">
        <f>IFERROR(__xludf.DUMMYFUNCTION("""COMPUTED_VALUE"""),885.15)</f>
        <v>885.15</v>
      </c>
      <c r="F49" s="6">
        <f>IFERROR(__xludf.DUMMYFUNCTION("""COMPUTED_VALUE"""),4189110.0)</f>
        <v>4189110</v>
      </c>
    </row>
    <row r="50">
      <c r="A50" s="7">
        <f>IFERROR(__xludf.DUMMYFUNCTION("""COMPUTED_VALUE"""),45527.64583333333)</f>
        <v>45527.64583</v>
      </c>
      <c r="B50" s="6">
        <f>IFERROR(__xludf.DUMMYFUNCTION("""COMPUTED_VALUE"""),886.0)</f>
        <v>886</v>
      </c>
      <c r="C50" s="6">
        <f>IFERROR(__xludf.DUMMYFUNCTION("""COMPUTED_VALUE"""),888.5)</f>
        <v>888.5</v>
      </c>
      <c r="D50" s="6">
        <f>IFERROR(__xludf.DUMMYFUNCTION("""COMPUTED_VALUE"""),849.1)</f>
        <v>849.1</v>
      </c>
      <c r="E50" s="6">
        <f>IFERROR(__xludf.DUMMYFUNCTION("""COMPUTED_VALUE"""),852.95)</f>
        <v>852.95</v>
      </c>
      <c r="F50" s="6">
        <f>IFERROR(__xludf.DUMMYFUNCTION("""COMPUTED_VALUE"""),2968403.0)</f>
        <v>2968403</v>
      </c>
    </row>
    <row r="51">
      <c r="A51" s="7">
        <f>IFERROR(__xludf.DUMMYFUNCTION("""COMPUTED_VALUE"""),45534.64583333333)</f>
        <v>45534.64583</v>
      </c>
      <c r="B51" s="6">
        <f>IFERROR(__xludf.DUMMYFUNCTION("""COMPUTED_VALUE"""),853.85)</f>
        <v>853.85</v>
      </c>
      <c r="C51" s="6">
        <f>IFERROR(__xludf.DUMMYFUNCTION("""COMPUTED_VALUE"""),876.85)</f>
        <v>876.85</v>
      </c>
      <c r="D51" s="6">
        <f>IFERROR(__xludf.DUMMYFUNCTION("""COMPUTED_VALUE"""),836.6)</f>
        <v>836.6</v>
      </c>
      <c r="E51" s="6">
        <f>IFERROR(__xludf.DUMMYFUNCTION("""COMPUTED_VALUE"""),862.45)</f>
        <v>862.45</v>
      </c>
      <c r="F51" s="6">
        <f>IFERROR(__xludf.DUMMYFUNCTION("""COMPUTED_VALUE"""),7948177.0)</f>
        <v>7948177</v>
      </c>
    </row>
    <row r="52">
      <c r="A52" s="7">
        <f>IFERROR(__xludf.DUMMYFUNCTION("""COMPUTED_VALUE"""),45541.64583333333)</f>
        <v>45541.64583</v>
      </c>
      <c r="B52" s="6">
        <f>IFERROR(__xludf.DUMMYFUNCTION("""COMPUTED_VALUE"""),869.95)</f>
        <v>869.95</v>
      </c>
      <c r="C52" s="6">
        <f>IFERROR(__xludf.DUMMYFUNCTION("""COMPUTED_VALUE"""),913.25)</f>
        <v>913.25</v>
      </c>
      <c r="D52" s="6">
        <f>IFERROR(__xludf.DUMMYFUNCTION("""COMPUTED_VALUE"""),860.25)</f>
        <v>860.25</v>
      </c>
      <c r="E52" s="6">
        <f>IFERROR(__xludf.DUMMYFUNCTION("""COMPUTED_VALUE"""),898.55)</f>
        <v>898.55</v>
      </c>
      <c r="F52" s="6">
        <f>IFERROR(__xludf.DUMMYFUNCTION("""COMPUTED_VALUE"""),8492959.0)</f>
        <v>8492959</v>
      </c>
    </row>
    <row r="53">
      <c r="A53" s="7">
        <f>IFERROR(__xludf.DUMMYFUNCTION("""COMPUTED_VALUE"""),45548.64583333333)</f>
        <v>45548.64583</v>
      </c>
      <c r="B53" s="6">
        <f>IFERROR(__xludf.DUMMYFUNCTION("""COMPUTED_VALUE"""),907.0)</f>
        <v>907</v>
      </c>
      <c r="C53" s="6">
        <f>IFERROR(__xludf.DUMMYFUNCTION("""COMPUTED_VALUE"""),926.1)</f>
        <v>926.1</v>
      </c>
      <c r="D53" s="6">
        <f>IFERROR(__xludf.DUMMYFUNCTION("""COMPUTED_VALUE"""),873.5)</f>
        <v>873.5</v>
      </c>
      <c r="E53" s="6">
        <f>IFERROR(__xludf.DUMMYFUNCTION("""COMPUTED_VALUE"""),908.0)</f>
        <v>908</v>
      </c>
      <c r="F53" s="6">
        <f>IFERROR(__xludf.DUMMYFUNCTION("""COMPUTED_VALUE"""),8925590.0)</f>
        <v>8925590</v>
      </c>
    </row>
    <row r="54">
      <c r="A54" s="7">
        <f>IFERROR(__xludf.DUMMYFUNCTION("""COMPUTED_VALUE"""),45555.64583333333)</f>
        <v>45555.64583</v>
      </c>
      <c r="B54" s="6">
        <f>IFERROR(__xludf.DUMMYFUNCTION("""COMPUTED_VALUE"""),923.9)</f>
        <v>923.9</v>
      </c>
      <c r="C54" s="6">
        <f>IFERROR(__xludf.DUMMYFUNCTION("""COMPUTED_VALUE"""),1090.0)</f>
        <v>1090</v>
      </c>
      <c r="D54" s="6">
        <f>IFERROR(__xludf.DUMMYFUNCTION("""COMPUTED_VALUE"""),915.0)</f>
        <v>915</v>
      </c>
      <c r="E54" s="6">
        <f>IFERROR(__xludf.DUMMYFUNCTION("""COMPUTED_VALUE"""),1067.95)</f>
        <v>1067.95</v>
      </c>
      <c r="F54" s="6">
        <f>IFERROR(__xludf.DUMMYFUNCTION("""COMPUTED_VALUE"""),1.8024842E7)</f>
        <v>18024842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IFERROR(__xludf.DUMMYFUNCTION("""COMPUTED_VALUE"""),1062.1)</f>
        <v>1062.1</v>
      </c>
      <c r="C55" s="6">
        <f>IFERROR(__xludf.DUMMYFUNCTION("""COMPUTED_VALUE"""),1118.0)</f>
        <v>1118</v>
      </c>
      <c r="D55" s="6">
        <f>IFERROR(__xludf.DUMMYFUNCTION("""COMPUTED_VALUE"""),972.5)</f>
        <v>972.5</v>
      </c>
      <c r="E55" s="6">
        <f>IFERROR(__xludf.DUMMYFUNCTION("""COMPUTED_VALUE"""),994.75)</f>
        <v>994.75</v>
      </c>
      <c r="F55" s="6">
        <f>IFERROR(__xludf.DUMMYFUNCTION("""COMPUTED_VALUE"""),1.9521596E7)</f>
        <v>19521596</v>
      </c>
    </row>
    <row r="56">
      <c r="A56" s="7">
        <f>IFERROR(__xludf.DUMMYFUNCTION("""COMPUTED_VALUE"""),45569.64583333333)</f>
        <v>45569.64583</v>
      </c>
      <c r="B56" s="6">
        <f>IFERROR(__xludf.DUMMYFUNCTION("""COMPUTED_VALUE"""),953.7)</f>
        <v>953.7</v>
      </c>
      <c r="C56" s="6">
        <f>IFERROR(__xludf.DUMMYFUNCTION("""COMPUTED_VALUE"""),996.5)</f>
        <v>996.5</v>
      </c>
      <c r="D56" s="6">
        <f>IFERROR(__xludf.DUMMYFUNCTION("""COMPUTED_VALUE"""),907.75)</f>
        <v>907.75</v>
      </c>
      <c r="E56" s="6">
        <f>IFERROR(__xludf.DUMMYFUNCTION("""COMPUTED_VALUE"""),926.35)</f>
        <v>926.35</v>
      </c>
      <c r="F56" s="6">
        <f>IFERROR(__xludf.DUMMYFUNCTION("""COMPUTED_VALUE"""),1.3354597E7)</f>
        <v>13354597</v>
      </c>
    </row>
    <row r="57">
      <c r="A57" s="7">
        <f>IFERROR(__xludf.DUMMYFUNCTION("""COMPUTED_VALUE"""),45576.64583333333)</f>
        <v>45576.64583</v>
      </c>
      <c r="B57" s="6">
        <f>IFERROR(__xludf.DUMMYFUNCTION("""COMPUTED_VALUE"""),930.3)</f>
        <v>930.3</v>
      </c>
      <c r="C57" s="6">
        <f>IFERROR(__xludf.DUMMYFUNCTION("""COMPUTED_VALUE"""),978.3)</f>
        <v>978.3</v>
      </c>
      <c r="D57" s="6">
        <f>IFERROR(__xludf.DUMMYFUNCTION("""COMPUTED_VALUE"""),912.0)</f>
        <v>912</v>
      </c>
      <c r="E57" s="6">
        <f>IFERROR(__xludf.DUMMYFUNCTION("""COMPUTED_VALUE"""),939.8)</f>
        <v>939.8</v>
      </c>
      <c r="F57" s="6">
        <f>IFERROR(__xludf.DUMMYFUNCTION("""COMPUTED_VALUE"""),1.0615934E7)</f>
        <v>10615934</v>
      </c>
    </row>
    <row r="58">
      <c r="A58" s="7">
        <f>IFERROR(__xludf.DUMMYFUNCTION("""COMPUTED_VALUE"""),45583.64583333333)</f>
        <v>45583.64583</v>
      </c>
      <c r="B58" s="6">
        <f>IFERROR(__xludf.DUMMYFUNCTION("""COMPUTED_VALUE"""),944.4)</f>
        <v>944.4</v>
      </c>
      <c r="C58" s="6">
        <f>IFERROR(__xludf.DUMMYFUNCTION("""COMPUTED_VALUE"""),982.0)</f>
        <v>982</v>
      </c>
      <c r="D58" s="6">
        <f>IFERROR(__xludf.DUMMYFUNCTION("""COMPUTED_VALUE"""),924.8)</f>
        <v>924.8</v>
      </c>
      <c r="E58" s="6">
        <f>IFERROR(__xludf.DUMMYFUNCTION("""COMPUTED_VALUE"""),937.4)</f>
        <v>937.4</v>
      </c>
      <c r="F58" s="6">
        <f>IFERROR(__xludf.DUMMYFUNCTION("""COMPUTED_VALUE"""),4662542.0)</f>
        <v>4662542</v>
      </c>
    </row>
    <row r="59">
      <c r="A59" s="7">
        <f>IFERROR(__xludf.DUMMYFUNCTION("""COMPUTED_VALUE"""),45590.64583333333)</f>
        <v>45590.64583</v>
      </c>
      <c r="B59" s="6">
        <f>IFERROR(__xludf.DUMMYFUNCTION("""COMPUTED_VALUE"""),940.1)</f>
        <v>940.1</v>
      </c>
      <c r="C59" s="6">
        <f>IFERROR(__xludf.DUMMYFUNCTION("""COMPUTED_VALUE"""),958.0)</f>
        <v>958</v>
      </c>
      <c r="D59" s="6">
        <f>IFERROR(__xludf.DUMMYFUNCTION("""COMPUTED_VALUE"""),888.9)</f>
        <v>888.9</v>
      </c>
      <c r="E59" s="6">
        <f>IFERROR(__xludf.DUMMYFUNCTION("""COMPUTED_VALUE"""),938.0)</f>
        <v>938</v>
      </c>
      <c r="F59" s="6">
        <f>IFERROR(__xludf.DUMMYFUNCTION("""COMPUTED_VALUE"""),1.0543112E7)</f>
        <v>10543112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IFERROR(__xludf.DUMMYFUNCTION("""COMPUTED_VALUE"""),1028.0)</f>
        <v>1028</v>
      </c>
      <c r="C60" s="6">
        <f>IFERROR(__xludf.DUMMYFUNCTION("""COMPUTED_VALUE"""),1109.0)</f>
        <v>1109</v>
      </c>
      <c r="D60" s="6">
        <f>IFERROR(__xludf.DUMMYFUNCTION("""COMPUTED_VALUE"""),1010.75)</f>
        <v>1010.75</v>
      </c>
      <c r="E60" s="6">
        <f>IFERROR(__xludf.DUMMYFUNCTION("""COMPUTED_VALUE"""),1079.25)</f>
        <v>1079.25</v>
      </c>
      <c r="F60" s="6">
        <f>IFERROR(__xludf.DUMMYFUNCTION("""COMPUTED_VALUE"""),1.1231881E7)</f>
        <v>11231881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IFERROR(__xludf.DUMMYFUNCTION("""COMPUTED_VALUE"""),1070.15)</f>
        <v>1070.15</v>
      </c>
      <c r="C61" s="6">
        <f>IFERROR(__xludf.DUMMYFUNCTION("""COMPUTED_VALUE"""),1080.0)</f>
        <v>1080</v>
      </c>
      <c r="D61" s="6">
        <f>IFERROR(__xludf.DUMMYFUNCTION("""COMPUTED_VALUE"""),992.9)</f>
        <v>992.9</v>
      </c>
      <c r="E61" s="6">
        <f>IFERROR(__xludf.DUMMYFUNCTION("""COMPUTED_VALUE"""),1006.25)</f>
        <v>1006.25</v>
      </c>
      <c r="F61" s="6">
        <f>IFERROR(__xludf.DUMMYFUNCTION("""COMPUTED_VALUE"""),7977182.0)</f>
        <v>7977182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IFERROR(__xludf.DUMMYFUNCTION("""COMPUTED_VALUE"""),1055.1)</f>
        <v>1055.1</v>
      </c>
      <c r="C62" s="6">
        <f>IFERROR(__xludf.DUMMYFUNCTION("""COMPUTED_VALUE"""),1058.85)</f>
        <v>1058.85</v>
      </c>
      <c r="D62" s="6">
        <f>IFERROR(__xludf.DUMMYFUNCTION("""COMPUTED_VALUE"""),936.25)</f>
        <v>936.25</v>
      </c>
      <c r="E62" s="6">
        <f>IFERROR(__xludf.DUMMYFUNCTION("""COMPUTED_VALUE"""),999.95)</f>
        <v>999.95</v>
      </c>
      <c r="F62" s="6">
        <f>IFERROR(__xludf.DUMMYFUNCTION("""COMPUTED_VALUE"""),6596566.0)</f>
        <v>6596566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IFERROR(__xludf.DUMMYFUNCTION("""COMPUTED_VALUE"""),1014.95)</f>
        <v>1014.95</v>
      </c>
      <c r="C63" s="6">
        <f>IFERROR(__xludf.DUMMYFUNCTION("""COMPUTED_VALUE"""),1018.85)</f>
        <v>1018.85</v>
      </c>
      <c r="D63" s="6">
        <f>IFERROR(__xludf.DUMMYFUNCTION("""COMPUTED_VALUE"""),964.05)</f>
        <v>964.05</v>
      </c>
      <c r="E63" s="6">
        <f>IFERROR(__xludf.DUMMYFUNCTION("""COMPUTED_VALUE"""),979.75)</f>
        <v>979.75</v>
      </c>
      <c r="F63" s="6">
        <f>IFERROR(__xludf.DUMMYFUNCTION("""COMPUTED_VALUE"""),1.2018455E7)</f>
        <v>12018455</v>
      </c>
    </row>
    <row r="64">
      <c r="A64" s="7">
        <f>IFERROR(__xludf.DUMMYFUNCTION("""COMPUTED_VALUE"""),45632.64583333333)</f>
        <v>45632.64583</v>
      </c>
      <c r="B64" s="6">
        <f>IFERROR(__xludf.DUMMYFUNCTION("""COMPUTED_VALUE"""),974.95)</f>
        <v>974.95</v>
      </c>
      <c r="C64" s="6">
        <f>IFERROR(__xludf.DUMMYFUNCTION("""COMPUTED_VALUE"""),1106.0)</f>
        <v>1106</v>
      </c>
      <c r="D64" s="6">
        <f>IFERROR(__xludf.DUMMYFUNCTION("""COMPUTED_VALUE"""),970.15)</f>
        <v>970.15</v>
      </c>
      <c r="E64" s="6">
        <f>IFERROR(__xludf.DUMMYFUNCTION("""COMPUTED_VALUE"""),1096.15)</f>
        <v>1096.15</v>
      </c>
      <c r="F64" s="6">
        <f>IFERROR(__xludf.DUMMYFUNCTION("""COMPUTED_VALUE"""),1.1506612E7)</f>
        <v>11506612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IFERROR(__xludf.DUMMYFUNCTION("""COMPUTED_VALUE"""),1062.05)</f>
        <v>1062.05</v>
      </c>
      <c r="C65" s="6">
        <f>IFERROR(__xludf.DUMMYFUNCTION("""COMPUTED_VALUE"""),1194.6)</f>
        <v>1194.6</v>
      </c>
      <c r="D65" s="6">
        <f>IFERROR(__xludf.DUMMYFUNCTION("""COMPUTED_VALUE"""),1062.05)</f>
        <v>1062.05</v>
      </c>
      <c r="E65" s="6">
        <f>IFERROR(__xludf.DUMMYFUNCTION("""COMPUTED_VALUE"""),1180.05)</f>
        <v>1180.05</v>
      </c>
      <c r="F65" s="6">
        <f>IFERROR(__xludf.DUMMYFUNCTION("""COMPUTED_VALUE"""),1.442066E7)</f>
        <v>14420660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IFERROR(__xludf.DUMMYFUNCTION("""COMPUTED_VALUE"""),1180.05)</f>
        <v>1180.05</v>
      </c>
      <c r="C66" s="6">
        <f>IFERROR(__xludf.DUMMYFUNCTION("""COMPUTED_VALUE"""),1215.55)</f>
        <v>1215.55</v>
      </c>
      <c r="D66" s="6">
        <f>IFERROR(__xludf.DUMMYFUNCTION("""COMPUTED_VALUE"""),1153.1)</f>
        <v>1153.1</v>
      </c>
      <c r="E66" s="6">
        <f>IFERROR(__xludf.DUMMYFUNCTION("""COMPUTED_VALUE"""),1165.2)</f>
        <v>1165.2</v>
      </c>
      <c r="F66" s="6">
        <f>IFERROR(__xludf.DUMMYFUNCTION("""COMPUTED_VALUE"""),1.3042092E7)</f>
        <v>13042092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IFERROR(__xludf.DUMMYFUNCTION("""COMPUTED_VALUE"""),1173.7)</f>
        <v>1173.7</v>
      </c>
      <c r="C67" s="6">
        <f>IFERROR(__xludf.DUMMYFUNCTION("""COMPUTED_VALUE"""),1187.8)</f>
        <v>1187.8</v>
      </c>
      <c r="D67" s="6">
        <f>IFERROR(__xludf.DUMMYFUNCTION("""COMPUTED_VALUE"""),1120.5)</f>
        <v>1120.5</v>
      </c>
      <c r="E67" s="6">
        <f>IFERROR(__xludf.DUMMYFUNCTION("""COMPUTED_VALUE"""),1126.4)</f>
        <v>1126.4</v>
      </c>
      <c r="F67" s="6">
        <f>IFERROR(__xludf.DUMMYFUNCTION("""COMPUTED_VALUE"""),3320435.0)</f>
        <v>3320435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IFERROR(__xludf.DUMMYFUNCTION("""COMPUTED_VALUE"""),1105.0)</f>
        <v>1105</v>
      </c>
      <c r="C68" s="6">
        <f>IFERROR(__xludf.DUMMYFUNCTION("""COMPUTED_VALUE"""),1208.0)</f>
        <v>1208</v>
      </c>
      <c r="D68" s="6">
        <f>IFERROR(__xludf.DUMMYFUNCTION("""COMPUTED_VALUE"""),1100.1)</f>
        <v>1100.1</v>
      </c>
      <c r="E68" s="6">
        <f>IFERROR(__xludf.DUMMYFUNCTION("""COMPUTED_VALUE"""),1178.35)</f>
        <v>1178.35</v>
      </c>
      <c r="F68" s="6">
        <f>IFERROR(__xludf.DUMMYFUNCTION("""COMPUTED_VALUE"""),6259028.0)</f>
        <v>6259028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IFERROR(__xludf.DUMMYFUNCTION("""COMPUTED_VALUE"""),1181.9)</f>
        <v>1181.9</v>
      </c>
      <c r="C69" s="6">
        <f>IFERROR(__xludf.DUMMYFUNCTION("""COMPUTED_VALUE"""),1227.95)</f>
        <v>1227.95</v>
      </c>
      <c r="D69" s="6">
        <f>IFERROR(__xludf.DUMMYFUNCTION("""COMPUTED_VALUE"""),1144.35)</f>
        <v>1144.35</v>
      </c>
      <c r="E69" s="6">
        <f>IFERROR(__xludf.DUMMYFUNCTION("""COMPUTED_VALUE"""),1149.9)</f>
        <v>1149.9</v>
      </c>
      <c r="F69" s="6">
        <f>IFERROR(__xludf.DUMMYFUNCTION("""COMPUTED_VALUE"""),8771498.0)</f>
        <v>8771498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IFERROR(__xludf.DUMMYFUNCTION("""COMPUTED_VALUE"""),1122.3)</f>
        <v>1122.3</v>
      </c>
      <c r="C70" s="6">
        <f>IFERROR(__xludf.DUMMYFUNCTION("""COMPUTED_VALUE"""),1127.45)</f>
        <v>1127.45</v>
      </c>
      <c r="D70" s="6">
        <f>IFERROR(__xludf.DUMMYFUNCTION("""COMPUTED_VALUE"""),1008.7)</f>
        <v>1008.7</v>
      </c>
      <c r="E70" s="6">
        <f>IFERROR(__xludf.DUMMYFUNCTION("""COMPUTED_VALUE"""),1026.65)</f>
        <v>1026.65</v>
      </c>
      <c r="F70" s="6">
        <f>IFERROR(__xludf.DUMMYFUNCTION("""COMPUTED_VALUE"""),1.3161424E7)</f>
        <v>13161424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IFERROR(__xludf.DUMMYFUNCTION("""COMPUTED_VALUE"""),1026.65)</f>
        <v>1026.65</v>
      </c>
      <c r="C71" s="6">
        <f>IFERROR(__xludf.DUMMYFUNCTION("""COMPUTED_VALUE"""),1088.0)</f>
        <v>1088</v>
      </c>
      <c r="D71" s="6">
        <f>IFERROR(__xludf.DUMMYFUNCTION("""COMPUTED_VALUE"""),1015.75)</f>
        <v>1015.75</v>
      </c>
      <c r="E71" s="6">
        <f>IFERROR(__xludf.DUMMYFUNCTION("""COMPUTED_VALUE"""),1055.75)</f>
        <v>1055.75</v>
      </c>
      <c r="F71" s="6">
        <f>IFERROR(__xludf.DUMMYFUNCTION("""COMPUTED_VALUE"""),8900397.0)</f>
        <v>8900397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IFERROR(__xludf.DUMMYFUNCTION("""COMPUTED_VALUE"""),1125.0)</f>
        <v>1125</v>
      </c>
      <c r="C72" s="6">
        <f>IFERROR(__xludf.DUMMYFUNCTION("""COMPUTED_VALUE"""),1200.95)</f>
        <v>1200.95</v>
      </c>
      <c r="D72" s="6">
        <f>IFERROR(__xludf.DUMMYFUNCTION("""COMPUTED_VALUE"""),1090.55)</f>
        <v>1090.55</v>
      </c>
      <c r="E72" s="6">
        <f>IFERROR(__xludf.DUMMYFUNCTION("""COMPUTED_VALUE"""),1143.2)</f>
        <v>1143.2</v>
      </c>
      <c r="F72" s="6">
        <f>IFERROR(__xludf.DUMMYFUNCTION("""COMPUTED_VALUE"""),9539640.0)</f>
        <v>9539640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IFERROR(__xludf.DUMMYFUNCTION("""COMPUTED_VALUE"""),1140.0)</f>
        <v>1140</v>
      </c>
      <c r="C73" s="6">
        <f>IFERROR(__xludf.DUMMYFUNCTION("""COMPUTED_VALUE"""),1140.0)</f>
        <v>1140</v>
      </c>
      <c r="D73" s="6">
        <f>IFERROR(__xludf.DUMMYFUNCTION("""COMPUTED_VALUE"""),982.4)</f>
        <v>982.4</v>
      </c>
      <c r="E73" s="6">
        <f>IFERROR(__xludf.DUMMYFUNCTION("""COMPUTED_VALUE"""),1003.65)</f>
        <v>1003.65</v>
      </c>
      <c r="F73" s="6">
        <f>IFERROR(__xludf.DUMMYFUNCTION("""COMPUTED_VALUE"""),2.4237929E7)</f>
        <v>24237929</v>
      </c>
    </row>
    <row r="74">
      <c r="A74" s="7">
        <f>IFERROR(__xludf.DUMMYFUNCTION("""COMPUTED_VALUE"""),45709.64583333333)</f>
        <v>45709.64583</v>
      </c>
      <c r="B74" s="6">
        <f>IFERROR(__xludf.DUMMYFUNCTION("""COMPUTED_VALUE"""),986.8)</f>
        <v>986.8</v>
      </c>
      <c r="C74" s="6">
        <f>IFERROR(__xludf.DUMMYFUNCTION("""COMPUTED_VALUE"""),1047.0)</f>
        <v>1047</v>
      </c>
      <c r="D74" s="6">
        <f>IFERROR(__xludf.DUMMYFUNCTION("""COMPUTED_VALUE"""),978.6)</f>
        <v>978.6</v>
      </c>
      <c r="E74" s="6">
        <f>IFERROR(__xludf.DUMMYFUNCTION("""COMPUTED_VALUE"""),1010.25)</f>
        <v>1010.25</v>
      </c>
      <c r="F74" s="6">
        <f>IFERROR(__xludf.DUMMYFUNCTION("""COMPUTED_VALUE"""),1.04584E7)</f>
        <v>10458400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IFERROR(__xludf.DUMMYFUNCTION("""COMPUTED_VALUE"""),1000.0)</f>
        <v>1000</v>
      </c>
      <c r="C75" s="6">
        <f>IFERROR(__xludf.DUMMYFUNCTION("""COMPUTED_VALUE"""),1037.95)</f>
        <v>1037.95</v>
      </c>
      <c r="D75" s="6">
        <f>IFERROR(__xludf.DUMMYFUNCTION("""COMPUTED_VALUE"""),965.05)</f>
        <v>965.05</v>
      </c>
      <c r="E75" s="6">
        <f>IFERROR(__xludf.DUMMYFUNCTION("""COMPUTED_VALUE"""),978.1)</f>
        <v>978.1</v>
      </c>
      <c r="F75" s="6">
        <f>IFERROR(__xludf.DUMMYFUNCTION("""COMPUTED_VALUE"""),1.1822792E7)</f>
        <v>11822792</v>
      </c>
    </row>
    <row r="76">
      <c r="A76" s="7">
        <f>IFERROR(__xludf.DUMMYFUNCTION("""COMPUTED_VALUE"""),45723.64583333333)</f>
        <v>45723.64583</v>
      </c>
      <c r="B76" s="6">
        <f>IFERROR(__xludf.DUMMYFUNCTION("""COMPUTED_VALUE"""),961.0)</f>
        <v>961</v>
      </c>
      <c r="C76" s="6">
        <f>IFERROR(__xludf.DUMMYFUNCTION("""COMPUTED_VALUE"""),1024.55)</f>
        <v>1024.55</v>
      </c>
      <c r="D76" s="6">
        <f>IFERROR(__xludf.DUMMYFUNCTION("""COMPUTED_VALUE"""),940.05)</f>
        <v>940.05</v>
      </c>
      <c r="E76" s="6">
        <f>IFERROR(__xludf.DUMMYFUNCTION("""COMPUTED_VALUE"""),980.75)</f>
        <v>980.75</v>
      </c>
      <c r="F76" s="6">
        <f>IFERROR(__xludf.DUMMYFUNCTION("""COMPUTED_VALUE"""),1.290211E7)</f>
        <v>12902110</v>
      </c>
    </row>
    <row r="77">
      <c r="A77" s="7">
        <f>IFERROR(__xludf.DUMMYFUNCTION("""COMPUTED_VALUE"""),45729.64583333333)</f>
        <v>45729.64583</v>
      </c>
      <c r="B77" s="6">
        <f>IFERROR(__xludf.DUMMYFUNCTION("""COMPUTED_VALUE"""),980.0)</f>
        <v>980</v>
      </c>
      <c r="C77" s="6">
        <f>IFERROR(__xludf.DUMMYFUNCTION("""COMPUTED_VALUE"""),1009.7)</f>
        <v>1009.7</v>
      </c>
      <c r="D77" s="6">
        <f>IFERROR(__xludf.DUMMYFUNCTION("""COMPUTED_VALUE"""),955.0)</f>
        <v>955</v>
      </c>
      <c r="E77" s="6">
        <f>IFERROR(__xludf.DUMMYFUNCTION("""COMPUTED_VALUE"""),990.7)</f>
        <v>990.7</v>
      </c>
      <c r="F77" s="6">
        <f>IFERROR(__xludf.DUMMYFUNCTION("""COMPUTED_VALUE"""),8296507.0)</f>
        <v>8296507</v>
      </c>
    </row>
    <row r="78">
      <c r="A78" s="7">
        <f>IFERROR(__xludf.DUMMYFUNCTION("""COMPUTED_VALUE"""),45737.64583333333)</f>
        <v>45737.64583</v>
      </c>
      <c r="B78" s="6">
        <f>IFERROR(__xludf.DUMMYFUNCTION("""COMPUTED_VALUE"""),995.2)</f>
        <v>995.2</v>
      </c>
      <c r="C78" s="6">
        <f>IFERROR(__xludf.DUMMYFUNCTION("""COMPUTED_VALUE"""),1189.5)</f>
        <v>1189.5</v>
      </c>
      <c r="D78" s="6">
        <f>IFERROR(__xludf.DUMMYFUNCTION("""COMPUTED_VALUE"""),980.35)</f>
        <v>980.35</v>
      </c>
      <c r="E78" s="6">
        <f>IFERROR(__xludf.DUMMYFUNCTION("""COMPUTED_VALUE"""),1170.25)</f>
        <v>1170.25</v>
      </c>
      <c r="F78" s="6">
        <f>IFERROR(__xludf.DUMMYFUNCTION("""COMPUTED_VALUE"""),1.5732875E7)</f>
        <v>15732875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IFERROR(__xludf.DUMMYFUNCTION("""COMPUTED_VALUE"""),1174.65)</f>
        <v>1174.65</v>
      </c>
      <c r="C79" s="6">
        <f>IFERROR(__xludf.DUMMYFUNCTION("""COMPUTED_VALUE"""),1180.0)</f>
        <v>1180</v>
      </c>
      <c r="D79" s="6">
        <f>IFERROR(__xludf.DUMMYFUNCTION("""COMPUTED_VALUE"""),1090.55)</f>
        <v>1090.55</v>
      </c>
      <c r="E79" s="6">
        <f>IFERROR(__xludf.DUMMYFUNCTION("""COMPUTED_VALUE"""),1096.95)</f>
        <v>1096.95</v>
      </c>
      <c r="F79" s="6">
        <f>IFERROR(__xludf.DUMMYFUNCTION("""COMPUTED_VALUE"""),1.1321147E7)</f>
        <v>11321147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IFERROR(__xludf.DUMMYFUNCTION("""COMPUTED_VALUE"""),1106.0)</f>
        <v>1106</v>
      </c>
      <c r="C80" s="6">
        <f>IFERROR(__xludf.DUMMYFUNCTION("""COMPUTED_VALUE"""),1149.9)</f>
        <v>1149.9</v>
      </c>
      <c r="D80" s="6">
        <f>IFERROR(__xludf.DUMMYFUNCTION("""COMPUTED_VALUE"""),1079.4)</f>
        <v>1079.4</v>
      </c>
      <c r="E80" s="6">
        <f>IFERROR(__xludf.DUMMYFUNCTION("""COMPUTED_VALUE"""),1137.65)</f>
        <v>1137.65</v>
      </c>
      <c r="F80" s="6">
        <f>IFERROR(__xludf.DUMMYFUNCTION("""COMPUTED_VALUE"""),6904092.0)</f>
        <v>6904092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IFERROR(__xludf.DUMMYFUNCTION("""COMPUTED_VALUE"""),1085.2)</f>
        <v>1085.2</v>
      </c>
      <c r="C81" s="6">
        <f>IFERROR(__xludf.DUMMYFUNCTION("""COMPUTED_VALUE"""),1127.9)</f>
        <v>1127.9</v>
      </c>
      <c r="D81" s="6">
        <f>IFERROR(__xludf.DUMMYFUNCTION("""COMPUTED_VALUE"""),1065.05)</f>
        <v>1065.05</v>
      </c>
      <c r="E81" s="6">
        <f>IFERROR(__xludf.DUMMYFUNCTION("""COMPUTED_VALUE"""),1089.3)</f>
        <v>1089.3</v>
      </c>
      <c r="F81" s="6">
        <f>IFERROR(__xludf.DUMMYFUNCTION("""COMPUTED_VALUE"""),1.2804447E7)</f>
        <v>12804447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IFERROR(__xludf.DUMMYFUNCTION("""COMPUTED_VALUE"""),1092.5)</f>
        <v>1092.5</v>
      </c>
      <c r="C82" s="6">
        <f>IFERROR(__xludf.DUMMYFUNCTION("""COMPUTED_VALUE"""),1100.0)</f>
        <v>1100</v>
      </c>
      <c r="D82" s="6">
        <f>IFERROR(__xludf.DUMMYFUNCTION("""COMPUTED_VALUE"""),1060.4)</f>
        <v>1060.4</v>
      </c>
      <c r="E82" s="6">
        <f>IFERROR(__xludf.DUMMYFUNCTION("""COMPUTED_VALUE"""),1084.4)</f>
        <v>1084.4</v>
      </c>
      <c r="F82" s="6">
        <f>IFERROR(__xludf.DUMMYFUNCTION("""COMPUTED_VALUE"""),8965247.0)</f>
        <v>8965247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IFERROR(__xludf.DUMMYFUNCTION("""COMPUTED_VALUE"""),1095.0)</f>
        <v>1095</v>
      </c>
      <c r="C83" s="6">
        <f>IFERROR(__xludf.DUMMYFUNCTION("""COMPUTED_VALUE"""),1149.9)</f>
        <v>1149.9</v>
      </c>
      <c r="D83" s="6">
        <f>IFERROR(__xludf.DUMMYFUNCTION("""COMPUTED_VALUE"""),1059.1)</f>
        <v>1059.1</v>
      </c>
      <c r="E83" s="6">
        <f>IFERROR(__xludf.DUMMYFUNCTION("""COMPUTED_VALUE"""),1067.4)</f>
        <v>1067.4</v>
      </c>
      <c r="F83" s="6">
        <f>IFERROR(__xludf.DUMMYFUNCTION("""COMPUTED_VALUE"""),1.2222338E7)</f>
        <v>12222338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IFERROR(__xludf.DUMMYFUNCTION("""COMPUTED_VALUE"""),1068.0)</f>
        <v>1068</v>
      </c>
      <c r="C84" s="6">
        <f>IFERROR(__xludf.DUMMYFUNCTION("""COMPUTED_VALUE"""),1126.0)</f>
        <v>1126</v>
      </c>
      <c r="D84" s="6">
        <f>IFERROR(__xludf.DUMMYFUNCTION("""COMPUTED_VALUE"""),1066.2)</f>
        <v>1066.2</v>
      </c>
      <c r="E84" s="6">
        <f>IFERROR(__xludf.DUMMYFUNCTION("""COMPUTED_VALUE"""),1089.8)</f>
        <v>1089.8</v>
      </c>
      <c r="F84" s="6">
        <f>IFERROR(__xludf.DUMMYFUNCTION("""COMPUTED_VALUE"""),6679816.0)</f>
        <v>6679816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IFERROR(__xludf.DUMMYFUNCTION("""COMPUTED_VALUE"""),1109.0)</f>
        <v>1109</v>
      </c>
      <c r="C85" s="6">
        <f>IFERROR(__xludf.DUMMYFUNCTION("""COMPUTED_VALUE"""),1171.0)</f>
        <v>1171</v>
      </c>
      <c r="D85" s="6">
        <f>IFERROR(__xludf.DUMMYFUNCTION("""COMPUTED_VALUE"""),1090.0)</f>
        <v>1090</v>
      </c>
      <c r="E85" s="6">
        <f>IFERROR(__xludf.DUMMYFUNCTION("""COMPUTED_VALUE"""),1127.7)</f>
        <v>1127.7</v>
      </c>
      <c r="F85" s="6">
        <f>IFERROR(__xludf.DUMMYFUNCTION("""COMPUTED_VALUE"""),1.3211284E7)</f>
        <v>13211284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IFERROR(__xludf.DUMMYFUNCTION("""COMPUTED_VALUE"""),1143.0)</f>
        <v>1143</v>
      </c>
      <c r="C86" s="6">
        <f>IFERROR(__xludf.DUMMYFUNCTION("""COMPUTED_VALUE"""),1204.0)</f>
        <v>1204</v>
      </c>
      <c r="D86" s="6">
        <f>IFERROR(__xludf.DUMMYFUNCTION("""COMPUTED_VALUE"""),1131.0)</f>
        <v>1131</v>
      </c>
      <c r="E86" s="6">
        <f>IFERROR(__xludf.DUMMYFUNCTION("""COMPUTED_VALUE"""),1167.1)</f>
        <v>1167.1</v>
      </c>
      <c r="F86" s="6">
        <f>IFERROR(__xludf.DUMMYFUNCTION("""COMPUTED_VALUE"""),9999780.0)</f>
        <v>9999780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IFERROR(__xludf.DUMMYFUNCTION("""COMPUTED_VALUE"""),1174.8)</f>
        <v>1174.8</v>
      </c>
      <c r="C87" s="6">
        <f>IFERROR(__xludf.DUMMYFUNCTION("""COMPUTED_VALUE"""),1191.9)</f>
        <v>1191.9</v>
      </c>
      <c r="D87" s="6">
        <f>IFERROR(__xludf.DUMMYFUNCTION("""COMPUTED_VALUE"""),1118.3)</f>
        <v>1118.3</v>
      </c>
      <c r="E87" s="6">
        <f>IFERROR(__xludf.DUMMYFUNCTION("""COMPUTED_VALUE"""),1177.1)</f>
        <v>1177.1</v>
      </c>
      <c r="F87" s="6">
        <f>IFERROR(__xludf.DUMMYFUNCTION("""COMPUTED_VALUE"""),1.0606156E7)</f>
        <v>10606156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IFERROR(__xludf.DUMMYFUNCTION("""COMPUTED_VALUE"""),1170.0)</f>
        <v>1170</v>
      </c>
      <c r="C88" s="6">
        <f>IFERROR(__xludf.DUMMYFUNCTION("""COMPUTED_VALUE"""),1191.9)</f>
        <v>1191.9</v>
      </c>
      <c r="D88" s="6">
        <f>IFERROR(__xludf.DUMMYFUNCTION("""COMPUTED_VALUE"""),1121.1)</f>
        <v>1121.1</v>
      </c>
      <c r="E88" s="6">
        <f>IFERROR(__xludf.DUMMYFUNCTION("""COMPUTED_VALUE"""),1125.2)</f>
        <v>1125.2</v>
      </c>
      <c r="F88" s="6">
        <f>IFERROR(__xludf.DUMMYFUNCTION("""COMPUTED_VALUE"""),8588401.0)</f>
        <v>8588401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IFERROR(__xludf.DUMMYFUNCTION("""COMPUTED_VALUE"""),1129.5)</f>
        <v>1129.5</v>
      </c>
      <c r="C89" s="6">
        <f>IFERROR(__xludf.DUMMYFUNCTION("""COMPUTED_VALUE"""),1169.9)</f>
        <v>1169.9</v>
      </c>
      <c r="D89" s="6">
        <f>IFERROR(__xludf.DUMMYFUNCTION("""COMPUTED_VALUE"""),1122.4)</f>
        <v>1122.4</v>
      </c>
      <c r="E89" s="6">
        <f>IFERROR(__xludf.DUMMYFUNCTION("""COMPUTED_VALUE"""),1168.2)</f>
        <v>1168.2</v>
      </c>
      <c r="F89" s="6">
        <f>IFERROR(__xludf.DUMMYFUNCTION("""COMPUTED_VALUE"""),6553990.0)</f>
        <v>6553990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IFERROR(__xludf.DUMMYFUNCTION("""COMPUTED_VALUE"""),1177.0)</f>
        <v>1177</v>
      </c>
      <c r="C90" s="6">
        <f>IFERROR(__xludf.DUMMYFUNCTION("""COMPUTED_VALUE"""),1239.5)</f>
        <v>1239.5</v>
      </c>
      <c r="D90" s="6">
        <f>IFERROR(__xludf.DUMMYFUNCTION("""COMPUTED_VALUE"""),1161.1)</f>
        <v>1161.1</v>
      </c>
      <c r="E90" s="6">
        <f>IFERROR(__xludf.DUMMYFUNCTION("""COMPUTED_VALUE"""),1232.8)</f>
        <v>1232.8</v>
      </c>
      <c r="F90" s="6">
        <f>IFERROR(__xludf.DUMMYFUNCTION("""COMPUTED_VALUE"""),1.0474742E7)</f>
        <v>10474742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IFERROR(__xludf.DUMMYFUNCTION("""COMPUTED_VALUE"""),1245.2)</f>
        <v>1245.2</v>
      </c>
      <c r="C91" s="6">
        <f>IFERROR(__xludf.DUMMYFUNCTION("""COMPUTED_VALUE"""),1256.2)</f>
        <v>1256.2</v>
      </c>
      <c r="D91" s="6">
        <f>IFERROR(__xludf.DUMMYFUNCTION("""COMPUTED_VALUE"""),1152.7)</f>
        <v>1152.7</v>
      </c>
      <c r="E91" s="6">
        <f>IFERROR(__xludf.DUMMYFUNCTION("""COMPUTED_VALUE"""),1213.8)</f>
        <v>1213.8</v>
      </c>
      <c r="F91" s="6">
        <f>IFERROR(__xludf.DUMMYFUNCTION("""COMPUTED_VALUE"""),1.0408349E7)</f>
        <v>10408349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IFERROR(__xludf.DUMMYFUNCTION("""COMPUTED_VALUE"""),1202.1)</f>
        <v>1202.1</v>
      </c>
      <c r="C92" s="6">
        <f>IFERROR(__xludf.DUMMYFUNCTION("""COMPUTED_VALUE"""),1296.8)</f>
        <v>1296.8</v>
      </c>
      <c r="D92" s="6">
        <f>IFERROR(__xludf.DUMMYFUNCTION("""COMPUTED_VALUE"""),1183.1)</f>
        <v>1183.1</v>
      </c>
      <c r="E92" s="6">
        <f>IFERROR(__xludf.DUMMYFUNCTION("""COMPUTED_VALUE"""),1279.3)</f>
        <v>1279.3</v>
      </c>
      <c r="F92" s="6">
        <f>IFERROR(__xludf.DUMMYFUNCTION("""COMPUTED_VALUE"""),1.9219223E7)</f>
        <v>19219223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IFERROR(__xludf.DUMMYFUNCTION("""COMPUTED_VALUE"""),1284.5)</f>
        <v>1284.5</v>
      </c>
      <c r="C93" s="6">
        <f>IFERROR(__xludf.DUMMYFUNCTION("""COMPUTED_VALUE"""),1314.3)</f>
        <v>1314.3</v>
      </c>
      <c r="D93" s="6">
        <f>IFERROR(__xludf.DUMMYFUNCTION("""COMPUTED_VALUE"""),1254.3)</f>
        <v>1254.3</v>
      </c>
      <c r="E93" s="6">
        <f>IFERROR(__xludf.DUMMYFUNCTION("""COMPUTED_VALUE"""),1298.2)</f>
        <v>1298.2</v>
      </c>
      <c r="F93" s="6">
        <f>IFERROR(__xludf.DUMMYFUNCTION("""COMPUTED_VALUE"""),9169436.0)</f>
        <v>9169436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IFERROR(__xludf.DUMMYFUNCTION("""COMPUTED_VALUE"""),1303.1)</f>
        <v>1303.1</v>
      </c>
      <c r="C94" s="6">
        <f>IFERROR(__xludf.DUMMYFUNCTION("""COMPUTED_VALUE"""),1310.8)</f>
        <v>1310.8</v>
      </c>
      <c r="D94" s="6">
        <f>IFERROR(__xludf.DUMMYFUNCTION("""COMPUTED_VALUE"""),1215.5)</f>
        <v>1215.5</v>
      </c>
      <c r="E94" s="6">
        <f>IFERROR(__xludf.DUMMYFUNCTION("""COMPUTED_VALUE"""),1219.2)</f>
        <v>1219.2</v>
      </c>
      <c r="F94" s="6">
        <f>IFERROR(__xludf.DUMMYFUNCTION("""COMPUTED_VALUE"""),8159152.0)</f>
        <v>8159152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IFERROR(__xludf.DUMMYFUNCTION("""COMPUTED_VALUE"""),1230.0)</f>
        <v>1230</v>
      </c>
      <c r="C95" s="6">
        <f>IFERROR(__xludf.DUMMYFUNCTION("""COMPUTED_VALUE"""),1278.0)</f>
        <v>1278</v>
      </c>
      <c r="D95" s="6">
        <f>IFERROR(__xludf.DUMMYFUNCTION("""COMPUTED_VALUE"""),1213.1)</f>
        <v>1213.1</v>
      </c>
      <c r="E95" s="6">
        <f>IFERROR(__xludf.DUMMYFUNCTION("""COMPUTED_VALUE"""),1215.7)</f>
        <v>1215.7</v>
      </c>
      <c r="F95" s="6">
        <f>IFERROR(__xludf.DUMMYFUNCTION("""COMPUTED_VALUE"""),7767861.0)</f>
        <v>7767861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IFERROR(__xludf.DUMMYFUNCTION("""COMPUTED_VALUE"""),1217.4)</f>
        <v>1217.4</v>
      </c>
      <c r="C96" s="6">
        <f>IFERROR(__xludf.DUMMYFUNCTION("""COMPUTED_VALUE"""),1288.8)</f>
        <v>1288.8</v>
      </c>
      <c r="D96" s="6">
        <f>IFERROR(__xludf.DUMMYFUNCTION("""COMPUTED_VALUE"""),1201.0)</f>
        <v>1201</v>
      </c>
      <c r="E96" s="6">
        <f>IFERROR(__xludf.DUMMYFUNCTION("""COMPUTED_VALUE"""),1280.5)</f>
        <v>1280.5</v>
      </c>
      <c r="F96" s="6">
        <f>IFERROR(__xludf.DUMMYFUNCTION("""COMPUTED_VALUE"""),1.0378791E7)</f>
        <v>10378791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IFERROR(__xludf.DUMMYFUNCTION("""COMPUTED_VALUE"""),1275.2)</f>
        <v>1275.2</v>
      </c>
      <c r="C97" s="6">
        <f>IFERROR(__xludf.DUMMYFUNCTION("""COMPUTED_VALUE"""),1282.9)</f>
        <v>1282.9</v>
      </c>
      <c r="D97" s="6">
        <f>IFERROR(__xludf.DUMMYFUNCTION("""COMPUTED_VALUE"""),1229.0)</f>
        <v>1229</v>
      </c>
      <c r="E97" s="6">
        <f>IFERROR(__xludf.DUMMYFUNCTION("""COMPUTED_VALUE"""),1246.0)</f>
        <v>1246</v>
      </c>
      <c r="F97" s="6">
        <f>IFERROR(__xludf.DUMMYFUNCTION("""COMPUTED_VALUE"""),8647964.0)</f>
        <v>8647964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IFERROR(__xludf.DUMMYFUNCTION("""COMPUTED_VALUE"""),1253.6)</f>
        <v>1253.6</v>
      </c>
      <c r="C98" s="6">
        <f>IFERROR(__xludf.DUMMYFUNCTION("""COMPUTED_VALUE"""),1289.9)</f>
        <v>1289.9</v>
      </c>
      <c r="D98" s="6">
        <f>IFERROR(__xludf.DUMMYFUNCTION("""COMPUTED_VALUE"""),1235.3)</f>
        <v>1235.3</v>
      </c>
      <c r="E98" s="6">
        <f>IFERROR(__xludf.DUMMYFUNCTION("""COMPUTED_VALUE"""),1245.3)</f>
        <v>1245.3</v>
      </c>
      <c r="F98" s="6">
        <f>IFERROR(__xludf.DUMMYFUNCTION("""COMPUTED_VALUE"""),6336732.0)</f>
        <v>6336732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IFERROR(__xludf.DUMMYFUNCTION("""COMPUTED_VALUE"""),1245.3)</f>
        <v>1245.3</v>
      </c>
      <c r="C99" s="6">
        <f>IFERROR(__xludf.DUMMYFUNCTION("""COMPUTED_VALUE"""),1301.7)</f>
        <v>1301.7</v>
      </c>
      <c r="D99" s="6">
        <f>IFERROR(__xludf.DUMMYFUNCTION("""COMPUTED_VALUE"""),1204.1)</f>
        <v>1204.1</v>
      </c>
      <c r="E99" s="6">
        <f>IFERROR(__xludf.DUMMYFUNCTION("""COMPUTED_VALUE"""),1220.7)</f>
        <v>1220.7</v>
      </c>
      <c r="F99" s="6">
        <f>IFERROR(__xludf.DUMMYFUNCTION("""COMPUTED_VALUE"""),1.0472738E7)</f>
        <v>10472738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IFERROR(__xludf.DUMMYFUNCTION("""COMPUTED_VALUE"""),1216.1)</f>
        <v>1216.1</v>
      </c>
      <c r="C100" s="6">
        <f>IFERROR(__xludf.DUMMYFUNCTION("""COMPUTED_VALUE"""),1256.0)</f>
        <v>1256</v>
      </c>
      <c r="D100" s="6">
        <f>IFERROR(__xludf.DUMMYFUNCTION("""COMPUTED_VALUE"""),1206.6)</f>
        <v>1206.6</v>
      </c>
      <c r="E100" s="6">
        <f>IFERROR(__xludf.DUMMYFUNCTION("""COMPUTED_VALUE"""),1234.7)</f>
        <v>1234.7</v>
      </c>
      <c r="F100" s="6">
        <f>IFERROR(__xludf.DUMMYFUNCTION("""COMPUTED_VALUE"""),9954034.0)</f>
        <v>9954034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IFERROR(__xludf.DUMMYFUNCTION("""COMPUTED_VALUE"""),1240.0)</f>
        <v>1240</v>
      </c>
      <c r="C101" s="6">
        <f>IFERROR(__xludf.DUMMYFUNCTION("""COMPUTED_VALUE"""),1252.5)</f>
        <v>1252.5</v>
      </c>
      <c r="D101" s="6">
        <f>IFERROR(__xludf.DUMMYFUNCTION("""COMPUTED_VALUE"""),1177.4)</f>
        <v>1177.4</v>
      </c>
      <c r="E101" s="6">
        <f>IFERROR(__xludf.DUMMYFUNCTION("""COMPUTED_VALUE"""),1183.4)</f>
        <v>1183.4</v>
      </c>
      <c r="F101" s="6">
        <f>IFERROR(__xludf.DUMMYFUNCTION("""COMPUTED_VALUE"""),3.7654262E7)</f>
        <v>37654262</v>
      </c>
    </row>
  </sheetData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IFERROR(__xludf.DUMMYFUNCTION("GOOGLEFINANCE(""NSE:MAZDOCK"",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IFERROR(__xludf.DUMMYFUNCTION("""COMPUTED_VALUE"""),924.28)</f>
        <v>924.28</v>
      </c>
      <c r="C2" s="6">
        <f>IFERROR(__xludf.DUMMYFUNCTION("""COMPUTED_VALUE"""),966.95)</f>
        <v>966.95</v>
      </c>
      <c r="D2" s="6">
        <f>IFERROR(__xludf.DUMMYFUNCTION("""COMPUTED_VALUE"""),907.53)</f>
        <v>907.53</v>
      </c>
      <c r="E2" s="6">
        <f>IFERROR(__xludf.DUMMYFUNCTION("""COMPUTED_VALUE"""),943.53)</f>
        <v>943.53</v>
      </c>
      <c r="F2" s="6">
        <f>IFERROR(__xludf.DUMMYFUNCTION("""COMPUTED_VALUE"""),5090085.0)</f>
        <v>5090085</v>
      </c>
    </row>
    <row r="3">
      <c r="A3" s="7">
        <f>IFERROR(__xludf.DUMMYFUNCTION("""COMPUTED_VALUE"""),45177.64583333333)</f>
        <v>45177.64583</v>
      </c>
      <c r="B3" s="6">
        <f>IFERROR(__xludf.DUMMYFUNCTION("""COMPUTED_VALUE"""),949.5)</f>
        <v>949.5</v>
      </c>
      <c r="C3" s="6">
        <f>IFERROR(__xludf.DUMMYFUNCTION("""COMPUTED_VALUE"""),1242.35)</f>
        <v>1242.35</v>
      </c>
      <c r="D3" s="6">
        <f>IFERROR(__xludf.DUMMYFUNCTION("""COMPUTED_VALUE"""),943.05)</f>
        <v>943.05</v>
      </c>
      <c r="E3" s="6">
        <f>IFERROR(__xludf.DUMMYFUNCTION("""COMPUTED_VALUE"""),1106.15)</f>
        <v>1106.15</v>
      </c>
      <c r="F3" s="6">
        <f>IFERROR(__xludf.DUMMYFUNCTION("""COMPUTED_VALUE"""),3.316956E7)</f>
        <v>33169560</v>
      </c>
    </row>
    <row r="4">
      <c r="A4" s="7">
        <f>IFERROR(__xludf.DUMMYFUNCTION("""COMPUTED_VALUE"""),45184.64583333333)</f>
        <v>45184.64583</v>
      </c>
      <c r="B4" s="6">
        <f>IFERROR(__xludf.DUMMYFUNCTION("""COMPUTED_VALUE"""),1129.15)</f>
        <v>1129.15</v>
      </c>
      <c r="C4" s="6">
        <f>IFERROR(__xludf.DUMMYFUNCTION("""COMPUTED_VALUE"""),1175.0)</f>
        <v>1175</v>
      </c>
      <c r="D4" s="6">
        <f>IFERROR(__xludf.DUMMYFUNCTION("""COMPUTED_VALUE"""),995.6)</f>
        <v>995.6</v>
      </c>
      <c r="E4" s="6">
        <f>IFERROR(__xludf.DUMMYFUNCTION("""COMPUTED_VALUE"""),1135.0)</f>
        <v>1135</v>
      </c>
      <c r="F4" s="6">
        <f>IFERROR(__xludf.DUMMYFUNCTION("""COMPUTED_VALUE"""),2.4082319E7)</f>
        <v>24082319</v>
      </c>
    </row>
    <row r="5">
      <c r="A5" s="7">
        <f>IFERROR(__xludf.DUMMYFUNCTION("""COMPUTED_VALUE"""),45191.64583333333)</f>
        <v>45191.64583</v>
      </c>
      <c r="B5" s="6">
        <f>IFERROR(__xludf.DUMMYFUNCTION("""COMPUTED_VALUE"""),1148.2)</f>
        <v>1148.2</v>
      </c>
      <c r="C5" s="6">
        <f>IFERROR(__xludf.DUMMYFUNCTION("""COMPUTED_VALUE"""),1180.0)</f>
        <v>1180</v>
      </c>
      <c r="D5" s="6">
        <f>IFERROR(__xludf.DUMMYFUNCTION("""COMPUTED_VALUE"""),1075.08)</f>
        <v>1075.08</v>
      </c>
      <c r="E5" s="6">
        <f>IFERROR(__xludf.DUMMYFUNCTION("""COMPUTED_VALUE"""),1100.18)</f>
        <v>1100.18</v>
      </c>
      <c r="F5" s="6">
        <f>IFERROR(__xludf.DUMMYFUNCTION("""COMPUTED_VALUE"""),1.1206328E7)</f>
        <v>11206328</v>
      </c>
    </row>
    <row r="6">
      <c r="A6" s="7">
        <f>IFERROR(__xludf.DUMMYFUNCTION("""COMPUTED_VALUE"""),45198.64583333333)</f>
        <v>45198.64583</v>
      </c>
      <c r="B6" s="6">
        <f>IFERROR(__xludf.DUMMYFUNCTION("""COMPUTED_VALUE"""),1105.33)</f>
        <v>1105.33</v>
      </c>
      <c r="C6" s="6">
        <f>IFERROR(__xludf.DUMMYFUNCTION("""COMPUTED_VALUE"""),1142.4)</f>
        <v>1142.4</v>
      </c>
      <c r="D6" s="6">
        <f>IFERROR(__xludf.DUMMYFUNCTION("""COMPUTED_VALUE"""),1071.15)</f>
        <v>1071.15</v>
      </c>
      <c r="E6" s="6">
        <f>IFERROR(__xludf.DUMMYFUNCTION("""COMPUTED_VALUE"""),1096.1)</f>
        <v>1096.1</v>
      </c>
      <c r="F6" s="6">
        <f>IFERROR(__xludf.DUMMYFUNCTION("""COMPUTED_VALUE"""),8525193.0)</f>
        <v>8525193</v>
      </c>
    </row>
    <row r="7">
      <c r="A7" s="7">
        <f>IFERROR(__xludf.DUMMYFUNCTION("""COMPUTED_VALUE"""),45205.64583333333)</f>
        <v>45205.64583</v>
      </c>
      <c r="B7" s="6">
        <f>IFERROR(__xludf.DUMMYFUNCTION("""COMPUTED_VALUE"""),1097.35)</f>
        <v>1097.35</v>
      </c>
      <c r="C7" s="6">
        <f>IFERROR(__xludf.DUMMYFUNCTION("""COMPUTED_VALUE"""),1100.97)</f>
        <v>1100.97</v>
      </c>
      <c r="D7" s="6">
        <f>IFERROR(__xludf.DUMMYFUNCTION("""COMPUTED_VALUE"""),1040.0)</f>
        <v>1040</v>
      </c>
      <c r="E7" s="6">
        <f>IFERROR(__xludf.DUMMYFUNCTION("""COMPUTED_VALUE"""),1075.28)</f>
        <v>1075.28</v>
      </c>
      <c r="F7" s="6">
        <f>IFERROR(__xludf.DUMMYFUNCTION("""COMPUTED_VALUE"""),2893139.0)</f>
        <v>2893139</v>
      </c>
    </row>
    <row r="8">
      <c r="A8" s="7">
        <f>IFERROR(__xludf.DUMMYFUNCTION("""COMPUTED_VALUE"""),45212.64583333333)</f>
        <v>45212.64583</v>
      </c>
      <c r="B8" s="6">
        <f>IFERROR(__xludf.DUMMYFUNCTION("""COMPUTED_VALUE"""),1059.0)</f>
        <v>1059</v>
      </c>
      <c r="C8" s="6">
        <f>IFERROR(__xludf.DUMMYFUNCTION("""COMPUTED_VALUE"""),1109.95)</f>
        <v>1109.95</v>
      </c>
      <c r="D8" s="6">
        <f>IFERROR(__xludf.DUMMYFUNCTION("""COMPUTED_VALUE"""),1031.85)</f>
        <v>1031.85</v>
      </c>
      <c r="E8" s="6">
        <f>IFERROR(__xludf.DUMMYFUNCTION("""COMPUTED_VALUE"""),1075.95)</f>
        <v>1075.95</v>
      </c>
      <c r="F8" s="6">
        <f>IFERROR(__xludf.DUMMYFUNCTION("""COMPUTED_VALUE"""),4086879.0)</f>
        <v>4086879</v>
      </c>
    </row>
    <row r="9">
      <c r="A9" s="7">
        <f>IFERROR(__xludf.DUMMYFUNCTION("""COMPUTED_VALUE"""),45219.64583333333)</f>
        <v>45219.64583</v>
      </c>
      <c r="B9" s="6">
        <f>IFERROR(__xludf.DUMMYFUNCTION("""COMPUTED_VALUE"""),1079.2)</f>
        <v>1079.2</v>
      </c>
      <c r="C9" s="6">
        <f>IFERROR(__xludf.DUMMYFUNCTION("""COMPUTED_VALUE"""),1111.5)</f>
        <v>1111.5</v>
      </c>
      <c r="D9" s="6">
        <f>IFERROR(__xludf.DUMMYFUNCTION("""COMPUTED_VALUE"""),1019.08)</f>
        <v>1019.08</v>
      </c>
      <c r="E9" s="6">
        <f>IFERROR(__xludf.DUMMYFUNCTION("""COMPUTED_VALUE"""),1037.93)</f>
        <v>1037.93</v>
      </c>
      <c r="F9" s="6">
        <f>IFERROR(__xludf.DUMMYFUNCTION("""COMPUTED_VALUE"""),3753826.0)</f>
        <v>3753826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IFERROR(__xludf.DUMMYFUNCTION("""COMPUTED_VALUE"""),1041.8)</f>
        <v>1041.8</v>
      </c>
      <c r="C10" s="6">
        <f>IFERROR(__xludf.DUMMYFUNCTION("""COMPUTED_VALUE"""),1041.93)</f>
        <v>1041.93</v>
      </c>
      <c r="D10" s="6">
        <f>IFERROR(__xludf.DUMMYFUNCTION("""COMPUTED_VALUE"""),871.0)</f>
        <v>871</v>
      </c>
      <c r="E10" s="6">
        <f>IFERROR(__xludf.DUMMYFUNCTION("""COMPUTED_VALUE"""),1027.95)</f>
        <v>1027.95</v>
      </c>
      <c r="F10" s="6">
        <f>IFERROR(__xludf.DUMMYFUNCTION("""COMPUTED_VALUE"""),8949681.0)</f>
        <v>8949681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IFERROR(__xludf.DUMMYFUNCTION("""COMPUTED_VALUE"""),1027.95)</f>
        <v>1027.95</v>
      </c>
      <c r="C11" s="6">
        <f>IFERROR(__xludf.DUMMYFUNCTION("""COMPUTED_VALUE"""),1027.97)</f>
        <v>1027.97</v>
      </c>
      <c r="D11" s="6">
        <f>IFERROR(__xludf.DUMMYFUNCTION("""COMPUTED_VALUE"""),947.08)</f>
        <v>947.08</v>
      </c>
      <c r="E11" s="6">
        <f>IFERROR(__xludf.DUMMYFUNCTION("""COMPUTED_VALUE"""),961.25)</f>
        <v>961.25</v>
      </c>
      <c r="F11" s="6">
        <f>IFERROR(__xludf.DUMMYFUNCTION("""COMPUTED_VALUE"""),5334737.0)</f>
        <v>5334737</v>
      </c>
    </row>
    <row r="12">
      <c r="A12" s="7">
        <f>IFERROR(__xludf.DUMMYFUNCTION("""COMPUTED_VALUE"""),45240.64583333333)</f>
        <v>45240.64583</v>
      </c>
      <c r="B12" s="6">
        <f>IFERROR(__xludf.DUMMYFUNCTION("""COMPUTED_VALUE"""),971.5)</f>
        <v>971.5</v>
      </c>
      <c r="C12" s="6">
        <f>IFERROR(__xludf.DUMMYFUNCTION("""COMPUTED_VALUE"""),1034.4)</f>
        <v>1034.4</v>
      </c>
      <c r="D12" s="6">
        <f>IFERROR(__xludf.DUMMYFUNCTION("""COMPUTED_VALUE"""),957.95)</f>
        <v>957.95</v>
      </c>
      <c r="E12" s="6">
        <f>IFERROR(__xludf.DUMMYFUNCTION("""COMPUTED_VALUE"""),991.83)</f>
        <v>991.83</v>
      </c>
      <c r="F12" s="6">
        <f>IFERROR(__xludf.DUMMYFUNCTION("""COMPUTED_VALUE"""),6585791.0)</f>
        <v>6585791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IFERROR(__xludf.DUMMYFUNCTION("""COMPUTED_VALUE"""),1000.0)</f>
        <v>1000</v>
      </c>
      <c r="C13" s="6">
        <f>IFERROR(__xludf.DUMMYFUNCTION("""COMPUTED_VALUE"""),1013.33)</f>
        <v>1013.33</v>
      </c>
      <c r="D13" s="6">
        <f>IFERROR(__xludf.DUMMYFUNCTION("""COMPUTED_VALUE"""),980.65)</f>
        <v>980.65</v>
      </c>
      <c r="E13" s="6">
        <f>IFERROR(__xludf.DUMMYFUNCTION("""COMPUTED_VALUE"""),984.43)</f>
        <v>984.43</v>
      </c>
      <c r="F13" s="6">
        <f>IFERROR(__xludf.DUMMYFUNCTION("""COMPUTED_VALUE"""),2516248.0)</f>
        <v>2516248</v>
      </c>
    </row>
    <row r="14">
      <c r="A14" s="7">
        <f>IFERROR(__xludf.DUMMYFUNCTION("""COMPUTED_VALUE"""),45254.64583333333)</f>
        <v>45254.64583</v>
      </c>
      <c r="B14" s="6">
        <f>IFERROR(__xludf.DUMMYFUNCTION("""COMPUTED_VALUE"""),985.0)</f>
        <v>985</v>
      </c>
      <c r="C14" s="6">
        <f>IFERROR(__xludf.DUMMYFUNCTION("""COMPUTED_VALUE"""),1030.58)</f>
        <v>1030.58</v>
      </c>
      <c r="D14" s="6">
        <f>IFERROR(__xludf.DUMMYFUNCTION("""COMPUTED_VALUE"""),975.0)</f>
        <v>975</v>
      </c>
      <c r="E14" s="6">
        <f>IFERROR(__xludf.DUMMYFUNCTION("""COMPUTED_VALUE"""),1019.93)</f>
        <v>1019.93</v>
      </c>
      <c r="F14" s="6">
        <f>IFERROR(__xludf.DUMMYFUNCTION("""COMPUTED_VALUE"""),5398163.0)</f>
        <v>5398163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IFERROR(__xludf.DUMMYFUNCTION("""COMPUTED_VALUE"""),1024.43)</f>
        <v>1024.43</v>
      </c>
      <c r="C15" s="6">
        <f>IFERROR(__xludf.DUMMYFUNCTION("""COMPUTED_VALUE"""),1038.0)</f>
        <v>1038</v>
      </c>
      <c r="D15" s="6">
        <f>IFERROR(__xludf.DUMMYFUNCTION("""COMPUTED_VALUE"""),991.68)</f>
        <v>991.68</v>
      </c>
      <c r="E15" s="6">
        <f>IFERROR(__xludf.DUMMYFUNCTION("""COMPUTED_VALUE"""),1006.68)</f>
        <v>1006.68</v>
      </c>
      <c r="F15" s="6">
        <f>IFERROR(__xludf.DUMMYFUNCTION("""COMPUTED_VALUE"""),3637445.0)</f>
        <v>3637445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IFERROR(__xludf.DUMMYFUNCTION("""COMPUTED_VALUE"""),1020.0)</f>
        <v>1020</v>
      </c>
      <c r="C16" s="6">
        <f>IFERROR(__xludf.DUMMYFUNCTION("""COMPUTED_VALUE"""),1071.0)</f>
        <v>1071</v>
      </c>
      <c r="D16" s="6">
        <f>IFERROR(__xludf.DUMMYFUNCTION("""COMPUTED_VALUE"""),993.05)</f>
        <v>993.05</v>
      </c>
      <c r="E16" s="6">
        <f>IFERROR(__xludf.DUMMYFUNCTION("""COMPUTED_VALUE"""),1029.68)</f>
        <v>1029.68</v>
      </c>
      <c r="F16" s="6">
        <f>IFERROR(__xludf.DUMMYFUNCTION("""COMPUTED_VALUE"""),6933466.0)</f>
        <v>6933466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IFERROR(__xludf.DUMMYFUNCTION("""COMPUTED_VALUE"""),1072.5)</f>
        <v>1072.5</v>
      </c>
      <c r="C17" s="6">
        <f>IFERROR(__xludf.DUMMYFUNCTION("""COMPUTED_VALUE"""),1082.5)</f>
        <v>1082.5</v>
      </c>
      <c r="D17" s="6">
        <f>IFERROR(__xludf.DUMMYFUNCTION("""COMPUTED_VALUE"""),1027.2)</f>
        <v>1027.2</v>
      </c>
      <c r="E17" s="6">
        <f>IFERROR(__xludf.DUMMYFUNCTION("""COMPUTED_VALUE"""),1041.43)</f>
        <v>1041.43</v>
      </c>
      <c r="F17" s="6">
        <f>IFERROR(__xludf.DUMMYFUNCTION("""COMPUTED_VALUE"""),4366486.0)</f>
        <v>4366486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IFERROR(__xludf.DUMMYFUNCTION("""COMPUTED_VALUE"""),1086.5)</f>
        <v>1086.5</v>
      </c>
      <c r="C18" s="6">
        <f>IFERROR(__xludf.DUMMYFUNCTION("""COMPUTED_VALUE"""),1107.5)</f>
        <v>1107.5</v>
      </c>
      <c r="D18" s="6">
        <f>IFERROR(__xludf.DUMMYFUNCTION("""COMPUTED_VALUE"""),1011.08)</f>
        <v>1011.08</v>
      </c>
      <c r="E18" s="6">
        <f>IFERROR(__xludf.DUMMYFUNCTION("""COMPUTED_VALUE"""),1060.7)</f>
        <v>1060.7</v>
      </c>
      <c r="F18" s="6">
        <f>IFERROR(__xludf.DUMMYFUNCTION("""COMPUTED_VALUE"""),7940235.0)</f>
        <v>7940235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IFERROR(__xludf.DUMMYFUNCTION("""COMPUTED_VALUE"""),1064.0)</f>
        <v>1064</v>
      </c>
      <c r="C19" s="6">
        <f>IFERROR(__xludf.DUMMYFUNCTION("""COMPUTED_VALUE"""),1191.5)</f>
        <v>1191.5</v>
      </c>
      <c r="D19" s="6">
        <f>IFERROR(__xludf.DUMMYFUNCTION("""COMPUTED_VALUE"""),1062.53)</f>
        <v>1062.53</v>
      </c>
      <c r="E19" s="6">
        <f>IFERROR(__xludf.DUMMYFUNCTION("""COMPUTED_VALUE"""),1140.45)</f>
        <v>1140.45</v>
      </c>
      <c r="F19" s="6">
        <f>IFERROR(__xludf.DUMMYFUNCTION("""COMPUTED_VALUE"""),1.6853855E7)</f>
        <v>16853855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IFERROR(__xludf.DUMMYFUNCTION("""COMPUTED_VALUE"""),1143.85)</f>
        <v>1143.85</v>
      </c>
      <c r="C20" s="6">
        <f>IFERROR(__xludf.DUMMYFUNCTION("""COMPUTED_VALUE"""),1175.63)</f>
        <v>1175.63</v>
      </c>
      <c r="D20" s="6">
        <f>IFERROR(__xludf.DUMMYFUNCTION("""COMPUTED_VALUE"""),1104.25)</f>
        <v>1104.25</v>
      </c>
      <c r="E20" s="6">
        <f>IFERROR(__xludf.DUMMYFUNCTION("""COMPUTED_VALUE"""),1130.68)</f>
        <v>1130.68</v>
      </c>
      <c r="F20" s="6">
        <f>IFERROR(__xludf.DUMMYFUNCTION("""COMPUTED_VALUE"""),5578911.0)</f>
        <v>5578911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IFERROR(__xludf.DUMMYFUNCTION("""COMPUTED_VALUE"""),1135.53)</f>
        <v>1135.53</v>
      </c>
      <c r="C21" s="6">
        <f>IFERROR(__xludf.DUMMYFUNCTION("""COMPUTED_VALUE"""),1170.28)</f>
        <v>1170.28</v>
      </c>
      <c r="D21" s="6">
        <f>IFERROR(__xludf.DUMMYFUNCTION("""COMPUTED_VALUE"""),1106.0)</f>
        <v>1106</v>
      </c>
      <c r="E21" s="6">
        <f>IFERROR(__xludf.DUMMYFUNCTION("""COMPUTED_VALUE"""),1146.22)</f>
        <v>1146.22</v>
      </c>
      <c r="F21" s="6">
        <f>IFERROR(__xludf.DUMMYFUNCTION("""COMPUTED_VALUE"""),5264130.0)</f>
        <v>5264130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IFERROR(__xludf.DUMMYFUNCTION("""COMPUTED_VALUE"""),1188.9)</f>
        <v>1188.9</v>
      </c>
      <c r="C22" s="6">
        <f>IFERROR(__xludf.DUMMYFUNCTION("""COMPUTED_VALUE"""),1238.85)</f>
        <v>1238.85</v>
      </c>
      <c r="D22" s="6">
        <f>IFERROR(__xludf.DUMMYFUNCTION("""COMPUTED_VALUE"""),1092.53)</f>
        <v>1092.53</v>
      </c>
      <c r="E22" s="6">
        <f>IFERROR(__xludf.DUMMYFUNCTION("""COMPUTED_VALUE"""),1171.75)</f>
        <v>1171.75</v>
      </c>
      <c r="F22" s="6">
        <f>IFERROR(__xludf.DUMMYFUNCTION("""COMPUTED_VALUE"""),5202771.0)</f>
        <v>5202771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IFERROR(__xludf.DUMMYFUNCTION("""COMPUTED_VALUE"""),1180.33)</f>
        <v>1180.33</v>
      </c>
      <c r="C23" s="6">
        <f>IFERROR(__xludf.DUMMYFUNCTION("""COMPUTED_VALUE"""),1183.0)</f>
        <v>1183</v>
      </c>
      <c r="D23" s="6">
        <f>IFERROR(__xludf.DUMMYFUNCTION("""COMPUTED_VALUE"""),1100.18)</f>
        <v>1100.18</v>
      </c>
      <c r="E23" s="6">
        <f>IFERROR(__xludf.DUMMYFUNCTION("""COMPUTED_VALUE"""),1102.85)</f>
        <v>1102.85</v>
      </c>
      <c r="F23" s="6">
        <f>IFERROR(__xludf.DUMMYFUNCTION("""COMPUTED_VALUE"""),4090215.0)</f>
        <v>4090215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IFERROR(__xludf.DUMMYFUNCTION("""COMPUTED_VALUE"""),1108.5)</f>
        <v>1108.5</v>
      </c>
      <c r="C24" s="6">
        <f>IFERROR(__xludf.DUMMYFUNCTION("""COMPUTED_VALUE"""),1108.7)</f>
        <v>1108.7</v>
      </c>
      <c r="D24" s="6">
        <f>IFERROR(__xludf.DUMMYFUNCTION("""COMPUTED_VALUE"""),1043.0)</f>
        <v>1043</v>
      </c>
      <c r="E24" s="6">
        <f>IFERROR(__xludf.DUMMYFUNCTION("""COMPUTED_VALUE"""),1058.72)</f>
        <v>1058.72</v>
      </c>
      <c r="F24" s="6">
        <f>IFERROR(__xludf.DUMMYFUNCTION("""COMPUTED_VALUE"""),3579849.0)</f>
        <v>3579849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IFERROR(__xludf.DUMMYFUNCTION("""COMPUTED_VALUE"""),1064.05)</f>
        <v>1064.05</v>
      </c>
      <c r="C25" s="6">
        <f>IFERROR(__xludf.DUMMYFUNCTION("""COMPUTED_VALUE"""),1130.0)</f>
        <v>1130</v>
      </c>
      <c r="D25" s="6">
        <f>IFERROR(__xludf.DUMMYFUNCTION("""COMPUTED_VALUE"""),1011.25)</f>
        <v>1011.25</v>
      </c>
      <c r="E25" s="6">
        <f>IFERROR(__xludf.DUMMYFUNCTION("""COMPUTED_VALUE"""),1043.63)</f>
        <v>1043.63</v>
      </c>
      <c r="F25" s="6">
        <f>IFERROR(__xludf.DUMMYFUNCTION("""COMPUTED_VALUE"""),5608641.0)</f>
        <v>5608641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IFERROR(__xludf.DUMMYFUNCTION("""COMPUTED_VALUE"""),1050.05)</f>
        <v>1050.05</v>
      </c>
      <c r="C26" s="6">
        <f>IFERROR(__xludf.DUMMYFUNCTION("""COMPUTED_VALUE"""),1097.88)</f>
        <v>1097.88</v>
      </c>
      <c r="D26" s="6">
        <f>IFERROR(__xludf.DUMMYFUNCTION("""COMPUTED_VALUE"""),1016.55)</f>
        <v>1016.55</v>
      </c>
      <c r="E26" s="6">
        <f>IFERROR(__xludf.DUMMYFUNCTION("""COMPUTED_VALUE"""),1055.15)</f>
        <v>1055.15</v>
      </c>
      <c r="F26" s="6">
        <f>IFERROR(__xludf.DUMMYFUNCTION("""COMPUTED_VALUE"""),3427052.0)</f>
        <v>3427052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IFERROR(__xludf.DUMMYFUNCTION("""COMPUTED_VALUE"""),1052.2)</f>
        <v>1052.2</v>
      </c>
      <c r="C27" s="6">
        <f>IFERROR(__xludf.DUMMYFUNCTION("""COMPUTED_VALUE"""),1071.9)</f>
        <v>1071.9</v>
      </c>
      <c r="D27" s="6">
        <f>IFERROR(__xludf.DUMMYFUNCTION("""COMPUTED_VALUE"""),1019.0)</f>
        <v>1019</v>
      </c>
      <c r="E27" s="6">
        <f>IFERROR(__xludf.DUMMYFUNCTION("""COMPUTED_VALUE"""),1042.83)</f>
        <v>1042.83</v>
      </c>
      <c r="F27" s="6">
        <f>IFERROR(__xludf.DUMMYFUNCTION("""COMPUTED_VALUE"""),1888864.0)</f>
        <v>1888864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IFERROR(__xludf.DUMMYFUNCTION("""COMPUTED_VALUE"""),1044.5)</f>
        <v>1044.5</v>
      </c>
      <c r="C28" s="6">
        <f>IFERROR(__xludf.DUMMYFUNCTION("""COMPUTED_VALUE"""),1046.28)</f>
        <v>1046.28</v>
      </c>
      <c r="D28" s="6">
        <f>IFERROR(__xludf.DUMMYFUNCTION("""COMPUTED_VALUE"""),897.7)</f>
        <v>897.7</v>
      </c>
      <c r="E28" s="6">
        <f>IFERROR(__xludf.DUMMYFUNCTION("""COMPUTED_VALUE"""),958.6)</f>
        <v>958.6</v>
      </c>
      <c r="F28" s="6">
        <f>IFERROR(__xludf.DUMMYFUNCTION("""COMPUTED_VALUE"""),6237314.0)</f>
        <v>6237314</v>
      </c>
    </row>
    <row r="29">
      <c r="A29" s="7">
        <f>IFERROR(__xludf.DUMMYFUNCTION("""COMPUTED_VALUE"""),45373.64583333333)</f>
        <v>45373.64583</v>
      </c>
      <c r="B29" s="6">
        <f>IFERROR(__xludf.DUMMYFUNCTION("""COMPUTED_VALUE"""),957.0)</f>
        <v>957</v>
      </c>
      <c r="C29" s="6">
        <f>IFERROR(__xludf.DUMMYFUNCTION("""COMPUTED_VALUE"""),974.48)</f>
        <v>974.48</v>
      </c>
      <c r="D29" s="6">
        <f>IFERROR(__xludf.DUMMYFUNCTION("""COMPUTED_VALUE"""),910.55)</f>
        <v>910.55</v>
      </c>
      <c r="E29" s="6">
        <f>IFERROR(__xludf.DUMMYFUNCTION("""COMPUTED_VALUE"""),949.23)</f>
        <v>949.23</v>
      </c>
      <c r="F29" s="6">
        <f>IFERROR(__xludf.DUMMYFUNCTION("""COMPUTED_VALUE"""),3961067.0)</f>
        <v>3961067</v>
      </c>
    </row>
    <row r="30">
      <c r="A30" s="7">
        <f>IFERROR(__xludf.DUMMYFUNCTION("""COMPUTED_VALUE"""),45379.64583333333)</f>
        <v>45379.64583</v>
      </c>
      <c r="B30" s="6">
        <f>IFERROR(__xludf.DUMMYFUNCTION("""COMPUTED_VALUE"""),949.5)</f>
        <v>949.5</v>
      </c>
      <c r="C30" s="6">
        <f>IFERROR(__xludf.DUMMYFUNCTION("""COMPUTED_VALUE"""),962.0)</f>
        <v>962</v>
      </c>
      <c r="D30" s="6">
        <f>IFERROR(__xludf.DUMMYFUNCTION("""COMPUTED_VALUE"""),927.53)</f>
        <v>927.53</v>
      </c>
      <c r="E30" s="6">
        <f>IFERROR(__xludf.DUMMYFUNCTION("""COMPUTED_VALUE"""),932.05)</f>
        <v>932.05</v>
      </c>
      <c r="F30" s="6">
        <f>IFERROR(__xludf.DUMMYFUNCTION("""COMPUTED_VALUE"""),1757331.0)</f>
        <v>1757331</v>
      </c>
    </row>
    <row r="31">
      <c r="A31" s="7">
        <f>IFERROR(__xludf.DUMMYFUNCTION("""COMPUTED_VALUE"""),45387.64583333333)</f>
        <v>45387.64583</v>
      </c>
      <c r="B31" s="6">
        <f>IFERROR(__xludf.DUMMYFUNCTION("""COMPUTED_VALUE"""),940.0)</f>
        <v>940</v>
      </c>
      <c r="C31" s="6">
        <f>IFERROR(__xludf.DUMMYFUNCTION("""COMPUTED_VALUE"""),1128.3)</f>
        <v>1128.3</v>
      </c>
      <c r="D31" s="6">
        <f>IFERROR(__xludf.DUMMYFUNCTION("""COMPUTED_VALUE"""),940.0)</f>
        <v>940</v>
      </c>
      <c r="E31" s="6">
        <f>IFERROR(__xludf.DUMMYFUNCTION("""COMPUTED_VALUE"""),1100.28)</f>
        <v>1100.28</v>
      </c>
      <c r="F31" s="6">
        <f>IFERROR(__xludf.DUMMYFUNCTION("""COMPUTED_VALUE"""),1.8002388E7)</f>
        <v>18002388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IFERROR(__xludf.DUMMYFUNCTION("""COMPUTED_VALUE"""),1105.8)</f>
        <v>1105.8</v>
      </c>
      <c r="C32" s="6">
        <f>IFERROR(__xludf.DUMMYFUNCTION("""COMPUTED_VALUE"""),1144.97)</f>
        <v>1144.97</v>
      </c>
      <c r="D32" s="6">
        <f>IFERROR(__xludf.DUMMYFUNCTION("""COMPUTED_VALUE"""),1087.0)</f>
        <v>1087</v>
      </c>
      <c r="E32" s="6">
        <f>IFERROR(__xludf.DUMMYFUNCTION("""COMPUTED_VALUE"""),1107.22)</f>
        <v>1107.22</v>
      </c>
      <c r="F32" s="6">
        <f>IFERROR(__xludf.DUMMYFUNCTION("""COMPUTED_VALUE"""),6083457.0)</f>
        <v>6083457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IFERROR(__xludf.DUMMYFUNCTION("""COMPUTED_VALUE"""),1085.0)</f>
        <v>1085</v>
      </c>
      <c r="C33" s="6">
        <f>IFERROR(__xludf.DUMMYFUNCTION("""COMPUTED_VALUE"""),1123.2)</f>
        <v>1123.2</v>
      </c>
      <c r="D33" s="6">
        <f>IFERROR(__xludf.DUMMYFUNCTION("""COMPUTED_VALUE"""),1047.68)</f>
        <v>1047.68</v>
      </c>
      <c r="E33" s="6">
        <f>IFERROR(__xludf.DUMMYFUNCTION("""COMPUTED_VALUE"""),1094.55)</f>
        <v>1094.55</v>
      </c>
      <c r="F33" s="6">
        <f>IFERROR(__xludf.DUMMYFUNCTION("""COMPUTED_VALUE"""),5395191.0)</f>
        <v>5395191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IFERROR(__xludf.DUMMYFUNCTION("""COMPUTED_VALUE"""),1101.7)</f>
        <v>1101.7</v>
      </c>
      <c r="C34" s="6">
        <f>IFERROR(__xludf.DUMMYFUNCTION("""COMPUTED_VALUE"""),1262.4)</f>
        <v>1262.4</v>
      </c>
      <c r="D34" s="6">
        <f>IFERROR(__xludf.DUMMYFUNCTION("""COMPUTED_VALUE"""),1078.15)</f>
        <v>1078.15</v>
      </c>
      <c r="E34" s="6">
        <f>IFERROR(__xludf.DUMMYFUNCTION("""COMPUTED_VALUE"""),1204.28)</f>
        <v>1204.28</v>
      </c>
      <c r="F34" s="6">
        <f>IFERROR(__xludf.DUMMYFUNCTION("""COMPUTED_VALUE"""),1.8447285E7)</f>
        <v>18447285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IFERROR(__xludf.DUMMYFUNCTION("""COMPUTED_VALUE"""),1212.25)</f>
        <v>1212.25</v>
      </c>
      <c r="C35" s="6">
        <f>IFERROR(__xludf.DUMMYFUNCTION("""COMPUTED_VALUE"""),1220.6)</f>
        <v>1220.6</v>
      </c>
      <c r="D35" s="6">
        <f>IFERROR(__xludf.DUMMYFUNCTION("""COMPUTED_VALUE"""),1156.22)</f>
        <v>1156.22</v>
      </c>
      <c r="E35" s="6">
        <f>IFERROR(__xludf.DUMMYFUNCTION("""COMPUTED_VALUE"""),1182.35)</f>
        <v>1182.35</v>
      </c>
      <c r="F35" s="6">
        <f>IFERROR(__xludf.DUMMYFUNCTION("""COMPUTED_VALUE"""),5253469.0)</f>
        <v>5253469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IFERROR(__xludf.DUMMYFUNCTION("""COMPUTED_VALUE"""),1188.5)</f>
        <v>1188.5</v>
      </c>
      <c r="C36" s="6">
        <f>IFERROR(__xludf.DUMMYFUNCTION("""COMPUTED_VALUE"""),1188.5)</f>
        <v>1188.5</v>
      </c>
      <c r="D36" s="6">
        <f>IFERROR(__xludf.DUMMYFUNCTION("""COMPUTED_VALUE"""),1073.2)</f>
        <v>1073.2</v>
      </c>
      <c r="E36" s="6">
        <f>IFERROR(__xludf.DUMMYFUNCTION("""COMPUTED_VALUE"""),1098.47)</f>
        <v>1098.47</v>
      </c>
      <c r="F36" s="6">
        <f>IFERROR(__xludf.DUMMYFUNCTION("""COMPUTED_VALUE"""),6064544.0)</f>
        <v>6064544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IFERROR(__xludf.DUMMYFUNCTION("""COMPUTED_VALUE"""),1436.9)</f>
        <v>1436.9</v>
      </c>
      <c r="C37" s="6">
        <f>IFERROR(__xludf.DUMMYFUNCTION("""COMPUTED_VALUE"""),1624.48)</f>
        <v>1624.48</v>
      </c>
      <c r="D37" s="6">
        <f>IFERROR(__xludf.DUMMYFUNCTION("""COMPUTED_VALUE"""),1380.58)</f>
        <v>1380.58</v>
      </c>
      <c r="E37" s="6">
        <f>IFERROR(__xludf.DUMMYFUNCTION("""COMPUTED_VALUE"""),1588.53)</f>
        <v>1588.53</v>
      </c>
      <c r="F37" s="6">
        <f>IFERROR(__xludf.DUMMYFUNCTION("""COMPUTED_VALUE"""),2.1567117E7)</f>
        <v>21567117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IFERROR(__xludf.DUMMYFUNCTION("""COMPUTED_VALUE"""),1612.5)</f>
        <v>1612.5</v>
      </c>
      <c r="C38" s="6">
        <f>IFERROR(__xludf.DUMMYFUNCTION("""COMPUTED_VALUE"""),1739.0)</f>
        <v>1739</v>
      </c>
      <c r="D38" s="6">
        <f>IFERROR(__xludf.DUMMYFUNCTION("""COMPUTED_VALUE"""),1487.5)</f>
        <v>1487.5</v>
      </c>
      <c r="E38" s="6">
        <f>IFERROR(__xludf.DUMMYFUNCTION("""COMPUTED_VALUE"""),1592.03)</f>
        <v>1592.03</v>
      </c>
      <c r="F38" s="6">
        <f>IFERROR(__xludf.DUMMYFUNCTION("""COMPUTED_VALUE"""),2.6434125E7)</f>
        <v>26434125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IFERROR(__xludf.DUMMYFUNCTION("""COMPUTED_VALUE"""),1719.85)</f>
        <v>1719.85</v>
      </c>
      <c r="C39" s="6">
        <f>IFERROR(__xludf.DUMMYFUNCTION("""COMPUTED_VALUE"""),1719.85)</f>
        <v>1719.85</v>
      </c>
      <c r="D39" s="6">
        <f>IFERROR(__xludf.DUMMYFUNCTION("""COMPUTED_VALUE"""),1200.0)</f>
        <v>1200</v>
      </c>
      <c r="E39" s="6">
        <f>IFERROR(__xludf.DUMMYFUNCTION("""COMPUTED_VALUE"""),1576.58)</f>
        <v>1576.58</v>
      </c>
      <c r="F39" s="6">
        <f>IFERROR(__xludf.DUMMYFUNCTION("""COMPUTED_VALUE"""),2.4485842E7)</f>
        <v>24485842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IFERROR(__xludf.DUMMYFUNCTION("""COMPUTED_VALUE"""),1580.03)</f>
        <v>1580.03</v>
      </c>
      <c r="C40" s="6">
        <f>IFERROR(__xludf.DUMMYFUNCTION("""COMPUTED_VALUE"""),1995.0)</f>
        <v>1995</v>
      </c>
      <c r="D40" s="6">
        <f>IFERROR(__xludf.DUMMYFUNCTION("""COMPUTED_VALUE"""),1553.25)</f>
        <v>1553.25</v>
      </c>
      <c r="E40" s="6">
        <f>IFERROR(__xludf.DUMMYFUNCTION("""COMPUTED_VALUE"""),1938.78)</f>
        <v>1938.78</v>
      </c>
      <c r="F40" s="6">
        <f>IFERROR(__xludf.DUMMYFUNCTION("""COMPUTED_VALUE"""),2.4021216E7)</f>
        <v>24021216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IFERROR(__xludf.DUMMYFUNCTION("""COMPUTED_VALUE"""),1951.85)</f>
        <v>1951.85</v>
      </c>
      <c r="C41" s="6">
        <f>IFERROR(__xludf.DUMMYFUNCTION("""COMPUTED_VALUE"""),2122.5)</f>
        <v>2122.5</v>
      </c>
      <c r="D41" s="6">
        <f>IFERROR(__xludf.DUMMYFUNCTION("""COMPUTED_VALUE"""),1920.0)</f>
        <v>1920</v>
      </c>
      <c r="E41" s="6">
        <f>IFERROR(__xludf.DUMMYFUNCTION("""COMPUTED_VALUE"""),1947.1)</f>
        <v>1947.1</v>
      </c>
      <c r="F41" s="6">
        <f>IFERROR(__xludf.DUMMYFUNCTION("""COMPUTED_VALUE"""),2.2525468E7)</f>
        <v>22525468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IFERROR(__xludf.DUMMYFUNCTION("""COMPUTED_VALUE"""),1958.7)</f>
        <v>1958.7</v>
      </c>
      <c r="C42" s="6">
        <f>IFERROR(__xludf.DUMMYFUNCTION("""COMPUTED_VALUE"""),2292.0)</f>
        <v>2292</v>
      </c>
      <c r="D42" s="6">
        <f>IFERROR(__xludf.DUMMYFUNCTION("""COMPUTED_VALUE"""),1955.9)</f>
        <v>1955.9</v>
      </c>
      <c r="E42" s="6">
        <f>IFERROR(__xludf.DUMMYFUNCTION("""COMPUTED_VALUE"""),2140.73)</f>
        <v>2140.73</v>
      </c>
      <c r="F42" s="6">
        <f>IFERROR(__xludf.DUMMYFUNCTION("""COMPUTED_VALUE"""),3.298073E7)</f>
        <v>32980730</v>
      </c>
    </row>
    <row r="43">
      <c r="A43" s="7">
        <f>IFERROR(__xludf.DUMMYFUNCTION("""COMPUTED_VALUE"""),45478.64583333333)</f>
        <v>45478.64583</v>
      </c>
      <c r="B43" s="6">
        <f>IFERROR(__xludf.DUMMYFUNCTION("""COMPUTED_VALUE"""),2141.05)</f>
        <v>2141.05</v>
      </c>
      <c r="C43" s="6">
        <f>IFERROR(__xludf.DUMMYFUNCTION("""COMPUTED_VALUE"""),2930.0)</f>
        <v>2930</v>
      </c>
      <c r="D43" s="6">
        <f>IFERROR(__xludf.DUMMYFUNCTION("""COMPUTED_VALUE"""),2091.07)</f>
        <v>2091.07</v>
      </c>
      <c r="E43" s="6">
        <f>IFERROR(__xludf.DUMMYFUNCTION("""COMPUTED_VALUE"""),2842.9)</f>
        <v>2842.9</v>
      </c>
      <c r="F43" s="6">
        <f>IFERROR(__xludf.DUMMYFUNCTION("""COMPUTED_VALUE"""),4.7998734E7)</f>
        <v>47998734</v>
      </c>
    </row>
    <row r="44">
      <c r="A44" s="7">
        <f>IFERROR(__xludf.DUMMYFUNCTION("""COMPUTED_VALUE"""),45485.64583333333)</f>
        <v>45485.64583</v>
      </c>
      <c r="B44" s="6">
        <f>IFERROR(__xludf.DUMMYFUNCTION("""COMPUTED_VALUE"""),2855.0)</f>
        <v>2855</v>
      </c>
      <c r="C44" s="6">
        <f>IFERROR(__xludf.DUMMYFUNCTION("""COMPUTED_VALUE"""),2915.0)</f>
        <v>2915</v>
      </c>
      <c r="D44" s="6">
        <f>IFERROR(__xludf.DUMMYFUNCTION("""COMPUTED_VALUE"""),2608.65)</f>
        <v>2608.65</v>
      </c>
      <c r="E44" s="6">
        <f>IFERROR(__xludf.DUMMYFUNCTION("""COMPUTED_VALUE"""),2776.6)</f>
        <v>2776.6</v>
      </c>
      <c r="F44" s="6">
        <f>IFERROR(__xludf.DUMMYFUNCTION("""COMPUTED_VALUE"""),1.6800357E7)</f>
        <v>16800357</v>
      </c>
    </row>
    <row r="45">
      <c r="A45" s="7">
        <f>IFERROR(__xludf.DUMMYFUNCTION("""COMPUTED_VALUE"""),45492.64583333333)</f>
        <v>45492.64583</v>
      </c>
      <c r="B45" s="6">
        <f>IFERROR(__xludf.DUMMYFUNCTION("""COMPUTED_VALUE"""),2785.0)</f>
        <v>2785</v>
      </c>
      <c r="C45" s="6">
        <f>IFERROR(__xludf.DUMMYFUNCTION("""COMPUTED_VALUE"""),2787.0)</f>
        <v>2787</v>
      </c>
      <c r="D45" s="6">
        <f>IFERROR(__xludf.DUMMYFUNCTION("""COMPUTED_VALUE"""),2530.0)</f>
        <v>2530</v>
      </c>
      <c r="E45" s="6">
        <f>IFERROR(__xludf.DUMMYFUNCTION("""COMPUTED_VALUE"""),2565.35)</f>
        <v>2565.35</v>
      </c>
      <c r="F45" s="6">
        <f>IFERROR(__xludf.DUMMYFUNCTION("""COMPUTED_VALUE"""),8886429.0)</f>
        <v>8886429</v>
      </c>
    </row>
    <row r="46">
      <c r="A46" s="7">
        <f>IFERROR(__xludf.DUMMYFUNCTION("""COMPUTED_VALUE"""),45499.64583333333)</f>
        <v>45499.64583</v>
      </c>
      <c r="B46" s="6">
        <f>IFERROR(__xludf.DUMMYFUNCTION("""COMPUTED_VALUE"""),2527.5)</f>
        <v>2527.5</v>
      </c>
      <c r="C46" s="6">
        <f>IFERROR(__xludf.DUMMYFUNCTION("""COMPUTED_VALUE"""),2739.0)</f>
        <v>2739</v>
      </c>
      <c r="D46" s="6">
        <f>IFERROR(__xludf.DUMMYFUNCTION("""COMPUTED_VALUE"""),2396.32)</f>
        <v>2396.32</v>
      </c>
      <c r="E46" s="6">
        <f>IFERROR(__xludf.DUMMYFUNCTION("""COMPUTED_VALUE"""),2429.07)</f>
        <v>2429.07</v>
      </c>
      <c r="F46" s="6">
        <f>IFERROR(__xludf.DUMMYFUNCTION("""COMPUTED_VALUE"""),1.3286358E7)</f>
        <v>13286358</v>
      </c>
    </row>
    <row r="47">
      <c r="A47" s="7">
        <f>IFERROR(__xludf.DUMMYFUNCTION("""COMPUTED_VALUE"""),45506.64583333333)</f>
        <v>45506.64583</v>
      </c>
      <c r="B47" s="6">
        <f>IFERROR(__xludf.DUMMYFUNCTION("""COMPUTED_VALUE"""),2453.7)</f>
        <v>2453.7</v>
      </c>
      <c r="C47" s="6">
        <f>IFERROR(__xludf.DUMMYFUNCTION("""COMPUTED_VALUE"""),2772.73)</f>
        <v>2772.73</v>
      </c>
      <c r="D47" s="6">
        <f>IFERROR(__xludf.DUMMYFUNCTION("""COMPUTED_VALUE"""),2428.0)</f>
        <v>2428</v>
      </c>
      <c r="E47" s="6">
        <f>IFERROR(__xludf.DUMMYFUNCTION("""COMPUTED_VALUE"""),2547.8)</f>
        <v>2547.8</v>
      </c>
      <c r="F47" s="6">
        <f>IFERROR(__xludf.DUMMYFUNCTION("""COMPUTED_VALUE"""),1.1263759E7)</f>
        <v>11263759</v>
      </c>
    </row>
    <row r="48">
      <c r="A48" s="7">
        <f>IFERROR(__xludf.DUMMYFUNCTION("""COMPUTED_VALUE"""),45513.64583333333)</f>
        <v>45513.64583</v>
      </c>
      <c r="B48" s="6">
        <f>IFERROR(__xludf.DUMMYFUNCTION("""COMPUTED_VALUE"""),2420.48)</f>
        <v>2420.48</v>
      </c>
      <c r="C48" s="6">
        <f>IFERROR(__xludf.DUMMYFUNCTION("""COMPUTED_VALUE"""),2577.5)</f>
        <v>2577.5</v>
      </c>
      <c r="D48" s="6">
        <f>IFERROR(__xludf.DUMMYFUNCTION("""COMPUTED_VALUE"""),2271.38)</f>
        <v>2271.38</v>
      </c>
      <c r="E48" s="6">
        <f>IFERROR(__xludf.DUMMYFUNCTION("""COMPUTED_VALUE"""),2458.9)</f>
        <v>2458.9</v>
      </c>
      <c r="F48" s="6">
        <f>IFERROR(__xludf.DUMMYFUNCTION("""COMPUTED_VALUE"""),9877199.0)</f>
        <v>9877199</v>
      </c>
    </row>
    <row r="49">
      <c r="A49" s="7">
        <f>IFERROR(__xludf.DUMMYFUNCTION("""COMPUTED_VALUE"""),45520.64583333333)</f>
        <v>45520.64583</v>
      </c>
      <c r="B49" s="6">
        <f>IFERROR(__xludf.DUMMYFUNCTION("""COMPUTED_VALUE"""),2510.5)</f>
        <v>2510.5</v>
      </c>
      <c r="C49" s="6">
        <f>IFERROR(__xludf.DUMMYFUNCTION("""COMPUTED_VALUE"""),2570.0)</f>
        <v>2570</v>
      </c>
      <c r="D49" s="6">
        <f>IFERROR(__xludf.DUMMYFUNCTION("""COMPUTED_VALUE"""),2340.15)</f>
        <v>2340.15</v>
      </c>
      <c r="E49" s="6">
        <f>IFERROR(__xludf.DUMMYFUNCTION("""COMPUTED_VALUE"""),2487.48)</f>
        <v>2487.48</v>
      </c>
      <c r="F49" s="6">
        <f>IFERROR(__xludf.DUMMYFUNCTION("""COMPUTED_VALUE"""),8049490.0)</f>
        <v>8049490</v>
      </c>
    </row>
    <row r="50">
      <c r="A50" s="7">
        <f>IFERROR(__xludf.DUMMYFUNCTION("""COMPUTED_VALUE"""),45527.64583333333)</f>
        <v>45527.64583</v>
      </c>
      <c r="B50" s="6">
        <f>IFERROR(__xludf.DUMMYFUNCTION("""COMPUTED_VALUE"""),2450.0)</f>
        <v>2450</v>
      </c>
      <c r="C50" s="6">
        <f>IFERROR(__xludf.DUMMYFUNCTION("""COMPUTED_VALUE"""),2450.05)</f>
        <v>2450.05</v>
      </c>
      <c r="D50" s="6">
        <f>IFERROR(__xludf.DUMMYFUNCTION("""COMPUTED_VALUE"""),2055.55)</f>
        <v>2055.55</v>
      </c>
      <c r="E50" s="6">
        <f>IFERROR(__xludf.DUMMYFUNCTION("""COMPUTED_VALUE"""),2205.8)</f>
        <v>2205.8</v>
      </c>
      <c r="F50" s="6">
        <f>IFERROR(__xludf.DUMMYFUNCTION("""COMPUTED_VALUE"""),2.299454E7)</f>
        <v>22994540</v>
      </c>
    </row>
    <row r="51">
      <c r="A51" s="7">
        <f>IFERROR(__xludf.DUMMYFUNCTION("""COMPUTED_VALUE"""),45534.64583333333)</f>
        <v>45534.64583</v>
      </c>
      <c r="B51" s="6">
        <f>IFERROR(__xludf.DUMMYFUNCTION("""COMPUTED_VALUE"""),2221.32)</f>
        <v>2221.32</v>
      </c>
      <c r="C51" s="6">
        <f>IFERROR(__xludf.DUMMYFUNCTION("""COMPUTED_VALUE"""),2228.8)</f>
        <v>2228.8</v>
      </c>
      <c r="D51" s="6">
        <f>IFERROR(__xludf.DUMMYFUNCTION("""COMPUTED_VALUE"""),2087.0)</f>
        <v>2087</v>
      </c>
      <c r="E51" s="6">
        <f>IFERROR(__xludf.DUMMYFUNCTION("""COMPUTED_VALUE"""),2120.73)</f>
        <v>2120.73</v>
      </c>
      <c r="F51" s="6">
        <f>IFERROR(__xludf.DUMMYFUNCTION("""COMPUTED_VALUE"""),9375828.0)</f>
        <v>9375828</v>
      </c>
    </row>
    <row r="52">
      <c r="A52" s="7">
        <f>IFERROR(__xludf.DUMMYFUNCTION("""COMPUTED_VALUE"""),45541.64583333333)</f>
        <v>45541.64583</v>
      </c>
      <c r="B52" s="6">
        <f>IFERROR(__xludf.DUMMYFUNCTION("""COMPUTED_VALUE"""),2125.0)</f>
        <v>2125</v>
      </c>
      <c r="C52" s="6">
        <f>IFERROR(__xludf.DUMMYFUNCTION("""COMPUTED_VALUE"""),2462.5)</f>
        <v>2462.5</v>
      </c>
      <c r="D52" s="6">
        <f>IFERROR(__xludf.DUMMYFUNCTION("""COMPUTED_VALUE"""),2091.32)</f>
        <v>2091.32</v>
      </c>
      <c r="E52" s="6">
        <f>IFERROR(__xludf.DUMMYFUNCTION("""COMPUTED_VALUE"""),2200.2)</f>
        <v>2200.2</v>
      </c>
      <c r="F52" s="6">
        <f>IFERROR(__xludf.DUMMYFUNCTION("""COMPUTED_VALUE"""),2.4594429E7)</f>
        <v>24594429</v>
      </c>
    </row>
    <row r="53">
      <c r="A53" s="7">
        <f>IFERROR(__xludf.DUMMYFUNCTION("""COMPUTED_VALUE"""),45548.64583333333)</f>
        <v>45548.64583</v>
      </c>
      <c r="B53" s="6">
        <f>IFERROR(__xludf.DUMMYFUNCTION("""COMPUTED_VALUE"""),2245.0)</f>
        <v>2245</v>
      </c>
      <c r="C53" s="6">
        <f>IFERROR(__xludf.DUMMYFUNCTION("""COMPUTED_VALUE"""),2272.0)</f>
        <v>2272</v>
      </c>
      <c r="D53" s="6">
        <f>IFERROR(__xludf.DUMMYFUNCTION("""COMPUTED_VALUE"""),2135.0)</f>
        <v>2135</v>
      </c>
      <c r="E53" s="6">
        <f>IFERROR(__xludf.DUMMYFUNCTION("""COMPUTED_VALUE"""),2156.4)</f>
        <v>2156.4</v>
      </c>
      <c r="F53" s="6">
        <f>IFERROR(__xludf.DUMMYFUNCTION("""COMPUTED_VALUE"""),7266472.0)</f>
        <v>7266472</v>
      </c>
    </row>
    <row r="54">
      <c r="A54" s="7">
        <f>IFERROR(__xludf.DUMMYFUNCTION("""COMPUTED_VALUE"""),45555.64583333333)</f>
        <v>45555.64583</v>
      </c>
      <c r="B54" s="6">
        <f>IFERROR(__xludf.DUMMYFUNCTION("""COMPUTED_VALUE"""),2156.4)</f>
        <v>2156.4</v>
      </c>
      <c r="C54" s="6">
        <f>IFERROR(__xludf.DUMMYFUNCTION("""COMPUTED_VALUE"""),2211.5)</f>
        <v>2211.5</v>
      </c>
      <c r="D54" s="6">
        <f>IFERROR(__xludf.DUMMYFUNCTION("""COMPUTED_VALUE"""),1985.0)</f>
        <v>1985</v>
      </c>
      <c r="E54" s="6">
        <f>IFERROR(__xludf.DUMMYFUNCTION("""COMPUTED_VALUE"""),2187.05)</f>
        <v>2187.05</v>
      </c>
      <c r="F54" s="6">
        <f>IFERROR(__xludf.DUMMYFUNCTION("""COMPUTED_VALUE"""),1.0338282E7)</f>
        <v>10338282</v>
      </c>
    </row>
    <row r="55">
      <c r="A55" s="7">
        <f>IFERROR(__xludf.DUMMYFUNCTION("""COMPUTED_VALUE"""),45562.64583333333)</f>
        <v>45562.64583</v>
      </c>
      <c r="B55" s="6">
        <f>IFERROR(__xludf.DUMMYFUNCTION("""COMPUTED_VALUE"""),2196.0)</f>
        <v>2196</v>
      </c>
      <c r="C55" s="6">
        <f>IFERROR(__xludf.DUMMYFUNCTION("""COMPUTED_VALUE"""),2212.5)</f>
        <v>2212.5</v>
      </c>
      <c r="D55" s="6">
        <f>IFERROR(__xludf.DUMMYFUNCTION("""COMPUTED_VALUE"""),2090.0)</f>
        <v>2090</v>
      </c>
      <c r="E55" s="6">
        <f>IFERROR(__xludf.DUMMYFUNCTION("""COMPUTED_VALUE"""),2097.9)</f>
        <v>2097.9</v>
      </c>
      <c r="F55" s="6">
        <f>IFERROR(__xludf.DUMMYFUNCTION("""COMPUTED_VALUE"""),5767962.0)</f>
        <v>5767962</v>
      </c>
    </row>
    <row r="56">
      <c r="A56" s="7">
        <f>IFERROR(__xludf.DUMMYFUNCTION("""COMPUTED_VALUE"""),45569.64583333333)</f>
        <v>45569.64583</v>
      </c>
      <c r="B56" s="6">
        <f>IFERROR(__xludf.DUMMYFUNCTION("""COMPUTED_VALUE"""),2097.5)</f>
        <v>2097.5</v>
      </c>
      <c r="C56" s="6">
        <f>IFERROR(__xludf.DUMMYFUNCTION("""COMPUTED_VALUE"""),2132.5)</f>
        <v>2132.5</v>
      </c>
      <c r="D56" s="6">
        <f>IFERROR(__xludf.DUMMYFUNCTION("""COMPUTED_VALUE"""),1987.53)</f>
        <v>1987.53</v>
      </c>
      <c r="E56" s="6">
        <f>IFERROR(__xludf.DUMMYFUNCTION("""COMPUTED_VALUE"""),2037.68)</f>
        <v>2037.68</v>
      </c>
      <c r="F56" s="6">
        <f>IFERROR(__xludf.DUMMYFUNCTION("""COMPUTED_VALUE"""),3558294.0)</f>
        <v>3558294</v>
      </c>
    </row>
    <row r="57">
      <c r="A57" s="7">
        <f>IFERROR(__xludf.DUMMYFUNCTION("""COMPUTED_VALUE"""),45576.64583333333)</f>
        <v>45576.64583</v>
      </c>
      <c r="B57" s="6">
        <f>IFERROR(__xludf.DUMMYFUNCTION("""COMPUTED_VALUE"""),2047.88)</f>
        <v>2047.88</v>
      </c>
      <c r="C57" s="6">
        <f>IFERROR(__xludf.DUMMYFUNCTION("""COMPUTED_VALUE"""),2255.0)</f>
        <v>2255</v>
      </c>
      <c r="D57" s="6">
        <f>IFERROR(__xludf.DUMMYFUNCTION("""COMPUTED_VALUE"""),1926.28)</f>
        <v>1926.28</v>
      </c>
      <c r="E57" s="6">
        <f>IFERROR(__xludf.DUMMYFUNCTION("""COMPUTED_VALUE"""),2192.48)</f>
        <v>2192.48</v>
      </c>
      <c r="F57" s="6">
        <f>IFERROR(__xludf.DUMMYFUNCTION("""COMPUTED_VALUE"""),1.3687268E7)</f>
        <v>13687268</v>
      </c>
    </row>
    <row r="58">
      <c r="A58" s="7">
        <f>IFERROR(__xludf.DUMMYFUNCTION("""COMPUTED_VALUE"""),45583.64583333333)</f>
        <v>45583.64583</v>
      </c>
      <c r="B58" s="6">
        <f>IFERROR(__xludf.DUMMYFUNCTION("""COMPUTED_VALUE"""),2199.5)</f>
        <v>2199.5</v>
      </c>
      <c r="C58" s="6">
        <f>IFERROR(__xludf.DUMMYFUNCTION("""COMPUTED_VALUE"""),2327.5)</f>
        <v>2327.5</v>
      </c>
      <c r="D58" s="6">
        <f>IFERROR(__xludf.DUMMYFUNCTION("""COMPUTED_VALUE"""),2110.0)</f>
        <v>2110</v>
      </c>
      <c r="E58" s="6">
        <f>IFERROR(__xludf.DUMMYFUNCTION("""COMPUTED_VALUE"""),2263.18)</f>
        <v>2263.18</v>
      </c>
      <c r="F58" s="6">
        <f>IFERROR(__xludf.DUMMYFUNCTION("""COMPUTED_VALUE"""),1.7672379E7)</f>
        <v>17672379</v>
      </c>
    </row>
    <row r="59">
      <c r="A59" s="7">
        <f>IFERROR(__xludf.DUMMYFUNCTION("""COMPUTED_VALUE"""),45590.64583333333)</f>
        <v>45590.64583</v>
      </c>
      <c r="B59" s="6">
        <f>IFERROR(__xludf.DUMMYFUNCTION("""COMPUTED_VALUE"""),2305.0)</f>
        <v>2305</v>
      </c>
      <c r="C59" s="6">
        <f>IFERROR(__xludf.DUMMYFUNCTION("""COMPUTED_VALUE"""),2425.0)</f>
        <v>2425</v>
      </c>
      <c r="D59" s="6">
        <f>IFERROR(__xludf.DUMMYFUNCTION("""COMPUTED_VALUE"""),2002.5)</f>
        <v>2002.5</v>
      </c>
      <c r="E59" s="6">
        <f>IFERROR(__xludf.DUMMYFUNCTION("""COMPUTED_VALUE"""),2031.15)</f>
        <v>2031.15</v>
      </c>
      <c r="F59" s="6">
        <f>IFERROR(__xludf.DUMMYFUNCTION("""COMPUTED_VALUE"""),1.8892997E7)</f>
        <v>18892997</v>
      </c>
    </row>
    <row r="60">
      <c r="A60" s="7">
        <f>IFERROR(__xludf.DUMMYFUNCTION("""COMPUTED_VALUE"""),45604.64583333333)</f>
        <v>45604.64583</v>
      </c>
      <c r="B60" s="6">
        <f>IFERROR(__xludf.DUMMYFUNCTION("""COMPUTED_VALUE"""),2060.0)</f>
        <v>2060</v>
      </c>
      <c r="C60" s="6">
        <f>IFERROR(__xludf.DUMMYFUNCTION("""COMPUTED_VALUE"""),2193.5)</f>
        <v>2193.5</v>
      </c>
      <c r="D60" s="6">
        <f>IFERROR(__xludf.DUMMYFUNCTION("""COMPUTED_VALUE"""),1993.3)</f>
        <v>1993.3</v>
      </c>
      <c r="E60" s="6">
        <f>IFERROR(__xludf.DUMMYFUNCTION("""COMPUTED_VALUE"""),2082.05)</f>
        <v>2082.05</v>
      </c>
      <c r="F60" s="6">
        <f>IFERROR(__xludf.DUMMYFUNCTION("""COMPUTED_VALUE"""),1.1138625E7)</f>
        <v>11138625</v>
      </c>
    </row>
    <row r="61">
      <c r="A61" s="7">
        <f>IFERROR(__xludf.DUMMYFUNCTION("""COMPUTED_VALUE"""),45610.64583333333)</f>
        <v>45610.64583</v>
      </c>
      <c r="B61" s="6">
        <f>IFERROR(__xludf.DUMMYFUNCTION("""COMPUTED_VALUE"""),2065.0)</f>
        <v>2065</v>
      </c>
      <c r="C61" s="6">
        <f>IFERROR(__xludf.DUMMYFUNCTION("""COMPUTED_VALUE"""),2091.5)</f>
        <v>2091.5</v>
      </c>
      <c r="D61" s="6">
        <f>IFERROR(__xludf.DUMMYFUNCTION("""COMPUTED_VALUE"""),1925.6)</f>
        <v>1925.6</v>
      </c>
      <c r="E61" s="6">
        <f>IFERROR(__xludf.DUMMYFUNCTION("""COMPUTED_VALUE"""),1963.05)</f>
        <v>1963.05</v>
      </c>
      <c r="F61" s="6">
        <f>IFERROR(__xludf.DUMMYFUNCTION("""COMPUTED_VALUE"""),4118329.0)</f>
        <v>4118329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IFERROR(__xludf.DUMMYFUNCTION("""COMPUTED_VALUE"""),1965.0)</f>
        <v>1965</v>
      </c>
      <c r="C62" s="6">
        <f>IFERROR(__xludf.DUMMYFUNCTION("""COMPUTED_VALUE"""),2086.48)</f>
        <v>2086.48</v>
      </c>
      <c r="D62" s="6">
        <f>IFERROR(__xludf.DUMMYFUNCTION("""COMPUTED_VALUE"""),1960.0)</f>
        <v>1960</v>
      </c>
      <c r="E62" s="6">
        <f>IFERROR(__xludf.DUMMYFUNCTION("""COMPUTED_VALUE"""),1996.23)</f>
        <v>1996.23</v>
      </c>
      <c r="F62" s="6">
        <f>IFERROR(__xludf.DUMMYFUNCTION("""COMPUTED_VALUE"""),4006653.0)</f>
        <v>4006653</v>
      </c>
    </row>
    <row r="63">
      <c r="A63" s="7">
        <f>IFERROR(__xludf.DUMMYFUNCTION("""COMPUTED_VALUE"""),45625.64583333333)</f>
        <v>45625.64583</v>
      </c>
      <c r="B63" s="6">
        <f>IFERROR(__xludf.DUMMYFUNCTION("""COMPUTED_VALUE"""),2075.0)</f>
        <v>2075</v>
      </c>
      <c r="C63" s="6">
        <f>IFERROR(__xludf.DUMMYFUNCTION("""COMPUTED_VALUE"""),2345.0)</f>
        <v>2345</v>
      </c>
      <c r="D63" s="6">
        <f>IFERROR(__xludf.DUMMYFUNCTION("""COMPUTED_VALUE"""),2052.75)</f>
        <v>2052.75</v>
      </c>
      <c r="E63" s="6">
        <f>IFERROR(__xludf.DUMMYFUNCTION("""COMPUTED_VALUE"""),2297.07)</f>
        <v>2297.07</v>
      </c>
      <c r="F63" s="6">
        <f>IFERROR(__xludf.DUMMYFUNCTION("""COMPUTED_VALUE"""),1.3943993E7)</f>
        <v>13943993</v>
      </c>
    </row>
    <row r="64">
      <c r="A64" s="7">
        <f>IFERROR(__xludf.DUMMYFUNCTION("""COMPUTED_VALUE"""),45632.64583333333)</f>
        <v>45632.64583</v>
      </c>
      <c r="B64" s="6">
        <f>IFERROR(__xludf.DUMMYFUNCTION("""COMPUTED_VALUE"""),2287.35)</f>
        <v>2287.35</v>
      </c>
      <c r="C64" s="6">
        <f>IFERROR(__xludf.DUMMYFUNCTION("""COMPUTED_VALUE"""),2505.45)</f>
        <v>2505.45</v>
      </c>
      <c r="D64" s="6">
        <f>IFERROR(__xludf.DUMMYFUNCTION("""COMPUTED_VALUE"""),2256.78)</f>
        <v>2256.78</v>
      </c>
      <c r="E64" s="6">
        <f>IFERROR(__xludf.DUMMYFUNCTION("""COMPUTED_VALUE"""),2439.7)</f>
        <v>2439.7</v>
      </c>
      <c r="F64" s="6">
        <f>IFERROR(__xludf.DUMMYFUNCTION("""COMPUTED_VALUE"""),1.4345363E7)</f>
        <v>14345363</v>
      </c>
    </row>
    <row r="65">
      <c r="A65" s="7">
        <f>IFERROR(__xludf.DUMMYFUNCTION("""COMPUTED_VALUE"""),45639.64583333333)</f>
        <v>45639.64583</v>
      </c>
      <c r="B65" s="6">
        <f>IFERROR(__xludf.DUMMYFUNCTION("""COMPUTED_VALUE"""),2450.0)</f>
        <v>2450</v>
      </c>
      <c r="C65" s="6">
        <f>IFERROR(__xludf.DUMMYFUNCTION("""COMPUTED_VALUE"""),2531.5)</f>
        <v>2531.5</v>
      </c>
      <c r="D65" s="6">
        <f>IFERROR(__xludf.DUMMYFUNCTION("""COMPUTED_VALUE"""),2370.65)</f>
        <v>2370.65</v>
      </c>
      <c r="E65" s="6">
        <f>IFERROR(__xludf.DUMMYFUNCTION("""COMPUTED_VALUE"""),2424.95)</f>
        <v>2424.95</v>
      </c>
      <c r="F65" s="6">
        <f>IFERROR(__xludf.DUMMYFUNCTION("""COMPUTED_VALUE"""),7512351.0)</f>
        <v>7512351</v>
      </c>
    </row>
    <row r="66">
      <c r="A66" s="7">
        <f>IFERROR(__xludf.DUMMYFUNCTION("""COMPUTED_VALUE"""),45646.64583333333)</f>
        <v>45646.64583</v>
      </c>
      <c r="B66" s="6">
        <f>IFERROR(__xludf.DUMMYFUNCTION("""COMPUTED_VALUE"""),2425.0)</f>
        <v>2425</v>
      </c>
      <c r="C66" s="6">
        <f>IFERROR(__xludf.DUMMYFUNCTION("""COMPUTED_VALUE"""),2674.5)</f>
        <v>2674.5</v>
      </c>
      <c r="D66" s="6">
        <f>IFERROR(__xludf.DUMMYFUNCTION("""COMPUTED_VALUE"""),2350.5)</f>
        <v>2350.5</v>
      </c>
      <c r="E66" s="6">
        <f>IFERROR(__xludf.DUMMYFUNCTION("""COMPUTED_VALUE"""),2362.05)</f>
        <v>2362.05</v>
      </c>
      <c r="F66" s="6">
        <f>IFERROR(__xludf.DUMMYFUNCTION("""COMPUTED_VALUE"""),1.5141508E7)</f>
        <v>15141508</v>
      </c>
    </row>
    <row r="67">
      <c r="A67" s="7">
        <f>IFERROR(__xludf.DUMMYFUNCTION("""COMPUTED_VALUE"""),45653.64583333333)</f>
        <v>45653.64583</v>
      </c>
      <c r="B67" s="6">
        <f>IFERROR(__xludf.DUMMYFUNCTION("""COMPUTED_VALUE"""),2407.0)</f>
        <v>2407</v>
      </c>
      <c r="C67" s="6">
        <f>IFERROR(__xludf.DUMMYFUNCTION("""COMPUTED_VALUE"""),2425.0)</f>
        <v>2425</v>
      </c>
      <c r="D67" s="6">
        <f>IFERROR(__xludf.DUMMYFUNCTION("""COMPUTED_VALUE"""),2276.0)</f>
        <v>2276</v>
      </c>
      <c r="E67" s="6">
        <f>IFERROR(__xludf.DUMMYFUNCTION("""COMPUTED_VALUE"""),2317.4)</f>
        <v>2317.4</v>
      </c>
      <c r="F67" s="6">
        <f>IFERROR(__xludf.DUMMYFUNCTION("""COMPUTED_VALUE"""),9572230.0)</f>
        <v>9572230</v>
      </c>
    </row>
    <row r="68">
      <c r="A68" s="7">
        <f>IFERROR(__xludf.DUMMYFUNCTION("""COMPUTED_VALUE"""),45660.64583333333)</f>
        <v>45660.64583</v>
      </c>
      <c r="B68" s="6">
        <f>IFERROR(__xludf.DUMMYFUNCTION("""COMPUTED_VALUE"""),2300.0)</f>
        <v>2300</v>
      </c>
      <c r="C68" s="6">
        <f>IFERROR(__xludf.DUMMYFUNCTION("""COMPUTED_VALUE"""),2369.95)</f>
        <v>2369.95</v>
      </c>
      <c r="D68" s="6">
        <f>IFERROR(__xludf.DUMMYFUNCTION("""COMPUTED_VALUE"""),2201.8)</f>
        <v>2201.8</v>
      </c>
      <c r="E68" s="6">
        <f>IFERROR(__xludf.DUMMYFUNCTION("""COMPUTED_VALUE"""),2236.9)</f>
        <v>2236.9</v>
      </c>
      <c r="F68" s="6">
        <f>IFERROR(__xludf.DUMMYFUNCTION("""COMPUTED_VALUE"""),1.1701141E7)</f>
        <v>11701141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IFERROR(__xludf.DUMMYFUNCTION("""COMPUTED_VALUE"""),2235.0)</f>
        <v>2235</v>
      </c>
      <c r="C69" s="6">
        <f>IFERROR(__xludf.DUMMYFUNCTION("""COMPUTED_VALUE"""),2254.0)</f>
        <v>2254</v>
      </c>
      <c r="D69" s="6">
        <f>IFERROR(__xludf.DUMMYFUNCTION("""COMPUTED_VALUE"""),2107.05)</f>
        <v>2107.05</v>
      </c>
      <c r="E69" s="6">
        <f>IFERROR(__xludf.DUMMYFUNCTION("""COMPUTED_VALUE"""),2223.15)</f>
        <v>2223.15</v>
      </c>
      <c r="F69" s="6">
        <f>IFERROR(__xludf.DUMMYFUNCTION("""COMPUTED_VALUE"""),9021911.0)</f>
        <v>9021911</v>
      </c>
    </row>
    <row r="70">
      <c r="A70" s="7">
        <f>IFERROR(__xludf.DUMMYFUNCTION("""COMPUTED_VALUE"""),45674.64583333333)</f>
        <v>45674.64583</v>
      </c>
      <c r="B70" s="6">
        <f>IFERROR(__xludf.DUMMYFUNCTION("""COMPUTED_VALUE"""),2165.0)</f>
        <v>2165</v>
      </c>
      <c r="C70" s="6">
        <f>IFERROR(__xludf.DUMMYFUNCTION("""COMPUTED_VALUE"""),2337.25)</f>
        <v>2337.25</v>
      </c>
      <c r="D70" s="6">
        <f>IFERROR(__xludf.DUMMYFUNCTION("""COMPUTED_VALUE"""),2005.0)</f>
        <v>2005</v>
      </c>
      <c r="E70" s="6">
        <f>IFERROR(__xludf.DUMMYFUNCTION("""COMPUTED_VALUE"""),2315.05)</f>
        <v>2315.05</v>
      </c>
      <c r="F70" s="6">
        <f>IFERROR(__xludf.DUMMYFUNCTION("""COMPUTED_VALUE"""),1.4594782E7)</f>
        <v>14594782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IFERROR(__xludf.DUMMYFUNCTION("""COMPUTED_VALUE"""),2320.0)</f>
        <v>2320</v>
      </c>
      <c r="C71" s="6">
        <f>IFERROR(__xludf.DUMMYFUNCTION("""COMPUTED_VALUE"""),2496.3)</f>
        <v>2496.3</v>
      </c>
      <c r="D71" s="6">
        <f>IFERROR(__xludf.DUMMYFUNCTION("""COMPUTED_VALUE"""),2217.0)</f>
        <v>2217</v>
      </c>
      <c r="E71" s="6">
        <f>IFERROR(__xludf.DUMMYFUNCTION("""COMPUTED_VALUE"""),2299.55)</f>
        <v>2299.55</v>
      </c>
      <c r="F71" s="6">
        <f>IFERROR(__xludf.DUMMYFUNCTION("""COMPUTED_VALUE"""),1.7969899E7)</f>
        <v>17969899</v>
      </c>
    </row>
    <row r="72">
      <c r="A72" s="7">
        <f>IFERROR(__xludf.DUMMYFUNCTION("""COMPUTED_VALUE"""),45695.64583333333)</f>
        <v>45695.64583</v>
      </c>
      <c r="B72" s="6">
        <f>IFERROR(__xludf.DUMMYFUNCTION("""COMPUTED_VALUE"""),2330.0)</f>
        <v>2330</v>
      </c>
      <c r="C72" s="6">
        <f>IFERROR(__xludf.DUMMYFUNCTION("""COMPUTED_VALUE"""),2364.5)</f>
        <v>2364.5</v>
      </c>
      <c r="D72" s="6">
        <f>IFERROR(__xludf.DUMMYFUNCTION("""COMPUTED_VALUE"""),2170.0)</f>
        <v>2170</v>
      </c>
      <c r="E72" s="6">
        <f>IFERROR(__xludf.DUMMYFUNCTION("""COMPUTED_VALUE"""),2230.2)</f>
        <v>2230.2</v>
      </c>
      <c r="F72" s="6">
        <f>IFERROR(__xludf.DUMMYFUNCTION("""COMPUTED_VALUE"""),1.4050777E7)</f>
        <v>14050777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IFERROR(__xludf.DUMMYFUNCTION("""COMPUTED_VALUE"""),2248.0)</f>
        <v>2248</v>
      </c>
      <c r="C73" s="6">
        <f>IFERROR(__xludf.DUMMYFUNCTION("""COMPUTED_VALUE"""),2439.9)</f>
        <v>2439.9</v>
      </c>
      <c r="D73" s="6">
        <f>IFERROR(__xludf.DUMMYFUNCTION("""COMPUTED_VALUE"""),2065.2)</f>
        <v>2065.2</v>
      </c>
      <c r="E73" s="6">
        <f>IFERROR(__xludf.DUMMYFUNCTION("""COMPUTED_VALUE"""),2166.35)</f>
        <v>2166.35</v>
      </c>
      <c r="F73" s="6">
        <f>IFERROR(__xludf.DUMMYFUNCTION("""COMPUTED_VALUE"""),3.7126205E7)</f>
        <v>37126205</v>
      </c>
    </row>
    <row r="74">
      <c r="A74" s="7">
        <f>IFERROR(__xludf.DUMMYFUNCTION("""COMPUTED_VALUE"""),45709.64583333333)</f>
        <v>45709.64583</v>
      </c>
      <c r="B74" s="6">
        <f>IFERROR(__xludf.DUMMYFUNCTION("""COMPUTED_VALUE"""),2143.8)</f>
        <v>2143.8</v>
      </c>
      <c r="C74" s="6">
        <f>IFERROR(__xludf.DUMMYFUNCTION("""COMPUTED_VALUE"""),2219.85)</f>
        <v>2219.85</v>
      </c>
      <c r="D74" s="6">
        <f>IFERROR(__xludf.DUMMYFUNCTION("""COMPUTED_VALUE"""),1918.05)</f>
        <v>1918.05</v>
      </c>
      <c r="E74" s="6">
        <f>IFERROR(__xludf.DUMMYFUNCTION("""COMPUTED_VALUE"""),2119.45)</f>
        <v>2119.45</v>
      </c>
      <c r="F74" s="6">
        <f>IFERROR(__xludf.DUMMYFUNCTION("""COMPUTED_VALUE"""),2.1132859E7)</f>
        <v>21132859</v>
      </c>
    </row>
    <row r="75">
      <c r="A75" s="7">
        <f>IFERROR(__xludf.DUMMYFUNCTION("""COMPUTED_VALUE"""),45716.64583333333)</f>
        <v>45716.64583</v>
      </c>
      <c r="B75" s="6">
        <f>IFERROR(__xludf.DUMMYFUNCTION("""COMPUTED_VALUE"""),2079.0)</f>
        <v>2079</v>
      </c>
      <c r="C75" s="6">
        <f>IFERROR(__xludf.DUMMYFUNCTION("""COMPUTED_VALUE"""),2207.05)</f>
        <v>2207.05</v>
      </c>
      <c r="D75" s="6">
        <f>IFERROR(__xludf.DUMMYFUNCTION("""COMPUTED_VALUE"""),2047.9)</f>
        <v>2047.9</v>
      </c>
      <c r="E75" s="6">
        <f>IFERROR(__xludf.DUMMYFUNCTION("""COMPUTED_VALUE"""),2131.05)</f>
        <v>2131.05</v>
      </c>
      <c r="F75" s="6">
        <f>IFERROR(__xludf.DUMMYFUNCTION("""COMPUTED_VALUE"""),1.1767887E7)</f>
        <v>11767887</v>
      </c>
    </row>
    <row r="76">
      <c r="A76" s="7">
        <f>IFERROR(__xludf.DUMMYFUNCTION("""COMPUTED_VALUE"""),45723.64583333333)</f>
        <v>45723.64583</v>
      </c>
      <c r="B76" s="6">
        <f>IFERROR(__xludf.DUMMYFUNCTION("""COMPUTED_VALUE"""),2148.0)</f>
        <v>2148</v>
      </c>
      <c r="C76" s="6">
        <f>IFERROR(__xludf.DUMMYFUNCTION("""COMPUTED_VALUE"""),2352.95)</f>
        <v>2352.95</v>
      </c>
      <c r="D76" s="6">
        <f>IFERROR(__xludf.DUMMYFUNCTION("""COMPUTED_VALUE"""),2100.0)</f>
        <v>2100</v>
      </c>
      <c r="E76" s="6">
        <f>IFERROR(__xludf.DUMMYFUNCTION("""COMPUTED_VALUE"""),2338.2)</f>
        <v>2338.2</v>
      </c>
      <c r="F76" s="6">
        <f>IFERROR(__xludf.DUMMYFUNCTION("""COMPUTED_VALUE"""),1.6096455E7)</f>
        <v>16096455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IFERROR(__xludf.DUMMYFUNCTION("""COMPUTED_VALUE"""),2344.7)</f>
        <v>2344.7</v>
      </c>
      <c r="C77" s="6">
        <f>IFERROR(__xludf.DUMMYFUNCTION("""COMPUTED_VALUE"""),2364.55)</f>
        <v>2364.55</v>
      </c>
      <c r="D77" s="6">
        <f>IFERROR(__xludf.DUMMYFUNCTION("""COMPUTED_VALUE"""),2222.0)</f>
        <v>2222</v>
      </c>
      <c r="E77" s="6">
        <f>IFERROR(__xludf.DUMMYFUNCTION("""COMPUTED_VALUE"""),2316.0)</f>
        <v>2316</v>
      </c>
      <c r="F77" s="6">
        <f>IFERROR(__xludf.DUMMYFUNCTION("""COMPUTED_VALUE"""),7781993.0)</f>
        <v>7781993</v>
      </c>
    </row>
    <row r="78">
      <c r="A78" s="7">
        <f>IFERROR(__xludf.DUMMYFUNCTION("""COMPUTED_VALUE"""),45737.64583333333)</f>
        <v>45737.64583</v>
      </c>
      <c r="B78" s="6">
        <f>IFERROR(__xludf.DUMMYFUNCTION("""COMPUTED_VALUE"""),2320.0)</f>
        <v>2320</v>
      </c>
      <c r="C78" s="6">
        <f>IFERROR(__xludf.DUMMYFUNCTION("""COMPUTED_VALUE"""),2762.9)</f>
        <v>2762.9</v>
      </c>
      <c r="D78" s="6">
        <f>IFERROR(__xludf.DUMMYFUNCTION("""COMPUTED_VALUE"""),2281.1)</f>
        <v>2281.1</v>
      </c>
      <c r="E78" s="6">
        <f>IFERROR(__xludf.DUMMYFUNCTION("""COMPUTED_VALUE"""),2591.4)</f>
        <v>2591.4</v>
      </c>
      <c r="F78" s="6">
        <f>IFERROR(__xludf.DUMMYFUNCTION("""COMPUTED_VALUE"""),2.9458077E7)</f>
        <v>29458077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IFERROR(__xludf.DUMMYFUNCTION("""COMPUTED_VALUE"""),2614.75)</f>
        <v>2614.75</v>
      </c>
      <c r="C79" s="6">
        <f>IFERROR(__xludf.DUMMYFUNCTION("""COMPUTED_VALUE"""),2752.0)</f>
        <v>2752</v>
      </c>
      <c r="D79" s="6">
        <f>IFERROR(__xludf.DUMMYFUNCTION("""COMPUTED_VALUE"""),2588.4)</f>
        <v>2588.4</v>
      </c>
      <c r="E79" s="6">
        <f>IFERROR(__xludf.DUMMYFUNCTION("""COMPUTED_VALUE"""),2643.8)</f>
        <v>2643.8</v>
      </c>
      <c r="F79" s="6">
        <f>IFERROR(__xludf.DUMMYFUNCTION("""COMPUTED_VALUE"""),2.1962712E7)</f>
        <v>21962712</v>
      </c>
    </row>
    <row r="80">
      <c r="A80" s="7">
        <f>IFERROR(__xludf.DUMMYFUNCTION("""COMPUTED_VALUE"""),45751.64583333333)</f>
        <v>45751.64583</v>
      </c>
      <c r="B80" s="6">
        <f>IFERROR(__xludf.DUMMYFUNCTION("""COMPUTED_VALUE"""),2634.0)</f>
        <v>2634</v>
      </c>
      <c r="C80" s="6">
        <f>IFERROR(__xludf.DUMMYFUNCTION("""COMPUTED_VALUE"""),2753.45)</f>
        <v>2753.45</v>
      </c>
      <c r="D80" s="6">
        <f>IFERROR(__xludf.DUMMYFUNCTION("""COMPUTED_VALUE"""),2520.3)</f>
        <v>2520.3</v>
      </c>
      <c r="E80" s="6">
        <f>IFERROR(__xludf.DUMMYFUNCTION("""COMPUTED_VALUE"""),2542.2)</f>
        <v>2542.2</v>
      </c>
      <c r="F80" s="6">
        <f>IFERROR(__xludf.DUMMYFUNCTION("""COMPUTED_VALUE"""),1.3292408E7)</f>
        <v>13292408</v>
      </c>
    </row>
    <row r="81">
      <c r="A81" s="7">
        <f>IFERROR(__xludf.DUMMYFUNCTION("""COMPUTED_VALUE"""),45758.64583333333)</f>
        <v>45758.64583</v>
      </c>
      <c r="B81" s="6">
        <f>IFERROR(__xludf.DUMMYFUNCTION("""COMPUTED_VALUE"""),2221.05)</f>
        <v>2221.05</v>
      </c>
      <c r="C81" s="6">
        <f>IFERROR(__xludf.DUMMYFUNCTION("""COMPUTED_VALUE"""),2473.0)</f>
        <v>2473</v>
      </c>
      <c r="D81" s="6">
        <f>IFERROR(__xludf.DUMMYFUNCTION("""COMPUTED_VALUE"""),2200.0)</f>
        <v>2200</v>
      </c>
      <c r="E81" s="6">
        <f>IFERROR(__xludf.DUMMYFUNCTION("""COMPUTED_VALUE"""),2432.55)</f>
        <v>2432.55</v>
      </c>
      <c r="F81" s="6">
        <f>IFERROR(__xludf.DUMMYFUNCTION("""COMPUTED_VALUE"""),1.2249531E7)</f>
        <v>12249531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IFERROR(__xludf.DUMMYFUNCTION("""COMPUTED_VALUE"""),2490.0)</f>
        <v>2490</v>
      </c>
      <c r="C82" s="6">
        <f>IFERROR(__xludf.DUMMYFUNCTION("""COMPUTED_VALUE"""),2814.8)</f>
        <v>2814.8</v>
      </c>
      <c r="D82" s="6">
        <f>IFERROR(__xludf.DUMMYFUNCTION("""COMPUTED_VALUE"""),2473.0)</f>
        <v>2473</v>
      </c>
      <c r="E82" s="6">
        <f>IFERROR(__xludf.DUMMYFUNCTION("""COMPUTED_VALUE"""),2710.6)</f>
        <v>2710.6</v>
      </c>
      <c r="F82" s="6">
        <f>IFERROR(__xludf.DUMMYFUNCTION("""COMPUTED_VALUE"""),1.7113025E7)</f>
        <v>17113025</v>
      </c>
    </row>
    <row r="83">
      <c r="A83" s="7">
        <f>IFERROR(__xludf.DUMMYFUNCTION("""COMPUTED_VALUE"""),45772.64583333333)</f>
        <v>45772.64583</v>
      </c>
      <c r="B83" s="6">
        <f>IFERROR(__xludf.DUMMYFUNCTION("""COMPUTED_VALUE"""),2727.5)</f>
        <v>2727.5</v>
      </c>
      <c r="C83" s="6">
        <f>IFERROR(__xludf.DUMMYFUNCTION("""COMPUTED_VALUE"""),2850.0)</f>
        <v>2850</v>
      </c>
      <c r="D83" s="6">
        <f>IFERROR(__xludf.DUMMYFUNCTION("""COMPUTED_VALUE"""),2585.0)</f>
        <v>2585</v>
      </c>
      <c r="E83" s="6">
        <f>IFERROR(__xludf.DUMMYFUNCTION("""COMPUTED_VALUE"""),2661.1)</f>
        <v>2661.1</v>
      </c>
      <c r="F83" s="6">
        <f>IFERROR(__xludf.DUMMYFUNCTION("""COMPUTED_VALUE"""),1.4458359E7)</f>
        <v>14458359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IFERROR(__xludf.DUMMYFUNCTION("""COMPUTED_VALUE"""),2649.9)</f>
        <v>2649.9</v>
      </c>
      <c r="C84" s="6">
        <f>IFERROR(__xludf.DUMMYFUNCTION("""COMPUTED_VALUE"""),3172.0)</f>
        <v>3172</v>
      </c>
      <c r="D84" s="6">
        <f>IFERROR(__xludf.DUMMYFUNCTION("""COMPUTED_VALUE"""),2646.1)</f>
        <v>2646.1</v>
      </c>
      <c r="E84" s="6">
        <f>IFERROR(__xludf.DUMMYFUNCTION("""COMPUTED_VALUE"""),2996.6)</f>
        <v>2996.6</v>
      </c>
      <c r="F84" s="6">
        <f>IFERROR(__xludf.DUMMYFUNCTION("""COMPUTED_VALUE"""),3.5422337E7)</f>
        <v>35422337</v>
      </c>
    </row>
    <row r="85">
      <c r="A85" s="7">
        <f>IFERROR(__xludf.DUMMYFUNCTION("""COMPUTED_VALUE"""),45786.64583333333)</f>
        <v>45786.64583</v>
      </c>
      <c r="B85" s="6">
        <f>IFERROR(__xludf.DUMMYFUNCTION("""COMPUTED_VALUE"""),3024.1)</f>
        <v>3024.1</v>
      </c>
      <c r="C85" s="6">
        <f>IFERROR(__xludf.DUMMYFUNCTION("""COMPUTED_VALUE"""),3148.4)</f>
        <v>3148.4</v>
      </c>
      <c r="D85" s="6">
        <f>IFERROR(__xludf.DUMMYFUNCTION("""COMPUTED_VALUE"""),2776.5)</f>
        <v>2776.5</v>
      </c>
      <c r="E85" s="6">
        <f>IFERROR(__xludf.DUMMYFUNCTION("""COMPUTED_VALUE"""),2922.0)</f>
        <v>2922</v>
      </c>
      <c r="F85" s="6">
        <f>IFERROR(__xludf.DUMMYFUNCTION("""COMPUTED_VALUE"""),3.2905853E7)</f>
        <v>32905853</v>
      </c>
    </row>
    <row r="86">
      <c r="A86" s="7">
        <f>IFERROR(__xludf.DUMMYFUNCTION("""COMPUTED_VALUE"""),45793.64583333333)</f>
        <v>45793.64583</v>
      </c>
      <c r="B86" s="6">
        <f>IFERROR(__xludf.DUMMYFUNCTION("""COMPUTED_VALUE"""),3024.9)</f>
        <v>3024.9</v>
      </c>
      <c r="C86" s="6">
        <f>IFERROR(__xludf.DUMMYFUNCTION("""COMPUTED_VALUE"""),3578.0)</f>
        <v>3578</v>
      </c>
      <c r="D86" s="6">
        <f>IFERROR(__xludf.DUMMYFUNCTION("""COMPUTED_VALUE"""),2866.1)</f>
        <v>2866.1</v>
      </c>
      <c r="E86" s="6">
        <f>IFERROR(__xludf.DUMMYFUNCTION("""COMPUTED_VALUE"""),3522.4)</f>
        <v>3522.4</v>
      </c>
      <c r="F86" s="6">
        <f>IFERROR(__xludf.DUMMYFUNCTION("""COMPUTED_VALUE"""),4.614003E7)</f>
        <v>46140030</v>
      </c>
    </row>
    <row r="87">
      <c r="A87" s="7">
        <f>IFERROR(__xludf.DUMMYFUNCTION("""COMPUTED_VALUE"""),45800.64583333333)</f>
        <v>45800.64583</v>
      </c>
      <c r="B87" s="6">
        <f>IFERROR(__xludf.DUMMYFUNCTION("""COMPUTED_VALUE"""),3559.8)</f>
        <v>3559.8</v>
      </c>
      <c r="C87" s="6">
        <f>IFERROR(__xludf.DUMMYFUNCTION("""COMPUTED_VALUE"""),3733.0)</f>
        <v>3733</v>
      </c>
      <c r="D87" s="6">
        <f>IFERROR(__xludf.DUMMYFUNCTION("""COMPUTED_VALUE"""),3285.0)</f>
        <v>3285</v>
      </c>
      <c r="E87" s="6">
        <f>IFERROR(__xludf.DUMMYFUNCTION("""COMPUTED_VALUE"""),3502.3)</f>
        <v>3502.3</v>
      </c>
      <c r="F87" s="6">
        <f>IFERROR(__xludf.DUMMYFUNCTION("""COMPUTED_VALUE"""),3.0828562E7)</f>
        <v>30828562</v>
      </c>
    </row>
    <row r="88">
      <c r="A88" s="7">
        <f>IFERROR(__xludf.DUMMYFUNCTION("""COMPUTED_VALUE"""),45807.64583333333)</f>
        <v>45807.64583</v>
      </c>
      <c r="B88" s="6">
        <f>IFERROR(__xludf.DUMMYFUNCTION("""COMPUTED_VALUE"""),3524.0)</f>
        <v>3524</v>
      </c>
      <c r="C88" s="6">
        <f>IFERROR(__xludf.DUMMYFUNCTION("""COMPUTED_VALUE"""),3775.0)</f>
        <v>3775</v>
      </c>
      <c r="D88" s="6">
        <f>IFERROR(__xludf.DUMMYFUNCTION("""COMPUTED_VALUE"""),3426.1)</f>
        <v>3426.1</v>
      </c>
      <c r="E88" s="6">
        <f>IFERROR(__xludf.DUMMYFUNCTION("""COMPUTED_VALUE"""),3478.2)</f>
        <v>3478.2</v>
      </c>
      <c r="F88" s="6">
        <f>IFERROR(__xludf.DUMMYFUNCTION("""COMPUTED_VALUE"""),2.7924894E7)</f>
        <v>27924894</v>
      </c>
    </row>
    <row r="89">
      <c r="A89" s="7">
        <f>IFERROR(__xludf.DUMMYFUNCTION("""COMPUTED_VALUE"""),45814.64583333333)</f>
        <v>45814.64583</v>
      </c>
      <c r="B89" s="6">
        <f>IFERROR(__xludf.DUMMYFUNCTION("""COMPUTED_VALUE"""),3469.9)</f>
        <v>3469.9</v>
      </c>
      <c r="C89" s="6">
        <f>IFERROR(__xludf.DUMMYFUNCTION("""COMPUTED_VALUE"""),3548.7)</f>
        <v>3548.7</v>
      </c>
      <c r="D89" s="6">
        <f>IFERROR(__xludf.DUMMYFUNCTION("""COMPUTED_VALUE"""),3377.0)</f>
        <v>3377</v>
      </c>
      <c r="E89" s="6">
        <f>IFERROR(__xludf.DUMMYFUNCTION("""COMPUTED_VALUE"""),3404.7)</f>
        <v>3404.7</v>
      </c>
      <c r="F89" s="6">
        <f>IFERROR(__xludf.DUMMYFUNCTION("""COMPUTED_VALUE"""),1.844244E7)</f>
        <v>18442440</v>
      </c>
    </row>
    <row r="90">
      <c r="A90" s="7">
        <f>IFERROR(__xludf.DUMMYFUNCTION("""COMPUTED_VALUE"""),45821.64583333333)</f>
        <v>45821.64583</v>
      </c>
      <c r="B90" s="6">
        <f>IFERROR(__xludf.DUMMYFUNCTION("""COMPUTED_VALUE"""),3421.8)</f>
        <v>3421.8</v>
      </c>
      <c r="C90" s="6">
        <f>IFERROR(__xludf.DUMMYFUNCTION("""COMPUTED_VALUE"""),3437.4)</f>
        <v>3437.4</v>
      </c>
      <c r="D90" s="6">
        <f>IFERROR(__xludf.DUMMYFUNCTION("""COMPUTED_VALUE"""),3128.1)</f>
        <v>3128.1</v>
      </c>
      <c r="E90" s="6">
        <f>IFERROR(__xludf.DUMMYFUNCTION("""COMPUTED_VALUE"""),3200.4)</f>
        <v>3200.4</v>
      </c>
      <c r="F90" s="6">
        <f>IFERROR(__xludf.DUMMYFUNCTION("""COMPUTED_VALUE"""),1.1530782E7)</f>
        <v>11530782</v>
      </c>
    </row>
    <row r="91">
      <c r="A91" s="7">
        <f>IFERROR(__xludf.DUMMYFUNCTION("""COMPUTED_VALUE"""),45828.64583333333)</f>
        <v>45828.64583</v>
      </c>
      <c r="B91" s="6">
        <f>IFERROR(__xludf.DUMMYFUNCTION("""COMPUTED_VALUE"""),3210.0)</f>
        <v>3210</v>
      </c>
      <c r="C91" s="6">
        <f>IFERROR(__xludf.DUMMYFUNCTION("""COMPUTED_VALUE"""),3343.5)</f>
        <v>3343.5</v>
      </c>
      <c r="D91" s="6">
        <f>IFERROR(__xludf.DUMMYFUNCTION("""COMPUTED_VALUE"""),3077.7)</f>
        <v>3077.7</v>
      </c>
      <c r="E91" s="6">
        <f>IFERROR(__xludf.DUMMYFUNCTION("""COMPUTED_VALUE"""),3256.4)</f>
        <v>3256.4</v>
      </c>
      <c r="F91" s="6">
        <f>IFERROR(__xludf.DUMMYFUNCTION("""COMPUTED_VALUE"""),1.887203E7)</f>
        <v>18872030</v>
      </c>
    </row>
    <row r="92">
      <c r="A92" s="7">
        <f>IFERROR(__xludf.DUMMYFUNCTION("""COMPUTED_VALUE"""),45835.64583333333)</f>
        <v>45835.64583</v>
      </c>
      <c r="B92" s="6">
        <f>IFERROR(__xludf.DUMMYFUNCTION("""COMPUTED_VALUE"""),3259.0)</f>
        <v>3259</v>
      </c>
      <c r="C92" s="6">
        <f>IFERROR(__xludf.DUMMYFUNCTION("""COMPUTED_VALUE"""),3369.0)</f>
        <v>3369</v>
      </c>
      <c r="D92" s="6">
        <f>IFERROR(__xludf.DUMMYFUNCTION("""COMPUTED_VALUE"""),3094.0)</f>
        <v>3094</v>
      </c>
      <c r="E92" s="6">
        <f>IFERROR(__xludf.DUMMYFUNCTION("""COMPUTED_VALUE"""),3174.0)</f>
        <v>3174</v>
      </c>
      <c r="F92" s="6">
        <f>IFERROR(__xludf.DUMMYFUNCTION("""COMPUTED_VALUE"""),1.4148069E7)</f>
        <v>14148069</v>
      </c>
    </row>
    <row r="93">
      <c r="A93" s="7">
        <f>IFERROR(__xludf.DUMMYFUNCTION("""COMPUTED_VALUE"""),45842.64583333333)</f>
        <v>45842.64583</v>
      </c>
      <c r="B93" s="6">
        <f>IFERROR(__xludf.DUMMYFUNCTION("""COMPUTED_VALUE"""),3240.0)</f>
        <v>3240</v>
      </c>
      <c r="C93" s="6">
        <f>IFERROR(__xludf.DUMMYFUNCTION("""COMPUTED_VALUE"""),3369.0)</f>
        <v>3369</v>
      </c>
      <c r="D93" s="6">
        <f>IFERROR(__xludf.DUMMYFUNCTION("""COMPUTED_VALUE"""),3193.0)</f>
        <v>3193</v>
      </c>
      <c r="E93" s="6">
        <f>IFERROR(__xludf.DUMMYFUNCTION("""COMPUTED_VALUE"""),3329.0)</f>
        <v>3329</v>
      </c>
      <c r="F93" s="6">
        <f>IFERROR(__xludf.DUMMYFUNCTION("""COMPUTED_VALUE"""),1.1626105E7)</f>
        <v>11626105</v>
      </c>
    </row>
    <row r="94">
      <c r="A94" s="7">
        <f>IFERROR(__xludf.DUMMYFUNCTION("""COMPUTED_VALUE"""),45849.64583333333)</f>
        <v>45849.64583</v>
      </c>
      <c r="B94" s="6">
        <f>IFERROR(__xludf.DUMMYFUNCTION("""COMPUTED_VALUE"""),3320.0)</f>
        <v>3320</v>
      </c>
      <c r="C94" s="6">
        <f>IFERROR(__xludf.DUMMYFUNCTION("""COMPUTED_VALUE"""),3326.0)</f>
        <v>3326</v>
      </c>
      <c r="D94" s="6">
        <f>IFERROR(__xludf.DUMMYFUNCTION("""COMPUTED_VALUE"""),3150.0)</f>
        <v>3150</v>
      </c>
      <c r="E94" s="6">
        <f>IFERROR(__xludf.DUMMYFUNCTION("""COMPUTED_VALUE"""),3174.5)</f>
        <v>3174.5</v>
      </c>
      <c r="F94" s="6">
        <f>IFERROR(__xludf.DUMMYFUNCTION("""COMPUTED_VALUE"""),5557487.0)</f>
        <v>5557487</v>
      </c>
    </row>
    <row r="95">
      <c r="A95" s="7">
        <f>IFERROR(__xludf.DUMMYFUNCTION("""COMPUTED_VALUE"""),45856.64583333333)</f>
        <v>45856.64583</v>
      </c>
      <c r="B95" s="6">
        <f>IFERROR(__xludf.DUMMYFUNCTION("""COMPUTED_VALUE"""),3148.0)</f>
        <v>3148</v>
      </c>
      <c r="C95" s="6">
        <f>IFERROR(__xludf.DUMMYFUNCTION("""COMPUTED_VALUE"""),3149.5)</f>
        <v>3149.5</v>
      </c>
      <c r="D95" s="6">
        <f>IFERROR(__xludf.DUMMYFUNCTION("""COMPUTED_VALUE"""),2972.1)</f>
        <v>2972.1</v>
      </c>
      <c r="E95" s="6">
        <f>IFERROR(__xludf.DUMMYFUNCTION("""COMPUTED_VALUE"""),2982.0)</f>
        <v>2982</v>
      </c>
      <c r="F95" s="6">
        <f>IFERROR(__xludf.DUMMYFUNCTION("""COMPUTED_VALUE"""),5294116.0)</f>
        <v>5294116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IFERROR(__xludf.DUMMYFUNCTION("""COMPUTED_VALUE"""),2980.0)</f>
        <v>2980</v>
      </c>
      <c r="C96" s="6">
        <f>IFERROR(__xludf.DUMMYFUNCTION("""COMPUTED_VALUE"""),3020.0)</f>
        <v>3020</v>
      </c>
      <c r="D96" s="6">
        <f>IFERROR(__xludf.DUMMYFUNCTION("""COMPUTED_VALUE"""),2871.0)</f>
        <v>2871</v>
      </c>
      <c r="E96" s="6">
        <f>IFERROR(__xludf.DUMMYFUNCTION("""COMPUTED_VALUE"""),2886.6)</f>
        <v>2886.6</v>
      </c>
      <c r="F96" s="6">
        <f>IFERROR(__xludf.DUMMYFUNCTION("""COMPUTED_VALUE"""),6961231.0)</f>
        <v>6961231</v>
      </c>
    </row>
    <row r="97">
      <c r="A97" s="7">
        <f>IFERROR(__xludf.DUMMYFUNCTION("""COMPUTED_VALUE"""),45870.64583333333)</f>
        <v>45870.64583</v>
      </c>
      <c r="B97" s="6">
        <f>IFERROR(__xludf.DUMMYFUNCTION("""COMPUTED_VALUE"""),2886.0)</f>
        <v>2886</v>
      </c>
      <c r="C97" s="6">
        <f>IFERROR(__xludf.DUMMYFUNCTION("""COMPUTED_VALUE"""),2907.7)</f>
        <v>2907.7</v>
      </c>
      <c r="D97" s="6">
        <f>IFERROR(__xludf.DUMMYFUNCTION("""COMPUTED_VALUE"""),2645.0)</f>
        <v>2645</v>
      </c>
      <c r="E97" s="6">
        <f>IFERROR(__xludf.DUMMYFUNCTION("""COMPUTED_VALUE"""),2721.8)</f>
        <v>2721.8</v>
      </c>
      <c r="F97" s="6">
        <f>IFERROR(__xludf.DUMMYFUNCTION("""COMPUTED_VALUE"""),1.0951046E7)</f>
        <v>10951046</v>
      </c>
    </row>
    <row r="98">
      <c r="A98" s="7">
        <f>IFERROR(__xludf.DUMMYFUNCTION("""COMPUTED_VALUE"""),45877.64583333333)</f>
        <v>45877.64583</v>
      </c>
      <c r="B98" s="6">
        <f>IFERROR(__xludf.DUMMYFUNCTION("""COMPUTED_VALUE"""),2700.0)</f>
        <v>2700</v>
      </c>
      <c r="C98" s="6">
        <f>IFERROR(__xludf.DUMMYFUNCTION("""COMPUTED_VALUE"""),2887.9)</f>
        <v>2887.9</v>
      </c>
      <c r="D98" s="6">
        <f>IFERROR(__xludf.DUMMYFUNCTION("""COMPUTED_VALUE"""),2623.2)</f>
        <v>2623.2</v>
      </c>
      <c r="E98" s="6">
        <f>IFERROR(__xludf.DUMMYFUNCTION("""COMPUTED_VALUE"""),2636.7)</f>
        <v>2636.7</v>
      </c>
      <c r="F98" s="6">
        <f>IFERROR(__xludf.DUMMYFUNCTION("""COMPUTED_VALUE"""),8225185.0)</f>
        <v>8225185</v>
      </c>
    </row>
    <row r="99">
      <c r="A99" s="7">
        <f>IFERROR(__xludf.DUMMYFUNCTION("""COMPUTED_VALUE"""),45883.64583333333)</f>
        <v>45883.64583</v>
      </c>
      <c r="B99" s="6">
        <f>IFERROR(__xludf.DUMMYFUNCTION("""COMPUTED_VALUE"""),2636.8)</f>
        <v>2636.8</v>
      </c>
      <c r="C99" s="6">
        <f>IFERROR(__xludf.DUMMYFUNCTION("""COMPUTED_VALUE"""),2770.0)</f>
        <v>2770</v>
      </c>
      <c r="D99" s="6">
        <f>IFERROR(__xludf.DUMMYFUNCTION("""COMPUTED_VALUE"""),2624.0)</f>
        <v>2624</v>
      </c>
      <c r="E99" s="6">
        <f>IFERROR(__xludf.DUMMYFUNCTION("""COMPUTED_VALUE"""),2721.4)</f>
        <v>2721.4</v>
      </c>
      <c r="F99" s="6">
        <f>IFERROR(__xludf.DUMMYFUNCTION("""COMPUTED_VALUE"""),5158955.0)</f>
        <v>5158955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IFERROR(__xludf.DUMMYFUNCTION("""COMPUTED_VALUE"""),2771.4)</f>
        <v>2771.4</v>
      </c>
      <c r="C100" s="6">
        <f>IFERROR(__xludf.DUMMYFUNCTION("""COMPUTED_VALUE"""),2841.4)</f>
        <v>2841.4</v>
      </c>
      <c r="D100" s="6">
        <f>IFERROR(__xludf.DUMMYFUNCTION("""COMPUTED_VALUE"""),2695.5)</f>
        <v>2695.5</v>
      </c>
      <c r="E100" s="6">
        <f>IFERROR(__xludf.DUMMYFUNCTION("""COMPUTED_VALUE"""),2700.3)</f>
        <v>2700.3</v>
      </c>
      <c r="F100" s="6">
        <f>IFERROR(__xludf.DUMMYFUNCTION("""COMPUTED_VALUE"""),6271765.0)</f>
        <v>6271765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IFERROR(__xludf.DUMMYFUNCTION("""COMPUTED_VALUE"""),2798.9)</f>
        <v>2798.9</v>
      </c>
      <c r="C101" s="6">
        <f>IFERROR(__xludf.DUMMYFUNCTION("""COMPUTED_VALUE"""),2798.9)</f>
        <v>2798.9</v>
      </c>
      <c r="D101" s="6">
        <f>IFERROR(__xludf.DUMMYFUNCTION("""COMPUTED_VALUE"""),2672.0)</f>
        <v>2672</v>
      </c>
      <c r="E101" s="6">
        <f>IFERROR(__xludf.DUMMYFUNCTION("""COMPUTED_VALUE"""),2687.8)</f>
        <v>2687.8</v>
      </c>
      <c r="F101" s="6">
        <f>IFERROR(__xludf.DUMMYFUNCTION("""COMPUTED_VALUE"""),3.5688518E7)</f>
        <v>35688518</v>
      </c>
    </row>
  </sheetData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IFERROR(__xludf.DUMMYFUNCTION("GOOGLEFINANCE(""NSE:MFSL"",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IFERROR(__xludf.DUMMYFUNCTION("""COMPUTED_VALUE"""),910.35)</f>
        <v>910.35</v>
      </c>
      <c r="C2" s="6">
        <f>IFERROR(__xludf.DUMMYFUNCTION("""COMPUTED_VALUE"""),945.0)</f>
        <v>945</v>
      </c>
      <c r="D2" s="6">
        <f>IFERROR(__xludf.DUMMYFUNCTION("""COMPUTED_VALUE"""),886.7)</f>
        <v>886.7</v>
      </c>
      <c r="E2" s="6">
        <f>IFERROR(__xludf.DUMMYFUNCTION("""COMPUTED_VALUE"""),937.25)</f>
        <v>937.25</v>
      </c>
      <c r="F2" s="6">
        <f>IFERROR(__xludf.DUMMYFUNCTION("""COMPUTED_VALUE"""),5544270.0)</f>
        <v>5544270</v>
      </c>
    </row>
    <row r="3">
      <c r="A3" s="7">
        <f>IFERROR(__xludf.DUMMYFUNCTION("""COMPUTED_VALUE"""),45177.64583333333)</f>
        <v>45177.64583</v>
      </c>
      <c r="B3" s="6">
        <f>IFERROR(__xludf.DUMMYFUNCTION("""COMPUTED_VALUE"""),938.05)</f>
        <v>938.05</v>
      </c>
      <c r="C3" s="6">
        <f>IFERROR(__xludf.DUMMYFUNCTION("""COMPUTED_VALUE"""),952.2)</f>
        <v>952.2</v>
      </c>
      <c r="D3" s="6">
        <f>IFERROR(__xludf.DUMMYFUNCTION("""COMPUTED_VALUE"""),897.05)</f>
        <v>897.05</v>
      </c>
      <c r="E3" s="6">
        <f>IFERROR(__xludf.DUMMYFUNCTION("""COMPUTED_VALUE"""),935.5)</f>
        <v>935.5</v>
      </c>
      <c r="F3" s="6">
        <f>IFERROR(__xludf.DUMMYFUNCTION("""COMPUTED_VALUE"""),5050628.0)</f>
        <v>5050628</v>
      </c>
    </row>
    <row r="4">
      <c r="A4" s="7">
        <f>IFERROR(__xludf.DUMMYFUNCTION("""COMPUTED_VALUE"""),45184.64583333333)</f>
        <v>45184.64583</v>
      </c>
      <c r="B4" s="6">
        <f>IFERROR(__xludf.DUMMYFUNCTION("""COMPUTED_VALUE"""),941.9)</f>
        <v>941.9</v>
      </c>
      <c r="C4" s="6">
        <f>IFERROR(__xludf.DUMMYFUNCTION("""COMPUTED_VALUE"""),961.0)</f>
        <v>961</v>
      </c>
      <c r="D4" s="6">
        <f>IFERROR(__xludf.DUMMYFUNCTION("""COMPUTED_VALUE"""),912.3)</f>
        <v>912.3</v>
      </c>
      <c r="E4" s="6">
        <f>IFERROR(__xludf.DUMMYFUNCTION("""COMPUTED_VALUE"""),935.25)</f>
        <v>935.25</v>
      </c>
      <c r="F4" s="6">
        <f>IFERROR(__xludf.DUMMYFUNCTION("""COMPUTED_VALUE"""),3452381.0)</f>
        <v>3452381</v>
      </c>
    </row>
    <row r="5">
      <c r="A5" s="7">
        <f>IFERROR(__xludf.DUMMYFUNCTION("""COMPUTED_VALUE"""),45191.64583333333)</f>
        <v>45191.64583</v>
      </c>
      <c r="B5" s="6">
        <f>IFERROR(__xludf.DUMMYFUNCTION("""COMPUTED_VALUE"""),935.95)</f>
        <v>935.95</v>
      </c>
      <c r="C5" s="6">
        <f>IFERROR(__xludf.DUMMYFUNCTION("""COMPUTED_VALUE"""),947.9)</f>
        <v>947.9</v>
      </c>
      <c r="D5" s="6">
        <f>IFERROR(__xludf.DUMMYFUNCTION("""COMPUTED_VALUE"""),910.25)</f>
        <v>910.25</v>
      </c>
      <c r="E5" s="6">
        <f>IFERROR(__xludf.DUMMYFUNCTION("""COMPUTED_VALUE"""),918.3)</f>
        <v>918.3</v>
      </c>
      <c r="F5" s="6">
        <f>IFERROR(__xludf.DUMMYFUNCTION("""COMPUTED_VALUE"""),1846008.0)</f>
        <v>1846008</v>
      </c>
    </row>
    <row r="6">
      <c r="A6" s="7">
        <f>IFERROR(__xludf.DUMMYFUNCTION("""COMPUTED_VALUE"""),45198.64583333333)</f>
        <v>45198.64583</v>
      </c>
      <c r="B6" s="6">
        <f>IFERROR(__xludf.DUMMYFUNCTION("""COMPUTED_VALUE"""),915.0)</f>
        <v>915</v>
      </c>
      <c r="C6" s="6">
        <f>IFERROR(__xludf.DUMMYFUNCTION("""COMPUTED_VALUE"""),927.5)</f>
        <v>927.5</v>
      </c>
      <c r="D6" s="6">
        <f>IFERROR(__xludf.DUMMYFUNCTION("""COMPUTED_VALUE"""),900.0)</f>
        <v>900</v>
      </c>
      <c r="E6" s="6">
        <f>IFERROR(__xludf.DUMMYFUNCTION("""COMPUTED_VALUE"""),909.75)</f>
        <v>909.75</v>
      </c>
      <c r="F6" s="6">
        <f>IFERROR(__xludf.DUMMYFUNCTION("""COMPUTED_VALUE"""),3296367.0)</f>
        <v>3296367</v>
      </c>
    </row>
    <row r="7">
      <c r="A7" s="7">
        <f>IFERROR(__xludf.DUMMYFUNCTION("""COMPUTED_VALUE"""),45205.64583333333)</f>
        <v>45205.64583</v>
      </c>
      <c r="B7" s="6">
        <f>IFERROR(__xludf.DUMMYFUNCTION("""COMPUTED_VALUE"""),909.75)</f>
        <v>909.75</v>
      </c>
      <c r="C7" s="6">
        <f>IFERROR(__xludf.DUMMYFUNCTION("""COMPUTED_VALUE"""),923.95)</f>
        <v>923.95</v>
      </c>
      <c r="D7" s="6">
        <f>IFERROR(__xludf.DUMMYFUNCTION("""COMPUTED_VALUE"""),872.95)</f>
        <v>872.95</v>
      </c>
      <c r="E7" s="6">
        <f>IFERROR(__xludf.DUMMYFUNCTION("""COMPUTED_VALUE"""),917.65)</f>
        <v>917.65</v>
      </c>
      <c r="F7" s="6">
        <f>IFERROR(__xludf.DUMMYFUNCTION("""COMPUTED_VALUE"""),2898007.0)</f>
        <v>2898007</v>
      </c>
    </row>
    <row r="8">
      <c r="A8" s="7">
        <f>IFERROR(__xludf.DUMMYFUNCTION("""COMPUTED_VALUE"""),45212.64583333333)</f>
        <v>45212.64583</v>
      </c>
      <c r="B8" s="6">
        <f>IFERROR(__xludf.DUMMYFUNCTION("""COMPUTED_VALUE"""),909.3)</f>
        <v>909.3</v>
      </c>
      <c r="C8" s="6">
        <f>IFERROR(__xludf.DUMMYFUNCTION("""COMPUTED_VALUE"""),928.35)</f>
        <v>928.35</v>
      </c>
      <c r="D8" s="6">
        <f>IFERROR(__xludf.DUMMYFUNCTION("""COMPUTED_VALUE"""),887.4)</f>
        <v>887.4</v>
      </c>
      <c r="E8" s="6">
        <f>IFERROR(__xludf.DUMMYFUNCTION("""COMPUTED_VALUE"""),915.9)</f>
        <v>915.9</v>
      </c>
      <c r="F8" s="6">
        <f>IFERROR(__xludf.DUMMYFUNCTION("""COMPUTED_VALUE"""),4299016.0)</f>
        <v>4299016</v>
      </c>
    </row>
    <row r="9">
      <c r="A9" s="7">
        <f>IFERROR(__xludf.DUMMYFUNCTION("""COMPUTED_VALUE"""),45219.64583333333)</f>
        <v>45219.64583</v>
      </c>
      <c r="B9" s="6">
        <f>IFERROR(__xludf.DUMMYFUNCTION("""COMPUTED_VALUE"""),915.9)</f>
        <v>915.9</v>
      </c>
      <c r="C9" s="6">
        <f>IFERROR(__xludf.DUMMYFUNCTION("""COMPUTED_VALUE"""),947.55)</f>
        <v>947.55</v>
      </c>
      <c r="D9" s="6">
        <f>IFERROR(__xludf.DUMMYFUNCTION("""COMPUTED_VALUE"""),908.0)</f>
        <v>908</v>
      </c>
      <c r="E9" s="6">
        <f>IFERROR(__xludf.DUMMYFUNCTION("""COMPUTED_VALUE"""),927.4)</f>
        <v>927.4</v>
      </c>
      <c r="F9" s="6">
        <f>IFERROR(__xludf.DUMMYFUNCTION("""COMPUTED_VALUE"""),4279894.0)</f>
        <v>4279894</v>
      </c>
    </row>
    <row r="10">
      <c r="A10" s="7">
        <f>IFERROR(__xludf.DUMMYFUNCTION("""COMPUTED_VALUE"""),45226.64583333333)</f>
        <v>45226.64583</v>
      </c>
      <c r="B10" s="6">
        <f>IFERROR(__xludf.DUMMYFUNCTION("""COMPUTED_VALUE"""),927.5)</f>
        <v>927.5</v>
      </c>
      <c r="C10" s="6">
        <f>IFERROR(__xludf.DUMMYFUNCTION("""COMPUTED_VALUE"""),927.55)</f>
        <v>927.55</v>
      </c>
      <c r="D10" s="6">
        <f>IFERROR(__xludf.DUMMYFUNCTION("""COMPUTED_VALUE"""),862.95)</f>
        <v>862.95</v>
      </c>
      <c r="E10" s="6">
        <f>IFERROR(__xludf.DUMMYFUNCTION("""COMPUTED_VALUE"""),905.0)</f>
        <v>905</v>
      </c>
      <c r="F10" s="6">
        <f>IFERROR(__xludf.DUMMYFUNCTION("""COMPUTED_VALUE"""),2554278.0)</f>
        <v>2554278</v>
      </c>
    </row>
    <row r="11">
      <c r="A11" s="7">
        <f>IFERROR(__xludf.DUMMYFUNCTION("""COMPUTED_VALUE"""),45233.64583333333)</f>
        <v>45233.64583</v>
      </c>
      <c r="B11" s="6">
        <f>IFERROR(__xludf.DUMMYFUNCTION("""COMPUTED_VALUE"""),909.5)</f>
        <v>909.5</v>
      </c>
      <c r="C11" s="6">
        <f>IFERROR(__xludf.DUMMYFUNCTION("""COMPUTED_VALUE"""),933.4)</f>
        <v>933.4</v>
      </c>
      <c r="D11" s="6">
        <f>IFERROR(__xludf.DUMMYFUNCTION("""COMPUTED_VALUE"""),869.05)</f>
        <v>869.05</v>
      </c>
      <c r="E11" s="6">
        <f>IFERROR(__xludf.DUMMYFUNCTION("""COMPUTED_VALUE"""),890.6)</f>
        <v>890.6</v>
      </c>
      <c r="F11" s="6">
        <f>IFERROR(__xludf.DUMMYFUNCTION("""COMPUTED_VALUE"""),6127661.0)</f>
        <v>6127661</v>
      </c>
    </row>
    <row r="12">
      <c r="A12" s="7">
        <f>IFERROR(__xludf.DUMMYFUNCTION("""COMPUTED_VALUE"""),45240.64583333333)</f>
        <v>45240.64583</v>
      </c>
      <c r="B12" s="6">
        <f>IFERROR(__xludf.DUMMYFUNCTION("""COMPUTED_VALUE"""),895.3)</f>
        <v>895.3</v>
      </c>
      <c r="C12" s="6">
        <f>IFERROR(__xludf.DUMMYFUNCTION("""COMPUTED_VALUE"""),940.65)</f>
        <v>940.65</v>
      </c>
      <c r="D12" s="6">
        <f>IFERROR(__xludf.DUMMYFUNCTION("""COMPUTED_VALUE"""),891.1)</f>
        <v>891.1</v>
      </c>
      <c r="E12" s="6">
        <f>IFERROR(__xludf.DUMMYFUNCTION("""COMPUTED_VALUE"""),936.9)</f>
        <v>936.9</v>
      </c>
      <c r="F12" s="6">
        <f>IFERROR(__xludf.DUMMYFUNCTION("""COMPUTED_VALUE"""),2914165.0)</f>
        <v>2914165</v>
      </c>
    </row>
    <row r="13">
      <c r="A13" s="7">
        <f>IFERROR(__xludf.DUMMYFUNCTION("""COMPUTED_VALUE"""),45247.64583333333)</f>
        <v>45247.64583</v>
      </c>
      <c r="B13" s="6">
        <f>IFERROR(__xludf.DUMMYFUNCTION("""COMPUTED_VALUE"""),940.0)</f>
        <v>940</v>
      </c>
      <c r="C13" s="6">
        <f>IFERROR(__xludf.DUMMYFUNCTION("""COMPUTED_VALUE"""),969.25)</f>
        <v>969.25</v>
      </c>
      <c r="D13" s="6">
        <f>IFERROR(__xludf.DUMMYFUNCTION("""COMPUTED_VALUE"""),910.4)</f>
        <v>910.4</v>
      </c>
      <c r="E13" s="6">
        <f>IFERROR(__xludf.DUMMYFUNCTION("""COMPUTED_VALUE"""),951.85)</f>
        <v>951.85</v>
      </c>
      <c r="F13" s="6">
        <f>IFERROR(__xludf.DUMMYFUNCTION("""COMPUTED_VALUE"""),4156674.0)</f>
        <v>4156674</v>
      </c>
    </row>
    <row r="14">
      <c r="A14" s="7">
        <f>IFERROR(__xludf.DUMMYFUNCTION("""COMPUTED_VALUE"""),45254.64583333333)</f>
        <v>45254.64583</v>
      </c>
      <c r="B14" s="6">
        <f>IFERROR(__xludf.DUMMYFUNCTION("""COMPUTED_VALUE"""),950.0)</f>
        <v>950</v>
      </c>
      <c r="C14" s="6">
        <f>IFERROR(__xludf.DUMMYFUNCTION("""COMPUTED_VALUE"""),989.15)</f>
        <v>989.15</v>
      </c>
      <c r="D14" s="6">
        <f>IFERROR(__xludf.DUMMYFUNCTION("""COMPUTED_VALUE"""),938.25)</f>
        <v>938.25</v>
      </c>
      <c r="E14" s="6">
        <f>IFERROR(__xludf.DUMMYFUNCTION("""COMPUTED_VALUE"""),969.35)</f>
        <v>969.35</v>
      </c>
      <c r="F14" s="6">
        <f>IFERROR(__xludf.DUMMYFUNCTION("""COMPUTED_VALUE"""),4384608.0)</f>
        <v>4384608</v>
      </c>
    </row>
    <row r="15">
      <c r="A15" s="7">
        <f>IFERROR(__xludf.DUMMYFUNCTION("""COMPUTED_VALUE"""),45261.64583333333)</f>
        <v>45261.64583</v>
      </c>
      <c r="B15" s="6">
        <f>IFERROR(__xludf.DUMMYFUNCTION("""COMPUTED_VALUE"""),974.65)</f>
        <v>974.65</v>
      </c>
      <c r="C15" s="6">
        <f>IFERROR(__xludf.DUMMYFUNCTION("""COMPUTED_VALUE"""),1025.25)</f>
        <v>1025.25</v>
      </c>
      <c r="D15" s="6">
        <f>IFERROR(__xludf.DUMMYFUNCTION("""COMPUTED_VALUE"""),969.35)</f>
        <v>969.35</v>
      </c>
      <c r="E15" s="6">
        <f>IFERROR(__xludf.DUMMYFUNCTION("""COMPUTED_VALUE"""),1020.3)</f>
        <v>1020.3</v>
      </c>
      <c r="F15" s="6">
        <f>IFERROR(__xludf.DUMMYFUNCTION("""COMPUTED_VALUE"""),4633275.0)</f>
        <v>4633275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IFERROR(__xludf.DUMMYFUNCTION("""COMPUTED_VALUE"""),1030.0)</f>
        <v>1030</v>
      </c>
      <c r="C16" s="6">
        <f>IFERROR(__xludf.DUMMYFUNCTION("""COMPUTED_VALUE"""),1044.0)</f>
        <v>1044</v>
      </c>
      <c r="D16" s="6">
        <f>IFERROR(__xludf.DUMMYFUNCTION("""COMPUTED_VALUE"""),1004.0)</f>
        <v>1004</v>
      </c>
      <c r="E16" s="6">
        <f>IFERROR(__xludf.DUMMYFUNCTION("""COMPUTED_VALUE"""),1035.8)</f>
        <v>1035.8</v>
      </c>
      <c r="F16" s="6">
        <f>IFERROR(__xludf.DUMMYFUNCTION("""COMPUTED_VALUE"""),3158966.0)</f>
        <v>3158966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IFERROR(__xludf.DUMMYFUNCTION("""COMPUTED_VALUE"""),1035.0)</f>
        <v>1035</v>
      </c>
      <c r="C17" s="6">
        <f>IFERROR(__xludf.DUMMYFUNCTION("""COMPUTED_VALUE"""),1067.5)</f>
        <v>1067.5</v>
      </c>
      <c r="D17" s="6">
        <f>IFERROR(__xludf.DUMMYFUNCTION("""COMPUTED_VALUE"""),968.75)</f>
        <v>968.75</v>
      </c>
      <c r="E17" s="6">
        <f>IFERROR(__xludf.DUMMYFUNCTION("""COMPUTED_VALUE"""),973.9)</f>
        <v>973.9</v>
      </c>
      <c r="F17" s="6">
        <f>IFERROR(__xludf.DUMMYFUNCTION("""COMPUTED_VALUE"""),5980630.0)</f>
        <v>5980630</v>
      </c>
    </row>
    <row r="18">
      <c r="A18" s="7">
        <f>IFERROR(__xludf.DUMMYFUNCTION("""COMPUTED_VALUE"""),45282.64583333333)</f>
        <v>45282.64583</v>
      </c>
      <c r="B18" s="6">
        <f>IFERROR(__xludf.DUMMYFUNCTION("""COMPUTED_VALUE"""),973.9)</f>
        <v>973.9</v>
      </c>
      <c r="C18" s="6">
        <f>IFERROR(__xludf.DUMMYFUNCTION("""COMPUTED_VALUE"""),981.5)</f>
        <v>981.5</v>
      </c>
      <c r="D18" s="6">
        <f>IFERROR(__xludf.DUMMYFUNCTION("""COMPUTED_VALUE"""),921.4)</f>
        <v>921.4</v>
      </c>
      <c r="E18" s="6">
        <f>IFERROR(__xludf.DUMMYFUNCTION("""COMPUTED_VALUE"""),939.35)</f>
        <v>939.35</v>
      </c>
      <c r="F18" s="6">
        <f>IFERROR(__xludf.DUMMYFUNCTION("""COMPUTED_VALUE"""),1844716.0)</f>
        <v>1844716</v>
      </c>
    </row>
    <row r="19">
      <c r="A19" s="7">
        <f>IFERROR(__xludf.DUMMYFUNCTION("""COMPUTED_VALUE"""),45289.64583333333)</f>
        <v>45289.64583</v>
      </c>
      <c r="B19" s="6">
        <f>IFERROR(__xludf.DUMMYFUNCTION("""COMPUTED_VALUE"""),938.0)</f>
        <v>938</v>
      </c>
      <c r="C19" s="6">
        <f>IFERROR(__xludf.DUMMYFUNCTION("""COMPUTED_VALUE"""),965.45)</f>
        <v>965.45</v>
      </c>
      <c r="D19" s="6">
        <f>IFERROR(__xludf.DUMMYFUNCTION("""COMPUTED_VALUE"""),924.05)</f>
        <v>924.05</v>
      </c>
      <c r="E19" s="6">
        <f>IFERROR(__xludf.DUMMYFUNCTION("""COMPUTED_VALUE"""),954.3)</f>
        <v>954.3</v>
      </c>
      <c r="F19" s="6">
        <f>IFERROR(__xludf.DUMMYFUNCTION("""COMPUTED_VALUE"""),2151192.0)</f>
        <v>2151192</v>
      </c>
    </row>
    <row r="20">
      <c r="A20" s="7">
        <f>IFERROR(__xludf.DUMMYFUNCTION("""COMPUTED_VALUE"""),45296.64583333333)</f>
        <v>45296.64583</v>
      </c>
      <c r="B20" s="6">
        <f>IFERROR(__xludf.DUMMYFUNCTION("""COMPUTED_VALUE"""),957.2)</f>
        <v>957.2</v>
      </c>
      <c r="C20" s="6">
        <f>IFERROR(__xludf.DUMMYFUNCTION("""COMPUTED_VALUE"""),963.4)</f>
        <v>963.4</v>
      </c>
      <c r="D20" s="6">
        <f>IFERROR(__xludf.DUMMYFUNCTION("""COMPUTED_VALUE"""),926.05)</f>
        <v>926.05</v>
      </c>
      <c r="E20" s="6">
        <f>IFERROR(__xludf.DUMMYFUNCTION("""COMPUTED_VALUE"""),948.15)</f>
        <v>948.15</v>
      </c>
      <c r="F20" s="6">
        <f>IFERROR(__xludf.DUMMYFUNCTION("""COMPUTED_VALUE"""),3032580.0)</f>
        <v>3032580</v>
      </c>
    </row>
    <row r="21">
      <c r="A21" s="7">
        <f>IFERROR(__xludf.DUMMYFUNCTION("""COMPUTED_VALUE"""),45303.64583333333)</f>
        <v>45303.64583</v>
      </c>
      <c r="B21" s="6">
        <f>IFERROR(__xludf.DUMMYFUNCTION("""COMPUTED_VALUE"""),949.8)</f>
        <v>949.8</v>
      </c>
      <c r="C21" s="6">
        <f>IFERROR(__xludf.DUMMYFUNCTION("""COMPUTED_VALUE"""),955.0)</f>
        <v>955</v>
      </c>
      <c r="D21" s="6">
        <f>IFERROR(__xludf.DUMMYFUNCTION("""COMPUTED_VALUE"""),908.5)</f>
        <v>908.5</v>
      </c>
      <c r="E21" s="6">
        <f>IFERROR(__xludf.DUMMYFUNCTION("""COMPUTED_VALUE"""),937.7)</f>
        <v>937.7</v>
      </c>
      <c r="F21" s="6">
        <f>IFERROR(__xludf.DUMMYFUNCTION("""COMPUTED_VALUE"""),4697573.0)</f>
        <v>4697573</v>
      </c>
    </row>
    <row r="22">
      <c r="A22" s="7">
        <f>IFERROR(__xludf.DUMMYFUNCTION("""COMPUTED_VALUE"""),45316.64583333333)</f>
        <v>45316.64583</v>
      </c>
      <c r="B22" s="6">
        <f>IFERROR(__xludf.DUMMYFUNCTION("""COMPUTED_VALUE"""),890.0)</f>
        <v>890</v>
      </c>
      <c r="C22" s="6">
        <f>IFERROR(__xludf.DUMMYFUNCTION("""COMPUTED_VALUE"""),896.65)</f>
        <v>896.65</v>
      </c>
      <c r="D22" s="6">
        <f>IFERROR(__xludf.DUMMYFUNCTION("""COMPUTED_VALUE"""),862.25)</f>
        <v>862.25</v>
      </c>
      <c r="E22" s="6">
        <f>IFERROR(__xludf.DUMMYFUNCTION("""COMPUTED_VALUE"""),878.2)</f>
        <v>878.2</v>
      </c>
      <c r="F22" s="6">
        <f>IFERROR(__xludf.DUMMYFUNCTION("""COMPUTED_VALUE"""),2171318.0)</f>
        <v>2171318</v>
      </c>
    </row>
    <row r="23">
      <c r="A23" s="7">
        <f>IFERROR(__xludf.DUMMYFUNCTION("""COMPUTED_VALUE"""),45324.64583333333)</f>
        <v>45324.64583</v>
      </c>
      <c r="B23" s="6">
        <f>IFERROR(__xludf.DUMMYFUNCTION("""COMPUTED_VALUE"""),879.95)</f>
        <v>879.95</v>
      </c>
      <c r="C23" s="6">
        <f>IFERROR(__xludf.DUMMYFUNCTION("""COMPUTED_VALUE"""),907.85)</f>
        <v>907.85</v>
      </c>
      <c r="D23" s="6">
        <f>IFERROR(__xludf.DUMMYFUNCTION("""COMPUTED_VALUE"""),854.25)</f>
        <v>854.25</v>
      </c>
      <c r="E23" s="6">
        <f>IFERROR(__xludf.DUMMYFUNCTION("""COMPUTED_VALUE"""),887.55)</f>
        <v>887.55</v>
      </c>
      <c r="F23" s="6">
        <f>IFERROR(__xludf.DUMMYFUNCTION("""COMPUTED_VALUE"""),6636712.0)</f>
        <v>6636712</v>
      </c>
    </row>
    <row r="24">
      <c r="A24" s="7">
        <f>IFERROR(__xludf.DUMMYFUNCTION("""COMPUTED_VALUE"""),45331.64583333333)</f>
        <v>45331.64583</v>
      </c>
      <c r="B24" s="6">
        <f>IFERROR(__xludf.DUMMYFUNCTION("""COMPUTED_VALUE"""),888.0)</f>
        <v>888</v>
      </c>
      <c r="C24" s="6">
        <f>IFERROR(__xludf.DUMMYFUNCTION("""COMPUTED_VALUE"""),1005.9)</f>
        <v>1005.9</v>
      </c>
      <c r="D24" s="6">
        <f>IFERROR(__xludf.DUMMYFUNCTION("""COMPUTED_VALUE"""),861.75)</f>
        <v>861.75</v>
      </c>
      <c r="E24" s="6">
        <f>IFERROR(__xludf.DUMMYFUNCTION("""COMPUTED_VALUE"""),987.35)</f>
        <v>987.35</v>
      </c>
      <c r="F24" s="6">
        <f>IFERROR(__xludf.DUMMYFUNCTION("""COMPUTED_VALUE"""),1.3755336E7)</f>
        <v>13755336</v>
      </c>
    </row>
    <row r="25">
      <c r="A25" s="7">
        <f>IFERROR(__xludf.DUMMYFUNCTION("""COMPUTED_VALUE"""),45338.64583333333)</f>
        <v>45338.64583</v>
      </c>
      <c r="B25" s="6">
        <f>IFERROR(__xludf.DUMMYFUNCTION("""COMPUTED_VALUE"""),985.5)</f>
        <v>985.5</v>
      </c>
      <c r="C25" s="6">
        <f>IFERROR(__xludf.DUMMYFUNCTION("""COMPUTED_VALUE"""),989.2)</f>
        <v>989.2</v>
      </c>
      <c r="D25" s="6">
        <f>IFERROR(__xludf.DUMMYFUNCTION("""COMPUTED_VALUE"""),938.7)</f>
        <v>938.7</v>
      </c>
      <c r="E25" s="6">
        <f>IFERROR(__xludf.DUMMYFUNCTION("""COMPUTED_VALUE"""),972.05)</f>
        <v>972.05</v>
      </c>
      <c r="F25" s="6">
        <f>IFERROR(__xludf.DUMMYFUNCTION("""COMPUTED_VALUE"""),5134086.0)</f>
        <v>5134086</v>
      </c>
    </row>
    <row r="26">
      <c r="A26" s="7">
        <f>IFERROR(__xludf.DUMMYFUNCTION("""COMPUTED_VALUE"""),45345.64583333333)</f>
        <v>45345.64583</v>
      </c>
      <c r="B26" s="6">
        <f>IFERROR(__xludf.DUMMYFUNCTION("""COMPUTED_VALUE"""),977.2)</f>
        <v>977.2</v>
      </c>
      <c r="C26" s="6">
        <f>IFERROR(__xludf.DUMMYFUNCTION("""COMPUTED_VALUE"""),984.95)</f>
        <v>984.95</v>
      </c>
      <c r="D26" s="6">
        <f>IFERROR(__xludf.DUMMYFUNCTION("""COMPUTED_VALUE"""),920.7)</f>
        <v>920.7</v>
      </c>
      <c r="E26" s="6">
        <f>IFERROR(__xludf.DUMMYFUNCTION("""COMPUTED_VALUE"""),930.2)</f>
        <v>930.2</v>
      </c>
      <c r="F26" s="6">
        <f>IFERROR(__xludf.DUMMYFUNCTION("""COMPUTED_VALUE"""),2991949.0)</f>
        <v>2991949</v>
      </c>
    </row>
    <row r="27">
      <c r="A27" s="7">
        <f>IFERROR(__xludf.DUMMYFUNCTION("""COMPUTED_VALUE"""),45358.64583333333)</f>
        <v>45358.64583</v>
      </c>
      <c r="B27" s="6">
        <f>IFERROR(__xludf.DUMMYFUNCTION("""COMPUTED_VALUE"""),973.2)</f>
        <v>973.2</v>
      </c>
      <c r="C27" s="6">
        <f>IFERROR(__xludf.DUMMYFUNCTION("""COMPUTED_VALUE"""),1005.1)</f>
        <v>1005.1</v>
      </c>
      <c r="D27" s="6">
        <f>IFERROR(__xludf.DUMMYFUNCTION("""COMPUTED_VALUE"""),959.25)</f>
        <v>959.25</v>
      </c>
      <c r="E27" s="6">
        <f>IFERROR(__xludf.DUMMYFUNCTION("""COMPUTED_VALUE"""),978.4)</f>
        <v>978.4</v>
      </c>
      <c r="F27" s="6">
        <f>IFERROR(__xludf.DUMMYFUNCTION("""COMPUTED_VALUE"""),3219447.0)</f>
        <v>3219447</v>
      </c>
    </row>
    <row r="28">
      <c r="A28" s="7">
        <f>IFERROR(__xludf.DUMMYFUNCTION("""COMPUTED_VALUE"""),45366.64583333333)</f>
        <v>45366.64583</v>
      </c>
      <c r="B28" s="6">
        <f>IFERROR(__xludf.DUMMYFUNCTION("""COMPUTED_VALUE"""),995.0)</f>
        <v>995</v>
      </c>
      <c r="C28" s="6">
        <f>IFERROR(__xludf.DUMMYFUNCTION("""COMPUTED_VALUE"""),1010.0)</f>
        <v>1010</v>
      </c>
      <c r="D28" s="6">
        <f>IFERROR(__xludf.DUMMYFUNCTION("""COMPUTED_VALUE"""),930.85)</f>
        <v>930.85</v>
      </c>
      <c r="E28" s="6">
        <f>IFERROR(__xludf.DUMMYFUNCTION("""COMPUTED_VALUE"""),962.75)</f>
        <v>962.75</v>
      </c>
      <c r="F28" s="6">
        <f>IFERROR(__xludf.DUMMYFUNCTION("""COMPUTED_VALUE"""),6747204.0)</f>
        <v>6747204</v>
      </c>
    </row>
    <row r="29">
      <c r="A29" s="7">
        <f>IFERROR(__xludf.DUMMYFUNCTION("""COMPUTED_VALUE"""),45373.64583333333)</f>
        <v>45373.64583</v>
      </c>
      <c r="B29" s="6">
        <f>IFERROR(__xludf.DUMMYFUNCTION("""COMPUTED_VALUE"""),961.0)</f>
        <v>961</v>
      </c>
      <c r="C29" s="6">
        <f>IFERROR(__xludf.DUMMYFUNCTION("""COMPUTED_VALUE"""),971.95)</f>
        <v>971.95</v>
      </c>
      <c r="D29" s="6">
        <f>IFERROR(__xludf.DUMMYFUNCTION("""COMPUTED_VALUE"""),932.0)</f>
        <v>932</v>
      </c>
      <c r="E29" s="6">
        <f>IFERROR(__xludf.DUMMYFUNCTION("""COMPUTED_VALUE"""),944.05)</f>
        <v>944.05</v>
      </c>
      <c r="F29" s="6">
        <f>IFERROR(__xludf.DUMMYFUNCTION("""COMPUTED_VALUE"""),4851302.0)</f>
        <v>4851302</v>
      </c>
    </row>
    <row r="30">
      <c r="A30" s="7">
        <f>IFERROR(__xludf.DUMMYFUNCTION("""COMPUTED_VALUE"""),45379.64583333333)</f>
        <v>45379.64583</v>
      </c>
      <c r="B30" s="6">
        <f>IFERROR(__xludf.DUMMYFUNCTION("""COMPUTED_VALUE"""),985.0)</f>
        <v>985</v>
      </c>
      <c r="C30" s="6">
        <f>IFERROR(__xludf.DUMMYFUNCTION("""COMPUTED_VALUE"""),1027.4)</f>
        <v>1027.4</v>
      </c>
      <c r="D30" s="6">
        <f>IFERROR(__xludf.DUMMYFUNCTION("""COMPUTED_VALUE"""),974.05)</f>
        <v>974.05</v>
      </c>
      <c r="E30" s="6">
        <f>IFERROR(__xludf.DUMMYFUNCTION("""COMPUTED_VALUE"""),1002.2)</f>
        <v>1002.2</v>
      </c>
      <c r="F30" s="6">
        <f>IFERROR(__xludf.DUMMYFUNCTION("""COMPUTED_VALUE"""),8215554.0)</f>
        <v>8215554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IFERROR(__xludf.DUMMYFUNCTION("""COMPUTED_VALUE"""),1007.45)</f>
        <v>1007.45</v>
      </c>
      <c r="C31" s="6">
        <f>IFERROR(__xludf.DUMMYFUNCTION("""COMPUTED_VALUE"""),1039.65)</f>
        <v>1039.65</v>
      </c>
      <c r="D31" s="6">
        <f>IFERROR(__xludf.DUMMYFUNCTION("""COMPUTED_VALUE"""),992.0)</f>
        <v>992</v>
      </c>
      <c r="E31" s="6">
        <f>IFERROR(__xludf.DUMMYFUNCTION("""COMPUTED_VALUE"""),1014.6)</f>
        <v>1014.6</v>
      </c>
      <c r="F31" s="6">
        <f>IFERROR(__xludf.DUMMYFUNCTION("""COMPUTED_VALUE"""),3294988.0)</f>
        <v>3294988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IFERROR(__xludf.DUMMYFUNCTION("""COMPUTED_VALUE"""),1020.0)</f>
        <v>1020</v>
      </c>
      <c r="C32" s="6">
        <f>IFERROR(__xludf.DUMMYFUNCTION("""COMPUTED_VALUE"""),1056.2)</f>
        <v>1056.2</v>
      </c>
      <c r="D32" s="6">
        <f>IFERROR(__xludf.DUMMYFUNCTION("""COMPUTED_VALUE"""),1005.0)</f>
        <v>1005</v>
      </c>
      <c r="E32" s="6">
        <f>IFERROR(__xludf.DUMMYFUNCTION("""COMPUTED_VALUE"""),1034.25)</f>
        <v>1034.25</v>
      </c>
      <c r="F32" s="6">
        <f>IFERROR(__xludf.DUMMYFUNCTION("""COMPUTED_VALUE"""),2075275.0)</f>
        <v>2075275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IFERROR(__xludf.DUMMYFUNCTION("""COMPUTED_VALUE"""),1027.35)</f>
        <v>1027.35</v>
      </c>
      <c r="C33" s="6">
        <f>IFERROR(__xludf.DUMMYFUNCTION("""COMPUTED_VALUE"""),1035.0)</f>
        <v>1035</v>
      </c>
      <c r="D33" s="6">
        <f>IFERROR(__xludf.DUMMYFUNCTION("""COMPUTED_VALUE"""),988.3)</f>
        <v>988.3</v>
      </c>
      <c r="E33" s="6">
        <f>IFERROR(__xludf.DUMMYFUNCTION("""COMPUTED_VALUE"""),1021.6)</f>
        <v>1021.6</v>
      </c>
      <c r="F33" s="6">
        <f>IFERROR(__xludf.DUMMYFUNCTION("""COMPUTED_VALUE"""),3354846.0)</f>
        <v>3354846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IFERROR(__xludf.DUMMYFUNCTION("""COMPUTED_VALUE"""),1032.0)</f>
        <v>1032</v>
      </c>
      <c r="C34" s="6">
        <f>IFERROR(__xludf.DUMMYFUNCTION("""COMPUTED_VALUE"""),1092.0)</f>
        <v>1092</v>
      </c>
      <c r="D34" s="6">
        <f>IFERROR(__xludf.DUMMYFUNCTION("""COMPUTED_VALUE"""),995.15)</f>
        <v>995.15</v>
      </c>
      <c r="E34" s="6">
        <f>IFERROR(__xludf.DUMMYFUNCTION("""COMPUTED_VALUE"""),998.85)</f>
        <v>998.85</v>
      </c>
      <c r="F34" s="6">
        <f>IFERROR(__xludf.DUMMYFUNCTION("""COMPUTED_VALUE"""),1.0727683E7)</f>
        <v>10727683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IFERROR(__xludf.DUMMYFUNCTION("""COMPUTED_VALUE"""),1002.3)</f>
        <v>1002.3</v>
      </c>
      <c r="C35" s="6">
        <f>IFERROR(__xludf.DUMMYFUNCTION("""COMPUTED_VALUE"""),1038.35)</f>
        <v>1038.35</v>
      </c>
      <c r="D35" s="6">
        <f>IFERROR(__xludf.DUMMYFUNCTION("""COMPUTED_VALUE"""),969.05)</f>
        <v>969.05</v>
      </c>
      <c r="E35" s="6">
        <f>IFERROR(__xludf.DUMMYFUNCTION("""COMPUTED_VALUE"""),1001.65)</f>
        <v>1001.65</v>
      </c>
      <c r="F35" s="6">
        <f>IFERROR(__xludf.DUMMYFUNCTION("""COMPUTED_VALUE"""),5420599.0)</f>
        <v>5420599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IFERROR(__xludf.DUMMYFUNCTION("""COMPUTED_VALUE"""),1011.7)</f>
        <v>1011.7</v>
      </c>
      <c r="C36" s="6">
        <f>IFERROR(__xludf.DUMMYFUNCTION("""COMPUTED_VALUE"""),1011.7)</f>
        <v>1011.7</v>
      </c>
      <c r="D36" s="6">
        <f>IFERROR(__xludf.DUMMYFUNCTION("""COMPUTED_VALUE"""),952.35)</f>
        <v>952.35</v>
      </c>
      <c r="E36" s="6">
        <f>IFERROR(__xludf.DUMMYFUNCTION("""COMPUTED_VALUE"""),976.1)</f>
        <v>976.1</v>
      </c>
      <c r="F36" s="6">
        <f>IFERROR(__xludf.DUMMYFUNCTION("""COMPUTED_VALUE"""),7140675.0)</f>
        <v>7140675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IFERROR(__xludf.DUMMYFUNCTION("""COMPUTED_VALUE"""),1028.0)</f>
        <v>1028</v>
      </c>
      <c r="C37" s="6">
        <f>IFERROR(__xludf.DUMMYFUNCTION("""COMPUTED_VALUE"""),1028.0)</f>
        <v>1028</v>
      </c>
      <c r="D37" s="6">
        <f>IFERROR(__xludf.DUMMYFUNCTION("""COMPUTED_VALUE"""),947.95)</f>
        <v>947.95</v>
      </c>
      <c r="E37" s="6">
        <f>IFERROR(__xludf.DUMMYFUNCTION("""COMPUTED_VALUE"""),963.65)</f>
        <v>963.65</v>
      </c>
      <c r="F37" s="6">
        <f>IFERROR(__xludf.DUMMYFUNCTION("""COMPUTED_VALUE"""),3604384.0)</f>
        <v>3604384</v>
      </c>
    </row>
    <row r="38">
      <c r="A38" s="7">
        <f>IFERROR(__xludf.DUMMYFUNCTION("""COMPUTED_VALUE"""),45443.64583333333)</f>
        <v>45443.64583</v>
      </c>
      <c r="B38" s="6">
        <f>IFERROR(__xludf.DUMMYFUNCTION("""COMPUTED_VALUE"""),965.0)</f>
        <v>965</v>
      </c>
      <c r="C38" s="6">
        <f>IFERROR(__xludf.DUMMYFUNCTION("""COMPUTED_VALUE"""),995.8)</f>
        <v>995.8</v>
      </c>
      <c r="D38" s="6">
        <f>IFERROR(__xludf.DUMMYFUNCTION("""COMPUTED_VALUE"""),909.15)</f>
        <v>909.15</v>
      </c>
      <c r="E38" s="6">
        <f>IFERROR(__xludf.DUMMYFUNCTION("""COMPUTED_VALUE"""),918.15)</f>
        <v>918.15</v>
      </c>
      <c r="F38" s="6">
        <f>IFERROR(__xludf.DUMMYFUNCTION("""COMPUTED_VALUE"""),7485319.0)</f>
        <v>7485319</v>
      </c>
    </row>
    <row r="39">
      <c r="A39" s="7">
        <f>IFERROR(__xludf.DUMMYFUNCTION("""COMPUTED_VALUE"""),45450.64583333333)</f>
        <v>45450.64583</v>
      </c>
      <c r="B39" s="6">
        <f>IFERROR(__xludf.DUMMYFUNCTION("""COMPUTED_VALUE"""),935.0)</f>
        <v>935</v>
      </c>
      <c r="C39" s="6">
        <f>IFERROR(__xludf.DUMMYFUNCTION("""COMPUTED_VALUE"""),947.3)</f>
        <v>947.3</v>
      </c>
      <c r="D39" s="6">
        <f>IFERROR(__xludf.DUMMYFUNCTION("""COMPUTED_VALUE"""),864.0)</f>
        <v>864</v>
      </c>
      <c r="E39" s="6">
        <f>IFERROR(__xludf.DUMMYFUNCTION("""COMPUTED_VALUE"""),936.85)</f>
        <v>936.85</v>
      </c>
      <c r="F39" s="6">
        <f>IFERROR(__xludf.DUMMYFUNCTION("""COMPUTED_VALUE"""),6522067.0)</f>
        <v>6522067</v>
      </c>
    </row>
    <row r="40">
      <c r="A40" s="7">
        <f>IFERROR(__xludf.DUMMYFUNCTION("""COMPUTED_VALUE"""),45457.64583333333)</f>
        <v>45457.64583</v>
      </c>
      <c r="B40" s="6">
        <f>IFERROR(__xludf.DUMMYFUNCTION("""COMPUTED_VALUE"""),939.0)</f>
        <v>939</v>
      </c>
      <c r="C40" s="6">
        <f>IFERROR(__xludf.DUMMYFUNCTION("""COMPUTED_VALUE"""),999.65)</f>
        <v>999.65</v>
      </c>
      <c r="D40" s="6">
        <f>IFERROR(__xludf.DUMMYFUNCTION("""COMPUTED_VALUE"""),933.0)</f>
        <v>933</v>
      </c>
      <c r="E40" s="6">
        <f>IFERROR(__xludf.DUMMYFUNCTION("""COMPUTED_VALUE"""),993.5)</f>
        <v>993.5</v>
      </c>
      <c r="F40" s="6">
        <f>IFERROR(__xludf.DUMMYFUNCTION("""COMPUTED_VALUE"""),6408059.0)</f>
        <v>6408059</v>
      </c>
    </row>
    <row r="41">
      <c r="A41" s="7">
        <f>IFERROR(__xludf.DUMMYFUNCTION("""COMPUTED_VALUE"""),45464.64583333333)</f>
        <v>45464.64583</v>
      </c>
      <c r="B41" s="6">
        <f>IFERROR(__xludf.DUMMYFUNCTION("""COMPUTED_VALUE"""),993.5)</f>
        <v>993.5</v>
      </c>
      <c r="C41" s="6">
        <f>IFERROR(__xludf.DUMMYFUNCTION("""COMPUTED_VALUE"""),1004.9)</f>
        <v>1004.9</v>
      </c>
      <c r="D41" s="6">
        <f>IFERROR(__xludf.DUMMYFUNCTION("""COMPUTED_VALUE"""),976.45)</f>
        <v>976.45</v>
      </c>
      <c r="E41" s="6">
        <f>IFERROR(__xludf.DUMMYFUNCTION("""COMPUTED_VALUE"""),989.25)</f>
        <v>989.25</v>
      </c>
      <c r="F41" s="6">
        <f>IFERROR(__xludf.DUMMYFUNCTION("""COMPUTED_VALUE"""),3252730.0)</f>
        <v>3252730</v>
      </c>
    </row>
    <row r="42">
      <c r="A42" s="7">
        <f>IFERROR(__xludf.DUMMYFUNCTION("""COMPUTED_VALUE"""),45471.64583333333)</f>
        <v>45471.64583</v>
      </c>
      <c r="B42" s="6">
        <f>IFERROR(__xludf.DUMMYFUNCTION("""COMPUTED_VALUE"""),988.5)</f>
        <v>988.5</v>
      </c>
      <c r="C42" s="6">
        <f>IFERROR(__xludf.DUMMYFUNCTION("""COMPUTED_VALUE"""),992.9)</f>
        <v>992.9</v>
      </c>
      <c r="D42" s="6">
        <f>IFERROR(__xludf.DUMMYFUNCTION("""COMPUTED_VALUE"""),966.65)</f>
        <v>966.65</v>
      </c>
      <c r="E42" s="6">
        <f>IFERROR(__xludf.DUMMYFUNCTION("""COMPUTED_VALUE"""),971.7)</f>
        <v>971.7</v>
      </c>
      <c r="F42" s="6">
        <f>IFERROR(__xludf.DUMMYFUNCTION("""COMPUTED_VALUE"""),3975558.0)</f>
        <v>3975558</v>
      </c>
    </row>
    <row r="43">
      <c r="A43" s="7">
        <f>IFERROR(__xludf.DUMMYFUNCTION("""COMPUTED_VALUE"""),45478.64583333333)</f>
        <v>45478.64583</v>
      </c>
      <c r="B43" s="6">
        <f>IFERROR(__xludf.DUMMYFUNCTION("""COMPUTED_VALUE"""),972.8)</f>
        <v>972.8</v>
      </c>
      <c r="C43" s="6">
        <f>IFERROR(__xludf.DUMMYFUNCTION("""COMPUTED_VALUE"""),1023.75)</f>
        <v>1023.75</v>
      </c>
      <c r="D43" s="6">
        <f>IFERROR(__xludf.DUMMYFUNCTION("""COMPUTED_VALUE"""),967.7)</f>
        <v>967.7</v>
      </c>
      <c r="E43" s="6">
        <f>IFERROR(__xludf.DUMMYFUNCTION("""COMPUTED_VALUE"""),996.1)</f>
        <v>996.1</v>
      </c>
      <c r="F43" s="6">
        <f>IFERROR(__xludf.DUMMYFUNCTION("""COMPUTED_VALUE"""),5085899.0)</f>
        <v>5085899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IFERROR(__xludf.DUMMYFUNCTION("""COMPUTED_VALUE"""),1002.0)</f>
        <v>1002</v>
      </c>
      <c r="C44" s="6">
        <f>IFERROR(__xludf.DUMMYFUNCTION("""COMPUTED_VALUE"""),1044.15)</f>
        <v>1044.15</v>
      </c>
      <c r="D44" s="6">
        <f>IFERROR(__xludf.DUMMYFUNCTION("""COMPUTED_VALUE"""),988.15)</f>
        <v>988.15</v>
      </c>
      <c r="E44" s="6">
        <f>IFERROR(__xludf.DUMMYFUNCTION("""COMPUTED_VALUE"""),1018.25)</f>
        <v>1018.25</v>
      </c>
      <c r="F44" s="6">
        <f>IFERROR(__xludf.DUMMYFUNCTION("""COMPUTED_VALUE"""),4266501.0)</f>
        <v>4266501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IFERROR(__xludf.DUMMYFUNCTION("""COMPUTED_VALUE"""),1020.0)</f>
        <v>1020</v>
      </c>
      <c r="C45" s="6">
        <f>IFERROR(__xludf.DUMMYFUNCTION("""COMPUTED_VALUE"""),1049.45)</f>
        <v>1049.45</v>
      </c>
      <c r="D45" s="6">
        <f>IFERROR(__xludf.DUMMYFUNCTION("""COMPUTED_VALUE"""),1005.95)</f>
        <v>1005.95</v>
      </c>
      <c r="E45" s="6">
        <f>IFERROR(__xludf.DUMMYFUNCTION("""COMPUTED_VALUE"""),1013.3)</f>
        <v>1013.3</v>
      </c>
      <c r="F45" s="6">
        <f>IFERROR(__xludf.DUMMYFUNCTION("""COMPUTED_VALUE"""),3975175.0)</f>
        <v>3975175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IFERROR(__xludf.DUMMYFUNCTION("""COMPUTED_VALUE"""),1010.25)</f>
        <v>1010.25</v>
      </c>
      <c r="C46" s="6">
        <f>IFERROR(__xludf.DUMMYFUNCTION("""COMPUTED_VALUE"""),1132.5)</f>
        <v>1132.5</v>
      </c>
      <c r="D46" s="6">
        <f>IFERROR(__xludf.DUMMYFUNCTION("""COMPUTED_VALUE"""),995.0)</f>
        <v>995</v>
      </c>
      <c r="E46" s="6">
        <f>IFERROR(__xludf.DUMMYFUNCTION("""COMPUTED_VALUE"""),1108.25)</f>
        <v>1108.25</v>
      </c>
      <c r="F46" s="6">
        <f>IFERROR(__xludf.DUMMYFUNCTION("""COMPUTED_VALUE"""),5434311.0)</f>
        <v>5434311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IFERROR(__xludf.DUMMYFUNCTION("""COMPUTED_VALUE"""),1114.95)</f>
        <v>1114.95</v>
      </c>
      <c r="C47" s="6">
        <f>IFERROR(__xludf.DUMMYFUNCTION("""COMPUTED_VALUE"""),1124.5)</f>
        <v>1124.5</v>
      </c>
      <c r="D47" s="6">
        <f>IFERROR(__xludf.DUMMYFUNCTION("""COMPUTED_VALUE"""),1081.75)</f>
        <v>1081.75</v>
      </c>
      <c r="E47" s="6">
        <f>IFERROR(__xludf.DUMMYFUNCTION("""COMPUTED_VALUE"""),1105.1)</f>
        <v>1105.1</v>
      </c>
      <c r="F47" s="6">
        <f>IFERROR(__xludf.DUMMYFUNCTION("""COMPUTED_VALUE"""),1807841.0)</f>
        <v>1807841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IFERROR(__xludf.DUMMYFUNCTION("""COMPUTED_VALUE"""),1059.3)</f>
        <v>1059.3</v>
      </c>
      <c r="C48" s="6">
        <f>IFERROR(__xludf.DUMMYFUNCTION("""COMPUTED_VALUE"""),1131.95)</f>
        <v>1131.95</v>
      </c>
      <c r="D48" s="6">
        <f>IFERROR(__xludf.DUMMYFUNCTION("""COMPUTED_VALUE"""),1053.5)</f>
        <v>1053.5</v>
      </c>
      <c r="E48" s="6">
        <f>IFERROR(__xludf.DUMMYFUNCTION("""COMPUTED_VALUE"""),1092.2)</f>
        <v>1092.2</v>
      </c>
      <c r="F48" s="6">
        <f>IFERROR(__xludf.DUMMYFUNCTION("""COMPUTED_VALUE"""),3520850.0)</f>
        <v>3520850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IFERROR(__xludf.DUMMYFUNCTION("""COMPUTED_VALUE"""),1088.05)</f>
        <v>1088.05</v>
      </c>
      <c r="C49" s="6">
        <f>IFERROR(__xludf.DUMMYFUNCTION("""COMPUTED_VALUE"""),1105.8)</f>
        <v>1105.8</v>
      </c>
      <c r="D49" s="6">
        <f>IFERROR(__xludf.DUMMYFUNCTION("""COMPUTED_VALUE"""),985.05)</f>
        <v>985.05</v>
      </c>
      <c r="E49" s="6">
        <f>IFERROR(__xludf.DUMMYFUNCTION("""COMPUTED_VALUE"""),1017.25)</f>
        <v>1017.25</v>
      </c>
      <c r="F49" s="6">
        <f>IFERROR(__xludf.DUMMYFUNCTION("""COMPUTED_VALUE"""),5816686.0)</f>
        <v>5816686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IFERROR(__xludf.DUMMYFUNCTION("""COMPUTED_VALUE"""),1031.9)</f>
        <v>1031.9</v>
      </c>
      <c r="C50" s="6">
        <f>IFERROR(__xludf.DUMMYFUNCTION("""COMPUTED_VALUE"""),1073.05)</f>
        <v>1073.05</v>
      </c>
      <c r="D50" s="6">
        <f>IFERROR(__xludf.DUMMYFUNCTION("""COMPUTED_VALUE"""),989.1)</f>
        <v>989.1</v>
      </c>
      <c r="E50" s="6">
        <f>IFERROR(__xludf.DUMMYFUNCTION("""COMPUTED_VALUE"""),1061.65)</f>
        <v>1061.65</v>
      </c>
      <c r="F50" s="6">
        <f>IFERROR(__xludf.DUMMYFUNCTION("""COMPUTED_VALUE"""),5103092.0)</f>
        <v>5103092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IFERROR(__xludf.DUMMYFUNCTION("""COMPUTED_VALUE"""),1060.0)</f>
        <v>1060</v>
      </c>
      <c r="C51" s="6">
        <f>IFERROR(__xludf.DUMMYFUNCTION("""COMPUTED_VALUE"""),1090.75)</f>
        <v>1090.75</v>
      </c>
      <c r="D51" s="6">
        <f>IFERROR(__xludf.DUMMYFUNCTION("""COMPUTED_VALUE"""),1031.15)</f>
        <v>1031.15</v>
      </c>
      <c r="E51" s="6">
        <f>IFERROR(__xludf.DUMMYFUNCTION("""COMPUTED_VALUE"""),1074.85)</f>
        <v>1074.85</v>
      </c>
      <c r="F51" s="6">
        <f>IFERROR(__xludf.DUMMYFUNCTION("""COMPUTED_VALUE"""),5494967.0)</f>
        <v>5494967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IFERROR(__xludf.DUMMYFUNCTION("""COMPUTED_VALUE"""),1086.75)</f>
        <v>1086.75</v>
      </c>
      <c r="C52" s="6">
        <f>IFERROR(__xludf.DUMMYFUNCTION("""COMPUTED_VALUE"""),1152.95)</f>
        <v>1152.95</v>
      </c>
      <c r="D52" s="6">
        <f>IFERROR(__xludf.DUMMYFUNCTION("""COMPUTED_VALUE"""),1076.0)</f>
        <v>1076</v>
      </c>
      <c r="E52" s="6">
        <f>IFERROR(__xludf.DUMMYFUNCTION("""COMPUTED_VALUE"""),1121.7)</f>
        <v>1121.7</v>
      </c>
      <c r="F52" s="6">
        <f>IFERROR(__xludf.DUMMYFUNCTION("""COMPUTED_VALUE"""),3.049167E7)</f>
        <v>30491670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IFERROR(__xludf.DUMMYFUNCTION("""COMPUTED_VALUE"""),1130.45)</f>
        <v>1130.45</v>
      </c>
      <c r="C53" s="6">
        <f>IFERROR(__xludf.DUMMYFUNCTION("""COMPUTED_VALUE"""),1160.0)</f>
        <v>1160</v>
      </c>
      <c r="D53" s="6">
        <f>IFERROR(__xludf.DUMMYFUNCTION("""COMPUTED_VALUE"""),1110.5)</f>
        <v>1110.5</v>
      </c>
      <c r="E53" s="6">
        <f>IFERROR(__xludf.DUMMYFUNCTION("""COMPUTED_VALUE"""),1140.4)</f>
        <v>1140.4</v>
      </c>
      <c r="F53" s="6">
        <f>IFERROR(__xludf.DUMMYFUNCTION("""COMPUTED_VALUE"""),4109731.0)</f>
        <v>4109731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IFERROR(__xludf.DUMMYFUNCTION("""COMPUTED_VALUE"""),1140.0)</f>
        <v>1140</v>
      </c>
      <c r="C54" s="6">
        <f>IFERROR(__xludf.DUMMYFUNCTION("""COMPUTED_VALUE"""),1177.6)</f>
        <v>1177.6</v>
      </c>
      <c r="D54" s="6">
        <f>IFERROR(__xludf.DUMMYFUNCTION("""COMPUTED_VALUE"""),1124.65)</f>
        <v>1124.65</v>
      </c>
      <c r="E54" s="6">
        <f>IFERROR(__xludf.DUMMYFUNCTION("""COMPUTED_VALUE"""),1159.1)</f>
        <v>1159.1</v>
      </c>
      <c r="F54" s="6">
        <f>IFERROR(__xludf.DUMMYFUNCTION("""COMPUTED_VALUE"""),3425194.0)</f>
        <v>3425194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IFERROR(__xludf.DUMMYFUNCTION("""COMPUTED_VALUE"""),1168.95)</f>
        <v>1168.95</v>
      </c>
      <c r="C55" s="6">
        <f>IFERROR(__xludf.DUMMYFUNCTION("""COMPUTED_VALUE"""),1212.85)</f>
        <v>1212.85</v>
      </c>
      <c r="D55" s="6">
        <f>IFERROR(__xludf.DUMMYFUNCTION("""COMPUTED_VALUE"""),1161.0)</f>
        <v>1161</v>
      </c>
      <c r="E55" s="6">
        <f>IFERROR(__xludf.DUMMYFUNCTION("""COMPUTED_VALUE"""),1182.8)</f>
        <v>1182.8</v>
      </c>
      <c r="F55" s="6">
        <f>IFERROR(__xludf.DUMMYFUNCTION("""COMPUTED_VALUE"""),3452055.0)</f>
        <v>3452055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IFERROR(__xludf.DUMMYFUNCTION("""COMPUTED_VALUE"""),1178.6)</f>
        <v>1178.6</v>
      </c>
      <c r="C56" s="6">
        <f>IFERROR(__xludf.DUMMYFUNCTION("""COMPUTED_VALUE"""),1201.85)</f>
        <v>1201.85</v>
      </c>
      <c r="D56" s="6">
        <f>IFERROR(__xludf.DUMMYFUNCTION("""COMPUTED_VALUE"""),1158.15)</f>
        <v>1158.15</v>
      </c>
      <c r="E56" s="6">
        <f>IFERROR(__xludf.DUMMYFUNCTION("""COMPUTED_VALUE"""),1160.8)</f>
        <v>1160.8</v>
      </c>
      <c r="F56" s="6">
        <f>IFERROR(__xludf.DUMMYFUNCTION("""COMPUTED_VALUE"""),2465178.0)</f>
        <v>2465178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IFERROR(__xludf.DUMMYFUNCTION("""COMPUTED_VALUE"""),1166.65)</f>
        <v>1166.65</v>
      </c>
      <c r="C57" s="6">
        <f>IFERROR(__xludf.DUMMYFUNCTION("""COMPUTED_VALUE"""),1209.25)</f>
        <v>1209.25</v>
      </c>
      <c r="D57" s="6">
        <f>IFERROR(__xludf.DUMMYFUNCTION("""COMPUTED_VALUE"""),1132.35)</f>
        <v>1132.35</v>
      </c>
      <c r="E57" s="6">
        <f>IFERROR(__xludf.DUMMYFUNCTION("""COMPUTED_VALUE"""),1185.55)</f>
        <v>1185.55</v>
      </c>
      <c r="F57" s="6">
        <f>IFERROR(__xludf.DUMMYFUNCTION("""COMPUTED_VALUE"""),4562303.0)</f>
        <v>4562303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IFERROR(__xludf.DUMMYFUNCTION("""COMPUTED_VALUE"""),1185.55)</f>
        <v>1185.55</v>
      </c>
      <c r="C58" s="6">
        <f>IFERROR(__xludf.DUMMYFUNCTION("""COMPUTED_VALUE"""),1210.0)</f>
        <v>1210</v>
      </c>
      <c r="D58" s="6">
        <f>IFERROR(__xludf.DUMMYFUNCTION("""COMPUTED_VALUE"""),1158.6)</f>
        <v>1158.6</v>
      </c>
      <c r="E58" s="6">
        <f>IFERROR(__xludf.DUMMYFUNCTION("""COMPUTED_VALUE"""),1196.65)</f>
        <v>1196.65</v>
      </c>
      <c r="F58" s="6">
        <f>IFERROR(__xludf.DUMMYFUNCTION("""COMPUTED_VALUE"""),3674211.0)</f>
        <v>3674211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IFERROR(__xludf.DUMMYFUNCTION("""COMPUTED_VALUE"""),1205.8)</f>
        <v>1205.8</v>
      </c>
      <c r="C59" s="6">
        <f>IFERROR(__xludf.DUMMYFUNCTION("""COMPUTED_VALUE"""),1306.45)</f>
        <v>1306.45</v>
      </c>
      <c r="D59" s="6">
        <f>IFERROR(__xludf.DUMMYFUNCTION("""COMPUTED_VALUE"""),1164.15)</f>
        <v>1164.15</v>
      </c>
      <c r="E59" s="6">
        <f>IFERROR(__xludf.DUMMYFUNCTION("""COMPUTED_VALUE"""),1274.85)</f>
        <v>1274.85</v>
      </c>
      <c r="F59" s="6">
        <f>IFERROR(__xludf.DUMMYFUNCTION("""COMPUTED_VALUE"""),1.3156158E7)</f>
        <v>13156158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IFERROR(__xludf.DUMMYFUNCTION("""COMPUTED_VALUE"""),1293.0)</f>
        <v>1293</v>
      </c>
      <c r="C60" s="6">
        <f>IFERROR(__xludf.DUMMYFUNCTION("""COMPUTED_VALUE"""),1296.1)</f>
        <v>1296.1</v>
      </c>
      <c r="D60" s="6">
        <f>IFERROR(__xludf.DUMMYFUNCTION("""COMPUTED_VALUE"""),1214.05)</f>
        <v>1214.05</v>
      </c>
      <c r="E60" s="6">
        <f>IFERROR(__xludf.DUMMYFUNCTION("""COMPUTED_VALUE"""),1219.05)</f>
        <v>1219.05</v>
      </c>
      <c r="F60" s="6">
        <f>IFERROR(__xludf.DUMMYFUNCTION("""COMPUTED_VALUE"""),2720091.0)</f>
        <v>2720091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IFERROR(__xludf.DUMMYFUNCTION("""COMPUTED_VALUE"""),1218.8)</f>
        <v>1218.8</v>
      </c>
      <c r="C61" s="6">
        <f>IFERROR(__xludf.DUMMYFUNCTION("""COMPUTED_VALUE"""),1236.95)</f>
        <v>1236.95</v>
      </c>
      <c r="D61" s="6">
        <f>IFERROR(__xludf.DUMMYFUNCTION("""COMPUTED_VALUE"""),1191.35)</f>
        <v>1191.35</v>
      </c>
      <c r="E61" s="6">
        <f>IFERROR(__xludf.DUMMYFUNCTION("""COMPUTED_VALUE"""),1232.65)</f>
        <v>1232.65</v>
      </c>
      <c r="F61" s="6">
        <f>IFERROR(__xludf.DUMMYFUNCTION("""COMPUTED_VALUE"""),2559918.0)</f>
        <v>2559918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IFERROR(__xludf.DUMMYFUNCTION("""COMPUTED_VALUE"""),1234.2)</f>
        <v>1234.2</v>
      </c>
      <c r="C62" s="6">
        <f>IFERROR(__xludf.DUMMYFUNCTION("""COMPUTED_VALUE"""),1245.05)</f>
        <v>1245.05</v>
      </c>
      <c r="D62" s="6">
        <f>IFERROR(__xludf.DUMMYFUNCTION("""COMPUTED_VALUE"""),1150.9)</f>
        <v>1150.9</v>
      </c>
      <c r="E62" s="6">
        <f>IFERROR(__xludf.DUMMYFUNCTION("""COMPUTED_VALUE"""),1166.45)</f>
        <v>1166.45</v>
      </c>
      <c r="F62" s="6">
        <f>IFERROR(__xludf.DUMMYFUNCTION("""COMPUTED_VALUE"""),4081747.0)</f>
        <v>4081747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IFERROR(__xludf.DUMMYFUNCTION("""COMPUTED_VALUE"""),1180.95)</f>
        <v>1180.95</v>
      </c>
      <c r="C63" s="6">
        <f>IFERROR(__xludf.DUMMYFUNCTION("""COMPUTED_VALUE"""),1204.95)</f>
        <v>1204.95</v>
      </c>
      <c r="D63" s="6">
        <f>IFERROR(__xludf.DUMMYFUNCTION("""COMPUTED_VALUE"""),1093.85)</f>
        <v>1093.85</v>
      </c>
      <c r="E63" s="6">
        <f>IFERROR(__xludf.DUMMYFUNCTION("""COMPUTED_VALUE"""),1133.95)</f>
        <v>1133.95</v>
      </c>
      <c r="F63" s="6">
        <f>IFERROR(__xludf.DUMMYFUNCTION("""COMPUTED_VALUE"""),6112646.0)</f>
        <v>6112646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IFERROR(__xludf.DUMMYFUNCTION("""COMPUTED_VALUE"""),1123.65)</f>
        <v>1123.65</v>
      </c>
      <c r="C64" s="6">
        <f>IFERROR(__xludf.DUMMYFUNCTION("""COMPUTED_VALUE"""),1177.35)</f>
        <v>1177.35</v>
      </c>
      <c r="D64" s="6">
        <f>IFERROR(__xludf.DUMMYFUNCTION("""COMPUTED_VALUE"""),1100.6)</f>
        <v>1100.6</v>
      </c>
      <c r="E64" s="6">
        <f>IFERROR(__xludf.DUMMYFUNCTION("""COMPUTED_VALUE"""),1161.45)</f>
        <v>1161.45</v>
      </c>
      <c r="F64" s="6">
        <f>IFERROR(__xludf.DUMMYFUNCTION("""COMPUTED_VALUE"""),6907662.0)</f>
        <v>6907662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IFERROR(__xludf.DUMMYFUNCTION("""COMPUTED_VALUE"""),1164.75)</f>
        <v>1164.75</v>
      </c>
      <c r="C65" s="6">
        <f>IFERROR(__xludf.DUMMYFUNCTION("""COMPUTED_VALUE"""),1198.35)</f>
        <v>1198.35</v>
      </c>
      <c r="D65" s="6">
        <f>IFERROR(__xludf.DUMMYFUNCTION("""COMPUTED_VALUE"""),1109.1)</f>
        <v>1109.1</v>
      </c>
      <c r="E65" s="6">
        <f>IFERROR(__xludf.DUMMYFUNCTION("""COMPUTED_VALUE"""),1127.85)</f>
        <v>1127.85</v>
      </c>
      <c r="F65" s="6">
        <f>IFERROR(__xludf.DUMMYFUNCTION("""COMPUTED_VALUE"""),2720356.0)</f>
        <v>2720356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IFERROR(__xludf.DUMMYFUNCTION("""COMPUTED_VALUE"""),1139.0)</f>
        <v>1139</v>
      </c>
      <c r="C66" s="6">
        <f>IFERROR(__xludf.DUMMYFUNCTION("""COMPUTED_VALUE"""),1161.6)</f>
        <v>1161.6</v>
      </c>
      <c r="D66" s="6">
        <f>IFERROR(__xludf.DUMMYFUNCTION("""COMPUTED_VALUE"""),1102.0)</f>
        <v>1102</v>
      </c>
      <c r="E66" s="6">
        <f>IFERROR(__xludf.DUMMYFUNCTION("""COMPUTED_VALUE"""),1109.2)</f>
        <v>1109.2</v>
      </c>
      <c r="F66" s="6">
        <f>IFERROR(__xludf.DUMMYFUNCTION("""COMPUTED_VALUE"""),2076307.0)</f>
        <v>2076307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IFERROR(__xludf.DUMMYFUNCTION("""COMPUTED_VALUE"""),1107.85)</f>
        <v>1107.85</v>
      </c>
      <c r="C67" s="6">
        <f>IFERROR(__xludf.DUMMYFUNCTION("""COMPUTED_VALUE"""),1117.95)</f>
        <v>1117.95</v>
      </c>
      <c r="D67" s="6">
        <f>IFERROR(__xludf.DUMMYFUNCTION("""COMPUTED_VALUE"""),1087.05)</f>
        <v>1087.05</v>
      </c>
      <c r="E67" s="6">
        <f>IFERROR(__xludf.DUMMYFUNCTION("""COMPUTED_VALUE"""),1106.1)</f>
        <v>1106.1</v>
      </c>
      <c r="F67" s="6">
        <f>IFERROR(__xludf.DUMMYFUNCTION("""COMPUTED_VALUE"""),846650.0)</f>
        <v>846650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IFERROR(__xludf.DUMMYFUNCTION("""COMPUTED_VALUE"""),1106.1)</f>
        <v>1106.1</v>
      </c>
      <c r="C68" s="6">
        <f>IFERROR(__xludf.DUMMYFUNCTION("""COMPUTED_VALUE"""),1130.35)</f>
        <v>1130.35</v>
      </c>
      <c r="D68" s="6">
        <f>IFERROR(__xludf.DUMMYFUNCTION("""COMPUTED_VALUE"""),1093.3)</f>
        <v>1093.3</v>
      </c>
      <c r="E68" s="6">
        <f>IFERROR(__xludf.DUMMYFUNCTION("""COMPUTED_VALUE"""),1109.8)</f>
        <v>1109.8</v>
      </c>
      <c r="F68" s="6">
        <f>IFERROR(__xludf.DUMMYFUNCTION("""COMPUTED_VALUE"""),1163324.0)</f>
        <v>1163324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IFERROR(__xludf.DUMMYFUNCTION("""COMPUTED_VALUE"""),1093.3)</f>
        <v>1093.3</v>
      </c>
      <c r="C69" s="6">
        <f>IFERROR(__xludf.DUMMYFUNCTION("""COMPUTED_VALUE"""),1117.95)</f>
        <v>1117.95</v>
      </c>
      <c r="D69" s="6">
        <f>IFERROR(__xludf.DUMMYFUNCTION("""COMPUTED_VALUE"""),1066.0)</f>
        <v>1066</v>
      </c>
      <c r="E69" s="6">
        <f>IFERROR(__xludf.DUMMYFUNCTION("""COMPUTED_VALUE"""),1077.65)</f>
        <v>1077.65</v>
      </c>
      <c r="F69" s="6">
        <f>IFERROR(__xludf.DUMMYFUNCTION("""COMPUTED_VALUE"""),2282220.0)</f>
        <v>2282220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IFERROR(__xludf.DUMMYFUNCTION("""COMPUTED_VALUE"""),1052.0)</f>
        <v>1052</v>
      </c>
      <c r="C70" s="6">
        <f>IFERROR(__xludf.DUMMYFUNCTION("""COMPUTED_VALUE"""),1119.4)</f>
        <v>1119.4</v>
      </c>
      <c r="D70" s="6">
        <f>IFERROR(__xludf.DUMMYFUNCTION("""COMPUTED_VALUE"""),1022.5)</f>
        <v>1022.5</v>
      </c>
      <c r="E70" s="6">
        <f>IFERROR(__xludf.DUMMYFUNCTION("""COMPUTED_VALUE"""),1088.3)</f>
        <v>1088.3</v>
      </c>
      <c r="F70" s="6">
        <f>IFERROR(__xludf.DUMMYFUNCTION("""COMPUTED_VALUE"""),5475861.0)</f>
        <v>5475861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IFERROR(__xludf.DUMMYFUNCTION("""COMPUTED_VALUE"""),1087.8)</f>
        <v>1087.8</v>
      </c>
      <c r="C71" s="6">
        <f>IFERROR(__xludf.DUMMYFUNCTION("""COMPUTED_VALUE"""),1099.05)</f>
        <v>1099.05</v>
      </c>
      <c r="D71" s="6">
        <f>IFERROR(__xludf.DUMMYFUNCTION("""COMPUTED_VALUE"""),1019.4)</f>
        <v>1019.4</v>
      </c>
      <c r="E71" s="6">
        <f>IFERROR(__xludf.DUMMYFUNCTION("""COMPUTED_VALUE"""),1040.3)</f>
        <v>1040.3</v>
      </c>
      <c r="F71" s="6">
        <f>IFERROR(__xludf.DUMMYFUNCTION("""COMPUTED_VALUE"""),2996622.0)</f>
        <v>2996622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IFERROR(__xludf.DUMMYFUNCTION("""COMPUTED_VALUE"""),1115.75)</f>
        <v>1115.75</v>
      </c>
      <c r="C72" s="6">
        <f>IFERROR(__xludf.DUMMYFUNCTION("""COMPUTED_VALUE"""),1169.4)</f>
        <v>1169.4</v>
      </c>
      <c r="D72" s="6">
        <f>IFERROR(__xludf.DUMMYFUNCTION("""COMPUTED_VALUE"""),1077.75)</f>
        <v>1077.75</v>
      </c>
      <c r="E72" s="6">
        <f>IFERROR(__xludf.DUMMYFUNCTION("""COMPUTED_VALUE"""),1112.55)</f>
        <v>1112.55</v>
      </c>
      <c r="F72" s="6">
        <f>IFERROR(__xludf.DUMMYFUNCTION("""COMPUTED_VALUE"""),4857755.0)</f>
        <v>4857755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IFERROR(__xludf.DUMMYFUNCTION("""COMPUTED_VALUE"""),1113.95)</f>
        <v>1113.95</v>
      </c>
      <c r="C73" s="6">
        <f>IFERROR(__xludf.DUMMYFUNCTION("""COMPUTED_VALUE"""),1119.2)</f>
        <v>1119.2</v>
      </c>
      <c r="D73" s="6">
        <f>IFERROR(__xludf.DUMMYFUNCTION("""COMPUTED_VALUE"""),1029.6)</f>
        <v>1029.6</v>
      </c>
      <c r="E73" s="6">
        <f>IFERROR(__xludf.DUMMYFUNCTION("""COMPUTED_VALUE"""),1057.85)</f>
        <v>1057.85</v>
      </c>
      <c r="F73" s="6">
        <f>IFERROR(__xludf.DUMMYFUNCTION("""COMPUTED_VALUE"""),3471586.0)</f>
        <v>3471586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IFERROR(__xludf.DUMMYFUNCTION("""COMPUTED_VALUE"""),1035.0)</f>
        <v>1035</v>
      </c>
      <c r="C74" s="6">
        <f>IFERROR(__xludf.DUMMYFUNCTION("""COMPUTED_VALUE"""),1073.85)</f>
        <v>1073.85</v>
      </c>
      <c r="D74" s="6">
        <f>IFERROR(__xludf.DUMMYFUNCTION("""COMPUTED_VALUE"""),1028.5)</f>
        <v>1028.5</v>
      </c>
      <c r="E74" s="6">
        <f>IFERROR(__xludf.DUMMYFUNCTION("""COMPUTED_VALUE"""),1052.2)</f>
        <v>1052.2</v>
      </c>
      <c r="F74" s="6">
        <f>IFERROR(__xludf.DUMMYFUNCTION("""COMPUTED_VALUE"""),2544021.0)</f>
        <v>2544021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IFERROR(__xludf.DUMMYFUNCTION("""COMPUTED_VALUE"""),1037.0)</f>
        <v>1037</v>
      </c>
      <c r="C75" s="6">
        <f>IFERROR(__xludf.DUMMYFUNCTION("""COMPUTED_VALUE"""),1046.8)</f>
        <v>1046.8</v>
      </c>
      <c r="D75" s="6">
        <f>IFERROR(__xludf.DUMMYFUNCTION("""COMPUTED_VALUE"""),994.8)</f>
        <v>994.8</v>
      </c>
      <c r="E75" s="6">
        <f>IFERROR(__xludf.DUMMYFUNCTION("""COMPUTED_VALUE"""),998.1)</f>
        <v>998.1</v>
      </c>
      <c r="F75" s="6">
        <f>IFERROR(__xludf.DUMMYFUNCTION("""COMPUTED_VALUE"""),5498381.0)</f>
        <v>5498381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IFERROR(__xludf.DUMMYFUNCTION("""COMPUTED_VALUE"""),1000.0)</f>
        <v>1000</v>
      </c>
      <c r="C76" s="6">
        <f>IFERROR(__xludf.DUMMYFUNCTION("""COMPUTED_VALUE"""),1043.65)</f>
        <v>1043.65</v>
      </c>
      <c r="D76" s="6">
        <f>IFERROR(__xludf.DUMMYFUNCTION("""COMPUTED_VALUE"""),970.45)</f>
        <v>970.45</v>
      </c>
      <c r="E76" s="6">
        <f>IFERROR(__xludf.DUMMYFUNCTION("""COMPUTED_VALUE"""),1036.6)</f>
        <v>1036.6</v>
      </c>
      <c r="F76" s="6">
        <f>IFERROR(__xludf.DUMMYFUNCTION("""COMPUTED_VALUE"""),8625635.0)</f>
        <v>8625635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IFERROR(__xludf.DUMMYFUNCTION("""COMPUTED_VALUE"""),1038.55)</f>
        <v>1038.55</v>
      </c>
      <c r="C77" s="6">
        <f>IFERROR(__xludf.DUMMYFUNCTION("""COMPUTED_VALUE"""),1091.45)</f>
        <v>1091.45</v>
      </c>
      <c r="D77" s="6">
        <f>IFERROR(__xludf.DUMMYFUNCTION("""COMPUTED_VALUE"""),1026.1)</f>
        <v>1026.1</v>
      </c>
      <c r="E77" s="6">
        <f>IFERROR(__xludf.DUMMYFUNCTION("""COMPUTED_VALUE"""),1052.55)</f>
        <v>1052.55</v>
      </c>
      <c r="F77" s="6">
        <f>IFERROR(__xludf.DUMMYFUNCTION("""COMPUTED_VALUE"""),4998786.0)</f>
        <v>4998786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IFERROR(__xludf.DUMMYFUNCTION("""COMPUTED_VALUE"""),1055.05)</f>
        <v>1055.05</v>
      </c>
      <c r="C78" s="6">
        <f>IFERROR(__xludf.DUMMYFUNCTION("""COMPUTED_VALUE"""),1144.9)</f>
        <v>1144.9</v>
      </c>
      <c r="D78" s="6">
        <f>IFERROR(__xludf.DUMMYFUNCTION("""COMPUTED_VALUE"""),0.0)</f>
        <v>0</v>
      </c>
      <c r="E78" s="6">
        <f>IFERROR(__xludf.DUMMYFUNCTION("""COMPUTED_VALUE"""),1140.05)</f>
        <v>1140.05</v>
      </c>
      <c r="F78" s="6">
        <f>IFERROR(__xludf.DUMMYFUNCTION("""COMPUTED_VALUE"""),3022255.0)</f>
        <v>3022255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IFERROR(__xludf.DUMMYFUNCTION("""COMPUTED_VALUE"""),1145.25)</f>
        <v>1145.25</v>
      </c>
      <c r="C79" s="6">
        <f>IFERROR(__xludf.DUMMYFUNCTION("""COMPUTED_VALUE"""),1167.0)</f>
        <v>1167</v>
      </c>
      <c r="D79" s="6">
        <f>IFERROR(__xludf.DUMMYFUNCTION("""COMPUTED_VALUE"""),1112.65)</f>
        <v>1112.65</v>
      </c>
      <c r="E79" s="6">
        <f>IFERROR(__xludf.DUMMYFUNCTION("""COMPUTED_VALUE"""),1147.7)</f>
        <v>1147.7</v>
      </c>
      <c r="F79" s="6">
        <f>IFERROR(__xludf.DUMMYFUNCTION("""COMPUTED_VALUE"""),3169756.0)</f>
        <v>3169756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IFERROR(__xludf.DUMMYFUNCTION("""COMPUTED_VALUE"""),1116.7)</f>
        <v>1116.7</v>
      </c>
      <c r="C80" s="6">
        <f>IFERROR(__xludf.DUMMYFUNCTION("""COMPUTED_VALUE"""),1169.0)</f>
        <v>1169</v>
      </c>
      <c r="D80" s="6">
        <f>IFERROR(__xludf.DUMMYFUNCTION("""COMPUTED_VALUE"""),1112.6)</f>
        <v>1112.6</v>
      </c>
      <c r="E80" s="6">
        <f>IFERROR(__xludf.DUMMYFUNCTION("""COMPUTED_VALUE"""),1165.05)</f>
        <v>1165.05</v>
      </c>
      <c r="F80" s="6">
        <f>IFERROR(__xludf.DUMMYFUNCTION("""COMPUTED_VALUE"""),2375360.0)</f>
        <v>2375360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IFERROR(__xludf.DUMMYFUNCTION("""COMPUTED_VALUE"""),1085.0)</f>
        <v>1085</v>
      </c>
      <c r="C81" s="6">
        <f>IFERROR(__xludf.DUMMYFUNCTION("""COMPUTED_VALUE"""),1189.5)</f>
        <v>1189.5</v>
      </c>
      <c r="D81" s="6">
        <f>IFERROR(__xludf.DUMMYFUNCTION("""COMPUTED_VALUE"""),1085.0)</f>
        <v>1085</v>
      </c>
      <c r="E81" s="6">
        <f>IFERROR(__xludf.DUMMYFUNCTION("""COMPUTED_VALUE"""),1163.3)</f>
        <v>1163.3</v>
      </c>
      <c r="F81" s="6">
        <f>IFERROR(__xludf.DUMMYFUNCTION("""COMPUTED_VALUE"""),3877166.0)</f>
        <v>3877166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IFERROR(__xludf.DUMMYFUNCTION("""COMPUTED_VALUE"""),1180.0)</f>
        <v>1180</v>
      </c>
      <c r="C82" s="6">
        <f>IFERROR(__xludf.DUMMYFUNCTION("""COMPUTED_VALUE"""),1223.8)</f>
        <v>1223.8</v>
      </c>
      <c r="D82" s="6">
        <f>IFERROR(__xludf.DUMMYFUNCTION("""COMPUTED_VALUE"""),1161.2)</f>
        <v>1161.2</v>
      </c>
      <c r="E82" s="6">
        <f>IFERROR(__xludf.DUMMYFUNCTION("""COMPUTED_VALUE"""),1218.0)</f>
        <v>1218</v>
      </c>
      <c r="F82" s="6">
        <f>IFERROR(__xludf.DUMMYFUNCTION("""COMPUTED_VALUE"""),4566337.0)</f>
        <v>4566337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IFERROR(__xludf.DUMMYFUNCTION("""COMPUTED_VALUE"""),1233.0)</f>
        <v>1233</v>
      </c>
      <c r="C83" s="6">
        <f>IFERROR(__xludf.DUMMYFUNCTION("""COMPUTED_VALUE"""),1281.3)</f>
        <v>1281.3</v>
      </c>
      <c r="D83" s="6">
        <f>IFERROR(__xludf.DUMMYFUNCTION("""COMPUTED_VALUE"""),1213.2)</f>
        <v>1213.2</v>
      </c>
      <c r="E83" s="6">
        <f>IFERROR(__xludf.DUMMYFUNCTION("""COMPUTED_VALUE"""),1266.4)</f>
        <v>1266.4</v>
      </c>
      <c r="F83" s="6">
        <f>IFERROR(__xludf.DUMMYFUNCTION("""COMPUTED_VALUE"""),6323845.0)</f>
        <v>6323845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IFERROR(__xludf.DUMMYFUNCTION("""COMPUTED_VALUE"""),1260.0)</f>
        <v>1260</v>
      </c>
      <c r="C84" s="6">
        <f>IFERROR(__xludf.DUMMYFUNCTION("""COMPUTED_VALUE"""),1315.4)</f>
        <v>1315.4</v>
      </c>
      <c r="D84" s="6">
        <f>IFERROR(__xludf.DUMMYFUNCTION("""COMPUTED_VALUE"""),1258.6)</f>
        <v>1258.6</v>
      </c>
      <c r="E84" s="6">
        <f>IFERROR(__xludf.DUMMYFUNCTION("""COMPUTED_VALUE"""),1303.3)</f>
        <v>1303.3</v>
      </c>
      <c r="F84" s="6">
        <f>IFERROR(__xludf.DUMMYFUNCTION("""COMPUTED_VALUE"""),3503032.0)</f>
        <v>3503032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IFERROR(__xludf.DUMMYFUNCTION("""COMPUTED_VALUE"""),1312.9)</f>
        <v>1312.9</v>
      </c>
      <c r="C85" s="6">
        <f>IFERROR(__xludf.DUMMYFUNCTION("""COMPUTED_VALUE"""),1313.2)</f>
        <v>1313.2</v>
      </c>
      <c r="D85" s="6">
        <f>IFERROR(__xludf.DUMMYFUNCTION("""COMPUTED_VALUE"""),1248.6)</f>
        <v>1248.6</v>
      </c>
      <c r="E85" s="6">
        <f>IFERROR(__xludf.DUMMYFUNCTION("""COMPUTED_VALUE"""),1268.2)</f>
        <v>1268.2</v>
      </c>
      <c r="F85" s="6">
        <f>IFERROR(__xludf.DUMMYFUNCTION("""COMPUTED_VALUE"""),3477892.0)</f>
        <v>3477892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IFERROR(__xludf.DUMMYFUNCTION("""COMPUTED_VALUE"""),1304.9)</f>
        <v>1304.9</v>
      </c>
      <c r="C86" s="6">
        <f>IFERROR(__xludf.DUMMYFUNCTION("""COMPUTED_VALUE"""),1372.0)</f>
        <v>1372</v>
      </c>
      <c r="D86" s="6">
        <f>IFERROR(__xludf.DUMMYFUNCTION("""COMPUTED_VALUE"""),1275.2)</f>
        <v>1275.2</v>
      </c>
      <c r="E86" s="6">
        <f>IFERROR(__xludf.DUMMYFUNCTION("""COMPUTED_VALUE"""),1355.2)</f>
        <v>1355.2</v>
      </c>
      <c r="F86" s="6">
        <f>IFERROR(__xludf.DUMMYFUNCTION("""COMPUTED_VALUE"""),6175604.0)</f>
        <v>6175604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IFERROR(__xludf.DUMMYFUNCTION("""COMPUTED_VALUE"""),1364.9)</f>
        <v>1364.9</v>
      </c>
      <c r="C87" s="6">
        <f>IFERROR(__xludf.DUMMYFUNCTION("""COMPUTED_VALUE"""),1475.4)</f>
        <v>1475.4</v>
      </c>
      <c r="D87" s="6">
        <f>IFERROR(__xludf.DUMMYFUNCTION("""COMPUTED_VALUE"""),1356.1)</f>
        <v>1356.1</v>
      </c>
      <c r="E87" s="6">
        <f>IFERROR(__xludf.DUMMYFUNCTION("""COMPUTED_VALUE"""),1470.0)</f>
        <v>1470</v>
      </c>
      <c r="F87" s="6">
        <f>IFERROR(__xludf.DUMMYFUNCTION("""COMPUTED_VALUE"""),1.2715827E7)</f>
        <v>12715827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IFERROR(__xludf.DUMMYFUNCTION("""COMPUTED_VALUE"""),1474.1)</f>
        <v>1474.1</v>
      </c>
      <c r="C88" s="6">
        <f>IFERROR(__xludf.DUMMYFUNCTION("""COMPUTED_VALUE"""),1516.1)</f>
        <v>1516.1</v>
      </c>
      <c r="D88" s="6">
        <f>IFERROR(__xludf.DUMMYFUNCTION("""COMPUTED_VALUE"""),1445.7)</f>
        <v>1445.7</v>
      </c>
      <c r="E88" s="6">
        <f>IFERROR(__xludf.DUMMYFUNCTION("""COMPUTED_VALUE"""),1502.7)</f>
        <v>1502.7</v>
      </c>
      <c r="F88" s="6">
        <f>IFERROR(__xludf.DUMMYFUNCTION("""COMPUTED_VALUE"""),6146867.0)</f>
        <v>6146867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IFERROR(__xludf.DUMMYFUNCTION("""COMPUTED_VALUE"""),1502.7)</f>
        <v>1502.7</v>
      </c>
      <c r="C89" s="6">
        <f>IFERROR(__xludf.DUMMYFUNCTION("""COMPUTED_VALUE"""),1533.4)</f>
        <v>1533.4</v>
      </c>
      <c r="D89" s="6">
        <f>IFERROR(__xludf.DUMMYFUNCTION("""COMPUTED_VALUE"""),1492.3)</f>
        <v>1492.3</v>
      </c>
      <c r="E89" s="6">
        <f>IFERROR(__xludf.DUMMYFUNCTION("""COMPUTED_VALUE"""),1508.1)</f>
        <v>1508.1</v>
      </c>
      <c r="F89" s="6">
        <f>IFERROR(__xludf.DUMMYFUNCTION("""COMPUTED_VALUE"""),5978239.0)</f>
        <v>5978239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IFERROR(__xludf.DUMMYFUNCTION("""COMPUTED_VALUE"""),1514.0)</f>
        <v>1514</v>
      </c>
      <c r="C90" s="6">
        <f>IFERROR(__xludf.DUMMYFUNCTION("""COMPUTED_VALUE"""),1553.7)</f>
        <v>1553.7</v>
      </c>
      <c r="D90" s="6">
        <f>IFERROR(__xludf.DUMMYFUNCTION("""COMPUTED_VALUE"""),1470.0)</f>
        <v>1470</v>
      </c>
      <c r="E90" s="6">
        <f>IFERROR(__xludf.DUMMYFUNCTION("""COMPUTED_VALUE"""),1526.0)</f>
        <v>1526</v>
      </c>
      <c r="F90" s="6">
        <f>IFERROR(__xludf.DUMMYFUNCTION("""COMPUTED_VALUE"""),3049475.0)</f>
        <v>3049475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IFERROR(__xludf.DUMMYFUNCTION("""COMPUTED_VALUE"""),1538.4)</f>
        <v>1538.4</v>
      </c>
      <c r="C91" s="6">
        <f>IFERROR(__xludf.DUMMYFUNCTION("""COMPUTED_VALUE"""),1609.0)</f>
        <v>1609</v>
      </c>
      <c r="D91" s="6">
        <f>IFERROR(__xludf.DUMMYFUNCTION("""COMPUTED_VALUE"""),1533.7)</f>
        <v>1533.7</v>
      </c>
      <c r="E91" s="6">
        <f>IFERROR(__xludf.DUMMYFUNCTION("""COMPUTED_VALUE"""),1595.3)</f>
        <v>1595.3</v>
      </c>
      <c r="F91" s="6">
        <f>IFERROR(__xludf.DUMMYFUNCTION("""COMPUTED_VALUE"""),6111868.0)</f>
        <v>6111868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IFERROR(__xludf.DUMMYFUNCTION("""COMPUTED_VALUE"""),1589.0)</f>
        <v>1589</v>
      </c>
      <c r="C92" s="6">
        <f>IFERROR(__xludf.DUMMYFUNCTION("""COMPUTED_VALUE"""),1658.0)</f>
        <v>1658</v>
      </c>
      <c r="D92" s="6">
        <f>IFERROR(__xludf.DUMMYFUNCTION("""COMPUTED_VALUE"""),1581.2)</f>
        <v>1581.2</v>
      </c>
      <c r="E92" s="6">
        <f>IFERROR(__xludf.DUMMYFUNCTION("""COMPUTED_VALUE"""),1641.1)</f>
        <v>1641.1</v>
      </c>
      <c r="F92" s="6">
        <f>IFERROR(__xludf.DUMMYFUNCTION("""COMPUTED_VALUE"""),9319179.0)</f>
        <v>9319179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IFERROR(__xludf.DUMMYFUNCTION("""COMPUTED_VALUE"""),1649.0)</f>
        <v>1649</v>
      </c>
      <c r="C93" s="6">
        <f>IFERROR(__xludf.DUMMYFUNCTION("""COMPUTED_VALUE"""),1666.9)</f>
        <v>1666.9</v>
      </c>
      <c r="D93" s="6">
        <f>IFERROR(__xludf.DUMMYFUNCTION("""COMPUTED_VALUE"""),1574.3)</f>
        <v>1574.3</v>
      </c>
      <c r="E93" s="6">
        <f>IFERROR(__xludf.DUMMYFUNCTION("""COMPUTED_VALUE"""),1589.9)</f>
        <v>1589.9</v>
      </c>
      <c r="F93" s="6">
        <f>IFERROR(__xludf.DUMMYFUNCTION("""COMPUTED_VALUE"""),3704997.0)</f>
        <v>3704997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IFERROR(__xludf.DUMMYFUNCTION("""COMPUTED_VALUE"""),1585.0)</f>
        <v>1585</v>
      </c>
      <c r="C94" s="6">
        <f>IFERROR(__xludf.DUMMYFUNCTION("""COMPUTED_VALUE"""),1597.9)</f>
        <v>1597.9</v>
      </c>
      <c r="D94" s="6">
        <f>IFERROR(__xludf.DUMMYFUNCTION("""COMPUTED_VALUE"""),1553.7)</f>
        <v>1553.7</v>
      </c>
      <c r="E94" s="6">
        <f>IFERROR(__xludf.DUMMYFUNCTION("""COMPUTED_VALUE"""),1567.2)</f>
        <v>1567.2</v>
      </c>
      <c r="F94" s="6">
        <f>IFERROR(__xludf.DUMMYFUNCTION("""COMPUTED_VALUE"""),3773291.0)</f>
        <v>3773291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IFERROR(__xludf.DUMMYFUNCTION("""COMPUTED_VALUE"""),1560.0)</f>
        <v>1560</v>
      </c>
      <c r="C95" s="6">
        <f>IFERROR(__xludf.DUMMYFUNCTION("""COMPUTED_VALUE"""),1592.5)</f>
        <v>1592.5</v>
      </c>
      <c r="D95" s="6">
        <f>IFERROR(__xludf.DUMMYFUNCTION("""COMPUTED_VALUE"""),1509.0)</f>
        <v>1509</v>
      </c>
      <c r="E95" s="6">
        <f>IFERROR(__xludf.DUMMYFUNCTION("""COMPUTED_VALUE"""),1539.1)</f>
        <v>1539.1</v>
      </c>
      <c r="F95" s="6">
        <f>IFERROR(__xludf.DUMMYFUNCTION("""COMPUTED_VALUE"""),5112648.0)</f>
        <v>5112648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IFERROR(__xludf.DUMMYFUNCTION("""COMPUTED_VALUE"""),1532.0)</f>
        <v>1532</v>
      </c>
      <c r="C96" s="6">
        <f>IFERROR(__xludf.DUMMYFUNCTION("""COMPUTED_VALUE"""),1582.9)</f>
        <v>1582.9</v>
      </c>
      <c r="D96" s="6">
        <f>IFERROR(__xludf.DUMMYFUNCTION("""COMPUTED_VALUE"""),1515.5)</f>
        <v>1515.5</v>
      </c>
      <c r="E96" s="6">
        <f>IFERROR(__xludf.DUMMYFUNCTION("""COMPUTED_VALUE"""),1526.7)</f>
        <v>1526.7</v>
      </c>
      <c r="F96" s="6">
        <f>IFERROR(__xludf.DUMMYFUNCTION("""COMPUTED_VALUE"""),2769401.0)</f>
        <v>2769401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IFERROR(__xludf.DUMMYFUNCTION("""COMPUTED_VALUE"""),1529.0)</f>
        <v>1529</v>
      </c>
      <c r="C97" s="6">
        <f>IFERROR(__xludf.DUMMYFUNCTION("""COMPUTED_VALUE"""),1555.0)</f>
        <v>1555</v>
      </c>
      <c r="D97" s="6">
        <f>IFERROR(__xludf.DUMMYFUNCTION("""COMPUTED_VALUE"""),1467.6)</f>
        <v>1467.6</v>
      </c>
      <c r="E97" s="6">
        <f>IFERROR(__xludf.DUMMYFUNCTION("""COMPUTED_VALUE"""),1472.5)</f>
        <v>1472.5</v>
      </c>
      <c r="F97" s="6">
        <f>IFERROR(__xludf.DUMMYFUNCTION("""COMPUTED_VALUE"""),2745472.0)</f>
        <v>2745472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IFERROR(__xludf.DUMMYFUNCTION("""COMPUTED_VALUE"""),1453.1)</f>
        <v>1453.1</v>
      </c>
      <c r="C98" s="6">
        <f>IFERROR(__xludf.DUMMYFUNCTION("""COMPUTED_VALUE"""),1575.0)</f>
        <v>1575</v>
      </c>
      <c r="D98" s="6">
        <f>IFERROR(__xludf.DUMMYFUNCTION("""COMPUTED_VALUE"""),1451.1)</f>
        <v>1451.1</v>
      </c>
      <c r="E98" s="6">
        <f>IFERROR(__xludf.DUMMYFUNCTION("""COMPUTED_VALUE"""),1551.5)</f>
        <v>1551.5</v>
      </c>
      <c r="F98" s="6">
        <f>IFERROR(__xludf.DUMMYFUNCTION("""COMPUTED_VALUE"""),3303322.0)</f>
        <v>3303322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IFERROR(__xludf.DUMMYFUNCTION("""COMPUTED_VALUE"""),1552.0)</f>
        <v>1552</v>
      </c>
      <c r="C99" s="6">
        <f>IFERROR(__xludf.DUMMYFUNCTION("""COMPUTED_VALUE"""),1605.0)</f>
        <v>1605</v>
      </c>
      <c r="D99" s="6">
        <f>IFERROR(__xludf.DUMMYFUNCTION("""COMPUTED_VALUE"""),1525.0)</f>
        <v>1525</v>
      </c>
      <c r="E99" s="6">
        <f>IFERROR(__xludf.DUMMYFUNCTION("""COMPUTED_VALUE"""),1598.3)</f>
        <v>1598.3</v>
      </c>
      <c r="F99" s="6">
        <f>IFERROR(__xludf.DUMMYFUNCTION("""COMPUTED_VALUE"""),1652308.0)</f>
        <v>1652308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IFERROR(__xludf.DUMMYFUNCTION("""COMPUTED_VALUE"""),1625.0)</f>
        <v>1625</v>
      </c>
      <c r="C100" s="6">
        <f>IFERROR(__xludf.DUMMYFUNCTION("""COMPUTED_VALUE"""),1674.8)</f>
        <v>1674.8</v>
      </c>
      <c r="D100" s="6">
        <f>IFERROR(__xludf.DUMMYFUNCTION("""COMPUTED_VALUE"""),1605.1)</f>
        <v>1605.1</v>
      </c>
      <c r="E100" s="6">
        <f>IFERROR(__xludf.DUMMYFUNCTION("""COMPUTED_VALUE"""),1638.7)</f>
        <v>1638.7</v>
      </c>
      <c r="F100" s="6">
        <f>IFERROR(__xludf.DUMMYFUNCTION("""COMPUTED_VALUE"""),2912187.0)</f>
        <v>2912187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IFERROR(__xludf.DUMMYFUNCTION("""COMPUTED_VALUE"""),1645.0)</f>
        <v>1645</v>
      </c>
      <c r="C101" s="6">
        <f>IFERROR(__xludf.DUMMYFUNCTION("""COMPUTED_VALUE"""),1671.8)</f>
        <v>1671.8</v>
      </c>
      <c r="D101" s="6">
        <f>IFERROR(__xludf.DUMMYFUNCTION("""COMPUTED_VALUE"""),1618.2)</f>
        <v>1618.2</v>
      </c>
      <c r="E101" s="6">
        <f>IFERROR(__xludf.DUMMYFUNCTION("""COMPUTED_VALUE"""),1622.8)</f>
        <v>1622.8</v>
      </c>
      <c r="F101" s="6">
        <f>IFERROR(__xludf.DUMMYFUNCTION("""COMPUTED_VALUE"""),8509341.0)</f>
        <v>8509341</v>
      </c>
    </row>
  </sheetData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IFERROR(__xludf.DUMMYFUNCTION("GOOGLEFINANCE(""NSE:MOTHERSON"",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IFERROR(__xludf.DUMMYFUNCTION("""COMPUTED_VALUE"""),64.27)</f>
        <v>64.27</v>
      </c>
      <c r="C2" s="6">
        <f>IFERROR(__xludf.DUMMYFUNCTION("""COMPUTED_VALUE"""),65.43)</f>
        <v>65.43</v>
      </c>
      <c r="D2" s="6">
        <f>IFERROR(__xludf.DUMMYFUNCTION("""COMPUTED_VALUE"""),63.4)</f>
        <v>63.4</v>
      </c>
      <c r="E2" s="6">
        <f>IFERROR(__xludf.DUMMYFUNCTION("""COMPUTED_VALUE"""),65.2)</f>
        <v>65.2</v>
      </c>
      <c r="F2" s="6">
        <f>IFERROR(__xludf.DUMMYFUNCTION("""COMPUTED_VALUE"""),3.6215787E7)</f>
        <v>36215787</v>
      </c>
    </row>
    <row r="3">
      <c r="A3" s="7">
        <f>IFERROR(__xludf.DUMMYFUNCTION("""COMPUTED_VALUE"""),45177.64583333333)</f>
        <v>45177.64583</v>
      </c>
      <c r="B3" s="6">
        <f>IFERROR(__xludf.DUMMYFUNCTION("""COMPUTED_VALUE"""),66.07)</f>
        <v>66.07</v>
      </c>
      <c r="C3" s="6">
        <f>IFERROR(__xludf.DUMMYFUNCTION("""COMPUTED_VALUE"""),68.93)</f>
        <v>68.93</v>
      </c>
      <c r="D3" s="6">
        <f>IFERROR(__xludf.DUMMYFUNCTION("""COMPUTED_VALUE"""),65.4)</f>
        <v>65.4</v>
      </c>
      <c r="E3" s="6">
        <f>IFERROR(__xludf.DUMMYFUNCTION("""COMPUTED_VALUE"""),66.37)</f>
        <v>66.37</v>
      </c>
      <c r="F3" s="6">
        <f>IFERROR(__xludf.DUMMYFUNCTION("""COMPUTED_VALUE"""),6.0704244E7)</f>
        <v>60704244</v>
      </c>
    </row>
    <row r="4">
      <c r="A4" s="7">
        <f>IFERROR(__xludf.DUMMYFUNCTION("""COMPUTED_VALUE"""),45184.64583333333)</f>
        <v>45184.64583</v>
      </c>
      <c r="B4" s="6">
        <f>IFERROR(__xludf.DUMMYFUNCTION("""COMPUTED_VALUE"""),67.43)</f>
        <v>67.43</v>
      </c>
      <c r="C4" s="6">
        <f>IFERROR(__xludf.DUMMYFUNCTION("""COMPUTED_VALUE"""),67.7)</f>
        <v>67.7</v>
      </c>
      <c r="D4" s="6">
        <f>IFERROR(__xludf.DUMMYFUNCTION("""COMPUTED_VALUE"""),63.8)</f>
        <v>63.8</v>
      </c>
      <c r="E4" s="6">
        <f>IFERROR(__xludf.DUMMYFUNCTION("""COMPUTED_VALUE"""),65.63)</f>
        <v>65.63</v>
      </c>
      <c r="F4" s="6">
        <f>IFERROR(__xludf.DUMMYFUNCTION("""COMPUTED_VALUE"""),4.7230712E7)</f>
        <v>47230712</v>
      </c>
    </row>
    <row r="5">
      <c r="A5" s="7">
        <f>IFERROR(__xludf.DUMMYFUNCTION("""COMPUTED_VALUE"""),45191.64583333333)</f>
        <v>45191.64583</v>
      </c>
      <c r="B5" s="6">
        <f>IFERROR(__xludf.DUMMYFUNCTION("""COMPUTED_VALUE"""),65.7)</f>
        <v>65.7</v>
      </c>
      <c r="C5" s="6">
        <f>IFERROR(__xludf.DUMMYFUNCTION("""COMPUTED_VALUE"""),66.9)</f>
        <v>66.9</v>
      </c>
      <c r="D5" s="6">
        <f>IFERROR(__xludf.DUMMYFUNCTION("""COMPUTED_VALUE"""),63.5)</f>
        <v>63.5</v>
      </c>
      <c r="E5" s="6">
        <f>IFERROR(__xludf.DUMMYFUNCTION("""COMPUTED_VALUE"""),64.1)</f>
        <v>64.1</v>
      </c>
      <c r="F5" s="6">
        <f>IFERROR(__xludf.DUMMYFUNCTION("""COMPUTED_VALUE"""),2.8679303E7)</f>
        <v>28679303</v>
      </c>
    </row>
    <row r="6">
      <c r="A6" s="7">
        <f>IFERROR(__xludf.DUMMYFUNCTION("""COMPUTED_VALUE"""),45198.64583333333)</f>
        <v>45198.64583</v>
      </c>
      <c r="B6" s="6">
        <f>IFERROR(__xludf.DUMMYFUNCTION("""COMPUTED_VALUE"""),64.33)</f>
        <v>64.33</v>
      </c>
      <c r="C6" s="6">
        <f>IFERROR(__xludf.DUMMYFUNCTION("""COMPUTED_VALUE"""),65.2)</f>
        <v>65.2</v>
      </c>
      <c r="D6" s="6">
        <f>IFERROR(__xludf.DUMMYFUNCTION("""COMPUTED_VALUE"""),63.37)</f>
        <v>63.37</v>
      </c>
      <c r="E6" s="6">
        <f>IFERROR(__xludf.DUMMYFUNCTION("""COMPUTED_VALUE"""),64.0)</f>
        <v>64</v>
      </c>
      <c r="F6" s="6">
        <f>IFERROR(__xludf.DUMMYFUNCTION("""COMPUTED_VALUE"""),4.3367697E7)</f>
        <v>43367697</v>
      </c>
    </row>
    <row r="7">
      <c r="A7" s="7">
        <f>IFERROR(__xludf.DUMMYFUNCTION("""COMPUTED_VALUE"""),45205.64583333333)</f>
        <v>45205.64583</v>
      </c>
      <c r="B7" s="6">
        <f>IFERROR(__xludf.DUMMYFUNCTION("""COMPUTED_VALUE"""),64.03)</f>
        <v>64.03</v>
      </c>
      <c r="C7" s="6">
        <f>IFERROR(__xludf.DUMMYFUNCTION("""COMPUTED_VALUE"""),64.33)</f>
        <v>64.33</v>
      </c>
      <c r="D7" s="6">
        <f>IFERROR(__xludf.DUMMYFUNCTION("""COMPUTED_VALUE"""),61.4)</f>
        <v>61.4</v>
      </c>
      <c r="E7" s="6">
        <f>IFERROR(__xludf.DUMMYFUNCTION("""COMPUTED_VALUE"""),61.77)</f>
        <v>61.77</v>
      </c>
      <c r="F7" s="6">
        <f>IFERROR(__xludf.DUMMYFUNCTION("""COMPUTED_VALUE"""),2.729079E7)</f>
        <v>27290790</v>
      </c>
    </row>
    <row r="8">
      <c r="A8" s="7">
        <f>IFERROR(__xludf.DUMMYFUNCTION("""COMPUTED_VALUE"""),45212.64583333333)</f>
        <v>45212.64583</v>
      </c>
      <c r="B8" s="6">
        <f>IFERROR(__xludf.DUMMYFUNCTION("""COMPUTED_VALUE"""),60.93)</f>
        <v>60.93</v>
      </c>
      <c r="C8" s="6">
        <f>IFERROR(__xludf.DUMMYFUNCTION("""COMPUTED_VALUE"""),64.17)</f>
        <v>64.17</v>
      </c>
      <c r="D8" s="6">
        <f>IFERROR(__xludf.DUMMYFUNCTION("""COMPUTED_VALUE"""),60.1)</f>
        <v>60.1</v>
      </c>
      <c r="E8" s="6">
        <f>IFERROR(__xludf.DUMMYFUNCTION("""COMPUTED_VALUE"""),62.9)</f>
        <v>62.9</v>
      </c>
      <c r="F8" s="6">
        <f>IFERROR(__xludf.DUMMYFUNCTION("""COMPUTED_VALUE"""),4.6095678E7)</f>
        <v>46095678</v>
      </c>
    </row>
    <row r="9">
      <c r="A9" s="7">
        <f>IFERROR(__xludf.DUMMYFUNCTION("""COMPUTED_VALUE"""),45219.64583333333)</f>
        <v>45219.64583</v>
      </c>
      <c r="B9" s="6">
        <f>IFERROR(__xludf.DUMMYFUNCTION("""COMPUTED_VALUE"""),63.77)</f>
        <v>63.77</v>
      </c>
      <c r="C9" s="6">
        <f>IFERROR(__xludf.DUMMYFUNCTION("""COMPUTED_VALUE"""),65.67)</f>
        <v>65.67</v>
      </c>
      <c r="D9" s="6">
        <f>IFERROR(__xludf.DUMMYFUNCTION("""COMPUTED_VALUE"""),61.9)</f>
        <v>61.9</v>
      </c>
      <c r="E9" s="6">
        <f>IFERROR(__xludf.DUMMYFUNCTION("""COMPUTED_VALUE"""),62.2)</f>
        <v>62.2</v>
      </c>
      <c r="F9" s="6">
        <f>IFERROR(__xludf.DUMMYFUNCTION("""COMPUTED_VALUE"""),3.0867467E7)</f>
        <v>30867467</v>
      </c>
    </row>
    <row r="10">
      <c r="A10" s="7">
        <f>IFERROR(__xludf.DUMMYFUNCTION("""COMPUTED_VALUE"""),45226.64583333333)</f>
        <v>45226.64583</v>
      </c>
      <c r="B10" s="6">
        <f>IFERROR(__xludf.DUMMYFUNCTION("""COMPUTED_VALUE"""),62.83)</f>
        <v>62.83</v>
      </c>
      <c r="C10" s="6">
        <f>IFERROR(__xludf.DUMMYFUNCTION("""COMPUTED_VALUE"""),62.83)</f>
        <v>62.83</v>
      </c>
      <c r="D10" s="6">
        <f>IFERROR(__xludf.DUMMYFUNCTION("""COMPUTED_VALUE"""),59.13)</f>
        <v>59.13</v>
      </c>
      <c r="E10" s="6">
        <f>IFERROR(__xludf.DUMMYFUNCTION("""COMPUTED_VALUE"""),61.67)</f>
        <v>61.67</v>
      </c>
      <c r="F10" s="6">
        <f>IFERROR(__xludf.DUMMYFUNCTION("""COMPUTED_VALUE"""),3.1095316E7)</f>
        <v>31095316</v>
      </c>
    </row>
    <row r="11">
      <c r="A11" s="7">
        <f>IFERROR(__xludf.DUMMYFUNCTION("""COMPUTED_VALUE"""),45233.64583333333)</f>
        <v>45233.64583</v>
      </c>
      <c r="B11" s="6">
        <f>IFERROR(__xludf.DUMMYFUNCTION("""COMPUTED_VALUE"""),61.97)</f>
        <v>61.97</v>
      </c>
      <c r="C11" s="6">
        <f>IFERROR(__xludf.DUMMYFUNCTION("""COMPUTED_VALUE"""),62.33)</f>
        <v>62.33</v>
      </c>
      <c r="D11" s="6">
        <f>IFERROR(__xludf.DUMMYFUNCTION("""COMPUTED_VALUE"""),60.2)</f>
        <v>60.2</v>
      </c>
      <c r="E11" s="6">
        <f>IFERROR(__xludf.DUMMYFUNCTION("""COMPUTED_VALUE"""),60.4)</f>
        <v>60.4</v>
      </c>
      <c r="F11" s="6">
        <f>IFERROR(__xludf.DUMMYFUNCTION("""COMPUTED_VALUE"""),2.6088639E7)</f>
        <v>26088639</v>
      </c>
    </row>
    <row r="12">
      <c r="A12" s="7">
        <f>IFERROR(__xludf.DUMMYFUNCTION("""COMPUTED_VALUE"""),45240.64583333333)</f>
        <v>45240.64583</v>
      </c>
      <c r="B12" s="6">
        <f>IFERROR(__xludf.DUMMYFUNCTION("""COMPUTED_VALUE"""),61.27)</f>
        <v>61.27</v>
      </c>
      <c r="C12" s="6">
        <f>IFERROR(__xludf.DUMMYFUNCTION("""COMPUTED_VALUE"""),62.4)</f>
        <v>62.4</v>
      </c>
      <c r="D12" s="6">
        <f>IFERROR(__xludf.DUMMYFUNCTION("""COMPUTED_VALUE"""),58.2)</f>
        <v>58.2</v>
      </c>
      <c r="E12" s="6">
        <f>IFERROR(__xludf.DUMMYFUNCTION("""COMPUTED_VALUE"""),58.93)</f>
        <v>58.93</v>
      </c>
      <c r="F12" s="6">
        <f>IFERROR(__xludf.DUMMYFUNCTION("""COMPUTED_VALUE"""),5.5586438E7)</f>
        <v>55586438</v>
      </c>
    </row>
    <row r="13">
      <c r="A13" s="7">
        <f>IFERROR(__xludf.DUMMYFUNCTION("""COMPUTED_VALUE"""),45247.64583333333)</f>
        <v>45247.64583</v>
      </c>
      <c r="B13" s="6">
        <f>IFERROR(__xludf.DUMMYFUNCTION("""COMPUTED_VALUE"""),60.13)</f>
        <v>60.13</v>
      </c>
      <c r="C13" s="6">
        <f>IFERROR(__xludf.DUMMYFUNCTION("""COMPUTED_VALUE"""),61.2)</f>
        <v>61.2</v>
      </c>
      <c r="D13" s="6">
        <f>IFERROR(__xludf.DUMMYFUNCTION("""COMPUTED_VALUE"""),59.27)</f>
        <v>59.27</v>
      </c>
      <c r="E13" s="6">
        <f>IFERROR(__xludf.DUMMYFUNCTION("""COMPUTED_VALUE"""),60.03)</f>
        <v>60.03</v>
      </c>
      <c r="F13" s="6">
        <f>IFERROR(__xludf.DUMMYFUNCTION("""COMPUTED_VALUE"""),4.3066033E7)</f>
        <v>43066033</v>
      </c>
    </row>
    <row r="14">
      <c r="A14" s="7">
        <f>IFERROR(__xludf.DUMMYFUNCTION("""COMPUTED_VALUE"""),45254.64583333333)</f>
        <v>45254.64583</v>
      </c>
      <c r="B14" s="6">
        <f>IFERROR(__xludf.DUMMYFUNCTION("""COMPUTED_VALUE"""),60.33)</f>
        <v>60.33</v>
      </c>
      <c r="C14" s="6">
        <f>IFERROR(__xludf.DUMMYFUNCTION("""COMPUTED_VALUE"""),60.37)</f>
        <v>60.37</v>
      </c>
      <c r="D14" s="6">
        <f>IFERROR(__xludf.DUMMYFUNCTION("""COMPUTED_VALUE"""),57.87)</f>
        <v>57.87</v>
      </c>
      <c r="E14" s="6">
        <f>IFERROR(__xludf.DUMMYFUNCTION("""COMPUTED_VALUE"""),58.33)</f>
        <v>58.33</v>
      </c>
      <c r="F14" s="6">
        <f>IFERROR(__xludf.DUMMYFUNCTION("""COMPUTED_VALUE"""),3.8557659E7)</f>
        <v>38557659</v>
      </c>
    </row>
    <row r="15">
      <c r="A15" s="7">
        <f>IFERROR(__xludf.DUMMYFUNCTION("""COMPUTED_VALUE"""),45261.64583333333)</f>
        <v>45261.64583</v>
      </c>
      <c r="B15" s="6">
        <f>IFERROR(__xludf.DUMMYFUNCTION("""COMPUTED_VALUE"""),58.8)</f>
        <v>58.8</v>
      </c>
      <c r="C15" s="6">
        <f>IFERROR(__xludf.DUMMYFUNCTION("""COMPUTED_VALUE"""),62.57)</f>
        <v>62.57</v>
      </c>
      <c r="D15" s="6">
        <f>IFERROR(__xludf.DUMMYFUNCTION("""COMPUTED_VALUE"""),57.87)</f>
        <v>57.87</v>
      </c>
      <c r="E15" s="6">
        <f>IFERROR(__xludf.DUMMYFUNCTION("""COMPUTED_VALUE"""),62.07)</f>
        <v>62.07</v>
      </c>
      <c r="F15" s="6">
        <f>IFERROR(__xludf.DUMMYFUNCTION("""COMPUTED_VALUE"""),7.0430981E7)</f>
        <v>70430981</v>
      </c>
    </row>
    <row r="16">
      <c r="A16" s="7">
        <f>IFERROR(__xludf.DUMMYFUNCTION("""COMPUTED_VALUE"""),45268.64583333333)</f>
        <v>45268.64583</v>
      </c>
      <c r="B16" s="6">
        <f>IFERROR(__xludf.DUMMYFUNCTION("""COMPUTED_VALUE"""),63.0)</f>
        <v>63</v>
      </c>
      <c r="C16" s="6">
        <f>IFERROR(__xludf.DUMMYFUNCTION("""COMPUTED_VALUE"""),63.63)</f>
        <v>63.63</v>
      </c>
      <c r="D16" s="6">
        <f>IFERROR(__xludf.DUMMYFUNCTION("""COMPUTED_VALUE"""),61.5)</f>
        <v>61.5</v>
      </c>
      <c r="E16" s="6">
        <f>IFERROR(__xludf.DUMMYFUNCTION("""COMPUTED_VALUE"""),63.33)</f>
        <v>63.33</v>
      </c>
      <c r="F16" s="6">
        <f>IFERROR(__xludf.DUMMYFUNCTION("""COMPUTED_VALUE"""),6.1066011E7)</f>
        <v>61066011</v>
      </c>
    </row>
    <row r="17">
      <c r="A17" s="7">
        <f>IFERROR(__xludf.DUMMYFUNCTION("""COMPUTED_VALUE"""),45275.64583333333)</f>
        <v>45275.64583</v>
      </c>
      <c r="B17" s="6">
        <f>IFERROR(__xludf.DUMMYFUNCTION("""COMPUTED_VALUE"""),63.7)</f>
        <v>63.7</v>
      </c>
      <c r="C17" s="6">
        <f>IFERROR(__xludf.DUMMYFUNCTION("""COMPUTED_VALUE"""),66.6)</f>
        <v>66.6</v>
      </c>
      <c r="D17" s="6">
        <f>IFERROR(__xludf.DUMMYFUNCTION("""COMPUTED_VALUE"""),62.97)</f>
        <v>62.97</v>
      </c>
      <c r="E17" s="6">
        <f>IFERROR(__xludf.DUMMYFUNCTION("""COMPUTED_VALUE"""),65.5)</f>
        <v>65.5</v>
      </c>
      <c r="F17" s="6">
        <f>IFERROR(__xludf.DUMMYFUNCTION("""COMPUTED_VALUE"""),9.9957758E7)</f>
        <v>99957758</v>
      </c>
    </row>
    <row r="18">
      <c r="A18" s="7">
        <f>IFERROR(__xludf.DUMMYFUNCTION("""COMPUTED_VALUE"""),45282.64583333333)</f>
        <v>45282.64583</v>
      </c>
      <c r="B18" s="6">
        <f>IFERROR(__xludf.DUMMYFUNCTION("""COMPUTED_VALUE"""),65.73)</f>
        <v>65.73</v>
      </c>
      <c r="C18" s="6">
        <f>IFERROR(__xludf.DUMMYFUNCTION("""COMPUTED_VALUE"""),66.23)</f>
        <v>66.23</v>
      </c>
      <c r="D18" s="6">
        <f>IFERROR(__xludf.DUMMYFUNCTION("""COMPUTED_VALUE"""),60.13)</f>
        <v>60.13</v>
      </c>
      <c r="E18" s="6">
        <f>IFERROR(__xludf.DUMMYFUNCTION("""COMPUTED_VALUE"""),63.2)</f>
        <v>63.2</v>
      </c>
      <c r="F18" s="6">
        <f>IFERROR(__xludf.DUMMYFUNCTION("""COMPUTED_VALUE"""),5.1488217E7)</f>
        <v>51488217</v>
      </c>
    </row>
    <row r="19">
      <c r="A19" s="7">
        <f>IFERROR(__xludf.DUMMYFUNCTION("""COMPUTED_VALUE"""),45289.64583333333)</f>
        <v>45289.64583</v>
      </c>
      <c r="B19" s="6">
        <f>IFERROR(__xludf.DUMMYFUNCTION("""COMPUTED_VALUE"""),63.33)</f>
        <v>63.33</v>
      </c>
      <c r="C19" s="6">
        <f>IFERROR(__xludf.DUMMYFUNCTION("""COMPUTED_VALUE"""),68.57)</f>
        <v>68.57</v>
      </c>
      <c r="D19" s="6">
        <f>IFERROR(__xludf.DUMMYFUNCTION("""COMPUTED_VALUE"""),62.9)</f>
        <v>62.9</v>
      </c>
      <c r="E19" s="6">
        <f>IFERROR(__xludf.DUMMYFUNCTION("""COMPUTED_VALUE"""),67.97)</f>
        <v>67.97</v>
      </c>
      <c r="F19" s="6">
        <f>IFERROR(__xludf.DUMMYFUNCTION("""COMPUTED_VALUE"""),1.04046175E8)</f>
        <v>104046175</v>
      </c>
    </row>
    <row r="20">
      <c r="A20" s="7">
        <f>IFERROR(__xludf.DUMMYFUNCTION("""COMPUTED_VALUE"""),45296.64583333333)</f>
        <v>45296.64583</v>
      </c>
      <c r="B20" s="6">
        <f>IFERROR(__xludf.DUMMYFUNCTION("""COMPUTED_VALUE"""),68.53)</f>
        <v>68.53</v>
      </c>
      <c r="C20" s="6">
        <f>IFERROR(__xludf.DUMMYFUNCTION("""COMPUTED_VALUE"""),72.6)</f>
        <v>72.6</v>
      </c>
      <c r="D20" s="6">
        <f>IFERROR(__xludf.DUMMYFUNCTION("""COMPUTED_VALUE"""),67.57)</f>
        <v>67.57</v>
      </c>
      <c r="E20" s="6">
        <f>IFERROR(__xludf.DUMMYFUNCTION("""COMPUTED_VALUE"""),69.37)</f>
        <v>69.37</v>
      </c>
      <c r="F20" s="6">
        <f>IFERROR(__xludf.DUMMYFUNCTION("""COMPUTED_VALUE"""),1.43060066E8)</f>
        <v>143060066</v>
      </c>
    </row>
    <row r="21">
      <c r="A21" s="7">
        <f>IFERROR(__xludf.DUMMYFUNCTION("""COMPUTED_VALUE"""),45303.64583333333)</f>
        <v>45303.64583</v>
      </c>
      <c r="B21" s="6">
        <f>IFERROR(__xludf.DUMMYFUNCTION("""COMPUTED_VALUE"""),70.37)</f>
        <v>70.37</v>
      </c>
      <c r="C21" s="6">
        <f>IFERROR(__xludf.DUMMYFUNCTION("""COMPUTED_VALUE"""),74.2)</f>
        <v>74.2</v>
      </c>
      <c r="D21" s="6">
        <f>IFERROR(__xludf.DUMMYFUNCTION("""COMPUTED_VALUE"""),69.27)</f>
        <v>69.27</v>
      </c>
      <c r="E21" s="6">
        <f>IFERROR(__xludf.DUMMYFUNCTION("""COMPUTED_VALUE"""),71.6)</f>
        <v>71.6</v>
      </c>
      <c r="F21" s="6">
        <f>IFERROR(__xludf.DUMMYFUNCTION("""COMPUTED_VALUE"""),1.52383769E8)</f>
        <v>152383769</v>
      </c>
    </row>
    <row r="22">
      <c r="A22" s="7">
        <f>IFERROR(__xludf.DUMMYFUNCTION("""COMPUTED_VALUE"""),45316.64583333333)</f>
        <v>45316.64583</v>
      </c>
      <c r="B22" s="6">
        <f>IFERROR(__xludf.DUMMYFUNCTION("""COMPUTED_VALUE"""),72.5)</f>
        <v>72.5</v>
      </c>
      <c r="C22" s="6">
        <f>IFERROR(__xludf.DUMMYFUNCTION("""COMPUTED_VALUE"""),77.43)</f>
        <v>77.43</v>
      </c>
      <c r="D22" s="6">
        <f>IFERROR(__xludf.DUMMYFUNCTION("""COMPUTED_VALUE"""),69.47)</f>
        <v>69.47</v>
      </c>
      <c r="E22" s="6">
        <f>IFERROR(__xludf.DUMMYFUNCTION("""COMPUTED_VALUE"""),76.93)</f>
        <v>76.93</v>
      </c>
      <c r="F22" s="6">
        <f>IFERROR(__xludf.DUMMYFUNCTION("""COMPUTED_VALUE"""),9.5126929E7)</f>
        <v>95126929</v>
      </c>
    </row>
    <row r="23">
      <c r="A23" s="7">
        <f>IFERROR(__xludf.DUMMYFUNCTION("""COMPUTED_VALUE"""),45324.64583333333)</f>
        <v>45324.64583</v>
      </c>
      <c r="B23" s="6">
        <f>IFERROR(__xludf.DUMMYFUNCTION("""COMPUTED_VALUE"""),77.5)</f>
        <v>77.5</v>
      </c>
      <c r="C23" s="6">
        <f>IFERROR(__xludf.DUMMYFUNCTION("""COMPUTED_VALUE"""),78.67)</f>
        <v>78.67</v>
      </c>
      <c r="D23" s="6">
        <f>IFERROR(__xludf.DUMMYFUNCTION("""COMPUTED_VALUE"""),75.2)</f>
        <v>75.2</v>
      </c>
      <c r="E23" s="6">
        <f>IFERROR(__xludf.DUMMYFUNCTION("""COMPUTED_VALUE"""),77.23)</f>
        <v>77.23</v>
      </c>
      <c r="F23" s="6">
        <f>IFERROR(__xludf.DUMMYFUNCTION("""COMPUTED_VALUE"""),7.1558848E7)</f>
        <v>71558848</v>
      </c>
    </row>
    <row r="24">
      <c r="A24" s="7">
        <f>IFERROR(__xludf.DUMMYFUNCTION("""COMPUTED_VALUE"""),45331.64583333333)</f>
        <v>45331.64583</v>
      </c>
      <c r="B24" s="6">
        <f>IFERROR(__xludf.DUMMYFUNCTION("""COMPUTED_VALUE"""),77.87)</f>
        <v>77.87</v>
      </c>
      <c r="C24" s="6">
        <f>IFERROR(__xludf.DUMMYFUNCTION("""COMPUTED_VALUE"""),82.0)</f>
        <v>82</v>
      </c>
      <c r="D24" s="6">
        <f>IFERROR(__xludf.DUMMYFUNCTION("""COMPUTED_VALUE"""),77.27)</f>
        <v>77.27</v>
      </c>
      <c r="E24" s="6">
        <f>IFERROR(__xludf.DUMMYFUNCTION("""COMPUTED_VALUE"""),80.83)</f>
        <v>80.83</v>
      </c>
      <c r="F24" s="6">
        <f>IFERROR(__xludf.DUMMYFUNCTION("""COMPUTED_VALUE"""),6.0400599E7)</f>
        <v>60400599</v>
      </c>
    </row>
    <row r="25">
      <c r="A25" s="7">
        <f>IFERROR(__xludf.DUMMYFUNCTION("""COMPUTED_VALUE"""),45338.64583333333)</f>
        <v>45338.64583</v>
      </c>
      <c r="B25" s="6">
        <f>IFERROR(__xludf.DUMMYFUNCTION("""COMPUTED_VALUE"""),82.03)</f>
        <v>82.03</v>
      </c>
      <c r="C25" s="6">
        <f>IFERROR(__xludf.DUMMYFUNCTION("""COMPUTED_VALUE"""),82.27)</f>
        <v>82.27</v>
      </c>
      <c r="D25" s="6">
        <f>IFERROR(__xludf.DUMMYFUNCTION("""COMPUTED_VALUE"""),72.97)</f>
        <v>72.97</v>
      </c>
      <c r="E25" s="6">
        <f>IFERROR(__xludf.DUMMYFUNCTION("""COMPUTED_VALUE"""),76.03)</f>
        <v>76.03</v>
      </c>
      <c r="F25" s="6">
        <f>IFERROR(__xludf.DUMMYFUNCTION("""COMPUTED_VALUE"""),8.5144327E7)</f>
        <v>85144327</v>
      </c>
    </row>
    <row r="26">
      <c r="A26" s="7">
        <f>IFERROR(__xludf.DUMMYFUNCTION("""COMPUTED_VALUE"""),45345.64583333333)</f>
        <v>45345.64583</v>
      </c>
      <c r="B26" s="6">
        <f>IFERROR(__xludf.DUMMYFUNCTION("""COMPUTED_VALUE"""),76.67)</f>
        <v>76.67</v>
      </c>
      <c r="C26" s="6">
        <f>IFERROR(__xludf.DUMMYFUNCTION("""COMPUTED_VALUE"""),77.93)</f>
        <v>77.93</v>
      </c>
      <c r="D26" s="6">
        <f>IFERROR(__xludf.DUMMYFUNCTION("""COMPUTED_VALUE"""),73.97)</f>
        <v>73.97</v>
      </c>
      <c r="E26" s="6">
        <f>IFERROR(__xludf.DUMMYFUNCTION("""COMPUTED_VALUE"""),77.1)</f>
        <v>77.1</v>
      </c>
      <c r="F26" s="6">
        <f>IFERROR(__xludf.DUMMYFUNCTION("""COMPUTED_VALUE"""),4.5671485E7)</f>
        <v>45671485</v>
      </c>
    </row>
    <row r="27">
      <c r="A27" s="7">
        <f>IFERROR(__xludf.DUMMYFUNCTION("""COMPUTED_VALUE"""),45358.64583333333)</f>
        <v>45358.64583</v>
      </c>
      <c r="B27" s="6">
        <f>IFERROR(__xludf.DUMMYFUNCTION("""COMPUTED_VALUE"""),80.67)</f>
        <v>80.67</v>
      </c>
      <c r="C27" s="6">
        <f>IFERROR(__xludf.DUMMYFUNCTION("""COMPUTED_VALUE"""),84.33)</f>
        <v>84.33</v>
      </c>
      <c r="D27" s="6">
        <f>IFERROR(__xludf.DUMMYFUNCTION("""COMPUTED_VALUE"""),78.57)</f>
        <v>78.57</v>
      </c>
      <c r="E27" s="6">
        <f>IFERROR(__xludf.DUMMYFUNCTION("""COMPUTED_VALUE"""),79.3)</f>
        <v>79.3</v>
      </c>
      <c r="F27" s="6">
        <f>IFERROR(__xludf.DUMMYFUNCTION("""COMPUTED_VALUE"""),5.43028974E8)</f>
        <v>543028974</v>
      </c>
    </row>
    <row r="28">
      <c r="A28" s="7">
        <f>IFERROR(__xludf.DUMMYFUNCTION("""COMPUTED_VALUE"""),45366.64583333333)</f>
        <v>45366.64583</v>
      </c>
      <c r="B28" s="6">
        <f>IFERROR(__xludf.DUMMYFUNCTION("""COMPUTED_VALUE"""),79.27)</f>
        <v>79.27</v>
      </c>
      <c r="C28" s="6">
        <f>IFERROR(__xludf.DUMMYFUNCTION("""COMPUTED_VALUE"""),79.27)</f>
        <v>79.27</v>
      </c>
      <c r="D28" s="6">
        <f>IFERROR(__xludf.DUMMYFUNCTION("""COMPUTED_VALUE"""),71.67)</f>
        <v>71.67</v>
      </c>
      <c r="E28" s="6">
        <f>IFERROR(__xludf.DUMMYFUNCTION("""COMPUTED_VALUE"""),74.23)</f>
        <v>74.23</v>
      </c>
      <c r="F28" s="6">
        <f>IFERROR(__xludf.DUMMYFUNCTION("""COMPUTED_VALUE"""),1.11671654E8)</f>
        <v>111671654</v>
      </c>
    </row>
    <row r="29">
      <c r="A29" s="7">
        <f>IFERROR(__xludf.DUMMYFUNCTION("""COMPUTED_VALUE"""),45373.64583333333)</f>
        <v>45373.64583</v>
      </c>
      <c r="B29" s="6">
        <f>IFERROR(__xludf.DUMMYFUNCTION("""COMPUTED_VALUE"""),75.2)</f>
        <v>75.2</v>
      </c>
      <c r="C29" s="6">
        <f>IFERROR(__xludf.DUMMYFUNCTION("""COMPUTED_VALUE"""),77.87)</f>
        <v>77.87</v>
      </c>
      <c r="D29" s="6">
        <f>IFERROR(__xludf.DUMMYFUNCTION("""COMPUTED_VALUE"""),73.43)</f>
        <v>73.43</v>
      </c>
      <c r="E29" s="6">
        <f>IFERROR(__xludf.DUMMYFUNCTION("""COMPUTED_VALUE"""),77.53)</f>
        <v>77.53</v>
      </c>
      <c r="F29" s="6">
        <f>IFERROR(__xludf.DUMMYFUNCTION("""COMPUTED_VALUE"""),7.756607E7)</f>
        <v>77566070</v>
      </c>
    </row>
    <row r="30">
      <c r="A30" s="7">
        <f>IFERROR(__xludf.DUMMYFUNCTION("""COMPUTED_VALUE"""),45379.64583333333)</f>
        <v>45379.64583</v>
      </c>
      <c r="B30" s="6">
        <f>IFERROR(__xludf.DUMMYFUNCTION("""COMPUTED_VALUE"""),76.2)</f>
        <v>76.2</v>
      </c>
      <c r="C30" s="6">
        <f>IFERROR(__xludf.DUMMYFUNCTION("""COMPUTED_VALUE"""),78.9)</f>
        <v>78.9</v>
      </c>
      <c r="D30" s="6">
        <f>IFERROR(__xludf.DUMMYFUNCTION("""COMPUTED_VALUE"""),76.2)</f>
        <v>76.2</v>
      </c>
      <c r="E30" s="6">
        <f>IFERROR(__xludf.DUMMYFUNCTION("""COMPUTED_VALUE"""),78.07)</f>
        <v>78.07</v>
      </c>
      <c r="F30" s="6">
        <f>IFERROR(__xludf.DUMMYFUNCTION("""COMPUTED_VALUE"""),3.101994E7)</f>
        <v>31019940</v>
      </c>
    </row>
    <row r="31">
      <c r="A31" s="7">
        <f>IFERROR(__xludf.DUMMYFUNCTION("""COMPUTED_VALUE"""),45387.64583333333)</f>
        <v>45387.64583</v>
      </c>
      <c r="B31" s="6">
        <f>IFERROR(__xludf.DUMMYFUNCTION("""COMPUTED_VALUE"""),78.1)</f>
        <v>78.1</v>
      </c>
      <c r="C31" s="6">
        <f>IFERROR(__xludf.DUMMYFUNCTION("""COMPUTED_VALUE"""),82.2)</f>
        <v>82.2</v>
      </c>
      <c r="D31" s="6">
        <f>IFERROR(__xludf.DUMMYFUNCTION("""COMPUTED_VALUE"""),78.1)</f>
        <v>78.1</v>
      </c>
      <c r="E31" s="6">
        <f>IFERROR(__xludf.DUMMYFUNCTION("""COMPUTED_VALUE"""),79.6)</f>
        <v>79.6</v>
      </c>
      <c r="F31" s="6">
        <f>IFERROR(__xludf.DUMMYFUNCTION("""COMPUTED_VALUE"""),5.9735564E7)</f>
        <v>59735564</v>
      </c>
    </row>
    <row r="32">
      <c r="A32" s="7">
        <f>IFERROR(__xludf.DUMMYFUNCTION("""COMPUTED_VALUE"""),45394.64583333333)</f>
        <v>45394.64583</v>
      </c>
      <c r="B32" s="6">
        <f>IFERROR(__xludf.DUMMYFUNCTION("""COMPUTED_VALUE"""),79.6)</f>
        <v>79.6</v>
      </c>
      <c r="C32" s="6">
        <f>IFERROR(__xludf.DUMMYFUNCTION("""COMPUTED_VALUE"""),82.1)</f>
        <v>82.1</v>
      </c>
      <c r="D32" s="6">
        <f>IFERROR(__xludf.DUMMYFUNCTION("""COMPUTED_VALUE"""),77.93)</f>
        <v>77.93</v>
      </c>
      <c r="E32" s="6">
        <f>IFERROR(__xludf.DUMMYFUNCTION("""COMPUTED_VALUE"""),80.37)</f>
        <v>80.37</v>
      </c>
      <c r="F32" s="6">
        <f>IFERROR(__xludf.DUMMYFUNCTION("""COMPUTED_VALUE"""),4.81236E7)</f>
        <v>48123600</v>
      </c>
    </row>
    <row r="33">
      <c r="A33" s="7">
        <f>IFERROR(__xludf.DUMMYFUNCTION("""COMPUTED_VALUE"""),45401.64583333333)</f>
        <v>45401.64583</v>
      </c>
      <c r="B33" s="6">
        <f>IFERROR(__xludf.DUMMYFUNCTION("""COMPUTED_VALUE"""),78.77)</f>
        <v>78.77</v>
      </c>
      <c r="C33" s="6">
        <f>IFERROR(__xludf.DUMMYFUNCTION("""COMPUTED_VALUE"""),86.63)</f>
        <v>86.63</v>
      </c>
      <c r="D33" s="6">
        <f>IFERROR(__xludf.DUMMYFUNCTION("""COMPUTED_VALUE"""),77.87)</f>
        <v>77.87</v>
      </c>
      <c r="E33" s="6">
        <f>IFERROR(__xludf.DUMMYFUNCTION("""COMPUTED_VALUE"""),84.7)</f>
        <v>84.7</v>
      </c>
      <c r="F33" s="6">
        <f>IFERROR(__xludf.DUMMYFUNCTION("""COMPUTED_VALUE"""),1.16401774E8)</f>
        <v>116401774</v>
      </c>
    </row>
    <row r="34">
      <c r="A34" s="7">
        <f>IFERROR(__xludf.DUMMYFUNCTION("""COMPUTED_VALUE"""),45408.64583333333)</f>
        <v>45408.64583</v>
      </c>
      <c r="B34" s="6">
        <f>IFERROR(__xludf.DUMMYFUNCTION("""COMPUTED_VALUE"""),84.4)</f>
        <v>84.4</v>
      </c>
      <c r="C34" s="6">
        <f>IFERROR(__xludf.DUMMYFUNCTION("""COMPUTED_VALUE"""),88.2)</f>
        <v>88.2</v>
      </c>
      <c r="D34" s="6">
        <f>IFERROR(__xludf.DUMMYFUNCTION("""COMPUTED_VALUE"""),81.07)</f>
        <v>81.07</v>
      </c>
      <c r="E34" s="6">
        <f>IFERROR(__xludf.DUMMYFUNCTION("""COMPUTED_VALUE"""),87.4)</f>
        <v>87.4</v>
      </c>
      <c r="F34" s="6">
        <f>IFERROR(__xludf.DUMMYFUNCTION("""COMPUTED_VALUE"""),1.06996254E8)</f>
        <v>106996254</v>
      </c>
    </row>
    <row r="35">
      <c r="A35" s="7">
        <f>IFERROR(__xludf.DUMMYFUNCTION("""COMPUTED_VALUE"""),45415.64583333333)</f>
        <v>45415.64583</v>
      </c>
      <c r="B35" s="6">
        <f>IFERROR(__xludf.DUMMYFUNCTION("""COMPUTED_VALUE"""),88.1)</f>
        <v>88.1</v>
      </c>
      <c r="C35" s="6">
        <f>IFERROR(__xludf.DUMMYFUNCTION("""COMPUTED_VALUE"""),88.93)</f>
        <v>88.93</v>
      </c>
      <c r="D35" s="6">
        <f>IFERROR(__xludf.DUMMYFUNCTION("""COMPUTED_VALUE"""),86.17)</f>
        <v>86.17</v>
      </c>
      <c r="E35" s="6">
        <f>IFERROR(__xludf.DUMMYFUNCTION("""COMPUTED_VALUE"""),87.47)</f>
        <v>87.47</v>
      </c>
      <c r="F35" s="6">
        <f>IFERROR(__xludf.DUMMYFUNCTION("""COMPUTED_VALUE"""),4.8029897E7)</f>
        <v>48029897</v>
      </c>
    </row>
    <row r="36">
      <c r="A36" s="7">
        <f>IFERROR(__xludf.DUMMYFUNCTION("""COMPUTED_VALUE"""),45422.64583333333)</f>
        <v>45422.64583</v>
      </c>
      <c r="B36" s="6">
        <f>IFERROR(__xludf.DUMMYFUNCTION("""COMPUTED_VALUE"""),88.2)</f>
        <v>88.2</v>
      </c>
      <c r="C36" s="6">
        <f>IFERROR(__xludf.DUMMYFUNCTION("""COMPUTED_VALUE"""),88.2)</f>
        <v>88.2</v>
      </c>
      <c r="D36" s="6">
        <f>IFERROR(__xludf.DUMMYFUNCTION("""COMPUTED_VALUE"""),81.97)</f>
        <v>81.97</v>
      </c>
      <c r="E36" s="6">
        <f>IFERROR(__xludf.DUMMYFUNCTION("""COMPUTED_VALUE"""),85.07)</f>
        <v>85.07</v>
      </c>
      <c r="F36" s="6">
        <f>IFERROR(__xludf.DUMMYFUNCTION("""COMPUTED_VALUE"""),5.4973135E7)</f>
        <v>54973135</v>
      </c>
    </row>
    <row r="37">
      <c r="A37" s="7">
        <f>IFERROR(__xludf.DUMMYFUNCTION("""COMPUTED_VALUE"""),45436.64583333333)</f>
        <v>45436.64583</v>
      </c>
      <c r="B37" s="6">
        <f>IFERROR(__xludf.DUMMYFUNCTION("""COMPUTED_VALUE"""),86.33)</f>
        <v>86.33</v>
      </c>
      <c r="C37" s="6">
        <f>IFERROR(__xludf.DUMMYFUNCTION("""COMPUTED_VALUE"""),93.87)</f>
        <v>93.87</v>
      </c>
      <c r="D37" s="6">
        <f>IFERROR(__xludf.DUMMYFUNCTION("""COMPUTED_VALUE"""),86.2)</f>
        <v>86.2</v>
      </c>
      <c r="E37" s="6">
        <f>IFERROR(__xludf.DUMMYFUNCTION("""COMPUTED_VALUE"""),93.43)</f>
        <v>93.43</v>
      </c>
      <c r="F37" s="6">
        <f>IFERROR(__xludf.DUMMYFUNCTION("""COMPUTED_VALUE"""),9.5571197E7)</f>
        <v>95571197</v>
      </c>
    </row>
    <row r="38">
      <c r="A38" s="7">
        <f>IFERROR(__xludf.DUMMYFUNCTION("""COMPUTED_VALUE"""),45443.64583333333)</f>
        <v>45443.64583</v>
      </c>
      <c r="B38" s="6">
        <f>IFERROR(__xludf.DUMMYFUNCTION("""COMPUTED_VALUE"""),94.0)</f>
        <v>94</v>
      </c>
      <c r="C38" s="6">
        <f>IFERROR(__xludf.DUMMYFUNCTION("""COMPUTED_VALUE"""),104.63)</f>
        <v>104.63</v>
      </c>
      <c r="D38" s="6">
        <f>IFERROR(__xludf.DUMMYFUNCTION("""COMPUTED_VALUE"""),93.2)</f>
        <v>93.2</v>
      </c>
      <c r="E38" s="6">
        <f>IFERROR(__xludf.DUMMYFUNCTION("""COMPUTED_VALUE"""),100.83)</f>
        <v>100.83</v>
      </c>
      <c r="F38" s="6">
        <f>IFERROR(__xludf.DUMMYFUNCTION("""COMPUTED_VALUE"""),2.69848451E8)</f>
        <v>269848451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IFERROR(__xludf.DUMMYFUNCTION("""COMPUTED_VALUE"""),106.47)</f>
        <v>106.47</v>
      </c>
      <c r="C39" s="6">
        <f>IFERROR(__xludf.DUMMYFUNCTION("""COMPUTED_VALUE"""),106.47)</f>
        <v>106.47</v>
      </c>
      <c r="D39" s="6">
        <f>IFERROR(__xludf.DUMMYFUNCTION("""COMPUTED_VALUE"""),89.67)</f>
        <v>89.67</v>
      </c>
      <c r="E39" s="6">
        <f>IFERROR(__xludf.DUMMYFUNCTION("""COMPUTED_VALUE"""),104.47)</f>
        <v>104.47</v>
      </c>
      <c r="F39" s="6">
        <f>IFERROR(__xludf.DUMMYFUNCTION("""COMPUTED_VALUE"""),1.75850257E8)</f>
        <v>175850257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IFERROR(__xludf.DUMMYFUNCTION("""COMPUTED_VALUE"""),106.0)</f>
        <v>106</v>
      </c>
      <c r="C40" s="6">
        <f>IFERROR(__xludf.DUMMYFUNCTION("""COMPUTED_VALUE"""),117.4)</f>
        <v>117.4</v>
      </c>
      <c r="D40" s="6">
        <f>IFERROR(__xludf.DUMMYFUNCTION("""COMPUTED_VALUE"""),105.3)</f>
        <v>105.3</v>
      </c>
      <c r="E40" s="6">
        <f>IFERROR(__xludf.DUMMYFUNCTION("""COMPUTED_VALUE"""),116.41)</f>
        <v>116.41</v>
      </c>
      <c r="F40" s="6">
        <f>IFERROR(__xludf.DUMMYFUNCTION("""COMPUTED_VALUE"""),1.36233298E8)</f>
        <v>136233298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IFERROR(__xludf.DUMMYFUNCTION("""COMPUTED_VALUE"""),116.97)</f>
        <v>116.97</v>
      </c>
      <c r="C41" s="6">
        <f>IFERROR(__xludf.DUMMYFUNCTION("""COMPUTED_VALUE"""),126.2)</f>
        <v>126.2</v>
      </c>
      <c r="D41" s="6">
        <f>IFERROR(__xludf.DUMMYFUNCTION("""COMPUTED_VALUE"""),116.73)</f>
        <v>116.73</v>
      </c>
      <c r="E41" s="6">
        <f>IFERROR(__xludf.DUMMYFUNCTION("""COMPUTED_VALUE"""),125.15)</f>
        <v>125.15</v>
      </c>
      <c r="F41" s="6">
        <f>IFERROR(__xludf.DUMMYFUNCTION("""COMPUTED_VALUE"""),1.78508925E8)</f>
        <v>178508925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IFERROR(__xludf.DUMMYFUNCTION("""COMPUTED_VALUE"""),124.72)</f>
        <v>124.72</v>
      </c>
      <c r="C42" s="6">
        <f>IFERROR(__xludf.DUMMYFUNCTION("""COMPUTED_VALUE"""),133.47)</f>
        <v>133.47</v>
      </c>
      <c r="D42" s="6">
        <f>IFERROR(__xludf.DUMMYFUNCTION("""COMPUTED_VALUE"""),121.81)</f>
        <v>121.81</v>
      </c>
      <c r="E42" s="6">
        <f>IFERROR(__xludf.DUMMYFUNCTION("""COMPUTED_VALUE"""),126.87)</f>
        <v>126.87</v>
      </c>
      <c r="F42" s="6">
        <f>IFERROR(__xludf.DUMMYFUNCTION("""COMPUTED_VALUE"""),1.74021971E8)</f>
        <v>174021971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IFERROR(__xludf.DUMMYFUNCTION("""COMPUTED_VALUE"""),129.03)</f>
        <v>129.03</v>
      </c>
      <c r="C43" s="6">
        <f>IFERROR(__xludf.DUMMYFUNCTION("""COMPUTED_VALUE"""),139.25)</f>
        <v>139.25</v>
      </c>
      <c r="D43" s="6">
        <f>IFERROR(__xludf.DUMMYFUNCTION("""COMPUTED_VALUE"""),128.06)</f>
        <v>128.06</v>
      </c>
      <c r="E43" s="6">
        <f>IFERROR(__xludf.DUMMYFUNCTION("""COMPUTED_VALUE"""),136.67)</f>
        <v>136.67</v>
      </c>
      <c r="F43" s="6">
        <f>IFERROR(__xludf.DUMMYFUNCTION("""COMPUTED_VALUE"""),1.57443242E8)</f>
        <v>157443242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IFERROR(__xludf.DUMMYFUNCTION("""COMPUTED_VALUE"""),137.21)</f>
        <v>137.21</v>
      </c>
      <c r="C44" s="6">
        <f>IFERROR(__xludf.DUMMYFUNCTION("""COMPUTED_VALUE"""),137.57)</f>
        <v>137.57</v>
      </c>
      <c r="D44" s="6">
        <f>IFERROR(__xludf.DUMMYFUNCTION("""COMPUTED_VALUE"""),130.47)</f>
        <v>130.47</v>
      </c>
      <c r="E44" s="6">
        <f>IFERROR(__xludf.DUMMYFUNCTION("""COMPUTED_VALUE"""),131.21)</f>
        <v>131.21</v>
      </c>
      <c r="F44" s="6">
        <f>IFERROR(__xludf.DUMMYFUNCTION("""COMPUTED_VALUE"""),6.8522756E7)</f>
        <v>68522756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IFERROR(__xludf.DUMMYFUNCTION("""COMPUTED_VALUE"""),131.62)</f>
        <v>131.62</v>
      </c>
      <c r="C45" s="6">
        <f>IFERROR(__xludf.DUMMYFUNCTION("""COMPUTED_VALUE"""),137.27)</f>
        <v>137.27</v>
      </c>
      <c r="D45" s="6">
        <f>IFERROR(__xludf.DUMMYFUNCTION("""COMPUTED_VALUE"""),127.56)</f>
        <v>127.56</v>
      </c>
      <c r="E45" s="6">
        <f>IFERROR(__xludf.DUMMYFUNCTION("""COMPUTED_VALUE"""),128.13)</f>
        <v>128.13</v>
      </c>
      <c r="F45" s="6">
        <f>IFERROR(__xludf.DUMMYFUNCTION("""COMPUTED_VALUE"""),9.8222785E7)</f>
        <v>98222785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IFERROR(__xludf.DUMMYFUNCTION("""COMPUTED_VALUE"""),127.97)</f>
        <v>127.97</v>
      </c>
      <c r="C46" s="6">
        <f>IFERROR(__xludf.DUMMYFUNCTION("""COMPUTED_VALUE"""),131.1)</f>
        <v>131.1</v>
      </c>
      <c r="D46" s="6">
        <f>IFERROR(__xludf.DUMMYFUNCTION("""COMPUTED_VALUE"""),120.74)</f>
        <v>120.74</v>
      </c>
      <c r="E46" s="6">
        <f>IFERROR(__xludf.DUMMYFUNCTION("""COMPUTED_VALUE"""),130.93)</f>
        <v>130.93</v>
      </c>
      <c r="F46" s="6">
        <f>IFERROR(__xludf.DUMMYFUNCTION("""COMPUTED_VALUE"""),7.7985523E7)</f>
        <v>77985523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IFERROR(__xludf.DUMMYFUNCTION("""COMPUTED_VALUE"""),132.0)</f>
        <v>132</v>
      </c>
      <c r="C47" s="6">
        <f>IFERROR(__xludf.DUMMYFUNCTION("""COMPUTED_VALUE"""),132.75)</f>
        <v>132.75</v>
      </c>
      <c r="D47" s="6">
        <f>IFERROR(__xludf.DUMMYFUNCTION("""COMPUTED_VALUE"""),128.39)</f>
        <v>128.39</v>
      </c>
      <c r="E47" s="6">
        <f>IFERROR(__xludf.DUMMYFUNCTION("""COMPUTED_VALUE"""),128.83)</f>
        <v>128.83</v>
      </c>
      <c r="F47" s="6">
        <f>IFERROR(__xludf.DUMMYFUNCTION("""COMPUTED_VALUE"""),5.698244E7)</f>
        <v>56982440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IFERROR(__xludf.DUMMYFUNCTION("""COMPUTED_VALUE"""),125.33)</f>
        <v>125.33</v>
      </c>
      <c r="C48" s="6">
        <f>IFERROR(__xludf.DUMMYFUNCTION("""COMPUTED_VALUE"""),125.83)</f>
        <v>125.83</v>
      </c>
      <c r="D48" s="6">
        <f>IFERROR(__xludf.DUMMYFUNCTION("""COMPUTED_VALUE"""),113.54)</f>
        <v>113.54</v>
      </c>
      <c r="E48" s="6">
        <f>IFERROR(__xludf.DUMMYFUNCTION("""COMPUTED_VALUE"""),125.16)</f>
        <v>125.16</v>
      </c>
      <c r="F48" s="6">
        <f>IFERROR(__xludf.DUMMYFUNCTION("""COMPUTED_VALUE"""),1.7646156E8)</f>
        <v>176461560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IFERROR(__xludf.DUMMYFUNCTION("""COMPUTED_VALUE"""),123.87)</f>
        <v>123.87</v>
      </c>
      <c r="C49" s="6">
        <f>IFERROR(__xludf.DUMMYFUNCTION("""COMPUTED_VALUE"""),126.65)</f>
        <v>126.65</v>
      </c>
      <c r="D49" s="6">
        <f>IFERROR(__xludf.DUMMYFUNCTION("""COMPUTED_VALUE"""),118.47)</f>
        <v>118.47</v>
      </c>
      <c r="E49" s="6">
        <f>IFERROR(__xludf.DUMMYFUNCTION("""COMPUTED_VALUE"""),123.79)</f>
        <v>123.79</v>
      </c>
      <c r="F49" s="6">
        <f>IFERROR(__xludf.DUMMYFUNCTION("""COMPUTED_VALUE"""),8.7221409E7)</f>
        <v>87221409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IFERROR(__xludf.DUMMYFUNCTION("""COMPUTED_VALUE"""),124.67)</f>
        <v>124.67</v>
      </c>
      <c r="C50" s="6">
        <f>IFERROR(__xludf.DUMMYFUNCTION("""COMPUTED_VALUE"""),132.19)</f>
        <v>132.19</v>
      </c>
      <c r="D50" s="6">
        <f>IFERROR(__xludf.DUMMYFUNCTION("""COMPUTED_VALUE"""),121.43)</f>
        <v>121.43</v>
      </c>
      <c r="E50" s="6">
        <f>IFERROR(__xludf.DUMMYFUNCTION("""COMPUTED_VALUE"""),131.81)</f>
        <v>131.81</v>
      </c>
      <c r="F50" s="6">
        <f>IFERROR(__xludf.DUMMYFUNCTION("""COMPUTED_VALUE"""),1.02940427E8)</f>
        <v>102940427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IFERROR(__xludf.DUMMYFUNCTION("""COMPUTED_VALUE"""),132.93)</f>
        <v>132.93</v>
      </c>
      <c r="C51" s="6">
        <f>IFERROR(__xludf.DUMMYFUNCTION("""COMPUTED_VALUE"""),133.89)</f>
        <v>133.89</v>
      </c>
      <c r="D51" s="6">
        <f>IFERROR(__xludf.DUMMYFUNCTION("""COMPUTED_VALUE"""),128.35)</f>
        <v>128.35</v>
      </c>
      <c r="E51" s="6">
        <f>IFERROR(__xludf.DUMMYFUNCTION("""COMPUTED_VALUE"""),130.19)</f>
        <v>130.19</v>
      </c>
      <c r="F51" s="6">
        <f>IFERROR(__xludf.DUMMYFUNCTION("""COMPUTED_VALUE"""),5.6585385E7)</f>
        <v>56585385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IFERROR(__xludf.DUMMYFUNCTION("""COMPUTED_VALUE"""),130.19)</f>
        <v>130.19</v>
      </c>
      <c r="C52" s="6">
        <f>IFERROR(__xludf.DUMMYFUNCTION("""COMPUTED_VALUE"""),130.5)</f>
        <v>130.5</v>
      </c>
      <c r="D52" s="6">
        <f>IFERROR(__xludf.DUMMYFUNCTION("""COMPUTED_VALUE"""),124.93)</f>
        <v>124.93</v>
      </c>
      <c r="E52" s="6">
        <f>IFERROR(__xludf.DUMMYFUNCTION("""COMPUTED_VALUE"""),125.22)</f>
        <v>125.22</v>
      </c>
      <c r="F52" s="6">
        <f>IFERROR(__xludf.DUMMYFUNCTION("""COMPUTED_VALUE"""),4.7598772E7)</f>
        <v>47598772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IFERROR(__xludf.DUMMYFUNCTION("""COMPUTED_VALUE"""),124.67)</f>
        <v>124.67</v>
      </c>
      <c r="C53" s="6">
        <f>IFERROR(__xludf.DUMMYFUNCTION("""COMPUTED_VALUE"""),128.23)</f>
        <v>128.23</v>
      </c>
      <c r="D53" s="6">
        <f>IFERROR(__xludf.DUMMYFUNCTION("""COMPUTED_VALUE"""),121.39)</f>
        <v>121.39</v>
      </c>
      <c r="E53" s="6">
        <f>IFERROR(__xludf.DUMMYFUNCTION("""COMPUTED_VALUE"""),126.99)</f>
        <v>126.99</v>
      </c>
      <c r="F53" s="6">
        <f>IFERROR(__xludf.DUMMYFUNCTION("""COMPUTED_VALUE"""),8.3256542E7)</f>
        <v>83256542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IFERROR(__xludf.DUMMYFUNCTION("""COMPUTED_VALUE"""),126.67)</f>
        <v>126.67</v>
      </c>
      <c r="C54" s="6">
        <f>IFERROR(__xludf.DUMMYFUNCTION("""COMPUTED_VALUE"""),139.07)</f>
        <v>139.07</v>
      </c>
      <c r="D54" s="6">
        <f>IFERROR(__xludf.DUMMYFUNCTION("""COMPUTED_VALUE"""),126.4)</f>
        <v>126.4</v>
      </c>
      <c r="E54" s="6">
        <f>IFERROR(__xludf.DUMMYFUNCTION("""COMPUTED_VALUE"""),135.18)</f>
        <v>135.18</v>
      </c>
      <c r="F54" s="6">
        <f>IFERROR(__xludf.DUMMYFUNCTION("""COMPUTED_VALUE"""),2.24085661E8)</f>
        <v>224085661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IFERROR(__xludf.DUMMYFUNCTION("""COMPUTED_VALUE"""),136.0)</f>
        <v>136</v>
      </c>
      <c r="C55" s="6">
        <f>IFERROR(__xludf.DUMMYFUNCTION("""COMPUTED_VALUE"""),144.66)</f>
        <v>144.66</v>
      </c>
      <c r="D55" s="6">
        <f>IFERROR(__xludf.DUMMYFUNCTION("""COMPUTED_VALUE"""),135.07)</f>
        <v>135.07</v>
      </c>
      <c r="E55" s="6">
        <f>IFERROR(__xludf.DUMMYFUNCTION("""COMPUTED_VALUE"""),143.4)</f>
        <v>143.4</v>
      </c>
      <c r="F55" s="6">
        <f>IFERROR(__xludf.DUMMYFUNCTION("""COMPUTED_VALUE"""),1.42570831E8)</f>
        <v>142570831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IFERROR(__xludf.DUMMYFUNCTION("""COMPUTED_VALUE"""),142.74)</f>
        <v>142.74</v>
      </c>
      <c r="C56" s="6">
        <f>IFERROR(__xludf.DUMMYFUNCTION("""COMPUTED_VALUE"""),142.97)</f>
        <v>142.97</v>
      </c>
      <c r="D56" s="6">
        <f>IFERROR(__xludf.DUMMYFUNCTION("""COMPUTED_VALUE"""),133.01)</f>
        <v>133.01</v>
      </c>
      <c r="E56" s="6">
        <f>IFERROR(__xludf.DUMMYFUNCTION("""COMPUTED_VALUE"""),133.95)</f>
        <v>133.95</v>
      </c>
      <c r="F56" s="6">
        <f>IFERROR(__xludf.DUMMYFUNCTION("""COMPUTED_VALUE"""),6.1904693E7)</f>
        <v>61904693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IFERROR(__xludf.DUMMYFUNCTION("""COMPUTED_VALUE"""),133.91)</f>
        <v>133.91</v>
      </c>
      <c r="C57" s="6">
        <f>IFERROR(__xludf.DUMMYFUNCTION("""COMPUTED_VALUE"""),143.33)</f>
        <v>143.33</v>
      </c>
      <c r="D57" s="6">
        <f>IFERROR(__xludf.DUMMYFUNCTION("""COMPUTED_VALUE"""),130.24)</f>
        <v>130.24</v>
      </c>
      <c r="E57" s="6">
        <f>IFERROR(__xludf.DUMMYFUNCTION("""COMPUTED_VALUE"""),141.88)</f>
        <v>141.88</v>
      </c>
      <c r="F57" s="6">
        <f>IFERROR(__xludf.DUMMYFUNCTION("""COMPUTED_VALUE"""),7.5523753E7)</f>
        <v>75523753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IFERROR(__xludf.DUMMYFUNCTION("""COMPUTED_VALUE"""),142.51)</f>
        <v>142.51</v>
      </c>
      <c r="C58" s="6">
        <f>IFERROR(__xludf.DUMMYFUNCTION("""COMPUTED_VALUE"""),143.91)</f>
        <v>143.91</v>
      </c>
      <c r="D58" s="6">
        <f>IFERROR(__xludf.DUMMYFUNCTION("""COMPUTED_VALUE"""),132.36)</f>
        <v>132.36</v>
      </c>
      <c r="E58" s="6">
        <f>IFERROR(__xludf.DUMMYFUNCTION("""COMPUTED_VALUE"""),136.76)</f>
        <v>136.76</v>
      </c>
      <c r="F58" s="6">
        <f>IFERROR(__xludf.DUMMYFUNCTION("""COMPUTED_VALUE"""),6.2043947E7)</f>
        <v>62043947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IFERROR(__xludf.DUMMYFUNCTION("""COMPUTED_VALUE"""),136.76)</f>
        <v>136.76</v>
      </c>
      <c r="C59" s="6">
        <f>IFERROR(__xludf.DUMMYFUNCTION("""COMPUTED_VALUE"""),137.77)</f>
        <v>137.77</v>
      </c>
      <c r="D59" s="6">
        <f>IFERROR(__xludf.DUMMYFUNCTION("""COMPUTED_VALUE"""),124.76)</f>
        <v>124.76</v>
      </c>
      <c r="E59" s="6">
        <f>IFERROR(__xludf.DUMMYFUNCTION("""COMPUTED_VALUE"""),126.45)</f>
        <v>126.45</v>
      </c>
      <c r="F59" s="6">
        <f>IFERROR(__xludf.DUMMYFUNCTION("""COMPUTED_VALUE"""),6.1360199E7)</f>
        <v>61360199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IFERROR(__xludf.DUMMYFUNCTION("""COMPUTED_VALUE"""),121.55)</f>
        <v>121.55</v>
      </c>
      <c r="C60" s="6">
        <f>IFERROR(__xludf.DUMMYFUNCTION("""COMPUTED_VALUE"""),126.49)</f>
        <v>126.49</v>
      </c>
      <c r="D60" s="6">
        <f>IFERROR(__xludf.DUMMYFUNCTION("""COMPUTED_VALUE"""),117.01)</f>
        <v>117.01</v>
      </c>
      <c r="E60" s="6">
        <f>IFERROR(__xludf.DUMMYFUNCTION("""COMPUTED_VALUE"""),117.39)</f>
        <v>117.39</v>
      </c>
      <c r="F60" s="6">
        <f>IFERROR(__xludf.DUMMYFUNCTION("""COMPUTED_VALUE"""),7.3351918E7)</f>
        <v>73351918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IFERROR(__xludf.DUMMYFUNCTION("""COMPUTED_VALUE"""),117.03)</f>
        <v>117.03</v>
      </c>
      <c r="C61" s="6">
        <f>IFERROR(__xludf.DUMMYFUNCTION("""COMPUTED_VALUE"""),119.25)</f>
        <v>119.25</v>
      </c>
      <c r="D61" s="6">
        <f>IFERROR(__xludf.DUMMYFUNCTION("""COMPUTED_VALUE"""),105.87)</f>
        <v>105.87</v>
      </c>
      <c r="E61" s="6">
        <f>IFERROR(__xludf.DUMMYFUNCTION("""COMPUTED_VALUE"""),110.24)</f>
        <v>110.24</v>
      </c>
      <c r="F61" s="6">
        <f>IFERROR(__xludf.DUMMYFUNCTION("""COMPUTED_VALUE"""),1.16241779E8)</f>
        <v>116241779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IFERROR(__xludf.DUMMYFUNCTION("""COMPUTED_VALUE"""),111.0)</f>
        <v>111</v>
      </c>
      <c r="C62" s="6">
        <f>IFERROR(__xludf.DUMMYFUNCTION("""COMPUTED_VALUE"""),113.33)</f>
        <v>113.33</v>
      </c>
      <c r="D62" s="6">
        <f>IFERROR(__xludf.DUMMYFUNCTION("""COMPUTED_VALUE"""),107.33)</f>
        <v>107.33</v>
      </c>
      <c r="E62" s="6">
        <f>IFERROR(__xludf.DUMMYFUNCTION("""COMPUTED_VALUE"""),110.15)</f>
        <v>110.15</v>
      </c>
      <c r="F62" s="6">
        <f>IFERROR(__xludf.DUMMYFUNCTION("""COMPUTED_VALUE"""),4.6996902E7)</f>
        <v>46996902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IFERROR(__xludf.DUMMYFUNCTION("""COMPUTED_VALUE"""),113.67)</f>
        <v>113.67</v>
      </c>
      <c r="C63" s="6">
        <f>IFERROR(__xludf.DUMMYFUNCTION("""COMPUTED_VALUE"""),114.14)</f>
        <v>114.14</v>
      </c>
      <c r="D63" s="6">
        <f>IFERROR(__xludf.DUMMYFUNCTION("""COMPUTED_VALUE"""),107.28)</f>
        <v>107.28</v>
      </c>
      <c r="E63" s="6">
        <f>IFERROR(__xludf.DUMMYFUNCTION("""COMPUTED_VALUE"""),108.31)</f>
        <v>108.31</v>
      </c>
      <c r="F63" s="6">
        <f>IFERROR(__xludf.DUMMYFUNCTION("""COMPUTED_VALUE"""),1.08114294E8)</f>
        <v>108114294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IFERROR(__xludf.DUMMYFUNCTION("""COMPUTED_VALUE"""),108.31)</f>
        <v>108.31</v>
      </c>
      <c r="C64" s="6">
        <f>IFERROR(__xludf.DUMMYFUNCTION("""COMPUTED_VALUE"""),116.38)</f>
        <v>116.38</v>
      </c>
      <c r="D64" s="6">
        <f>IFERROR(__xludf.DUMMYFUNCTION("""COMPUTED_VALUE"""),107.4)</f>
        <v>107.4</v>
      </c>
      <c r="E64" s="6">
        <f>IFERROR(__xludf.DUMMYFUNCTION("""COMPUTED_VALUE"""),113.59)</f>
        <v>113.59</v>
      </c>
      <c r="F64" s="6">
        <f>IFERROR(__xludf.DUMMYFUNCTION("""COMPUTED_VALUE"""),1.38392405E8)</f>
        <v>138392405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IFERROR(__xludf.DUMMYFUNCTION("""COMPUTED_VALUE"""),113.15)</f>
        <v>113.15</v>
      </c>
      <c r="C65" s="6">
        <f>IFERROR(__xludf.DUMMYFUNCTION("""COMPUTED_VALUE"""),113.64)</f>
        <v>113.64</v>
      </c>
      <c r="D65" s="6">
        <f>IFERROR(__xludf.DUMMYFUNCTION("""COMPUTED_VALUE"""),106.94)</f>
        <v>106.94</v>
      </c>
      <c r="E65" s="6">
        <f>IFERROR(__xludf.DUMMYFUNCTION("""COMPUTED_VALUE"""),109.41)</f>
        <v>109.41</v>
      </c>
      <c r="F65" s="6">
        <f>IFERROR(__xludf.DUMMYFUNCTION("""COMPUTED_VALUE"""),7.2423595E7)</f>
        <v>72423595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IFERROR(__xludf.DUMMYFUNCTION("""COMPUTED_VALUE"""),109.61)</f>
        <v>109.61</v>
      </c>
      <c r="C66" s="6">
        <f>IFERROR(__xludf.DUMMYFUNCTION("""COMPUTED_VALUE"""),112.94)</f>
        <v>112.94</v>
      </c>
      <c r="D66" s="6">
        <f>IFERROR(__xludf.DUMMYFUNCTION("""COMPUTED_VALUE"""),103.05)</f>
        <v>103.05</v>
      </c>
      <c r="E66" s="6">
        <f>IFERROR(__xludf.DUMMYFUNCTION("""COMPUTED_VALUE"""),104.04)</f>
        <v>104.04</v>
      </c>
      <c r="F66" s="6">
        <f>IFERROR(__xludf.DUMMYFUNCTION("""COMPUTED_VALUE"""),8.0153629E7)</f>
        <v>80153629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IFERROR(__xludf.DUMMYFUNCTION("""COMPUTED_VALUE"""),104.79)</f>
        <v>104.79</v>
      </c>
      <c r="C67" s="6">
        <f>IFERROR(__xludf.DUMMYFUNCTION("""COMPUTED_VALUE"""),107.22)</f>
        <v>107.22</v>
      </c>
      <c r="D67" s="6">
        <f>IFERROR(__xludf.DUMMYFUNCTION("""COMPUTED_VALUE"""),103.61)</f>
        <v>103.61</v>
      </c>
      <c r="E67" s="6">
        <f>IFERROR(__xludf.DUMMYFUNCTION("""COMPUTED_VALUE"""),104.68)</f>
        <v>104.68</v>
      </c>
      <c r="F67" s="6">
        <f>IFERROR(__xludf.DUMMYFUNCTION("""COMPUTED_VALUE"""),3.2612584E7)</f>
        <v>32612584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IFERROR(__xludf.DUMMYFUNCTION("""COMPUTED_VALUE"""),104.68)</f>
        <v>104.68</v>
      </c>
      <c r="C68" s="6">
        <f>IFERROR(__xludf.DUMMYFUNCTION("""COMPUTED_VALUE"""),107.85)</f>
        <v>107.85</v>
      </c>
      <c r="D68" s="6">
        <f>IFERROR(__xludf.DUMMYFUNCTION("""COMPUTED_VALUE"""),101.6)</f>
        <v>101.6</v>
      </c>
      <c r="E68" s="6">
        <f>IFERROR(__xludf.DUMMYFUNCTION("""COMPUTED_VALUE"""),106.72)</f>
        <v>106.72</v>
      </c>
      <c r="F68" s="6">
        <f>IFERROR(__xludf.DUMMYFUNCTION("""COMPUTED_VALUE"""),7.9307022E7)</f>
        <v>79307022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IFERROR(__xludf.DUMMYFUNCTION("""COMPUTED_VALUE"""),106.25)</f>
        <v>106.25</v>
      </c>
      <c r="C69" s="6">
        <f>IFERROR(__xludf.DUMMYFUNCTION("""COMPUTED_VALUE"""),107.09)</f>
        <v>107.09</v>
      </c>
      <c r="D69" s="6">
        <f>IFERROR(__xludf.DUMMYFUNCTION("""COMPUTED_VALUE"""),96.07)</f>
        <v>96.07</v>
      </c>
      <c r="E69" s="6">
        <f>IFERROR(__xludf.DUMMYFUNCTION("""COMPUTED_VALUE"""),96.59)</f>
        <v>96.59</v>
      </c>
      <c r="F69" s="6">
        <f>IFERROR(__xludf.DUMMYFUNCTION("""COMPUTED_VALUE"""),5.4646036E7)</f>
        <v>54646036</v>
      </c>
    </row>
    <row r="70">
      <c r="A70" s="7">
        <f>IFERROR(__xludf.DUMMYFUNCTION("""COMPUTED_VALUE"""),45674.64583333333)</f>
        <v>45674.64583</v>
      </c>
      <c r="B70" s="6">
        <f>IFERROR(__xludf.DUMMYFUNCTION("""COMPUTED_VALUE"""),95.06)</f>
        <v>95.06</v>
      </c>
      <c r="C70" s="6">
        <f>IFERROR(__xludf.DUMMYFUNCTION("""COMPUTED_VALUE"""),101.07)</f>
        <v>101.07</v>
      </c>
      <c r="D70" s="6">
        <f>IFERROR(__xludf.DUMMYFUNCTION("""COMPUTED_VALUE"""),92.07)</f>
        <v>92.07</v>
      </c>
      <c r="E70" s="6">
        <f>IFERROR(__xludf.DUMMYFUNCTION("""COMPUTED_VALUE"""),100.75)</f>
        <v>100.75</v>
      </c>
      <c r="F70" s="6">
        <f>IFERROR(__xludf.DUMMYFUNCTION("""COMPUTED_VALUE"""),4.357206E7)</f>
        <v>43572060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IFERROR(__xludf.DUMMYFUNCTION("""COMPUTED_VALUE"""),100.33)</f>
        <v>100.33</v>
      </c>
      <c r="C71" s="6">
        <f>IFERROR(__xludf.DUMMYFUNCTION("""COMPUTED_VALUE"""),101.1)</f>
        <v>101.1</v>
      </c>
      <c r="D71" s="6">
        <f>IFERROR(__xludf.DUMMYFUNCTION("""COMPUTED_VALUE"""),93.74)</f>
        <v>93.74</v>
      </c>
      <c r="E71" s="6">
        <f>IFERROR(__xludf.DUMMYFUNCTION("""COMPUTED_VALUE"""),95.33)</f>
        <v>95.33</v>
      </c>
      <c r="F71" s="6">
        <f>IFERROR(__xludf.DUMMYFUNCTION("""COMPUTED_VALUE"""),4.0536149E7)</f>
        <v>40536149</v>
      </c>
    </row>
    <row r="72">
      <c r="A72" s="7">
        <f>IFERROR(__xludf.DUMMYFUNCTION("""COMPUTED_VALUE"""),45695.64583333333)</f>
        <v>45695.64583</v>
      </c>
      <c r="B72" s="6">
        <f>IFERROR(__xludf.DUMMYFUNCTION("""COMPUTED_VALUE"""),94.23)</f>
        <v>94.23</v>
      </c>
      <c r="C72" s="6">
        <f>IFERROR(__xludf.DUMMYFUNCTION("""COMPUTED_VALUE"""),94.76)</f>
        <v>94.76</v>
      </c>
      <c r="D72" s="6">
        <f>IFERROR(__xludf.DUMMYFUNCTION("""COMPUTED_VALUE"""),86.41)</f>
        <v>86.41</v>
      </c>
      <c r="E72" s="6">
        <f>IFERROR(__xludf.DUMMYFUNCTION("""COMPUTED_VALUE"""),92.05)</f>
        <v>92.05</v>
      </c>
      <c r="F72" s="6">
        <f>IFERROR(__xludf.DUMMYFUNCTION("""COMPUTED_VALUE"""),1.21521819E8)</f>
        <v>121521819</v>
      </c>
    </row>
    <row r="73">
      <c r="A73" s="7">
        <f>IFERROR(__xludf.DUMMYFUNCTION("""COMPUTED_VALUE"""),45702.64583333333)</f>
        <v>45702.64583</v>
      </c>
      <c r="B73" s="6">
        <f>IFERROR(__xludf.DUMMYFUNCTION("""COMPUTED_VALUE"""),92.07)</f>
        <v>92.07</v>
      </c>
      <c r="C73" s="6">
        <f>IFERROR(__xludf.DUMMYFUNCTION("""COMPUTED_VALUE"""),92.21)</f>
        <v>92.21</v>
      </c>
      <c r="D73" s="6">
        <f>IFERROR(__xludf.DUMMYFUNCTION("""COMPUTED_VALUE"""),80.67)</f>
        <v>80.67</v>
      </c>
      <c r="E73" s="6">
        <f>IFERROR(__xludf.DUMMYFUNCTION("""COMPUTED_VALUE"""),84.14)</f>
        <v>84.14</v>
      </c>
      <c r="F73" s="6">
        <f>IFERROR(__xludf.DUMMYFUNCTION("""COMPUTED_VALUE"""),1.13992841E8)</f>
        <v>113992841</v>
      </c>
    </row>
    <row r="74">
      <c r="A74" s="7">
        <f>IFERROR(__xludf.DUMMYFUNCTION("""COMPUTED_VALUE"""),45709.64583333333)</f>
        <v>45709.64583</v>
      </c>
      <c r="B74" s="6">
        <f>IFERROR(__xludf.DUMMYFUNCTION("""COMPUTED_VALUE"""),84.13)</f>
        <v>84.13</v>
      </c>
      <c r="C74" s="6">
        <f>IFERROR(__xludf.DUMMYFUNCTION("""COMPUTED_VALUE"""),88.13)</f>
        <v>88.13</v>
      </c>
      <c r="D74" s="6">
        <f>IFERROR(__xludf.DUMMYFUNCTION("""COMPUTED_VALUE"""),80.72)</f>
        <v>80.72</v>
      </c>
      <c r="E74" s="6">
        <f>IFERROR(__xludf.DUMMYFUNCTION("""COMPUTED_VALUE"""),85.85)</f>
        <v>85.85</v>
      </c>
      <c r="F74" s="6">
        <f>IFERROR(__xludf.DUMMYFUNCTION("""COMPUTED_VALUE"""),1.26797708E8)</f>
        <v>126797708</v>
      </c>
    </row>
    <row r="75">
      <c r="A75" s="7">
        <f>IFERROR(__xludf.DUMMYFUNCTION("""COMPUTED_VALUE"""),45716.64583333333)</f>
        <v>45716.64583</v>
      </c>
      <c r="B75" s="6">
        <f>IFERROR(__xludf.DUMMYFUNCTION("""COMPUTED_VALUE"""),85.33)</f>
        <v>85.33</v>
      </c>
      <c r="C75" s="6">
        <f>IFERROR(__xludf.DUMMYFUNCTION("""COMPUTED_VALUE"""),85.33)</f>
        <v>85.33</v>
      </c>
      <c r="D75" s="6">
        <f>IFERROR(__xludf.DUMMYFUNCTION("""COMPUTED_VALUE"""),77.81)</f>
        <v>77.81</v>
      </c>
      <c r="E75" s="6">
        <f>IFERROR(__xludf.DUMMYFUNCTION("""COMPUTED_VALUE"""),79.06)</f>
        <v>79.06</v>
      </c>
      <c r="F75" s="6">
        <f>IFERROR(__xludf.DUMMYFUNCTION("""COMPUTED_VALUE"""),9.4817414E7)</f>
        <v>94817414</v>
      </c>
    </row>
    <row r="76">
      <c r="A76" s="7">
        <f>IFERROR(__xludf.DUMMYFUNCTION("""COMPUTED_VALUE"""),45723.64583333333)</f>
        <v>45723.64583</v>
      </c>
      <c r="B76" s="6">
        <f>IFERROR(__xludf.DUMMYFUNCTION("""COMPUTED_VALUE"""),79.55)</f>
        <v>79.55</v>
      </c>
      <c r="C76" s="6">
        <f>IFERROR(__xludf.DUMMYFUNCTION("""COMPUTED_VALUE"""),87.39)</f>
        <v>87.39</v>
      </c>
      <c r="D76" s="6">
        <f>IFERROR(__xludf.DUMMYFUNCTION("""COMPUTED_VALUE"""),77.22)</f>
        <v>77.22</v>
      </c>
      <c r="E76" s="6">
        <f>IFERROR(__xludf.DUMMYFUNCTION("""COMPUTED_VALUE"""),85.19)</f>
        <v>85.19</v>
      </c>
      <c r="F76" s="6">
        <f>IFERROR(__xludf.DUMMYFUNCTION("""COMPUTED_VALUE"""),8.7487665E7)</f>
        <v>87487665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IFERROR(__xludf.DUMMYFUNCTION("""COMPUTED_VALUE"""),85.32)</f>
        <v>85.32</v>
      </c>
      <c r="C77" s="6">
        <f>IFERROR(__xludf.DUMMYFUNCTION("""COMPUTED_VALUE"""),86.01)</f>
        <v>86.01</v>
      </c>
      <c r="D77" s="6">
        <f>IFERROR(__xludf.DUMMYFUNCTION("""COMPUTED_VALUE"""),80.84)</f>
        <v>80.84</v>
      </c>
      <c r="E77" s="6">
        <f>IFERROR(__xludf.DUMMYFUNCTION("""COMPUTED_VALUE"""),81.17)</f>
        <v>81.17</v>
      </c>
      <c r="F77" s="6">
        <f>IFERROR(__xludf.DUMMYFUNCTION("""COMPUTED_VALUE"""),5.2801882E7)</f>
        <v>52801882</v>
      </c>
    </row>
    <row r="78">
      <c r="A78" s="7">
        <f>IFERROR(__xludf.DUMMYFUNCTION("""COMPUTED_VALUE"""),45737.64583333333)</f>
        <v>45737.64583</v>
      </c>
      <c r="B78" s="6">
        <f>IFERROR(__xludf.DUMMYFUNCTION("""COMPUTED_VALUE"""),80.0)</f>
        <v>80</v>
      </c>
      <c r="C78" s="6">
        <f>IFERROR(__xludf.DUMMYFUNCTION("""COMPUTED_VALUE"""),88.53)</f>
        <v>88.53</v>
      </c>
      <c r="D78" s="6">
        <f>IFERROR(__xludf.DUMMYFUNCTION("""COMPUTED_VALUE"""),79.62)</f>
        <v>79.62</v>
      </c>
      <c r="E78" s="6">
        <f>IFERROR(__xludf.DUMMYFUNCTION("""COMPUTED_VALUE"""),87.56)</f>
        <v>87.56</v>
      </c>
      <c r="F78" s="6">
        <f>IFERROR(__xludf.DUMMYFUNCTION("""COMPUTED_VALUE"""),5.9958462E7)</f>
        <v>59958462</v>
      </c>
    </row>
    <row r="79">
      <c r="A79" s="7">
        <f>IFERROR(__xludf.DUMMYFUNCTION("""COMPUTED_VALUE"""),45744.64583333333)</f>
        <v>45744.64583</v>
      </c>
      <c r="B79" s="6">
        <f>IFERROR(__xludf.DUMMYFUNCTION("""COMPUTED_VALUE"""),88.13)</f>
        <v>88.13</v>
      </c>
      <c r="C79" s="6">
        <f>IFERROR(__xludf.DUMMYFUNCTION("""COMPUTED_VALUE"""),91.45)</f>
        <v>91.45</v>
      </c>
      <c r="D79" s="6">
        <f>IFERROR(__xludf.DUMMYFUNCTION("""COMPUTED_VALUE"""),83.15)</f>
        <v>83.15</v>
      </c>
      <c r="E79" s="6">
        <f>IFERROR(__xludf.DUMMYFUNCTION("""COMPUTED_VALUE"""),87.31)</f>
        <v>87.31</v>
      </c>
      <c r="F79" s="6">
        <f>IFERROR(__xludf.DUMMYFUNCTION("""COMPUTED_VALUE"""),9.6268868E7)</f>
        <v>96268868</v>
      </c>
    </row>
    <row r="80">
      <c r="A80" s="7">
        <f>IFERROR(__xludf.DUMMYFUNCTION("""COMPUTED_VALUE"""),45751.64583333333)</f>
        <v>45751.64583</v>
      </c>
      <c r="B80" s="6">
        <f>IFERROR(__xludf.DUMMYFUNCTION("""COMPUTED_VALUE"""),87.31)</f>
        <v>87.31</v>
      </c>
      <c r="C80" s="6">
        <f>IFERROR(__xludf.DUMMYFUNCTION("""COMPUTED_VALUE"""),88.55)</f>
        <v>88.55</v>
      </c>
      <c r="D80" s="6">
        <f>IFERROR(__xludf.DUMMYFUNCTION("""COMPUTED_VALUE"""),78.59)</f>
        <v>78.59</v>
      </c>
      <c r="E80" s="6">
        <f>IFERROR(__xludf.DUMMYFUNCTION("""COMPUTED_VALUE"""),79.29)</f>
        <v>79.29</v>
      </c>
      <c r="F80" s="6">
        <f>IFERROR(__xludf.DUMMYFUNCTION("""COMPUTED_VALUE"""),7.8822887E7)</f>
        <v>78822887</v>
      </c>
    </row>
    <row r="81">
      <c r="A81" s="7">
        <f>IFERROR(__xludf.DUMMYFUNCTION("""COMPUTED_VALUE"""),45758.64583333333)</f>
        <v>45758.64583</v>
      </c>
      <c r="B81" s="6">
        <f>IFERROR(__xludf.DUMMYFUNCTION("""COMPUTED_VALUE"""),73.34)</f>
        <v>73.34</v>
      </c>
      <c r="C81" s="6">
        <f>IFERROR(__xludf.DUMMYFUNCTION("""COMPUTED_VALUE"""),80.99)</f>
        <v>80.99</v>
      </c>
      <c r="D81" s="6">
        <f>IFERROR(__xludf.DUMMYFUNCTION("""COMPUTED_VALUE"""),71.5)</f>
        <v>71.5</v>
      </c>
      <c r="E81" s="6">
        <f>IFERROR(__xludf.DUMMYFUNCTION("""COMPUTED_VALUE"""),78.82)</f>
        <v>78.82</v>
      </c>
      <c r="F81" s="6">
        <f>IFERROR(__xludf.DUMMYFUNCTION("""COMPUTED_VALUE"""),9.3154787E7)</f>
        <v>93154787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IFERROR(__xludf.DUMMYFUNCTION("""COMPUTED_VALUE"""),85.33)</f>
        <v>85.33</v>
      </c>
      <c r="C82" s="6">
        <f>IFERROR(__xludf.DUMMYFUNCTION("""COMPUTED_VALUE"""),86.7)</f>
        <v>86.7</v>
      </c>
      <c r="D82" s="6">
        <f>IFERROR(__xludf.DUMMYFUNCTION("""COMPUTED_VALUE"""),83.33)</f>
        <v>83.33</v>
      </c>
      <c r="E82" s="6">
        <f>IFERROR(__xludf.DUMMYFUNCTION("""COMPUTED_VALUE"""),86.45)</f>
        <v>86.45</v>
      </c>
      <c r="F82" s="6">
        <f>IFERROR(__xludf.DUMMYFUNCTION("""COMPUTED_VALUE"""),7.7323082E7)</f>
        <v>77323082</v>
      </c>
    </row>
    <row r="83">
      <c r="A83" s="7">
        <f>IFERROR(__xludf.DUMMYFUNCTION("""COMPUTED_VALUE"""),45772.64583333333)</f>
        <v>45772.64583</v>
      </c>
      <c r="B83" s="6">
        <f>IFERROR(__xludf.DUMMYFUNCTION("""COMPUTED_VALUE"""),87.33)</f>
        <v>87.33</v>
      </c>
      <c r="C83" s="6">
        <f>IFERROR(__xludf.DUMMYFUNCTION("""COMPUTED_VALUE"""),92.23)</f>
        <v>92.23</v>
      </c>
      <c r="D83" s="6">
        <f>IFERROR(__xludf.DUMMYFUNCTION("""COMPUTED_VALUE"""),85.93)</f>
        <v>85.93</v>
      </c>
      <c r="E83" s="6">
        <f>IFERROR(__xludf.DUMMYFUNCTION("""COMPUTED_VALUE"""),89.14)</f>
        <v>89.14</v>
      </c>
      <c r="F83" s="6">
        <f>IFERROR(__xludf.DUMMYFUNCTION("""COMPUTED_VALUE"""),8.4497445E7)</f>
        <v>84497445</v>
      </c>
    </row>
    <row r="84">
      <c r="A84" s="7">
        <f>IFERROR(__xludf.DUMMYFUNCTION("""COMPUTED_VALUE"""),45779.64583333333)</f>
        <v>45779.64583</v>
      </c>
      <c r="B84" s="6">
        <f>IFERROR(__xludf.DUMMYFUNCTION("""COMPUTED_VALUE"""),88.67)</f>
        <v>88.67</v>
      </c>
      <c r="C84" s="6">
        <f>IFERROR(__xludf.DUMMYFUNCTION("""COMPUTED_VALUE"""),92.99)</f>
        <v>92.99</v>
      </c>
      <c r="D84" s="6">
        <f>IFERROR(__xludf.DUMMYFUNCTION("""COMPUTED_VALUE"""),87.6)</f>
        <v>87.6</v>
      </c>
      <c r="E84" s="6">
        <f>IFERROR(__xludf.DUMMYFUNCTION("""COMPUTED_VALUE"""),88.37)</f>
        <v>88.37</v>
      </c>
      <c r="F84" s="6">
        <f>IFERROR(__xludf.DUMMYFUNCTION("""COMPUTED_VALUE"""),6.3669664E7)</f>
        <v>63669664</v>
      </c>
    </row>
    <row r="85">
      <c r="A85" s="7">
        <f>IFERROR(__xludf.DUMMYFUNCTION("""COMPUTED_VALUE"""),45786.64583333333)</f>
        <v>45786.64583</v>
      </c>
      <c r="B85" s="6">
        <f>IFERROR(__xludf.DUMMYFUNCTION("""COMPUTED_VALUE"""),88.37)</f>
        <v>88.37</v>
      </c>
      <c r="C85" s="6">
        <f>IFERROR(__xludf.DUMMYFUNCTION("""COMPUTED_VALUE"""),98.2)</f>
        <v>98.2</v>
      </c>
      <c r="D85" s="6">
        <f>IFERROR(__xludf.DUMMYFUNCTION("""COMPUTED_VALUE"""),87.08)</f>
        <v>87.08</v>
      </c>
      <c r="E85" s="6">
        <f>IFERROR(__xludf.DUMMYFUNCTION("""COMPUTED_VALUE"""),91.89)</f>
        <v>91.89</v>
      </c>
      <c r="F85" s="6">
        <f>IFERROR(__xludf.DUMMYFUNCTION("""COMPUTED_VALUE"""),1.10954843E8)</f>
        <v>110954843</v>
      </c>
    </row>
    <row r="86">
      <c r="A86" s="7">
        <f>IFERROR(__xludf.DUMMYFUNCTION("""COMPUTED_VALUE"""),45793.64583333333)</f>
        <v>45793.64583</v>
      </c>
      <c r="B86" s="6">
        <f>IFERROR(__xludf.DUMMYFUNCTION("""COMPUTED_VALUE"""),95.67)</f>
        <v>95.67</v>
      </c>
      <c r="C86" s="6">
        <f>IFERROR(__xludf.DUMMYFUNCTION("""COMPUTED_VALUE"""),98.23)</f>
        <v>98.23</v>
      </c>
      <c r="D86" s="6">
        <f>IFERROR(__xludf.DUMMYFUNCTION("""COMPUTED_VALUE"""),92.73)</f>
        <v>92.73</v>
      </c>
      <c r="E86" s="6">
        <f>IFERROR(__xludf.DUMMYFUNCTION("""COMPUTED_VALUE"""),98.03)</f>
        <v>98.03</v>
      </c>
      <c r="F86" s="6">
        <f>IFERROR(__xludf.DUMMYFUNCTION("""COMPUTED_VALUE"""),6.5474765E7)</f>
        <v>65474765</v>
      </c>
    </row>
    <row r="87">
      <c r="A87" s="7">
        <f>IFERROR(__xludf.DUMMYFUNCTION("""COMPUTED_VALUE"""),45800.64583333333)</f>
        <v>45800.64583</v>
      </c>
      <c r="B87" s="6">
        <f>IFERROR(__xludf.DUMMYFUNCTION("""COMPUTED_VALUE"""),98.5)</f>
        <v>98.5</v>
      </c>
      <c r="C87" s="6">
        <f>IFERROR(__xludf.DUMMYFUNCTION("""COMPUTED_VALUE"""),99.99)</f>
        <v>99.99</v>
      </c>
      <c r="D87" s="6">
        <f>IFERROR(__xludf.DUMMYFUNCTION("""COMPUTED_VALUE"""),96.83)</f>
        <v>96.83</v>
      </c>
      <c r="E87" s="6">
        <f>IFERROR(__xludf.DUMMYFUNCTION("""COMPUTED_VALUE"""),98.82)</f>
        <v>98.82</v>
      </c>
      <c r="F87" s="6">
        <f>IFERROR(__xludf.DUMMYFUNCTION("""COMPUTED_VALUE"""),5.7515497E7)</f>
        <v>57515497</v>
      </c>
    </row>
    <row r="88">
      <c r="A88" s="7">
        <f>IFERROR(__xludf.DUMMYFUNCTION("""COMPUTED_VALUE"""),45807.64583333333)</f>
        <v>45807.64583</v>
      </c>
      <c r="B88" s="6">
        <f>IFERROR(__xludf.DUMMYFUNCTION("""COMPUTED_VALUE"""),98.83)</f>
        <v>98.83</v>
      </c>
      <c r="C88" s="6">
        <f>IFERROR(__xludf.DUMMYFUNCTION("""COMPUTED_VALUE"""),105.77)</f>
        <v>105.77</v>
      </c>
      <c r="D88" s="6">
        <f>IFERROR(__xludf.DUMMYFUNCTION("""COMPUTED_VALUE"""),98.03)</f>
        <v>98.03</v>
      </c>
      <c r="E88" s="6">
        <f>IFERROR(__xludf.DUMMYFUNCTION("""COMPUTED_VALUE"""),102.08)</f>
        <v>102.08</v>
      </c>
      <c r="F88" s="6">
        <f>IFERROR(__xludf.DUMMYFUNCTION("""COMPUTED_VALUE"""),1.39198328E8)</f>
        <v>139198328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IFERROR(__xludf.DUMMYFUNCTION("""COMPUTED_VALUE"""),102.6)</f>
        <v>102.6</v>
      </c>
      <c r="C89" s="6">
        <f>IFERROR(__xludf.DUMMYFUNCTION("""COMPUTED_VALUE"""),105.65)</f>
        <v>105.65</v>
      </c>
      <c r="D89" s="6">
        <f>IFERROR(__xludf.DUMMYFUNCTION("""COMPUTED_VALUE"""),99.94)</f>
        <v>99.94</v>
      </c>
      <c r="E89" s="6">
        <f>IFERROR(__xludf.DUMMYFUNCTION("""COMPUTED_VALUE"""),104.99)</f>
        <v>104.99</v>
      </c>
      <c r="F89" s="6">
        <f>IFERROR(__xludf.DUMMYFUNCTION("""COMPUTED_VALUE"""),6.2951069E7)</f>
        <v>62951069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IFERROR(__xludf.DUMMYFUNCTION("""COMPUTED_VALUE"""),105.47)</f>
        <v>105.47</v>
      </c>
      <c r="C90" s="6">
        <f>IFERROR(__xludf.DUMMYFUNCTION("""COMPUTED_VALUE"""),108.17)</f>
        <v>108.17</v>
      </c>
      <c r="D90" s="6">
        <f>IFERROR(__xludf.DUMMYFUNCTION("""COMPUTED_VALUE"""),100.0)</f>
        <v>100</v>
      </c>
      <c r="E90" s="6">
        <f>IFERROR(__xludf.DUMMYFUNCTION("""COMPUTED_VALUE"""),102.67)</f>
        <v>102.67</v>
      </c>
      <c r="F90" s="6">
        <f>IFERROR(__xludf.DUMMYFUNCTION("""COMPUTED_VALUE"""),5.0225756E7)</f>
        <v>50225756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IFERROR(__xludf.DUMMYFUNCTION("""COMPUTED_VALUE"""),102.31)</f>
        <v>102.31</v>
      </c>
      <c r="C91" s="6">
        <f>IFERROR(__xludf.DUMMYFUNCTION("""COMPUTED_VALUE"""),102.91)</f>
        <v>102.91</v>
      </c>
      <c r="D91" s="6">
        <f>IFERROR(__xludf.DUMMYFUNCTION("""COMPUTED_VALUE"""),97.51)</f>
        <v>97.51</v>
      </c>
      <c r="E91" s="6">
        <f>IFERROR(__xludf.DUMMYFUNCTION("""COMPUTED_VALUE"""),100.13)</f>
        <v>100.13</v>
      </c>
      <c r="F91" s="6">
        <f>IFERROR(__xludf.DUMMYFUNCTION("""COMPUTED_VALUE"""),5.7707928E7)</f>
        <v>57707928</v>
      </c>
    </row>
    <row r="92">
      <c r="A92" s="7">
        <f>IFERROR(__xludf.DUMMYFUNCTION("""COMPUTED_VALUE"""),45835.64583333333)</f>
        <v>45835.64583</v>
      </c>
      <c r="B92" s="6">
        <f>IFERROR(__xludf.DUMMYFUNCTION("""COMPUTED_VALUE"""),98.33)</f>
        <v>98.33</v>
      </c>
      <c r="C92" s="6">
        <f>IFERROR(__xludf.DUMMYFUNCTION("""COMPUTED_VALUE"""),104.33)</f>
        <v>104.33</v>
      </c>
      <c r="D92" s="6">
        <f>IFERROR(__xludf.DUMMYFUNCTION("""COMPUTED_VALUE"""),96.79)</f>
        <v>96.79</v>
      </c>
      <c r="E92" s="6">
        <f>IFERROR(__xludf.DUMMYFUNCTION("""COMPUTED_VALUE"""),102.75)</f>
        <v>102.75</v>
      </c>
      <c r="F92" s="6">
        <f>IFERROR(__xludf.DUMMYFUNCTION("""COMPUTED_VALUE"""),7.2368295E7)</f>
        <v>72368295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IFERROR(__xludf.DUMMYFUNCTION("""COMPUTED_VALUE"""),103.47)</f>
        <v>103.47</v>
      </c>
      <c r="C93" s="6">
        <f>IFERROR(__xludf.DUMMYFUNCTION("""COMPUTED_VALUE"""),104.13)</f>
        <v>104.13</v>
      </c>
      <c r="D93" s="6">
        <f>IFERROR(__xludf.DUMMYFUNCTION("""COMPUTED_VALUE"""),100.7)</f>
        <v>100.7</v>
      </c>
      <c r="E93" s="6">
        <f>IFERROR(__xludf.DUMMYFUNCTION("""COMPUTED_VALUE"""),102.6)</f>
        <v>102.6</v>
      </c>
      <c r="F93" s="6">
        <f>IFERROR(__xludf.DUMMYFUNCTION("""COMPUTED_VALUE"""),3.2056565E7)</f>
        <v>32056565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IFERROR(__xludf.DUMMYFUNCTION("""COMPUTED_VALUE"""),102.33)</f>
        <v>102.33</v>
      </c>
      <c r="C94" s="6">
        <f>IFERROR(__xludf.DUMMYFUNCTION("""COMPUTED_VALUE"""),104.0)</f>
        <v>104</v>
      </c>
      <c r="D94" s="6">
        <f>IFERROR(__xludf.DUMMYFUNCTION("""COMPUTED_VALUE"""),100.0)</f>
        <v>100</v>
      </c>
      <c r="E94" s="6">
        <f>IFERROR(__xludf.DUMMYFUNCTION("""COMPUTED_VALUE"""),100.5)</f>
        <v>100.5</v>
      </c>
      <c r="F94" s="6">
        <f>IFERROR(__xludf.DUMMYFUNCTION("""COMPUTED_VALUE"""),4.3803592E7)</f>
        <v>43803592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IFERROR(__xludf.DUMMYFUNCTION("""COMPUTED_VALUE"""),101.2)</f>
        <v>101.2</v>
      </c>
      <c r="C95" s="6">
        <f>IFERROR(__xludf.DUMMYFUNCTION("""COMPUTED_VALUE"""),105.95)</f>
        <v>105.95</v>
      </c>
      <c r="D95" s="6">
        <f>IFERROR(__xludf.DUMMYFUNCTION("""COMPUTED_VALUE"""),100.53)</f>
        <v>100.53</v>
      </c>
      <c r="E95" s="6">
        <f>IFERROR(__xludf.DUMMYFUNCTION("""COMPUTED_VALUE"""),100.97)</f>
        <v>100.97</v>
      </c>
      <c r="F95" s="6">
        <f>IFERROR(__xludf.DUMMYFUNCTION("""COMPUTED_VALUE"""),5.3086432E7)</f>
        <v>53086432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IFERROR(__xludf.DUMMYFUNCTION("""COMPUTED_VALUE"""),101.0)</f>
        <v>101</v>
      </c>
      <c r="C96" s="6">
        <f>IFERROR(__xludf.DUMMYFUNCTION("""COMPUTED_VALUE"""),103.75)</f>
        <v>103.75</v>
      </c>
      <c r="D96" s="6">
        <f>IFERROR(__xludf.DUMMYFUNCTION("""COMPUTED_VALUE"""),96.98)</f>
        <v>96.98</v>
      </c>
      <c r="E96" s="6">
        <f>IFERROR(__xludf.DUMMYFUNCTION("""COMPUTED_VALUE"""),100.34)</f>
        <v>100.34</v>
      </c>
      <c r="F96" s="6">
        <f>IFERROR(__xludf.DUMMYFUNCTION("""COMPUTED_VALUE"""),8.8363158E7)</f>
        <v>88363158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IFERROR(__xludf.DUMMYFUNCTION("""COMPUTED_VALUE"""),100.65)</f>
        <v>100.65</v>
      </c>
      <c r="C97" s="6">
        <f>IFERROR(__xludf.DUMMYFUNCTION("""COMPUTED_VALUE"""),102.8)</f>
        <v>102.8</v>
      </c>
      <c r="D97" s="6">
        <f>IFERROR(__xludf.DUMMYFUNCTION("""COMPUTED_VALUE"""),95.31)</f>
        <v>95.31</v>
      </c>
      <c r="E97" s="6">
        <f>IFERROR(__xludf.DUMMYFUNCTION("""COMPUTED_VALUE"""),95.54)</f>
        <v>95.54</v>
      </c>
      <c r="F97" s="6">
        <f>IFERROR(__xludf.DUMMYFUNCTION("""COMPUTED_VALUE"""),6.2140135E7)</f>
        <v>62140135</v>
      </c>
    </row>
    <row r="98">
      <c r="A98" s="7">
        <f>IFERROR(__xludf.DUMMYFUNCTION("""COMPUTED_VALUE"""),45877.64583333333)</f>
        <v>45877.64583</v>
      </c>
      <c r="B98" s="6">
        <f>IFERROR(__xludf.DUMMYFUNCTION("""COMPUTED_VALUE"""),95.55)</f>
        <v>95.55</v>
      </c>
      <c r="C98" s="6">
        <f>IFERROR(__xludf.DUMMYFUNCTION("""COMPUTED_VALUE"""),99.08)</f>
        <v>99.08</v>
      </c>
      <c r="D98" s="6">
        <f>IFERROR(__xludf.DUMMYFUNCTION("""COMPUTED_VALUE"""),91.0)</f>
        <v>91</v>
      </c>
      <c r="E98" s="6">
        <f>IFERROR(__xludf.DUMMYFUNCTION("""COMPUTED_VALUE"""),91.45)</f>
        <v>91.45</v>
      </c>
      <c r="F98" s="6">
        <f>IFERROR(__xludf.DUMMYFUNCTION("""COMPUTED_VALUE"""),6.3420708E7)</f>
        <v>63420708</v>
      </c>
    </row>
    <row r="99">
      <c r="A99" s="7">
        <f>IFERROR(__xludf.DUMMYFUNCTION("""COMPUTED_VALUE"""),45883.64583333333)</f>
        <v>45883.64583</v>
      </c>
      <c r="B99" s="6">
        <f>IFERROR(__xludf.DUMMYFUNCTION("""COMPUTED_VALUE"""),91.51)</f>
        <v>91.51</v>
      </c>
      <c r="C99" s="6">
        <f>IFERROR(__xludf.DUMMYFUNCTION("""COMPUTED_VALUE"""),94.59)</f>
        <v>94.59</v>
      </c>
      <c r="D99" s="6">
        <f>IFERROR(__xludf.DUMMYFUNCTION("""COMPUTED_VALUE"""),89.7)</f>
        <v>89.7</v>
      </c>
      <c r="E99" s="6">
        <f>IFERROR(__xludf.DUMMYFUNCTION("""COMPUTED_VALUE"""),93.1)</f>
        <v>93.1</v>
      </c>
      <c r="F99" s="6">
        <f>IFERROR(__xludf.DUMMYFUNCTION("""COMPUTED_VALUE"""),6.9371348E7)</f>
        <v>69371348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IFERROR(__xludf.DUMMYFUNCTION("""COMPUTED_VALUE"""),93.8)</f>
        <v>93.8</v>
      </c>
      <c r="C100" s="6">
        <f>IFERROR(__xludf.DUMMYFUNCTION("""COMPUTED_VALUE"""),99.85)</f>
        <v>99.85</v>
      </c>
      <c r="D100" s="6">
        <f>IFERROR(__xludf.DUMMYFUNCTION("""COMPUTED_VALUE"""),93.15)</f>
        <v>93.15</v>
      </c>
      <c r="E100" s="6">
        <f>IFERROR(__xludf.DUMMYFUNCTION("""COMPUTED_VALUE"""),95.16)</f>
        <v>95.16</v>
      </c>
      <c r="F100" s="6">
        <f>IFERROR(__xludf.DUMMYFUNCTION("""COMPUTED_VALUE"""),7.8867712E7)</f>
        <v>78867712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IFERROR(__xludf.DUMMYFUNCTION("""COMPUTED_VALUE"""),96.0)</f>
        <v>96</v>
      </c>
      <c r="C101" s="6">
        <f>IFERROR(__xludf.DUMMYFUNCTION("""COMPUTED_VALUE"""),96.3)</f>
        <v>96.3</v>
      </c>
      <c r="D101" s="6">
        <f>IFERROR(__xludf.DUMMYFUNCTION("""COMPUTED_VALUE"""),92.51)</f>
        <v>92.51</v>
      </c>
      <c r="E101" s="6">
        <f>IFERROR(__xludf.DUMMYFUNCTION("""COMPUTED_VALUE"""),92.96)</f>
        <v>92.96</v>
      </c>
      <c r="F101" s="6">
        <f>IFERROR(__xludf.DUMMYFUNCTION("""COMPUTED_VALUE"""),1.82033968E8)</f>
        <v>182033968</v>
      </c>
    </row>
  </sheetData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IFERROR(__xludf.DUMMYFUNCTION("GOOGLEFINANCE(""NSE:MOTILALOFS"",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IFERROR(__xludf.DUMMYFUNCTION("""COMPUTED_VALUE"""),220.7)</f>
        <v>220.7</v>
      </c>
      <c r="C2" s="6">
        <f>IFERROR(__xludf.DUMMYFUNCTION("""COMPUTED_VALUE"""),231.23)</f>
        <v>231.23</v>
      </c>
      <c r="D2" s="6">
        <f>IFERROR(__xludf.DUMMYFUNCTION("""COMPUTED_VALUE"""),215.0)</f>
        <v>215</v>
      </c>
      <c r="E2" s="6">
        <f>IFERROR(__xludf.DUMMYFUNCTION("""COMPUTED_VALUE"""),227.18)</f>
        <v>227.18</v>
      </c>
      <c r="F2" s="6">
        <f>IFERROR(__xludf.DUMMYFUNCTION("""COMPUTED_VALUE"""),575099.0)</f>
        <v>575099</v>
      </c>
    </row>
    <row r="3">
      <c r="A3" s="7">
        <f>IFERROR(__xludf.DUMMYFUNCTION("""COMPUTED_VALUE"""),45177.64583333333)</f>
        <v>45177.64583</v>
      </c>
      <c r="B3" s="6">
        <f>IFERROR(__xludf.DUMMYFUNCTION("""COMPUTED_VALUE"""),228.14)</f>
        <v>228.14</v>
      </c>
      <c r="C3" s="6">
        <f>IFERROR(__xludf.DUMMYFUNCTION("""COMPUTED_VALUE"""),229.14)</f>
        <v>229.14</v>
      </c>
      <c r="D3" s="6">
        <f>IFERROR(__xludf.DUMMYFUNCTION("""COMPUTED_VALUE"""),219.58)</f>
        <v>219.58</v>
      </c>
      <c r="E3" s="6">
        <f>IFERROR(__xludf.DUMMYFUNCTION("""COMPUTED_VALUE"""),220.35)</f>
        <v>220.35</v>
      </c>
      <c r="F3" s="6">
        <f>IFERROR(__xludf.DUMMYFUNCTION("""COMPUTED_VALUE"""),551616.0)</f>
        <v>551616</v>
      </c>
    </row>
    <row r="4">
      <c r="A4" s="7">
        <f>IFERROR(__xludf.DUMMYFUNCTION("""COMPUTED_VALUE"""),45184.64583333333)</f>
        <v>45184.64583</v>
      </c>
      <c r="B4" s="6">
        <f>IFERROR(__xludf.DUMMYFUNCTION("""COMPUTED_VALUE"""),223.63)</f>
        <v>223.63</v>
      </c>
      <c r="C4" s="6">
        <f>IFERROR(__xludf.DUMMYFUNCTION("""COMPUTED_VALUE"""),232.94)</f>
        <v>232.94</v>
      </c>
      <c r="D4" s="6">
        <f>IFERROR(__xludf.DUMMYFUNCTION("""COMPUTED_VALUE"""),212.0)</f>
        <v>212</v>
      </c>
      <c r="E4" s="6">
        <f>IFERROR(__xludf.DUMMYFUNCTION("""COMPUTED_VALUE"""),213.19)</f>
        <v>213.19</v>
      </c>
      <c r="F4" s="6">
        <f>IFERROR(__xludf.DUMMYFUNCTION("""COMPUTED_VALUE"""),1291438.0)</f>
        <v>1291438</v>
      </c>
    </row>
    <row r="5">
      <c r="A5" s="7">
        <f>IFERROR(__xludf.DUMMYFUNCTION("""COMPUTED_VALUE"""),45191.64583333333)</f>
        <v>45191.64583</v>
      </c>
      <c r="B5" s="6">
        <f>IFERROR(__xludf.DUMMYFUNCTION("""COMPUTED_VALUE"""),215.49)</f>
        <v>215.49</v>
      </c>
      <c r="C5" s="6">
        <f>IFERROR(__xludf.DUMMYFUNCTION("""COMPUTED_VALUE"""),221.46)</f>
        <v>221.46</v>
      </c>
      <c r="D5" s="6">
        <f>IFERROR(__xludf.DUMMYFUNCTION("""COMPUTED_VALUE"""),210.33)</f>
        <v>210.33</v>
      </c>
      <c r="E5" s="6">
        <f>IFERROR(__xludf.DUMMYFUNCTION("""COMPUTED_VALUE"""),213.65)</f>
        <v>213.65</v>
      </c>
      <c r="F5" s="6">
        <f>IFERROR(__xludf.DUMMYFUNCTION("""COMPUTED_VALUE"""),400433.0)</f>
        <v>400433</v>
      </c>
    </row>
    <row r="6">
      <c r="A6" s="7">
        <f>IFERROR(__xludf.DUMMYFUNCTION("""COMPUTED_VALUE"""),45198.64583333333)</f>
        <v>45198.64583</v>
      </c>
      <c r="B6" s="6">
        <f>IFERROR(__xludf.DUMMYFUNCTION("""COMPUTED_VALUE"""),213.76)</f>
        <v>213.76</v>
      </c>
      <c r="C6" s="6">
        <f>IFERROR(__xludf.DUMMYFUNCTION("""COMPUTED_VALUE"""),223.25)</f>
        <v>223.25</v>
      </c>
      <c r="D6" s="6">
        <f>IFERROR(__xludf.DUMMYFUNCTION("""COMPUTED_VALUE"""),211.44)</f>
        <v>211.44</v>
      </c>
      <c r="E6" s="6">
        <f>IFERROR(__xludf.DUMMYFUNCTION("""COMPUTED_VALUE"""),219.71)</f>
        <v>219.71</v>
      </c>
      <c r="F6" s="6">
        <f>IFERROR(__xludf.DUMMYFUNCTION("""COMPUTED_VALUE"""),514824.0)</f>
        <v>514824</v>
      </c>
    </row>
    <row r="7">
      <c r="A7" s="7">
        <f>IFERROR(__xludf.DUMMYFUNCTION("""COMPUTED_VALUE"""),45205.64583333333)</f>
        <v>45205.64583</v>
      </c>
      <c r="B7" s="6">
        <f>IFERROR(__xludf.DUMMYFUNCTION("""COMPUTED_VALUE"""),219.0)</f>
        <v>219</v>
      </c>
      <c r="C7" s="6">
        <f>IFERROR(__xludf.DUMMYFUNCTION("""COMPUTED_VALUE"""),237.13)</f>
        <v>237.13</v>
      </c>
      <c r="D7" s="6">
        <f>IFERROR(__xludf.DUMMYFUNCTION("""COMPUTED_VALUE"""),216.3)</f>
        <v>216.3</v>
      </c>
      <c r="E7" s="6">
        <f>IFERROR(__xludf.DUMMYFUNCTION("""COMPUTED_VALUE"""),231.16)</f>
        <v>231.16</v>
      </c>
      <c r="F7" s="6">
        <f>IFERROR(__xludf.DUMMYFUNCTION("""COMPUTED_VALUE"""),964741.0)</f>
        <v>964741</v>
      </c>
    </row>
    <row r="8">
      <c r="A8" s="7">
        <f>IFERROR(__xludf.DUMMYFUNCTION("""COMPUTED_VALUE"""),45212.64583333333)</f>
        <v>45212.64583</v>
      </c>
      <c r="B8" s="6">
        <f>IFERROR(__xludf.DUMMYFUNCTION("""COMPUTED_VALUE"""),229.76)</f>
        <v>229.76</v>
      </c>
      <c r="C8" s="6">
        <f>IFERROR(__xludf.DUMMYFUNCTION("""COMPUTED_VALUE"""),256.4)</f>
        <v>256.4</v>
      </c>
      <c r="D8" s="6">
        <f>IFERROR(__xludf.DUMMYFUNCTION("""COMPUTED_VALUE"""),222.5)</f>
        <v>222.5</v>
      </c>
      <c r="E8" s="6">
        <f>IFERROR(__xludf.DUMMYFUNCTION("""COMPUTED_VALUE"""),245.99)</f>
        <v>245.99</v>
      </c>
      <c r="F8" s="6">
        <f>IFERROR(__xludf.DUMMYFUNCTION("""COMPUTED_VALUE"""),1918101.0)</f>
        <v>1918101</v>
      </c>
    </row>
    <row r="9">
      <c r="A9" s="7">
        <f>IFERROR(__xludf.DUMMYFUNCTION("""COMPUTED_VALUE"""),45219.64583333333)</f>
        <v>45219.64583</v>
      </c>
      <c r="B9" s="6">
        <f>IFERROR(__xludf.DUMMYFUNCTION("""COMPUTED_VALUE"""),245.75)</f>
        <v>245.75</v>
      </c>
      <c r="C9" s="6">
        <f>IFERROR(__xludf.DUMMYFUNCTION("""COMPUTED_VALUE"""),259.91)</f>
        <v>259.91</v>
      </c>
      <c r="D9" s="6">
        <f>IFERROR(__xludf.DUMMYFUNCTION("""COMPUTED_VALUE"""),243.3)</f>
        <v>243.3</v>
      </c>
      <c r="E9" s="6">
        <f>IFERROR(__xludf.DUMMYFUNCTION("""COMPUTED_VALUE"""),245.24)</f>
        <v>245.24</v>
      </c>
      <c r="F9" s="6">
        <f>IFERROR(__xludf.DUMMYFUNCTION("""COMPUTED_VALUE"""),1024154.0)</f>
        <v>1024154</v>
      </c>
    </row>
    <row r="10">
      <c r="A10" s="7">
        <f>IFERROR(__xludf.DUMMYFUNCTION("""COMPUTED_VALUE"""),45226.64583333333)</f>
        <v>45226.64583</v>
      </c>
      <c r="B10" s="6">
        <f>IFERROR(__xludf.DUMMYFUNCTION("""COMPUTED_VALUE"""),244.29)</f>
        <v>244.29</v>
      </c>
      <c r="C10" s="6">
        <f>IFERROR(__xludf.DUMMYFUNCTION("""COMPUTED_VALUE"""),247.74)</f>
        <v>247.74</v>
      </c>
      <c r="D10" s="6">
        <f>IFERROR(__xludf.DUMMYFUNCTION("""COMPUTED_VALUE"""),225.51)</f>
        <v>225.51</v>
      </c>
      <c r="E10" s="6">
        <f>IFERROR(__xludf.DUMMYFUNCTION("""COMPUTED_VALUE"""),242.46)</f>
        <v>242.46</v>
      </c>
      <c r="F10" s="6">
        <f>IFERROR(__xludf.DUMMYFUNCTION("""COMPUTED_VALUE"""),1215614.0)</f>
        <v>1215614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IFERROR(__xludf.DUMMYFUNCTION("""COMPUTED_VALUE"""),242.88)</f>
        <v>242.88</v>
      </c>
      <c r="C11" s="6">
        <f>IFERROR(__xludf.DUMMYFUNCTION("""COMPUTED_VALUE"""),273.5)</f>
        <v>273.5</v>
      </c>
      <c r="D11" s="6">
        <f>IFERROR(__xludf.DUMMYFUNCTION("""COMPUTED_VALUE"""),241.0)</f>
        <v>241</v>
      </c>
      <c r="E11" s="6">
        <f>IFERROR(__xludf.DUMMYFUNCTION("""COMPUTED_VALUE"""),252.51)</f>
        <v>252.51</v>
      </c>
      <c r="F11" s="6">
        <f>IFERROR(__xludf.DUMMYFUNCTION("""COMPUTED_VALUE"""),4012745.0)</f>
        <v>4012745</v>
      </c>
    </row>
    <row r="12">
      <c r="A12" s="7">
        <f>IFERROR(__xludf.DUMMYFUNCTION("""COMPUTED_VALUE"""),45240.64583333333)</f>
        <v>45240.64583</v>
      </c>
      <c r="B12" s="6">
        <f>IFERROR(__xludf.DUMMYFUNCTION("""COMPUTED_VALUE"""),252.51)</f>
        <v>252.51</v>
      </c>
      <c r="C12" s="6">
        <f>IFERROR(__xludf.DUMMYFUNCTION("""COMPUTED_VALUE"""),264.85)</f>
        <v>264.85</v>
      </c>
      <c r="D12" s="6">
        <f>IFERROR(__xludf.DUMMYFUNCTION("""COMPUTED_VALUE"""),247.64)</f>
        <v>247.64</v>
      </c>
      <c r="E12" s="6">
        <f>IFERROR(__xludf.DUMMYFUNCTION("""COMPUTED_VALUE"""),256.68)</f>
        <v>256.68</v>
      </c>
      <c r="F12" s="6">
        <f>IFERROR(__xludf.DUMMYFUNCTION("""COMPUTED_VALUE"""),1206096.0)</f>
        <v>1206096</v>
      </c>
    </row>
    <row r="13">
      <c r="A13" s="7">
        <f>IFERROR(__xludf.DUMMYFUNCTION("""COMPUTED_VALUE"""),45247.64583333333)</f>
        <v>45247.64583</v>
      </c>
      <c r="B13" s="6">
        <f>IFERROR(__xludf.DUMMYFUNCTION("""COMPUTED_VALUE"""),259.98)</f>
        <v>259.98</v>
      </c>
      <c r="C13" s="6">
        <f>IFERROR(__xludf.DUMMYFUNCTION("""COMPUTED_VALUE"""),316.25)</f>
        <v>316.25</v>
      </c>
      <c r="D13" s="6">
        <f>IFERROR(__xludf.DUMMYFUNCTION("""COMPUTED_VALUE"""),257.0)</f>
        <v>257</v>
      </c>
      <c r="E13" s="6">
        <f>IFERROR(__xludf.DUMMYFUNCTION("""COMPUTED_VALUE"""),304.25)</f>
        <v>304.25</v>
      </c>
      <c r="F13" s="6">
        <f>IFERROR(__xludf.DUMMYFUNCTION("""COMPUTED_VALUE"""),4928010.0)</f>
        <v>4928010</v>
      </c>
    </row>
    <row r="14">
      <c r="A14" s="7">
        <f>IFERROR(__xludf.DUMMYFUNCTION("""COMPUTED_VALUE"""),45254.64583333333)</f>
        <v>45254.64583</v>
      </c>
      <c r="B14" s="6">
        <f>IFERROR(__xludf.DUMMYFUNCTION("""COMPUTED_VALUE"""),306.95)</f>
        <v>306.95</v>
      </c>
      <c r="C14" s="6">
        <f>IFERROR(__xludf.DUMMYFUNCTION("""COMPUTED_VALUE"""),307.43)</f>
        <v>307.43</v>
      </c>
      <c r="D14" s="6">
        <f>IFERROR(__xludf.DUMMYFUNCTION("""COMPUTED_VALUE"""),277.29)</f>
        <v>277.29</v>
      </c>
      <c r="E14" s="6">
        <f>IFERROR(__xludf.DUMMYFUNCTION("""COMPUTED_VALUE"""),282.38)</f>
        <v>282.38</v>
      </c>
      <c r="F14" s="6">
        <f>IFERROR(__xludf.DUMMYFUNCTION("""COMPUTED_VALUE"""),1336541.0)</f>
        <v>1336541</v>
      </c>
    </row>
    <row r="15">
      <c r="A15" s="7">
        <f>IFERROR(__xludf.DUMMYFUNCTION("""COMPUTED_VALUE"""),45261.64583333333)</f>
        <v>45261.64583</v>
      </c>
      <c r="B15" s="6">
        <f>IFERROR(__xludf.DUMMYFUNCTION("""COMPUTED_VALUE"""),283.75)</f>
        <v>283.75</v>
      </c>
      <c r="C15" s="6">
        <f>IFERROR(__xludf.DUMMYFUNCTION("""COMPUTED_VALUE"""),305.96)</f>
        <v>305.96</v>
      </c>
      <c r="D15" s="6">
        <f>IFERROR(__xludf.DUMMYFUNCTION("""COMPUTED_VALUE"""),282.15)</f>
        <v>282.15</v>
      </c>
      <c r="E15" s="6">
        <f>IFERROR(__xludf.DUMMYFUNCTION("""COMPUTED_VALUE"""),297.49)</f>
        <v>297.49</v>
      </c>
      <c r="F15" s="6">
        <f>IFERROR(__xludf.DUMMYFUNCTION("""COMPUTED_VALUE"""),1118587.0)</f>
        <v>1118587</v>
      </c>
    </row>
    <row r="16">
      <c r="A16" s="7">
        <f>IFERROR(__xludf.DUMMYFUNCTION("""COMPUTED_VALUE"""),45268.64583333333)</f>
        <v>45268.64583</v>
      </c>
      <c r="B16" s="6">
        <f>IFERROR(__xludf.DUMMYFUNCTION("""COMPUTED_VALUE"""),305.0)</f>
        <v>305</v>
      </c>
      <c r="C16" s="6">
        <f>IFERROR(__xludf.DUMMYFUNCTION("""COMPUTED_VALUE"""),309.95)</f>
        <v>309.95</v>
      </c>
      <c r="D16" s="6">
        <f>IFERROR(__xludf.DUMMYFUNCTION("""COMPUTED_VALUE"""),292.5)</f>
        <v>292.5</v>
      </c>
      <c r="E16" s="6">
        <f>IFERROR(__xludf.DUMMYFUNCTION("""COMPUTED_VALUE"""),299.13)</f>
        <v>299.13</v>
      </c>
      <c r="F16" s="6">
        <f>IFERROR(__xludf.DUMMYFUNCTION("""COMPUTED_VALUE"""),1071383.0)</f>
        <v>1071383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IFERROR(__xludf.DUMMYFUNCTION("""COMPUTED_VALUE"""),300.0)</f>
        <v>300</v>
      </c>
      <c r="C17" s="6">
        <f>IFERROR(__xludf.DUMMYFUNCTION("""COMPUTED_VALUE"""),321.54)</f>
        <v>321.54</v>
      </c>
      <c r="D17" s="6">
        <f>IFERROR(__xludf.DUMMYFUNCTION("""COMPUTED_VALUE"""),294.76)</f>
        <v>294.76</v>
      </c>
      <c r="E17" s="6">
        <f>IFERROR(__xludf.DUMMYFUNCTION("""COMPUTED_VALUE"""),303.21)</f>
        <v>303.21</v>
      </c>
      <c r="F17" s="6">
        <f>IFERROR(__xludf.DUMMYFUNCTION("""COMPUTED_VALUE"""),1897759.0)</f>
        <v>1897759</v>
      </c>
    </row>
    <row r="18">
      <c r="A18" s="7">
        <f>IFERROR(__xludf.DUMMYFUNCTION("""COMPUTED_VALUE"""),45282.64583333333)</f>
        <v>45282.64583</v>
      </c>
      <c r="B18" s="6">
        <f>IFERROR(__xludf.DUMMYFUNCTION("""COMPUTED_VALUE"""),303.23)</f>
        <v>303.23</v>
      </c>
      <c r="C18" s="6">
        <f>IFERROR(__xludf.DUMMYFUNCTION("""COMPUTED_VALUE"""),324.63)</f>
        <v>324.63</v>
      </c>
      <c r="D18" s="6">
        <f>IFERROR(__xludf.DUMMYFUNCTION("""COMPUTED_VALUE"""),299.77)</f>
        <v>299.77</v>
      </c>
      <c r="E18" s="6">
        <f>IFERROR(__xludf.DUMMYFUNCTION("""COMPUTED_VALUE"""),316.61)</f>
        <v>316.61</v>
      </c>
      <c r="F18" s="6">
        <f>IFERROR(__xludf.DUMMYFUNCTION("""COMPUTED_VALUE"""),1540202.0)</f>
        <v>1540202</v>
      </c>
    </row>
    <row r="19">
      <c r="A19" s="7">
        <f>IFERROR(__xludf.DUMMYFUNCTION("""COMPUTED_VALUE"""),45289.64583333333)</f>
        <v>45289.64583</v>
      </c>
      <c r="B19" s="6">
        <f>IFERROR(__xludf.DUMMYFUNCTION("""COMPUTED_VALUE"""),319.25)</f>
        <v>319.25</v>
      </c>
      <c r="C19" s="6">
        <f>IFERROR(__xludf.DUMMYFUNCTION("""COMPUTED_VALUE"""),319.7)</f>
        <v>319.7</v>
      </c>
      <c r="D19" s="6">
        <f>IFERROR(__xludf.DUMMYFUNCTION("""COMPUTED_VALUE"""),297.64)</f>
        <v>297.64</v>
      </c>
      <c r="E19" s="6">
        <f>IFERROR(__xludf.DUMMYFUNCTION("""COMPUTED_VALUE"""),310.21)</f>
        <v>310.21</v>
      </c>
      <c r="F19" s="6">
        <f>IFERROR(__xludf.DUMMYFUNCTION("""COMPUTED_VALUE"""),1085041.0)</f>
        <v>1085041</v>
      </c>
    </row>
    <row r="20">
      <c r="A20" s="7">
        <f>IFERROR(__xludf.DUMMYFUNCTION("""COMPUTED_VALUE"""),45296.64583333333)</f>
        <v>45296.64583</v>
      </c>
      <c r="B20" s="6">
        <f>IFERROR(__xludf.DUMMYFUNCTION("""COMPUTED_VALUE"""),310.21)</f>
        <v>310.21</v>
      </c>
      <c r="C20" s="6">
        <f>IFERROR(__xludf.DUMMYFUNCTION("""COMPUTED_VALUE"""),331.96)</f>
        <v>331.96</v>
      </c>
      <c r="D20" s="6">
        <f>IFERROR(__xludf.DUMMYFUNCTION("""COMPUTED_VALUE"""),306.5)</f>
        <v>306.5</v>
      </c>
      <c r="E20" s="6">
        <f>IFERROR(__xludf.DUMMYFUNCTION("""COMPUTED_VALUE"""),325.49)</f>
        <v>325.49</v>
      </c>
      <c r="F20" s="6">
        <f>IFERROR(__xludf.DUMMYFUNCTION("""COMPUTED_VALUE"""),1553796.0)</f>
        <v>1553796</v>
      </c>
    </row>
    <row r="21">
      <c r="A21" s="7">
        <f>IFERROR(__xludf.DUMMYFUNCTION("""COMPUTED_VALUE"""),45303.64583333333)</f>
        <v>45303.64583</v>
      </c>
      <c r="B21" s="6">
        <f>IFERROR(__xludf.DUMMYFUNCTION("""COMPUTED_VALUE"""),325.49)</f>
        <v>325.49</v>
      </c>
      <c r="C21" s="6">
        <f>IFERROR(__xludf.DUMMYFUNCTION("""COMPUTED_VALUE"""),397.25)</f>
        <v>397.25</v>
      </c>
      <c r="D21" s="6">
        <f>IFERROR(__xludf.DUMMYFUNCTION("""COMPUTED_VALUE"""),325.1)</f>
        <v>325.1</v>
      </c>
      <c r="E21" s="6">
        <f>IFERROR(__xludf.DUMMYFUNCTION("""COMPUTED_VALUE"""),389.3)</f>
        <v>389.3</v>
      </c>
      <c r="F21" s="6">
        <f>IFERROR(__xludf.DUMMYFUNCTION("""COMPUTED_VALUE"""),3705171.0)</f>
        <v>3705171</v>
      </c>
    </row>
    <row r="22">
      <c r="A22" s="7">
        <f>IFERROR(__xludf.DUMMYFUNCTION("""COMPUTED_VALUE"""),45316.64583333333)</f>
        <v>45316.64583</v>
      </c>
      <c r="B22" s="6">
        <f>IFERROR(__xludf.DUMMYFUNCTION("""COMPUTED_VALUE"""),400.64)</f>
        <v>400.64</v>
      </c>
      <c r="C22" s="6">
        <f>IFERROR(__xludf.DUMMYFUNCTION("""COMPUTED_VALUE"""),465.15)</f>
        <v>465.15</v>
      </c>
      <c r="D22" s="6">
        <f>IFERROR(__xludf.DUMMYFUNCTION("""COMPUTED_VALUE"""),380.55)</f>
        <v>380.55</v>
      </c>
      <c r="E22" s="6">
        <f>IFERROR(__xludf.DUMMYFUNCTION("""COMPUTED_VALUE"""),433.01)</f>
        <v>433.01</v>
      </c>
      <c r="F22" s="6">
        <f>IFERROR(__xludf.DUMMYFUNCTION("""COMPUTED_VALUE"""),3275776.0)</f>
        <v>3275776</v>
      </c>
    </row>
    <row r="23">
      <c r="A23" s="7">
        <f>IFERROR(__xludf.DUMMYFUNCTION("""COMPUTED_VALUE"""),45324.64583333333)</f>
        <v>45324.64583</v>
      </c>
      <c r="B23" s="6">
        <f>IFERROR(__xludf.DUMMYFUNCTION("""COMPUTED_VALUE"""),436.25)</f>
        <v>436.25</v>
      </c>
      <c r="C23" s="6">
        <f>IFERROR(__xludf.DUMMYFUNCTION("""COMPUTED_VALUE"""),459.93)</f>
        <v>459.93</v>
      </c>
      <c r="D23" s="6">
        <f>IFERROR(__xludf.DUMMYFUNCTION("""COMPUTED_VALUE"""),423.25)</f>
        <v>423.25</v>
      </c>
      <c r="E23" s="6">
        <f>IFERROR(__xludf.DUMMYFUNCTION("""COMPUTED_VALUE"""),442.46)</f>
        <v>442.46</v>
      </c>
      <c r="F23" s="6">
        <f>IFERROR(__xludf.DUMMYFUNCTION("""COMPUTED_VALUE"""),1302450.0)</f>
        <v>1302450</v>
      </c>
    </row>
    <row r="24">
      <c r="A24" s="7">
        <f>IFERROR(__xludf.DUMMYFUNCTION("""COMPUTED_VALUE"""),45331.64583333333)</f>
        <v>45331.64583</v>
      </c>
      <c r="B24" s="6">
        <f>IFERROR(__xludf.DUMMYFUNCTION("""COMPUTED_VALUE"""),444.5)</f>
        <v>444.5</v>
      </c>
      <c r="C24" s="6">
        <f>IFERROR(__xludf.DUMMYFUNCTION("""COMPUTED_VALUE"""),484.56)</f>
        <v>484.56</v>
      </c>
      <c r="D24" s="6">
        <f>IFERROR(__xludf.DUMMYFUNCTION("""COMPUTED_VALUE"""),433.5)</f>
        <v>433.5</v>
      </c>
      <c r="E24" s="6">
        <f>IFERROR(__xludf.DUMMYFUNCTION("""COMPUTED_VALUE"""),466.51)</f>
        <v>466.51</v>
      </c>
      <c r="F24" s="6">
        <f>IFERROR(__xludf.DUMMYFUNCTION("""COMPUTED_VALUE"""),1107799.0)</f>
        <v>1107799</v>
      </c>
    </row>
    <row r="25">
      <c r="A25" s="7">
        <f>IFERROR(__xludf.DUMMYFUNCTION("""COMPUTED_VALUE"""),45338.64583333333)</f>
        <v>45338.64583</v>
      </c>
      <c r="B25" s="6">
        <f>IFERROR(__xludf.DUMMYFUNCTION("""COMPUTED_VALUE"""),466.25)</f>
        <v>466.25</v>
      </c>
      <c r="C25" s="6">
        <f>IFERROR(__xludf.DUMMYFUNCTION("""COMPUTED_VALUE"""),476.99)</f>
        <v>476.99</v>
      </c>
      <c r="D25" s="6">
        <f>IFERROR(__xludf.DUMMYFUNCTION("""COMPUTED_VALUE"""),426.31)</f>
        <v>426.31</v>
      </c>
      <c r="E25" s="6">
        <f>IFERROR(__xludf.DUMMYFUNCTION("""COMPUTED_VALUE"""),459.64)</f>
        <v>459.64</v>
      </c>
      <c r="F25" s="6">
        <f>IFERROR(__xludf.DUMMYFUNCTION("""COMPUTED_VALUE"""),601149.0)</f>
        <v>601149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IFERROR(__xludf.DUMMYFUNCTION("""COMPUTED_VALUE"""),457.51)</f>
        <v>457.51</v>
      </c>
      <c r="C26" s="6">
        <f>IFERROR(__xludf.DUMMYFUNCTION("""COMPUTED_VALUE"""),457.51)</f>
        <v>457.51</v>
      </c>
      <c r="D26" s="6">
        <f>IFERROR(__xludf.DUMMYFUNCTION("""COMPUTED_VALUE"""),410.1)</f>
        <v>410.1</v>
      </c>
      <c r="E26" s="6">
        <f>IFERROR(__xludf.DUMMYFUNCTION("""COMPUTED_VALUE"""),417.88)</f>
        <v>417.88</v>
      </c>
      <c r="F26" s="6">
        <f>IFERROR(__xludf.DUMMYFUNCTION("""COMPUTED_VALUE"""),646041.0)</f>
        <v>646041</v>
      </c>
    </row>
    <row r="27">
      <c r="A27" s="7">
        <f>IFERROR(__xludf.DUMMYFUNCTION("""COMPUTED_VALUE"""),45358.64583333333)</f>
        <v>45358.64583</v>
      </c>
      <c r="B27" s="6">
        <f>IFERROR(__xludf.DUMMYFUNCTION("""COMPUTED_VALUE"""),418.41)</f>
        <v>418.41</v>
      </c>
      <c r="C27" s="6">
        <f>IFERROR(__xludf.DUMMYFUNCTION("""COMPUTED_VALUE"""),435.49)</f>
        <v>435.49</v>
      </c>
      <c r="D27" s="6">
        <f>IFERROR(__xludf.DUMMYFUNCTION("""COMPUTED_VALUE"""),390.0)</f>
        <v>390</v>
      </c>
      <c r="E27" s="6">
        <f>IFERROR(__xludf.DUMMYFUNCTION("""COMPUTED_VALUE"""),395.0)</f>
        <v>395</v>
      </c>
      <c r="F27" s="6">
        <f>IFERROR(__xludf.DUMMYFUNCTION("""COMPUTED_VALUE"""),663129.0)</f>
        <v>663129</v>
      </c>
    </row>
    <row r="28">
      <c r="A28" s="7">
        <f>IFERROR(__xludf.DUMMYFUNCTION("""COMPUTED_VALUE"""),45366.64583333333)</f>
        <v>45366.64583</v>
      </c>
      <c r="B28" s="6">
        <f>IFERROR(__xludf.DUMMYFUNCTION("""COMPUTED_VALUE"""),399.03)</f>
        <v>399.03</v>
      </c>
      <c r="C28" s="6">
        <f>IFERROR(__xludf.DUMMYFUNCTION("""COMPUTED_VALUE"""),400.88)</f>
        <v>400.88</v>
      </c>
      <c r="D28" s="6">
        <f>IFERROR(__xludf.DUMMYFUNCTION("""COMPUTED_VALUE"""),345.36)</f>
        <v>345.36</v>
      </c>
      <c r="E28" s="6">
        <f>IFERROR(__xludf.DUMMYFUNCTION("""COMPUTED_VALUE"""),370.13)</f>
        <v>370.13</v>
      </c>
      <c r="F28" s="6">
        <f>IFERROR(__xludf.DUMMYFUNCTION("""COMPUTED_VALUE"""),913864.0)</f>
        <v>913864</v>
      </c>
    </row>
    <row r="29">
      <c r="A29" s="7">
        <f>IFERROR(__xludf.DUMMYFUNCTION("""COMPUTED_VALUE"""),45373.64583333333)</f>
        <v>45373.64583</v>
      </c>
      <c r="B29" s="6">
        <f>IFERROR(__xludf.DUMMYFUNCTION("""COMPUTED_VALUE"""),370.13)</f>
        <v>370.13</v>
      </c>
      <c r="C29" s="6">
        <f>IFERROR(__xludf.DUMMYFUNCTION("""COMPUTED_VALUE"""),420.73)</f>
        <v>420.73</v>
      </c>
      <c r="D29" s="6">
        <f>IFERROR(__xludf.DUMMYFUNCTION("""COMPUTED_VALUE"""),356.25)</f>
        <v>356.25</v>
      </c>
      <c r="E29" s="6">
        <f>IFERROR(__xludf.DUMMYFUNCTION("""COMPUTED_VALUE"""),418.05)</f>
        <v>418.05</v>
      </c>
      <c r="F29" s="6">
        <f>IFERROR(__xludf.DUMMYFUNCTION("""COMPUTED_VALUE"""),843269.0)</f>
        <v>843269</v>
      </c>
    </row>
    <row r="30">
      <c r="A30" s="7">
        <f>IFERROR(__xludf.DUMMYFUNCTION("""COMPUTED_VALUE"""),45379.64583333333)</f>
        <v>45379.64583</v>
      </c>
      <c r="B30" s="6">
        <f>IFERROR(__xludf.DUMMYFUNCTION("""COMPUTED_VALUE"""),414.8)</f>
        <v>414.8</v>
      </c>
      <c r="C30" s="6">
        <f>IFERROR(__xludf.DUMMYFUNCTION("""COMPUTED_VALUE"""),425.29)</f>
        <v>425.29</v>
      </c>
      <c r="D30" s="6">
        <f>IFERROR(__xludf.DUMMYFUNCTION("""COMPUTED_VALUE"""),413.11)</f>
        <v>413.11</v>
      </c>
      <c r="E30" s="6">
        <f>IFERROR(__xludf.DUMMYFUNCTION("""COMPUTED_VALUE"""),416.69)</f>
        <v>416.69</v>
      </c>
      <c r="F30" s="6">
        <f>IFERROR(__xludf.DUMMYFUNCTION("""COMPUTED_VALUE"""),371587.0)</f>
        <v>371587</v>
      </c>
    </row>
    <row r="31">
      <c r="A31" s="7">
        <f>IFERROR(__xludf.DUMMYFUNCTION("""COMPUTED_VALUE"""),45387.64583333333)</f>
        <v>45387.64583</v>
      </c>
      <c r="B31" s="6">
        <f>IFERROR(__xludf.DUMMYFUNCTION("""COMPUTED_VALUE"""),420.28)</f>
        <v>420.28</v>
      </c>
      <c r="C31" s="6">
        <f>IFERROR(__xludf.DUMMYFUNCTION("""COMPUTED_VALUE"""),463.25)</f>
        <v>463.25</v>
      </c>
      <c r="D31" s="6">
        <f>IFERROR(__xludf.DUMMYFUNCTION("""COMPUTED_VALUE"""),420.28)</f>
        <v>420.28</v>
      </c>
      <c r="E31" s="6">
        <f>IFERROR(__xludf.DUMMYFUNCTION("""COMPUTED_VALUE"""),457.98)</f>
        <v>457.98</v>
      </c>
      <c r="F31" s="6">
        <f>IFERROR(__xludf.DUMMYFUNCTION("""COMPUTED_VALUE"""),604432.0)</f>
        <v>604432</v>
      </c>
    </row>
    <row r="32">
      <c r="A32" s="7">
        <f>IFERROR(__xludf.DUMMYFUNCTION("""COMPUTED_VALUE"""),45394.64583333333)</f>
        <v>45394.64583</v>
      </c>
      <c r="B32" s="6">
        <f>IFERROR(__xludf.DUMMYFUNCTION("""COMPUTED_VALUE"""),461.91)</f>
        <v>461.91</v>
      </c>
      <c r="C32" s="6">
        <f>IFERROR(__xludf.DUMMYFUNCTION("""COMPUTED_VALUE"""),530.63)</f>
        <v>530.63</v>
      </c>
      <c r="D32" s="6">
        <f>IFERROR(__xludf.DUMMYFUNCTION("""COMPUTED_VALUE"""),459.75)</f>
        <v>459.75</v>
      </c>
      <c r="E32" s="6">
        <f>IFERROR(__xludf.DUMMYFUNCTION("""COMPUTED_VALUE"""),514.38)</f>
        <v>514.38</v>
      </c>
      <c r="F32" s="6">
        <f>IFERROR(__xludf.DUMMYFUNCTION("""COMPUTED_VALUE"""),1645796.0)</f>
        <v>1645796</v>
      </c>
    </row>
    <row r="33">
      <c r="A33" s="7">
        <f>IFERROR(__xludf.DUMMYFUNCTION("""COMPUTED_VALUE"""),45401.64583333333)</f>
        <v>45401.64583</v>
      </c>
      <c r="B33" s="6">
        <f>IFERROR(__xludf.DUMMYFUNCTION("""COMPUTED_VALUE"""),514.36)</f>
        <v>514.36</v>
      </c>
      <c r="C33" s="6">
        <f>IFERROR(__xludf.DUMMYFUNCTION("""COMPUTED_VALUE"""),567.38)</f>
        <v>567.38</v>
      </c>
      <c r="D33" s="6">
        <f>IFERROR(__xludf.DUMMYFUNCTION("""COMPUTED_VALUE"""),488.98)</f>
        <v>488.98</v>
      </c>
      <c r="E33" s="6">
        <f>IFERROR(__xludf.DUMMYFUNCTION("""COMPUTED_VALUE"""),558.0)</f>
        <v>558</v>
      </c>
      <c r="F33" s="6">
        <f>IFERROR(__xludf.DUMMYFUNCTION("""COMPUTED_VALUE"""),1885670.0)</f>
        <v>1885670</v>
      </c>
    </row>
    <row r="34">
      <c r="A34" s="7">
        <f>IFERROR(__xludf.DUMMYFUNCTION("""COMPUTED_VALUE"""),45408.64583333333)</f>
        <v>45408.64583</v>
      </c>
      <c r="B34" s="6">
        <f>IFERROR(__xludf.DUMMYFUNCTION("""COMPUTED_VALUE"""),573.75)</f>
        <v>573.75</v>
      </c>
      <c r="C34" s="6">
        <f>IFERROR(__xludf.DUMMYFUNCTION("""COMPUTED_VALUE"""),669.53)</f>
        <v>669.53</v>
      </c>
      <c r="D34" s="6">
        <f>IFERROR(__xludf.DUMMYFUNCTION("""COMPUTED_VALUE"""),567.25)</f>
        <v>567.25</v>
      </c>
      <c r="E34" s="6">
        <f>IFERROR(__xludf.DUMMYFUNCTION("""COMPUTED_VALUE"""),649.33)</f>
        <v>649.33</v>
      </c>
      <c r="F34" s="6">
        <f>IFERROR(__xludf.DUMMYFUNCTION("""COMPUTED_VALUE"""),3035068.0)</f>
        <v>3035068</v>
      </c>
    </row>
    <row r="35">
      <c r="A35" s="7">
        <f>IFERROR(__xludf.DUMMYFUNCTION("""COMPUTED_VALUE"""),45415.64583333333)</f>
        <v>45415.64583</v>
      </c>
      <c r="B35" s="6">
        <f>IFERROR(__xludf.DUMMYFUNCTION("""COMPUTED_VALUE"""),657.25)</f>
        <v>657.25</v>
      </c>
      <c r="C35" s="6">
        <f>IFERROR(__xludf.DUMMYFUNCTION("""COMPUTED_VALUE"""),658.7)</f>
        <v>658.7</v>
      </c>
      <c r="D35" s="6">
        <f>IFERROR(__xludf.DUMMYFUNCTION("""COMPUTED_VALUE"""),591.34)</f>
        <v>591.34</v>
      </c>
      <c r="E35" s="6">
        <f>IFERROR(__xludf.DUMMYFUNCTION("""COMPUTED_VALUE"""),606.66)</f>
        <v>606.66</v>
      </c>
      <c r="F35" s="6">
        <f>IFERROR(__xludf.DUMMYFUNCTION("""COMPUTED_VALUE"""),1456590.0)</f>
        <v>1456590</v>
      </c>
    </row>
    <row r="36">
      <c r="A36" s="7">
        <f>IFERROR(__xludf.DUMMYFUNCTION("""COMPUTED_VALUE"""),45422.64583333333)</f>
        <v>45422.64583</v>
      </c>
      <c r="B36" s="6">
        <f>IFERROR(__xludf.DUMMYFUNCTION("""COMPUTED_VALUE"""),611.25)</f>
        <v>611.25</v>
      </c>
      <c r="C36" s="6">
        <f>IFERROR(__xludf.DUMMYFUNCTION("""COMPUTED_VALUE"""),615.0)</f>
        <v>615</v>
      </c>
      <c r="D36" s="6">
        <f>IFERROR(__xludf.DUMMYFUNCTION("""COMPUTED_VALUE"""),521.5)</f>
        <v>521.5</v>
      </c>
      <c r="E36" s="6">
        <f>IFERROR(__xludf.DUMMYFUNCTION("""COMPUTED_VALUE"""),536.85)</f>
        <v>536.85</v>
      </c>
      <c r="F36" s="6">
        <f>IFERROR(__xludf.DUMMYFUNCTION("""COMPUTED_VALUE"""),1692128.0)</f>
        <v>1692128</v>
      </c>
    </row>
    <row r="37">
      <c r="A37" s="7">
        <f>IFERROR(__xludf.DUMMYFUNCTION("""COMPUTED_VALUE"""),45436.64583333333)</f>
        <v>45436.64583</v>
      </c>
      <c r="B37" s="6">
        <f>IFERROR(__xludf.DUMMYFUNCTION("""COMPUTED_VALUE"""),603.58)</f>
        <v>603.58</v>
      </c>
      <c r="C37" s="6">
        <f>IFERROR(__xludf.DUMMYFUNCTION("""COMPUTED_VALUE"""),605.08)</f>
        <v>605.08</v>
      </c>
      <c r="D37" s="6">
        <f>IFERROR(__xludf.DUMMYFUNCTION("""COMPUTED_VALUE"""),556.0)</f>
        <v>556</v>
      </c>
      <c r="E37" s="6">
        <f>IFERROR(__xludf.DUMMYFUNCTION("""COMPUTED_VALUE"""),562.4)</f>
        <v>562.4</v>
      </c>
      <c r="F37" s="6">
        <f>IFERROR(__xludf.DUMMYFUNCTION("""COMPUTED_VALUE"""),722063.0)</f>
        <v>722063</v>
      </c>
    </row>
    <row r="38">
      <c r="A38" s="7">
        <f>IFERROR(__xludf.DUMMYFUNCTION("""COMPUTED_VALUE"""),45443.64583333333)</f>
        <v>45443.64583</v>
      </c>
      <c r="B38" s="6">
        <f>IFERROR(__xludf.DUMMYFUNCTION("""COMPUTED_VALUE"""),562.4)</f>
        <v>562.4</v>
      </c>
      <c r="C38" s="6">
        <f>IFERROR(__xludf.DUMMYFUNCTION("""COMPUTED_VALUE"""),579.98)</f>
        <v>579.98</v>
      </c>
      <c r="D38" s="6">
        <f>IFERROR(__xludf.DUMMYFUNCTION("""COMPUTED_VALUE"""),550.8)</f>
        <v>550.8</v>
      </c>
      <c r="E38" s="6">
        <f>IFERROR(__xludf.DUMMYFUNCTION("""COMPUTED_VALUE"""),554.92)</f>
        <v>554.92</v>
      </c>
      <c r="F38" s="6">
        <f>IFERROR(__xludf.DUMMYFUNCTION("""COMPUTED_VALUE"""),720322.0)</f>
        <v>720322</v>
      </c>
    </row>
    <row r="39">
      <c r="A39" s="7">
        <f>IFERROR(__xludf.DUMMYFUNCTION("""COMPUTED_VALUE"""),45450.64583333333)</f>
        <v>45450.64583</v>
      </c>
      <c r="B39" s="6">
        <f>IFERROR(__xludf.DUMMYFUNCTION("""COMPUTED_VALUE"""),584.5)</f>
        <v>584.5</v>
      </c>
      <c r="C39" s="6">
        <f>IFERROR(__xludf.DUMMYFUNCTION("""COMPUTED_VALUE"""),612.5)</f>
        <v>612.5</v>
      </c>
      <c r="D39" s="6">
        <f>IFERROR(__xludf.DUMMYFUNCTION("""COMPUTED_VALUE"""),474.8)</f>
        <v>474.8</v>
      </c>
      <c r="E39" s="6">
        <f>IFERROR(__xludf.DUMMYFUNCTION("""COMPUTED_VALUE"""),606.67)</f>
        <v>606.67</v>
      </c>
      <c r="F39" s="6">
        <f>IFERROR(__xludf.DUMMYFUNCTION("""COMPUTED_VALUE"""),2162341.0)</f>
        <v>2162341</v>
      </c>
    </row>
    <row r="40">
      <c r="A40" s="7">
        <f>IFERROR(__xludf.DUMMYFUNCTION("""COMPUTED_VALUE"""),45457.64583333333)</f>
        <v>45457.64583</v>
      </c>
      <c r="B40" s="6">
        <f>IFERROR(__xludf.DUMMYFUNCTION("""COMPUTED_VALUE"""),655.05)</f>
        <v>655.05</v>
      </c>
      <c r="C40" s="6">
        <f>IFERROR(__xludf.DUMMYFUNCTION("""COMPUTED_VALUE"""),722.0)</f>
        <v>722</v>
      </c>
      <c r="D40" s="6">
        <f>IFERROR(__xludf.DUMMYFUNCTION("""COMPUTED_VALUE"""),639.0)</f>
        <v>639</v>
      </c>
      <c r="E40" s="6">
        <f>IFERROR(__xludf.DUMMYFUNCTION("""COMPUTED_VALUE"""),658.25)</f>
        <v>658.25</v>
      </c>
      <c r="F40" s="6">
        <f>IFERROR(__xludf.DUMMYFUNCTION("""COMPUTED_VALUE"""),5875501.0)</f>
        <v>5875501</v>
      </c>
    </row>
    <row r="41">
      <c r="A41" s="7">
        <f>IFERROR(__xludf.DUMMYFUNCTION("""COMPUTED_VALUE"""),45464.64583333333)</f>
        <v>45464.64583</v>
      </c>
      <c r="B41" s="6">
        <f>IFERROR(__xludf.DUMMYFUNCTION("""COMPUTED_VALUE"""),663.0)</f>
        <v>663</v>
      </c>
      <c r="C41" s="6">
        <f>IFERROR(__xludf.DUMMYFUNCTION("""COMPUTED_VALUE"""),698.95)</f>
        <v>698.95</v>
      </c>
      <c r="D41" s="6">
        <f>IFERROR(__xludf.DUMMYFUNCTION("""COMPUTED_VALUE"""),654.05)</f>
        <v>654.05</v>
      </c>
      <c r="E41" s="6">
        <f>IFERROR(__xludf.DUMMYFUNCTION("""COMPUTED_VALUE"""),676.3)</f>
        <v>676.3</v>
      </c>
      <c r="F41" s="6">
        <f>IFERROR(__xludf.DUMMYFUNCTION("""COMPUTED_VALUE"""),3549026.0)</f>
        <v>3549026</v>
      </c>
    </row>
    <row r="42">
      <c r="A42" s="7">
        <f>IFERROR(__xludf.DUMMYFUNCTION("""COMPUTED_VALUE"""),45471.64583333333)</f>
        <v>45471.64583</v>
      </c>
      <c r="B42" s="6">
        <f>IFERROR(__xludf.DUMMYFUNCTION("""COMPUTED_VALUE"""),650.0)</f>
        <v>650</v>
      </c>
      <c r="C42" s="6">
        <f>IFERROR(__xludf.DUMMYFUNCTION("""COMPUTED_VALUE"""),657.55)</f>
        <v>657.55</v>
      </c>
      <c r="D42" s="6">
        <f>IFERROR(__xludf.DUMMYFUNCTION("""COMPUTED_VALUE"""),607.05)</f>
        <v>607.05</v>
      </c>
      <c r="E42" s="6">
        <f>IFERROR(__xludf.DUMMYFUNCTION("""COMPUTED_VALUE"""),614.55)</f>
        <v>614.55</v>
      </c>
      <c r="F42" s="6">
        <f>IFERROR(__xludf.DUMMYFUNCTION("""COMPUTED_VALUE"""),4503127.0)</f>
        <v>4503127</v>
      </c>
    </row>
    <row r="43">
      <c r="A43" s="7">
        <f>IFERROR(__xludf.DUMMYFUNCTION("""COMPUTED_VALUE"""),45478.64583333333)</f>
        <v>45478.64583</v>
      </c>
      <c r="B43" s="6">
        <f>IFERROR(__xludf.DUMMYFUNCTION("""COMPUTED_VALUE"""),614.55)</f>
        <v>614.55</v>
      </c>
      <c r="C43" s="6">
        <f>IFERROR(__xludf.DUMMYFUNCTION("""COMPUTED_VALUE"""),614.55)</f>
        <v>614.55</v>
      </c>
      <c r="D43" s="6">
        <f>IFERROR(__xludf.DUMMYFUNCTION("""COMPUTED_VALUE"""),550.0)</f>
        <v>550</v>
      </c>
      <c r="E43" s="6">
        <f>IFERROR(__xludf.DUMMYFUNCTION("""COMPUTED_VALUE"""),551.7)</f>
        <v>551.7</v>
      </c>
      <c r="F43" s="6">
        <f>IFERROR(__xludf.DUMMYFUNCTION("""COMPUTED_VALUE"""),6342530.0)</f>
        <v>6342530</v>
      </c>
    </row>
    <row r="44">
      <c r="A44" s="7">
        <f>IFERROR(__xludf.DUMMYFUNCTION("""COMPUTED_VALUE"""),45485.64583333333)</f>
        <v>45485.64583</v>
      </c>
      <c r="B44" s="6">
        <f>IFERROR(__xludf.DUMMYFUNCTION("""COMPUTED_VALUE"""),556.95)</f>
        <v>556.95</v>
      </c>
      <c r="C44" s="6">
        <f>IFERROR(__xludf.DUMMYFUNCTION("""COMPUTED_VALUE"""),561.0)</f>
        <v>561</v>
      </c>
      <c r="D44" s="6">
        <f>IFERROR(__xludf.DUMMYFUNCTION("""COMPUTED_VALUE"""),531.0)</f>
        <v>531</v>
      </c>
      <c r="E44" s="6">
        <f>IFERROR(__xludf.DUMMYFUNCTION("""COMPUTED_VALUE"""),532.5)</f>
        <v>532.5</v>
      </c>
      <c r="F44" s="6">
        <f>IFERROR(__xludf.DUMMYFUNCTION("""COMPUTED_VALUE"""),2630067.0)</f>
        <v>2630067</v>
      </c>
    </row>
    <row r="45">
      <c r="A45" s="7">
        <f>IFERROR(__xludf.DUMMYFUNCTION("""COMPUTED_VALUE"""),45492.64583333333)</f>
        <v>45492.64583</v>
      </c>
      <c r="B45" s="6">
        <f>IFERROR(__xludf.DUMMYFUNCTION("""COMPUTED_VALUE"""),532.5)</f>
        <v>532.5</v>
      </c>
      <c r="C45" s="6">
        <f>IFERROR(__xludf.DUMMYFUNCTION("""COMPUTED_VALUE"""),564.7)</f>
        <v>564.7</v>
      </c>
      <c r="D45" s="6">
        <f>IFERROR(__xludf.DUMMYFUNCTION("""COMPUTED_VALUE"""),517.0)</f>
        <v>517</v>
      </c>
      <c r="E45" s="6">
        <f>IFERROR(__xludf.DUMMYFUNCTION("""COMPUTED_VALUE"""),532.2)</f>
        <v>532.2</v>
      </c>
      <c r="F45" s="6">
        <f>IFERROR(__xludf.DUMMYFUNCTION("""COMPUTED_VALUE"""),3662186.0)</f>
        <v>3662186</v>
      </c>
    </row>
    <row r="46">
      <c r="A46" s="7">
        <f>IFERROR(__xludf.DUMMYFUNCTION("""COMPUTED_VALUE"""),45499.64583333333)</f>
        <v>45499.64583</v>
      </c>
      <c r="B46" s="6">
        <f>IFERROR(__xludf.DUMMYFUNCTION("""COMPUTED_VALUE"""),534.25)</f>
        <v>534.25</v>
      </c>
      <c r="C46" s="6">
        <f>IFERROR(__xludf.DUMMYFUNCTION("""COMPUTED_VALUE"""),608.45)</f>
        <v>608.45</v>
      </c>
      <c r="D46" s="6">
        <f>IFERROR(__xludf.DUMMYFUNCTION("""COMPUTED_VALUE"""),507.55)</f>
        <v>507.55</v>
      </c>
      <c r="E46" s="6">
        <f>IFERROR(__xludf.DUMMYFUNCTION("""COMPUTED_VALUE"""),590.75)</f>
        <v>590.75</v>
      </c>
      <c r="F46" s="6">
        <f>IFERROR(__xludf.DUMMYFUNCTION("""COMPUTED_VALUE"""),5268007.0)</f>
        <v>5268007</v>
      </c>
    </row>
    <row r="47">
      <c r="A47" s="7">
        <f>IFERROR(__xludf.DUMMYFUNCTION("""COMPUTED_VALUE"""),45506.64583333333)</f>
        <v>45506.64583</v>
      </c>
      <c r="B47" s="6">
        <f>IFERROR(__xludf.DUMMYFUNCTION("""COMPUTED_VALUE"""),600.0)</f>
        <v>600</v>
      </c>
      <c r="C47" s="6">
        <f>IFERROR(__xludf.DUMMYFUNCTION("""COMPUTED_VALUE"""),678.0)</f>
        <v>678</v>
      </c>
      <c r="D47" s="6">
        <f>IFERROR(__xludf.DUMMYFUNCTION("""COMPUTED_VALUE"""),590.9)</f>
        <v>590.9</v>
      </c>
      <c r="E47" s="6">
        <f>IFERROR(__xludf.DUMMYFUNCTION("""COMPUTED_VALUE"""),657.35)</f>
        <v>657.35</v>
      </c>
      <c r="F47" s="6">
        <f>IFERROR(__xludf.DUMMYFUNCTION("""COMPUTED_VALUE"""),7384773.0)</f>
        <v>7384773</v>
      </c>
    </row>
    <row r="48">
      <c r="A48" s="7">
        <f>IFERROR(__xludf.DUMMYFUNCTION("""COMPUTED_VALUE"""),45513.64583333333)</f>
        <v>45513.64583</v>
      </c>
      <c r="B48" s="6">
        <f>IFERROR(__xludf.DUMMYFUNCTION("""COMPUTED_VALUE"""),624.05)</f>
        <v>624.05</v>
      </c>
      <c r="C48" s="6">
        <f>IFERROR(__xludf.DUMMYFUNCTION("""COMPUTED_VALUE"""),650.0)</f>
        <v>650</v>
      </c>
      <c r="D48" s="6">
        <f>IFERROR(__xludf.DUMMYFUNCTION("""COMPUTED_VALUE"""),586.85)</f>
        <v>586.85</v>
      </c>
      <c r="E48" s="6">
        <f>IFERROR(__xludf.DUMMYFUNCTION("""COMPUTED_VALUE"""),607.3)</f>
        <v>607.3</v>
      </c>
      <c r="F48" s="6">
        <f>IFERROR(__xludf.DUMMYFUNCTION("""COMPUTED_VALUE"""),4786555.0)</f>
        <v>4786555</v>
      </c>
    </row>
    <row r="49">
      <c r="A49" s="7">
        <f>IFERROR(__xludf.DUMMYFUNCTION("""COMPUTED_VALUE"""),45520.64583333333)</f>
        <v>45520.64583</v>
      </c>
      <c r="B49" s="6">
        <f>IFERROR(__xludf.DUMMYFUNCTION("""COMPUTED_VALUE"""),603.45)</f>
        <v>603.45</v>
      </c>
      <c r="C49" s="6">
        <f>IFERROR(__xludf.DUMMYFUNCTION("""COMPUTED_VALUE"""),628.7)</f>
        <v>628.7</v>
      </c>
      <c r="D49" s="6">
        <f>IFERROR(__xludf.DUMMYFUNCTION("""COMPUTED_VALUE"""),578.0)</f>
        <v>578</v>
      </c>
      <c r="E49" s="6">
        <f>IFERROR(__xludf.DUMMYFUNCTION("""COMPUTED_VALUE"""),623.15)</f>
        <v>623.15</v>
      </c>
      <c r="F49" s="6">
        <f>IFERROR(__xludf.DUMMYFUNCTION("""COMPUTED_VALUE"""),3119740.0)</f>
        <v>3119740</v>
      </c>
    </row>
    <row r="50">
      <c r="A50" s="7">
        <f>IFERROR(__xludf.DUMMYFUNCTION("""COMPUTED_VALUE"""),45527.64583333333)</f>
        <v>45527.64583</v>
      </c>
      <c r="B50" s="6">
        <f>IFERROR(__xludf.DUMMYFUNCTION("""COMPUTED_VALUE"""),630.0)</f>
        <v>630</v>
      </c>
      <c r="C50" s="6">
        <f>IFERROR(__xludf.DUMMYFUNCTION("""COMPUTED_VALUE"""),716.5)</f>
        <v>716.5</v>
      </c>
      <c r="D50" s="6">
        <f>IFERROR(__xludf.DUMMYFUNCTION("""COMPUTED_VALUE"""),627.15)</f>
        <v>627.15</v>
      </c>
      <c r="E50" s="6">
        <f>IFERROR(__xludf.DUMMYFUNCTION("""COMPUTED_VALUE"""),696.45)</f>
        <v>696.45</v>
      </c>
      <c r="F50" s="6">
        <f>IFERROR(__xludf.DUMMYFUNCTION("""COMPUTED_VALUE"""),8028934.0)</f>
        <v>8028934</v>
      </c>
    </row>
    <row r="51">
      <c r="A51" s="7">
        <f>IFERROR(__xludf.DUMMYFUNCTION("""COMPUTED_VALUE"""),45534.64583333333)</f>
        <v>45534.64583</v>
      </c>
      <c r="B51" s="6">
        <f>IFERROR(__xludf.DUMMYFUNCTION("""COMPUTED_VALUE"""),702.0)</f>
        <v>702</v>
      </c>
      <c r="C51" s="6">
        <f>IFERROR(__xludf.DUMMYFUNCTION("""COMPUTED_VALUE"""),778.0)</f>
        <v>778</v>
      </c>
      <c r="D51" s="6">
        <f>IFERROR(__xludf.DUMMYFUNCTION("""COMPUTED_VALUE"""),700.15)</f>
        <v>700.15</v>
      </c>
      <c r="E51" s="6">
        <f>IFERROR(__xludf.DUMMYFUNCTION("""COMPUTED_VALUE"""),720.1)</f>
        <v>720.1</v>
      </c>
      <c r="F51" s="6">
        <f>IFERROR(__xludf.DUMMYFUNCTION("""COMPUTED_VALUE"""),1.1487508E7)</f>
        <v>11487508</v>
      </c>
    </row>
    <row r="52">
      <c r="A52" s="7">
        <f>IFERROR(__xludf.DUMMYFUNCTION("""COMPUTED_VALUE"""),45541.64583333333)</f>
        <v>45541.64583</v>
      </c>
      <c r="B52" s="6">
        <f>IFERROR(__xludf.DUMMYFUNCTION("""COMPUTED_VALUE"""),729.7)</f>
        <v>729.7</v>
      </c>
      <c r="C52" s="6">
        <f>IFERROR(__xludf.DUMMYFUNCTION("""COMPUTED_VALUE"""),806.45)</f>
        <v>806.45</v>
      </c>
      <c r="D52" s="6">
        <f>IFERROR(__xludf.DUMMYFUNCTION("""COMPUTED_VALUE"""),715.0)</f>
        <v>715</v>
      </c>
      <c r="E52" s="6">
        <f>IFERROR(__xludf.DUMMYFUNCTION("""COMPUTED_VALUE"""),763.1)</f>
        <v>763.1</v>
      </c>
      <c r="F52" s="6">
        <f>IFERROR(__xludf.DUMMYFUNCTION("""COMPUTED_VALUE"""),9529019.0)</f>
        <v>9529019</v>
      </c>
    </row>
    <row r="53">
      <c r="A53" s="7">
        <f>IFERROR(__xludf.DUMMYFUNCTION("""COMPUTED_VALUE"""),45548.64583333333)</f>
        <v>45548.64583</v>
      </c>
      <c r="B53" s="6">
        <f>IFERROR(__xludf.DUMMYFUNCTION("""COMPUTED_VALUE"""),763.1)</f>
        <v>763.1</v>
      </c>
      <c r="C53" s="6">
        <f>IFERROR(__xludf.DUMMYFUNCTION("""COMPUTED_VALUE"""),765.1)</f>
        <v>765.1</v>
      </c>
      <c r="D53" s="6">
        <f>IFERROR(__xludf.DUMMYFUNCTION("""COMPUTED_VALUE"""),722.9)</f>
        <v>722.9</v>
      </c>
      <c r="E53" s="6">
        <f>IFERROR(__xludf.DUMMYFUNCTION("""COMPUTED_VALUE"""),756.7)</f>
        <v>756.7</v>
      </c>
      <c r="F53" s="6">
        <f>IFERROR(__xludf.DUMMYFUNCTION("""COMPUTED_VALUE"""),5501015.0)</f>
        <v>5501015</v>
      </c>
    </row>
    <row r="54">
      <c r="A54" s="7">
        <f>IFERROR(__xludf.DUMMYFUNCTION("""COMPUTED_VALUE"""),45555.64583333333)</f>
        <v>45555.64583</v>
      </c>
      <c r="B54" s="6">
        <f>IFERROR(__xludf.DUMMYFUNCTION("""COMPUTED_VALUE"""),765.9)</f>
        <v>765.9</v>
      </c>
      <c r="C54" s="6">
        <f>IFERROR(__xludf.DUMMYFUNCTION("""COMPUTED_VALUE"""),828.85)</f>
        <v>828.85</v>
      </c>
      <c r="D54" s="6">
        <f>IFERROR(__xludf.DUMMYFUNCTION("""COMPUTED_VALUE"""),733.25)</f>
        <v>733.25</v>
      </c>
      <c r="E54" s="6">
        <f>IFERROR(__xludf.DUMMYFUNCTION("""COMPUTED_VALUE"""),790.8)</f>
        <v>790.8</v>
      </c>
      <c r="F54" s="6">
        <f>IFERROR(__xludf.DUMMYFUNCTION("""COMPUTED_VALUE"""),1.1186774E7)</f>
        <v>11186774</v>
      </c>
    </row>
    <row r="55">
      <c r="A55" s="7">
        <f>IFERROR(__xludf.DUMMYFUNCTION("""COMPUTED_VALUE"""),45562.64583333333)</f>
        <v>45562.64583</v>
      </c>
      <c r="B55" s="6">
        <f>IFERROR(__xludf.DUMMYFUNCTION("""COMPUTED_VALUE"""),798.0)</f>
        <v>798</v>
      </c>
      <c r="C55" s="6">
        <f>IFERROR(__xludf.DUMMYFUNCTION("""COMPUTED_VALUE"""),803.0)</f>
        <v>803</v>
      </c>
      <c r="D55" s="6">
        <f>IFERROR(__xludf.DUMMYFUNCTION("""COMPUTED_VALUE"""),747.0)</f>
        <v>747</v>
      </c>
      <c r="E55" s="6">
        <f>IFERROR(__xludf.DUMMYFUNCTION("""COMPUTED_VALUE"""),750.65)</f>
        <v>750.65</v>
      </c>
      <c r="F55" s="6">
        <f>IFERROR(__xludf.DUMMYFUNCTION("""COMPUTED_VALUE"""),3155155.0)</f>
        <v>3155155</v>
      </c>
    </row>
    <row r="56">
      <c r="A56" s="7">
        <f>IFERROR(__xludf.DUMMYFUNCTION("""COMPUTED_VALUE"""),45569.64583333333)</f>
        <v>45569.64583</v>
      </c>
      <c r="B56" s="6">
        <f>IFERROR(__xludf.DUMMYFUNCTION("""COMPUTED_VALUE"""),744.95)</f>
        <v>744.95</v>
      </c>
      <c r="C56" s="6">
        <f>IFERROR(__xludf.DUMMYFUNCTION("""COMPUTED_VALUE"""),769.0)</f>
        <v>769</v>
      </c>
      <c r="D56" s="6">
        <f>IFERROR(__xludf.DUMMYFUNCTION("""COMPUTED_VALUE"""),691.15)</f>
        <v>691.15</v>
      </c>
      <c r="E56" s="6">
        <f>IFERROR(__xludf.DUMMYFUNCTION("""COMPUTED_VALUE"""),727.25)</f>
        <v>727.25</v>
      </c>
      <c r="F56" s="6">
        <f>IFERROR(__xludf.DUMMYFUNCTION("""COMPUTED_VALUE"""),4877628.0)</f>
        <v>4877628</v>
      </c>
    </row>
    <row r="57">
      <c r="A57" s="7">
        <f>IFERROR(__xludf.DUMMYFUNCTION("""COMPUTED_VALUE"""),45576.64583333333)</f>
        <v>45576.64583</v>
      </c>
      <c r="B57" s="6">
        <f>IFERROR(__xludf.DUMMYFUNCTION("""COMPUTED_VALUE"""),728.3)</f>
        <v>728.3</v>
      </c>
      <c r="C57" s="6">
        <f>IFERROR(__xludf.DUMMYFUNCTION("""COMPUTED_VALUE"""),813.45)</f>
        <v>813.45</v>
      </c>
      <c r="D57" s="6">
        <f>IFERROR(__xludf.DUMMYFUNCTION("""COMPUTED_VALUE"""),696.6)</f>
        <v>696.6</v>
      </c>
      <c r="E57" s="6">
        <f>IFERROR(__xludf.DUMMYFUNCTION("""COMPUTED_VALUE"""),808.55)</f>
        <v>808.55</v>
      </c>
      <c r="F57" s="6">
        <f>IFERROR(__xludf.DUMMYFUNCTION("""COMPUTED_VALUE"""),6965431.0)</f>
        <v>6965431</v>
      </c>
    </row>
    <row r="58">
      <c r="A58" s="7">
        <f>IFERROR(__xludf.DUMMYFUNCTION("""COMPUTED_VALUE"""),45583.64583333333)</f>
        <v>45583.64583</v>
      </c>
      <c r="B58" s="6">
        <f>IFERROR(__xludf.DUMMYFUNCTION("""COMPUTED_VALUE"""),815.0)</f>
        <v>815</v>
      </c>
      <c r="C58" s="6">
        <f>IFERROR(__xludf.DUMMYFUNCTION("""COMPUTED_VALUE"""),1064.0)</f>
        <v>1064</v>
      </c>
      <c r="D58" s="6">
        <f>IFERROR(__xludf.DUMMYFUNCTION("""COMPUTED_VALUE"""),806.3)</f>
        <v>806.3</v>
      </c>
      <c r="E58" s="6">
        <f>IFERROR(__xludf.DUMMYFUNCTION("""COMPUTED_VALUE"""),1029.7)</f>
        <v>1029.7</v>
      </c>
      <c r="F58" s="6">
        <f>IFERROR(__xludf.DUMMYFUNCTION("""COMPUTED_VALUE"""),5.2434682E7)</f>
        <v>52434682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IFERROR(__xludf.DUMMYFUNCTION("""COMPUTED_VALUE"""),1021.95)</f>
        <v>1021.95</v>
      </c>
      <c r="C59" s="6">
        <f>IFERROR(__xludf.DUMMYFUNCTION("""COMPUTED_VALUE"""),1040.6)</f>
        <v>1040.6</v>
      </c>
      <c r="D59" s="6">
        <f>IFERROR(__xludf.DUMMYFUNCTION("""COMPUTED_VALUE"""),852.3)</f>
        <v>852.3</v>
      </c>
      <c r="E59" s="6">
        <f>IFERROR(__xludf.DUMMYFUNCTION("""COMPUTED_VALUE"""),872.0)</f>
        <v>872</v>
      </c>
      <c r="F59" s="6">
        <f>IFERROR(__xludf.DUMMYFUNCTION("""COMPUTED_VALUE"""),1.4181777E7)</f>
        <v>14181777</v>
      </c>
    </row>
    <row r="60">
      <c r="A60" s="7">
        <f>IFERROR(__xludf.DUMMYFUNCTION("""COMPUTED_VALUE"""),45604.64583333333)</f>
        <v>45604.64583</v>
      </c>
      <c r="B60" s="6">
        <f>IFERROR(__xludf.DUMMYFUNCTION("""COMPUTED_VALUE"""),976.0)</f>
        <v>976</v>
      </c>
      <c r="C60" s="6">
        <f>IFERROR(__xludf.DUMMYFUNCTION("""COMPUTED_VALUE"""),1025.0)</f>
        <v>1025</v>
      </c>
      <c r="D60" s="6">
        <f>IFERROR(__xludf.DUMMYFUNCTION("""COMPUTED_VALUE"""),913.1)</f>
        <v>913.1</v>
      </c>
      <c r="E60" s="6">
        <f>IFERROR(__xludf.DUMMYFUNCTION("""COMPUTED_VALUE"""),997.65)</f>
        <v>997.65</v>
      </c>
      <c r="F60" s="6">
        <f>IFERROR(__xludf.DUMMYFUNCTION("""COMPUTED_VALUE"""),1.9187879E7)</f>
        <v>19187879</v>
      </c>
    </row>
    <row r="61">
      <c r="A61" s="7">
        <f>IFERROR(__xludf.DUMMYFUNCTION("""COMPUTED_VALUE"""),45610.64583333333)</f>
        <v>45610.64583</v>
      </c>
      <c r="B61" s="6">
        <f>IFERROR(__xludf.DUMMYFUNCTION("""COMPUTED_VALUE"""),998.05)</f>
        <v>998.05</v>
      </c>
      <c r="C61" s="6">
        <f>IFERROR(__xludf.DUMMYFUNCTION("""COMPUTED_VALUE"""),1009.0)</f>
        <v>1009</v>
      </c>
      <c r="D61" s="6">
        <f>IFERROR(__xludf.DUMMYFUNCTION("""COMPUTED_VALUE"""),886.65)</f>
        <v>886.65</v>
      </c>
      <c r="E61" s="6">
        <f>IFERROR(__xludf.DUMMYFUNCTION("""COMPUTED_VALUE"""),900.9)</f>
        <v>900.9</v>
      </c>
      <c r="F61" s="6">
        <f>IFERROR(__xludf.DUMMYFUNCTION("""COMPUTED_VALUE"""),1.0388372E7)</f>
        <v>10388372</v>
      </c>
    </row>
    <row r="62">
      <c r="A62" s="7">
        <f>IFERROR(__xludf.DUMMYFUNCTION("""COMPUTED_VALUE"""),45618.64583333333)</f>
        <v>45618.64583</v>
      </c>
      <c r="B62" s="6">
        <f>IFERROR(__xludf.DUMMYFUNCTION("""COMPUTED_VALUE"""),910.6)</f>
        <v>910.6</v>
      </c>
      <c r="C62" s="6">
        <f>IFERROR(__xludf.DUMMYFUNCTION("""COMPUTED_VALUE"""),924.0)</f>
        <v>924</v>
      </c>
      <c r="D62" s="6">
        <f>IFERROR(__xludf.DUMMYFUNCTION("""COMPUTED_VALUE"""),868.85)</f>
        <v>868.85</v>
      </c>
      <c r="E62" s="6">
        <f>IFERROR(__xludf.DUMMYFUNCTION("""COMPUTED_VALUE"""),909.45)</f>
        <v>909.45</v>
      </c>
      <c r="F62" s="6">
        <f>IFERROR(__xludf.DUMMYFUNCTION("""COMPUTED_VALUE"""),7463919.0)</f>
        <v>7463919</v>
      </c>
    </row>
    <row r="63">
      <c r="A63" s="7">
        <f>IFERROR(__xludf.DUMMYFUNCTION("""COMPUTED_VALUE"""),45625.64583333333)</f>
        <v>45625.64583</v>
      </c>
      <c r="B63" s="6">
        <f>IFERROR(__xludf.DUMMYFUNCTION("""COMPUTED_VALUE"""),941.0)</f>
        <v>941</v>
      </c>
      <c r="C63" s="6">
        <f>IFERROR(__xludf.DUMMYFUNCTION("""COMPUTED_VALUE"""),948.0)</f>
        <v>948</v>
      </c>
      <c r="D63" s="6">
        <f>IFERROR(__xludf.DUMMYFUNCTION("""COMPUTED_VALUE"""),886.05)</f>
        <v>886.05</v>
      </c>
      <c r="E63" s="6">
        <f>IFERROR(__xludf.DUMMYFUNCTION("""COMPUTED_VALUE"""),919.25)</f>
        <v>919.25</v>
      </c>
      <c r="F63" s="6">
        <f>IFERROR(__xludf.DUMMYFUNCTION("""COMPUTED_VALUE"""),7106027.0)</f>
        <v>7106027</v>
      </c>
    </row>
    <row r="64">
      <c r="A64" s="7">
        <f>IFERROR(__xludf.DUMMYFUNCTION("""COMPUTED_VALUE"""),45632.64583333333)</f>
        <v>45632.64583</v>
      </c>
      <c r="B64" s="6">
        <f>IFERROR(__xludf.DUMMYFUNCTION("""COMPUTED_VALUE"""),919.95)</f>
        <v>919.95</v>
      </c>
      <c r="C64" s="6">
        <f>IFERROR(__xludf.DUMMYFUNCTION("""COMPUTED_VALUE"""),1016.0)</f>
        <v>1016</v>
      </c>
      <c r="D64" s="6">
        <f>IFERROR(__xludf.DUMMYFUNCTION("""COMPUTED_VALUE"""),909.1)</f>
        <v>909.1</v>
      </c>
      <c r="E64" s="6">
        <f>IFERROR(__xludf.DUMMYFUNCTION("""COMPUTED_VALUE"""),971.55)</f>
        <v>971.55</v>
      </c>
      <c r="F64" s="6">
        <f>IFERROR(__xludf.DUMMYFUNCTION("""COMPUTED_VALUE"""),1.1715507E7)</f>
        <v>11715507</v>
      </c>
    </row>
    <row r="65">
      <c r="A65" s="7">
        <f>IFERROR(__xludf.DUMMYFUNCTION("""COMPUTED_VALUE"""),45639.64583333333)</f>
        <v>45639.64583</v>
      </c>
      <c r="B65" s="6">
        <f>IFERROR(__xludf.DUMMYFUNCTION("""COMPUTED_VALUE"""),976.0)</f>
        <v>976</v>
      </c>
      <c r="C65" s="6">
        <f>IFERROR(__xludf.DUMMYFUNCTION("""COMPUTED_VALUE"""),1035.0)</f>
        <v>1035</v>
      </c>
      <c r="D65" s="6">
        <f>IFERROR(__xludf.DUMMYFUNCTION("""COMPUTED_VALUE"""),968.95)</f>
        <v>968.95</v>
      </c>
      <c r="E65" s="6">
        <f>IFERROR(__xludf.DUMMYFUNCTION("""COMPUTED_VALUE"""),989.85)</f>
        <v>989.85</v>
      </c>
      <c r="F65" s="6">
        <f>IFERROR(__xludf.DUMMYFUNCTION("""COMPUTED_VALUE"""),1.5357089E7)</f>
        <v>15357089</v>
      </c>
    </row>
    <row r="66">
      <c r="A66" s="7">
        <f>IFERROR(__xludf.DUMMYFUNCTION("""COMPUTED_VALUE"""),45646.64583333333)</f>
        <v>45646.64583</v>
      </c>
      <c r="B66" s="6">
        <f>IFERROR(__xludf.DUMMYFUNCTION("""COMPUTED_VALUE"""),994.8)</f>
        <v>994.8</v>
      </c>
      <c r="C66" s="6">
        <f>IFERROR(__xludf.DUMMYFUNCTION("""COMPUTED_VALUE"""),1015.5)</f>
        <v>1015.5</v>
      </c>
      <c r="D66" s="6">
        <f>IFERROR(__xludf.DUMMYFUNCTION("""COMPUTED_VALUE"""),915.5)</f>
        <v>915.5</v>
      </c>
      <c r="E66" s="6">
        <f>IFERROR(__xludf.DUMMYFUNCTION("""COMPUTED_VALUE"""),926.5)</f>
        <v>926.5</v>
      </c>
      <c r="F66" s="6">
        <f>IFERROR(__xludf.DUMMYFUNCTION("""COMPUTED_VALUE"""),8615057.0)</f>
        <v>8615057</v>
      </c>
    </row>
    <row r="67">
      <c r="A67" s="7">
        <f>IFERROR(__xludf.DUMMYFUNCTION("""COMPUTED_VALUE"""),45653.64583333333)</f>
        <v>45653.64583</v>
      </c>
      <c r="B67" s="6">
        <f>IFERROR(__xludf.DUMMYFUNCTION("""COMPUTED_VALUE"""),930.0)</f>
        <v>930</v>
      </c>
      <c r="C67" s="6">
        <f>IFERROR(__xludf.DUMMYFUNCTION("""COMPUTED_VALUE"""),940.6)</f>
        <v>940.6</v>
      </c>
      <c r="D67" s="6">
        <f>IFERROR(__xludf.DUMMYFUNCTION("""COMPUTED_VALUE"""),905.0)</f>
        <v>905</v>
      </c>
      <c r="E67" s="6">
        <f>IFERROR(__xludf.DUMMYFUNCTION("""COMPUTED_VALUE"""),910.4)</f>
        <v>910.4</v>
      </c>
      <c r="F67" s="6">
        <f>IFERROR(__xludf.DUMMYFUNCTION("""COMPUTED_VALUE"""),3478869.0)</f>
        <v>3478869</v>
      </c>
    </row>
    <row r="68">
      <c r="A68" s="7">
        <f>IFERROR(__xludf.DUMMYFUNCTION("""COMPUTED_VALUE"""),45660.64583333333)</f>
        <v>45660.64583</v>
      </c>
      <c r="B68" s="6">
        <f>IFERROR(__xludf.DUMMYFUNCTION("""COMPUTED_VALUE"""),914.0)</f>
        <v>914</v>
      </c>
      <c r="C68" s="6">
        <f>IFERROR(__xludf.DUMMYFUNCTION("""COMPUTED_VALUE"""),999.95)</f>
        <v>999.95</v>
      </c>
      <c r="D68" s="6">
        <f>IFERROR(__xludf.DUMMYFUNCTION("""COMPUTED_VALUE"""),900.1)</f>
        <v>900.1</v>
      </c>
      <c r="E68" s="6">
        <f>IFERROR(__xludf.DUMMYFUNCTION("""COMPUTED_VALUE"""),971.2)</f>
        <v>971.2</v>
      </c>
      <c r="F68" s="6">
        <f>IFERROR(__xludf.DUMMYFUNCTION("""COMPUTED_VALUE"""),7572011.0)</f>
        <v>7572011</v>
      </c>
    </row>
    <row r="69">
      <c r="A69" s="7">
        <f>IFERROR(__xludf.DUMMYFUNCTION("""COMPUTED_VALUE"""),45667.64583333333)</f>
        <v>45667.64583</v>
      </c>
      <c r="B69" s="6">
        <f>IFERROR(__xludf.DUMMYFUNCTION("""COMPUTED_VALUE"""),978.0)</f>
        <v>978</v>
      </c>
      <c r="C69" s="6">
        <f>IFERROR(__xludf.DUMMYFUNCTION("""COMPUTED_VALUE"""),978.65)</f>
        <v>978.65</v>
      </c>
      <c r="D69" s="6">
        <f>IFERROR(__xludf.DUMMYFUNCTION("""COMPUTED_VALUE"""),870.0)</f>
        <v>870</v>
      </c>
      <c r="E69" s="6">
        <f>IFERROR(__xludf.DUMMYFUNCTION("""COMPUTED_VALUE"""),878.1)</f>
        <v>878.1</v>
      </c>
      <c r="F69" s="6">
        <f>IFERROR(__xludf.DUMMYFUNCTION("""COMPUTED_VALUE"""),7276765.0)</f>
        <v>7276765</v>
      </c>
    </row>
    <row r="70">
      <c r="A70" s="7">
        <f>IFERROR(__xludf.DUMMYFUNCTION("""COMPUTED_VALUE"""),45674.64583333333)</f>
        <v>45674.64583</v>
      </c>
      <c r="B70" s="6">
        <f>IFERROR(__xludf.DUMMYFUNCTION("""COMPUTED_VALUE"""),861.0)</f>
        <v>861</v>
      </c>
      <c r="C70" s="6">
        <f>IFERROR(__xludf.DUMMYFUNCTION("""COMPUTED_VALUE"""),916.95)</f>
        <v>916.95</v>
      </c>
      <c r="D70" s="6">
        <f>IFERROR(__xludf.DUMMYFUNCTION("""COMPUTED_VALUE"""),779.1)</f>
        <v>779.1</v>
      </c>
      <c r="E70" s="6">
        <f>IFERROR(__xludf.DUMMYFUNCTION("""COMPUTED_VALUE"""),795.75)</f>
        <v>795.75</v>
      </c>
      <c r="F70" s="6">
        <f>IFERROR(__xludf.DUMMYFUNCTION("""COMPUTED_VALUE"""),1.4707514E7)</f>
        <v>14707514</v>
      </c>
    </row>
    <row r="71">
      <c r="A71" s="7">
        <f>IFERROR(__xludf.DUMMYFUNCTION("""COMPUTED_VALUE"""),45681.64583333333)</f>
        <v>45681.64583</v>
      </c>
      <c r="B71" s="6">
        <f>IFERROR(__xludf.DUMMYFUNCTION("""COMPUTED_VALUE"""),806.0)</f>
        <v>806</v>
      </c>
      <c r="C71" s="6">
        <f>IFERROR(__xludf.DUMMYFUNCTION("""COMPUTED_VALUE"""),827.15)</f>
        <v>827.15</v>
      </c>
      <c r="D71" s="6">
        <f>IFERROR(__xludf.DUMMYFUNCTION("""COMPUTED_VALUE"""),691.3)</f>
        <v>691.3</v>
      </c>
      <c r="E71" s="6">
        <f>IFERROR(__xludf.DUMMYFUNCTION("""COMPUTED_VALUE"""),694.35)</f>
        <v>694.35</v>
      </c>
      <c r="F71" s="6">
        <f>IFERROR(__xludf.DUMMYFUNCTION("""COMPUTED_VALUE"""),1.6368502E7)</f>
        <v>16368502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IFERROR(__xludf.DUMMYFUNCTION("""COMPUTED_VALUE"""),646.55)</f>
        <v>646.55</v>
      </c>
      <c r="C72" s="6">
        <f>IFERROR(__xludf.DUMMYFUNCTION("""COMPUTED_VALUE"""),738.6)</f>
        <v>738.6</v>
      </c>
      <c r="D72" s="6">
        <f>IFERROR(__xludf.DUMMYFUNCTION("""COMPUTED_VALUE"""),616.3)</f>
        <v>616.3</v>
      </c>
      <c r="E72" s="6">
        <f>IFERROR(__xludf.DUMMYFUNCTION("""COMPUTED_VALUE"""),674.3)</f>
        <v>674.3</v>
      </c>
      <c r="F72" s="6">
        <f>IFERROR(__xludf.DUMMYFUNCTION("""COMPUTED_VALUE"""),4.1096907E7)</f>
        <v>41096907</v>
      </c>
    </row>
    <row r="73">
      <c r="A73" s="7">
        <f>IFERROR(__xludf.DUMMYFUNCTION("""COMPUTED_VALUE"""),45702.64583333333)</f>
        <v>45702.64583</v>
      </c>
      <c r="B73" s="6">
        <f>IFERROR(__xludf.DUMMYFUNCTION("""COMPUTED_VALUE"""),674.85)</f>
        <v>674.85</v>
      </c>
      <c r="C73" s="6">
        <f>IFERROR(__xludf.DUMMYFUNCTION("""COMPUTED_VALUE"""),676.9)</f>
        <v>676.9</v>
      </c>
      <c r="D73" s="6">
        <f>IFERROR(__xludf.DUMMYFUNCTION("""COMPUTED_VALUE"""),602.65)</f>
        <v>602.65</v>
      </c>
      <c r="E73" s="6">
        <f>IFERROR(__xludf.DUMMYFUNCTION("""COMPUTED_VALUE"""),619.75)</f>
        <v>619.75</v>
      </c>
      <c r="F73" s="6">
        <f>IFERROR(__xludf.DUMMYFUNCTION("""COMPUTED_VALUE"""),1.1471163E7)</f>
        <v>11471163</v>
      </c>
    </row>
    <row r="74">
      <c r="A74" s="7">
        <f>IFERROR(__xludf.DUMMYFUNCTION("""COMPUTED_VALUE"""),45709.64583333333)</f>
        <v>45709.64583</v>
      </c>
      <c r="B74" s="6">
        <f>IFERROR(__xludf.DUMMYFUNCTION("""COMPUTED_VALUE"""),617.0)</f>
        <v>617</v>
      </c>
      <c r="C74" s="6">
        <f>IFERROR(__xludf.DUMMYFUNCTION("""COMPUTED_VALUE"""),650.55)</f>
        <v>650.55</v>
      </c>
      <c r="D74" s="6">
        <f>IFERROR(__xludf.DUMMYFUNCTION("""COMPUTED_VALUE"""),603.0)</f>
        <v>603</v>
      </c>
      <c r="E74" s="6">
        <f>IFERROR(__xludf.DUMMYFUNCTION("""COMPUTED_VALUE"""),613.45)</f>
        <v>613.45</v>
      </c>
      <c r="F74" s="6">
        <f>IFERROR(__xludf.DUMMYFUNCTION("""COMPUTED_VALUE"""),1.0905716E7)</f>
        <v>10905716</v>
      </c>
    </row>
    <row r="75">
      <c r="A75" s="7">
        <f>IFERROR(__xludf.DUMMYFUNCTION("""COMPUTED_VALUE"""),45716.64583333333)</f>
        <v>45716.64583</v>
      </c>
      <c r="B75" s="6">
        <f>IFERROR(__xludf.DUMMYFUNCTION("""COMPUTED_VALUE"""),602.0)</f>
        <v>602</v>
      </c>
      <c r="C75" s="6">
        <f>IFERROR(__xludf.DUMMYFUNCTION("""COMPUTED_VALUE"""),614.95)</f>
        <v>614.95</v>
      </c>
      <c r="D75" s="6">
        <f>IFERROR(__xludf.DUMMYFUNCTION("""COMPUTED_VALUE"""),560.15)</f>
        <v>560.15</v>
      </c>
      <c r="E75" s="6">
        <f>IFERROR(__xludf.DUMMYFUNCTION("""COMPUTED_VALUE"""),588.5)</f>
        <v>588.5</v>
      </c>
      <c r="F75" s="6">
        <f>IFERROR(__xludf.DUMMYFUNCTION("""COMPUTED_VALUE"""),8568701.0)</f>
        <v>8568701</v>
      </c>
    </row>
    <row r="76">
      <c r="A76" s="7">
        <f>IFERROR(__xludf.DUMMYFUNCTION("""COMPUTED_VALUE"""),45723.64583333333)</f>
        <v>45723.64583</v>
      </c>
      <c r="B76" s="6">
        <f>IFERROR(__xludf.DUMMYFUNCTION("""COMPUTED_VALUE"""),595.05)</f>
        <v>595.05</v>
      </c>
      <c r="C76" s="6">
        <f>IFERROR(__xludf.DUMMYFUNCTION("""COMPUTED_VALUE"""),619.7)</f>
        <v>619.7</v>
      </c>
      <c r="D76" s="6">
        <f>IFERROR(__xludf.DUMMYFUNCTION("""COMPUTED_VALUE"""),562.3)</f>
        <v>562.3</v>
      </c>
      <c r="E76" s="6">
        <f>IFERROR(__xludf.DUMMYFUNCTION("""COMPUTED_VALUE"""),605.45)</f>
        <v>605.45</v>
      </c>
      <c r="F76" s="6">
        <f>IFERROR(__xludf.DUMMYFUNCTION("""COMPUTED_VALUE"""),1.016643E7)</f>
        <v>10166430</v>
      </c>
    </row>
    <row r="77">
      <c r="A77" s="7">
        <f>IFERROR(__xludf.DUMMYFUNCTION("""COMPUTED_VALUE"""),45729.64583333333)</f>
        <v>45729.64583</v>
      </c>
      <c r="B77" s="6">
        <f>IFERROR(__xludf.DUMMYFUNCTION("""COMPUTED_VALUE"""),606.25)</f>
        <v>606.25</v>
      </c>
      <c r="C77" s="6">
        <f>IFERROR(__xludf.DUMMYFUNCTION("""COMPUTED_VALUE"""),616.0)</f>
        <v>616</v>
      </c>
      <c r="D77" s="6">
        <f>IFERROR(__xludf.DUMMYFUNCTION("""COMPUTED_VALUE"""),568.0)</f>
        <v>568</v>
      </c>
      <c r="E77" s="6">
        <f>IFERROR(__xludf.DUMMYFUNCTION("""COMPUTED_VALUE"""),576.4)</f>
        <v>576.4</v>
      </c>
      <c r="F77" s="6">
        <f>IFERROR(__xludf.DUMMYFUNCTION("""COMPUTED_VALUE"""),3980911.0)</f>
        <v>3980911</v>
      </c>
    </row>
    <row r="78">
      <c r="A78" s="7">
        <f>IFERROR(__xludf.DUMMYFUNCTION("""COMPUTED_VALUE"""),45737.64583333333)</f>
        <v>45737.64583</v>
      </c>
      <c r="B78" s="6">
        <f>IFERROR(__xludf.DUMMYFUNCTION("""COMPUTED_VALUE"""),578.0)</f>
        <v>578</v>
      </c>
      <c r="C78" s="6">
        <f>IFERROR(__xludf.DUMMYFUNCTION("""COMPUTED_VALUE"""),674.95)</f>
        <v>674.95</v>
      </c>
      <c r="D78" s="6">
        <f>IFERROR(__xludf.DUMMYFUNCTION("""COMPUTED_VALUE"""),575.3)</f>
        <v>575.3</v>
      </c>
      <c r="E78" s="6">
        <f>IFERROR(__xludf.DUMMYFUNCTION("""COMPUTED_VALUE"""),637.3)</f>
        <v>637.3</v>
      </c>
      <c r="F78" s="6">
        <f>IFERROR(__xludf.DUMMYFUNCTION("""COMPUTED_VALUE"""),1.1666379E7)</f>
        <v>11666379</v>
      </c>
    </row>
    <row r="79">
      <c r="A79" s="7">
        <f>IFERROR(__xludf.DUMMYFUNCTION("""COMPUTED_VALUE"""),45744.64583333333)</f>
        <v>45744.64583</v>
      </c>
      <c r="B79" s="6">
        <f>IFERROR(__xludf.DUMMYFUNCTION("""COMPUTED_VALUE"""),642.0)</f>
        <v>642</v>
      </c>
      <c r="C79" s="6">
        <f>IFERROR(__xludf.DUMMYFUNCTION("""COMPUTED_VALUE"""),657.6)</f>
        <v>657.6</v>
      </c>
      <c r="D79" s="6">
        <f>IFERROR(__xludf.DUMMYFUNCTION("""COMPUTED_VALUE"""),605.2)</f>
        <v>605.2</v>
      </c>
      <c r="E79" s="6">
        <f>IFERROR(__xludf.DUMMYFUNCTION("""COMPUTED_VALUE"""),615.35)</f>
        <v>615.35</v>
      </c>
      <c r="F79" s="6">
        <f>IFERROR(__xludf.DUMMYFUNCTION("""COMPUTED_VALUE"""),1.0514344E7)</f>
        <v>10514344</v>
      </c>
    </row>
    <row r="80">
      <c r="A80" s="7">
        <f>IFERROR(__xludf.DUMMYFUNCTION("""COMPUTED_VALUE"""),45751.64583333333)</f>
        <v>45751.64583</v>
      </c>
      <c r="B80" s="6">
        <f>IFERROR(__xludf.DUMMYFUNCTION("""COMPUTED_VALUE"""),616.9)</f>
        <v>616.9</v>
      </c>
      <c r="C80" s="6">
        <f>IFERROR(__xludf.DUMMYFUNCTION("""COMPUTED_VALUE"""),628.85)</f>
        <v>628.85</v>
      </c>
      <c r="D80" s="6">
        <f>IFERROR(__xludf.DUMMYFUNCTION("""COMPUTED_VALUE"""),590.65)</f>
        <v>590.65</v>
      </c>
      <c r="E80" s="6">
        <f>IFERROR(__xludf.DUMMYFUNCTION("""COMPUTED_VALUE"""),595.8)</f>
        <v>595.8</v>
      </c>
      <c r="F80" s="6">
        <f>IFERROR(__xludf.DUMMYFUNCTION("""COMPUTED_VALUE"""),5290049.0)</f>
        <v>5290049</v>
      </c>
    </row>
    <row r="81">
      <c r="A81" s="7">
        <f>IFERROR(__xludf.DUMMYFUNCTION("""COMPUTED_VALUE"""),45758.64583333333)</f>
        <v>45758.64583</v>
      </c>
      <c r="B81" s="6">
        <f>IFERROR(__xludf.DUMMYFUNCTION("""COMPUTED_VALUE"""),513.0)</f>
        <v>513</v>
      </c>
      <c r="C81" s="6">
        <f>IFERROR(__xludf.DUMMYFUNCTION("""COMPUTED_VALUE"""),609.5)</f>
        <v>609.5</v>
      </c>
      <c r="D81" s="6">
        <f>IFERROR(__xludf.DUMMYFUNCTION("""COMPUTED_VALUE"""),513.0)</f>
        <v>513</v>
      </c>
      <c r="E81" s="6">
        <f>IFERROR(__xludf.DUMMYFUNCTION("""COMPUTED_VALUE"""),606.2)</f>
        <v>606.2</v>
      </c>
      <c r="F81" s="6">
        <f>IFERROR(__xludf.DUMMYFUNCTION("""COMPUTED_VALUE"""),4988057.0)</f>
        <v>4988057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IFERROR(__xludf.DUMMYFUNCTION("""COMPUTED_VALUE"""),627.9)</f>
        <v>627.9</v>
      </c>
      <c r="C82" s="6">
        <f>IFERROR(__xludf.DUMMYFUNCTION("""COMPUTED_VALUE"""),656.45)</f>
        <v>656.45</v>
      </c>
      <c r="D82" s="6">
        <f>IFERROR(__xludf.DUMMYFUNCTION("""COMPUTED_VALUE"""),615.5)</f>
        <v>615.5</v>
      </c>
      <c r="E82" s="6">
        <f>IFERROR(__xludf.DUMMYFUNCTION("""COMPUTED_VALUE"""),653.35)</f>
        <v>653.35</v>
      </c>
      <c r="F82" s="6">
        <f>IFERROR(__xludf.DUMMYFUNCTION("""COMPUTED_VALUE"""),4567611.0)</f>
        <v>4567611</v>
      </c>
    </row>
    <row r="83">
      <c r="A83" s="7">
        <f>IFERROR(__xludf.DUMMYFUNCTION("""COMPUTED_VALUE"""),45772.64583333333)</f>
        <v>45772.64583</v>
      </c>
      <c r="B83" s="6">
        <f>IFERROR(__xludf.DUMMYFUNCTION("""COMPUTED_VALUE"""),655.65)</f>
        <v>655.65</v>
      </c>
      <c r="C83" s="6">
        <f>IFERROR(__xludf.DUMMYFUNCTION("""COMPUTED_VALUE"""),777.6)</f>
        <v>777.6</v>
      </c>
      <c r="D83" s="6">
        <f>IFERROR(__xludf.DUMMYFUNCTION("""COMPUTED_VALUE"""),655.3)</f>
        <v>655.3</v>
      </c>
      <c r="E83" s="6">
        <f>IFERROR(__xludf.DUMMYFUNCTION("""COMPUTED_VALUE"""),694.9)</f>
        <v>694.9</v>
      </c>
      <c r="F83" s="6">
        <f>IFERROR(__xludf.DUMMYFUNCTION("""COMPUTED_VALUE"""),2.6704608E7)</f>
        <v>26704608</v>
      </c>
    </row>
    <row r="84">
      <c r="A84" s="7">
        <f>IFERROR(__xludf.DUMMYFUNCTION("""COMPUTED_VALUE"""),45779.64583333333)</f>
        <v>45779.64583</v>
      </c>
      <c r="B84" s="6">
        <f>IFERROR(__xludf.DUMMYFUNCTION("""COMPUTED_VALUE"""),681.0)</f>
        <v>681</v>
      </c>
      <c r="C84" s="6">
        <f>IFERROR(__xludf.DUMMYFUNCTION("""COMPUTED_VALUE"""),689.8)</f>
        <v>689.8</v>
      </c>
      <c r="D84" s="6">
        <f>IFERROR(__xludf.DUMMYFUNCTION("""COMPUTED_VALUE"""),635.45)</f>
        <v>635.45</v>
      </c>
      <c r="E84" s="6">
        <f>IFERROR(__xludf.DUMMYFUNCTION("""COMPUTED_VALUE"""),636.35)</f>
        <v>636.35</v>
      </c>
      <c r="F84" s="6">
        <f>IFERROR(__xludf.DUMMYFUNCTION("""COMPUTED_VALUE"""),9227856.0)</f>
        <v>9227856</v>
      </c>
    </row>
    <row r="85">
      <c r="A85" s="7">
        <f>IFERROR(__xludf.DUMMYFUNCTION("""COMPUTED_VALUE"""),45786.64583333333)</f>
        <v>45786.64583</v>
      </c>
      <c r="B85" s="6">
        <f>IFERROR(__xludf.DUMMYFUNCTION("""COMPUTED_VALUE"""),638.05)</f>
        <v>638.05</v>
      </c>
      <c r="C85" s="6">
        <f>IFERROR(__xludf.DUMMYFUNCTION("""COMPUTED_VALUE"""),704.65)</f>
        <v>704.65</v>
      </c>
      <c r="D85" s="6">
        <f>IFERROR(__xludf.DUMMYFUNCTION("""COMPUTED_VALUE"""),638.05)</f>
        <v>638.05</v>
      </c>
      <c r="E85" s="6">
        <f>IFERROR(__xludf.DUMMYFUNCTION("""COMPUTED_VALUE"""),679.7)</f>
        <v>679.7</v>
      </c>
      <c r="F85" s="6">
        <f>IFERROR(__xludf.DUMMYFUNCTION("""COMPUTED_VALUE"""),1.8931605E7)</f>
        <v>18931605</v>
      </c>
    </row>
    <row r="86">
      <c r="A86" s="7">
        <f>IFERROR(__xludf.DUMMYFUNCTION("""COMPUTED_VALUE"""),45793.64583333333)</f>
        <v>45793.64583</v>
      </c>
      <c r="B86" s="6">
        <f>IFERROR(__xludf.DUMMYFUNCTION("""COMPUTED_VALUE"""),700.0)</f>
        <v>700</v>
      </c>
      <c r="C86" s="6">
        <f>IFERROR(__xludf.DUMMYFUNCTION("""COMPUTED_VALUE"""),796.0)</f>
        <v>796</v>
      </c>
      <c r="D86" s="6">
        <f>IFERROR(__xludf.DUMMYFUNCTION("""COMPUTED_VALUE"""),700.0)</f>
        <v>700</v>
      </c>
      <c r="E86" s="6">
        <f>IFERROR(__xludf.DUMMYFUNCTION("""COMPUTED_VALUE"""),789.0)</f>
        <v>789</v>
      </c>
      <c r="F86" s="6">
        <f>IFERROR(__xludf.DUMMYFUNCTION("""COMPUTED_VALUE"""),1.418311E7)</f>
        <v>14183110</v>
      </c>
    </row>
    <row r="87">
      <c r="A87" s="7">
        <f>IFERROR(__xludf.DUMMYFUNCTION("""COMPUTED_VALUE"""),45800.64583333333)</f>
        <v>45800.64583</v>
      </c>
      <c r="B87" s="6">
        <f>IFERROR(__xludf.DUMMYFUNCTION("""COMPUTED_VALUE"""),791.7)</f>
        <v>791.7</v>
      </c>
      <c r="C87" s="6">
        <f>IFERROR(__xludf.DUMMYFUNCTION("""COMPUTED_VALUE"""),817.25)</f>
        <v>817.25</v>
      </c>
      <c r="D87" s="6">
        <f>IFERROR(__xludf.DUMMYFUNCTION("""COMPUTED_VALUE"""),753.25)</f>
        <v>753.25</v>
      </c>
      <c r="E87" s="6">
        <f>IFERROR(__xludf.DUMMYFUNCTION("""COMPUTED_VALUE"""),778.65)</f>
        <v>778.65</v>
      </c>
      <c r="F87" s="6">
        <f>IFERROR(__xludf.DUMMYFUNCTION("""COMPUTED_VALUE"""),1.027468E7)</f>
        <v>10274680</v>
      </c>
    </row>
    <row r="88">
      <c r="A88" s="7">
        <f>IFERROR(__xludf.DUMMYFUNCTION("""COMPUTED_VALUE"""),45807.64583333333)</f>
        <v>45807.64583</v>
      </c>
      <c r="B88" s="6">
        <f>IFERROR(__xludf.DUMMYFUNCTION("""COMPUTED_VALUE"""),780.0)</f>
        <v>780</v>
      </c>
      <c r="C88" s="6">
        <f>IFERROR(__xludf.DUMMYFUNCTION("""COMPUTED_VALUE"""),827.0)</f>
        <v>827</v>
      </c>
      <c r="D88" s="6">
        <f>IFERROR(__xludf.DUMMYFUNCTION("""COMPUTED_VALUE"""),773.25)</f>
        <v>773.25</v>
      </c>
      <c r="E88" s="6">
        <f>IFERROR(__xludf.DUMMYFUNCTION("""COMPUTED_VALUE"""),809.9)</f>
        <v>809.9</v>
      </c>
      <c r="F88" s="6">
        <f>IFERROR(__xludf.DUMMYFUNCTION("""COMPUTED_VALUE"""),9626635.0)</f>
        <v>9626635</v>
      </c>
    </row>
    <row r="89">
      <c r="A89" s="7">
        <f>IFERROR(__xludf.DUMMYFUNCTION("""COMPUTED_VALUE"""),45814.64583333333)</f>
        <v>45814.64583</v>
      </c>
      <c r="B89" s="6">
        <f>IFERROR(__xludf.DUMMYFUNCTION("""COMPUTED_VALUE"""),811.95)</f>
        <v>811.95</v>
      </c>
      <c r="C89" s="6">
        <f>IFERROR(__xludf.DUMMYFUNCTION("""COMPUTED_VALUE"""),880.0)</f>
        <v>880</v>
      </c>
      <c r="D89" s="6">
        <f>IFERROR(__xludf.DUMMYFUNCTION("""COMPUTED_VALUE"""),800.0)</f>
        <v>800</v>
      </c>
      <c r="E89" s="6">
        <f>IFERROR(__xludf.DUMMYFUNCTION("""COMPUTED_VALUE"""),870.35)</f>
        <v>870.35</v>
      </c>
      <c r="F89" s="6">
        <f>IFERROR(__xludf.DUMMYFUNCTION("""COMPUTED_VALUE"""),1.7698167E7)</f>
        <v>17698167</v>
      </c>
    </row>
    <row r="90">
      <c r="A90" s="7">
        <f>IFERROR(__xludf.DUMMYFUNCTION("""COMPUTED_VALUE"""),45821.64583333333)</f>
        <v>45821.64583</v>
      </c>
      <c r="B90" s="6">
        <f>IFERROR(__xludf.DUMMYFUNCTION("""COMPUTED_VALUE"""),880.0)</f>
        <v>880</v>
      </c>
      <c r="C90" s="6">
        <f>IFERROR(__xludf.DUMMYFUNCTION("""COMPUTED_VALUE"""),898.2)</f>
        <v>898.2</v>
      </c>
      <c r="D90" s="6">
        <f>IFERROR(__xludf.DUMMYFUNCTION("""COMPUTED_VALUE"""),805.4)</f>
        <v>805.4</v>
      </c>
      <c r="E90" s="6">
        <f>IFERROR(__xludf.DUMMYFUNCTION("""COMPUTED_VALUE"""),821.3)</f>
        <v>821.3</v>
      </c>
      <c r="F90" s="6">
        <f>IFERROR(__xludf.DUMMYFUNCTION("""COMPUTED_VALUE"""),1.1554006E7)</f>
        <v>11554006</v>
      </c>
    </row>
    <row r="91">
      <c r="A91" s="7">
        <f>IFERROR(__xludf.DUMMYFUNCTION("""COMPUTED_VALUE"""),45828.64583333333)</f>
        <v>45828.64583</v>
      </c>
      <c r="B91" s="6">
        <f>IFERROR(__xludf.DUMMYFUNCTION("""COMPUTED_VALUE"""),820.0)</f>
        <v>820</v>
      </c>
      <c r="C91" s="6">
        <f>IFERROR(__xludf.DUMMYFUNCTION("""COMPUTED_VALUE"""),838.35)</f>
        <v>838.35</v>
      </c>
      <c r="D91" s="6">
        <f>IFERROR(__xludf.DUMMYFUNCTION("""COMPUTED_VALUE"""),802.85)</f>
        <v>802.85</v>
      </c>
      <c r="E91" s="6">
        <f>IFERROR(__xludf.DUMMYFUNCTION("""COMPUTED_VALUE"""),825.55)</f>
        <v>825.55</v>
      </c>
      <c r="F91" s="6">
        <f>IFERROR(__xludf.DUMMYFUNCTION("""COMPUTED_VALUE"""),7409701.0)</f>
        <v>7409701</v>
      </c>
    </row>
    <row r="92">
      <c r="A92" s="7">
        <f>IFERROR(__xludf.DUMMYFUNCTION("""COMPUTED_VALUE"""),45835.64583333333)</f>
        <v>45835.64583</v>
      </c>
      <c r="B92" s="6">
        <f>IFERROR(__xludf.DUMMYFUNCTION("""COMPUTED_VALUE"""),816.2)</f>
        <v>816.2</v>
      </c>
      <c r="C92" s="6">
        <f>IFERROR(__xludf.DUMMYFUNCTION("""COMPUTED_VALUE"""),882.0)</f>
        <v>882</v>
      </c>
      <c r="D92" s="6">
        <f>IFERROR(__xludf.DUMMYFUNCTION("""COMPUTED_VALUE"""),812.05)</f>
        <v>812.05</v>
      </c>
      <c r="E92" s="6">
        <f>IFERROR(__xludf.DUMMYFUNCTION("""COMPUTED_VALUE"""),854.35)</f>
        <v>854.35</v>
      </c>
      <c r="F92" s="6">
        <f>IFERROR(__xludf.DUMMYFUNCTION("""COMPUTED_VALUE"""),1.0016414E7)</f>
        <v>10016414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IFERROR(__xludf.DUMMYFUNCTION("""COMPUTED_VALUE"""),859.75)</f>
        <v>859.75</v>
      </c>
      <c r="C93" s="6">
        <f>IFERROR(__xludf.DUMMYFUNCTION("""COMPUTED_VALUE"""),940.0)</f>
        <v>940</v>
      </c>
      <c r="D93" s="6">
        <f>IFERROR(__xludf.DUMMYFUNCTION("""COMPUTED_VALUE"""),849.15)</f>
        <v>849.15</v>
      </c>
      <c r="E93" s="6">
        <f>IFERROR(__xludf.DUMMYFUNCTION("""COMPUTED_VALUE"""),918.05)</f>
        <v>918.05</v>
      </c>
      <c r="F93" s="6">
        <f>IFERROR(__xludf.DUMMYFUNCTION("""COMPUTED_VALUE"""),1.7962238E7)</f>
        <v>17962238</v>
      </c>
    </row>
    <row r="94">
      <c r="A94" s="7">
        <f>IFERROR(__xludf.DUMMYFUNCTION("""COMPUTED_VALUE"""),45849.64583333333)</f>
        <v>45849.64583</v>
      </c>
      <c r="B94" s="6">
        <f>IFERROR(__xludf.DUMMYFUNCTION("""COMPUTED_VALUE"""),915.0)</f>
        <v>915</v>
      </c>
      <c r="C94" s="6">
        <f>IFERROR(__xludf.DUMMYFUNCTION("""COMPUTED_VALUE"""),963.35)</f>
        <v>963.35</v>
      </c>
      <c r="D94" s="6">
        <f>IFERROR(__xludf.DUMMYFUNCTION("""COMPUTED_VALUE"""),904.8)</f>
        <v>904.8</v>
      </c>
      <c r="E94" s="6">
        <f>IFERROR(__xludf.DUMMYFUNCTION("""COMPUTED_VALUE"""),934.4)</f>
        <v>934.4</v>
      </c>
      <c r="F94" s="6">
        <f>IFERROR(__xludf.DUMMYFUNCTION("""COMPUTED_VALUE"""),7801208.0)</f>
        <v>7801208</v>
      </c>
    </row>
    <row r="95">
      <c r="A95" s="7">
        <f>IFERROR(__xludf.DUMMYFUNCTION("""COMPUTED_VALUE"""),45856.64583333333)</f>
        <v>45856.64583</v>
      </c>
      <c r="B95" s="6">
        <f>IFERROR(__xludf.DUMMYFUNCTION("""COMPUTED_VALUE"""),933.5)</f>
        <v>933.5</v>
      </c>
      <c r="C95" s="6">
        <f>IFERROR(__xludf.DUMMYFUNCTION("""COMPUTED_VALUE"""),954.0)</f>
        <v>954</v>
      </c>
      <c r="D95" s="6">
        <f>IFERROR(__xludf.DUMMYFUNCTION("""COMPUTED_VALUE"""),910.0)</f>
        <v>910</v>
      </c>
      <c r="E95" s="6">
        <f>IFERROR(__xludf.DUMMYFUNCTION("""COMPUTED_VALUE"""),911.6)</f>
        <v>911.6</v>
      </c>
      <c r="F95" s="6">
        <f>IFERROR(__xludf.DUMMYFUNCTION("""COMPUTED_VALUE"""),3706319.0)</f>
        <v>3706319</v>
      </c>
    </row>
    <row r="96">
      <c r="A96" s="7">
        <f>IFERROR(__xludf.DUMMYFUNCTION("""COMPUTED_VALUE"""),45863.64583333333)</f>
        <v>45863.64583</v>
      </c>
      <c r="B96" s="6">
        <f>IFERROR(__xludf.DUMMYFUNCTION("""COMPUTED_VALUE"""),914.3)</f>
        <v>914.3</v>
      </c>
      <c r="C96" s="6">
        <f>IFERROR(__xludf.DUMMYFUNCTION("""COMPUTED_VALUE"""),955.0)</f>
        <v>955</v>
      </c>
      <c r="D96" s="6">
        <f>IFERROR(__xludf.DUMMYFUNCTION("""COMPUTED_VALUE"""),892.6)</f>
        <v>892.6</v>
      </c>
      <c r="E96" s="6">
        <f>IFERROR(__xludf.DUMMYFUNCTION("""COMPUTED_VALUE"""),900.15)</f>
        <v>900.15</v>
      </c>
      <c r="F96" s="6">
        <f>IFERROR(__xludf.DUMMYFUNCTION("""COMPUTED_VALUE"""),9732064.0)</f>
        <v>9732064</v>
      </c>
    </row>
    <row r="97">
      <c r="A97" s="7">
        <f>IFERROR(__xludf.DUMMYFUNCTION("""COMPUTED_VALUE"""),45870.64583333333)</f>
        <v>45870.64583</v>
      </c>
      <c r="B97" s="6">
        <f>IFERROR(__xludf.DUMMYFUNCTION("""COMPUTED_VALUE"""),895.0)</f>
        <v>895</v>
      </c>
      <c r="C97" s="6">
        <f>IFERROR(__xludf.DUMMYFUNCTION("""COMPUTED_VALUE"""),942.0)</f>
        <v>942</v>
      </c>
      <c r="D97" s="6">
        <f>IFERROR(__xludf.DUMMYFUNCTION("""COMPUTED_VALUE"""),880.0)</f>
        <v>880</v>
      </c>
      <c r="E97" s="6">
        <f>IFERROR(__xludf.DUMMYFUNCTION("""COMPUTED_VALUE"""),921.7)</f>
        <v>921.7</v>
      </c>
      <c r="F97" s="6">
        <f>IFERROR(__xludf.DUMMYFUNCTION("""COMPUTED_VALUE"""),5711017.0)</f>
        <v>5711017</v>
      </c>
    </row>
    <row r="98">
      <c r="A98" s="7">
        <f>IFERROR(__xludf.DUMMYFUNCTION("""COMPUTED_VALUE"""),45877.64583333333)</f>
        <v>45877.64583</v>
      </c>
      <c r="B98" s="6">
        <f>IFERROR(__xludf.DUMMYFUNCTION("""COMPUTED_VALUE"""),922.0)</f>
        <v>922</v>
      </c>
      <c r="C98" s="6">
        <f>IFERROR(__xludf.DUMMYFUNCTION("""COMPUTED_VALUE"""),933.9)</f>
        <v>933.9</v>
      </c>
      <c r="D98" s="6">
        <f>IFERROR(__xludf.DUMMYFUNCTION("""COMPUTED_VALUE"""),893.75)</f>
        <v>893.75</v>
      </c>
      <c r="E98" s="6">
        <f>IFERROR(__xludf.DUMMYFUNCTION("""COMPUTED_VALUE"""),905.6)</f>
        <v>905.6</v>
      </c>
      <c r="F98" s="6">
        <f>IFERROR(__xludf.DUMMYFUNCTION("""COMPUTED_VALUE"""),4056710.0)</f>
        <v>4056710</v>
      </c>
    </row>
    <row r="99">
      <c r="A99" s="7">
        <f>IFERROR(__xludf.DUMMYFUNCTION("""COMPUTED_VALUE"""),45883.64583333333)</f>
        <v>45883.64583</v>
      </c>
      <c r="B99" s="6">
        <f>IFERROR(__xludf.DUMMYFUNCTION("""COMPUTED_VALUE"""),909.0)</f>
        <v>909</v>
      </c>
      <c r="C99" s="6">
        <f>IFERROR(__xludf.DUMMYFUNCTION("""COMPUTED_VALUE"""),937.95)</f>
        <v>937.95</v>
      </c>
      <c r="D99" s="6">
        <f>IFERROR(__xludf.DUMMYFUNCTION("""COMPUTED_VALUE"""),895.15)</f>
        <v>895.15</v>
      </c>
      <c r="E99" s="6">
        <f>IFERROR(__xludf.DUMMYFUNCTION("""COMPUTED_VALUE"""),929.2)</f>
        <v>929.2</v>
      </c>
      <c r="F99" s="6">
        <f>IFERROR(__xludf.DUMMYFUNCTION("""COMPUTED_VALUE"""),2952990.0)</f>
        <v>2952990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IFERROR(__xludf.DUMMYFUNCTION("""COMPUTED_VALUE"""),934.9)</f>
        <v>934.9</v>
      </c>
      <c r="C100" s="6">
        <f>IFERROR(__xludf.DUMMYFUNCTION("""COMPUTED_VALUE"""),978.0)</f>
        <v>978</v>
      </c>
      <c r="D100" s="6">
        <f>IFERROR(__xludf.DUMMYFUNCTION("""COMPUTED_VALUE"""),925.15)</f>
        <v>925.15</v>
      </c>
      <c r="E100" s="6">
        <f>IFERROR(__xludf.DUMMYFUNCTION("""COMPUTED_VALUE"""),929.25)</f>
        <v>929.25</v>
      </c>
      <c r="F100" s="6">
        <f>IFERROR(__xludf.DUMMYFUNCTION("""COMPUTED_VALUE"""),5237010.0)</f>
        <v>5237010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IFERROR(__xludf.DUMMYFUNCTION("""COMPUTED_VALUE"""),932.9)</f>
        <v>932.9</v>
      </c>
      <c r="C101" s="6">
        <f>IFERROR(__xludf.DUMMYFUNCTION("""COMPUTED_VALUE"""),938.0)</f>
        <v>938</v>
      </c>
      <c r="D101" s="6">
        <f>IFERROR(__xludf.DUMMYFUNCTION("""COMPUTED_VALUE"""),901.1)</f>
        <v>901.1</v>
      </c>
      <c r="E101" s="6">
        <f>IFERROR(__xludf.DUMMYFUNCTION("""COMPUTED_VALUE"""),908.95)</f>
        <v>908.95</v>
      </c>
      <c r="F101" s="6">
        <f>IFERROR(__xludf.DUMMYFUNCTION("""COMPUTED_VALUE"""),1.0127865E7)</f>
        <v>10127865</v>
      </c>
    </row>
  </sheetData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IFERROR(__xludf.DUMMYFUNCTION("GOOGLEFINANCE(""NSE:MPHASIS"",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IFERROR(__xludf.DUMMYFUNCTION("""COMPUTED_VALUE"""),2404.85)</f>
        <v>2404.85</v>
      </c>
      <c r="C2" s="6">
        <f>IFERROR(__xludf.DUMMYFUNCTION("""COMPUTED_VALUE"""),2454.0)</f>
        <v>2454</v>
      </c>
      <c r="D2" s="6">
        <f>IFERROR(__xludf.DUMMYFUNCTION("""COMPUTED_VALUE"""),2301.25)</f>
        <v>2301.25</v>
      </c>
      <c r="E2" s="6">
        <f>IFERROR(__xludf.DUMMYFUNCTION("""COMPUTED_VALUE"""),2433.2)</f>
        <v>2433.2</v>
      </c>
      <c r="F2" s="6">
        <f>IFERROR(__xludf.DUMMYFUNCTION("""COMPUTED_VALUE"""),3124571.0)</f>
        <v>3124571</v>
      </c>
    </row>
    <row r="3">
      <c r="A3" s="7">
        <f>IFERROR(__xludf.DUMMYFUNCTION("""COMPUTED_VALUE"""),45177.64583333333)</f>
        <v>45177.64583</v>
      </c>
      <c r="B3" s="6">
        <f>IFERROR(__xludf.DUMMYFUNCTION("""COMPUTED_VALUE"""),2435.1)</f>
        <v>2435.1</v>
      </c>
      <c r="C3" s="6">
        <f>IFERROR(__xludf.DUMMYFUNCTION("""COMPUTED_VALUE"""),2552.0)</f>
        <v>2552</v>
      </c>
      <c r="D3" s="6">
        <f>IFERROR(__xludf.DUMMYFUNCTION("""COMPUTED_VALUE"""),2409.25)</f>
        <v>2409.25</v>
      </c>
      <c r="E3" s="6">
        <f>IFERROR(__xludf.DUMMYFUNCTION("""COMPUTED_VALUE"""),2466.15)</f>
        <v>2466.15</v>
      </c>
      <c r="F3" s="6">
        <f>IFERROR(__xludf.DUMMYFUNCTION("""COMPUTED_VALUE"""),2326660.0)</f>
        <v>2326660</v>
      </c>
    </row>
    <row r="4">
      <c r="A4" s="7">
        <f>IFERROR(__xludf.DUMMYFUNCTION("""COMPUTED_VALUE"""),45184.64583333333)</f>
        <v>45184.64583</v>
      </c>
      <c r="B4" s="6">
        <f>IFERROR(__xludf.DUMMYFUNCTION("""COMPUTED_VALUE"""),2466.95)</f>
        <v>2466.95</v>
      </c>
      <c r="C4" s="6">
        <f>IFERROR(__xludf.DUMMYFUNCTION("""COMPUTED_VALUE"""),2528.55)</f>
        <v>2528.55</v>
      </c>
      <c r="D4" s="6">
        <f>IFERROR(__xludf.DUMMYFUNCTION("""COMPUTED_VALUE"""),2406.65)</f>
        <v>2406.65</v>
      </c>
      <c r="E4" s="6">
        <f>IFERROR(__xludf.DUMMYFUNCTION("""COMPUTED_VALUE"""),2493.15)</f>
        <v>2493.15</v>
      </c>
      <c r="F4" s="6">
        <f>IFERROR(__xludf.DUMMYFUNCTION("""COMPUTED_VALUE"""),1529324.0)</f>
        <v>1529324</v>
      </c>
    </row>
    <row r="5">
      <c r="A5" s="7">
        <f>IFERROR(__xludf.DUMMYFUNCTION("""COMPUTED_VALUE"""),45191.64583333333)</f>
        <v>45191.64583</v>
      </c>
      <c r="B5" s="6">
        <f>IFERROR(__xludf.DUMMYFUNCTION("""COMPUTED_VALUE"""),2481.05)</f>
        <v>2481.05</v>
      </c>
      <c r="C5" s="6">
        <f>IFERROR(__xludf.DUMMYFUNCTION("""COMPUTED_VALUE"""),2500.0)</f>
        <v>2500</v>
      </c>
      <c r="D5" s="6">
        <f>IFERROR(__xludf.DUMMYFUNCTION("""COMPUTED_VALUE"""),2447.1)</f>
        <v>2447.1</v>
      </c>
      <c r="E5" s="6">
        <f>IFERROR(__xludf.DUMMYFUNCTION("""COMPUTED_VALUE"""),2486.0)</f>
        <v>2486</v>
      </c>
      <c r="F5" s="6">
        <f>IFERROR(__xludf.DUMMYFUNCTION("""COMPUTED_VALUE"""),806450.0)</f>
        <v>806450</v>
      </c>
    </row>
    <row r="6">
      <c r="A6" s="7">
        <f>IFERROR(__xludf.DUMMYFUNCTION("""COMPUTED_VALUE"""),45198.64583333333)</f>
        <v>45198.64583</v>
      </c>
      <c r="B6" s="6">
        <f>IFERROR(__xludf.DUMMYFUNCTION("""COMPUTED_VALUE"""),2480.0)</f>
        <v>2480</v>
      </c>
      <c r="C6" s="6">
        <f>IFERROR(__xludf.DUMMYFUNCTION("""COMPUTED_VALUE"""),2520.0)</f>
        <v>2520</v>
      </c>
      <c r="D6" s="6">
        <f>IFERROR(__xludf.DUMMYFUNCTION("""COMPUTED_VALUE"""),2342.3)</f>
        <v>2342.3</v>
      </c>
      <c r="E6" s="6">
        <f>IFERROR(__xludf.DUMMYFUNCTION("""COMPUTED_VALUE"""),2376.6)</f>
        <v>2376.6</v>
      </c>
      <c r="F6" s="6">
        <f>IFERROR(__xludf.DUMMYFUNCTION("""COMPUTED_VALUE"""),1838597.0)</f>
        <v>1838597</v>
      </c>
    </row>
    <row r="7">
      <c r="A7" s="7">
        <f>IFERROR(__xludf.DUMMYFUNCTION("""COMPUTED_VALUE"""),45205.64583333333)</f>
        <v>45205.64583</v>
      </c>
      <c r="B7" s="6">
        <f>IFERROR(__xludf.DUMMYFUNCTION("""COMPUTED_VALUE"""),2376.6)</f>
        <v>2376.6</v>
      </c>
      <c r="C7" s="6">
        <f>IFERROR(__xludf.DUMMYFUNCTION("""COMPUTED_VALUE"""),2496.5)</f>
        <v>2496.5</v>
      </c>
      <c r="D7" s="6">
        <f>IFERROR(__xludf.DUMMYFUNCTION("""COMPUTED_VALUE"""),2326.0)</f>
        <v>2326</v>
      </c>
      <c r="E7" s="6">
        <f>IFERROR(__xludf.DUMMYFUNCTION("""COMPUTED_VALUE"""),2491.0)</f>
        <v>2491</v>
      </c>
      <c r="F7" s="6">
        <f>IFERROR(__xludf.DUMMYFUNCTION("""COMPUTED_VALUE"""),1913613.0)</f>
        <v>1913613</v>
      </c>
    </row>
    <row r="8">
      <c r="A8" s="7">
        <f>IFERROR(__xludf.DUMMYFUNCTION("""COMPUTED_VALUE"""),45212.64583333333)</f>
        <v>45212.64583</v>
      </c>
      <c r="B8" s="6">
        <f>IFERROR(__xludf.DUMMYFUNCTION("""COMPUTED_VALUE"""),2461.6)</f>
        <v>2461.6</v>
      </c>
      <c r="C8" s="6">
        <f>IFERROR(__xludf.DUMMYFUNCTION("""COMPUTED_VALUE"""),2545.9)</f>
        <v>2545.9</v>
      </c>
      <c r="D8" s="6">
        <f>IFERROR(__xludf.DUMMYFUNCTION("""COMPUTED_VALUE"""),2350.0)</f>
        <v>2350</v>
      </c>
      <c r="E8" s="6">
        <f>IFERROR(__xludf.DUMMYFUNCTION("""COMPUTED_VALUE"""),2376.2)</f>
        <v>2376.2</v>
      </c>
      <c r="F8" s="6">
        <f>IFERROR(__xludf.DUMMYFUNCTION("""COMPUTED_VALUE"""),2243350.0)</f>
        <v>2243350</v>
      </c>
    </row>
    <row r="9">
      <c r="A9" s="7">
        <f>IFERROR(__xludf.DUMMYFUNCTION("""COMPUTED_VALUE"""),45219.64583333333)</f>
        <v>45219.64583</v>
      </c>
      <c r="B9" s="6">
        <f>IFERROR(__xludf.DUMMYFUNCTION("""COMPUTED_VALUE"""),2360.0)</f>
        <v>2360</v>
      </c>
      <c r="C9" s="6">
        <f>IFERROR(__xludf.DUMMYFUNCTION("""COMPUTED_VALUE"""),2386.3)</f>
        <v>2386.3</v>
      </c>
      <c r="D9" s="6">
        <f>IFERROR(__xludf.DUMMYFUNCTION("""COMPUTED_VALUE"""),2133.7)</f>
        <v>2133.7</v>
      </c>
      <c r="E9" s="6">
        <f>IFERROR(__xludf.DUMMYFUNCTION("""COMPUTED_VALUE"""),2169.75)</f>
        <v>2169.75</v>
      </c>
      <c r="F9" s="6">
        <f>IFERROR(__xludf.DUMMYFUNCTION("""COMPUTED_VALUE"""),3647765.0)</f>
        <v>3647765</v>
      </c>
    </row>
    <row r="10">
      <c r="A10" s="7">
        <f>IFERROR(__xludf.DUMMYFUNCTION("""COMPUTED_VALUE"""),45226.64583333333)</f>
        <v>45226.64583</v>
      </c>
      <c r="B10" s="6">
        <f>IFERROR(__xludf.DUMMYFUNCTION("""COMPUTED_VALUE"""),2172.0)</f>
        <v>2172</v>
      </c>
      <c r="C10" s="6">
        <f>IFERROR(__xludf.DUMMYFUNCTION("""COMPUTED_VALUE"""),2211.95)</f>
        <v>2211.95</v>
      </c>
      <c r="D10" s="6">
        <f>IFERROR(__xludf.DUMMYFUNCTION("""COMPUTED_VALUE"""),2069.1)</f>
        <v>2069.1</v>
      </c>
      <c r="E10" s="6">
        <f>IFERROR(__xludf.DUMMYFUNCTION("""COMPUTED_VALUE"""),2114.3)</f>
        <v>2114.3</v>
      </c>
      <c r="F10" s="6">
        <f>IFERROR(__xludf.DUMMYFUNCTION("""COMPUTED_VALUE"""),2571712.0)</f>
        <v>2571712</v>
      </c>
    </row>
    <row r="11">
      <c r="A11" s="7">
        <f>IFERROR(__xludf.DUMMYFUNCTION("""COMPUTED_VALUE"""),45233.64583333333)</f>
        <v>45233.64583</v>
      </c>
      <c r="B11" s="6">
        <f>IFERROR(__xludf.DUMMYFUNCTION("""COMPUTED_VALUE"""),2127.0)</f>
        <v>2127</v>
      </c>
      <c r="C11" s="6">
        <f>IFERROR(__xludf.DUMMYFUNCTION("""COMPUTED_VALUE"""),2215.0)</f>
        <v>2215</v>
      </c>
      <c r="D11" s="6">
        <f>IFERROR(__xludf.DUMMYFUNCTION("""COMPUTED_VALUE"""),2104.0)</f>
        <v>2104</v>
      </c>
      <c r="E11" s="6">
        <f>IFERROR(__xludf.DUMMYFUNCTION("""COMPUTED_VALUE"""),2210.2)</f>
        <v>2210.2</v>
      </c>
      <c r="F11" s="6">
        <f>IFERROR(__xludf.DUMMYFUNCTION("""COMPUTED_VALUE"""),1213209.0)</f>
        <v>1213209</v>
      </c>
    </row>
    <row r="12">
      <c r="A12" s="7">
        <f>IFERROR(__xludf.DUMMYFUNCTION("""COMPUTED_VALUE"""),45240.64583333333)</f>
        <v>45240.64583</v>
      </c>
      <c r="B12" s="6">
        <f>IFERROR(__xludf.DUMMYFUNCTION("""COMPUTED_VALUE"""),2220.0)</f>
        <v>2220</v>
      </c>
      <c r="C12" s="6">
        <f>IFERROR(__xludf.DUMMYFUNCTION("""COMPUTED_VALUE"""),2222.9)</f>
        <v>2222.9</v>
      </c>
      <c r="D12" s="6">
        <f>IFERROR(__xludf.DUMMYFUNCTION("""COMPUTED_VALUE"""),2173.4)</f>
        <v>2173.4</v>
      </c>
      <c r="E12" s="6">
        <f>IFERROR(__xludf.DUMMYFUNCTION("""COMPUTED_VALUE"""),2202.2)</f>
        <v>2202.2</v>
      </c>
      <c r="F12" s="6">
        <f>IFERROR(__xludf.DUMMYFUNCTION("""COMPUTED_VALUE"""),1712662.0)</f>
        <v>1712662</v>
      </c>
    </row>
    <row r="13">
      <c r="A13" s="7">
        <f>IFERROR(__xludf.DUMMYFUNCTION("""COMPUTED_VALUE"""),45247.64583333333)</f>
        <v>45247.64583</v>
      </c>
      <c r="B13" s="6">
        <f>IFERROR(__xludf.DUMMYFUNCTION("""COMPUTED_VALUE"""),2209.0)</f>
        <v>2209</v>
      </c>
      <c r="C13" s="6">
        <f>IFERROR(__xludf.DUMMYFUNCTION("""COMPUTED_VALUE"""),2394.0)</f>
        <v>2394</v>
      </c>
      <c r="D13" s="6">
        <f>IFERROR(__xludf.DUMMYFUNCTION("""COMPUTED_VALUE"""),2144.1)</f>
        <v>2144.1</v>
      </c>
      <c r="E13" s="6">
        <f>IFERROR(__xludf.DUMMYFUNCTION("""COMPUTED_VALUE"""),2325.4)</f>
        <v>2325.4</v>
      </c>
      <c r="F13" s="6">
        <f>IFERROR(__xludf.DUMMYFUNCTION("""COMPUTED_VALUE"""),3001876.0)</f>
        <v>3001876</v>
      </c>
    </row>
    <row r="14">
      <c r="A14" s="7">
        <f>IFERROR(__xludf.DUMMYFUNCTION("""COMPUTED_VALUE"""),45254.64583333333)</f>
        <v>45254.64583</v>
      </c>
      <c r="B14" s="6">
        <f>IFERROR(__xludf.DUMMYFUNCTION("""COMPUTED_VALUE"""),2329.75)</f>
        <v>2329.75</v>
      </c>
      <c r="C14" s="6">
        <f>IFERROR(__xludf.DUMMYFUNCTION("""COMPUTED_VALUE"""),2381.95)</f>
        <v>2381.95</v>
      </c>
      <c r="D14" s="6">
        <f>IFERROR(__xludf.DUMMYFUNCTION("""COMPUTED_VALUE"""),2287.0)</f>
        <v>2287</v>
      </c>
      <c r="E14" s="6">
        <f>IFERROR(__xludf.DUMMYFUNCTION("""COMPUTED_VALUE"""),2319.4)</f>
        <v>2319.4</v>
      </c>
      <c r="F14" s="6">
        <f>IFERROR(__xludf.DUMMYFUNCTION("""COMPUTED_VALUE"""),1531657.0)</f>
        <v>1531657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IFERROR(__xludf.DUMMYFUNCTION("""COMPUTED_VALUE"""),2334.95)</f>
        <v>2334.95</v>
      </c>
      <c r="C15" s="6">
        <f>IFERROR(__xludf.DUMMYFUNCTION("""COMPUTED_VALUE"""),2385.0)</f>
        <v>2385</v>
      </c>
      <c r="D15" s="6">
        <f>IFERROR(__xludf.DUMMYFUNCTION("""COMPUTED_VALUE"""),2273.4)</f>
        <v>2273.4</v>
      </c>
      <c r="E15" s="6">
        <f>IFERROR(__xludf.DUMMYFUNCTION("""COMPUTED_VALUE"""),2375.2)</f>
        <v>2375.2</v>
      </c>
      <c r="F15" s="6">
        <f>IFERROR(__xludf.DUMMYFUNCTION("""COMPUTED_VALUE"""),1783663.0)</f>
        <v>1783663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IFERROR(__xludf.DUMMYFUNCTION("""COMPUTED_VALUE"""),2380.0)</f>
        <v>2380</v>
      </c>
      <c r="C16" s="6">
        <f>IFERROR(__xludf.DUMMYFUNCTION("""COMPUTED_VALUE"""),2455.0)</f>
        <v>2455</v>
      </c>
      <c r="D16" s="6">
        <f>IFERROR(__xludf.DUMMYFUNCTION("""COMPUTED_VALUE"""),2325.55)</f>
        <v>2325.55</v>
      </c>
      <c r="E16" s="6">
        <f>IFERROR(__xludf.DUMMYFUNCTION("""COMPUTED_VALUE"""),2427.05)</f>
        <v>2427.05</v>
      </c>
      <c r="F16" s="6">
        <f>IFERROR(__xludf.DUMMYFUNCTION("""COMPUTED_VALUE"""),2483864.0)</f>
        <v>2483864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IFERROR(__xludf.DUMMYFUNCTION("""COMPUTED_VALUE"""),2439.0)</f>
        <v>2439</v>
      </c>
      <c r="C17" s="6">
        <f>IFERROR(__xludf.DUMMYFUNCTION("""COMPUTED_VALUE"""),2677.8)</f>
        <v>2677.8</v>
      </c>
      <c r="D17" s="6">
        <f>IFERROR(__xludf.DUMMYFUNCTION("""COMPUTED_VALUE"""),2384.0)</f>
        <v>2384</v>
      </c>
      <c r="E17" s="6">
        <f>IFERROR(__xludf.DUMMYFUNCTION("""COMPUTED_VALUE"""),2658.9)</f>
        <v>2658.9</v>
      </c>
      <c r="F17" s="6">
        <f>IFERROR(__xludf.DUMMYFUNCTION("""COMPUTED_VALUE"""),4817467.0)</f>
        <v>4817467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IFERROR(__xludf.DUMMYFUNCTION("""COMPUTED_VALUE"""),2658.9)</f>
        <v>2658.9</v>
      </c>
      <c r="C18" s="6">
        <f>IFERROR(__xludf.DUMMYFUNCTION("""COMPUTED_VALUE"""),2764.2)</f>
        <v>2764.2</v>
      </c>
      <c r="D18" s="6">
        <f>IFERROR(__xludf.DUMMYFUNCTION("""COMPUTED_VALUE"""),2567.95)</f>
        <v>2567.95</v>
      </c>
      <c r="E18" s="6">
        <f>IFERROR(__xludf.DUMMYFUNCTION("""COMPUTED_VALUE"""),2738.4)</f>
        <v>2738.4</v>
      </c>
      <c r="F18" s="6">
        <f>IFERROR(__xludf.DUMMYFUNCTION("""COMPUTED_VALUE"""),3213880.0)</f>
        <v>3213880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IFERROR(__xludf.DUMMYFUNCTION("""COMPUTED_VALUE"""),2745.0)</f>
        <v>2745</v>
      </c>
      <c r="C19" s="6">
        <f>IFERROR(__xludf.DUMMYFUNCTION("""COMPUTED_VALUE"""),2788.5)</f>
        <v>2788.5</v>
      </c>
      <c r="D19" s="6">
        <f>IFERROR(__xludf.DUMMYFUNCTION("""COMPUTED_VALUE"""),2694.35)</f>
        <v>2694.35</v>
      </c>
      <c r="E19" s="6">
        <f>IFERROR(__xludf.DUMMYFUNCTION("""COMPUTED_VALUE"""),2739.75)</f>
        <v>2739.75</v>
      </c>
      <c r="F19" s="6">
        <f>IFERROR(__xludf.DUMMYFUNCTION("""COMPUTED_VALUE"""),2169133.0)</f>
        <v>2169133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IFERROR(__xludf.DUMMYFUNCTION("""COMPUTED_VALUE"""),2740.0)</f>
        <v>2740</v>
      </c>
      <c r="C20" s="6">
        <f>IFERROR(__xludf.DUMMYFUNCTION("""COMPUTED_VALUE"""),2775.0)</f>
        <v>2775</v>
      </c>
      <c r="D20" s="6">
        <f>IFERROR(__xludf.DUMMYFUNCTION("""COMPUTED_VALUE"""),2571.0)</f>
        <v>2571</v>
      </c>
      <c r="E20" s="6">
        <f>IFERROR(__xludf.DUMMYFUNCTION("""COMPUTED_VALUE"""),2637.55)</f>
        <v>2637.55</v>
      </c>
      <c r="F20" s="6">
        <f>IFERROR(__xludf.DUMMYFUNCTION("""COMPUTED_VALUE"""),2185024.0)</f>
        <v>2185024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IFERROR(__xludf.DUMMYFUNCTION("""COMPUTED_VALUE"""),2620.0)</f>
        <v>2620</v>
      </c>
      <c r="C21" s="6">
        <f>IFERROR(__xludf.DUMMYFUNCTION("""COMPUTED_VALUE"""),2738.0)</f>
        <v>2738</v>
      </c>
      <c r="D21" s="6">
        <f>IFERROR(__xludf.DUMMYFUNCTION("""COMPUTED_VALUE"""),2518.0)</f>
        <v>2518</v>
      </c>
      <c r="E21" s="6">
        <f>IFERROR(__xludf.DUMMYFUNCTION("""COMPUTED_VALUE"""),2679.6)</f>
        <v>2679.6</v>
      </c>
      <c r="F21" s="6">
        <f>IFERROR(__xludf.DUMMYFUNCTION("""COMPUTED_VALUE"""),2969652.0)</f>
        <v>2969652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IFERROR(__xludf.DUMMYFUNCTION("""COMPUTED_VALUE"""),2600.0)</f>
        <v>2600</v>
      </c>
      <c r="C22" s="6">
        <f>IFERROR(__xludf.DUMMYFUNCTION("""COMPUTED_VALUE"""),2600.0)</f>
        <v>2600</v>
      </c>
      <c r="D22" s="6">
        <f>IFERROR(__xludf.DUMMYFUNCTION("""COMPUTED_VALUE"""),2492.3)</f>
        <v>2492.3</v>
      </c>
      <c r="E22" s="6">
        <f>IFERROR(__xludf.DUMMYFUNCTION("""COMPUTED_VALUE"""),2522.4)</f>
        <v>2522.4</v>
      </c>
      <c r="F22" s="6">
        <f>IFERROR(__xludf.DUMMYFUNCTION("""COMPUTED_VALUE"""),1062899.0)</f>
        <v>1062899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IFERROR(__xludf.DUMMYFUNCTION("""COMPUTED_VALUE"""),2522.4)</f>
        <v>2522.4</v>
      </c>
      <c r="C23" s="6">
        <f>IFERROR(__xludf.DUMMYFUNCTION("""COMPUTED_VALUE"""),2638.65)</f>
        <v>2638.65</v>
      </c>
      <c r="D23" s="6">
        <f>IFERROR(__xludf.DUMMYFUNCTION("""COMPUTED_VALUE"""),2515.1)</f>
        <v>2515.1</v>
      </c>
      <c r="E23" s="6">
        <f>IFERROR(__xludf.DUMMYFUNCTION("""COMPUTED_VALUE"""),2560.2)</f>
        <v>2560.2</v>
      </c>
      <c r="F23" s="6">
        <f>IFERROR(__xludf.DUMMYFUNCTION("""COMPUTED_VALUE"""),4878379.0)</f>
        <v>4878379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IFERROR(__xludf.DUMMYFUNCTION("""COMPUTED_VALUE"""),2560.0)</f>
        <v>2560</v>
      </c>
      <c r="C24" s="6">
        <f>IFERROR(__xludf.DUMMYFUNCTION("""COMPUTED_VALUE"""),2659.85)</f>
        <v>2659.85</v>
      </c>
      <c r="D24" s="6">
        <f>IFERROR(__xludf.DUMMYFUNCTION("""COMPUTED_VALUE"""),2472.0)</f>
        <v>2472</v>
      </c>
      <c r="E24" s="6">
        <f>IFERROR(__xludf.DUMMYFUNCTION("""COMPUTED_VALUE"""),2589.3)</f>
        <v>2589.3</v>
      </c>
      <c r="F24" s="6">
        <f>IFERROR(__xludf.DUMMYFUNCTION("""COMPUTED_VALUE"""),2933470.0)</f>
        <v>2933470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IFERROR(__xludf.DUMMYFUNCTION("""COMPUTED_VALUE"""),2580.0)</f>
        <v>2580</v>
      </c>
      <c r="C25" s="6">
        <f>IFERROR(__xludf.DUMMYFUNCTION("""COMPUTED_VALUE"""),2818.7)</f>
        <v>2818.7</v>
      </c>
      <c r="D25" s="6">
        <f>IFERROR(__xludf.DUMMYFUNCTION("""COMPUTED_VALUE"""),2521.55)</f>
        <v>2521.55</v>
      </c>
      <c r="E25" s="6">
        <f>IFERROR(__xludf.DUMMYFUNCTION("""COMPUTED_VALUE"""),2801.95)</f>
        <v>2801.95</v>
      </c>
      <c r="F25" s="6">
        <f>IFERROR(__xludf.DUMMYFUNCTION("""COMPUTED_VALUE"""),3936084.0)</f>
        <v>3936084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IFERROR(__xludf.DUMMYFUNCTION("""COMPUTED_VALUE"""),2820.0)</f>
        <v>2820</v>
      </c>
      <c r="C26" s="6">
        <f>IFERROR(__xludf.DUMMYFUNCTION("""COMPUTED_VALUE"""),2837.6)</f>
        <v>2837.6</v>
      </c>
      <c r="D26" s="6">
        <f>IFERROR(__xludf.DUMMYFUNCTION("""COMPUTED_VALUE"""),2640.0)</f>
        <v>2640</v>
      </c>
      <c r="E26" s="6">
        <f>IFERROR(__xludf.DUMMYFUNCTION("""COMPUTED_VALUE"""),2727.6)</f>
        <v>2727.6</v>
      </c>
      <c r="F26" s="6">
        <f>IFERROR(__xludf.DUMMYFUNCTION("""COMPUTED_VALUE"""),2615386.0)</f>
        <v>2615386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IFERROR(__xludf.DUMMYFUNCTION("""COMPUTED_VALUE"""),2657.0)</f>
        <v>2657</v>
      </c>
      <c r="C27" s="6">
        <f>IFERROR(__xludf.DUMMYFUNCTION("""COMPUTED_VALUE"""),2657.0)</f>
        <v>2657</v>
      </c>
      <c r="D27" s="6">
        <f>IFERROR(__xludf.DUMMYFUNCTION("""COMPUTED_VALUE"""),2461.0)</f>
        <v>2461</v>
      </c>
      <c r="E27" s="6">
        <f>IFERROR(__xludf.DUMMYFUNCTION("""COMPUTED_VALUE"""),2492.85)</f>
        <v>2492.85</v>
      </c>
      <c r="F27" s="6">
        <f>IFERROR(__xludf.DUMMYFUNCTION("""COMPUTED_VALUE"""),1518587.0)</f>
        <v>1518587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IFERROR(__xludf.DUMMYFUNCTION("""COMPUTED_VALUE"""),2519.0)</f>
        <v>2519</v>
      </c>
      <c r="C28" s="6">
        <f>IFERROR(__xludf.DUMMYFUNCTION("""COMPUTED_VALUE"""),2519.0)</f>
        <v>2519</v>
      </c>
      <c r="D28" s="6">
        <f>IFERROR(__xludf.DUMMYFUNCTION("""COMPUTED_VALUE"""),2335.05)</f>
        <v>2335.05</v>
      </c>
      <c r="E28" s="6">
        <f>IFERROR(__xludf.DUMMYFUNCTION("""COMPUTED_VALUE"""),2487.85)</f>
        <v>2487.85</v>
      </c>
      <c r="F28" s="6">
        <f>IFERROR(__xludf.DUMMYFUNCTION("""COMPUTED_VALUE"""),2974835.0)</f>
        <v>2974835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IFERROR(__xludf.DUMMYFUNCTION("""COMPUTED_VALUE"""),2490.0)</f>
        <v>2490</v>
      </c>
      <c r="C29" s="6">
        <f>IFERROR(__xludf.DUMMYFUNCTION("""COMPUTED_VALUE"""),2518.0)</f>
        <v>2518</v>
      </c>
      <c r="D29" s="6">
        <f>IFERROR(__xludf.DUMMYFUNCTION("""COMPUTED_VALUE"""),2306.0)</f>
        <v>2306</v>
      </c>
      <c r="E29" s="6">
        <f>IFERROR(__xludf.DUMMYFUNCTION("""COMPUTED_VALUE"""),2389.4)</f>
        <v>2389.4</v>
      </c>
      <c r="F29" s="6">
        <f>IFERROR(__xludf.DUMMYFUNCTION("""COMPUTED_VALUE"""),2533135.0)</f>
        <v>2533135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IFERROR(__xludf.DUMMYFUNCTION("""COMPUTED_VALUE"""),2377.8)</f>
        <v>2377.8</v>
      </c>
      <c r="C30" s="6">
        <f>IFERROR(__xludf.DUMMYFUNCTION("""COMPUTED_VALUE"""),2448.0)</f>
        <v>2448</v>
      </c>
      <c r="D30" s="6">
        <f>IFERROR(__xludf.DUMMYFUNCTION("""COMPUTED_VALUE"""),2364.0)</f>
        <v>2364</v>
      </c>
      <c r="E30" s="6">
        <f>IFERROR(__xludf.DUMMYFUNCTION("""COMPUTED_VALUE"""),2388.05)</f>
        <v>2388.05</v>
      </c>
      <c r="F30" s="6">
        <f>IFERROR(__xludf.DUMMYFUNCTION("""COMPUTED_VALUE"""),1455241.0)</f>
        <v>1455241</v>
      </c>
    </row>
    <row r="31">
      <c r="A31" s="7">
        <f>IFERROR(__xludf.DUMMYFUNCTION("""COMPUTED_VALUE"""),45387.64583333333)</f>
        <v>45387.64583</v>
      </c>
      <c r="B31" s="6">
        <f>IFERROR(__xludf.DUMMYFUNCTION("""COMPUTED_VALUE"""),2401.0)</f>
        <v>2401</v>
      </c>
      <c r="C31" s="6">
        <f>IFERROR(__xludf.DUMMYFUNCTION("""COMPUTED_VALUE"""),2528.95)</f>
        <v>2528.95</v>
      </c>
      <c r="D31" s="6">
        <f>IFERROR(__xludf.DUMMYFUNCTION("""COMPUTED_VALUE"""),2388.8)</f>
        <v>2388.8</v>
      </c>
      <c r="E31" s="6">
        <f>IFERROR(__xludf.DUMMYFUNCTION("""COMPUTED_VALUE"""),2510.6)</f>
        <v>2510.6</v>
      </c>
      <c r="F31" s="6">
        <f>IFERROR(__xludf.DUMMYFUNCTION("""COMPUTED_VALUE"""),1303640.0)</f>
        <v>1303640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IFERROR(__xludf.DUMMYFUNCTION("""COMPUTED_VALUE"""),2519.8)</f>
        <v>2519.8</v>
      </c>
      <c r="C32" s="6">
        <f>IFERROR(__xludf.DUMMYFUNCTION("""COMPUTED_VALUE"""),2533.95)</f>
        <v>2533.95</v>
      </c>
      <c r="D32" s="6">
        <f>IFERROR(__xludf.DUMMYFUNCTION("""COMPUTED_VALUE"""),2408.5)</f>
        <v>2408.5</v>
      </c>
      <c r="E32" s="6">
        <f>IFERROR(__xludf.DUMMYFUNCTION("""COMPUTED_VALUE"""),2446.15)</f>
        <v>2446.15</v>
      </c>
      <c r="F32" s="6">
        <f>IFERROR(__xludf.DUMMYFUNCTION("""COMPUTED_VALUE"""),2108734.0)</f>
        <v>2108734</v>
      </c>
    </row>
    <row r="33">
      <c r="A33" s="7">
        <f>IFERROR(__xludf.DUMMYFUNCTION("""COMPUTED_VALUE"""),45401.64583333333)</f>
        <v>45401.64583</v>
      </c>
      <c r="B33" s="6">
        <f>IFERROR(__xludf.DUMMYFUNCTION("""COMPUTED_VALUE"""),2430.0)</f>
        <v>2430</v>
      </c>
      <c r="C33" s="6">
        <f>IFERROR(__xludf.DUMMYFUNCTION("""COMPUTED_VALUE"""),2457.1)</f>
        <v>2457.1</v>
      </c>
      <c r="D33" s="6">
        <f>IFERROR(__xludf.DUMMYFUNCTION("""COMPUTED_VALUE"""),2274.0)</f>
        <v>2274</v>
      </c>
      <c r="E33" s="6">
        <f>IFERROR(__xludf.DUMMYFUNCTION("""COMPUTED_VALUE"""),2280.3)</f>
        <v>2280.3</v>
      </c>
      <c r="F33" s="6">
        <f>IFERROR(__xludf.DUMMYFUNCTION("""COMPUTED_VALUE"""),2235822.0)</f>
        <v>2235822</v>
      </c>
    </row>
    <row r="34">
      <c r="A34" s="7">
        <f>IFERROR(__xludf.DUMMYFUNCTION("""COMPUTED_VALUE"""),45408.64583333333)</f>
        <v>45408.64583</v>
      </c>
      <c r="B34" s="6">
        <f>IFERROR(__xludf.DUMMYFUNCTION("""COMPUTED_VALUE"""),2296.95)</f>
        <v>2296.95</v>
      </c>
      <c r="C34" s="6">
        <f>IFERROR(__xludf.DUMMYFUNCTION("""COMPUTED_VALUE"""),2372.4)</f>
        <v>2372.4</v>
      </c>
      <c r="D34" s="6">
        <f>IFERROR(__xludf.DUMMYFUNCTION("""COMPUTED_VALUE"""),2208.45)</f>
        <v>2208.45</v>
      </c>
      <c r="E34" s="6">
        <f>IFERROR(__xludf.DUMMYFUNCTION("""COMPUTED_VALUE"""),2298.1)</f>
        <v>2298.1</v>
      </c>
      <c r="F34" s="6">
        <f>IFERROR(__xludf.DUMMYFUNCTION("""COMPUTED_VALUE"""),3779278.0)</f>
        <v>3779278</v>
      </c>
    </row>
    <row r="35">
      <c r="A35" s="7">
        <f>IFERROR(__xludf.DUMMYFUNCTION("""COMPUTED_VALUE"""),45415.64583333333)</f>
        <v>45415.64583</v>
      </c>
      <c r="B35" s="6">
        <f>IFERROR(__xludf.DUMMYFUNCTION("""COMPUTED_VALUE"""),2306.3)</f>
        <v>2306.3</v>
      </c>
      <c r="C35" s="6">
        <f>IFERROR(__xludf.DUMMYFUNCTION("""COMPUTED_VALUE"""),2387.2)</f>
        <v>2387.2</v>
      </c>
      <c r="D35" s="6">
        <f>IFERROR(__xludf.DUMMYFUNCTION("""COMPUTED_VALUE"""),2286.0)</f>
        <v>2286</v>
      </c>
      <c r="E35" s="6">
        <f>IFERROR(__xludf.DUMMYFUNCTION("""COMPUTED_VALUE"""),2291.9)</f>
        <v>2291.9</v>
      </c>
      <c r="F35" s="6">
        <f>IFERROR(__xludf.DUMMYFUNCTION("""COMPUTED_VALUE"""),1593576.0)</f>
        <v>1593576</v>
      </c>
    </row>
    <row r="36">
      <c r="A36" s="7">
        <f>IFERROR(__xludf.DUMMYFUNCTION("""COMPUTED_VALUE"""),45422.64583333333)</f>
        <v>45422.64583</v>
      </c>
      <c r="B36" s="6">
        <f>IFERROR(__xludf.DUMMYFUNCTION("""COMPUTED_VALUE"""),2306.0)</f>
        <v>2306</v>
      </c>
      <c r="C36" s="6">
        <f>IFERROR(__xludf.DUMMYFUNCTION("""COMPUTED_VALUE"""),2348.25)</f>
        <v>2348.25</v>
      </c>
      <c r="D36" s="6">
        <f>IFERROR(__xludf.DUMMYFUNCTION("""COMPUTED_VALUE"""),2211.75)</f>
        <v>2211.75</v>
      </c>
      <c r="E36" s="6">
        <f>IFERROR(__xludf.DUMMYFUNCTION("""COMPUTED_VALUE"""),2231.2)</f>
        <v>2231.2</v>
      </c>
      <c r="F36" s="6">
        <f>IFERROR(__xludf.DUMMYFUNCTION("""COMPUTED_VALUE"""),1363616.0)</f>
        <v>1363616</v>
      </c>
    </row>
    <row r="37">
      <c r="A37" s="7">
        <f>IFERROR(__xludf.DUMMYFUNCTION("""COMPUTED_VALUE"""),45436.64583333333)</f>
        <v>45436.64583</v>
      </c>
      <c r="B37" s="6">
        <f>IFERROR(__xludf.DUMMYFUNCTION("""COMPUTED_VALUE"""),2312.3)</f>
        <v>2312.3</v>
      </c>
      <c r="C37" s="6">
        <f>IFERROR(__xludf.DUMMYFUNCTION("""COMPUTED_VALUE"""),2419.8)</f>
        <v>2419.8</v>
      </c>
      <c r="D37" s="6">
        <f>IFERROR(__xludf.DUMMYFUNCTION("""COMPUTED_VALUE"""),2312.3)</f>
        <v>2312.3</v>
      </c>
      <c r="E37" s="6">
        <f>IFERROR(__xludf.DUMMYFUNCTION("""COMPUTED_VALUE"""),2390.95)</f>
        <v>2390.95</v>
      </c>
      <c r="F37" s="6">
        <f>IFERROR(__xludf.DUMMYFUNCTION("""COMPUTED_VALUE"""),1648272.0)</f>
        <v>1648272</v>
      </c>
    </row>
    <row r="38">
      <c r="A38" s="7">
        <f>IFERROR(__xludf.DUMMYFUNCTION("""COMPUTED_VALUE"""),45443.64583333333)</f>
        <v>45443.64583</v>
      </c>
      <c r="B38" s="6">
        <f>IFERROR(__xludf.DUMMYFUNCTION("""COMPUTED_VALUE"""),2391.5)</f>
        <v>2391.5</v>
      </c>
      <c r="C38" s="6">
        <f>IFERROR(__xludf.DUMMYFUNCTION("""COMPUTED_VALUE"""),2481.35)</f>
        <v>2481.35</v>
      </c>
      <c r="D38" s="6">
        <f>IFERROR(__xludf.DUMMYFUNCTION("""COMPUTED_VALUE"""),2275.7)</f>
        <v>2275.7</v>
      </c>
      <c r="E38" s="6">
        <f>IFERROR(__xludf.DUMMYFUNCTION("""COMPUTED_VALUE"""),2284.1)</f>
        <v>2284.1</v>
      </c>
      <c r="F38" s="6">
        <f>IFERROR(__xludf.DUMMYFUNCTION("""COMPUTED_VALUE"""),2054377.0)</f>
        <v>2054377</v>
      </c>
    </row>
    <row r="39">
      <c r="A39" s="7">
        <f>IFERROR(__xludf.DUMMYFUNCTION("""COMPUTED_VALUE"""),45450.64583333333)</f>
        <v>45450.64583</v>
      </c>
      <c r="B39" s="6">
        <f>IFERROR(__xludf.DUMMYFUNCTION("""COMPUTED_VALUE"""),2368.0)</f>
        <v>2368</v>
      </c>
      <c r="C39" s="6">
        <f>IFERROR(__xludf.DUMMYFUNCTION("""COMPUTED_VALUE"""),2557.5)</f>
        <v>2557.5</v>
      </c>
      <c r="D39" s="6">
        <f>IFERROR(__xludf.DUMMYFUNCTION("""COMPUTED_VALUE"""),2187.0)</f>
        <v>2187</v>
      </c>
      <c r="E39" s="6">
        <f>IFERROR(__xludf.DUMMYFUNCTION("""COMPUTED_VALUE"""),2471.95)</f>
        <v>2471.95</v>
      </c>
      <c r="F39" s="6">
        <f>IFERROR(__xludf.DUMMYFUNCTION("""COMPUTED_VALUE"""),3917757.0)</f>
        <v>3917757</v>
      </c>
    </row>
    <row r="40">
      <c r="A40" s="7">
        <f>IFERROR(__xludf.DUMMYFUNCTION("""COMPUTED_VALUE"""),45457.64583333333)</f>
        <v>45457.64583</v>
      </c>
      <c r="B40" s="6">
        <f>IFERROR(__xludf.DUMMYFUNCTION("""COMPUTED_VALUE"""),2388.0)</f>
        <v>2388</v>
      </c>
      <c r="C40" s="6">
        <f>IFERROR(__xludf.DUMMYFUNCTION("""COMPUTED_VALUE"""),2468.0)</f>
        <v>2468</v>
      </c>
      <c r="D40" s="6">
        <f>IFERROR(__xludf.DUMMYFUNCTION("""COMPUTED_VALUE"""),2352.6)</f>
        <v>2352.6</v>
      </c>
      <c r="E40" s="6">
        <f>IFERROR(__xludf.DUMMYFUNCTION("""COMPUTED_VALUE"""),2408.85)</f>
        <v>2408.85</v>
      </c>
      <c r="F40" s="6">
        <f>IFERROR(__xludf.DUMMYFUNCTION("""COMPUTED_VALUE"""),4.0203021E7)</f>
        <v>40203021</v>
      </c>
    </row>
    <row r="41">
      <c r="A41" s="7">
        <f>IFERROR(__xludf.DUMMYFUNCTION("""COMPUTED_VALUE"""),45464.64583333333)</f>
        <v>45464.64583</v>
      </c>
      <c r="B41" s="6">
        <f>IFERROR(__xludf.DUMMYFUNCTION("""COMPUTED_VALUE"""),2413.0)</f>
        <v>2413</v>
      </c>
      <c r="C41" s="6">
        <f>IFERROR(__xludf.DUMMYFUNCTION("""COMPUTED_VALUE"""),2489.0)</f>
        <v>2489</v>
      </c>
      <c r="D41" s="6">
        <f>IFERROR(__xludf.DUMMYFUNCTION("""COMPUTED_VALUE"""),2389.2)</f>
        <v>2389.2</v>
      </c>
      <c r="E41" s="6">
        <f>IFERROR(__xludf.DUMMYFUNCTION("""COMPUTED_VALUE"""),2429.75)</f>
        <v>2429.75</v>
      </c>
      <c r="F41" s="6">
        <f>IFERROR(__xludf.DUMMYFUNCTION("""COMPUTED_VALUE"""),3466526.0)</f>
        <v>3466526</v>
      </c>
    </row>
    <row r="42">
      <c r="A42" s="7">
        <f>IFERROR(__xludf.DUMMYFUNCTION("""COMPUTED_VALUE"""),45471.64583333333)</f>
        <v>45471.64583</v>
      </c>
      <c r="B42" s="6">
        <f>IFERROR(__xludf.DUMMYFUNCTION("""COMPUTED_VALUE"""),2402.1)</f>
        <v>2402.1</v>
      </c>
      <c r="C42" s="6">
        <f>IFERROR(__xludf.DUMMYFUNCTION("""COMPUTED_VALUE"""),2477.0)</f>
        <v>2477</v>
      </c>
      <c r="D42" s="6">
        <f>IFERROR(__xludf.DUMMYFUNCTION("""COMPUTED_VALUE"""),2379.5)</f>
        <v>2379.5</v>
      </c>
      <c r="E42" s="6">
        <f>IFERROR(__xludf.DUMMYFUNCTION("""COMPUTED_VALUE"""),2456.55)</f>
        <v>2456.55</v>
      </c>
      <c r="F42" s="6">
        <f>IFERROR(__xludf.DUMMYFUNCTION("""COMPUTED_VALUE"""),3809467.0)</f>
        <v>3809467</v>
      </c>
    </row>
    <row r="43">
      <c r="A43" s="7">
        <f>IFERROR(__xludf.DUMMYFUNCTION("""COMPUTED_VALUE"""),45478.64583333333)</f>
        <v>45478.64583</v>
      </c>
      <c r="B43" s="6">
        <f>IFERROR(__xludf.DUMMYFUNCTION("""COMPUTED_VALUE"""),2481.0)</f>
        <v>2481</v>
      </c>
      <c r="C43" s="6">
        <f>IFERROR(__xludf.DUMMYFUNCTION("""COMPUTED_VALUE"""),2635.9)</f>
        <v>2635.9</v>
      </c>
      <c r="D43" s="6">
        <f>IFERROR(__xludf.DUMMYFUNCTION("""COMPUTED_VALUE"""),2457.8)</f>
        <v>2457.8</v>
      </c>
      <c r="E43" s="6">
        <f>IFERROR(__xludf.DUMMYFUNCTION("""COMPUTED_VALUE"""),2628.9)</f>
        <v>2628.9</v>
      </c>
      <c r="F43" s="6">
        <f>IFERROR(__xludf.DUMMYFUNCTION("""COMPUTED_VALUE"""),5681511.0)</f>
        <v>5681511</v>
      </c>
    </row>
    <row r="44">
      <c r="A44" s="7">
        <f>IFERROR(__xludf.DUMMYFUNCTION("""COMPUTED_VALUE"""),45485.64583333333)</f>
        <v>45485.64583</v>
      </c>
      <c r="B44" s="6">
        <f>IFERROR(__xludf.DUMMYFUNCTION("""COMPUTED_VALUE"""),2635.0)</f>
        <v>2635</v>
      </c>
      <c r="C44" s="6">
        <f>IFERROR(__xludf.DUMMYFUNCTION("""COMPUTED_VALUE"""),2745.0)</f>
        <v>2745</v>
      </c>
      <c r="D44" s="6">
        <f>IFERROR(__xludf.DUMMYFUNCTION("""COMPUTED_VALUE"""),2510.5)</f>
        <v>2510.5</v>
      </c>
      <c r="E44" s="6">
        <f>IFERROR(__xludf.DUMMYFUNCTION("""COMPUTED_VALUE"""),2690.7)</f>
        <v>2690.7</v>
      </c>
      <c r="F44" s="6">
        <f>IFERROR(__xludf.DUMMYFUNCTION("""COMPUTED_VALUE"""),5542320.0)</f>
        <v>5542320</v>
      </c>
    </row>
    <row r="45">
      <c r="A45" s="7">
        <f>IFERROR(__xludf.DUMMYFUNCTION("""COMPUTED_VALUE"""),45492.64583333333)</f>
        <v>45492.64583</v>
      </c>
      <c r="B45" s="6">
        <f>IFERROR(__xludf.DUMMYFUNCTION("""COMPUTED_VALUE"""),2714.95)</f>
        <v>2714.95</v>
      </c>
      <c r="C45" s="6">
        <f>IFERROR(__xludf.DUMMYFUNCTION("""COMPUTED_VALUE"""),2915.0)</f>
        <v>2915</v>
      </c>
      <c r="D45" s="6">
        <f>IFERROR(__xludf.DUMMYFUNCTION("""COMPUTED_VALUE"""),2696.8)</f>
        <v>2696.8</v>
      </c>
      <c r="E45" s="6">
        <f>IFERROR(__xludf.DUMMYFUNCTION("""COMPUTED_VALUE"""),2873.55)</f>
        <v>2873.55</v>
      </c>
      <c r="F45" s="6">
        <f>IFERROR(__xludf.DUMMYFUNCTION("""COMPUTED_VALUE"""),7452935.0)</f>
        <v>7452935</v>
      </c>
    </row>
    <row r="46">
      <c r="A46" s="7">
        <f>IFERROR(__xludf.DUMMYFUNCTION("""COMPUTED_VALUE"""),45499.64583333333)</f>
        <v>45499.64583</v>
      </c>
      <c r="B46" s="6">
        <f>IFERROR(__xludf.DUMMYFUNCTION("""COMPUTED_VALUE"""),2868.0)</f>
        <v>2868</v>
      </c>
      <c r="C46" s="6">
        <f>IFERROR(__xludf.DUMMYFUNCTION("""COMPUTED_VALUE"""),3080.95)</f>
        <v>3080.95</v>
      </c>
      <c r="D46" s="6">
        <f>IFERROR(__xludf.DUMMYFUNCTION("""COMPUTED_VALUE"""),2790.15)</f>
        <v>2790.15</v>
      </c>
      <c r="E46" s="6">
        <f>IFERROR(__xludf.DUMMYFUNCTION("""COMPUTED_VALUE"""),3029.8)</f>
        <v>3029.8</v>
      </c>
      <c r="F46" s="6">
        <f>IFERROR(__xludf.DUMMYFUNCTION("""COMPUTED_VALUE"""),7143607.0)</f>
        <v>7143607</v>
      </c>
    </row>
    <row r="47">
      <c r="A47" s="7">
        <f>IFERROR(__xludf.DUMMYFUNCTION("""COMPUTED_VALUE"""),45506.64583333333)</f>
        <v>45506.64583</v>
      </c>
      <c r="B47" s="6">
        <f>IFERROR(__xludf.DUMMYFUNCTION("""COMPUTED_VALUE"""),3040.0)</f>
        <v>3040</v>
      </c>
      <c r="C47" s="6">
        <f>IFERROR(__xludf.DUMMYFUNCTION("""COMPUTED_VALUE"""),3043.0)</f>
        <v>3043</v>
      </c>
      <c r="D47" s="6">
        <f>IFERROR(__xludf.DUMMYFUNCTION("""COMPUTED_VALUE"""),2769.0)</f>
        <v>2769</v>
      </c>
      <c r="E47" s="6">
        <f>IFERROR(__xludf.DUMMYFUNCTION("""COMPUTED_VALUE"""),2775.3)</f>
        <v>2775.3</v>
      </c>
      <c r="F47" s="6">
        <f>IFERROR(__xludf.DUMMYFUNCTION("""COMPUTED_VALUE"""),3665670.0)</f>
        <v>3665670</v>
      </c>
    </row>
    <row r="48">
      <c r="A48" s="7">
        <f>IFERROR(__xludf.DUMMYFUNCTION("""COMPUTED_VALUE"""),45513.64583333333)</f>
        <v>45513.64583</v>
      </c>
      <c r="B48" s="6">
        <f>IFERROR(__xludf.DUMMYFUNCTION("""COMPUTED_VALUE"""),2675.0)</f>
        <v>2675</v>
      </c>
      <c r="C48" s="6">
        <f>IFERROR(__xludf.DUMMYFUNCTION("""COMPUTED_VALUE"""),2765.55)</f>
        <v>2765.55</v>
      </c>
      <c r="D48" s="6">
        <f>IFERROR(__xludf.DUMMYFUNCTION("""COMPUTED_VALUE"""),2589.35)</f>
        <v>2589.35</v>
      </c>
      <c r="E48" s="6">
        <f>IFERROR(__xludf.DUMMYFUNCTION("""COMPUTED_VALUE"""),2720.5)</f>
        <v>2720.5</v>
      </c>
      <c r="F48" s="6">
        <f>IFERROR(__xludf.DUMMYFUNCTION("""COMPUTED_VALUE"""),3454158.0)</f>
        <v>3454158</v>
      </c>
    </row>
    <row r="49">
      <c r="A49" s="7">
        <f>IFERROR(__xludf.DUMMYFUNCTION("""COMPUTED_VALUE"""),45520.64583333333)</f>
        <v>45520.64583</v>
      </c>
      <c r="B49" s="6">
        <f>IFERROR(__xludf.DUMMYFUNCTION("""COMPUTED_VALUE"""),2700.0)</f>
        <v>2700</v>
      </c>
      <c r="C49" s="6">
        <f>IFERROR(__xludf.DUMMYFUNCTION("""COMPUTED_VALUE"""),2918.5)</f>
        <v>2918.5</v>
      </c>
      <c r="D49" s="6">
        <f>IFERROR(__xludf.DUMMYFUNCTION("""COMPUTED_VALUE"""),2663.0)</f>
        <v>2663</v>
      </c>
      <c r="E49" s="6">
        <f>IFERROR(__xludf.DUMMYFUNCTION("""COMPUTED_VALUE"""),2910.95)</f>
        <v>2910.95</v>
      </c>
      <c r="F49" s="6">
        <f>IFERROR(__xludf.DUMMYFUNCTION("""COMPUTED_VALUE"""),2748056.0)</f>
        <v>2748056</v>
      </c>
    </row>
    <row r="50">
      <c r="A50" s="7">
        <f>IFERROR(__xludf.DUMMYFUNCTION("""COMPUTED_VALUE"""),45527.64583333333)</f>
        <v>45527.64583</v>
      </c>
      <c r="B50" s="6">
        <f>IFERROR(__xludf.DUMMYFUNCTION("""COMPUTED_VALUE"""),2933.0)</f>
        <v>2933</v>
      </c>
      <c r="C50" s="6">
        <f>IFERROR(__xludf.DUMMYFUNCTION("""COMPUTED_VALUE"""),3153.0)</f>
        <v>3153</v>
      </c>
      <c r="D50" s="6">
        <f>IFERROR(__xludf.DUMMYFUNCTION("""COMPUTED_VALUE"""),2922.3)</f>
        <v>2922.3</v>
      </c>
      <c r="E50" s="6">
        <f>IFERROR(__xludf.DUMMYFUNCTION("""COMPUTED_VALUE"""),2997.65)</f>
        <v>2997.65</v>
      </c>
      <c r="F50" s="6">
        <f>IFERROR(__xludf.DUMMYFUNCTION("""COMPUTED_VALUE"""),3638316.0)</f>
        <v>3638316</v>
      </c>
    </row>
    <row r="51">
      <c r="A51" s="7">
        <f>IFERROR(__xludf.DUMMYFUNCTION("""COMPUTED_VALUE"""),45534.64583333333)</f>
        <v>45534.64583</v>
      </c>
      <c r="B51" s="6">
        <f>IFERROR(__xludf.DUMMYFUNCTION("""COMPUTED_VALUE"""),3034.95)</f>
        <v>3034.95</v>
      </c>
      <c r="C51" s="6">
        <f>IFERROR(__xludf.DUMMYFUNCTION("""COMPUTED_VALUE"""),3131.95)</f>
        <v>3131.95</v>
      </c>
      <c r="D51" s="6">
        <f>IFERROR(__xludf.DUMMYFUNCTION("""COMPUTED_VALUE"""),2990.35)</f>
        <v>2990.35</v>
      </c>
      <c r="E51" s="6">
        <f>IFERROR(__xludf.DUMMYFUNCTION("""COMPUTED_VALUE"""),3104.95)</f>
        <v>3104.95</v>
      </c>
      <c r="F51" s="6">
        <f>IFERROR(__xludf.DUMMYFUNCTION("""COMPUTED_VALUE"""),3702682.0)</f>
        <v>3702682</v>
      </c>
    </row>
    <row r="52">
      <c r="A52" s="7">
        <f>IFERROR(__xludf.DUMMYFUNCTION("""COMPUTED_VALUE"""),45541.64583333333)</f>
        <v>45541.64583</v>
      </c>
      <c r="B52" s="6">
        <f>IFERROR(__xludf.DUMMYFUNCTION("""COMPUTED_VALUE"""),3104.95)</f>
        <v>3104.95</v>
      </c>
      <c r="C52" s="6">
        <f>IFERROR(__xludf.DUMMYFUNCTION("""COMPUTED_VALUE"""),3165.0)</f>
        <v>3165</v>
      </c>
      <c r="D52" s="6">
        <f>IFERROR(__xludf.DUMMYFUNCTION("""COMPUTED_VALUE"""),3011.25)</f>
        <v>3011.25</v>
      </c>
      <c r="E52" s="6">
        <f>IFERROR(__xludf.DUMMYFUNCTION("""COMPUTED_VALUE"""),3051.5)</f>
        <v>3051.5</v>
      </c>
      <c r="F52" s="6">
        <f>IFERROR(__xludf.DUMMYFUNCTION("""COMPUTED_VALUE"""),2849734.0)</f>
        <v>2849734</v>
      </c>
    </row>
    <row r="53">
      <c r="A53" s="7">
        <f>IFERROR(__xludf.DUMMYFUNCTION("""COMPUTED_VALUE"""),45548.64583333333)</f>
        <v>45548.64583</v>
      </c>
      <c r="B53" s="6">
        <f>IFERROR(__xludf.DUMMYFUNCTION("""COMPUTED_VALUE"""),3051.5)</f>
        <v>3051.5</v>
      </c>
      <c r="C53" s="6">
        <f>IFERROR(__xludf.DUMMYFUNCTION("""COMPUTED_VALUE"""),3179.0)</f>
        <v>3179</v>
      </c>
      <c r="D53" s="6">
        <f>IFERROR(__xludf.DUMMYFUNCTION("""COMPUTED_VALUE"""),2974.0)</f>
        <v>2974</v>
      </c>
      <c r="E53" s="6">
        <f>IFERROR(__xludf.DUMMYFUNCTION("""COMPUTED_VALUE"""),3146.15)</f>
        <v>3146.15</v>
      </c>
      <c r="F53" s="6">
        <f>IFERROR(__xludf.DUMMYFUNCTION("""COMPUTED_VALUE"""),2700071.0)</f>
        <v>2700071</v>
      </c>
    </row>
    <row r="54">
      <c r="A54" s="7">
        <f>IFERROR(__xludf.DUMMYFUNCTION("""COMPUTED_VALUE"""),45555.64583333333)</f>
        <v>45555.64583</v>
      </c>
      <c r="B54" s="6">
        <f>IFERROR(__xludf.DUMMYFUNCTION("""COMPUTED_VALUE"""),3160.0)</f>
        <v>3160</v>
      </c>
      <c r="C54" s="6">
        <f>IFERROR(__xludf.DUMMYFUNCTION("""COMPUTED_VALUE"""),3187.8)</f>
        <v>3187.8</v>
      </c>
      <c r="D54" s="6">
        <f>IFERROR(__xludf.DUMMYFUNCTION("""COMPUTED_VALUE"""),2918.55)</f>
        <v>2918.55</v>
      </c>
      <c r="E54" s="6">
        <f>IFERROR(__xludf.DUMMYFUNCTION("""COMPUTED_VALUE"""),3028.35)</f>
        <v>3028.35</v>
      </c>
      <c r="F54" s="6">
        <f>IFERROR(__xludf.DUMMYFUNCTION("""COMPUTED_VALUE"""),5049651.0)</f>
        <v>5049651</v>
      </c>
    </row>
    <row r="55">
      <c r="A55" s="7">
        <f>IFERROR(__xludf.DUMMYFUNCTION("""COMPUTED_VALUE"""),45562.64583333333)</f>
        <v>45562.64583</v>
      </c>
      <c r="B55" s="6">
        <f>IFERROR(__xludf.DUMMYFUNCTION("""COMPUTED_VALUE"""),3050.0)</f>
        <v>3050</v>
      </c>
      <c r="C55" s="6">
        <f>IFERROR(__xludf.DUMMYFUNCTION("""COMPUTED_VALUE"""),3159.0)</f>
        <v>3159</v>
      </c>
      <c r="D55" s="6">
        <f>IFERROR(__xludf.DUMMYFUNCTION("""COMPUTED_VALUE"""),2993.45)</f>
        <v>2993.45</v>
      </c>
      <c r="E55" s="6">
        <f>IFERROR(__xludf.DUMMYFUNCTION("""COMPUTED_VALUE"""),3082.6)</f>
        <v>3082.6</v>
      </c>
      <c r="F55" s="6">
        <f>IFERROR(__xludf.DUMMYFUNCTION("""COMPUTED_VALUE"""),2172869.0)</f>
        <v>2172869</v>
      </c>
    </row>
    <row r="56">
      <c r="A56" s="7">
        <f>IFERROR(__xludf.DUMMYFUNCTION("""COMPUTED_VALUE"""),45569.64583333333)</f>
        <v>45569.64583</v>
      </c>
      <c r="B56" s="6">
        <f>IFERROR(__xludf.DUMMYFUNCTION("""COMPUTED_VALUE"""),3081.8)</f>
        <v>3081.8</v>
      </c>
      <c r="C56" s="6">
        <f>IFERROR(__xludf.DUMMYFUNCTION("""COMPUTED_VALUE"""),3081.8)</f>
        <v>3081.8</v>
      </c>
      <c r="D56" s="6">
        <f>IFERROR(__xludf.DUMMYFUNCTION("""COMPUTED_VALUE"""),2836.6)</f>
        <v>2836.6</v>
      </c>
      <c r="E56" s="6">
        <f>IFERROR(__xludf.DUMMYFUNCTION("""COMPUTED_VALUE"""),2846.6)</f>
        <v>2846.6</v>
      </c>
      <c r="F56" s="6">
        <f>IFERROR(__xludf.DUMMYFUNCTION("""COMPUTED_VALUE"""),2956972.0)</f>
        <v>2956972</v>
      </c>
    </row>
    <row r="57">
      <c r="A57" s="7">
        <f>IFERROR(__xludf.DUMMYFUNCTION("""COMPUTED_VALUE"""),45576.64583333333)</f>
        <v>45576.64583</v>
      </c>
      <c r="B57" s="6">
        <f>IFERROR(__xludf.DUMMYFUNCTION("""COMPUTED_VALUE"""),2899.0)</f>
        <v>2899</v>
      </c>
      <c r="C57" s="6">
        <f>IFERROR(__xludf.DUMMYFUNCTION("""COMPUTED_VALUE"""),2979.0)</f>
        <v>2979</v>
      </c>
      <c r="D57" s="6">
        <f>IFERROR(__xludf.DUMMYFUNCTION("""COMPUTED_VALUE"""),2841.15)</f>
        <v>2841.15</v>
      </c>
      <c r="E57" s="6">
        <f>IFERROR(__xludf.DUMMYFUNCTION("""COMPUTED_VALUE"""),2876.35)</f>
        <v>2876.35</v>
      </c>
      <c r="F57" s="6">
        <f>IFERROR(__xludf.DUMMYFUNCTION("""COMPUTED_VALUE"""),4235433.0)</f>
        <v>4235433</v>
      </c>
    </row>
    <row r="58">
      <c r="A58" s="7">
        <f>IFERROR(__xludf.DUMMYFUNCTION("""COMPUTED_VALUE"""),45583.64583333333)</f>
        <v>45583.64583</v>
      </c>
      <c r="B58" s="6">
        <f>IFERROR(__xludf.DUMMYFUNCTION("""COMPUTED_VALUE"""),2890.2)</f>
        <v>2890.2</v>
      </c>
      <c r="C58" s="6">
        <f>IFERROR(__xludf.DUMMYFUNCTION("""COMPUTED_VALUE"""),3109.0)</f>
        <v>3109</v>
      </c>
      <c r="D58" s="6">
        <f>IFERROR(__xludf.DUMMYFUNCTION("""COMPUTED_VALUE"""),2878.35)</f>
        <v>2878.35</v>
      </c>
      <c r="E58" s="6">
        <f>IFERROR(__xludf.DUMMYFUNCTION("""COMPUTED_VALUE"""),3095.75)</f>
        <v>3095.75</v>
      </c>
      <c r="F58" s="6">
        <f>IFERROR(__xludf.DUMMYFUNCTION("""COMPUTED_VALUE"""),9003038.0)</f>
        <v>9003038</v>
      </c>
    </row>
    <row r="59">
      <c r="A59" s="7">
        <f>IFERROR(__xludf.DUMMYFUNCTION("""COMPUTED_VALUE"""),45590.64583333333)</f>
        <v>45590.64583</v>
      </c>
      <c r="B59" s="6">
        <f>IFERROR(__xludf.DUMMYFUNCTION("""COMPUTED_VALUE"""),3100.0)</f>
        <v>3100</v>
      </c>
      <c r="C59" s="6">
        <f>IFERROR(__xludf.DUMMYFUNCTION("""COMPUTED_VALUE"""),3144.75)</f>
        <v>3144.75</v>
      </c>
      <c r="D59" s="6">
        <f>IFERROR(__xludf.DUMMYFUNCTION("""COMPUTED_VALUE"""),2965.5)</f>
        <v>2965.5</v>
      </c>
      <c r="E59" s="6">
        <f>IFERROR(__xludf.DUMMYFUNCTION("""COMPUTED_VALUE"""),3041.05)</f>
        <v>3041.05</v>
      </c>
      <c r="F59" s="6">
        <f>IFERROR(__xludf.DUMMYFUNCTION("""COMPUTED_VALUE"""),3308521.0)</f>
        <v>3308521</v>
      </c>
    </row>
    <row r="60">
      <c r="A60" s="7">
        <f>IFERROR(__xludf.DUMMYFUNCTION("""COMPUTED_VALUE"""),45604.64583333333)</f>
        <v>45604.64583</v>
      </c>
      <c r="B60" s="6">
        <f>IFERROR(__xludf.DUMMYFUNCTION("""COMPUTED_VALUE"""),2899.95)</f>
        <v>2899.95</v>
      </c>
      <c r="C60" s="6">
        <f>IFERROR(__xludf.DUMMYFUNCTION("""COMPUTED_VALUE"""),2939.6)</f>
        <v>2939.6</v>
      </c>
      <c r="D60" s="6">
        <f>IFERROR(__xludf.DUMMYFUNCTION("""COMPUTED_VALUE"""),2796.5)</f>
        <v>2796.5</v>
      </c>
      <c r="E60" s="6">
        <f>IFERROR(__xludf.DUMMYFUNCTION("""COMPUTED_VALUE"""),2858.35)</f>
        <v>2858.35</v>
      </c>
      <c r="F60" s="6">
        <f>IFERROR(__xludf.DUMMYFUNCTION("""COMPUTED_VALUE"""),3794103.0)</f>
        <v>3794103</v>
      </c>
    </row>
    <row r="61">
      <c r="A61" s="7">
        <f>IFERROR(__xludf.DUMMYFUNCTION("""COMPUTED_VALUE"""),45610.64583333333)</f>
        <v>45610.64583</v>
      </c>
      <c r="B61" s="6">
        <f>IFERROR(__xludf.DUMMYFUNCTION("""COMPUTED_VALUE"""),2854.5)</f>
        <v>2854.5</v>
      </c>
      <c r="C61" s="6">
        <f>IFERROR(__xludf.DUMMYFUNCTION("""COMPUTED_VALUE"""),2903.75)</f>
        <v>2903.75</v>
      </c>
      <c r="D61" s="6">
        <f>IFERROR(__xludf.DUMMYFUNCTION("""COMPUTED_VALUE"""),2819.6)</f>
        <v>2819.6</v>
      </c>
      <c r="E61" s="6">
        <f>IFERROR(__xludf.DUMMYFUNCTION("""COMPUTED_VALUE"""),2839.3)</f>
        <v>2839.3</v>
      </c>
      <c r="F61" s="6">
        <f>IFERROR(__xludf.DUMMYFUNCTION("""COMPUTED_VALUE"""),2104512.0)</f>
        <v>2104512</v>
      </c>
    </row>
    <row r="62">
      <c r="A62" s="7">
        <f>IFERROR(__xludf.DUMMYFUNCTION("""COMPUTED_VALUE"""),45618.64583333333)</f>
        <v>45618.64583</v>
      </c>
      <c r="B62" s="6">
        <f>IFERROR(__xludf.DUMMYFUNCTION("""COMPUTED_VALUE"""),2840.0)</f>
        <v>2840</v>
      </c>
      <c r="C62" s="6">
        <f>IFERROR(__xludf.DUMMYFUNCTION("""COMPUTED_VALUE"""),2894.5)</f>
        <v>2894.5</v>
      </c>
      <c r="D62" s="6">
        <f>IFERROR(__xludf.DUMMYFUNCTION("""COMPUTED_VALUE"""),2751.05)</f>
        <v>2751.05</v>
      </c>
      <c r="E62" s="6">
        <f>IFERROR(__xludf.DUMMYFUNCTION("""COMPUTED_VALUE"""),2883.55)</f>
        <v>2883.55</v>
      </c>
      <c r="F62" s="6">
        <f>IFERROR(__xludf.DUMMYFUNCTION("""COMPUTED_VALUE"""),2998676.0)</f>
        <v>2998676</v>
      </c>
    </row>
    <row r="63">
      <c r="A63" s="7">
        <f>IFERROR(__xludf.DUMMYFUNCTION("""COMPUTED_VALUE"""),45625.64583333333)</f>
        <v>45625.64583</v>
      </c>
      <c r="B63" s="6">
        <f>IFERROR(__xludf.DUMMYFUNCTION("""COMPUTED_VALUE"""),2948.9)</f>
        <v>2948.9</v>
      </c>
      <c r="C63" s="6">
        <f>IFERROR(__xludf.DUMMYFUNCTION("""COMPUTED_VALUE"""),3047.85)</f>
        <v>3047.85</v>
      </c>
      <c r="D63" s="6">
        <f>IFERROR(__xludf.DUMMYFUNCTION("""COMPUTED_VALUE"""),2898.0)</f>
        <v>2898</v>
      </c>
      <c r="E63" s="6">
        <f>IFERROR(__xludf.DUMMYFUNCTION("""COMPUTED_VALUE"""),2974.55)</f>
        <v>2974.55</v>
      </c>
      <c r="F63" s="6">
        <f>IFERROR(__xludf.DUMMYFUNCTION("""COMPUTED_VALUE"""),3071664.0)</f>
        <v>3071664</v>
      </c>
    </row>
    <row r="64">
      <c r="A64" s="7">
        <f>IFERROR(__xludf.DUMMYFUNCTION("""COMPUTED_VALUE"""),45632.64583333333)</f>
        <v>45632.64583</v>
      </c>
      <c r="B64" s="6">
        <f>IFERROR(__xludf.DUMMYFUNCTION("""COMPUTED_VALUE"""),2974.95)</f>
        <v>2974.95</v>
      </c>
      <c r="C64" s="6">
        <f>IFERROR(__xludf.DUMMYFUNCTION("""COMPUTED_VALUE"""),3097.0)</f>
        <v>3097</v>
      </c>
      <c r="D64" s="6">
        <f>IFERROR(__xludf.DUMMYFUNCTION("""COMPUTED_VALUE"""),2953.55)</f>
        <v>2953.55</v>
      </c>
      <c r="E64" s="6">
        <f>IFERROR(__xludf.DUMMYFUNCTION("""COMPUTED_VALUE"""),3053.95)</f>
        <v>3053.95</v>
      </c>
      <c r="F64" s="6">
        <f>IFERROR(__xludf.DUMMYFUNCTION("""COMPUTED_VALUE"""),1850619.0)</f>
        <v>1850619</v>
      </c>
    </row>
    <row r="65">
      <c r="A65" s="7">
        <f>IFERROR(__xludf.DUMMYFUNCTION("""COMPUTED_VALUE"""),45639.64583333333)</f>
        <v>45639.64583</v>
      </c>
      <c r="B65" s="6">
        <f>IFERROR(__xludf.DUMMYFUNCTION("""COMPUTED_VALUE"""),3054.0)</f>
        <v>3054</v>
      </c>
      <c r="C65" s="6">
        <f>IFERROR(__xludf.DUMMYFUNCTION("""COMPUTED_VALUE"""),3237.95)</f>
        <v>3237.95</v>
      </c>
      <c r="D65" s="6">
        <f>IFERROR(__xludf.DUMMYFUNCTION("""COMPUTED_VALUE"""),3051.55)</f>
        <v>3051.55</v>
      </c>
      <c r="E65" s="6">
        <f>IFERROR(__xludf.DUMMYFUNCTION("""COMPUTED_VALUE"""),3195.4)</f>
        <v>3195.4</v>
      </c>
      <c r="F65" s="6">
        <f>IFERROR(__xludf.DUMMYFUNCTION("""COMPUTED_VALUE"""),3001326.0)</f>
        <v>3001326</v>
      </c>
    </row>
    <row r="66">
      <c r="A66" s="7">
        <f>IFERROR(__xludf.DUMMYFUNCTION("""COMPUTED_VALUE"""),45646.64583333333)</f>
        <v>45646.64583</v>
      </c>
      <c r="B66" s="6">
        <f>IFERROR(__xludf.DUMMYFUNCTION("""COMPUTED_VALUE"""),3207.45)</f>
        <v>3207.45</v>
      </c>
      <c r="C66" s="6">
        <f>IFERROR(__xludf.DUMMYFUNCTION("""COMPUTED_VALUE"""),3228.45)</f>
        <v>3228.45</v>
      </c>
      <c r="D66" s="6">
        <f>IFERROR(__xludf.DUMMYFUNCTION("""COMPUTED_VALUE"""),2935.3)</f>
        <v>2935.3</v>
      </c>
      <c r="E66" s="6">
        <f>IFERROR(__xludf.DUMMYFUNCTION("""COMPUTED_VALUE"""),2950.6)</f>
        <v>2950.6</v>
      </c>
      <c r="F66" s="6">
        <f>IFERROR(__xludf.DUMMYFUNCTION("""COMPUTED_VALUE"""),2460869.0)</f>
        <v>2460869</v>
      </c>
    </row>
    <row r="67">
      <c r="A67" s="7">
        <f>IFERROR(__xludf.DUMMYFUNCTION("""COMPUTED_VALUE"""),45653.64583333333)</f>
        <v>45653.64583</v>
      </c>
      <c r="B67" s="6">
        <f>IFERROR(__xludf.DUMMYFUNCTION("""COMPUTED_VALUE"""),2976.95)</f>
        <v>2976.95</v>
      </c>
      <c r="C67" s="6">
        <f>IFERROR(__xludf.DUMMYFUNCTION("""COMPUTED_VALUE"""),3010.0)</f>
        <v>3010</v>
      </c>
      <c r="D67" s="6">
        <f>IFERROR(__xludf.DUMMYFUNCTION("""COMPUTED_VALUE"""),2875.35)</f>
        <v>2875.35</v>
      </c>
      <c r="E67" s="6">
        <f>IFERROR(__xludf.DUMMYFUNCTION("""COMPUTED_VALUE"""),2883.95)</f>
        <v>2883.95</v>
      </c>
      <c r="F67" s="6">
        <f>IFERROR(__xludf.DUMMYFUNCTION("""COMPUTED_VALUE"""),1094365.0)</f>
        <v>1094365</v>
      </c>
    </row>
    <row r="68">
      <c r="A68" s="7">
        <f>IFERROR(__xludf.DUMMYFUNCTION("""COMPUTED_VALUE"""),45660.64583333333)</f>
        <v>45660.64583</v>
      </c>
      <c r="B68" s="6">
        <f>IFERROR(__xludf.DUMMYFUNCTION("""COMPUTED_VALUE"""),2885.05)</f>
        <v>2885.05</v>
      </c>
      <c r="C68" s="6">
        <f>IFERROR(__xludf.DUMMYFUNCTION("""COMPUTED_VALUE"""),2949.65)</f>
        <v>2949.65</v>
      </c>
      <c r="D68" s="6">
        <f>IFERROR(__xludf.DUMMYFUNCTION("""COMPUTED_VALUE"""),2812.5)</f>
        <v>2812.5</v>
      </c>
      <c r="E68" s="6">
        <f>IFERROR(__xludf.DUMMYFUNCTION("""COMPUTED_VALUE"""),2869.25)</f>
        <v>2869.25</v>
      </c>
      <c r="F68" s="6">
        <f>IFERROR(__xludf.DUMMYFUNCTION("""COMPUTED_VALUE"""),2316104.0)</f>
        <v>2316104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IFERROR(__xludf.DUMMYFUNCTION("""COMPUTED_VALUE"""),2960.2)</f>
        <v>2960.2</v>
      </c>
      <c r="C69" s="6">
        <f>IFERROR(__xludf.DUMMYFUNCTION("""COMPUTED_VALUE"""),2960.2)</f>
        <v>2960.2</v>
      </c>
      <c r="D69" s="6">
        <f>IFERROR(__xludf.DUMMYFUNCTION("""COMPUTED_VALUE"""),2868.05)</f>
        <v>2868.05</v>
      </c>
      <c r="E69" s="6">
        <f>IFERROR(__xludf.DUMMYFUNCTION("""COMPUTED_VALUE"""),2915.0)</f>
        <v>2915</v>
      </c>
      <c r="F69" s="6">
        <f>IFERROR(__xludf.DUMMYFUNCTION("""COMPUTED_VALUE"""),2860664.0)</f>
        <v>2860664</v>
      </c>
    </row>
    <row r="70">
      <c r="A70" s="7">
        <f>IFERROR(__xludf.DUMMYFUNCTION("""COMPUTED_VALUE"""),45674.64583333333)</f>
        <v>45674.64583</v>
      </c>
      <c r="B70" s="6">
        <f>IFERROR(__xludf.DUMMYFUNCTION("""COMPUTED_VALUE"""),2885.0)</f>
        <v>2885</v>
      </c>
      <c r="C70" s="6">
        <f>IFERROR(__xludf.DUMMYFUNCTION("""COMPUTED_VALUE"""),2897.9)</f>
        <v>2897.9</v>
      </c>
      <c r="D70" s="6">
        <f>IFERROR(__xludf.DUMMYFUNCTION("""COMPUTED_VALUE"""),2736.5)</f>
        <v>2736.5</v>
      </c>
      <c r="E70" s="6">
        <f>IFERROR(__xludf.DUMMYFUNCTION("""COMPUTED_VALUE"""),2817.2)</f>
        <v>2817.2</v>
      </c>
      <c r="F70" s="6">
        <f>IFERROR(__xludf.DUMMYFUNCTION("""COMPUTED_VALUE"""),2171921.0)</f>
        <v>2171921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IFERROR(__xludf.DUMMYFUNCTION("""COMPUTED_VALUE"""),2820.0)</f>
        <v>2820</v>
      </c>
      <c r="C71" s="6">
        <f>IFERROR(__xludf.DUMMYFUNCTION("""COMPUTED_VALUE"""),3078.4)</f>
        <v>3078.4</v>
      </c>
      <c r="D71" s="6">
        <f>IFERROR(__xludf.DUMMYFUNCTION("""COMPUTED_VALUE"""),2751.6)</f>
        <v>2751.6</v>
      </c>
      <c r="E71" s="6">
        <f>IFERROR(__xludf.DUMMYFUNCTION("""COMPUTED_VALUE"""),3009.3)</f>
        <v>3009.3</v>
      </c>
      <c r="F71" s="6">
        <f>IFERROR(__xludf.DUMMYFUNCTION("""COMPUTED_VALUE"""),6577999.0)</f>
        <v>6577999</v>
      </c>
    </row>
    <row r="72">
      <c r="A72" s="7">
        <f>IFERROR(__xludf.DUMMYFUNCTION("""COMPUTED_VALUE"""),45695.64583333333)</f>
        <v>45695.64583</v>
      </c>
      <c r="B72" s="6">
        <f>IFERROR(__xludf.DUMMYFUNCTION("""COMPUTED_VALUE"""),2790.0)</f>
        <v>2790</v>
      </c>
      <c r="C72" s="6">
        <f>IFERROR(__xludf.DUMMYFUNCTION("""COMPUTED_VALUE"""),2896.7)</f>
        <v>2896.7</v>
      </c>
      <c r="D72" s="6">
        <f>IFERROR(__xludf.DUMMYFUNCTION("""COMPUTED_VALUE"""),2728.1)</f>
        <v>2728.1</v>
      </c>
      <c r="E72" s="6">
        <f>IFERROR(__xludf.DUMMYFUNCTION("""COMPUTED_VALUE"""),2868.5)</f>
        <v>2868.5</v>
      </c>
      <c r="F72" s="6">
        <f>IFERROR(__xludf.DUMMYFUNCTION("""COMPUTED_VALUE"""),2086435.0)</f>
        <v>2086435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IFERROR(__xludf.DUMMYFUNCTION("""COMPUTED_VALUE"""),2870.0)</f>
        <v>2870</v>
      </c>
      <c r="C73" s="6">
        <f>IFERROR(__xludf.DUMMYFUNCTION("""COMPUTED_VALUE"""),2888.5)</f>
        <v>2888.5</v>
      </c>
      <c r="D73" s="6">
        <f>IFERROR(__xludf.DUMMYFUNCTION("""COMPUTED_VALUE"""),2530.85)</f>
        <v>2530.85</v>
      </c>
      <c r="E73" s="6">
        <f>IFERROR(__xludf.DUMMYFUNCTION("""COMPUTED_VALUE"""),2554.25)</f>
        <v>2554.25</v>
      </c>
      <c r="F73" s="6">
        <f>IFERROR(__xludf.DUMMYFUNCTION("""COMPUTED_VALUE"""),2369643.0)</f>
        <v>2369643</v>
      </c>
    </row>
    <row r="74">
      <c r="A74" s="7">
        <f>IFERROR(__xludf.DUMMYFUNCTION("""COMPUTED_VALUE"""),45709.64583333333)</f>
        <v>45709.64583</v>
      </c>
      <c r="B74" s="6">
        <f>IFERROR(__xludf.DUMMYFUNCTION("""COMPUTED_VALUE"""),2544.0)</f>
        <v>2544</v>
      </c>
      <c r="C74" s="6">
        <f>IFERROR(__xludf.DUMMYFUNCTION("""COMPUTED_VALUE"""),2650.95)</f>
        <v>2650.95</v>
      </c>
      <c r="D74" s="6">
        <f>IFERROR(__xludf.DUMMYFUNCTION("""COMPUTED_VALUE"""),2507.0)</f>
        <v>2507</v>
      </c>
      <c r="E74" s="6">
        <f>IFERROR(__xludf.DUMMYFUNCTION("""COMPUTED_VALUE"""),2567.55)</f>
        <v>2567.55</v>
      </c>
      <c r="F74" s="6">
        <f>IFERROR(__xludf.DUMMYFUNCTION("""COMPUTED_VALUE"""),1283689.0)</f>
        <v>1283689</v>
      </c>
    </row>
    <row r="75">
      <c r="A75" s="7">
        <f>IFERROR(__xludf.DUMMYFUNCTION("""COMPUTED_VALUE"""),45716.64583333333)</f>
        <v>45716.64583</v>
      </c>
      <c r="B75" s="6">
        <f>IFERROR(__xludf.DUMMYFUNCTION("""COMPUTED_VALUE"""),2536.55)</f>
        <v>2536.55</v>
      </c>
      <c r="C75" s="6">
        <f>IFERROR(__xludf.DUMMYFUNCTION("""COMPUTED_VALUE"""),2539.0)</f>
        <v>2539</v>
      </c>
      <c r="D75" s="6">
        <f>IFERROR(__xludf.DUMMYFUNCTION("""COMPUTED_VALUE"""),2227.05)</f>
        <v>2227.05</v>
      </c>
      <c r="E75" s="6">
        <f>IFERROR(__xludf.DUMMYFUNCTION("""COMPUTED_VALUE"""),2247.25)</f>
        <v>2247.25</v>
      </c>
      <c r="F75" s="6">
        <f>IFERROR(__xludf.DUMMYFUNCTION("""COMPUTED_VALUE"""),2572173.0)</f>
        <v>2572173</v>
      </c>
    </row>
    <row r="76">
      <c r="A76" s="7">
        <f>IFERROR(__xludf.DUMMYFUNCTION("""COMPUTED_VALUE"""),45723.64583333333)</f>
        <v>45723.64583</v>
      </c>
      <c r="B76" s="6">
        <f>IFERROR(__xludf.DUMMYFUNCTION("""COMPUTED_VALUE"""),2260.0)</f>
        <v>2260</v>
      </c>
      <c r="C76" s="6">
        <f>IFERROR(__xludf.DUMMYFUNCTION("""COMPUTED_VALUE"""),2369.9)</f>
        <v>2369.9</v>
      </c>
      <c r="D76" s="6">
        <f>IFERROR(__xludf.DUMMYFUNCTION("""COMPUTED_VALUE"""),2173.0)</f>
        <v>2173</v>
      </c>
      <c r="E76" s="6">
        <f>IFERROR(__xludf.DUMMYFUNCTION("""COMPUTED_VALUE"""),2302.25)</f>
        <v>2302.25</v>
      </c>
      <c r="F76" s="6">
        <f>IFERROR(__xludf.DUMMYFUNCTION("""COMPUTED_VALUE"""),2442262.0)</f>
        <v>2442262</v>
      </c>
    </row>
    <row r="77">
      <c r="A77" s="7">
        <f>IFERROR(__xludf.DUMMYFUNCTION("""COMPUTED_VALUE"""),45729.64583333333)</f>
        <v>45729.64583</v>
      </c>
      <c r="B77" s="6">
        <f>IFERROR(__xludf.DUMMYFUNCTION("""COMPUTED_VALUE"""),2276.15)</f>
        <v>2276.15</v>
      </c>
      <c r="C77" s="6">
        <f>IFERROR(__xludf.DUMMYFUNCTION("""COMPUTED_VALUE"""),2317.5)</f>
        <v>2317.5</v>
      </c>
      <c r="D77" s="6">
        <f>IFERROR(__xludf.DUMMYFUNCTION("""COMPUTED_VALUE"""),2170.25)</f>
        <v>2170.25</v>
      </c>
      <c r="E77" s="6">
        <f>IFERROR(__xludf.DUMMYFUNCTION("""COMPUTED_VALUE"""),2205.15)</f>
        <v>2205.15</v>
      </c>
      <c r="F77" s="6">
        <f>IFERROR(__xludf.DUMMYFUNCTION("""COMPUTED_VALUE"""),1939940.0)</f>
        <v>1939940</v>
      </c>
    </row>
    <row r="78">
      <c r="A78" s="7">
        <f>IFERROR(__xludf.DUMMYFUNCTION("""COMPUTED_VALUE"""),45737.64583333333)</f>
        <v>45737.64583</v>
      </c>
      <c r="B78" s="6">
        <f>IFERROR(__xludf.DUMMYFUNCTION("""COMPUTED_VALUE"""),2207.1)</f>
        <v>2207.1</v>
      </c>
      <c r="C78" s="6">
        <f>IFERROR(__xludf.DUMMYFUNCTION("""COMPUTED_VALUE"""),2438.0)</f>
        <v>2438</v>
      </c>
      <c r="D78" s="6">
        <f>IFERROR(__xludf.DUMMYFUNCTION("""COMPUTED_VALUE"""),2181.55)</f>
        <v>2181.55</v>
      </c>
      <c r="E78" s="6">
        <f>IFERROR(__xludf.DUMMYFUNCTION("""COMPUTED_VALUE"""),2429.95)</f>
        <v>2429.95</v>
      </c>
      <c r="F78" s="6">
        <f>IFERROR(__xludf.DUMMYFUNCTION("""COMPUTED_VALUE"""),3925782.0)</f>
        <v>3925782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IFERROR(__xludf.DUMMYFUNCTION("""COMPUTED_VALUE"""),2436.25)</f>
        <v>2436.25</v>
      </c>
      <c r="C79" s="6">
        <f>IFERROR(__xludf.DUMMYFUNCTION("""COMPUTED_VALUE"""),2572.3)</f>
        <v>2572.3</v>
      </c>
      <c r="D79" s="6">
        <f>IFERROR(__xludf.DUMMYFUNCTION("""COMPUTED_VALUE"""),2405.4)</f>
        <v>2405.4</v>
      </c>
      <c r="E79" s="6">
        <f>IFERROR(__xludf.DUMMYFUNCTION("""COMPUTED_VALUE"""),2500.2)</f>
        <v>2500.2</v>
      </c>
      <c r="F79" s="6">
        <f>IFERROR(__xludf.DUMMYFUNCTION("""COMPUTED_VALUE"""),3030300.0)</f>
        <v>3030300</v>
      </c>
    </row>
    <row r="80">
      <c r="A80" s="7">
        <f>IFERROR(__xludf.DUMMYFUNCTION("""COMPUTED_VALUE"""),45751.64583333333)</f>
        <v>45751.64583</v>
      </c>
      <c r="B80" s="6">
        <f>IFERROR(__xludf.DUMMYFUNCTION("""COMPUTED_VALUE"""),2402.0)</f>
        <v>2402</v>
      </c>
      <c r="C80" s="6">
        <f>IFERROR(__xludf.DUMMYFUNCTION("""COMPUTED_VALUE"""),2502.95)</f>
        <v>2502.95</v>
      </c>
      <c r="D80" s="6">
        <f>IFERROR(__xludf.DUMMYFUNCTION("""COMPUTED_VALUE"""),2220.0)</f>
        <v>2220</v>
      </c>
      <c r="E80" s="6">
        <f>IFERROR(__xludf.DUMMYFUNCTION("""COMPUTED_VALUE"""),2229.2)</f>
        <v>2229.2</v>
      </c>
      <c r="F80" s="6">
        <f>IFERROR(__xludf.DUMMYFUNCTION("""COMPUTED_VALUE"""),1935951.0)</f>
        <v>1935951</v>
      </c>
    </row>
    <row r="81">
      <c r="A81" s="7">
        <f>IFERROR(__xludf.DUMMYFUNCTION("""COMPUTED_VALUE"""),45758.64583333333)</f>
        <v>45758.64583</v>
      </c>
      <c r="B81" s="6">
        <f>IFERROR(__xludf.DUMMYFUNCTION("""COMPUTED_VALUE"""),2063.5)</f>
        <v>2063.5</v>
      </c>
      <c r="C81" s="6">
        <f>IFERROR(__xludf.DUMMYFUNCTION("""COMPUTED_VALUE"""),2220.0)</f>
        <v>2220</v>
      </c>
      <c r="D81" s="6">
        <f>IFERROR(__xludf.DUMMYFUNCTION("""COMPUTED_VALUE"""),2044.55)</f>
        <v>2044.55</v>
      </c>
      <c r="E81" s="6">
        <f>IFERROR(__xludf.DUMMYFUNCTION("""COMPUTED_VALUE"""),2160.55)</f>
        <v>2160.55</v>
      </c>
      <c r="F81" s="6">
        <f>IFERROR(__xludf.DUMMYFUNCTION("""COMPUTED_VALUE"""),2947994.0)</f>
        <v>2947994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IFERROR(__xludf.DUMMYFUNCTION("""COMPUTED_VALUE"""),2202.9)</f>
        <v>2202.9</v>
      </c>
      <c r="C82" s="6">
        <f>IFERROR(__xludf.DUMMYFUNCTION("""COMPUTED_VALUE"""),2284.5)</f>
        <v>2284.5</v>
      </c>
      <c r="D82" s="6">
        <f>IFERROR(__xludf.DUMMYFUNCTION("""COMPUTED_VALUE"""),2185.0)</f>
        <v>2185</v>
      </c>
      <c r="E82" s="6">
        <f>IFERROR(__xludf.DUMMYFUNCTION("""COMPUTED_VALUE"""),2273.7)</f>
        <v>2273.7</v>
      </c>
      <c r="F82" s="6">
        <f>IFERROR(__xludf.DUMMYFUNCTION("""COMPUTED_VALUE"""),1985056.0)</f>
        <v>1985056</v>
      </c>
    </row>
    <row r="83">
      <c r="A83" s="7">
        <f>IFERROR(__xludf.DUMMYFUNCTION("""COMPUTED_VALUE"""),45772.64583333333)</f>
        <v>45772.64583</v>
      </c>
      <c r="B83" s="6">
        <f>IFERROR(__xludf.DUMMYFUNCTION("""COMPUTED_VALUE"""),2273.7)</f>
        <v>2273.7</v>
      </c>
      <c r="C83" s="6">
        <f>IFERROR(__xludf.DUMMYFUNCTION("""COMPUTED_VALUE"""),2571.6)</f>
        <v>2571.6</v>
      </c>
      <c r="D83" s="6">
        <f>IFERROR(__xludf.DUMMYFUNCTION("""COMPUTED_VALUE"""),2260.2)</f>
        <v>2260.2</v>
      </c>
      <c r="E83" s="6">
        <f>IFERROR(__xludf.DUMMYFUNCTION("""COMPUTED_VALUE"""),2538.6)</f>
        <v>2538.6</v>
      </c>
      <c r="F83" s="6">
        <f>IFERROR(__xludf.DUMMYFUNCTION("""COMPUTED_VALUE"""),7157117.0)</f>
        <v>7157117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IFERROR(__xludf.DUMMYFUNCTION("""COMPUTED_VALUE"""),2532.0)</f>
        <v>2532</v>
      </c>
      <c r="C84" s="6">
        <f>IFERROR(__xludf.DUMMYFUNCTION("""COMPUTED_VALUE"""),2548.5)</f>
        <v>2548.5</v>
      </c>
      <c r="D84" s="6">
        <f>IFERROR(__xludf.DUMMYFUNCTION("""COMPUTED_VALUE"""),2424.0)</f>
        <v>2424</v>
      </c>
      <c r="E84" s="6">
        <f>IFERROR(__xludf.DUMMYFUNCTION("""COMPUTED_VALUE"""),2460.7)</f>
        <v>2460.7</v>
      </c>
      <c r="F84" s="6">
        <f>IFERROR(__xludf.DUMMYFUNCTION("""COMPUTED_VALUE"""),2661698.0)</f>
        <v>2661698</v>
      </c>
    </row>
    <row r="85">
      <c r="A85" s="7">
        <f>IFERROR(__xludf.DUMMYFUNCTION("""COMPUTED_VALUE"""),45786.64583333333)</f>
        <v>45786.64583</v>
      </c>
      <c r="B85" s="6">
        <f>IFERROR(__xludf.DUMMYFUNCTION("""COMPUTED_VALUE"""),2469.9)</f>
        <v>2469.9</v>
      </c>
      <c r="C85" s="6">
        <f>IFERROR(__xludf.DUMMYFUNCTION("""COMPUTED_VALUE"""),2507.5)</f>
        <v>2507.5</v>
      </c>
      <c r="D85" s="6">
        <f>IFERROR(__xludf.DUMMYFUNCTION("""COMPUTED_VALUE"""),2311.1)</f>
        <v>2311.1</v>
      </c>
      <c r="E85" s="6">
        <f>IFERROR(__xludf.DUMMYFUNCTION("""COMPUTED_VALUE"""),2387.3)</f>
        <v>2387.3</v>
      </c>
      <c r="F85" s="6">
        <f>IFERROR(__xludf.DUMMYFUNCTION("""COMPUTED_VALUE"""),2034217.0)</f>
        <v>2034217</v>
      </c>
    </row>
    <row r="86">
      <c r="A86" s="7">
        <f>IFERROR(__xludf.DUMMYFUNCTION("""COMPUTED_VALUE"""),45793.64583333333)</f>
        <v>45793.64583</v>
      </c>
      <c r="B86" s="6">
        <f>IFERROR(__xludf.DUMMYFUNCTION("""COMPUTED_VALUE"""),2440.0)</f>
        <v>2440</v>
      </c>
      <c r="C86" s="6">
        <f>IFERROR(__xludf.DUMMYFUNCTION("""COMPUTED_VALUE"""),2643.1)</f>
        <v>2643.1</v>
      </c>
      <c r="D86" s="6">
        <f>IFERROR(__xludf.DUMMYFUNCTION("""COMPUTED_VALUE"""),2415.0)</f>
        <v>2415</v>
      </c>
      <c r="E86" s="6">
        <f>IFERROR(__xludf.DUMMYFUNCTION("""COMPUTED_VALUE"""),2600.4)</f>
        <v>2600.4</v>
      </c>
      <c r="F86" s="6">
        <f>IFERROR(__xludf.DUMMYFUNCTION("""COMPUTED_VALUE"""),2658454.0)</f>
        <v>2658454</v>
      </c>
    </row>
    <row r="87">
      <c r="A87" s="7">
        <f>IFERROR(__xludf.DUMMYFUNCTION("""COMPUTED_VALUE"""),45800.64583333333)</f>
        <v>45800.64583</v>
      </c>
      <c r="B87" s="6">
        <f>IFERROR(__xludf.DUMMYFUNCTION("""COMPUTED_VALUE"""),2600.0)</f>
        <v>2600</v>
      </c>
      <c r="C87" s="6">
        <f>IFERROR(__xludf.DUMMYFUNCTION("""COMPUTED_VALUE"""),2600.0)</f>
        <v>2600</v>
      </c>
      <c r="D87" s="6">
        <f>IFERROR(__xludf.DUMMYFUNCTION("""COMPUTED_VALUE"""),2501.0)</f>
        <v>2501</v>
      </c>
      <c r="E87" s="6">
        <f>IFERROR(__xludf.DUMMYFUNCTION("""COMPUTED_VALUE"""),2541.4)</f>
        <v>2541.4</v>
      </c>
      <c r="F87" s="6">
        <f>IFERROR(__xludf.DUMMYFUNCTION("""COMPUTED_VALUE"""),2329869.0)</f>
        <v>2329869</v>
      </c>
    </row>
    <row r="88">
      <c r="A88" s="7">
        <f>IFERROR(__xludf.DUMMYFUNCTION("""COMPUTED_VALUE"""),45807.64583333333)</f>
        <v>45807.64583</v>
      </c>
      <c r="B88" s="6">
        <f>IFERROR(__xludf.DUMMYFUNCTION("""COMPUTED_VALUE"""),2554.0)</f>
        <v>2554</v>
      </c>
      <c r="C88" s="6">
        <f>IFERROR(__xludf.DUMMYFUNCTION("""COMPUTED_VALUE"""),2586.2)</f>
        <v>2586.2</v>
      </c>
      <c r="D88" s="6">
        <f>IFERROR(__xludf.DUMMYFUNCTION("""COMPUTED_VALUE"""),2514.2)</f>
        <v>2514.2</v>
      </c>
      <c r="E88" s="6">
        <f>IFERROR(__xludf.DUMMYFUNCTION("""COMPUTED_VALUE"""),2558.8)</f>
        <v>2558.8</v>
      </c>
      <c r="F88" s="6">
        <f>IFERROR(__xludf.DUMMYFUNCTION("""COMPUTED_VALUE"""),2079632.0)</f>
        <v>2079632</v>
      </c>
    </row>
    <row r="89">
      <c r="A89" s="7">
        <f>IFERROR(__xludf.DUMMYFUNCTION("""COMPUTED_VALUE"""),45814.64583333333)</f>
        <v>45814.64583</v>
      </c>
      <c r="B89" s="6">
        <f>IFERROR(__xludf.DUMMYFUNCTION("""COMPUTED_VALUE"""),2461.5)</f>
        <v>2461.5</v>
      </c>
      <c r="C89" s="6">
        <f>IFERROR(__xludf.DUMMYFUNCTION("""COMPUTED_VALUE"""),2562.0)</f>
        <v>2562</v>
      </c>
      <c r="D89" s="6">
        <f>IFERROR(__xludf.DUMMYFUNCTION("""COMPUTED_VALUE"""),2386.7)</f>
        <v>2386.7</v>
      </c>
      <c r="E89" s="6">
        <f>IFERROR(__xludf.DUMMYFUNCTION("""COMPUTED_VALUE"""),2545.2)</f>
        <v>2545.2</v>
      </c>
      <c r="F89" s="6">
        <f>IFERROR(__xludf.DUMMYFUNCTION("""COMPUTED_VALUE"""),4023510.0)</f>
        <v>4023510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IFERROR(__xludf.DUMMYFUNCTION("""COMPUTED_VALUE"""),2560.1)</f>
        <v>2560.1</v>
      </c>
      <c r="C90" s="6">
        <f>IFERROR(__xludf.DUMMYFUNCTION("""COMPUTED_VALUE"""),2703.2)</f>
        <v>2703.2</v>
      </c>
      <c r="D90" s="6">
        <f>IFERROR(__xludf.DUMMYFUNCTION("""COMPUTED_VALUE"""),2553.6)</f>
        <v>2553.6</v>
      </c>
      <c r="E90" s="6">
        <f>IFERROR(__xludf.DUMMYFUNCTION("""COMPUTED_VALUE"""),2644.2)</f>
        <v>2644.2</v>
      </c>
      <c r="F90" s="6">
        <f>IFERROR(__xludf.DUMMYFUNCTION("""COMPUTED_VALUE"""),3829655.0)</f>
        <v>3829655</v>
      </c>
    </row>
    <row r="91">
      <c r="A91" s="7">
        <f>IFERROR(__xludf.DUMMYFUNCTION("""COMPUTED_VALUE"""),45828.64583333333)</f>
        <v>45828.64583</v>
      </c>
      <c r="B91" s="6">
        <f>IFERROR(__xludf.DUMMYFUNCTION("""COMPUTED_VALUE"""),2644.9)</f>
        <v>2644.9</v>
      </c>
      <c r="C91" s="6">
        <f>IFERROR(__xludf.DUMMYFUNCTION("""COMPUTED_VALUE"""),2725.0)</f>
        <v>2725</v>
      </c>
      <c r="D91" s="6">
        <f>IFERROR(__xludf.DUMMYFUNCTION("""COMPUTED_VALUE"""),2621.0)</f>
        <v>2621</v>
      </c>
      <c r="E91" s="6">
        <f>IFERROR(__xludf.DUMMYFUNCTION("""COMPUTED_VALUE"""),2696.1)</f>
        <v>2696.1</v>
      </c>
      <c r="F91" s="6">
        <f>IFERROR(__xludf.DUMMYFUNCTION("""COMPUTED_VALUE"""),1880585.0)</f>
        <v>1880585</v>
      </c>
    </row>
    <row r="92">
      <c r="A92" s="7">
        <f>IFERROR(__xludf.DUMMYFUNCTION("""COMPUTED_VALUE"""),45835.64583333333)</f>
        <v>45835.64583</v>
      </c>
      <c r="B92" s="6">
        <f>IFERROR(__xludf.DUMMYFUNCTION("""COMPUTED_VALUE"""),2690.4)</f>
        <v>2690.4</v>
      </c>
      <c r="C92" s="6">
        <f>IFERROR(__xludf.DUMMYFUNCTION("""COMPUTED_VALUE"""),2883.0)</f>
        <v>2883</v>
      </c>
      <c r="D92" s="6">
        <f>IFERROR(__xludf.DUMMYFUNCTION("""COMPUTED_VALUE"""),2650.0)</f>
        <v>2650</v>
      </c>
      <c r="E92" s="6">
        <f>IFERROR(__xludf.DUMMYFUNCTION("""COMPUTED_VALUE"""),2800.0)</f>
        <v>2800</v>
      </c>
      <c r="F92" s="6">
        <f>IFERROR(__xludf.DUMMYFUNCTION("""COMPUTED_VALUE"""),2658970.0)</f>
        <v>2658970</v>
      </c>
    </row>
    <row r="93">
      <c r="A93" s="7">
        <f>IFERROR(__xludf.DUMMYFUNCTION("""COMPUTED_VALUE"""),45842.64583333333)</f>
        <v>45842.64583</v>
      </c>
      <c r="B93" s="6">
        <f>IFERROR(__xludf.DUMMYFUNCTION("""COMPUTED_VALUE"""),2813.9)</f>
        <v>2813.9</v>
      </c>
      <c r="C93" s="6">
        <f>IFERROR(__xludf.DUMMYFUNCTION("""COMPUTED_VALUE"""),2932.0)</f>
        <v>2932</v>
      </c>
      <c r="D93" s="6">
        <f>IFERROR(__xludf.DUMMYFUNCTION("""COMPUTED_VALUE"""),2802.5)</f>
        <v>2802.5</v>
      </c>
      <c r="E93" s="6">
        <f>IFERROR(__xludf.DUMMYFUNCTION("""COMPUTED_VALUE"""),2924.2)</f>
        <v>2924.2</v>
      </c>
      <c r="F93" s="6">
        <f>IFERROR(__xludf.DUMMYFUNCTION("""COMPUTED_VALUE"""),2022462.0)</f>
        <v>2022462</v>
      </c>
    </row>
    <row r="94">
      <c r="A94" s="7">
        <f>IFERROR(__xludf.DUMMYFUNCTION("""COMPUTED_VALUE"""),45849.64583333333)</f>
        <v>45849.64583</v>
      </c>
      <c r="B94" s="6">
        <f>IFERROR(__xludf.DUMMYFUNCTION("""COMPUTED_VALUE"""),2950.0)</f>
        <v>2950</v>
      </c>
      <c r="C94" s="6">
        <f>IFERROR(__xludf.DUMMYFUNCTION("""COMPUTED_VALUE"""),2950.4)</f>
        <v>2950.4</v>
      </c>
      <c r="D94" s="6">
        <f>IFERROR(__xludf.DUMMYFUNCTION("""COMPUTED_VALUE"""),2814.0)</f>
        <v>2814</v>
      </c>
      <c r="E94" s="6">
        <f>IFERROR(__xludf.DUMMYFUNCTION("""COMPUTED_VALUE"""),2838.8)</f>
        <v>2838.8</v>
      </c>
      <c r="F94" s="6">
        <f>IFERROR(__xludf.DUMMYFUNCTION("""COMPUTED_VALUE"""),2153495.0)</f>
        <v>2153495</v>
      </c>
    </row>
    <row r="95">
      <c r="A95" s="7">
        <f>IFERROR(__xludf.DUMMYFUNCTION("""COMPUTED_VALUE"""),45856.64583333333)</f>
        <v>45856.64583</v>
      </c>
      <c r="B95" s="6">
        <f>IFERROR(__xludf.DUMMYFUNCTION("""COMPUTED_VALUE"""),2828.0)</f>
        <v>2828</v>
      </c>
      <c r="C95" s="6">
        <f>IFERROR(__xludf.DUMMYFUNCTION("""COMPUTED_VALUE"""),2911.0)</f>
        <v>2911</v>
      </c>
      <c r="D95" s="6">
        <f>IFERROR(__xludf.DUMMYFUNCTION("""COMPUTED_VALUE"""),2784.5)</f>
        <v>2784.5</v>
      </c>
      <c r="E95" s="6">
        <f>IFERROR(__xludf.DUMMYFUNCTION("""COMPUTED_VALUE"""),2832.7)</f>
        <v>2832.7</v>
      </c>
      <c r="F95" s="6">
        <f>IFERROR(__xludf.DUMMYFUNCTION("""COMPUTED_VALUE"""),1576969.0)</f>
        <v>1576969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IFERROR(__xludf.DUMMYFUNCTION("""COMPUTED_VALUE"""),2832.6)</f>
        <v>2832.6</v>
      </c>
      <c r="C96" s="6">
        <f>IFERROR(__xludf.DUMMYFUNCTION("""COMPUTED_VALUE"""),2832.6)</f>
        <v>2832.6</v>
      </c>
      <c r="D96" s="6">
        <f>IFERROR(__xludf.DUMMYFUNCTION("""COMPUTED_VALUE"""),2604.0)</f>
        <v>2604</v>
      </c>
      <c r="E96" s="6">
        <f>IFERROR(__xludf.DUMMYFUNCTION("""COMPUTED_VALUE"""),2625.0)</f>
        <v>2625</v>
      </c>
      <c r="F96" s="6">
        <f>IFERROR(__xludf.DUMMYFUNCTION("""COMPUTED_VALUE"""),3307027.0)</f>
        <v>3307027</v>
      </c>
    </row>
    <row r="97">
      <c r="A97" s="7">
        <f>IFERROR(__xludf.DUMMYFUNCTION("""COMPUTED_VALUE"""),45870.64583333333)</f>
        <v>45870.64583</v>
      </c>
      <c r="B97" s="6">
        <f>IFERROR(__xludf.DUMMYFUNCTION("""COMPUTED_VALUE"""),2690.0)</f>
        <v>2690</v>
      </c>
      <c r="C97" s="6">
        <f>IFERROR(__xludf.DUMMYFUNCTION("""COMPUTED_VALUE"""),2857.0)</f>
        <v>2857</v>
      </c>
      <c r="D97" s="6">
        <f>IFERROR(__xludf.DUMMYFUNCTION("""COMPUTED_VALUE"""),2661.5)</f>
        <v>2661.5</v>
      </c>
      <c r="E97" s="6">
        <f>IFERROR(__xludf.DUMMYFUNCTION("""COMPUTED_VALUE"""),2757.4)</f>
        <v>2757.4</v>
      </c>
      <c r="F97" s="6">
        <f>IFERROR(__xludf.DUMMYFUNCTION("""COMPUTED_VALUE"""),4148287.0)</f>
        <v>4148287</v>
      </c>
    </row>
    <row r="98">
      <c r="A98" s="7">
        <f>IFERROR(__xludf.DUMMYFUNCTION("""COMPUTED_VALUE"""),45877.64583333333)</f>
        <v>45877.64583</v>
      </c>
      <c r="B98" s="6">
        <f>IFERROR(__xludf.DUMMYFUNCTION("""COMPUTED_VALUE"""),2674.7)</f>
        <v>2674.7</v>
      </c>
      <c r="C98" s="6">
        <f>IFERROR(__xludf.DUMMYFUNCTION("""COMPUTED_VALUE"""),2775.0)</f>
        <v>2775</v>
      </c>
      <c r="D98" s="6">
        <f>IFERROR(__xludf.DUMMYFUNCTION("""COMPUTED_VALUE"""),2640.0)</f>
        <v>2640</v>
      </c>
      <c r="E98" s="6">
        <f>IFERROR(__xludf.DUMMYFUNCTION("""COMPUTED_VALUE"""),2695.9)</f>
        <v>2695.9</v>
      </c>
      <c r="F98" s="6">
        <f>IFERROR(__xludf.DUMMYFUNCTION("""COMPUTED_VALUE"""),1406165.0)</f>
        <v>1406165</v>
      </c>
    </row>
    <row r="99">
      <c r="A99" s="7">
        <f>IFERROR(__xludf.DUMMYFUNCTION("""COMPUTED_VALUE"""),45883.64583333333)</f>
        <v>45883.64583</v>
      </c>
      <c r="B99" s="6">
        <f>IFERROR(__xludf.DUMMYFUNCTION("""COMPUTED_VALUE"""),2695.9)</f>
        <v>2695.9</v>
      </c>
      <c r="C99" s="6">
        <f>IFERROR(__xludf.DUMMYFUNCTION("""COMPUTED_VALUE"""),2746.9)</f>
        <v>2746.9</v>
      </c>
      <c r="D99" s="6">
        <f>IFERROR(__xludf.DUMMYFUNCTION("""COMPUTED_VALUE"""),2650.0)</f>
        <v>2650</v>
      </c>
      <c r="E99" s="6">
        <f>IFERROR(__xludf.DUMMYFUNCTION("""COMPUTED_VALUE"""),2720.2)</f>
        <v>2720.2</v>
      </c>
      <c r="F99" s="6">
        <f>IFERROR(__xludf.DUMMYFUNCTION("""COMPUTED_VALUE"""),1456501.0)</f>
        <v>1456501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IFERROR(__xludf.DUMMYFUNCTION("""COMPUTED_VALUE"""),2747.2)</f>
        <v>2747.2</v>
      </c>
      <c r="C100" s="6">
        <f>IFERROR(__xludf.DUMMYFUNCTION("""COMPUTED_VALUE"""),2887.5)</f>
        <v>2887.5</v>
      </c>
      <c r="D100" s="6">
        <f>IFERROR(__xludf.DUMMYFUNCTION("""COMPUTED_VALUE"""),2673.6)</f>
        <v>2673.6</v>
      </c>
      <c r="E100" s="6">
        <f>IFERROR(__xludf.DUMMYFUNCTION("""COMPUTED_VALUE"""),2848.6)</f>
        <v>2848.6</v>
      </c>
      <c r="F100" s="6">
        <f>IFERROR(__xludf.DUMMYFUNCTION("""COMPUTED_VALUE"""),1549643.0)</f>
        <v>1549643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IFERROR(__xludf.DUMMYFUNCTION("""COMPUTED_VALUE"""),2900.0)</f>
        <v>2900</v>
      </c>
      <c r="C101" s="6">
        <f>IFERROR(__xludf.DUMMYFUNCTION("""COMPUTED_VALUE"""),2967.6)</f>
        <v>2967.6</v>
      </c>
      <c r="D101" s="6">
        <f>IFERROR(__xludf.DUMMYFUNCTION("""COMPUTED_VALUE"""),2865.4)</f>
        <v>2865.4</v>
      </c>
      <c r="E101" s="6">
        <f>IFERROR(__xludf.DUMMYFUNCTION("""COMPUTED_VALUE"""),2873.2)</f>
        <v>2873.2</v>
      </c>
      <c r="F101" s="6">
        <f>IFERROR(__xludf.DUMMYFUNCTION("""COMPUTED_VALUE"""),1.6944718E7)</f>
        <v>16944718</v>
      </c>
    </row>
  </sheetData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IFERROR(__xludf.DUMMYFUNCTION("GOOGLEFINANCE(""NSE:MRF"",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IFERROR(__xludf.DUMMYFUNCTION("""COMPUTED_VALUE"""),108523.7)</f>
        <v>108523.7</v>
      </c>
      <c r="C2" s="6">
        <f>IFERROR(__xludf.DUMMYFUNCTION("""COMPUTED_VALUE"""),109778.65)</f>
        <v>109778.65</v>
      </c>
      <c r="D2" s="6">
        <f>IFERROR(__xludf.DUMMYFUNCTION("""COMPUTED_VALUE"""),107559.05)</f>
        <v>107559.05</v>
      </c>
      <c r="E2" s="6">
        <f>IFERROR(__xludf.DUMMYFUNCTION("""COMPUTED_VALUE"""),107984.15)</f>
        <v>107984.15</v>
      </c>
      <c r="F2" s="6">
        <f>IFERROR(__xludf.DUMMYFUNCTION("""COMPUTED_VALUE"""),21298.0)</f>
        <v>21298</v>
      </c>
    </row>
    <row r="3">
      <c r="A3" s="7">
        <f>IFERROR(__xludf.DUMMYFUNCTION("""COMPUTED_VALUE"""),45177.64583333333)</f>
        <v>45177.64583</v>
      </c>
      <c r="B3" s="6">
        <f>IFERROR(__xludf.DUMMYFUNCTION("""COMPUTED_VALUE"""),108499.0)</f>
        <v>108499</v>
      </c>
      <c r="C3" s="6">
        <f>IFERROR(__xludf.DUMMYFUNCTION("""COMPUTED_VALUE"""),109885.6)</f>
        <v>109885.6</v>
      </c>
      <c r="D3" s="6">
        <f>IFERROR(__xludf.DUMMYFUNCTION("""COMPUTED_VALUE"""),107347.55)</f>
        <v>107347.55</v>
      </c>
      <c r="E3" s="6">
        <f>IFERROR(__xludf.DUMMYFUNCTION("""COMPUTED_VALUE"""),108858.4)</f>
        <v>108858.4</v>
      </c>
      <c r="F3" s="6">
        <f>IFERROR(__xludf.DUMMYFUNCTION("""COMPUTED_VALUE"""),22108.0)</f>
        <v>22108</v>
      </c>
    </row>
    <row r="4">
      <c r="A4" s="7">
        <f>IFERROR(__xludf.DUMMYFUNCTION("""COMPUTED_VALUE"""),45184.64583333333)</f>
        <v>45184.64583</v>
      </c>
      <c r="B4" s="6">
        <f>IFERROR(__xludf.DUMMYFUNCTION("""COMPUTED_VALUE"""),109450.0)</f>
        <v>109450</v>
      </c>
      <c r="C4" s="6">
        <f>IFERROR(__xludf.DUMMYFUNCTION("""COMPUTED_VALUE"""),112727.95)</f>
        <v>112727.95</v>
      </c>
      <c r="D4" s="6">
        <f>IFERROR(__xludf.DUMMYFUNCTION("""COMPUTED_VALUE"""),107476.8)</f>
        <v>107476.8</v>
      </c>
      <c r="E4" s="6">
        <f>IFERROR(__xludf.DUMMYFUNCTION("""COMPUTED_VALUE"""),109233.85)</f>
        <v>109233.85</v>
      </c>
      <c r="F4" s="6">
        <f>IFERROR(__xludf.DUMMYFUNCTION("""COMPUTED_VALUE"""),40567.0)</f>
        <v>40567</v>
      </c>
    </row>
    <row r="5">
      <c r="A5" s="7">
        <f>IFERROR(__xludf.DUMMYFUNCTION("""COMPUTED_VALUE"""),45191.64583333333)</f>
        <v>45191.64583</v>
      </c>
      <c r="B5" s="6">
        <f>IFERROR(__xludf.DUMMYFUNCTION("""COMPUTED_VALUE"""),109666.0)</f>
        <v>109666</v>
      </c>
      <c r="C5" s="6">
        <f>IFERROR(__xludf.DUMMYFUNCTION("""COMPUTED_VALUE"""),109798.75)</f>
        <v>109798.75</v>
      </c>
      <c r="D5" s="6">
        <f>IFERROR(__xludf.DUMMYFUNCTION("""COMPUTED_VALUE"""),108060.0)</f>
        <v>108060</v>
      </c>
      <c r="E5" s="6">
        <f>IFERROR(__xludf.DUMMYFUNCTION("""COMPUTED_VALUE"""),108655.05)</f>
        <v>108655.05</v>
      </c>
      <c r="F5" s="6">
        <f>IFERROR(__xludf.DUMMYFUNCTION("""COMPUTED_VALUE"""),18554.0)</f>
        <v>18554</v>
      </c>
    </row>
    <row r="6">
      <c r="A6" s="7">
        <f>IFERROR(__xludf.DUMMYFUNCTION("""COMPUTED_VALUE"""),45198.64583333333)</f>
        <v>45198.64583</v>
      </c>
      <c r="B6" s="6">
        <f>IFERROR(__xludf.DUMMYFUNCTION("""COMPUTED_VALUE"""),108999.95)</f>
        <v>108999.95</v>
      </c>
      <c r="C6" s="6">
        <f>IFERROR(__xludf.DUMMYFUNCTION("""COMPUTED_VALUE"""),110500.0)</f>
        <v>110500</v>
      </c>
      <c r="D6" s="6">
        <f>IFERROR(__xludf.DUMMYFUNCTION("""COMPUTED_VALUE"""),106800.0)</f>
        <v>106800</v>
      </c>
      <c r="E6" s="6">
        <f>IFERROR(__xludf.DUMMYFUNCTION("""COMPUTED_VALUE"""),107295.6)</f>
        <v>107295.6</v>
      </c>
      <c r="F6" s="6">
        <f>IFERROR(__xludf.DUMMYFUNCTION("""COMPUTED_VALUE"""),30915.0)</f>
        <v>30915</v>
      </c>
    </row>
    <row r="7">
      <c r="A7" s="7">
        <f>IFERROR(__xludf.DUMMYFUNCTION("""COMPUTED_VALUE"""),45205.64583333333)</f>
        <v>45205.64583</v>
      </c>
      <c r="B7" s="6">
        <f>IFERROR(__xludf.DUMMYFUNCTION("""COMPUTED_VALUE"""),108149.75)</f>
        <v>108149.75</v>
      </c>
      <c r="C7" s="6">
        <f>IFERROR(__xludf.DUMMYFUNCTION("""COMPUTED_VALUE"""),108600.6)</f>
        <v>108600.6</v>
      </c>
      <c r="D7" s="6">
        <f>IFERROR(__xludf.DUMMYFUNCTION("""COMPUTED_VALUE"""),106441.1)</f>
        <v>106441.1</v>
      </c>
      <c r="E7" s="6">
        <f>IFERROR(__xludf.DUMMYFUNCTION("""COMPUTED_VALUE"""),107550.25)</f>
        <v>107550.25</v>
      </c>
      <c r="F7" s="6">
        <f>IFERROR(__xludf.DUMMYFUNCTION("""COMPUTED_VALUE"""),15933.0)</f>
        <v>15933</v>
      </c>
    </row>
    <row r="8">
      <c r="A8" s="7">
        <f>IFERROR(__xludf.DUMMYFUNCTION("""COMPUTED_VALUE"""),45212.64583333333)</f>
        <v>45212.64583</v>
      </c>
      <c r="B8" s="6">
        <f>IFERROR(__xludf.DUMMYFUNCTION("""COMPUTED_VALUE"""),107350.0)</f>
        <v>107350</v>
      </c>
      <c r="C8" s="6">
        <f>IFERROR(__xludf.DUMMYFUNCTION("""COMPUTED_VALUE"""),109250.0)</f>
        <v>109250</v>
      </c>
      <c r="D8" s="6">
        <f>IFERROR(__xludf.DUMMYFUNCTION("""COMPUTED_VALUE"""),106405.0)</f>
        <v>106405</v>
      </c>
      <c r="E8" s="6">
        <f>IFERROR(__xludf.DUMMYFUNCTION("""COMPUTED_VALUE"""),109092.75)</f>
        <v>109092.75</v>
      </c>
      <c r="F8" s="6">
        <f>IFERROR(__xludf.DUMMYFUNCTION("""COMPUTED_VALUE"""),18327.0)</f>
        <v>18327</v>
      </c>
    </row>
    <row r="9">
      <c r="A9" s="7">
        <f>IFERROR(__xludf.DUMMYFUNCTION("""COMPUTED_VALUE"""),45219.64583333333)</f>
        <v>45219.64583</v>
      </c>
      <c r="B9" s="6">
        <f>IFERROR(__xludf.DUMMYFUNCTION("""COMPUTED_VALUE"""),108990.1)</f>
        <v>108990.1</v>
      </c>
      <c r="C9" s="6">
        <f>IFERROR(__xludf.DUMMYFUNCTION("""COMPUTED_VALUE"""),113439.3)</f>
        <v>113439.3</v>
      </c>
      <c r="D9" s="6">
        <f>IFERROR(__xludf.DUMMYFUNCTION("""COMPUTED_VALUE"""),108320.95)</f>
        <v>108320.95</v>
      </c>
      <c r="E9" s="6">
        <f>IFERROR(__xludf.DUMMYFUNCTION("""COMPUTED_VALUE"""),109504.6)</f>
        <v>109504.6</v>
      </c>
      <c r="F9" s="6">
        <f>IFERROR(__xludf.DUMMYFUNCTION("""COMPUTED_VALUE"""),34431.0)</f>
        <v>34431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IFERROR(__xludf.DUMMYFUNCTION("""COMPUTED_VALUE"""),109350.0)</f>
        <v>109350</v>
      </c>
      <c r="C10" s="6">
        <f>IFERROR(__xludf.DUMMYFUNCTION("""COMPUTED_VALUE"""),110400.0)</f>
        <v>110400</v>
      </c>
      <c r="D10" s="6">
        <f>IFERROR(__xludf.DUMMYFUNCTION("""COMPUTED_VALUE"""),107075.95)</f>
        <v>107075.95</v>
      </c>
      <c r="E10" s="6">
        <f>IFERROR(__xludf.DUMMYFUNCTION("""COMPUTED_VALUE"""),108190.8)</f>
        <v>108190.8</v>
      </c>
      <c r="F10" s="6">
        <f>IFERROR(__xludf.DUMMYFUNCTION("""COMPUTED_VALUE"""),23793.0)</f>
        <v>23793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IFERROR(__xludf.DUMMYFUNCTION("""COMPUTED_VALUE"""),108190.8)</f>
        <v>108190.8</v>
      </c>
      <c r="C11" s="6">
        <f>IFERROR(__xludf.DUMMYFUNCTION("""COMPUTED_VALUE"""),111800.0)</f>
        <v>111800</v>
      </c>
      <c r="D11" s="6">
        <f>IFERROR(__xludf.DUMMYFUNCTION("""COMPUTED_VALUE"""),107300.0)</f>
        <v>107300</v>
      </c>
      <c r="E11" s="6">
        <f>IFERROR(__xludf.DUMMYFUNCTION("""COMPUTED_VALUE"""),107723.25)</f>
        <v>107723.25</v>
      </c>
      <c r="F11" s="6">
        <f>IFERROR(__xludf.DUMMYFUNCTION("""COMPUTED_VALUE"""),47198.0)</f>
        <v>47198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IFERROR(__xludf.DUMMYFUNCTION("""COMPUTED_VALUE"""),108895.0)</f>
        <v>108895</v>
      </c>
      <c r="C12" s="6">
        <f>IFERROR(__xludf.DUMMYFUNCTION("""COMPUTED_VALUE"""),109108.95)</f>
        <v>109108.95</v>
      </c>
      <c r="D12" s="6">
        <f>IFERROR(__xludf.DUMMYFUNCTION("""COMPUTED_VALUE"""),107008.05)</f>
        <v>107008.05</v>
      </c>
      <c r="E12" s="6">
        <f>IFERROR(__xludf.DUMMYFUNCTION("""COMPUTED_VALUE"""),108295.7)</f>
        <v>108295.7</v>
      </c>
      <c r="F12" s="6">
        <f>IFERROR(__xludf.DUMMYFUNCTION("""COMPUTED_VALUE"""),26619.0)</f>
        <v>26619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IFERROR(__xludf.DUMMYFUNCTION("""COMPUTED_VALUE"""),108545.0)</f>
        <v>108545</v>
      </c>
      <c r="C13" s="6">
        <f>IFERROR(__xludf.DUMMYFUNCTION("""COMPUTED_VALUE"""),112599.9)</f>
        <v>112599.9</v>
      </c>
      <c r="D13" s="6">
        <f>IFERROR(__xludf.DUMMYFUNCTION("""COMPUTED_VALUE"""),107033.05)</f>
        <v>107033.05</v>
      </c>
      <c r="E13" s="6">
        <f>IFERROR(__xludf.DUMMYFUNCTION("""COMPUTED_VALUE"""),111475.25)</f>
        <v>111475.25</v>
      </c>
      <c r="F13" s="6">
        <f>IFERROR(__xludf.DUMMYFUNCTION("""COMPUTED_VALUE"""),32185.0)</f>
        <v>32185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IFERROR(__xludf.DUMMYFUNCTION("""COMPUTED_VALUE"""),111339.0)</f>
        <v>111339</v>
      </c>
      <c r="C14" s="6">
        <f>IFERROR(__xludf.DUMMYFUNCTION("""COMPUTED_VALUE"""),111999.95)</f>
        <v>111999.95</v>
      </c>
      <c r="D14" s="6">
        <f>IFERROR(__xludf.DUMMYFUNCTION("""COMPUTED_VALUE"""),110617.55)</f>
        <v>110617.55</v>
      </c>
      <c r="E14" s="6">
        <f>IFERROR(__xludf.DUMMYFUNCTION("""COMPUTED_VALUE"""),111448.2)</f>
        <v>111448.2</v>
      </c>
      <c r="F14" s="6">
        <f>IFERROR(__xludf.DUMMYFUNCTION("""COMPUTED_VALUE"""),15261.0)</f>
        <v>15261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IFERROR(__xludf.DUMMYFUNCTION("""COMPUTED_VALUE"""),111400.0)</f>
        <v>111400</v>
      </c>
      <c r="C15" s="6">
        <f>IFERROR(__xludf.DUMMYFUNCTION("""COMPUTED_VALUE"""),112989.95)</f>
        <v>112989.95</v>
      </c>
      <c r="D15" s="6">
        <f>IFERROR(__xludf.DUMMYFUNCTION("""COMPUTED_VALUE"""),111110.5)</f>
        <v>111110.5</v>
      </c>
      <c r="E15" s="6">
        <f>IFERROR(__xludf.DUMMYFUNCTION("""COMPUTED_VALUE"""),111409.3)</f>
        <v>111409.3</v>
      </c>
      <c r="F15" s="6">
        <f>IFERROR(__xludf.DUMMYFUNCTION("""COMPUTED_VALUE"""),25298.0)</f>
        <v>25298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IFERROR(__xludf.DUMMYFUNCTION("""COMPUTED_VALUE"""),112000.0)</f>
        <v>112000</v>
      </c>
      <c r="C16" s="6">
        <f>IFERROR(__xludf.DUMMYFUNCTION("""COMPUTED_VALUE"""),119000.0)</f>
        <v>119000</v>
      </c>
      <c r="D16" s="6">
        <f>IFERROR(__xludf.DUMMYFUNCTION("""COMPUTED_VALUE"""),110856.2)</f>
        <v>110856.2</v>
      </c>
      <c r="E16" s="6">
        <f>IFERROR(__xludf.DUMMYFUNCTION("""COMPUTED_VALUE"""),117949.4)</f>
        <v>117949.4</v>
      </c>
      <c r="F16" s="6">
        <f>IFERROR(__xludf.DUMMYFUNCTION("""COMPUTED_VALUE"""),34524.0)</f>
        <v>34524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IFERROR(__xludf.DUMMYFUNCTION("""COMPUTED_VALUE"""),117950.0)</f>
        <v>117950</v>
      </c>
      <c r="C17" s="6">
        <f>IFERROR(__xludf.DUMMYFUNCTION("""COMPUTED_VALUE"""),121193.35)</f>
        <v>121193.35</v>
      </c>
      <c r="D17" s="6">
        <f>IFERROR(__xludf.DUMMYFUNCTION("""COMPUTED_VALUE"""),117616.1)</f>
        <v>117616.1</v>
      </c>
      <c r="E17" s="6">
        <f>IFERROR(__xludf.DUMMYFUNCTION("""COMPUTED_VALUE"""),120084.05)</f>
        <v>120084.05</v>
      </c>
      <c r="F17" s="6">
        <f>IFERROR(__xludf.DUMMYFUNCTION("""COMPUTED_VALUE"""),30861.0)</f>
        <v>30861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IFERROR(__xludf.DUMMYFUNCTION("""COMPUTED_VALUE"""),120086.0)</f>
        <v>120086</v>
      </c>
      <c r="C18" s="6">
        <f>IFERROR(__xludf.DUMMYFUNCTION("""COMPUTED_VALUE"""),120699.95)</f>
        <v>120699.95</v>
      </c>
      <c r="D18" s="6">
        <f>IFERROR(__xludf.DUMMYFUNCTION("""COMPUTED_VALUE"""),115500.05)</f>
        <v>115500.05</v>
      </c>
      <c r="E18" s="6">
        <f>IFERROR(__xludf.DUMMYFUNCTION("""COMPUTED_VALUE"""),119544.3)</f>
        <v>119544.3</v>
      </c>
      <c r="F18" s="6">
        <f>IFERROR(__xludf.DUMMYFUNCTION("""COMPUTED_VALUE"""),29586.0)</f>
        <v>29586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IFERROR(__xludf.DUMMYFUNCTION("""COMPUTED_VALUE"""),120280.0)</f>
        <v>120280</v>
      </c>
      <c r="C19" s="6">
        <f>IFERROR(__xludf.DUMMYFUNCTION("""COMPUTED_VALUE"""),130399.35)</f>
        <v>130399.35</v>
      </c>
      <c r="D19" s="6">
        <f>IFERROR(__xludf.DUMMYFUNCTION("""COMPUTED_VALUE"""),119701.0)</f>
        <v>119701</v>
      </c>
      <c r="E19" s="6">
        <f>IFERROR(__xludf.DUMMYFUNCTION("""COMPUTED_VALUE"""),129579.25)</f>
        <v>129579.25</v>
      </c>
      <c r="F19" s="6">
        <f>IFERROR(__xludf.DUMMYFUNCTION("""COMPUTED_VALUE"""),38162.0)</f>
        <v>38162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IFERROR(__xludf.DUMMYFUNCTION("""COMPUTED_VALUE"""),129570.0)</f>
        <v>129570</v>
      </c>
      <c r="C20" s="6">
        <f>IFERROR(__xludf.DUMMYFUNCTION("""COMPUTED_VALUE"""),133500.05)</f>
        <v>133500.05</v>
      </c>
      <c r="D20" s="6">
        <f>IFERROR(__xludf.DUMMYFUNCTION("""COMPUTED_VALUE"""),127257.1)</f>
        <v>127257.1</v>
      </c>
      <c r="E20" s="6">
        <f>IFERROR(__xludf.DUMMYFUNCTION("""COMPUTED_VALUE"""),132701.25)</f>
        <v>132701.25</v>
      </c>
      <c r="F20" s="6">
        <f>IFERROR(__xludf.DUMMYFUNCTION("""COMPUTED_VALUE"""),40107.0)</f>
        <v>40107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IFERROR(__xludf.DUMMYFUNCTION("""COMPUTED_VALUE"""),133401.0)</f>
        <v>133401</v>
      </c>
      <c r="C21" s="6">
        <f>IFERROR(__xludf.DUMMYFUNCTION("""COMPUTED_VALUE"""),134639.9)</f>
        <v>134639.9</v>
      </c>
      <c r="D21" s="6">
        <f>IFERROR(__xludf.DUMMYFUNCTION("""COMPUTED_VALUE"""),130210.0)</f>
        <v>130210</v>
      </c>
      <c r="E21" s="6">
        <f>IFERROR(__xludf.DUMMYFUNCTION("""COMPUTED_VALUE"""),134351.1)</f>
        <v>134351.1</v>
      </c>
      <c r="F21" s="6">
        <f>IFERROR(__xludf.DUMMYFUNCTION("""COMPUTED_VALUE"""),30981.0)</f>
        <v>30981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IFERROR(__xludf.DUMMYFUNCTION("""COMPUTED_VALUE"""),145786.0)</f>
        <v>145786</v>
      </c>
      <c r="C22" s="6">
        <f>IFERROR(__xludf.DUMMYFUNCTION("""COMPUTED_VALUE"""),147849.8)</f>
        <v>147849.8</v>
      </c>
      <c r="D22" s="6">
        <f>IFERROR(__xludf.DUMMYFUNCTION("""COMPUTED_VALUE"""),136105.25)</f>
        <v>136105.25</v>
      </c>
      <c r="E22" s="6">
        <f>IFERROR(__xludf.DUMMYFUNCTION("""COMPUTED_VALUE"""),136857.95)</f>
        <v>136857.95</v>
      </c>
      <c r="F22" s="6">
        <f>IFERROR(__xludf.DUMMYFUNCTION("""COMPUTED_VALUE"""),52939.0)</f>
        <v>52939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IFERROR(__xludf.DUMMYFUNCTION("""COMPUTED_VALUE"""),136857.15)</f>
        <v>136857.15</v>
      </c>
      <c r="C23" s="6">
        <f>IFERROR(__xludf.DUMMYFUNCTION("""COMPUTED_VALUE"""),144750.0)</f>
        <v>144750</v>
      </c>
      <c r="D23" s="6">
        <f>IFERROR(__xludf.DUMMYFUNCTION("""COMPUTED_VALUE"""),136333.05)</f>
        <v>136333.05</v>
      </c>
      <c r="E23" s="6">
        <f>IFERROR(__xludf.DUMMYFUNCTION("""COMPUTED_VALUE"""),140941.85)</f>
        <v>140941.85</v>
      </c>
      <c r="F23" s="6">
        <f>IFERROR(__xludf.DUMMYFUNCTION("""COMPUTED_VALUE"""),76025.0)</f>
        <v>76025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IFERROR(__xludf.DUMMYFUNCTION("""COMPUTED_VALUE"""),142885.0)</f>
        <v>142885</v>
      </c>
      <c r="C24" s="6">
        <f>IFERROR(__xludf.DUMMYFUNCTION("""COMPUTED_VALUE"""),144827.55)</f>
        <v>144827.55</v>
      </c>
      <c r="D24" s="6">
        <f>IFERROR(__xludf.DUMMYFUNCTION("""COMPUTED_VALUE"""),136300.0)</f>
        <v>136300</v>
      </c>
      <c r="E24" s="6">
        <f>IFERROR(__xludf.DUMMYFUNCTION("""COMPUTED_VALUE"""),137083.35)</f>
        <v>137083.35</v>
      </c>
      <c r="F24" s="6">
        <f>IFERROR(__xludf.DUMMYFUNCTION("""COMPUTED_VALUE"""),69336.0)</f>
        <v>69336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IFERROR(__xludf.DUMMYFUNCTION("""COMPUTED_VALUE"""),137600.0)</f>
        <v>137600</v>
      </c>
      <c r="C25" s="6">
        <f>IFERROR(__xludf.DUMMYFUNCTION("""COMPUTED_VALUE"""),150199.4)</f>
        <v>150199.4</v>
      </c>
      <c r="D25" s="6">
        <f>IFERROR(__xludf.DUMMYFUNCTION("""COMPUTED_VALUE"""),137555.0)</f>
        <v>137555</v>
      </c>
      <c r="E25" s="6">
        <f>IFERROR(__xludf.DUMMYFUNCTION("""COMPUTED_VALUE"""),148054.5)</f>
        <v>148054.5</v>
      </c>
      <c r="F25" s="6">
        <f>IFERROR(__xludf.DUMMYFUNCTION("""COMPUTED_VALUE"""),94376.0)</f>
        <v>94376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IFERROR(__xludf.DUMMYFUNCTION("""COMPUTED_VALUE"""),148998.4)</f>
        <v>148998.4</v>
      </c>
      <c r="C26" s="6">
        <f>IFERROR(__xludf.DUMMYFUNCTION("""COMPUTED_VALUE"""),151445.0)</f>
        <v>151445</v>
      </c>
      <c r="D26" s="6">
        <f>IFERROR(__xludf.DUMMYFUNCTION("""COMPUTED_VALUE"""),147129.55)</f>
        <v>147129.55</v>
      </c>
      <c r="E26" s="6">
        <f>IFERROR(__xludf.DUMMYFUNCTION("""COMPUTED_VALUE"""),150725.0)</f>
        <v>150725</v>
      </c>
      <c r="F26" s="6">
        <f>IFERROR(__xludf.DUMMYFUNCTION("""COMPUTED_VALUE"""),45633.0)</f>
        <v>45633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IFERROR(__xludf.DUMMYFUNCTION("""COMPUTED_VALUE"""),145625.0)</f>
        <v>145625</v>
      </c>
      <c r="C27" s="6">
        <f>IFERROR(__xludf.DUMMYFUNCTION("""COMPUTED_VALUE"""),147144.95)</f>
        <v>147144.95</v>
      </c>
      <c r="D27" s="6">
        <f>IFERROR(__xludf.DUMMYFUNCTION("""COMPUTED_VALUE"""),143528.2)</f>
        <v>143528.2</v>
      </c>
      <c r="E27" s="6">
        <f>IFERROR(__xludf.DUMMYFUNCTION("""COMPUTED_VALUE"""),143956.65)</f>
        <v>143956.65</v>
      </c>
      <c r="F27" s="6">
        <f>IFERROR(__xludf.DUMMYFUNCTION("""COMPUTED_VALUE"""),26688.0)</f>
        <v>26688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IFERROR(__xludf.DUMMYFUNCTION("""COMPUTED_VALUE"""),144500.0)</f>
        <v>144500</v>
      </c>
      <c r="C28" s="6">
        <f>IFERROR(__xludf.DUMMYFUNCTION("""COMPUTED_VALUE"""),145337.3)</f>
        <v>145337.3</v>
      </c>
      <c r="D28" s="6">
        <f>IFERROR(__xludf.DUMMYFUNCTION("""COMPUTED_VALUE"""),137545.85)</f>
        <v>137545.85</v>
      </c>
      <c r="E28" s="6">
        <f>IFERROR(__xludf.DUMMYFUNCTION("""COMPUTED_VALUE"""),141312.05)</f>
        <v>141312.05</v>
      </c>
      <c r="F28" s="6">
        <f>IFERROR(__xludf.DUMMYFUNCTION("""COMPUTED_VALUE"""),57924.0)</f>
        <v>57924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IFERROR(__xludf.DUMMYFUNCTION("""COMPUTED_VALUE"""),141300.0)</f>
        <v>141300</v>
      </c>
      <c r="C29" s="6">
        <f>IFERROR(__xludf.DUMMYFUNCTION("""COMPUTED_VALUE"""),141300.0)</f>
        <v>141300</v>
      </c>
      <c r="D29" s="6">
        <f>IFERROR(__xludf.DUMMYFUNCTION("""COMPUTED_VALUE"""),129614.6)</f>
        <v>129614.6</v>
      </c>
      <c r="E29" s="6">
        <f>IFERROR(__xludf.DUMMYFUNCTION("""COMPUTED_VALUE"""),131302.95)</f>
        <v>131302.95</v>
      </c>
      <c r="F29" s="6">
        <f>IFERROR(__xludf.DUMMYFUNCTION("""COMPUTED_VALUE"""),65720.0)</f>
        <v>65720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IFERROR(__xludf.DUMMYFUNCTION("""COMPUTED_VALUE"""),131995.0)</f>
        <v>131995</v>
      </c>
      <c r="C30" s="6">
        <f>IFERROR(__xludf.DUMMYFUNCTION("""COMPUTED_VALUE"""),134000.0)</f>
        <v>134000</v>
      </c>
      <c r="D30" s="6">
        <f>IFERROR(__xludf.DUMMYFUNCTION("""COMPUTED_VALUE"""),130700.05)</f>
        <v>130700.05</v>
      </c>
      <c r="E30" s="6">
        <f>IFERROR(__xludf.DUMMYFUNCTION("""COMPUTED_VALUE"""),133387.35)</f>
        <v>133387.35</v>
      </c>
      <c r="F30" s="6">
        <f>IFERROR(__xludf.DUMMYFUNCTION("""COMPUTED_VALUE"""),26134.0)</f>
        <v>26134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IFERROR(__xludf.DUMMYFUNCTION("""COMPUTED_VALUE"""),135995.0)</f>
        <v>135995</v>
      </c>
      <c r="C31" s="6">
        <f>IFERROR(__xludf.DUMMYFUNCTION("""COMPUTED_VALUE"""),137554.95)</f>
        <v>137554.95</v>
      </c>
      <c r="D31" s="6">
        <f>IFERROR(__xludf.DUMMYFUNCTION("""COMPUTED_VALUE"""),134500.0)</f>
        <v>134500</v>
      </c>
      <c r="E31" s="6">
        <f>IFERROR(__xludf.DUMMYFUNCTION("""COMPUTED_VALUE"""),135464.6)</f>
        <v>135464.6</v>
      </c>
      <c r="F31" s="6">
        <f>IFERROR(__xludf.DUMMYFUNCTION("""COMPUTED_VALUE"""),39280.0)</f>
        <v>39280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IFERROR(__xludf.DUMMYFUNCTION("""COMPUTED_VALUE"""),134807.0)</f>
        <v>134807</v>
      </c>
      <c r="C32" s="6">
        <f>IFERROR(__xludf.DUMMYFUNCTION("""COMPUTED_VALUE"""),135799.0)</f>
        <v>135799</v>
      </c>
      <c r="D32" s="6">
        <f>IFERROR(__xludf.DUMMYFUNCTION("""COMPUTED_VALUE"""),130775.25)</f>
        <v>130775.25</v>
      </c>
      <c r="E32" s="6">
        <f>IFERROR(__xludf.DUMMYFUNCTION("""COMPUTED_VALUE"""),131716.5)</f>
        <v>131716.5</v>
      </c>
      <c r="F32" s="6">
        <f>IFERROR(__xludf.DUMMYFUNCTION("""COMPUTED_VALUE"""),28595.0)</f>
        <v>28595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IFERROR(__xludf.DUMMYFUNCTION("""COMPUTED_VALUE"""),131399.5)</f>
        <v>131399.5</v>
      </c>
      <c r="C33" s="6">
        <f>IFERROR(__xludf.DUMMYFUNCTION("""COMPUTED_VALUE"""),131503.1)</f>
        <v>131503.1</v>
      </c>
      <c r="D33" s="6">
        <f>IFERROR(__xludf.DUMMYFUNCTION("""COMPUTED_VALUE"""),127312.1)</f>
        <v>127312.1</v>
      </c>
      <c r="E33" s="6">
        <f>IFERROR(__xludf.DUMMYFUNCTION("""COMPUTED_VALUE"""),129157.65)</f>
        <v>129157.65</v>
      </c>
      <c r="F33" s="6">
        <f>IFERROR(__xludf.DUMMYFUNCTION("""COMPUTED_VALUE"""),26739.0)</f>
        <v>26739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IFERROR(__xludf.DUMMYFUNCTION("""COMPUTED_VALUE"""),129900.0)</f>
        <v>129900</v>
      </c>
      <c r="C34" s="6">
        <f>IFERROR(__xludf.DUMMYFUNCTION("""COMPUTED_VALUE"""),131651.0)</f>
        <v>131651</v>
      </c>
      <c r="D34" s="6">
        <f>IFERROR(__xludf.DUMMYFUNCTION("""COMPUTED_VALUE"""),128200.0)</f>
        <v>128200</v>
      </c>
      <c r="E34" s="6">
        <f>IFERROR(__xludf.DUMMYFUNCTION("""COMPUTED_VALUE"""),130237.75)</f>
        <v>130237.75</v>
      </c>
      <c r="F34" s="6">
        <f>IFERROR(__xludf.DUMMYFUNCTION("""COMPUTED_VALUE"""),25712.0)</f>
        <v>25712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IFERROR(__xludf.DUMMYFUNCTION("""COMPUTED_VALUE"""),131000.0)</f>
        <v>131000</v>
      </c>
      <c r="C35" s="6">
        <f>IFERROR(__xludf.DUMMYFUNCTION("""COMPUTED_VALUE"""),135582.4)</f>
        <v>135582.4</v>
      </c>
      <c r="D35" s="6">
        <f>IFERROR(__xludf.DUMMYFUNCTION("""COMPUTED_VALUE"""),127767.9)</f>
        <v>127767.9</v>
      </c>
      <c r="E35" s="6">
        <f>IFERROR(__xludf.DUMMYFUNCTION("""COMPUTED_VALUE"""),128560.4)</f>
        <v>128560.4</v>
      </c>
      <c r="F35" s="6">
        <f>IFERROR(__xludf.DUMMYFUNCTION("""COMPUTED_VALUE"""),60096.0)</f>
        <v>60096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IFERROR(__xludf.DUMMYFUNCTION("""COMPUTED_VALUE"""),129450.0)</f>
        <v>129450</v>
      </c>
      <c r="C36" s="6">
        <f>IFERROR(__xludf.DUMMYFUNCTION("""COMPUTED_VALUE"""),129450.0)</f>
        <v>129450</v>
      </c>
      <c r="D36" s="6">
        <f>IFERROR(__xludf.DUMMYFUNCTION("""COMPUTED_VALUE"""),123111.1)</f>
        <v>123111.1</v>
      </c>
      <c r="E36" s="6">
        <f>IFERROR(__xludf.DUMMYFUNCTION("""COMPUTED_VALUE"""),127595.7)</f>
        <v>127595.7</v>
      </c>
      <c r="F36" s="6">
        <f>IFERROR(__xludf.DUMMYFUNCTION("""COMPUTED_VALUE"""),51638.0)</f>
        <v>51638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IFERROR(__xludf.DUMMYFUNCTION("""COMPUTED_VALUE"""),127560.0)</f>
        <v>127560</v>
      </c>
      <c r="C37" s="6">
        <f>IFERROR(__xludf.DUMMYFUNCTION("""COMPUTED_VALUE"""),131497.0)</f>
        <v>131497</v>
      </c>
      <c r="D37" s="6">
        <f>IFERROR(__xludf.DUMMYFUNCTION("""COMPUTED_VALUE"""),127560.0)</f>
        <v>127560</v>
      </c>
      <c r="E37" s="6">
        <f>IFERROR(__xludf.DUMMYFUNCTION("""COMPUTED_VALUE"""),131039.55)</f>
        <v>131039.55</v>
      </c>
      <c r="F37" s="6">
        <f>IFERROR(__xludf.DUMMYFUNCTION("""COMPUTED_VALUE"""),34752.0)</f>
        <v>34752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IFERROR(__xludf.DUMMYFUNCTION("""COMPUTED_VALUE"""),130800.0)</f>
        <v>130800</v>
      </c>
      <c r="C38" s="6">
        <f>IFERROR(__xludf.DUMMYFUNCTION("""COMPUTED_VALUE"""),132800.0)</f>
        <v>132800</v>
      </c>
      <c r="D38" s="6">
        <f>IFERROR(__xludf.DUMMYFUNCTION("""COMPUTED_VALUE"""),125027.55)</f>
        <v>125027.55</v>
      </c>
      <c r="E38" s="6">
        <f>IFERROR(__xludf.DUMMYFUNCTION("""COMPUTED_VALUE"""),125431.5)</f>
        <v>125431.5</v>
      </c>
      <c r="F38" s="6">
        <f>IFERROR(__xludf.DUMMYFUNCTION("""COMPUTED_VALUE"""),50473.0)</f>
        <v>50473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IFERROR(__xludf.DUMMYFUNCTION("""COMPUTED_VALUE"""),128900.0)</f>
        <v>128900</v>
      </c>
      <c r="C39" s="6">
        <f>IFERROR(__xludf.DUMMYFUNCTION("""COMPUTED_VALUE"""),128900.0)</f>
        <v>128900</v>
      </c>
      <c r="D39" s="6">
        <f>IFERROR(__xludf.DUMMYFUNCTION("""COMPUTED_VALUE"""),116347.85)</f>
        <v>116347.85</v>
      </c>
      <c r="E39" s="6">
        <f>IFERROR(__xludf.DUMMYFUNCTION("""COMPUTED_VALUE"""),127280.45)</f>
        <v>127280.45</v>
      </c>
      <c r="F39" s="6">
        <f>IFERROR(__xludf.DUMMYFUNCTION("""COMPUTED_VALUE"""),65086.0)</f>
        <v>65086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IFERROR(__xludf.DUMMYFUNCTION("""COMPUTED_VALUE"""),128199.0)</f>
        <v>128199</v>
      </c>
      <c r="C40" s="6">
        <f>IFERROR(__xludf.DUMMYFUNCTION("""COMPUTED_VALUE"""),128200.0)</f>
        <v>128200</v>
      </c>
      <c r="D40" s="6">
        <f>IFERROR(__xludf.DUMMYFUNCTION("""COMPUTED_VALUE"""),125387.0)</f>
        <v>125387</v>
      </c>
      <c r="E40" s="6">
        <f>IFERROR(__xludf.DUMMYFUNCTION("""COMPUTED_VALUE"""),125580.7)</f>
        <v>125580.7</v>
      </c>
      <c r="F40" s="6">
        <f>IFERROR(__xludf.DUMMYFUNCTION("""COMPUTED_VALUE"""),32983.0)</f>
        <v>32983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IFERROR(__xludf.DUMMYFUNCTION("""COMPUTED_VALUE"""),125580.7)</f>
        <v>125580.7</v>
      </c>
      <c r="C41" s="6">
        <f>IFERROR(__xludf.DUMMYFUNCTION("""COMPUTED_VALUE"""),127100.0)</f>
        <v>127100</v>
      </c>
      <c r="D41" s="6">
        <f>IFERROR(__xludf.DUMMYFUNCTION("""COMPUTED_VALUE"""),124615.35)</f>
        <v>124615.35</v>
      </c>
      <c r="E41" s="6">
        <f>IFERROR(__xludf.DUMMYFUNCTION("""COMPUTED_VALUE"""),125289.3)</f>
        <v>125289.3</v>
      </c>
      <c r="F41" s="6">
        <f>IFERROR(__xludf.DUMMYFUNCTION("""COMPUTED_VALUE"""),21787.0)</f>
        <v>21787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IFERROR(__xludf.DUMMYFUNCTION("""COMPUTED_VALUE"""),125694.0)</f>
        <v>125694</v>
      </c>
      <c r="C42" s="6">
        <f>IFERROR(__xludf.DUMMYFUNCTION("""COMPUTED_VALUE"""),130837.4)</f>
        <v>130837.4</v>
      </c>
      <c r="D42" s="6">
        <f>IFERROR(__xludf.DUMMYFUNCTION("""COMPUTED_VALUE"""),124500.0)</f>
        <v>124500</v>
      </c>
      <c r="E42" s="6">
        <f>IFERROR(__xludf.DUMMYFUNCTION("""COMPUTED_VALUE"""),129459.15)</f>
        <v>129459.15</v>
      </c>
      <c r="F42" s="6">
        <f>IFERROR(__xludf.DUMMYFUNCTION("""COMPUTED_VALUE"""),49910.0)</f>
        <v>49910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IFERROR(__xludf.DUMMYFUNCTION("""COMPUTED_VALUE"""),129600.5)</f>
        <v>129600.5</v>
      </c>
      <c r="C43" s="6">
        <f>IFERROR(__xludf.DUMMYFUNCTION("""COMPUTED_VALUE"""),130650.0)</f>
        <v>130650</v>
      </c>
      <c r="D43" s="6">
        <f>IFERROR(__xludf.DUMMYFUNCTION("""COMPUTED_VALUE"""),127701.5)</f>
        <v>127701.5</v>
      </c>
      <c r="E43" s="6">
        <f>IFERROR(__xludf.DUMMYFUNCTION("""COMPUTED_VALUE"""),128951.05)</f>
        <v>128951.05</v>
      </c>
      <c r="F43" s="6">
        <f>IFERROR(__xludf.DUMMYFUNCTION("""COMPUTED_VALUE"""),36916.0)</f>
        <v>36916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IFERROR(__xludf.DUMMYFUNCTION("""COMPUTED_VALUE"""),129174.0)</f>
        <v>129174</v>
      </c>
      <c r="C44" s="6">
        <f>IFERROR(__xludf.DUMMYFUNCTION("""COMPUTED_VALUE"""),131999.0)</f>
        <v>131999</v>
      </c>
      <c r="D44" s="6">
        <f>IFERROR(__xludf.DUMMYFUNCTION("""COMPUTED_VALUE"""),128058.95)</f>
        <v>128058.95</v>
      </c>
      <c r="E44" s="6">
        <f>IFERROR(__xludf.DUMMYFUNCTION("""COMPUTED_VALUE"""),129690.9)</f>
        <v>129690.9</v>
      </c>
      <c r="F44" s="6">
        <f>IFERROR(__xludf.DUMMYFUNCTION("""COMPUTED_VALUE"""),43466.0)</f>
        <v>43466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IFERROR(__xludf.DUMMYFUNCTION("""COMPUTED_VALUE"""),130220.0)</f>
        <v>130220</v>
      </c>
      <c r="C45" s="6">
        <f>IFERROR(__xludf.DUMMYFUNCTION("""COMPUTED_VALUE"""),134350.0)</f>
        <v>134350</v>
      </c>
      <c r="D45" s="6">
        <f>IFERROR(__xludf.DUMMYFUNCTION("""COMPUTED_VALUE"""),127500.0)</f>
        <v>127500</v>
      </c>
      <c r="E45" s="6">
        <f>IFERROR(__xludf.DUMMYFUNCTION("""COMPUTED_VALUE"""),128123.55)</f>
        <v>128123.55</v>
      </c>
      <c r="F45" s="6">
        <f>IFERROR(__xludf.DUMMYFUNCTION("""COMPUTED_VALUE"""),49503.0)</f>
        <v>49503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IFERROR(__xludf.DUMMYFUNCTION("""COMPUTED_VALUE"""),128123.55)</f>
        <v>128123.55</v>
      </c>
      <c r="C46" s="6">
        <f>IFERROR(__xludf.DUMMYFUNCTION("""COMPUTED_VALUE"""),139995.0)</f>
        <v>139995</v>
      </c>
      <c r="D46" s="6">
        <f>IFERROR(__xludf.DUMMYFUNCTION("""COMPUTED_VALUE"""),126225.6)</f>
        <v>126225.6</v>
      </c>
      <c r="E46" s="6">
        <f>IFERROR(__xludf.DUMMYFUNCTION("""COMPUTED_VALUE"""),138870.35)</f>
        <v>138870.35</v>
      </c>
      <c r="F46" s="6">
        <f>IFERROR(__xludf.DUMMYFUNCTION("""COMPUTED_VALUE"""),91820.0)</f>
        <v>91820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IFERROR(__xludf.DUMMYFUNCTION("""COMPUTED_VALUE"""),138880.5)</f>
        <v>138880.5</v>
      </c>
      <c r="C47" s="6">
        <f>IFERROR(__xludf.DUMMYFUNCTION("""COMPUTED_VALUE"""),143849.9)</f>
        <v>143849.9</v>
      </c>
      <c r="D47" s="6">
        <f>IFERROR(__xludf.DUMMYFUNCTION("""COMPUTED_VALUE"""),138001.0)</f>
        <v>138001</v>
      </c>
      <c r="E47" s="6">
        <f>IFERROR(__xludf.DUMMYFUNCTION("""COMPUTED_VALUE"""),138360.35)</f>
        <v>138360.35</v>
      </c>
      <c r="F47" s="6">
        <f>IFERROR(__xludf.DUMMYFUNCTION("""COMPUTED_VALUE"""),46783.0)</f>
        <v>46783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IFERROR(__xludf.DUMMYFUNCTION("""COMPUTED_VALUE"""),136800.0)</f>
        <v>136800</v>
      </c>
      <c r="C48" s="6">
        <f>IFERROR(__xludf.DUMMYFUNCTION("""COMPUTED_VALUE"""),142500.0)</f>
        <v>142500</v>
      </c>
      <c r="D48" s="6">
        <f>IFERROR(__xludf.DUMMYFUNCTION("""COMPUTED_VALUE"""),132000.0)</f>
        <v>132000</v>
      </c>
      <c r="E48" s="6">
        <f>IFERROR(__xludf.DUMMYFUNCTION("""COMPUTED_VALUE"""),136911.7)</f>
        <v>136911.7</v>
      </c>
      <c r="F48" s="6">
        <f>IFERROR(__xludf.DUMMYFUNCTION("""COMPUTED_VALUE"""),82052.0)</f>
        <v>82052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IFERROR(__xludf.DUMMYFUNCTION("""COMPUTED_VALUE"""),137100.0)</f>
        <v>137100</v>
      </c>
      <c r="C49" s="6">
        <f>IFERROR(__xludf.DUMMYFUNCTION("""COMPUTED_VALUE"""),138500.0)</f>
        <v>138500</v>
      </c>
      <c r="D49" s="6">
        <f>IFERROR(__xludf.DUMMYFUNCTION("""COMPUTED_VALUE"""),134500.0)</f>
        <v>134500</v>
      </c>
      <c r="E49" s="6">
        <f>IFERROR(__xludf.DUMMYFUNCTION("""COMPUTED_VALUE"""),136087.2)</f>
        <v>136087.2</v>
      </c>
      <c r="F49" s="6">
        <f>IFERROR(__xludf.DUMMYFUNCTION("""COMPUTED_VALUE"""),36393.0)</f>
        <v>36393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IFERROR(__xludf.DUMMYFUNCTION("""COMPUTED_VALUE"""),136280.0)</f>
        <v>136280</v>
      </c>
      <c r="C50" s="6">
        <f>IFERROR(__xludf.DUMMYFUNCTION("""COMPUTED_VALUE"""),140500.0)</f>
        <v>140500</v>
      </c>
      <c r="D50" s="6">
        <f>IFERROR(__xludf.DUMMYFUNCTION("""COMPUTED_VALUE"""),134500.5)</f>
        <v>134500.5</v>
      </c>
      <c r="E50" s="6">
        <f>IFERROR(__xludf.DUMMYFUNCTION("""COMPUTED_VALUE"""),138519.6)</f>
        <v>138519.6</v>
      </c>
      <c r="F50" s="6">
        <f>IFERROR(__xludf.DUMMYFUNCTION("""COMPUTED_VALUE"""),31157.0)</f>
        <v>31157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IFERROR(__xludf.DUMMYFUNCTION("""COMPUTED_VALUE"""),139999.55)</f>
        <v>139999.55</v>
      </c>
      <c r="C51" s="6">
        <f>IFERROR(__xludf.DUMMYFUNCTION("""COMPUTED_VALUE"""),140500.0)</f>
        <v>140500</v>
      </c>
      <c r="D51" s="6">
        <f>IFERROR(__xludf.DUMMYFUNCTION("""COMPUTED_VALUE"""),133390.0)</f>
        <v>133390</v>
      </c>
      <c r="E51" s="6">
        <f>IFERROR(__xludf.DUMMYFUNCTION("""COMPUTED_VALUE"""),134833.45)</f>
        <v>134833.45</v>
      </c>
      <c r="F51" s="6">
        <f>IFERROR(__xludf.DUMMYFUNCTION("""COMPUTED_VALUE"""),40962.0)</f>
        <v>40962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IFERROR(__xludf.DUMMYFUNCTION("""COMPUTED_VALUE"""),135450.0)</f>
        <v>135450</v>
      </c>
      <c r="C52" s="6">
        <f>IFERROR(__xludf.DUMMYFUNCTION("""COMPUTED_VALUE"""),136700.0)</f>
        <v>136700</v>
      </c>
      <c r="D52" s="6">
        <f>IFERROR(__xludf.DUMMYFUNCTION("""COMPUTED_VALUE"""),134000.0)</f>
        <v>134000</v>
      </c>
      <c r="E52" s="6">
        <f>IFERROR(__xludf.DUMMYFUNCTION("""COMPUTED_VALUE"""),134260.75)</f>
        <v>134260.75</v>
      </c>
      <c r="F52" s="6">
        <f>IFERROR(__xludf.DUMMYFUNCTION("""COMPUTED_VALUE"""),23441.0)</f>
        <v>23441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IFERROR(__xludf.DUMMYFUNCTION("""COMPUTED_VALUE"""),135000.0)</f>
        <v>135000</v>
      </c>
      <c r="C53" s="6">
        <f>IFERROR(__xludf.DUMMYFUNCTION("""COMPUTED_VALUE"""),137599.95)</f>
        <v>137599.95</v>
      </c>
      <c r="D53" s="6">
        <f>IFERROR(__xludf.DUMMYFUNCTION("""COMPUTED_VALUE"""),132600.0)</f>
        <v>132600</v>
      </c>
      <c r="E53" s="6">
        <f>IFERROR(__xludf.DUMMYFUNCTION("""COMPUTED_VALUE"""),137353.95)</f>
        <v>137353.95</v>
      </c>
      <c r="F53" s="6">
        <f>IFERROR(__xludf.DUMMYFUNCTION("""COMPUTED_VALUE"""),24719.0)</f>
        <v>24719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IFERROR(__xludf.DUMMYFUNCTION("""COMPUTED_VALUE"""),137800.0)</f>
        <v>137800</v>
      </c>
      <c r="C54" s="6">
        <f>IFERROR(__xludf.DUMMYFUNCTION("""COMPUTED_VALUE"""),138509.0)</f>
        <v>138509</v>
      </c>
      <c r="D54" s="6">
        <f>IFERROR(__xludf.DUMMYFUNCTION("""COMPUTED_VALUE"""),133300.0)</f>
        <v>133300</v>
      </c>
      <c r="E54" s="6">
        <f>IFERROR(__xludf.DUMMYFUNCTION("""COMPUTED_VALUE"""),135934.4)</f>
        <v>135934.4</v>
      </c>
      <c r="F54" s="6">
        <f>IFERROR(__xludf.DUMMYFUNCTION("""COMPUTED_VALUE"""),34886.0)</f>
        <v>34886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IFERROR(__xludf.DUMMYFUNCTION("""COMPUTED_VALUE"""),136050.0)</f>
        <v>136050</v>
      </c>
      <c r="C55" s="6">
        <f>IFERROR(__xludf.DUMMYFUNCTION("""COMPUTED_VALUE"""),142383.9)</f>
        <v>142383.9</v>
      </c>
      <c r="D55" s="6">
        <f>IFERROR(__xludf.DUMMYFUNCTION("""COMPUTED_VALUE"""),136050.0)</f>
        <v>136050</v>
      </c>
      <c r="E55" s="6">
        <f>IFERROR(__xludf.DUMMYFUNCTION("""COMPUTED_VALUE"""),140973.9)</f>
        <v>140973.9</v>
      </c>
      <c r="F55" s="6">
        <f>IFERROR(__xludf.DUMMYFUNCTION("""COMPUTED_VALUE"""),40154.0)</f>
        <v>40154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IFERROR(__xludf.DUMMYFUNCTION("""COMPUTED_VALUE"""),141000.0)</f>
        <v>141000</v>
      </c>
      <c r="C56" s="6">
        <f>IFERROR(__xludf.DUMMYFUNCTION("""COMPUTED_VALUE"""),141884.85)</f>
        <v>141884.85</v>
      </c>
      <c r="D56" s="6">
        <f>IFERROR(__xludf.DUMMYFUNCTION("""COMPUTED_VALUE"""),133000.0)</f>
        <v>133000</v>
      </c>
      <c r="E56" s="6">
        <f>IFERROR(__xludf.DUMMYFUNCTION("""COMPUTED_VALUE"""),133408.75)</f>
        <v>133408.75</v>
      </c>
      <c r="F56" s="6">
        <f>IFERROR(__xludf.DUMMYFUNCTION("""COMPUTED_VALUE"""),27906.0)</f>
        <v>27906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IFERROR(__xludf.DUMMYFUNCTION("""COMPUTED_VALUE"""),135377.0)</f>
        <v>135377</v>
      </c>
      <c r="C57" s="6">
        <f>IFERROR(__xludf.DUMMYFUNCTION("""COMPUTED_VALUE"""),135500.0)</f>
        <v>135500</v>
      </c>
      <c r="D57" s="6">
        <f>IFERROR(__xludf.DUMMYFUNCTION("""COMPUTED_VALUE"""),130555.0)</f>
        <v>130555</v>
      </c>
      <c r="E57" s="6">
        <f>IFERROR(__xludf.DUMMYFUNCTION("""COMPUTED_VALUE"""),132197.6)</f>
        <v>132197.6</v>
      </c>
      <c r="F57" s="6">
        <f>IFERROR(__xludf.DUMMYFUNCTION("""COMPUTED_VALUE"""),25144.0)</f>
        <v>25144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IFERROR(__xludf.DUMMYFUNCTION("""COMPUTED_VALUE"""),132197.6)</f>
        <v>132197.6</v>
      </c>
      <c r="C58" s="6">
        <f>IFERROR(__xludf.DUMMYFUNCTION("""COMPUTED_VALUE"""),132900.0)</f>
        <v>132900</v>
      </c>
      <c r="D58" s="6">
        <f>IFERROR(__xludf.DUMMYFUNCTION("""COMPUTED_VALUE"""),128618.0)</f>
        <v>128618</v>
      </c>
      <c r="E58" s="6">
        <f>IFERROR(__xludf.DUMMYFUNCTION("""COMPUTED_VALUE"""),129444.65)</f>
        <v>129444.65</v>
      </c>
      <c r="F58" s="6">
        <f>IFERROR(__xludf.DUMMYFUNCTION("""COMPUTED_VALUE"""),24016.0)</f>
        <v>24016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IFERROR(__xludf.DUMMYFUNCTION("""COMPUTED_VALUE"""),130100.0)</f>
        <v>130100</v>
      </c>
      <c r="C59" s="6">
        <f>IFERROR(__xludf.DUMMYFUNCTION("""COMPUTED_VALUE"""),132000.0)</f>
        <v>132000</v>
      </c>
      <c r="D59" s="6">
        <f>IFERROR(__xludf.DUMMYFUNCTION("""COMPUTED_VALUE"""),121875.05)</f>
        <v>121875.05</v>
      </c>
      <c r="E59" s="6">
        <f>IFERROR(__xludf.DUMMYFUNCTION("""COMPUTED_VALUE"""),122751.8)</f>
        <v>122751.8</v>
      </c>
      <c r="F59" s="6">
        <f>IFERROR(__xludf.DUMMYFUNCTION("""COMPUTED_VALUE"""),33664.0)</f>
        <v>33664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IFERROR(__xludf.DUMMYFUNCTION("""COMPUTED_VALUE"""),123750.0)</f>
        <v>123750</v>
      </c>
      <c r="C60" s="6">
        <f>IFERROR(__xludf.DUMMYFUNCTION("""COMPUTED_VALUE"""),123830.3)</f>
        <v>123830.3</v>
      </c>
      <c r="D60" s="6">
        <f>IFERROR(__xludf.DUMMYFUNCTION("""COMPUTED_VALUE"""),117401.05)</f>
        <v>117401.05</v>
      </c>
      <c r="E60" s="6">
        <f>IFERROR(__xludf.DUMMYFUNCTION("""COMPUTED_VALUE"""),119354.3)</f>
        <v>119354.3</v>
      </c>
      <c r="F60" s="6">
        <f>IFERROR(__xludf.DUMMYFUNCTION("""COMPUTED_VALUE"""),47022.0)</f>
        <v>47022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IFERROR(__xludf.DUMMYFUNCTION("""COMPUTED_VALUE"""),120101.0)</f>
        <v>120101</v>
      </c>
      <c r="C61" s="6">
        <f>IFERROR(__xludf.DUMMYFUNCTION("""COMPUTED_VALUE"""),125154.05)</f>
        <v>125154.05</v>
      </c>
      <c r="D61" s="6">
        <f>IFERROR(__xludf.DUMMYFUNCTION("""COMPUTED_VALUE"""),119925.3)</f>
        <v>119925.3</v>
      </c>
      <c r="E61" s="6">
        <f>IFERROR(__xludf.DUMMYFUNCTION("""COMPUTED_VALUE"""),120551.75)</f>
        <v>120551.75</v>
      </c>
      <c r="F61" s="6">
        <f>IFERROR(__xludf.DUMMYFUNCTION("""COMPUTED_VALUE"""),44819.0)</f>
        <v>44819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IFERROR(__xludf.DUMMYFUNCTION("""COMPUTED_VALUE"""),119088.1)</f>
        <v>119088.1</v>
      </c>
      <c r="C62" s="6">
        <f>IFERROR(__xludf.DUMMYFUNCTION("""COMPUTED_VALUE"""),124742.8)</f>
        <v>124742.8</v>
      </c>
      <c r="D62" s="6">
        <f>IFERROR(__xludf.DUMMYFUNCTION("""COMPUTED_VALUE"""),119024.15)</f>
        <v>119024.15</v>
      </c>
      <c r="E62" s="6">
        <f>IFERROR(__xludf.DUMMYFUNCTION("""COMPUTED_VALUE"""),124597.0)</f>
        <v>124597</v>
      </c>
      <c r="F62" s="6">
        <f>IFERROR(__xludf.DUMMYFUNCTION("""COMPUTED_VALUE"""),29721.0)</f>
        <v>29721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IFERROR(__xludf.DUMMYFUNCTION("""COMPUTED_VALUE"""),126000.0)</f>
        <v>126000</v>
      </c>
      <c r="C63" s="6">
        <f>IFERROR(__xludf.DUMMYFUNCTION("""COMPUTED_VALUE"""),126200.0)</f>
        <v>126200</v>
      </c>
      <c r="D63" s="6">
        <f>IFERROR(__xludf.DUMMYFUNCTION("""COMPUTED_VALUE"""),122702.65)</f>
        <v>122702.65</v>
      </c>
      <c r="E63" s="6">
        <f>IFERROR(__xludf.DUMMYFUNCTION("""COMPUTED_VALUE"""),125251.3)</f>
        <v>125251.3</v>
      </c>
      <c r="F63" s="6">
        <f>IFERROR(__xludf.DUMMYFUNCTION("""COMPUTED_VALUE"""),38813.0)</f>
        <v>38813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IFERROR(__xludf.DUMMYFUNCTION("""COMPUTED_VALUE"""),125100.0)</f>
        <v>125100</v>
      </c>
      <c r="C64" s="6">
        <f>IFERROR(__xludf.DUMMYFUNCTION("""COMPUTED_VALUE"""),132200.0)</f>
        <v>132200</v>
      </c>
      <c r="D64" s="6">
        <f>IFERROR(__xludf.DUMMYFUNCTION("""COMPUTED_VALUE"""),124261.0)</f>
        <v>124261</v>
      </c>
      <c r="E64" s="6">
        <f>IFERROR(__xludf.DUMMYFUNCTION("""COMPUTED_VALUE"""),130635.55)</f>
        <v>130635.55</v>
      </c>
      <c r="F64" s="6">
        <f>IFERROR(__xludf.DUMMYFUNCTION("""COMPUTED_VALUE"""),39641.0)</f>
        <v>39641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IFERROR(__xludf.DUMMYFUNCTION("""COMPUTED_VALUE"""),131240.0)</f>
        <v>131240</v>
      </c>
      <c r="C65" s="6">
        <f>IFERROR(__xludf.DUMMYFUNCTION("""COMPUTED_VALUE"""),133500.0)</f>
        <v>133500</v>
      </c>
      <c r="D65" s="6">
        <f>IFERROR(__xludf.DUMMYFUNCTION("""COMPUTED_VALUE"""),130800.55)</f>
        <v>130800.55</v>
      </c>
      <c r="E65" s="6">
        <f>IFERROR(__xludf.DUMMYFUNCTION("""COMPUTED_VALUE"""),133235.25)</f>
        <v>133235.25</v>
      </c>
      <c r="F65" s="6">
        <f>IFERROR(__xludf.DUMMYFUNCTION("""COMPUTED_VALUE"""),25995.0)</f>
        <v>25995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IFERROR(__xludf.DUMMYFUNCTION("""COMPUTED_VALUE"""),133240.25)</f>
        <v>133240.25</v>
      </c>
      <c r="C66" s="6">
        <f>IFERROR(__xludf.DUMMYFUNCTION("""COMPUTED_VALUE"""),133442.8)</f>
        <v>133442.8</v>
      </c>
      <c r="D66" s="6">
        <f>IFERROR(__xludf.DUMMYFUNCTION("""COMPUTED_VALUE"""),127556.1)</f>
        <v>127556.1</v>
      </c>
      <c r="E66" s="6">
        <f>IFERROR(__xludf.DUMMYFUNCTION("""COMPUTED_VALUE"""),128057.9)</f>
        <v>128057.9</v>
      </c>
      <c r="F66" s="6">
        <f>IFERROR(__xludf.DUMMYFUNCTION("""COMPUTED_VALUE"""),23655.0)</f>
        <v>23655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IFERROR(__xludf.DUMMYFUNCTION("""COMPUTED_VALUE"""),128060.0)</f>
        <v>128060</v>
      </c>
      <c r="C67" s="6">
        <f>IFERROR(__xludf.DUMMYFUNCTION("""COMPUTED_VALUE"""),132674.95)</f>
        <v>132674.95</v>
      </c>
      <c r="D67" s="6">
        <f>IFERROR(__xludf.DUMMYFUNCTION("""COMPUTED_VALUE"""),128060.0)</f>
        <v>128060</v>
      </c>
      <c r="E67" s="6">
        <f>IFERROR(__xludf.DUMMYFUNCTION("""COMPUTED_VALUE"""),131553.8)</f>
        <v>131553.8</v>
      </c>
      <c r="F67" s="6">
        <f>IFERROR(__xludf.DUMMYFUNCTION("""COMPUTED_VALUE"""),16850.0)</f>
        <v>16850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IFERROR(__xludf.DUMMYFUNCTION("""COMPUTED_VALUE"""),130955.0)</f>
        <v>130955</v>
      </c>
      <c r="C68" s="6">
        <f>IFERROR(__xludf.DUMMYFUNCTION("""COMPUTED_VALUE"""),131873.6)</f>
        <v>131873.6</v>
      </c>
      <c r="D68" s="6">
        <f>IFERROR(__xludf.DUMMYFUNCTION("""COMPUTED_VALUE"""),125125.75)</f>
        <v>125125.75</v>
      </c>
      <c r="E68" s="6">
        <f>IFERROR(__xludf.DUMMYFUNCTION("""COMPUTED_VALUE"""),126362.5)</f>
        <v>126362.5</v>
      </c>
      <c r="F68" s="6">
        <f>IFERROR(__xludf.DUMMYFUNCTION("""COMPUTED_VALUE"""),32056.0)</f>
        <v>32056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IFERROR(__xludf.DUMMYFUNCTION("""COMPUTED_VALUE"""),126800.0)</f>
        <v>126800</v>
      </c>
      <c r="C69" s="6">
        <f>IFERROR(__xludf.DUMMYFUNCTION("""COMPUTED_VALUE"""),126919.25)</f>
        <v>126919.25</v>
      </c>
      <c r="D69" s="6">
        <f>IFERROR(__xludf.DUMMYFUNCTION("""COMPUTED_VALUE"""),117000.05)</f>
        <v>117000.05</v>
      </c>
      <c r="E69" s="6">
        <f>IFERROR(__xludf.DUMMYFUNCTION("""COMPUTED_VALUE"""),117104.55)</f>
        <v>117104.55</v>
      </c>
      <c r="F69" s="6">
        <f>IFERROR(__xludf.DUMMYFUNCTION("""COMPUTED_VALUE"""),35334.0)</f>
        <v>35334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IFERROR(__xludf.DUMMYFUNCTION("""COMPUTED_VALUE"""),117000.0)</f>
        <v>117000</v>
      </c>
      <c r="C70" s="6">
        <f>IFERROR(__xludf.DUMMYFUNCTION("""COMPUTED_VALUE"""),117000.0)</f>
        <v>117000</v>
      </c>
      <c r="D70" s="6">
        <f>IFERROR(__xludf.DUMMYFUNCTION("""COMPUTED_VALUE"""),112652.15)</f>
        <v>112652.15</v>
      </c>
      <c r="E70" s="6">
        <f>IFERROR(__xludf.DUMMYFUNCTION("""COMPUTED_VALUE"""),113948.65)</f>
        <v>113948.65</v>
      </c>
      <c r="F70" s="6">
        <f>IFERROR(__xludf.DUMMYFUNCTION("""COMPUTED_VALUE"""),32048.0)</f>
        <v>32048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IFERROR(__xludf.DUMMYFUNCTION("""COMPUTED_VALUE"""),113948.65)</f>
        <v>113948.65</v>
      </c>
      <c r="C71" s="6">
        <f>IFERROR(__xludf.DUMMYFUNCTION("""COMPUTED_VALUE"""),115294.8)</f>
        <v>115294.8</v>
      </c>
      <c r="D71" s="6">
        <f>IFERROR(__xludf.DUMMYFUNCTION("""COMPUTED_VALUE"""),110525.6)</f>
        <v>110525.6</v>
      </c>
      <c r="E71" s="6">
        <f>IFERROR(__xludf.DUMMYFUNCTION("""COMPUTED_VALUE"""),111484.55)</f>
        <v>111484.55</v>
      </c>
      <c r="F71" s="6">
        <f>IFERROR(__xludf.DUMMYFUNCTION("""COMPUTED_VALUE"""),30433.0)</f>
        <v>30433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IFERROR(__xludf.DUMMYFUNCTION("""COMPUTED_VALUE"""),114100.0)</f>
        <v>114100</v>
      </c>
      <c r="C72" s="6">
        <f>IFERROR(__xludf.DUMMYFUNCTION("""COMPUTED_VALUE"""),115419.95)</f>
        <v>115419.95</v>
      </c>
      <c r="D72" s="6">
        <f>IFERROR(__xludf.DUMMYFUNCTION("""COMPUTED_VALUE"""),110000.0)</f>
        <v>110000</v>
      </c>
      <c r="E72" s="6">
        <f>IFERROR(__xludf.DUMMYFUNCTION("""COMPUTED_VALUE"""),112875.1)</f>
        <v>112875.1</v>
      </c>
      <c r="F72" s="6">
        <f>IFERROR(__xludf.DUMMYFUNCTION("""COMPUTED_VALUE"""),48005.0)</f>
        <v>48005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IFERROR(__xludf.DUMMYFUNCTION("""COMPUTED_VALUE"""),113000.0)</f>
        <v>113000</v>
      </c>
      <c r="C73" s="6">
        <f>IFERROR(__xludf.DUMMYFUNCTION("""COMPUTED_VALUE"""),113393.35)</f>
        <v>113393.35</v>
      </c>
      <c r="D73" s="6">
        <f>IFERROR(__xludf.DUMMYFUNCTION("""COMPUTED_VALUE"""),106335.0)</f>
        <v>106335</v>
      </c>
      <c r="E73" s="6">
        <f>IFERROR(__xludf.DUMMYFUNCTION("""COMPUTED_VALUE"""),109474.85)</f>
        <v>109474.85</v>
      </c>
      <c r="F73" s="6">
        <f>IFERROR(__xludf.DUMMYFUNCTION("""COMPUTED_VALUE"""),35241.0)</f>
        <v>35241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IFERROR(__xludf.DUMMYFUNCTION("""COMPUTED_VALUE"""),109200.0)</f>
        <v>109200</v>
      </c>
      <c r="C74" s="6">
        <f>IFERROR(__xludf.DUMMYFUNCTION("""COMPUTED_VALUE"""),110400.0)</f>
        <v>110400</v>
      </c>
      <c r="D74" s="6">
        <f>IFERROR(__xludf.DUMMYFUNCTION("""COMPUTED_VALUE"""),108000.0)</f>
        <v>108000</v>
      </c>
      <c r="E74" s="6">
        <f>IFERROR(__xludf.DUMMYFUNCTION("""COMPUTED_VALUE"""),109263.3)</f>
        <v>109263.3</v>
      </c>
      <c r="F74" s="6">
        <f>IFERROR(__xludf.DUMMYFUNCTION("""COMPUTED_VALUE"""),20688.0)</f>
        <v>20688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IFERROR(__xludf.DUMMYFUNCTION("""COMPUTED_VALUE"""),109260.0)</f>
        <v>109260</v>
      </c>
      <c r="C75" s="6">
        <f>IFERROR(__xludf.DUMMYFUNCTION("""COMPUTED_VALUE"""),109500.0)</f>
        <v>109500</v>
      </c>
      <c r="D75" s="6">
        <f>IFERROR(__xludf.DUMMYFUNCTION("""COMPUTED_VALUE"""),103824.1)</f>
        <v>103824.1</v>
      </c>
      <c r="E75" s="6">
        <f>IFERROR(__xludf.DUMMYFUNCTION("""COMPUTED_VALUE"""),105373.7)</f>
        <v>105373.7</v>
      </c>
      <c r="F75" s="6">
        <f>IFERROR(__xludf.DUMMYFUNCTION("""COMPUTED_VALUE"""),26526.0)</f>
        <v>26526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IFERROR(__xludf.DUMMYFUNCTION("""COMPUTED_VALUE"""),105500.0)</f>
        <v>105500</v>
      </c>
      <c r="C76" s="6">
        <f>IFERROR(__xludf.DUMMYFUNCTION("""COMPUTED_VALUE"""),108650.0)</f>
        <v>108650</v>
      </c>
      <c r="D76" s="6">
        <f>IFERROR(__xludf.DUMMYFUNCTION("""COMPUTED_VALUE"""),102124.05)</f>
        <v>102124.05</v>
      </c>
      <c r="E76" s="6">
        <f>IFERROR(__xludf.DUMMYFUNCTION("""COMPUTED_VALUE"""),107202.95)</f>
        <v>107202.95</v>
      </c>
      <c r="F76" s="6">
        <f>IFERROR(__xludf.DUMMYFUNCTION("""COMPUTED_VALUE"""),35917.0)</f>
        <v>35917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IFERROR(__xludf.DUMMYFUNCTION("""COMPUTED_VALUE"""),107839.0)</f>
        <v>107839</v>
      </c>
      <c r="C77" s="6">
        <f>IFERROR(__xludf.DUMMYFUNCTION("""COMPUTED_VALUE"""),108197.95)</f>
        <v>108197.95</v>
      </c>
      <c r="D77" s="6">
        <f>IFERROR(__xludf.DUMMYFUNCTION("""COMPUTED_VALUE"""),104800.0)</f>
        <v>104800</v>
      </c>
      <c r="E77" s="6">
        <f>IFERROR(__xludf.DUMMYFUNCTION("""COMPUTED_VALUE"""),105041.6)</f>
        <v>105041.6</v>
      </c>
      <c r="F77" s="6">
        <f>IFERROR(__xludf.DUMMYFUNCTION("""COMPUTED_VALUE"""),21805.0)</f>
        <v>21805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IFERROR(__xludf.DUMMYFUNCTION("""COMPUTED_VALUE"""),105500.0)</f>
        <v>105500</v>
      </c>
      <c r="C78" s="6">
        <f>IFERROR(__xludf.DUMMYFUNCTION("""COMPUTED_VALUE"""),112799.95)</f>
        <v>112799.95</v>
      </c>
      <c r="D78" s="6">
        <f>IFERROR(__xludf.DUMMYFUNCTION("""COMPUTED_VALUE"""),105500.0)</f>
        <v>105500</v>
      </c>
      <c r="E78" s="6">
        <f>IFERROR(__xludf.DUMMYFUNCTION("""COMPUTED_VALUE"""),112050.15)</f>
        <v>112050.15</v>
      </c>
      <c r="F78" s="6">
        <f>IFERROR(__xludf.DUMMYFUNCTION("""COMPUTED_VALUE"""),25039.0)</f>
        <v>25039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IFERROR(__xludf.DUMMYFUNCTION("""COMPUTED_VALUE"""),112990.0)</f>
        <v>112990</v>
      </c>
      <c r="C79" s="6">
        <f>IFERROR(__xludf.DUMMYFUNCTION("""COMPUTED_VALUE"""),116000.0)</f>
        <v>116000</v>
      </c>
      <c r="D79" s="6">
        <f>IFERROR(__xludf.DUMMYFUNCTION("""COMPUTED_VALUE"""),112084.35)</f>
        <v>112084.35</v>
      </c>
      <c r="E79" s="6">
        <f>IFERROR(__xludf.DUMMYFUNCTION("""COMPUTED_VALUE"""),112677.75)</f>
        <v>112677.75</v>
      </c>
      <c r="F79" s="6">
        <f>IFERROR(__xludf.DUMMYFUNCTION("""COMPUTED_VALUE"""),37643.0)</f>
        <v>37643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IFERROR(__xludf.DUMMYFUNCTION("""COMPUTED_VALUE"""),112500.0)</f>
        <v>112500</v>
      </c>
      <c r="C80" s="6">
        <f>IFERROR(__xludf.DUMMYFUNCTION("""COMPUTED_VALUE"""),115275.8)</f>
        <v>115275.8</v>
      </c>
      <c r="D80" s="6">
        <f>IFERROR(__xludf.DUMMYFUNCTION("""COMPUTED_VALUE"""),111900.0)</f>
        <v>111900</v>
      </c>
      <c r="E80" s="6">
        <f>IFERROR(__xludf.DUMMYFUNCTION("""COMPUTED_VALUE"""),113236.95)</f>
        <v>113236.95</v>
      </c>
      <c r="F80" s="6">
        <f>IFERROR(__xludf.DUMMYFUNCTION("""COMPUTED_VALUE"""),16335.0)</f>
        <v>16335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IFERROR(__xludf.DUMMYFUNCTION("""COMPUTED_VALUE"""),110000.0)</f>
        <v>110000</v>
      </c>
      <c r="C81" s="6">
        <f>IFERROR(__xludf.DUMMYFUNCTION("""COMPUTED_VALUE"""),118749.95)</f>
        <v>118749.95</v>
      </c>
      <c r="D81" s="6">
        <f>IFERROR(__xludf.DUMMYFUNCTION("""COMPUTED_VALUE"""),108001.0)</f>
        <v>108001</v>
      </c>
      <c r="E81" s="6">
        <f>IFERROR(__xludf.DUMMYFUNCTION("""COMPUTED_VALUE"""),117544.4)</f>
        <v>117544.4</v>
      </c>
      <c r="F81" s="6">
        <f>IFERROR(__xludf.DUMMYFUNCTION("""COMPUTED_VALUE"""),34920.0)</f>
        <v>34920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IFERROR(__xludf.DUMMYFUNCTION("""COMPUTED_VALUE"""),119900.0)</f>
        <v>119900</v>
      </c>
      <c r="C82" s="6">
        <f>IFERROR(__xludf.DUMMYFUNCTION("""COMPUTED_VALUE"""),126860.0)</f>
        <v>126860</v>
      </c>
      <c r="D82" s="6">
        <f>IFERROR(__xludf.DUMMYFUNCTION("""COMPUTED_VALUE"""),118200.0)</f>
        <v>118200</v>
      </c>
      <c r="E82" s="6">
        <f>IFERROR(__xludf.DUMMYFUNCTION("""COMPUTED_VALUE"""),126475.0)</f>
        <v>126475</v>
      </c>
      <c r="F82" s="6">
        <f>IFERROR(__xludf.DUMMYFUNCTION("""COMPUTED_VALUE"""),40448.0)</f>
        <v>40448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IFERROR(__xludf.DUMMYFUNCTION("""COMPUTED_VALUE"""),127475.0)</f>
        <v>127475</v>
      </c>
      <c r="C83" s="6">
        <f>IFERROR(__xludf.DUMMYFUNCTION("""COMPUTED_VALUE"""),130700.0)</f>
        <v>130700</v>
      </c>
      <c r="D83" s="6">
        <f>IFERROR(__xludf.DUMMYFUNCTION("""COMPUTED_VALUE"""),126300.0)</f>
        <v>126300</v>
      </c>
      <c r="E83" s="6">
        <f>IFERROR(__xludf.DUMMYFUNCTION("""COMPUTED_VALUE"""),128655.0)</f>
        <v>128655</v>
      </c>
      <c r="F83" s="6">
        <f>IFERROR(__xludf.DUMMYFUNCTION("""COMPUTED_VALUE"""),42038.0)</f>
        <v>42038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IFERROR(__xludf.DUMMYFUNCTION("""COMPUTED_VALUE"""),128500.0)</f>
        <v>128500</v>
      </c>
      <c r="C84" s="6">
        <f>IFERROR(__xludf.DUMMYFUNCTION("""COMPUTED_VALUE"""),135740.0)</f>
        <v>135740</v>
      </c>
      <c r="D84" s="6">
        <f>IFERROR(__xludf.DUMMYFUNCTION("""COMPUTED_VALUE"""),128495.0)</f>
        <v>128495</v>
      </c>
      <c r="E84" s="6">
        <f>IFERROR(__xludf.DUMMYFUNCTION("""COMPUTED_VALUE"""),135200.0)</f>
        <v>135200</v>
      </c>
      <c r="F84" s="6">
        <f>IFERROR(__xludf.DUMMYFUNCTION("""COMPUTED_VALUE"""),30402.0)</f>
        <v>30402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IFERROR(__xludf.DUMMYFUNCTION("""COMPUTED_VALUE"""),135310.0)</f>
        <v>135310</v>
      </c>
      <c r="C85" s="6">
        <f>IFERROR(__xludf.DUMMYFUNCTION("""COMPUTED_VALUE"""),143275.0)</f>
        <v>143275</v>
      </c>
      <c r="D85" s="6">
        <f>IFERROR(__xludf.DUMMYFUNCTION("""COMPUTED_VALUE"""),131500.0)</f>
        <v>131500</v>
      </c>
      <c r="E85" s="6">
        <f>IFERROR(__xludf.DUMMYFUNCTION("""COMPUTED_VALUE"""),137675.0)</f>
        <v>137675</v>
      </c>
      <c r="F85" s="6">
        <f>IFERROR(__xludf.DUMMYFUNCTION("""COMPUTED_VALUE"""),64957.0)</f>
        <v>64957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IFERROR(__xludf.DUMMYFUNCTION("""COMPUTED_VALUE"""),140400.0)</f>
        <v>140400</v>
      </c>
      <c r="C86" s="6">
        <f>IFERROR(__xludf.DUMMYFUNCTION("""COMPUTED_VALUE"""),142460.0)</f>
        <v>142460</v>
      </c>
      <c r="D86" s="6">
        <f>IFERROR(__xludf.DUMMYFUNCTION("""COMPUTED_VALUE"""),139000.0)</f>
        <v>139000</v>
      </c>
      <c r="E86" s="6">
        <f>IFERROR(__xludf.DUMMYFUNCTION("""COMPUTED_VALUE"""),140265.0)</f>
        <v>140265</v>
      </c>
      <c r="F86" s="6">
        <f>IFERROR(__xludf.DUMMYFUNCTION("""COMPUTED_VALUE"""),34309.0)</f>
        <v>34309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IFERROR(__xludf.DUMMYFUNCTION("""COMPUTED_VALUE"""),139410.0)</f>
        <v>139410</v>
      </c>
      <c r="C87" s="6">
        <f>IFERROR(__xludf.DUMMYFUNCTION("""COMPUTED_VALUE"""),143955.0)</f>
        <v>143955</v>
      </c>
      <c r="D87" s="6">
        <f>IFERROR(__xludf.DUMMYFUNCTION("""COMPUTED_VALUE"""),139410.0)</f>
        <v>139410</v>
      </c>
      <c r="E87" s="6">
        <f>IFERROR(__xludf.DUMMYFUNCTION("""COMPUTED_VALUE"""),143670.0)</f>
        <v>143670</v>
      </c>
      <c r="F87" s="6">
        <f>IFERROR(__xludf.DUMMYFUNCTION("""COMPUTED_VALUE"""),33550.0)</f>
        <v>33550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IFERROR(__xludf.DUMMYFUNCTION("""COMPUTED_VALUE"""),144000.0)</f>
        <v>144000</v>
      </c>
      <c r="C88" s="6">
        <f>IFERROR(__xludf.DUMMYFUNCTION("""COMPUTED_VALUE"""),147435.0)</f>
        <v>147435</v>
      </c>
      <c r="D88" s="6">
        <f>IFERROR(__xludf.DUMMYFUNCTION("""COMPUTED_VALUE"""),137165.0)</f>
        <v>137165</v>
      </c>
      <c r="E88" s="6">
        <f>IFERROR(__xludf.DUMMYFUNCTION("""COMPUTED_VALUE"""),138865.0)</f>
        <v>138865</v>
      </c>
      <c r="F88" s="6">
        <f>IFERROR(__xludf.DUMMYFUNCTION("""COMPUTED_VALUE"""),68810.0)</f>
        <v>68810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IFERROR(__xludf.DUMMYFUNCTION("""COMPUTED_VALUE"""),138400.0)</f>
        <v>138400</v>
      </c>
      <c r="C89" s="6">
        <f>IFERROR(__xludf.DUMMYFUNCTION("""COMPUTED_VALUE"""),141900.0)</f>
        <v>141900</v>
      </c>
      <c r="D89" s="6">
        <f>IFERROR(__xludf.DUMMYFUNCTION("""COMPUTED_VALUE"""),135800.0)</f>
        <v>135800</v>
      </c>
      <c r="E89" s="6">
        <f>IFERROR(__xludf.DUMMYFUNCTION("""COMPUTED_VALUE"""),139530.0)</f>
        <v>139530</v>
      </c>
      <c r="F89" s="6">
        <f>IFERROR(__xludf.DUMMYFUNCTION("""COMPUTED_VALUE"""),58619.0)</f>
        <v>58619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IFERROR(__xludf.DUMMYFUNCTION("""COMPUTED_VALUE"""),139540.0)</f>
        <v>139540</v>
      </c>
      <c r="C90" s="6">
        <f>IFERROR(__xludf.DUMMYFUNCTION("""COMPUTED_VALUE"""),141335.0)</f>
        <v>141335</v>
      </c>
      <c r="D90" s="6">
        <f>IFERROR(__xludf.DUMMYFUNCTION("""COMPUTED_VALUE"""),135000.0)</f>
        <v>135000</v>
      </c>
      <c r="E90" s="6">
        <f>IFERROR(__xludf.DUMMYFUNCTION("""COMPUTED_VALUE"""),137620.0)</f>
        <v>137620</v>
      </c>
      <c r="F90" s="6">
        <f>IFERROR(__xludf.DUMMYFUNCTION("""COMPUTED_VALUE"""),35423.0)</f>
        <v>35423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IFERROR(__xludf.DUMMYFUNCTION("""COMPUTED_VALUE"""),136800.0)</f>
        <v>136800</v>
      </c>
      <c r="C91" s="6">
        <f>IFERROR(__xludf.DUMMYFUNCTION("""COMPUTED_VALUE"""),138875.0)</f>
        <v>138875</v>
      </c>
      <c r="D91" s="6">
        <f>IFERROR(__xludf.DUMMYFUNCTION("""COMPUTED_VALUE"""),132740.0)</f>
        <v>132740</v>
      </c>
      <c r="E91" s="6">
        <f>IFERROR(__xludf.DUMMYFUNCTION("""COMPUTED_VALUE"""),134430.0)</f>
        <v>134430</v>
      </c>
      <c r="F91" s="6">
        <f>IFERROR(__xludf.DUMMYFUNCTION("""COMPUTED_VALUE"""),39219.0)</f>
        <v>39219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IFERROR(__xludf.DUMMYFUNCTION("""COMPUTED_VALUE"""),134430.0)</f>
        <v>134430</v>
      </c>
      <c r="C92" s="6">
        <f>IFERROR(__xludf.DUMMYFUNCTION("""COMPUTED_VALUE"""),145700.0)</f>
        <v>145700</v>
      </c>
      <c r="D92" s="6">
        <f>IFERROR(__xludf.DUMMYFUNCTION("""COMPUTED_VALUE"""),134400.0)</f>
        <v>134400</v>
      </c>
      <c r="E92" s="6">
        <f>IFERROR(__xludf.DUMMYFUNCTION("""COMPUTED_VALUE"""),143215.0)</f>
        <v>143215</v>
      </c>
      <c r="F92" s="6">
        <f>IFERROR(__xludf.DUMMYFUNCTION("""COMPUTED_VALUE"""),45630.0)</f>
        <v>45630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IFERROR(__xludf.DUMMYFUNCTION("""COMPUTED_VALUE"""),144000.0)</f>
        <v>144000</v>
      </c>
      <c r="C93" s="6">
        <f>IFERROR(__xludf.DUMMYFUNCTION("""COMPUTED_VALUE"""),148075.0)</f>
        <v>148075</v>
      </c>
      <c r="D93" s="6">
        <f>IFERROR(__xludf.DUMMYFUNCTION("""COMPUTED_VALUE"""),141690.0)</f>
        <v>141690</v>
      </c>
      <c r="E93" s="6">
        <f>IFERROR(__xludf.DUMMYFUNCTION("""COMPUTED_VALUE"""),143965.0)</f>
        <v>143965</v>
      </c>
      <c r="F93" s="6">
        <f>IFERROR(__xludf.DUMMYFUNCTION("""COMPUTED_VALUE"""),31388.0)</f>
        <v>31388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IFERROR(__xludf.DUMMYFUNCTION("""COMPUTED_VALUE"""),144660.0)</f>
        <v>144660</v>
      </c>
      <c r="C94" s="6">
        <f>IFERROR(__xludf.DUMMYFUNCTION("""COMPUTED_VALUE"""),151900.0)</f>
        <v>151900</v>
      </c>
      <c r="D94" s="6">
        <f>IFERROR(__xludf.DUMMYFUNCTION("""COMPUTED_VALUE"""),142200.0)</f>
        <v>142200</v>
      </c>
      <c r="E94" s="6">
        <f>IFERROR(__xludf.DUMMYFUNCTION("""COMPUTED_VALUE"""),148240.0)</f>
        <v>148240</v>
      </c>
      <c r="F94" s="6">
        <f>IFERROR(__xludf.DUMMYFUNCTION("""COMPUTED_VALUE"""),49504.0)</f>
        <v>49504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IFERROR(__xludf.DUMMYFUNCTION("""COMPUTED_VALUE"""),148240.0)</f>
        <v>148240</v>
      </c>
      <c r="C95" s="6">
        <f>IFERROR(__xludf.DUMMYFUNCTION("""COMPUTED_VALUE"""),153000.0)</f>
        <v>153000</v>
      </c>
      <c r="D95" s="6">
        <f>IFERROR(__xludf.DUMMYFUNCTION("""COMPUTED_VALUE"""),147005.0)</f>
        <v>147005</v>
      </c>
      <c r="E95" s="6">
        <f>IFERROR(__xludf.DUMMYFUNCTION("""COMPUTED_VALUE"""),148060.0)</f>
        <v>148060</v>
      </c>
      <c r="F95" s="6">
        <f>IFERROR(__xludf.DUMMYFUNCTION("""COMPUTED_VALUE"""),44015.0)</f>
        <v>44015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IFERROR(__xludf.DUMMYFUNCTION("""COMPUTED_VALUE"""),148400.0)</f>
        <v>148400</v>
      </c>
      <c r="C96" s="6">
        <f>IFERROR(__xludf.DUMMYFUNCTION("""COMPUTED_VALUE"""),152190.0)</f>
        <v>152190</v>
      </c>
      <c r="D96" s="6">
        <f>IFERROR(__xludf.DUMMYFUNCTION("""COMPUTED_VALUE"""),146550.0)</f>
        <v>146550</v>
      </c>
      <c r="E96" s="6">
        <f>IFERROR(__xludf.DUMMYFUNCTION("""COMPUTED_VALUE"""),149210.0)</f>
        <v>149210</v>
      </c>
      <c r="F96" s="6">
        <f>IFERROR(__xludf.DUMMYFUNCTION("""COMPUTED_VALUE"""),29373.0)</f>
        <v>29373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IFERROR(__xludf.DUMMYFUNCTION("""COMPUTED_VALUE"""),149500.0)</f>
        <v>149500</v>
      </c>
      <c r="C97" s="6">
        <f>IFERROR(__xludf.DUMMYFUNCTION("""COMPUTED_VALUE"""),150770.0)</f>
        <v>150770</v>
      </c>
      <c r="D97" s="6">
        <f>IFERROR(__xludf.DUMMYFUNCTION("""COMPUTED_VALUE"""),145050.0)</f>
        <v>145050</v>
      </c>
      <c r="E97" s="6">
        <f>IFERROR(__xludf.DUMMYFUNCTION("""COMPUTED_VALUE"""),145905.0)</f>
        <v>145905</v>
      </c>
      <c r="F97" s="6">
        <f>IFERROR(__xludf.DUMMYFUNCTION("""COMPUTED_VALUE"""),25423.0)</f>
        <v>25423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IFERROR(__xludf.DUMMYFUNCTION("""COMPUTED_VALUE"""),145900.0)</f>
        <v>145900</v>
      </c>
      <c r="C98" s="6">
        <f>IFERROR(__xludf.DUMMYFUNCTION("""COMPUTED_VALUE"""),147385.0)</f>
        <v>147385</v>
      </c>
      <c r="D98" s="6">
        <f>IFERROR(__xludf.DUMMYFUNCTION("""COMPUTED_VALUE"""),142000.0)</f>
        <v>142000</v>
      </c>
      <c r="E98" s="6">
        <f>IFERROR(__xludf.DUMMYFUNCTION("""COMPUTED_VALUE"""),142715.0)</f>
        <v>142715</v>
      </c>
      <c r="F98" s="6">
        <f>IFERROR(__xludf.DUMMYFUNCTION("""COMPUTED_VALUE"""),22242.0)</f>
        <v>22242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IFERROR(__xludf.DUMMYFUNCTION("""COMPUTED_VALUE"""),142850.0)</f>
        <v>142850</v>
      </c>
      <c r="C99" s="6">
        <f>IFERROR(__xludf.DUMMYFUNCTION("""COMPUTED_VALUE"""),143485.0)</f>
        <v>143485</v>
      </c>
      <c r="D99" s="6">
        <f>IFERROR(__xludf.DUMMYFUNCTION("""COMPUTED_VALUE"""),137215.0)</f>
        <v>137215</v>
      </c>
      <c r="E99" s="6">
        <f>IFERROR(__xludf.DUMMYFUNCTION("""COMPUTED_VALUE"""),138475.0)</f>
        <v>138475</v>
      </c>
      <c r="F99" s="6">
        <f>IFERROR(__xludf.DUMMYFUNCTION("""COMPUTED_VALUE"""),23274.0)</f>
        <v>23274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IFERROR(__xludf.DUMMYFUNCTION("""COMPUTED_VALUE"""),139100.0)</f>
        <v>139100</v>
      </c>
      <c r="C100" s="6">
        <f>IFERROR(__xludf.DUMMYFUNCTION("""COMPUTED_VALUE"""),150000.0)</f>
        <v>150000</v>
      </c>
      <c r="D100" s="6">
        <f>IFERROR(__xludf.DUMMYFUNCTION("""COMPUTED_VALUE"""),138755.0)</f>
        <v>138755</v>
      </c>
      <c r="E100" s="6">
        <f>IFERROR(__xludf.DUMMYFUNCTION("""COMPUTED_VALUE"""),147505.0)</f>
        <v>147505</v>
      </c>
      <c r="F100" s="6">
        <f>IFERROR(__xludf.DUMMYFUNCTION("""COMPUTED_VALUE"""),45872.0)</f>
        <v>45872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IFERROR(__xludf.DUMMYFUNCTION("""COMPUTED_VALUE"""),148200.0)</f>
        <v>148200</v>
      </c>
      <c r="C101" s="6">
        <f>IFERROR(__xludf.DUMMYFUNCTION("""COMPUTED_VALUE"""),148200.0)</f>
        <v>148200</v>
      </c>
      <c r="D101" s="6">
        <f>IFERROR(__xludf.DUMMYFUNCTION("""COMPUTED_VALUE"""),141600.0)</f>
        <v>141600</v>
      </c>
      <c r="E101" s="6">
        <f>IFERROR(__xludf.DUMMYFUNCTION("""COMPUTED_VALUE"""),142380.0)</f>
        <v>142380</v>
      </c>
      <c r="F101" s="6">
        <f>IFERROR(__xludf.DUMMYFUNCTION("""COMPUTED_VALUE"""),91333.0)</f>
        <v>91333</v>
      </c>
    </row>
  </sheetData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IFERROR(__xludf.DUMMYFUNCTION("GOOGLEFINANCE(""NSE:MUTHOOTFIN"",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IFERROR(__xludf.DUMMYFUNCTION("""COMPUTED_VALUE"""),1258.65)</f>
        <v>1258.65</v>
      </c>
      <c r="C2" s="6">
        <f>IFERROR(__xludf.DUMMYFUNCTION("""COMPUTED_VALUE"""),1310.0)</f>
        <v>1310</v>
      </c>
      <c r="D2" s="6">
        <f>IFERROR(__xludf.DUMMYFUNCTION("""COMPUTED_VALUE"""),1254.4)</f>
        <v>1254.4</v>
      </c>
      <c r="E2" s="6">
        <f>IFERROR(__xludf.DUMMYFUNCTION("""COMPUTED_VALUE"""),1261.25)</f>
        <v>1261.25</v>
      </c>
      <c r="F2" s="6">
        <f>IFERROR(__xludf.DUMMYFUNCTION("""COMPUTED_VALUE"""),3492007.0)</f>
        <v>3492007</v>
      </c>
    </row>
    <row r="3">
      <c r="A3" s="7">
        <f>IFERROR(__xludf.DUMMYFUNCTION("""COMPUTED_VALUE"""),45177.64583333333)</f>
        <v>45177.64583</v>
      </c>
      <c r="B3" s="6">
        <f>IFERROR(__xludf.DUMMYFUNCTION("""COMPUTED_VALUE"""),1262.9)</f>
        <v>1262.9</v>
      </c>
      <c r="C3" s="6">
        <f>IFERROR(__xludf.DUMMYFUNCTION("""COMPUTED_VALUE"""),1304.55)</f>
        <v>1304.55</v>
      </c>
      <c r="D3" s="6">
        <f>IFERROR(__xludf.DUMMYFUNCTION("""COMPUTED_VALUE"""),1262.05)</f>
        <v>1262.05</v>
      </c>
      <c r="E3" s="6">
        <f>IFERROR(__xludf.DUMMYFUNCTION("""COMPUTED_VALUE"""),1284.2)</f>
        <v>1284.2</v>
      </c>
      <c r="F3" s="6">
        <f>IFERROR(__xludf.DUMMYFUNCTION("""COMPUTED_VALUE"""),1834794.0)</f>
        <v>1834794</v>
      </c>
    </row>
    <row r="4">
      <c r="A4" s="7">
        <f>IFERROR(__xludf.DUMMYFUNCTION("""COMPUTED_VALUE"""),45184.64583333333)</f>
        <v>45184.64583</v>
      </c>
      <c r="B4" s="6">
        <f>IFERROR(__xludf.DUMMYFUNCTION("""COMPUTED_VALUE"""),1284.95)</f>
        <v>1284.95</v>
      </c>
      <c r="C4" s="6">
        <f>IFERROR(__xludf.DUMMYFUNCTION("""COMPUTED_VALUE"""),1336.0)</f>
        <v>1336</v>
      </c>
      <c r="D4" s="6">
        <f>IFERROR(__xludf.DUMMYFUNCTION("""COMPUTED_VALUE"""),1260.1)</f>
        <v>1260.1</v>
      </c>
      <c r="E4" s="6">
        <f>IFERROR(__xludf.DUMMYFUNCTION("""COMPUTED_VALUE"""),1325.55)</f>
        <v>1325.55</v>
      </c>
      <c r="F4" s="6">
        <f>IFERROR(__xludf.DUMMYFUNCTION("""COMPUTED_VALUE"""),1355665.0)</f>
        <v>1355665</v>
      </c>
    </row>
    <row r="5">
      <c r="A5" s="7">
        <f>IFERROR(__xludf.DUMMYFUNCTION("""COMPUTED_VALUE"""),45191.64583333333)</f>
        <v>45191.64583</v>
      </c>
      <c r="B5" s="6">
        <f>IFERROR(__xludf.DUMMYFUNCTION("""COMPUTED_VALUE"""),1328.95)</f>
        <v>1328.95</v>
      </c>
      <c r="C5" s="6">
        <f>IFERROR(__xludf.DUMMYFUNCTION("""COMPUTED_VALUE"""),1339.0)</f>
        <v>1339</v>
      </c>
      <c r="D5" s="6">
        <f>IFERROR(__xludf.DUMMYFUNCTION("""COMPUTED_VALUE"""),1263.9)</f>
        <v>1263.9</v>
      </c>
      <c r="E5" s="6">
        <f>IFERROR(__xludf.DUMMYFUNCTION("""COMPUTED_VALUE"""),1270.2)</f>
        <v>1270.2</v>
      </c>
      <c r="F5" s="6">
        <f>IFERROR(__xludf.DUMMYFUNCTION("""COMPUTED_VALUE"""),1001696.0)</f>
        <v>1001696</v>
      </c>
    </row>
    <row r="6">
      <c r="A6" s="7">
        <f>IFERROR(__xludf.DUMMYFUNCTION("""COMPUTED_VALUE"""),45198.64583333333)</f>
        <v>45198.64583</v>
      </c>
      <c r="B6" s="6">
        <f>IFERROR(__xludf.DUMMYFUNCTION("""COMPUTED_VALUE"""),1270.15)</f>
        <v>1270.15</v>
      </c>
      <c r="C6" s="6">
        <f>IFERROR(__xludf.DUMMYFUNCTION("""COMPUTED_VALUE"""),1272.6)</f>
        <v>1272.6</v>
      </c>
      <c r="D6" s="6">
        <f>IFERROR(__xludf.DUMMYFUNCTION("""COMPUTED_VALUE"""),1206.35)</f>
        <v>1206.35</v>
      </c>
      <c r="E6" s="6">
        <f>IFERROR(__xludf.DUMMYFUNCTION("""COMPUTED_VALUE"""),1252.0)</f>
        <v>1252</v>
      </c>
      <c r="F6" s="6">
        <f>IFERROR(__xludf.DUMMYFUNCTION("""COMPUTED_VALUE"""),2275028.0)</f>
        <v>2275028</v>
      </c>
    </row>
    <row r="7">
      <c r="A7" s="7">
        <f>IFERROR(__xludf.DUMMYFUNCTION("""COMPUTED_VALUE"""),45205.64583333333)</f>
        <v>45205.64583</v>
      </c>
      <c r="B7" s="6">
        <f>IFERROR(__xludf.DUMMYFUNCTION("""COMPUTED_VALUE"""),1252.0)</f>
        <v>1252</v>
      </c>
      <c r="C7" s="6">
        <f>IFERROR(__xludf.DUMMYFUNCTION("""COMPUTED_VALUE"""),1254.95)</f>
        <v>1254.95</v>
      </c>
      <c r="D7" s="6">
        <f>IFERROR(__xludf.DUMMYFUNCTION("""COMPUTED_VALUE"""),1188.65)</f>
        <v>1188.65</v>
      </c>
      <c r="E7" s="6">
        <f>IFERROR(__xludf.DUMMYFUNCTION("""COMPUTED_VALUE"""),1203.1)</f>
        <v>1203.1</v>
      </c>
      <c r="F7" s="6">
        <f>IFERROR(__xludf.DUMMYFUNCTION("""COMPUTED_VALUE"""),2707898.0)</f>
        <v>2707898</v>
      </c>
    </row>
    <row r="8">
      <c r="A8" s="7">
        <f>IFERROR(__xludf.DUMMYFUNCTION("""COMPUTED_VALUE"""),45212.64583333333)</f>
        <v>45212.64583</v>
      </c>
      <c r="B8" s="6">
        <f>IFERROR(__xludf.DUMMYFUNCTION("""COMPUTED_VALUE"""),1199.95)</f>
        <v>1199.95</v>
      </c>
      <c r="C8" s="6">
        <f>IFERROR(__xludf.DUMMYFUNCTION("""COMPUTED_VALUE"""),1248.95)</f>
        <v>1248.95</v>
      </c>
      <c r="D8" s="6">
        <f>IFERROR(__xludf.DUMMYFUNCTION("""COMPUTED_VALUE"""),1182.35)</f>
        <v>1182.35</v>
      </c>
      <c r="E8" s="6">
        <f>IFERROR(__xludf.DUMMYFUNCTION("""COMPUTED_VALUE"""),1233.6)</f>
        <v>1233.6</v>
      </c>
      <c r="F8" s="6">
        <f>IFERROR(__xludf.DUMMYFUNCTION("""COMPUTED_VALUE"""),2696180.0)</f>
        <v>2696180</v>
      </c>
    </row>
    <row r="9">
      <c r="A9" s="7">
        <f>IFERROR(__xludf.DUMMYFUNCTION("""COMPUTED_VALUE"""),45219.64583333333)</f>
        <v>45219.64583</v>
      </c>
      <c r="B9" s="6">
        <f>IFERROR(__xludf.DUMMYFUNCTION("""COMPUTED_VALUE"""),1235.0)</f>
        <v>1235</v>
      </c>
      <c r="C9" s="6">
        <f>IFERROR(__xludf.DUMMYFUNCTION("""COMPUTED_VALUE"""),1288.5)</f>
        <v>1288.5</v>
      </c>
      <c r="D9" s="6">
        <f>IFERROR(__xludf.DUMMYFUNCTION("""COMPUTED_VALUE"""),1228.85)</f>
        <v>1228.85</v>
      </c>
      <c r="E9" s="6">
        <f>IFERROR(__xludf.DUMMYFUNCTION("""COMPUTED_VALUE"""),1271.6)</f>
        <v>1271.6</v>
      </c>
      <c r="F9" s="6">
        <f>IFERROR(__xludf.DUMMYFUNCTION("""COMPUTED_VALUE"""),1772002.0)</f>
        <v>1772002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IFERROR(__xludf.DUMMYFUNCTION("""COMPUTED_VALUE"""),1272.0)</f>
        <v>1272</v>
      </c>
      <c r="C10" s="6">
        <f>IFERROR(__xludf.DUMMYFUNCTION("""COMPUTED_VALUE"""),1308.35)</f>
        <v>1308.35</v>
      </c>
      <c r="D10" s="6">
        <f>IFERROR(__xludf.DUMMYFUNCTION("""COMPUTED_VALUE"""),1249.15)</f>
        <v>1249.15</v>
      </c>
      <c r="E10" s="6">
        <f>IFERROR(__xludf.DUMMYFUNCTION("""COMPUTED_VALUE"""),1290.65)</f>
        <v>1290.65</v>
      </c>
      <c r="F10" s="6">
        <f>IFERROR(__xludf.DUMMYFUNCTION("""COMPUTED_VALUE"""),3105798.0)</f>
        <v>3105798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IFERROR(__xludf.DUMMYFUNCTION("""COMPUTED_VALUE"""),1298.05)</f>
        <v>1298.05</v>
      </c>
      <c r="C11" s="6">
        <f>IFERROR(__xludf.DUMMYFUNCTION("""COMPUTED_VALUE"""),1339.35)</f>
        <v>1339.35</v>
      </c>
      <c r="D11" s="6">
        <f>IFERROR(__xludf.DUMMYFUNCTION("""COMPUTED_VALUE"""),1284.3)</f>
        <v>1284.3</v>
      </c>
      <c r="E11" s="6">
        <f>IFERROR(__xludf.DUMMYFUNCTION("""COMPUTED_VALUE"""),1326.2)</f>
        <v>1326.2</v>
      </c>
      <c r="F11" s="6">
        <f>IFERROR(__xludf.DUMMYFUNCTION("""COMPUTED_VALUE"""),1805253.0)</f>
        <v>1805253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IFERROR(__xludf.DUMMYFUNCTION("""COMPUTED_VALUE"""),1327.6)</f>
        <v>1327.6</v>
      </c>
      <c r="C12" s="6">
        <f>IFERROR(__xludf.DUMMYFUNCTION("""COMPUTED_VALUE"""),1345.0)</f>
        <v>1345</v>
      </c>
      <c r="D12" s="6">
        <f>IFERROR(__xludf.DUMMYFUNCTION("""COMPUTED_VALUE"""),1216.0)</f>
        <v>1216</v>
      </c>
      <c r="E12" s="6">
        <f>IFERROR(__xludf.DUMMYFUNCTION("""COMPUTED_VALUE"""),1273.25)</f>
        <v>1273.25</v>
      </c>
      <c r="F12" s="6">
        <f>IFERROR(__xludf.DUMMYFUNCTION("""COMPUTED_VALUE"""),3828779.0)</f>
        <v>3828779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IFERROR(__xludf.DUMMYFUNCTION("""COMPUTED_VALUE"""),1289.95)</f>
        <v>1289.95</v>
      </c>
      <c r="C13" s="6">
        <f>IFERROR(__xludf.DUMMYFUNCTION("""COMPUTED_VALUE"""),1361.8)</f>
        <v>1361.8</v>
      </c>
      <c r="D13" s="6">
        <f>IFERROR(__xludf.DUMMYFUNCTION("""COMPUTED_VALUE"""),1260.0)</f>
        <v>1260</v>
      </c>
      <c r="E13" s="6">
        <f>IFERROR(__xludf.DUMMYFUNCTION("""COMPUTED_VALUE"""),1339.35)</f>
        <v>1339.35</v>
      </c>
      <c r="F13" s="6">
        <f>IFERROR(__xludf.DUMMYFUNCTION("""COMPUTED_VALUE"""),1862628.0)</f>
        <v>1862628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IFERROR(__xludf.DUMMYFUNCTION("""COMPUTED_VALUE"""),1340.55)</f>
        <v>1340.55</v>
      </c>
      <c r="C14" s="6">
        <f>IFERROR(__xludf.DUMMYFUNCTION("""COMPUTED_VALUE"""),1364.5)</f>
        <v>1364.5</v>
      </c>
      <c r="D14" s="6">
        <f>IFERROR(__xludf.DUMMYFUNCTION("""COMPUTED_VALUE"""),1318.15)</f>
        <v>1318.15</v>
      </c>
      <c r="E14" s="6">
        <f>IFERROR(__xludf.DUMMYFUNCTION("""COMPUTED_VALUE"""),1324.95)</f>
        <v>1324.95</v>
      </c>
      <c r="F14" s="6">
        <f>IFERROR(__xludf.DUMMYFUNCTION("""COMPUTED_VALUE"""),1769583.0)</f>
        <v>1769583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IFERROR(__xludf.DUMMYFUNCTION("""COMPUTED_VALUE"""),1329.95)</f>
        <v>1329.95</v>
      </c>
      <c r="C15" s="6">
        <f>IFERROR(__xludf.DUMMYFUNCTION("""COMPUTED_VALUE"""),1506.5)</f>
        <v>1506.5</v>
      </c>
      <c r="D15" s="6">
        <f>IFERROR(__xludf.DUMMYFUNCTION("""COMPUTED_VALUE"""),1324.35)</f>
        <v>1324.35</v>
      </c>
      <c r="E15" s="6">
        <f>IFERROR(__xludf.DUMMYFUNCTION("""COMPUTED_VALUE"""),1450.75)</f>
        <v>1450.75</v>
      </c>
      <c r="F15" s="6">
        <f>IFERROR(__xludf.DUMMYFUNCTION("""COMPUTED_VALUE"""),5206399.0)</f>
        <v>5206399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IFERROR(__xludf.DUMMYFUNCTION("""COMPUTED_VALUE"""),1470.0)</f>
        <v>1470</v>
      </c>
      <c r="C16" s="6">
        <f>IFERROR(__xludf.DUMMYFUNCTION("""COMPUTED_VALUE"""),1474.0)</f>
        <v>1474</v>
      </c>
      <c r="D16" s="6">
        <f>IFERROR(__xludf.DUMMYFUNCTION("""COMPUTED_VALUE"""),1422.05)</f>
        <v>1422.05</v>
      </c>
      <c r="E16" s="6">
        <f>IFERROR(__xludf.DUMMYFUNCTION("""COMPUTED_VALUE"""),1440.65)</f>
        <v>1440.65</v>
      </c>
      <c r="F16" s="6">
        <f>IFERROR(__xludf.DUMMYFUNCTION("""COMPUTED_VALUE"""),2184564.0)</f>
        <v>2184564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IFERROR(__xludf.DUMMYFUNCTION("""COMPUTED_VALUE"""),1440.65)</f>
        <v>1440.65</v>
      </c>
      <c r="C17" s="6">
        <f>IFERROR(__xludf.DUMMYFUNCTION("""COMPUTED_VALUE"""),1507.95)</f>
        <v>1507.95</v>
      </c>
      <c r="D17" s="6">
        <f>IFERROR(__xludf.DUMMYFUNCTION("""COMPUTED_VALUE"""),1429.0)</f>
        <v>1429</v>
      </c>
      <c r="E17" s="6">
        <f>IFERROR(__xludf.DUMMYFUNCTION("""COMPUTED_VALUE"""),1488.0)</f>
        <v>1488</v>
      </c>
      <c r="F17" s="6">
        <f>IFERROR(__xludf.DUMMYFUNCTION("""COMPUTED_VALUE"""),2636365.0)</f>
        <v>2636365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IFERROR(__xludf.DUMMYFUNCTION("""COMPUTED_VALUE"""),1487.0)</f>
        <v>1487</v>
      </c>
      <c r="C18" s="6">
        <f>IFERROR(__xludf.DUMMYFUNCTION("""COMPUTED_VALUE"""),1500.95)</f>
        <v>1500.95</v>
      </c>
      <c r="D18" s="6">
        <f>IFERROR(__xludf.DUMMYFUNCTION("""COMPUTED_VALUE"""),1420.0)</f>
        <v>1420</v>
      </c>
      <c r="E18" s="6">
        <f>IFERROR(__xludf.DUMMYFUNCTION("""COMPUTED_VALUE"""),1475.1)</f>
        <v>1475.1</v>
      </c>
      <c r="F18" s="6">
        <f>IFERROR(__xludf.DUMMYFUNCTION("""COMPUTED_VALUE"""),1113018.0)</f>
        <v>1113018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IFERROR(__xludf.DUMMYFUNCTION("""COMPUTED_VALUE"""),1470.0)</f>
        <v>1470</v>
      </c>
      <c r="C19" s="6">
        <f>IFERROR(__xludf.DUMMYFUNCTION("""COMPUTED_VALUE"""),1501.5)</f>
        <v>1501.5</v>
      </c>
      <c r="D19" s="6">
        <f>IFERROR(__xludf.DUMMYFUNCTION("""COMPUTED_VALUE"""),1445.7)</f>
        <v>1445.7</v>
      </c>
      <c r="E19" s="6">
        <f>IFERROR(__xludf.DUMMYFUNCTION("""COMPUTED_VALUE"""),1476.3)</f>
        <v>1476.3</v>
      </c>
      <c r="F19" s="6">
        <f>IFERROR(__xludf.DUMMYFUNCTION("""COMPUTED_VALUE"""),1121581.0)</f>
        <v>1121581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IFERROR(__xludf.DUMMYFUNCTION("""COMPUTED_VALUE"""),1484.9)</f>
        <v>1484.9</v>
      </c>
      <c r="C20" s="6">
        <f>IFERROR(__xludf.DUMMYFUNCTION("""COMPUTED_VALUE"""),1537.35)</f>
        <v>1537.35</v>
      </c>
      <c r="D20" s="6">
        <f>IFERROR(__xludf.DUMMYFUNCTION("""COMPUTED_VALUE"""),1440.6)</f>
        <v>1440.6</v>
      </c>
      <c r="E20" s="6">
        <f>IFERROR(__xludf.DUMMYFUNCTION("""COMPUTED_VALUE"""),1499.5)</f>
        <v>1499.5</v>
      </c>
      <c r="F20" s="6">
        <f>IFERROR(__xludf.DUMMYFUNCTION("""COMPUTED_VALUE"""),2676178.0)</f>
        <v>2676178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IFERROR(__xludf.DUMMYFUNCTION("""COMPUTED_VALUE"""),1504.15)</f>
        <v>1504.15</v>
      </c>
      <c r="C21" s="6">
        <f>IFERROR(__xludf.DUMMYFUNCTION("""COMPUTED_VALUE"""),1512.05)</f>
        <v>1512.05</v>
      </c>
      <c r="D21" s="6">
        <f>IFERROR(__xludf.DUMMYFUNCTION("""COMPUTED_VALUE"""),1452.55)</f>
        <v>1452.55</v>
      </c>
      <c r="E21" s="6">
        <f>IFERROR(__xludf.DUMMYFUNCTION("""COMPUTED_VALUE"""),1474.2)</f>
        <v>1474.2</v>
      </c>
      <c r="F21" s="6">
        <f>IFERROR(__xludf.DUMMYFUNCTION("""COMPUTED_VALUE"""),1039279.0)</f>
        <v>1039279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IFERROR(__xludf.DUMMYFUNCTION("""COMPUTED_VALUE"""),1415.0)</f>
        <v>1415</v>
      </c>
      <c r="C22" s="6">
        <f>IFERROR(__xludf.DUMMYFUNCTION("""COMPUTED_VALUE"""),1426.0)</f>
        <v>1426</v>
      </c>
      <c r="D22" s="6">
        <f>IFERROR(__xludf.DUMMYFUNCTION("""COMPUTED_VALUE"""),1350.35)</f>
        <v>1350.35</v>
      </c>
      <c r="E22" s="6">
        <f>IFERROR(__xludf.DUMMYFUNCTION("""COMPUTED_VALUE"""),1388.15)</f>
        <v>1388.15</v>
      </c>
      <c r="F22" s="6">
        <f>IFERROR(__xludf.DUMMYFUNCTION("""COMPUTED_VALUE"""),1318901.0)</f>
        <v>1318901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IFERROR(__xludf.DUMMYFUNCTION("""COMPUTED_VALUE"""),1388.0)</f>
        <v>1388</v>
      </c>
      <c r="C23" s="6">
        <f>IFERROR(__xludf.DUMMYFUNCTION("""COMPUTED_VALUE"""),1421.6)</f>
        <v>1421.6</v>
      </c>
      <c r="D23" s="6">
        <f>IFERROR(__xludf.DUMMYFUNCTION("""COMPUTED_VALUE"""),1350.1)</f>
        <v>1350.1</v>
      </c>
      <c r="E23" s="6">
        <f>IFERROR(__xludf.DUMMYFUNCTION("""COMPUTED_VALUE"""),1377.45)</f>
        <v>1377.45</v>
      </c>
      <c r="F23" s="6">
        <f>IFERROR(__xludf.DUMMYFUNCTION("""COMPUTED_VALUE"""),2101328.0)</f>
        <v>2101328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IFERROR(__xludf.DUMMYFUNCTION("""COMPUTED_VALUE"""),1388.35)</f>
        <v>1388.35</v>
      </c>
      <c r="C24" s="6">
        <f>IFERROR(__xludf.DUMMYFUNCTION("""COMPUTED_VALUE"""),1429.5)</f>
        <v>1429.5</v>
      </c>
      <c r="D24" s="6">
        <f>IFERROR(__xludf.DUMMYFUNCTION("""COMPUTED_VALUE"""),1352.0)</f>
        <v>1352</v>
      </c>
      <c r="E24" s="6">
        <f>IFERROR(__xludf.DUMMYFUNCTION("""COMPUTED_VALUE"""),1377.7)</f>
        <v>1377.7</v>
      </c>
      <c r="F24" s="6">
        <f>IFERROR(__xludf.DUMMYFUNCTION("""COMPUTED_VALUE"""),2287440.0)</f>
        <v>2287440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IFERROR(__xludf.DUMMYFUNCTION("""COMPUTED_VALUE"""),1373.0)</f>
        <v>1373</v>
      </c>
      <c r="C25" s="6">
        <f>IFERROR(__xludf.DUMMYFUNCTION("""COMPUTED_VALUE"""),1445.45)</f>
        <v>1445.45</v>
      </c>
      <c r="D25" s="6">
        <f>IFERROR(__xludf.DUMMYFUNCTION("""COMPUTED_VALUE"""),1323.3)</f>
        <v>1323.3</v>
      </c>
      <c r="E25" s="6">
        <f>IFERROR(__xludf.DUMMYFUNCTION("""COMPUTED_VALUE"""),1357.0)</f>
        <v>1357</v>
      </c>
      <c r="F25" s="6">
        <f>IFERROR(__xludf.DUMMYFUNCTION("""COMPUTED_VALUE"""),3278687.0)</f>
        <v>3278687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IFERROR(__xludf.DUMMYFUNCTION("""COMPUTED_VALUE"""),1364.0)</f>
        <v>1364</v>
      </c>
      <c r="C26" s="6">
        <f>IFERROR(__xludf.DUMMYFUNCTION("""COMPUTED_VALUE"""),1377.15)</f>
        <v>1377.15</v>
      </c>
      <c r="D26" s="6">
        <f>IFERROR(__xludf.DUMMYFUNCTION("""COMPUTED_VALUE"""),1307.85)</f>
        <v>1307.85</v>
      </c>
      <c r="E26" s="6">
        <f>IFERROR(__xludf.DUMMYFUNCTION("""COMPUTED_VALUE"""),1320.15)</f>
        <v>1320.15</v>
      </c>
      <c r="F26" s="6">
        <f>IFERROR(__xludf.DUMMYFUNCTION("""COMPUTED_VALUE"""),2280505.0)</f>
        <v>2280505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IFERROR(__xludf.DUMMYFUNCTION("""COMPUTED_VALUE"""),1312.1)</f>
        <v>1312.1</v>
      </c>
      <c r="C27" s="6">
        <f>IFERROR(__xludf.DUMMYFUNCTION("""COMPUTED_VALUE"""),1527.0)</f>
        <v>1527</v>
      </c>
      <c r="D27" s="6">
        <f>IFERROR(__xludf.DUMMYFUNCTION("""COMPUTED_VALUE"""),1312.1)</f>
        <v>1312.1</v>
      </c>
      <c r="E27" s="6">
        <f>IFERROR(__xludf.DUMMYFUNCTION("""COMPUTED_VALUE"""),1377.15)</f>
        <v>1377.15</v>
      </c>
      <c r="F27" s="6">
        <f>IFERROR(__xludf.DUMMYFUNCTION("""COMPUTED_VALUE"""),1.1062228E7)</f>
        <v>11062228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IFERROR(__xludf.DUMMYFUNCTION("""COMPUTED_VALUE"""),1382.05)</f>
        <v>1382.05</v>
      </c>
      <c r="C28" s="6">
        <f>IFERROR(__xludf.DUMMYFUNCTION("""COMPUTED_VALUE"""),1416.0)</f>
        <v>1416</v>
      </c>
      <c r="D28" s="6">
        <f>IFERROR(__xludf.DUMMYFUNCTION("""COMPUTED_VALUE"""),1328.85)</f>
        <v>1328.85</v>
      </c>
      <c r="E28" s="6">
        <f>IFERROR(__xludf.DUMMYFUNCTION("""COMPUTED_VALUE"""),1341.3)</f>
        <v>1341.3</v>
      </c>
      <c r="F28" s="6">
        <f>IFERROR(__xludf.DUMMYFUNCTION("""COMPUTED_VALUE"""),3234753.0)</f>
        <v>3234753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IFERROR(__xludf.DUMMYFUNCTION("""COMPUTED_VALUE"""),1333.05)</f>
        <v>1333.05</v>
      </c>
      <c r="C29" s="6">
        <f>IFERROR(__xludf.DUMMYFUNCTION("""COMPUTED_VALUE"""),1443.0)</f>
        <v>1443</v>
      </c>
      <c r="D29" s="6">
        <f>IFERROR(__xludf.DUMMYFUNCTION("""COMPUTED_VALUE"""),1321.0)</f>
        <v>1321</v>
      </c>
      <c r="E29" s="6">
        <f>IFERROR(__xludf.DUMMYFUNCTION("""COMPUTED_VALUE"""),1424.35)</f>
        <v>1424.35</v>
      </c>
      <c r="F29" s="6">
        <f>IFERROR(__xludf.DUMMYFUNCTION("""COMPUTED_VALUE"""),3042799.0)</f>
        <v>3042799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IFERROR(__xludf.DUMMYFUNCTION("""COMPUTED_VALUE"""),1420.0)</f>
        <v>1420</v>
      </c>
      <c r="C30" s="6">
        <f>IFERROR(__xludf.DUMMYFUNCTION("""COMPUTED_VALUE"""),1495.85)</f>
        <v>1495.85</v>
      </c>
      <c r="D30" s="6">
        <f>IFERROR(__xludf.DUMMYFUNCTION("""COMPUTED_VALUE"""),1410.95)</f>
        <v>1410.95</v>
      </c>
      <c r="E30" s="6">
        <f>IFERROR(__xludf.DUMMYFUNCTION("""COMPUTED_VALUE"""),1480.45)</f>
        <v>1480.45</v>
      </c>
      <c r="F30" s="6">
        <f>IFERROR(__xludf.DUMMYFUNCTION("""COMPUTED_VALUE"""),4512512.0)</f>
        <v>4512512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IFERROR(__xludf.DUMMYFUNCTION("""COMPUTED_VALUE"""),1505.0)</f>
        <v>1505</v>
      </c>
      <c r="C31" s="6">
        <f>IFERROR(__xludf.DUMMYFUNCTION("""COMPUTED_VALUE"""),1674.45)</f>
        <v>1674.45</v>
      </c>
      <c r="D31" s="6">
        <f>IFERROR(__xludf.DUMMYFUNCTION("""COMPUTED_VALUE"""),1505.0)</f>
        <v>1505</v>
      </c>
      <c r="E31" s="6">
        <f>IFERROR(__xludf.DUMMYFUNCTION("""COMPUTED_VALUE"""),1654.75)</f>
        <v>1654.75</v>
      </c>
      <c r="F31" s="6">
        <f>IFERROR(__xludf.DUMMYFUNCTION("""COMPUTED_VALUE"""),6167408.0)</f>
        <v>6167408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IFERROR(__xludf.DUMMYFUNCTION("""COMPUTED_VALUE"""),1666.5)</f>
        <v>1666.5</v>
      </c>
      <c r="C32" s="6">
        <f>IFERROR(__xludf.DUMMYFUNCTION("""COMPUTED_VALUE"""),1698.5)</f>
        <v>1698.5</v>
      </c>
      <c r="D32" s="6">
        <f>IFERROR(__xludf.DUMMYFUNCTION("""COMPUTED_VALUE"""),1644.3)</f>
        <v>1644.3</v>
      </c>
      <c r="E32" s="6">
        <f>IFERROR(__xludf.DUMMYFUNCTION("""COMPUTED_VALUE"""),1667.35)</f>
        <v>1667.35</v>
      </c>
      <c r="F32" s="6">
        <f>IFERROR(__xludf.DUMMYFUNCTION("""COMPUTED_VALUE"""),2351990.0)</f>
        <v>2351990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IFERROR(__xludf.DUMMYFUNCTION("""COMPUTED_VALUE"""),1630.1)</f>
        <v>1630.1</v>
      </c>
      <c r="C33" s="6">
        <f>IFERROR(__xludf.DUMMYFUNCTION("""COMPUTED_VALUE"""),1692.0)</f>
        <v>1692</v>
      </c>
      <c r="D33" s="6">
        <f>IFERROR(__xludf.DUMMYFUNCTION("""COMPUTED_VALUE"""),1610.0)</f>
        <v>1610</v>
      </c>
      <c r="E33" s="6">
        <f>IFERROR(__xludf.DUMMYFUNCTION("""COMPUTED_VALUE"""),1651.75)</f>
        <v>1651.75</v>
      </c>
      <c r="F33" s="6">
        <f>IFERROR(__xludf.DUMMYFUNCTION("""COMPUTED_VALUE"""),1524635.0)</f>
        <v>1524635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IFERROR(__xludf.DUMMYFUNCTION("""COMPUTED_VALUE"""),1655.8)</f>
        <v>1655.8</v>
      </c>
      <c r="C34" s="6">
        <f>IFERROR(__xludf.DUMMYFUNCTION("""COMPUTED_VALUE"""),1717.0)</f>
        <v>1717</v>
      </c>
      <c r="D34" s="6">
        <f>IFERROR(__xludf.DUMMYFUNCTION("""COMPUTED_VALUE"""),1586.0)</f>
        <v>1586</v>
      </c>
      <c r="E34" s="6">
        <f>IFERROR(__xludf.DUMMYFUNCTION("""COMPUTED_VALUE"""),1687.95)</f>
        <v>1687.95</v>
      </c>
      <c r="F34" s="6">
        <f>IFERROR(__xludf.DUMMYFUNCTION("""COMPUTED_VALUE"""),3051048.0)</f>
        <v>3051048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IFERROR(__xludf.DUMMYFUNCTION("""COMPUTED_VALUE"""),1705.0)</f>
        <v>1705</v>
      </c>
      <c r="C35" s="6">
        <f>IFERROR(__xludf.DUMMYFUNCTION("""COMPUTED_VALUE"""),1753.9)</f>
        <v>1753.9</v>
      </c>
      <c r="D35" s="6">
        <f>IFERROR(__xludf.DUMMYFUNCTION("""COMPUTED_VALUE"""),1684.0)</f>
        <v>1684</v>
      </c>
      <c r="E35" s="6">
        <f>IFERROR(__xludf.DUMMYFUNCTION("""COMPUTED_VALUE"""),1700.95)</f>
        <v>1700.95</v>
      </c>
      <c r="F35" s="6">
        <f>IFERROR(__xludf.DUMMYFUNCTION("""COMPUTED_VALUE"""),1598790.0)</f>
        <v>1598790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IFERROR(__xludf.DUMMYFUNCTION("""COMPUTED_VALUE"""),1716.35)</f>
        <v>1716.35</v>
      </c>
      <c r="C36" s="6">
        <f>IFERROR(__xludf.DUMMYFUNCTION("""COMPUTED_VALUE"""),1716.85)</f>
        <v>1716.85</v>
      </c>
      <c r="D36" s="6">
        <f>IFERROR(__xludf.DUMMYFUNCTION("""COMPUTED_VALUE"""),1509.7)</f>
        <v>1509.7</v>
      </c>
      <c r="E36" s="6">
        <f>IFERROR(__xludf.DUMMYFUNCTION("""COMPUTED_VALUE"""),1663.25)</f>
        <v>1663.25</v>
      </c>
      <c r="F36" s="6">
        <f>IFERROR(__xludf.DUMMYFUNCTION("""COMPUTED_VALUE"""),4463801.0)</f>
        <v>4463801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IFERROR(__xludf.DUMMYFUNCTION("""COMPUTED_VALUE"""),1716.0)</f>
        <v>1716</v>
      </c>
      <c r="C37" s="6">
        <f>IFERROR(__xludf.DUMMYFUNCTION("""COMPUTED_VALUE"""),1722.25)</f>
        <v>1722.25</v>
      </c>
      <c r="D37" s="6">
        <f>IFERROR(__xludf.DUMMYFUNCTION("""COMPUTED_VALUE"""),1674.05)</f>
        <v>1674.05</v>
      </c>
      <c r="E37" s="6">
        <f>IFERROR(__xludf.DUMMYFUNCTION("""COMPUTED_VALUE"""),1694.95)</f>
        <v>1694.95</v>
      </c>
      <c r="F37" s="6">
        <f>IFERROR(__xludf.DUMMYFUNCTION("""COMPUTED_VALUE"""),1328875.0)</f>
        <v>1328875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IFERROR(__xludf.DUMMYFUNCTION("""COMPUTED_VALUE"""),1705.0)</f>
        <v>1705</v>
      </c>
      <c r="C38" s="6">
        <f>IFERROR(__xludf.DUMMYFUNCTION("""COMPUTED_VALUE"""),1763.0)</f>
        <v>1763</v>
      </c>
      <c r="D38" s="6">
        <f>IFERROR(__xludf.DUMMYFUNCTION("""COMPUTED_VALUE"""),1666.0)</f>
        <v>1666</v>
      </c>
      <c r="E38" s="6">
        <f>IFERROR(__xludf.DUMMYFUNCTION("""COMPUTED_VALUE"""),1683.45)</f>
        <v>1683.45</v>
      </c>
      <c r="F38" s="6">
        <f>IFERROR(__xludf.DUMMYFUNCTION("""COMPUTED_VALUE"""),5702666.0)</f>
        <v>5702666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IFERROR(__xludf.DUMMYFUNCTION("""COMPUTED_VALUE"""),1702.0)</f>
        <v>1702</v>
      </c>
      <c r="C39" s="6">
        <f>IFERROR(__xludf.DUMMYFUNCTION("""COMPUTED_VALUE"""),1810.95)</f>
        <v>1810.95</v>
      </c>
      <c r="D39" s="6">
        <f>IFERROR(__xludf.DUMMYFUNCTION("""COMPUTED_VALUE"""),1579.1)</f>
        <v>1579.1</v>
      </c>
      <c r="E39" s="6">
        <f>IFERROR(__xludf.DUMMYFUNCTION("""COMPUTED_VALUE"""),1773.15)</f>
        <v>1773.15</v>
      </c>
      <c r="F39" s="6">
        <f>IFERROR(__xludf.DUMMYFUNCTION("""COMPUTED_VALUE"""),3285811.0)</f>
        <v>3285811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IFERROR(__xludf.DUMMYFUNCTION("""COMPUTED_VALUE"""),1777.35)</f>
        <v>1777.35</v>
      </c>
      <c r="C40" s="6">
        <f>IFERROR(__xludf.DUMMYFUNCTION("""COMPUTED_VALUE"""),1805.0)</f>
        <v>1805</v>
      </c>
      <c r="D40" s="6">
        <f>IFERROR(__xludf.DUMMYFUNCTION("""COMPUTED_VALUE"""),1730.0)</f>
        <v>1730</v>
      </c>
      <c r="E40" s="6">
        <f>IFERROR(__xludf.DUMMYFUNCTION("""COMPUTED_VALUE"""),1770.0)</f>
        <v>1770</v>
      </c>
      <c r="F40" s="6">
        <f>IFERROR(__xludf.DUMMYFUNCTION("""COMPUTED_VALUE"""),3456985.0)</f>
        <v>3456985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IFERROR(__xludf.DUMMYFUNCTION("""COMPUTED_VALUE"""),1773.8)</f>
        <v>1773.8</v>
      </c>
      <c r="C41" s="6">
        <f>IFERROR(__xludf.DUMMYFUNCTION("""COMPUTED_VALUE"""),1781.8)</f>
        <v>1781.8</v>
      </c>
      <c r="D41" s="6">
        <f>IFERROR(__xludf.DUMMYFUNCTION("""COMPUTED_VALUE"""),1712.05)</f>
        <v>1712.05</v>
      </c>
      <c r="E41" s="6">
        <f>IFERROR(__xludf.DUMMYFUNCTION("""COMPUTED_VALUE"""),1717.35)</f>
        <v>1717.35</v>
      </c>
      <c r="F41" s="6">
        <f>IFERROR(__xludf.DUMMYFUNCTION("""COMPUTED_VALUE"""),1414517.0)</f>
        <v>1414517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IFERROR(__xludf.DUMMYFUNCTION("""COMPUTED_VALUE"""),1725.0)</f>
        <v>1725</v>
      </c>
      <c r="C42" s="6">
        <f>IFERROR(__xludf.DUMMYFUNCTION("""COMPUTED_VALUE"""),1856.85)</f>
        <v>1856.85</v>
      </c>
      <c r="D42" s="6">
        <f>IFERROR(__xludf.DUMMYFUNCTION("""COMPUTED_VALUE"""),1702.05)</f>
        <v>1702.05</v>
      </c>
      <c r="E42" s="6">
        <f>IFERROR(__xludf.DUMMYFUNCTION("""COMPUTED_VALUE"""),1795.85)</f>
        <v>1795.85</v>
      </c>
      <c r="F42" s="6">
        <f>IFERROR(__xludf.DUMMYFUNCTION("""COMPUTED_VALUE"""),4276939.0)</f>
        <v>4276939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IFERROR(__xludf.DUMMYFUNCTION("""COMPUTED_VALUE"""),1808.9)</f>
        <v>1808.9</v>
      </c>
      <c r="C43" s="6">
        <f>IFERROR(__xludf.DUMMYFUNCTION("""COMPUTED_VALUE"""),1820.0)</f>
        <v>1820</v>
      </c>
      <c r="D43" s="6">
        <f>IFERROR(__xludf.DUMMYFUNCTION("""COMPUTED_VALUE"""),1756.0)</f>
        <v>1756</v>
      </c>
      <c r="E43" s="6">
        <f>IFERROR(__xludf.DUMMYFUNCTION("""COMPUTED_VALUE"""),1810.6)</f>
        <v>1810.6</v>
      </c>
      <c r="F43" s="6">
        <f>IFERROR(__xludf.DUMMYFUNCTION("""COMPUTED_VALUE"""),2191358.0)</f>
        <v>2191358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IFERROR(__xludf.DUMMYFUNCTION("""COMPUTED_VALUE"""),1818.4)</f>
        <v>1818.4</v>
      </c>
      <c r="C44" s="6">
        <f>IFERROR(__xludf.DUMMYFUNCTION("""COMPUTED_VALUE"""),1864.7)</f>
        <v>1864.7</v>
      </c>
      <c r="D44" s="6">
        <f>IFERROR(__xludf.DUMMYFUNCTION("""COMPUTED_VALUE"""),1770.0)</f>
        <v>1770</v>
      </c>
      <c r="E44" s="6">
        <f>IFERROR(__xludf.DUMMYFUNCTION("""COMPUTED_VALUE"""),1846.75)</f>
        <v>1846.75</v>
      </c>
      <c r="F44" s="6">
        <f>IFERROR(__xludf.DUMMYFUNCTION("""COMPUTED_VALUE"""),2148274.0)</f>
        <v>2148274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IFERROR(__xludf.DUMMYFUNCTION("""COMPUTED_VALUE"""),1855.95)</f>
        <v>1855.95</v>
      </c>
      <c r="C45" s="6">
        <f>IFERROR(__xludf.DUMMYFUNCTION("""COMPUTED_VALUE"""),1885.95)</f>
        <v>1885.95</v>
      </c>
      <c r="D45" s="6">
        <f>IFERROR(__xludf.DUMMYFUNCTION("""COMPUTED_VALUE"""),1811.45)</f>
        <v>1811.45</v>
      </c>
      <c r="E45" s="6">
        <f>IFERROR(__xludf.DUMMYFUNCTION("""COMPUTED_VALUE"""),1841.25)</f>
        <v>1841.25</v>
      </c>
      <c r="F45" s="6">
        <f>IFERROR(__xludf.DUMMYFUNCTION("""COMPUTED_VALUE"""),2552854.0)</f>
        <v>2552854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IFERROR(__xludf.DUMMYFUNCTION("""COMPUTED_VALUE"""),1830.3)</f>
        <v>1830.3</v>
      </c>
      <c r="C46" s="6">
        <f>IFERROR(__xludf.DUMMYFUNCTION("""COMPUTED_VALUE"""),1838.95)</f>
        <v>1838.95</v>
      </c>
      <c r="D46" s="6">
        <f>IFERROR(__xludf.DUMMYFUNCTION("""COMPUTED_VALUE"""),1664.6)</f>
        <v>1664.6</v>
      </c>
      <c r="E46" s="6">
        <f>IFERROR(__xludf.DUMMYFUNCTION("""COMPUTED_VALUE"""),1783.2)</f>
        <v>1783.2</v>
      </c>
      <c r="F46" s="6">
        <f>IFERROR(__xludf.DUMMYFUNCTION("""COMPUTED_VALUE"""),3990707.0)</f>
        <v>3990707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IFERROR(__xludf.DUMMYFUNCTION("""COMPUTED_VALUE"""),1795.0)</f>
        <v>1795</v>
      </c>
      <c r="C47" s="6">
        <f>IFERROR(__xludf.DUMMYFUNCTION("""COMPUTED_VALUE"""),1895.0)</f>
        <v>1895</v>
      </c>
      <c r="D47" s="6">
        <f>IFERROR(__xludf.DUMMYFUNCTION("""COMPUTED_VALUE"""),1766.55)</f>
        <v>1766.55</v>
      </c>
      <c r="E47" s="6">
        <f>IFERROR(__xludf.DUMMYFUNCTION("""COMPUTED_VALUE"""),1877.65)</f>
        <v>1877.65</v>
      </c>
      <c r="F47" s="6">
        <f>IFERROR(__xludf.DUMMYFUNCTION("""COMPUTED_VALUE"""),3534438.0)</f>
        <v>3534438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IFERROR(__xludf.DUMMYFUNCTION("""COMPUTED_VALUE"""),1864.05)</f>
        <v>1864.05</v>
      </c>
      <c r="C48" s="6">
        <f>IFERROR(__xludf.DUMMYFUNCTION("""COMPUTED_VALUE"""),1884.0)</f>
        <v>1884</v>
      </c>
      <c r="D48" s="6">
        <f>IFERROR(__xludf.DUMMYFUNCTION("""COMPUTED_VALUE"""),1670.0)</f>
        <v>1670</v>
      </c>
      <c r="E48" s="6">
        <f>IFERROR(__xludf.DUMMYFUNCTION("""COMPUTED_VALUE"""),1879.2)</f>
        <v>1879.2</v>
      </c>
      <c r="F48" s="6">
        <f>IFERROR(__xludf.DUMMYFUNCTION("""COMPUTED_VALUE"""),3058815.0)</f>
        <v>3058815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IFERROR(__xludf.DUMMYFUNCTION("""COMPUTED_VALUE"""),1879.2)</f>
        <v>1879.2</v>
      </c>
      <c r="C49" s="6">
        <f>IFERROR(__xludf.DUMMYFUNCTION("""COMPUTED_VALUE"""),1904.95)</f>
        <v>1904.95</v>
      </c>
      <c r="D49" s="6">
        <f>IFERROR(__xludf.DUMMYFUNCTION("""COMPUTED_VALUE"""),1785.15)</f>
        <v>1785.15</v>
      </c>
      <c r="E49" s="6">
        <f>IFERROR(__xludf.DUMMYFUNCTION("""COMPUTED_VALUE"""),1833.95)</f>
        <v>1833.95</v>
      </c>
      <c r="F49" s="6">
        <f>IFERROR(__xludf.DUMMYFUNCTION("""COMPUTED_VALUE"""),3362034.0)</f>
        <v>3362034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IFERROR(__xludf.DUMMYFUNCTION("""COMPUTED_VALUE"""),1833.0)</f>
        <v>1833</v>
      </c>
      <c r="C50" s="6">
        <f>IFERROR(__xludf.DUMMYFUNCTION("""COMPUTED_VALUE"""),1948.9)</f>
        <v>1948.9</v>
      </c>
      <c r="D50" s="6">
        <f>IFERROR(__xludf.DUMMYFUNCTION("""COMPUTED_VALUE"""),1832.25)</f>
        <v>1832.25</v>
      </c>
      <c r="E50" s="6">
        <f>IFERROR(__xludf.DUMMYFUNCTION("""COMPUTED_VALUE"""),1900.8)</f>
        <v>1900.8</v>
      </c>
      <c r="F50" s="6">
        <f>IFERROR(__xludf.DUMMYFUNCTION("""COMPUTED_VALUE"""),3099729.0)</f>
        <v>3099729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IFERROR(__xludf.DUMMYFUNCTION("""COMPUTED_VALUE"""),1909.95)</f>
        <v>1909.95</v>
      </c>
      <c r="C51" s="6">
        <f>IFERROR(__xludf.DUMMYFUNCTION("""COMPUTED_VALUE"""),2001.6)</f>
        <v>2001.6</v>
      </c>
      <c r="D51" s="6">
        <f>IFERROR(__xludf.DUMMYFUNCTION("""COMPUTED_VALUE"""),1903.75)</f>
        <v>1903.75</v>
      </c>
      <c r="E51" s="6">
        <f>IFERROR(__xludf.DUMMYFUNCTION("""COMPUTED_VALUE"""),1965.85)</f>
        <v>1965.85</v>
      </c>
      <c r="F51" s="6">
        <f>IFERROR(__xludf.DUMMYFUNCTION("""COMPUTED_VALUE"""),1999217.0)</f>
        <v>1999217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IFERROR(__xludf.DUMMYFUNCTION("""COMPUTED_VALUE"""),1972.0)</f>
        <v>1972</v>
      </c>
      <c r="C52" s="6">
        <f>IFERROR(__xludf.DUMMYFUNCTION("""COMPUTED_VALUE"""),2012.1)</f>
        <v>2012.1</v>
      </c>
      <c r="D52" s="6">
        <f>IFERROR(__xludf.DUMMYFUNCTION("""COMPUTED_VALUE"""),1942.6)</f>
        <v>1942.6</v>
      </c>
      <c r="E52" s="6">
        <f>IFERROR(__xludf.DUMMYFUNCTION("""COMPUTED_VALUE"""),1976.55)</f>
        <v>1976.55</v>
      </c>
      <c r="F52" s="6">
        <f>IFERROR(__xludf.DUMMYFUNCTION("""COMPUTED_VALUE"""),2544329.0)</f>
        <v>2544329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IFERROR(__xludf.DUMMYFUNCTION("""COMPUTED_VALUE"""),1977.45)</f>
        <v>1977.45</v>
      </c>
      <c r="C53" s="6">
        <f>IFERROR(__xludf.DUMMYFUNCTION("""COMPUTED_VALUE"""),2078.75)</f>
        <v>2078.75</v>
      </c>
      <c r="D53" s="6">
        <f>IFERROR(__xludf.DUMMYFUNCTION("""COMPUTED_VALUE"""),1943.0)</f>
        <v>1943</v>
      </c>
      <c r="E53" s="6">
        <f>IFERROR(__xludf.DUMMYFUNCTION("""COMPUTED_VALUE"""),2013.05)</f>
        <v>2013.05</v>
      </c>
      <c r="F53" s="6">
        <f>IFERROR(__xludf.DUMMYFUNCTION("""COMPUTED_VALUE"""),3545498.0)</f>
        <v>3545498</v>
      </c>
    </row>
    <row r="54">
      <c r="A54" s="7">
        <f>IFERROR(__xludf.DUMMYFUNCTION("""COMPUTED_VALUE"""),45555.64583333333)</f>
        <v>45555.64583</v>
      </c>
      <c r="B54" s="6">
        <f>IFERROR(__xludf.DUMMYFUNCTION("""COMPUTED_VALUE"""),2025.0)</f>
        <v>2025</v>
      </c>
      <c r="C54" s="6">
        <f>IFERROR(__xludf.DUMMYFUNCTION("""COMPUTED_VALUE"""),2060.0)</f>
        <v>2060</v>
      </c>
      <c r="D54" s="6">
        <f>IFERROR(__xludf.DUMMYFUNCTION("""COMPUTED_VALUE"""),1927.15)</f>
        <v>1927.15</v>
      </c>
      <c r="E54" s="6">
        <f>IFERROR(__xludf.DUMMYFUNCTION("""COMPUTED_VALUE"""),1989.65)</f>
        <v>1989.65</v>
      </c>
      <c r="F54" s="6">
        <f>IFERROR(__xludf.DUMMYFUNCTION("""COMPUTED_VALUE"""),3713725.0)</f>
        <v>3713725</v>
      </c>
    </row>
    <row r="55">
      <c r="A55" s="7">
        <f>IFERROR(__xludf.DUMMYFUNCTION("""COMPUTED_VALUE"""),45562.64583333333)</f>
        <v>45562.64583</v>
      </c>
      <c r="B55" s="6">
        <f>IFERROR(__xludf.DUMMYFUNCTION("""COMPUTED_VALUE"""),2004.0)</f>
        <v>2004</v>
      </c>
      <c r="C55" s="6">
        <f>IFERROR(__xludf.DUMMYFUNCTION("""COMPUTED_VALUE"""),2069.8)</f>
        <v>2069.8</v>
      </c>
      <c r="D55" s="6">
        <f>IFERROR(__xludf.DUMMYFUNCTION("""COMPUTED_VALUE"""),1986.05)</f>
        <v>1986.05</v>
      </c>
      <c r="E55" s="6">
        <f>IFERROR(__xludf.DUMMYFUNCTION("""COMPUTED_VALUE"""),2057.75)</f>
        <v>2057.75</v>
      </c>
      <c r="F55" s="6">
        <f>IFERROR(__xludf.DUMMYFUNCTION("""COMPUTED_VALUE"""),2650208.0)</f>
        <v>2650208</v>
      </c>
    </row>
    <row r="56">
      <c r="A56" s="7">
        <f>IFERROR(__xludf.DUMMYFUNCTION("""COMPUTED_VALUE"""),45569.64583333333)</f>
        <v>45569.64583</v>
      </c>
      <c r="B56" s="6">
        <f>IFERROR(__xludf.DUMMYFUNCTION("""COMPUTED_VALUE"""),2051.0)</f>
        <v>2051</v>
      </c>
      <c r="C56" s="6">
        <f>IFERROR(__xludf.DUMMYFUNCTION("""COMPUTED_VALUE"""),2065.0)</f>
        <v>2065</v>
      </c>
      <c r="D56" s="6">
        <f>IFERROR(__xludf.DUMMYFUNCTION("""COMPUTED_VALUE"""),1910.75)</f>
        <v>1910.75</v>
      </c>
      <c r="E56" s="6">
        <f>IFERROR(__xludf.DUMMYFUNCTION("""COMPUTED_VALUE"""),1930.35)</f>
        <v>1930.35</v>
      </c>
      <c r="F56" s="6">
        <f>IFERROR(__xludf.DUMMYFUNCTION("""COMPUTED_VALUE"""),3271951.0)</f>
        <v>3271951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IFERROR(__xludf.DUMMYFUNCTION("""COMPUTED_VALUE"""),1945.05)</f>
        <v>1945.05</v>
      </c>
      <c r="C57" s="6">
        <f>IFERROR(__xludf.DUMMYFUNCTION("""COMPUTED_VALUE"""),1968.45)</f>
        <v>1968.45</v>
      </c>
      <c r="D57" s="6">
        <f>IFERROR(__xludf.DUMMYFUNCTION("""COMPUTED_VALUE"""),1868.05)</f>
        <v>1868.05</v>
      </c>
      <c r="E57" s="6">
        <f>IFERROR(__xludf.DUMMYFUNCTION("""COMPUTED_VALUE"""),1945.45)</f>
        <v>1945.45</v>
      </c>
      <c r="F57" s="6">
        <f>IFERROR(__xludf.DUMMYFUNCTION("""COMPUTED_VALUE"""),2362855.0)</f>
        <v>2362855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IFERROR(__xludf.DUMMYFUNCTION("""COMPUTED_VALUE"""),1943.1)</f>
        <v>1943.1</v>
      </c>
      <c r="C58" s="6">
        <f>IFERROR(__xludf.DUMMYFUNCTION("""COMPUTED_VALUE"""),1996.45)</f>
        <v>1996.45</v>
      </c>
      <c r="D58" s="6">
        <f>IFERROR(__xludf.DUMMYFUNCTION("""COMPUTED_VALUE"""),1923.7)</f>
        <v>1923.7</v>
      </c>
      <c r="E58" s="6">
        <f>IFERROR(__xludf.DUMMYFUNCTION("""COMPUTED_VALUE"""),1968.75)</f>
        <v>1968.75</v>
      </c>
      <c r="F58" s="6">
        <f>IFERROR(__xludf.DUMMYFUNCTION("""COMPUTED_VALUE"""),1596196.0)</f>
        <v>1596196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IFERROR(__xludf.DUMMYFUNCTION("""COMPUTED_VALUE"""),1968.75)</f>
        <v>1968.75</v>
      </c>
      <c r="C59" s="6">
        <f>IFERROR(__xludf.DUMMYFUNCTION("""COMPUTED_VALUE"""),1988.45)</f>
        <v>1988.45</v>
      </c>
      <c r="D59" s="6">
        <f>IFERROR(__xludf.DUMMYFUNCTION("""COMPUTED_VALUE"""),1890.05)</f>
        <v>1890.05</v>
      </c>
      <c r="E59" s="6">
        <f>IFERROR(__xludf.DUMMYFUNCTION("""COMPUTED_VALUE"""),1923.55)</f>
        <v>1923.55</v>
      </c>
      <c r="F59" s="6">
        <f>IFERROR(__xludf.DUMMYFUNCTION("""COMPUTED_VALUE"""),1869700.0)</f>
        <v>1869700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IFERROR(__xludf.DUMMYFUNCTION("""COMPUTED_VALUE"""),1932.1)</f>
        <v>1932.1</v>
      </c>
      <c r="C60" s="6">
        <f>IFERROR(__xludf.DUMMYFUNCTION("""COMPUTED_VALUE"""),1962.45)</f>
        <v>1962.45</v>
      </c>
      <c r="D60" s="6">
        <f>IFERROR(__xludf.DUMMYFUNCTION("""COMPUTED_VALUE"""),1787.0)</f>
        <v>1787</v>
      </c>
      <c r="E60" s="6">
        <f>IFERROR(__xludf.DUMMYFUNCTION("""COMPUTED_VALUE"""),1804.55)</f>
        <v>1804.55</v>
      </c>
      <c r="F60" s="6">
        <f>IFERROR(__xludf.DUMMYFUNCTION("""COMPUTED_VALUE"""),1867138.0)</f>
        <v>1867138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IFERROR(__xludf.DUMMYFUNCTION("""COMPUTED_VALUE"""),1803.0)</f>
        <v>1803</v>
      </c>
      <c r="C61" s="6">
        <f>IFERROR(__xludf.DUMMYFUNCTION("""COMPUTED_VALUE"""),1830.0)</f>
        <v>1830</v>
      </c>
      <c r="D61" s="6">
        <f>IFERROR(__xludf.DUMMYFUNCTION("""COMPUTED_VALUE"""),1756.05)</f>
        <v>1756.05</v>
      </c>
      <c r="E61" s="6">
        <f>IFERROR(__xludf.DUMMYFUNCTION("""COMPUTED_VALUE"""),1775.85)</f>
        <v>1775.85</v>
      </c>
      <c r="F61" s="6">
        <f>IFERROR(__xludf.DUMMYFUNCTION("""COMPUTED_VALUE"""),1125258.0)</f>
        <v>1125258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IFERROR(__xludf.DUMMYFUNCTION("""COMPUTED_VALUE"""),1866.0)</f>
        <v>1866</v>
      </c>
      <c r="C62" s="6">
        <f>IFERROR(__xludf.DUMMYFUNCTION("""COMPUTED_VALUE"""),1934.0)</f>
        <v>1934</v>
      </c>
      <c r="D62" s="6">
        <f>IFERROR(__xludf.DUMMYFUNCTION("""COMPUTED_VALUE"""),1846.05)</f>
        <v>1846.05</v>
      </c>
      <c r="E62" s="6">
        <f>IFERROR(__xludf.DUMMYFUNCTION("""COMPUTED_VALUE"""),1927.35)</f>
        <v>1927.35</v>
      </c>
      <c r="F62" s="6">
        <f>IFERROR(__xludf.DUMMYFUNCTION("""COMPUTED_VALUE"""),5694341.0)</f>
        <v>5694341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IFERROR(__xludf.DUMMYFUNCTION("""COMPUTED_VALUE"""),1945.0)</f>
        <v>1945</v>
      </c>
      <c r="C63" s="6">
        <f>IFERROR(__xludf.DUMMYFUNCTION("""COMPUTED_VALUE"""),1975.0)</f>
        <v>1975</v>
      </c>
      <c r="D63" s="6">
        <f>IFERROR(__xludf.DUMMYFUNCTION("""COMPUTED_VALUE"""),1895.0)</f>
        <v>1895</v>
      </c>
      <c r="E63" s="6">
        <f>IFERROR(__xludf.DUMMYFUNCTION("""COMPUTED_VALUE"""),1917.05)</f>
        <v>1917.05</v>
      </c>
      <c r="F63" s="6">
        <f>IFERROR(__xludf.DUMMYFUNCTION("""COMPUTED_VALUE"""),2929237.0)</f>
        <v>2929237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IFERROR(__xludf.DUMMYFUNCTION("""COMPUTED_VALUE"""),1917.05)</f>
        <v>1917.05</v>
      </c>
      <c r="C64" s="6">
        <f>IFERROR(__xludf.DUMMYFUNCTION("""COMPUTED_VALUE"""),1970.0)</f>
        <v>1970</v>
      </c>
      <c r="D64" s="6">
        <f>IFERROR(__xludf.DUMMYFUNCTION("""COMPUTED_VALUE"""),1910.1)</f>
        <v>1910.1</v>
      </c>
      <c r="E64" s="6">
        <f>IFERROR(__xludf.DUMMYFUNCTION("""COMPUTED_VALUE"""),1951.55)</f>
        <v>1951.55</v>
      </c>
      <c r="F64" s="6">
        <f>IFERROR(__xludf.DUMMYFUNCTION("""COMPUTED_VALUE"""),1831046.0)</f>
        <v>1831046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IFERROR(__xludf.DUMMYFUNCTION("""COMPUTED_VALUE"""),1939.95)</f>
        <v>1939.95</v>
      </c>
      <c r="C65" s="6">
        <f>IFERROR(__xludf.DUMMYFUNCTION("""COMPUTED_VALUE"""),2132.9)</f>
        <v>2132.9</v>
      </c>
      <c r="D65" s="6">
        <f>IFERROR(__xludf.DUMMYFUNCTION("""COMPUTED_VALUE"""),1936.0)</f>
        <v>1936</v>
      </c>
      <c r="E65" s="6">
        <f>IFERROR(__xludf.DUMMYFUNCTION("""COMPUTED_VALUE"""),2092.85)</f>
        <v>2092.85</v>
      </c>
      <c r="F65" s="6">
        <f>IFERROR(__xludf.DUMMYFUNCTION("""COMPUTED_VALUE"""),4255689.0)</f>
        <v>4255689</v>
      </c>
    </row>
    <row r="66">
      <c r="A66" s="7">
        <f>IFERROR(__xludf.DUMMYFUNCTION("""COMPUTED_VALUE"""),45646.64583333333)</f>
        <v>45646.64583</v>
      </c>
      <c r="B66" s="6">
        <f>IFERROR(__xludf.DUMMYFUNCTION("""COMPUTED_VALUE"""),2095.25)</f>
        <v>2095.25</v>
      </c>
      <c r="C66" s="6">
        <f>IFERROR(__xludf.DUMMYFUNCTION("""COMPUTED_VALUE"""),2154.0)</f>
        <v>2154</v>
      </c>
      <c r="D66" s="6">
        <f>IFERROR(__xludf.DUMMYFUNCTION("""COMPUTED_VALUE"""),2070.75)</f>
        <v>2070.75</v>
      </c>
      <c r="E66" s="6">
        <f>IFERROR(__xludf.DUMMYFUNCTION("""COMPUTED_VALUE"""),2075.65)</f>
        <v>2075.65</v>
      </c>
      <c r="F66" s="6">
        <f>IFERROR(__xludf.DUMMYFUNCTION("""COMPUTED_VALUE"""),2074595.0)</f>
        <v>2074595</v>
      </c>
    </row>
    <row r="67">
      <c r="A67" s="7">
        <f>IFERROR(__xludf.DUMMYFUNCTION("""COMPUTED_VALUE"""),45653.64583333333)</f>
        <v>45653.64583</v>
      </c>
      <c r="B67" s="6">
        <f>IFERROR(__xludf.DUMMYFUNCTION("""COMPUTED_VALUE"""),2076.1)</f>
        <v>2076.1</v>
      </c>
      <c r="C67" s="6">
        <f>IFERROR(__xludf.DUMMYFUNCTION("""COMPUTED_VALUE"""),2098.9)</f>
        <v>2098.9</v>
      </c>
      <c r="D67" s="6">
        <f>IFERROR(__xludf.DUMMYFUNCTION("""COMPUTED_VALUE"""),2020.05)</f>
        <v>2020.05</v>
      </c>
      <c r="E67" s="6">
        <f>IFERROR(__xludf.DUMMYFUNCTION("""COMPUTED_VALUE"""),2069.6)</f>
        <v>2069.6</v>
      </c>
      <c r="F67" s="6">
        <f>IFERROR(__xludf.DUMMYFUNCTION("""COMPUTED_VALUE"""),1251439.0)</f>
        <v>1251439</v>
      </c>
    </row>
    <row r="68">
      <c r="A68" s="7">
        <f>IFERROR(__xludf.DUMMYFUNCTION("""COMPUTED_VALUE"""),45660.64583333333)</f>
        <v>45660.64583</v>
      </c>
      <c r="B68" s="6">
        <f>IFERROR(__xludf.DUMMYFUNCTION("""COMPUTED_VALUE"""),2050.0)</f>
        <v>2050</v>
      </c>
      <c r="C68" s="6">
        <f>IFERROR(__xludf.DUMMYFUNCTION("""COMPUTED_VALUE"""),2275.0)</f>
        <v>2275</v>
      </c>
      <c r="D68" s="6">
        <f>IFERROR(__xludf.DUMMYFUNCTION("""COMPUTED_VALUE"""),2050.0)</f>
        <v>2050</v>
      </c>
      <c r="E68" s="6">
        <f>IFERROR(__xludf.DUMMYFUNCTION("""COMPUTED_VALUE"""),2237.25)</f>
        <v>2237.25</v>
      </c>
      <c r="F68" s="6">
        <f>IFERROR(__xludf.DUMMYFUNCTION("""COMPUTED_VALUE"""),4798757.0)</f>
        <v>4798757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IFERROR(__xludf.DUMMYFUNCTION("""COMPUTED_VALUE"""),2226.1)</f>
        <v>2226.1</v>
      </c>
      <c r="C69" s="6">
        <f>IFERROR(__xludf.DUMMYFUNCTION("""COMPUTED_VALUE"""),2256.5)</f>
        <v>2256.5</v>
      </c>
      <c r="D69" s="6">
        <f>IFERROR(__xludf.DUMMYFUNCTION("""COMPUTED_VALUE"""),2099.05)</f>
        <v>2099.05</v>
      </c>
      <c r="E69" s="6">
        <f>IFERROR(__xludf.DUMMYFUNCTION("""COMPUTED_VALUE"""),2136.55)</f>
        <v>2136.55</v>
      </c>
      <c r="F69" s="6">
        <f>IFERROR(__xludf.DUMMYFUNCTION("""COMPUTED_VALUE"""),1726867.0)</f>
        <v>1726867</v>
      </c>
    </row>
    <row r="70">
      <c r="A70" s="7">
        <f>IFERROR(__xludf.DUMMYFUNCTION("""COMPUTED_VALUE"""),45674.64583333333)</f>
        <v>45674.64583</v>
      </c>
      <c r="B70" s="6">
        <f>IFERROR(__xludf.DUMMYFUNCTION("""COMPUTED_VALUE"""),2136.55)</f>
        <v>2136.55</v>
      </c>
      <c r="C70" s="6">
        <f>IFERROR(__xludf.DUMMYFUNCTION("""COMPUTED_VALUE"""),2216.0)</f>
        <v>2216</v>
      </c>
      <c r="D70" s="6">
        <f>IFERROR(__xludf.DUMMYFUNCTION("""COMPUTED_VALUE"""),2087.3)</f>
        <v>2087.3</v>
      </c>
      <c r="E70" s="6">
        <f>IFERROR(__xludf.DUMMYFUNCTION("""COMPUTED_VALUE"""),2149.6)</f>
        <v>2149.6</v>
      </c>
      <c r="F70" s="6">
        <f>IFERROR(__xludf.DUMMYFUNCTION("""COMPUTED_VALUE"""),1625036.0)</f>
        <v>1625036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IFERROR(__xludf.DUMMYFUNCTION("""COMPUTED_VALUE"""),2150.15)</f>
        <v>2150.15</v>
      </c>
      <c r="C71" s="6">
        <f>IFERROR(__xludf.DUMMYFUNCTION("""COMPUTED_VALUE"""),2224.0)</f>
        <v>2224</v>
      </c>
      <c r="D71" s="6">
        <f>IFERROR(__xludf.DUMMYFUNCTION("""COMPUTED_VALUE"""),2130.0)</f>
        <v>2130</v>
      </c>
      <c r="E71" s="6">
        <f>IFERROR(__xludf.DUMMYFUNCTION("""COMPUTED_VALUE"""),2173.4)</f>
        <v>2173.4</v>
      </c>
      <c r="F71" s="6">
        <f>IFERROR(__xludf.DUMMYFUNCTION("""COMPUTED_VALUE"""),1940328.0)</f>
        <v>1940328</v>
      </c>
    </row>
    <row r="72">
      <c r="A72" s="7">
        <f>IFERROR(__xludf.DUMMYFUNCTION("""COMPUTED_VALUE"""),45695.64583333333)</f>
        <v>45695.64583</v>
      </c>
      <c r="B72" s="6">
        <f>IFERROR(__xludf.DUMMYFUNCTION("""COMPUTED_VALUE"""),2163.0)</f>
        <v>2163</v>
      </c>
      <c r="C72" s="6">
        <f>IFERROR(__xludf.DUMMYFUNCTION("""COMPUTED_VALUE"""),2308.95)</f>
        <v>2308.95</v>
      </c>
      <c r="D72" s="6">
        <f>IFERROR(__xludf.DUMMYFUNCTION("""COMPUTED_VALUE"""),2132.45)</f>
        <v>2132.45</v>
      </c>
      <c r="E72" s="6">
        <f>IFERROR(__xludf.DUMMYFUNCTION("""COMPUTED_VALUE"""),2244.55)</f>
        <v>2244.55</v>
      </c>
      <c r="F72" s="6">
        <f>IFERROR(__xludf.DUMMYFUNCTION("""COMPUTED_VALUE"""),2275320.0)</f>
        <v>2275320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IFERROR(__xludf.DUMMYFUNCTION("""COMPUTED_VALUE"""),2250.0)</f>
        <v>2250</v>
      </c>
      <c r="C73" s="6">
        <f>IFERROR(__xludf.DUMMYFUNCTION("""COMPUTED_VALUE"""),2334.8)</f>
        <v>2334.8</v>
      </c>
      <c r="D73" s="6">
        <f>IFERROR(__xludf.DUMMYFUNCTION("""COMPUTED_VALUE"""),2131.0)</f>
        <v>2131</v>
      </c>
      <c r="E73" s="6">
        <f>IFERROR(__xludf.DUMMYFUNCTION("""COMPUTED_VALUE"""),2254.9)</f>
        <v>2254.9</v>
      </c>
      <c r="F73" s="6">
        <f>IFERROR(__xludf.DUMMYFUNCTION("""COMPUTED_VALUE"""),6738695.0)</f>
        <v>6738695</v>
      </c>
    </row>
    <row r="74">
      <c r="A74" s="7">
        <f>IFERROR(__xludf.DUMMYFUNCTION("""COMPUTED_VALUE"""),45709.64583333333)</f>
        <v>45709.64583</v>
      </c>
      <c r="B74" s="6">
        <f>IFERROR(__xludf.DUMMYFUNCTION("""COMPUTED_VALUE"""),2255.25)</f>
        <v>2255.25</v>
      </c>
      <c r="C74" s="6">
        <f>IFERROR(__xludf.DUMMYFUNCTION("""COMPUTED_VALUE"""),2304.95)</f>
        <v>2304.95</v>
      </c>
      <c r="D74" s="6">
        <f>IFERROR(__xludf.DUMMYFUNCTION("""COMPUTED_VALUE"""),2181.1)</f>
        <v>2181.1</v>
      </c>
      <c r="E74" s="6">
        <f>IFERROR(__xludf.DUMMYFUNCTION("""COMPUTED_VALUE"""),2212.1)</f>
        <v>2212.1</v>
      </c>
      <c r="F74" s="6">
        <f>IFERROR(__xludf.DUMMYFUNCTION("""COMPUTED_VALUE"""),3062367.0)</f>
        <v>3062367</v>
      </c>
    </row>
    <row r="75">
      <c r="A75" s="7">
        <f>IFERROR(__xludf.DUMMYFUNCTION("""COMPUTED_VALUE"""),45716.64583333333)</f>
        <v>45716.64583</v>
      </c>
      <c r="B75" s="6">
        <f>IFERROR(__xludf.DUMMYFUNCTION("""COMPUTED_VALUE"""),2200.15)</f>
        <v>2200.15</v>
      </c>
      <c r="C75" s="6">
        <f>IFERROR(__xludf.DUMMYFUNCTION("""COMPUTED_VALUE"""),2255.0)</f>
        <v>2255</v>
      </c>
      <c r="D75" s="6">
        <f>IFERROR(__xludf.DUMMYFUNCTION("""COMPUTED_VALUE"""),2120.25)</f>
        <v>2120.25</v>
      </c>
      <c r="E75" s="6">
        <f>IFERROR(__xludf.DUMMYFUNCTION("""COMPUTED_VALUE"""),2132.8)</f>
        <v>2132.8</v>
      </c>
      <c r="F75" s="6">
        <f>IFERROR(__xludf.DUMMYFUNCTION("""COMPUTED_VALUE"""),3377551.0)</f>
        <v>3377551</v>
      </c>
    </row>
    <row r="76">
      <c r="A76" s="7">
        <f>IFERROR(__xludf.DUMMYFUNCTION("""COMPUTED_VALUE"""),45723.64583333333)</f>
        <v>45723.64583</v>
      </c>
      <c r="B76" s="6">
        <f>IFERROR(__xludf.DUMMYFUNCTION("""COMPUTED_VALUE"""),2132.35)</f>
        <v>2132.35</v>
      </c>
      <c r="C76" s="6">
        <f>IFERROR(__xludf.DUMMYFUNCTION("""COMPUTED_VALUE"""),2186.15)</f>
        <v>2186.15</v>
      </c>
      <c r="D76" s="6">
        <f>IFERROR(__xludf.DUMMYFUNCTION("""COMPUTED_VALUE"""),2107.1)</f>
        <v>2107.1</v>
      </c>
      <c r="E76" s="6">
        <f>IFERROR(__xludf.DUMMYFUNCTION("""COMPUTED_VALUE"""),2179.45)</f>
        <v>2179.45</v>
      </c>
      <c r="F76" s="6">
        <f>IFERROR(__xludf.DUMMYFUNCTION("""COMPUTED_VALUE"""),2715830.0)</f>
        <v>2715830</v>
      </c>
    </row>
    <row r="77">
      <c r="A77" s="7">
        <f>IFERROR(__xludf.DUMMYFUNCTION("""COMPUTED_VALUE"""),45729.64583333333)</f>
        <v>45729.64583</v>
      </c>
      <c r="B77" s="6">
        <f>IFERROR(__xludf.DUMMYFUNCTION("""COMPUTED_VALUE"""),2169.45)</f>
        <v>2169.45</v>
      </c>
      <c r="C77" s="6">
        <f>IFERROR(__xludf.DUMMYFUNCTION("""COMPUTED_VALUE"""),2229.5)</f>
        <v>2229.5</v>
      </c>
      <c r="D77" s="6">
        <f>IFERROR(__xludf.DUMMYFUNCTION("""COMPUTED_VALUE"""),2154.85)</f>
        <v>2154.85</v>
      </c>
      <c r="E77" s="6">
        <f>IFERROR(__xludf.DUMMYFUNCTION("""COMPUTED_VALUE"""),2196.35)</f>
        <v>2196.35</v>
      </c>
      <c r="F77" s="6">
        <f>IFERROR(__xludf.DUMMYFUNCTION("""COMPUTED_VALUE"""),1820624.0)</f>
        <v>1820624</v>
      </c>
    </row>
    <row r="78">
      <c r="A78" s="7">
        <f>IFERROR(__xludf.DUMMYFUNCTION("""COMPUTED_VALUE"""),45737.64583333333)</f>
        <v>45737.64583</v>
      </c>
      <c r="B78" s="6">
        <f>IFERROR(__xludf.DUMMYFUNCTION("""COMPUTED_VALUE"""),2290.2)</f>
        <v>2290.2</v>
      </c>
      <c r="C78" s="6">
        <f>IFERROR(__xludf.DUMMYFUNCTION("""COMPUTED_VALUE"""),2435.4)</f>
        <v>2435.4</v>
      </c>
      <c r="D78" s="6">
        <f>IFERROR(__xludf.DUMMYFUNCTION("""COMPUTED_VALUE"""),2289.1)</f>
        <v>2289.1</v>
      </c>
      <c r="E78" s="6">
        <f>IFERROR(__xludf.DUMMYFUNCTION("""COMPUTED_VALUE"""),2356.6)</f>
        <v>2356.6</v>
      </c>
      <c r="F78" s="6">
        <f>IFERROR(__xludf.DUMMYFUNCTION("""COMPUTED_VALUE"""),3866032.0)</f>
        <v>3866032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IFERROR(__xludf.DUMMYFUNCTION("""COMPUTED_VALUE"""),2375.0)</f>
        <v>2375</v>
      </c>
      <c r="C79" s="6">
        <f>IFERROR(__xludf.DUMMYFUNCTION("""COMPUTED_VALUE"""),2400.95)</f>
        <v>2400.95</v>
      </c>
      <c r="D79" s="6">
        <f>IFERROR(__xludf.DUMMYFUNCTION("""COMPUTED_VALUE"""),2299.0)</f>
        <v>2299</v>
      </c>
      <c r="E79" s="6">
        <f>IFERROR(__xludf.DUMMYFUNCTION("""COMPUTED_VALUE"""),2382.9)</f>
        <v>2382.9</v>
      </c>
      <c r="F79" s="6">
        <f>IFERROR(__xludf.DUMMYFUNCTION("""COMPUTED_VALUE"""),3464895.0)</f>
        <v>3464895</v>
      </c>
    </row>
    <row r="80">
      <c r="A80" s="7">
        <f>IFERROR(__xludf.DUMMYFUNCTION("""COMPUTED_VALUE"""),45751.64583333333)</f>
        <v>45751.64583</v>
      </c>
      <c r="B80" s="6">
        <f>IFERROR(__xludf.DUMMYFUNCTION("""COMPUTED_VALUE"""),2382.9)</f>
        <v>2382.9</v>
      </c>
      <c r="C80" s="6">
        <f>IFERROR(__xludf.DUMMYFUNCTION("""COMPUTED_VALUE"""),2393.7)</f>
        <v>2393.7</v>
      </c>
      <c r="D80" s="6">
        <f>IFERROR(__xludf.DUMMYFUNCTION("""COMPUTED_VALUE"""),2309.0)</f>
        <v>2309</v>
      </c>
      <c r="E80" s="6">
        <f>IFERROR(__xludf.DUMMYFUNCTION("""COMPUTED_VALUE"""),2348.3)</f>
        <v>2348.3</v>
      </c>
      <c r="F80" s="6">
        <f>IFERROR(__xludf.DUMMYFUNCTION("""COMPUTED_VALUE"""),2112670.0)</f>
        <v>2112670</v>
      </c>
    </row>
    <row r="81">
      <c r="A81" s="7">
        <f>IFERROR(__xludf.DUMMYFUNCTION("""COMPUTED_VALUE"""),45758.64583333333)</f>
        <v>45758.64583</v>
      </c>
      <c r="B81" s="6">
        <f>IFERROR(__xludf.DUMMYFUNCTION("""COMPUTED_VALUE"""),2150.0)</f>
        <v>2150</v>
      </c>
      <c r="C81" s="6">
        <f>IFERROR(__xludf.DUMMYFUNCTION("""COMPUTED_VALUE"""),2323.95)</f>
        <v>2323.95</v>
      </c>
      <c r="D81" s="6">
        <f>IFERROR(__xludf.DUMMYFUNCTION("""COMPUTED_VALUE"""),1965.0)</f>
        <v>1965</v>
      </c>
      <c r="E81" s="6">
        <f>IFERROR(__xludf.DUMMYFUNCTION("""COMPUTED_VALUE"""),2017.0)</f>
        <v>2017</v>
      </c>
      <c r="F81" s="6">
        <f>IFERROR(__xludf.DUMMYFUNCTION("""COMPUTED_VALUE"""),1.1360837E7)</f>
        <v>11360837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IFERROR(__xludf.DUMMYFUNCTION("""COMPUTED_VALUE"""),2045.0)</f>
        <v>2045</v>
      </c>
      <c r="C82" s="6">
        <f>IFERROR(__xludf.DUMMYFUNCTION("""COMPUTED_VALUE"""),2136.0)</f>
        <v>2136</v>
      </c>
      <c r="D82" s="6">
        <f>IFERROR(__xludf.DUMMYFUNCTION("""COMPUTED_VALUE"""),2005.5)</f>
        <v>2005.5</v>
      </c>
      <c r="E82" s="6">
        <f>IFERROR(__xludf.DUMMYFUNCTION("""COMPUTED_VALUE"""),2111.6)</f>
        <v>2111.6</v>
      </c>
      <c r="F82" s="6">
        <f>IFERROR(__xludf.DUMMYFUNCTION("""COMPUTED_VALUE"""),4192284.0)</f>
        <v>4192284</v>
      </c>
    </row>
    <row r="83">
      <c r="A83" s="7">
        <f>IFERROR(__xludf.DUMMYFUNCTION("""COMPUTED_VALUE"""),45772.64583333333)</f>
        <v>45772.64583</v>
      </c>
      <c r="B83" s="6">
        <f>IFERROR(__xludf.DUMMYFUNCTION("""COMPUTED_VALUE"""),2134.9)</f>
        <v>2134.9</v>
      </c>
      <c r="C83" s="6">
        <f>IFERROR(__xludf.DUMMYFUNCTION("""COMPUTED_VALUE"""),2304.0)</f>
        <v>2304</v>
      </c>
      <c r="D83" s="6">
        <f>IFERROR(__xludf.DUMMYFUNCTION("""COMPUTED_VALUE"""),2076.0)</f>
        <v>2076</v>
      </c>
      <c r="E83" s="6">
        <f>IFERROR(__xludf.DUMMYFUNCTION("""COMPUTED_VALUE"""),2093.2)</f>
        <v>2093.2</v>
      </c>
      <c r="F83" s="6">
        <f>IFERROR(__xludf.DUMMYFUNCTION("""COMPUTED_VALUE"""),5365923.0)</f>
        <v>5365923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IFERROR(__xludf.DUMMYFUNCTION("""COMPUTED_VALUE"""),2094.0)</f>
        <v>2094</v>
      </c>
      <c r="C84" s="6">
        <f>IFERROR(__xludf.DUMMYFUNCTION("""COMPUTED_VALUE"""),2189.8)</f>
        <v>2189.8</v>
      </c>
      <c r="D84" s="6">
        <f>IFERROR(__xludf.DUMMYFUNCTION("""COMPUTED_VALUE"""),2055.8)</f>
        <v>2055.8</v>
      </c>
      <c r="E84" s="6">
        <f>IFERROR(__xludf.DUMMYFUNCTION("""COMPUTED_VALUE"""),2175.4)</f>
        <v>2175.4</v>
      </c>
      <c r="F84" s="6">
        <f>IFERROR(__xludf.DUMMYFUNCTION("""COMPUTED_VALUE"""),2244520.0)</f>
        <v>2244520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IFERROR(__xludf.DUMMYFUNCTION("""COMPUTED_VALUE"""),2181.3)</f>
        <v>2181.3</v>
      </c>
      <c r="C85" s="6">
        <f>IFERROR(__xludf.DUMMYFUNCTION("""COMPUTED_VALUE"""),2340.6)</f>
        <v>2340.6</v>
      </c>
      <c r="D85" s="6">
        <f>IFERROR(__xludf.DUMMYFUNCTION("""COMPUTED_VALUE"""),2145.0)</f>
        <v>2145</v>
      </c>
      <c r="E85" s="6">
        <f>IFERROR(__xludf.DUMMYFUNCTION("""COMPUTED_VALUE"""),2229.6)</f>
        <v>2229.6</v>
      </c>
      <c r="F85" s="6">
        <f>IFERROR(__xludf.DUMMYFUNCTION("""COMPUTED_VALUE"""),3760713.0)</f>
        <v>3760713</v>
      </c>
    </row>
    <row r="86">
      <c r="A86" s="7">
        <f>IFERROR(__xludf.DUMMYFUNCTION("""COMPUTED_VALUE"""),45793.64583333333)</f>
        <v>45793.64583</v>
      </c>
      <c r="B86" s="6">
        <f>IFERROR(__xludf.DUMMYFUNCTION("""COMPUTED_VALUE"""),2264.9)</f>
        <v>2264.9</v>
      </c>
      <c r="C86" s="6">
        <f>IFERROR(__xludf.DUMMYFUNCTION("""COMPUTED_VALUE"""),2299.0)</f>
        <v>2299</v>
      </c>
      <c r="D86" s="6">
        <f>IFERROR(__xludf.DUMMYFUNCTION("""COMPUTED_VALUE"""),2080.6)</f>
        <v>2080.6</v>
      </c>
      <c r="E86" s="6">
        <f>IFERROR(__xludf.DUMMYFUNCTION("""COMPUTED_VALUE"""),2104.8)</f>
        <v>2104.8</v>
      </c>
      <c r="F86" s="6">
        <f>IFERROR(__xludf.DUMMYFUNCTION("""COMPUTED_VALUE"""),8698962.0)</f>
        <v>8698962</v>
      </c>
    </row>
    <row r="87">
      <c r="A87" s="7">
        <f>IFERROR(__xludf.DUMMYFUNCTION("""COMPUTED_VALUE"""),45800.64583333333)</f>
        <v>45800.64583</v>
      </c>
      <c r="B87" s="6">
        <f>IFERROR(__xludf.DUMMYFUNCTION("""COMPUTED_VALUE"""),2095.0)</f>
        <v>2095</v>
      </c>
      <c r="C87" s="6">
        <f>IFERROR(__xludf.DUMMYFUNCTION("""COMPUTED_VALUE"""),2112.0)</f>
        <v>2112</v>
      </c>
      <c r="D87" s="6">
        <f>IFERROR(__xludf.DUMMYFUNCTION("""COMPUTED_VALUE"""),2027.0)</f>
        <v>2027</v>
      </c>
      <c r="E87" s="6">
        <f>IFERROR(__xludf.DUMMYFUNCTION("""COMPUTED_VALUE"""),2090.0)</f>
        <v>2090</v>
      </c>
      <c r="F87" s="6">
        <f>IFERROR(__xludf.DUMMYFUNCTION("""COMPUTED_VALUE"""),3906729.0)</f>
        <v>3906729</v>
      </c>
    </row>
    <row r="88">
      <c r="A88" s="7">
        <f>IFERROR(__xludf.DUMMYFUNCTION("""COMPUTED_VALUE"""),45807.64583333333)</f>
        <v>45807.64583</v>
      </c>
      <c r="B88" s="6">
        <f>IFERROR(__xludf.DUMMYFUNCTION("""COMPUTED_VALUE"""),2088.9)</f>
        <v>2088.9</v>
      </c>
      <c r="C88" s="6">
        <f>IFERROR(__xludf.DUMMYFUNCTION("""COMPUTED_VALUE"""),2243.0)</f>
        <v>2243</v>
      </c>
      <c r="D88" s="6">
        <f>IFERROR(__xludf.DUMMYFUNCTION("""COMPUTED_VALUE"""),2058.5)</f>
        <v>2058.5</v>
      </c>
      <c r="E88" s="6">
        <f>IFERROR(__xludf.DUMMYFUNCTION("""COMPUTED_VALUE"""),2215.4)</f>
        <v>2215.4</v>
      </c>
      <c r="F88" s="6">
        <f>IFERROR(__xludf.DUMMYFUNCTION("""COMPUTED_VALUE"""),6832237.0)</f>
        <v>6832237</v>
      </c>
    </row>
    <row r="89">
      <c r="A89" s="7">
        <f>IFERROR(__xludf.DUMMYFUNCTION("""COMPUTED_VALUE"""),45814.64583333333)</f>
        <v>45814.64583</v>
      </c>
      <c r="B89" s="6">
        <f>IFERROR(__xludf.DUMMYFUNCTION("""COMPUTED_VALUE"""),2208.0)</f>
        <v>2208</v>
      </c>
      <c r="C89" s="6">
        <f>IFERROR(__xludf.DUMMYFUNCTION("""COMPUTED_VALUE"""),2470.0)</f>
        <v>2470</v>
      </c>
      <c r="D89" s="6">
        <f>IFERROR(__xludf.DUMMYFUNCTION("""COMPUTED_VALUE"""),2189.4)</f>
        <v>2189.4</v>
      </c>
      <c r="E89" s="6">
        <f>IFERROR(__xludf.DUMMYFUNCTION("""COMPUTED_VALUE"""),2446.2)</f>
        <v>2446.2</v>
      </c>
      <c r="F89" s="6">
        <f>IFERROR(__xludf.DUMMYFUNCTION("""COMPUTED_VALUE"""),4479970.0)</f>
        <v>4479970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IFERROR(__xludf.DUMMYFUNCTION("""COMPUTED_VALUE"""),2475.0)</f>
        <v>2475</v>
      </c>
      <c r="C90" s="6">
        <f>IFERROR(__xludf.DUMMYFUNCTION("""COMPUTED_VALUE"""),2606.0)</f>
        <v>2606</v>
      </c>
      <c r="D90" s="6">
        <f>IFERROR(__xludf.DUMMYFUNCTION("""COMPUTED_VALUE"""),2461.1)</f>
        <v>2461.1</v>
      </c>
      <c r="E90" s="6">
        <f>IFERROR(__xludf.DUMMYFUNCTION("""COMPUTED_VALUE"""),2598.7)</f>
        <v>2598.7</v>
      </c>
      <c r="F90" s="6">
        <f>IFERROR(__xludf.DUMMYFUNCTION("""COMPUTED_VALUE"""),4769035.0)</f>
        <v>4769035</v>
      </c>
    </row>
    <row r="91">
      <c r="A91" s="7">
        <f>IFERROR(__xludf.DUMMYFUNCTION("""COMPUTED_VALUE"""),45828.64583333333)</f>
        <v>45828.64583</v>
      </c>
      <c r="B91" s="6">
        <f>IFERROR(__xludf.DUMMYFUNCTION("""COMPUTED_VALUE"""),2603.0)</f>
        <v>2603</v>
      </c>
      <c r="C91" s="6">
        <f>IFERROR(__xludf.DUMMYFUNCTION("""COMPUTED_VALUE"""),2669.9)</f>
        <v>2669.9</v>
      </c>
      <c r="D91" s="6">
        <f>IFERROR(__xludf.DUMMYFUNCTION("""COMPUTED_VALUE"""),2581.0)</f>
        <v>2581</v>
      </c>
      <c r="E91" s="6">
        <f>IFERROR(__xludf.DUMMYFUNCTION("""COMPUTED_VALUE"""),2606.4)</f>
        <v>2606.4</v>
      </c>
      <c r="F91" s="6">
        <f>IFERROR(__xludf.DUMMYFUNCTION("""COMPUTED_VALUE"""),3555285.0)</f>
        <v>3555285</v>
      </c>
    </row>
    <row r="92">
      <c r="A92" s="7">
        <f>IFERROR(__xludf.DUMMYFUNCTION("""COMPUTED_VALUE"""),45835.64583333333)</f>
        <v>45835.64583</v>
      </c>
      <c r="B92" s="6">
        <f>IFERROR(__xludf.DUMMYFUNCTION("""COMPUTED_VALUE"""),2585.0)</f>
        <v>2585</v>
      </c>
      <c r="C92" s="6">
        <f>IFERROR(__xludf.DUMMYFUNCTION("""COMPUTED_VALUE"""),2634.6)</f>
        <v>2634.6</v>
      </c>
      <c r="D92" s="6">
        <f>IFERROR(__xludf.DUMMYFUNCTION("""COMPUTED_VALUE"""),2516.0)</f>
        <v>2516</v>
      </c>
      <c r="E92" s="6">
        <f>IFERROR(__xludf.DUMMYFUNCTION("""COMPUTED_VALUE"""),2570.7)</f>
        <v>2570.7</v>
      </c>
      <c r="F92" s="6">
        <f>IFERROR(__xludf.DUMMYFUNCTION("""COMPUTED_VALUE"""),3962383.0)</f>
        <v>3962383</v>
      </c>
    </row>
    <row r="93">
      <c r="A93" s="7">
        <f>IFERROR(__xludf.DUMMYFUNCTION("""COMPUTED_VALUE"""),45842.64583333333)</f>
        <v>45842.64583</v>
      </c>
      <c r="B93" s="6">
        <f>IFERROR(__xludf.DUMMYFUNCTION("""COMPUTED_VALUE"""),2570.7)</f>
        <v>2570.7</v>
      </c>
      <c r="C93" s="6">
        <f>IFERROR(__xludf.DUMMYFUNCTION("""COMPUTED_VALUE"""),2670.0)</f>
        <v>2670</v>
      </c>
      <c r="D93" s="6">
        <f>IFERROR(__xludf.DUMMYFUNCTION("""COMPUTED_VALUE"""),2565.7)</f>
        <v>2565.7</v>
      </c>
      <c r="E93" s="6">
        <f>IFERROR(__xludf.DUMMYFUNCTION("""COMPUTED_VALUE"""),2662.8)</f>
        <v>2662.8</v>
      </c>
      <c r="F93" s="6">
        <f>IFERROR(__xludf.DUMMYFUNCTION("""COMPUTED_VALUE"""),2102255.0)</f>
        <v>2102255</v>
      </c>
    </row>
    <row r="94">
      <c r="A94" s="7">
        <f>IFERROR(__xludf.DUMMYFUNCTION("""COMPUTED_VALUE"""),45849.64583333333)</f>
        <v>45849.64583</v>
      </c>
      <c r="B94" s="6">
        <f>IFERROR(__xludf.DUMMYFUNCTION("""COMPUTED_VALUE"""),2662.8)</f>
        <v>2662.8</v>
      </c>
      <c r="C94" s="6">
        <f>IFERROR(__xludf.DUMMYFUNCTION("""COMPUTED_VALUE"""),2691.6)</f>
        <v>2691.6</v>
      </c>
      <c r="D94" s="6">
        <f>IFERROR(__xludf.DUMMYFUNCTION("""COMPUTED_VALUE"""),2588.2)</f>
        <v>2588.2</v>
      </c>
      <c r="E94" s="6">
        <f>IFERROR(__xludf.DUMMYFUNCTION("""COMPUTED_VALUE"""),2640.6)</f>
        <v>2640.6</v>
      </c>
      <c r="F94" s="6">
        <f>IFERROR(__xludf.DUMMYFUNCTION("""COMPUTED_VALUE"""),1979257.0)</f>
        <v>1979257</v>
      </c>
    </row>
    <row r="95">
      <c r="A95" s="7">
        <f>IFERROR(__xludf.DUMMYFUNCTION("""COMPUTED_VALUE"""),45856.64583333333)</f>
        <v>45856.64583</v>
      </c>
      <c r="B95" s="6">
        <f>IFERROR(__xludf.DUMMYFUNCTION("""COMPUTED_VALUE"""),2663.9)</f>
        <v>2663.9</v>
      </c>
      <c r="C95" s="6">
        <f>IFERROR(__xludf.DUMMYFUNCTION("""COMPUTED_VALUE"""),2682.4)</f>
        <v>2682.4</v>
      </c>
      <c r="D95" s="6">
        <f>IFERROR(__xludf.DUMMYFUNCTION("""COMPUTED_VALUE"""),2614.2)</f>
        <v>2614.2</v>
      </c>
      <c r="E95" s="6">
        <f>IFERROR(__xludf.DUMMYFUNCTION("""COMPUTED_VALUE"""),2660.0)</f>
        <v>2660</v>
      </c>
      <c r="F95" s="6">
        <f>IFERROR(__xludf.DUMMYFUNCTION("""COMPUTED_VALUE"""),1377799.0)</f>
        <v>1377799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IFERROR(__xludf.DUMMYFUNCTION("""COMPUTED_VALUE"""),2660.0)</f>
        <v>2660</v>
      </c>
      <c r="C96" s="6">
        <f>IFERROR(__xludf.DUMMYFUNCTION("""COMPUTED_VALUE"""),2718.0)</f>
        <v>2718</v>
      </c>
      <c r="D96" s="6">
        <f>IFERROR(__xludf.DUMMYFUNCTION("""COMPUTED_VALUE"""),2640.0)</f>
        <v>2640</v>
      </c>
      <c r="E96" s="6">
        <f>IFERROR(__xludf.DUMMYFUNCTION("""COMPUTED_VALUE"""),2660.6)</f>
        <v>2660.6</v>
      </c>
      <c r="F96" s="6">
        <f>IFERROR(__xludf.DUMMYFUNCTION("""COMPUTED_VALUE"""),1604562.0)</f>
        <v>1604562</v>
      </c>
    </row>
    <row r="97">
      <c r="A97" s="7">
        <f>IFERROR(__xludf.DUMMYFUNCTION("""COMPUTED_VALUE"""),45870.64583333333)</f>
        <v>45870.64583</v>
      </c>
      <c r="B97" s="6">
        <f>IFERROR(__xludf.DUMMYFUNCTION("""COMPUTED_VALUE"""),2660.0)</f>
        <v>2660</v>
      </c>
      <c r="C97" s="6">
        <f>IFERROR(__xludf.DUMMYFUNCTION("""COMPUTED_VALUE"""),2687.7)</f>
        <v>2687.7</v>
      </c>
      <c r="D97" s="6">
        <f>IFERROR(__xludf.DUMMYFUNCTION("""COMPUTED_VALUE"""),2582.4)</f>
        <v>2582.4</v>
      </c>
      <c r="E97" s="6">
        <f>IFERROR(__xludf.DUMMYFUNCTION("""COMPUTED_VALUE"""),2592.7)</f>
        <v>2592.7</v>
      </c>
      <c r="F97" s="6">
        <f>IFERROR(__xludf.DUMMYFUNCTION("""COMPUTED_VALUE"""),2103034.0)</f>
        <v>2103034</v>
      </c>
    </row>
    <row r="98">
      <c r="A98" s="7">
        <f>IFERROR(__xludf.DUMMYFUNCTION("""COMPUTED_VALUE"""),45877.64583333333)</f>
        <v>45877.64583</v>
      </c>
      <c r="B98" s="6">
        <f>IFERROR(__xludf.DUMMYFUNCTION("""COMPUTED_VALUE"""),2592.0)</f>
        <v>2592</v>
      </c>
      <c r="C98" s="6">
        <f>IFERROR(__xludf.DUMMYFUNCTION("""COMPUTED_VALUE"""),2677.0)</f>
        <v>2677</v>
      </c>
      <c r="D98" s="6">
        <f>IFERROR(__xludf.DUMMYFUNCTION("""COMPUTED_VALUE"""),2548.0)</f>
        <v>2548</v>
      </c>
      <c r="E98" s="6">
        <f>IFERROR(__xludf.DUMMYFUNCTION("""COMPUTED_VALUE"""),2617.8)</f>
        <v>2617.8</v>
      </c>
      <c r="F98" s="6">
        <f>IFERROR(__xludf.DUMMYFUNCTION("""COMPUTED_VALUE"""),2107858.0)</f>
        <v>2107858</v>
      </c>
    </row>
    <row r="99">
      <c r="A99" s="7">
        <f>IFERROR(__xludf.DUMMYFUNCTION("""COMPUTED_VALUE"""),45883.64583333333)</f>
        <v>45883.64583</v>
      </c>
      <c r="B99" s="6">
        <f>IFERROR(__xludf.DUMMYFUNCTION("""COMPUTED_VALUE"""),2605.2)</f>
        <v>2605.2</v>
      </c>
      <c r="C99" s="6">
        <f>IFERROR(__xludf.DUMMYFUNCTION("""COMPUTED_VALUE"""),2800.0)</f>
        <v>2800</v>
      </c>
      <c r="D99" s="6">
        <f>IFERROR(__xludf.DUMMYFUNCTION("""COMPUTED_VALUE"""),2476.6)</f>
        <v>2476.6</v>
      </c>
      <c r="E99" s="6">
        <f>IFERROR(__xludf.DUMMYFUNCTION("""COMPUTED_VALUE"""),2757.4)</f>
        <v>2757.4</v>
      </c>
      <c r="F99" s="6">
        <f>IFERROR(__xludf.DUMMYFUNCTION("""COMPUTED_VALUE"""),9953933.0)</f>
        <v>9953933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IFERROR(__xludf.DUMMYFUNCTION("""COMPUTED_VALUE"""),2800.0)</f>
        <v>2800</v>
      </c>
      <c r="C100" s="6">
        <f>IFERROR(__xludf.DUMMYFUNCTION("""COMPUTED_VALUE"""),2807.0)</f>
        <v>2807</v>
      </c>
      <c r="D100" s="6">
        <f>IFERROR(__xludf.DUMMYFUNCTION("""COMPUTED_VALUE"""),2649.1)</f>
        <v>2649.1</v>
      </c>
      <c r="E100" s="6">
        <f>IFERROR(__xludf.DUMMYFUNCTION("""COMPUTED_VALUE"""),2680.6)</f>
        <v>2680.6</v>
      </c>
      <c r="F100" s="6">
        <f>IFERROR(__xludf.DUMMYFUNCTION("""COMPUTED_VALUE"""),2507632.0)</f>
        <v>2507632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IFERROR(__xludf.DUMMYFUNCTION("""COMPUTED_VALUE"""),2695.0)</f>
        <v>2695</v>
      </c>
      <c r="C101" s="6">
        <f>IFERROR(__xludf.DUMMYFUNCTION("""COMPUTED_VALUE"""),2716.4)</f>
        <v>2716.4</v>
      </c>
      <c r="D101" s="6">
        <f>IFERROR(__xludf.DUMMYFUNCTION("""COMPUTED_VALUE"""),2659.2)</f>
        <v>2659.2</v>
      </c>
      <c r="E101" s="6">
        <f>IFERROR(__xludf.DUMMYFUNCTION("""COMPUTED_VALUE"""),2673.1)</f>
        <v>2673.1</v>
      </c>
      <c r="F101" s="6">
        <f>IFERROR(__xludf.DUMMYFUNCTION("""COMPUTED_VALUE"""),5963056.0)</f>
        <v>5963056</v>
      </c>
    </row>
  </sheetData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IFERROR(__xludf.DUMMYFUNCTION("GOOGLEFINANCE(""NSE:NATIONALUM"",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IFERROR(__xludf.DUMMYFUNCTION("""COMPUTED_VALUE"""),88.25)</f>
        <v>88.25</v>
      </c>
      <c r="C2" s="6">
        <f>IFERROR(__xludf.DUMMYFUNCTION("""COMPUTED_VALUE"""),98.65)</f>
        <v>98.65</v>
      </c>
      <c r="D2" s="6">
        <f>IFERROR(__xludf.DUMMYFUNCTION("""COMPUTED_VALUE"""),88.25)</f>
        <v>88.25</v>
      </c>
      <c r="E2" s="6">
        <f>IFERROR(__xludf.DUMMYFUNCTION("""COMPUTED_VALUE"""),98.35)</f>
        <v>98.35</v>
      </c>
      <c r="F2" s="6">
        <f>IFERROR(__xludf.DUMMYFUNCTION("""COMPUTED_VALUE"""),5.4076804E7)</f>
        <v>54076804</v>
      </c>
    </row>
    <row r="3">
      <c r="A3" s="7">
        <f>IFERROR(__xludf.DUMMYFUNCTION("""COMPUTED_VALUE"""),45177.64583333333)</f>
        <v>45177.64583</v>
      </c>
      <c r="B3" s="6">
        <f>IFERROR(__xludf.DUMMYFUNCTION("""COMPUTED_VALUE"""),99.4)</f>
        <v>99.4</v>
      </c>
      <c r="C3" s="6">
        <f>IFERROR(__xludf.DUMMYFUNCTION("""COMPUTED_VALUE"""),106.35)</f>
        <v>106.35</v>
      </c>
      <c r="D3" s="6">
        <f>IFERROR(__xludf.DUMMYFUNCTION("""COMPUTED_VALUE"""),99.05)</f>
        <v>99.05</v>
      </c>
      <c r="E3" s="6">
        <f>IFERROR(__xludf.DUMMYFUNCTION("""COMPUTED_VALUE"""),100.5)</f>
        <v>100.5</v>
      </c>
      <c r="F3" s="6">
        <f>IFERROR(__xludf.DUMMYFUNCTION("""COMPUTED_VALUE"""),6.9953639E7)</f>
        <v>69953639</v>
      </c>
    </row>
    <row r="4">
      <c r="A4" s="7">
        <f>IFERROR(__xludf.DUMMYFUNCTION("""COMPUTED_VALUE"""),45184.64583333333)</f>
        <v>45184.64583</v>
      </c>
      <c r="B4" s="6">
        <f>IFERROR(__xludf.DUMMYFUNCTION("""COMPUTED_VALUE"""),100.8)</f>
        <v>100.8</v>
      </c>
      <c r="C4" s="6">
        <f>IFERROR(__xludf.DUMMYFUNCTION("""COMPUTED_VALUE"""),103.0)</f>
        <v>103</v>
      </c>
      <c r="D4" s="6">
        <f>IFERROR(__xludf.DUMMYFUNCTION("""COMPUTED_VALUE"""),94.0)</f>
        <v>94</v>
      </c>
      <c r="E4" s="6">
        <f>IFERROR(__xludf.DUMMYFUNCTION("""COMPUTED_VALUE"""),97.35)</f>
        <v>97.35</v>
      </c>
      <c r="F4" s="6">
        <f>IFERROR(__xludf.DUMMYFUNCTION("""COMPUTED_VALUE"""),6.0696708E7)</f>
        <v>60696708</v>
      </c>
    </row>
    <row r="5">
      <c r="A5" s="7">
        <f>IFERROR(__xludf.DUMMYFUNCTION("""COMPUTED_VALUE"""),45191.64583333333)</f>
        <v>45191.64583</v>
      </c>
      <c r="B5" s="6">
        <f>IFERROR(__xludf.DUMMYFUNCTION("""COMPUTED_VALUE"""),97.75)</f>
        <v>97.75</v>
      </c>
      <c r="C5" s="6">
        <f>IFERROR(__xludf.DUMMYFUNCTION("""COMPUTED_VALUE"""),98.85)</f>
        <v>98.85</v>
      </c>
      <c r="D5" s="6">
        <f>IFERROR(__xludf.DUMMYFUNCTION("""COMPUTED_VALUE"""),92.5)</f>
        <v>92.5</v>
      </c>
      <c r="E5" s="6">
        <f>IFERROR(__xludf.DUMMYFUNCTION("""COMPUTED_VALUE"""),93.5)</f>
        <v>93.5</v>
      </c>
      <c r="F5" s="6">
        <f>IFERROR(__xludf.DUMMYFUNCTION("""COMPUTED_VALUE"""),3.1064368E7)</f>
        <v>31064368</v>
      </c>
    </row>
    <row r="6">
      <c r="A6" s="7">
        <f>IFERROR(__xludf.DUMMYFUNCTION("""COMPUTED_VALUE"""),45198.64583333333)</f>
        <v>45198.64583</v>
      </c>
      <c r="B6" s="6">
        <f>IFERROR(__xludf.DUMMYFUNCTION("""COMPUTED_VALUE"""),93.5)</f>
        <v>93.5</v>
      </c>
      <c r="C6" s="6">
        <f>IFERROR(__xludf.DUMMYFUNCTION("""COMPUTED_VALUE"""),97.65)</f>
        <v>97.65</v>
      </c>
      <c r="D6" s="6">
        <f>IFERROR(__xludf.DUMMYFUNCTION("""COMPUTED_VALUE"""),91.85)</f>
        <v>91.85</v>
      </c>
      <c r="E6" s="6">
        <f>IFERROR(__xludf.DUMMYFUNCTION("""COMPUTED_VALUE"""),97.2)</f>
        <v>97.2</v>
      </c>
      <c r="F6" s="6">
        <f>IFERROR(__xludf.DUMMYFUNCTION("""COMPUTED_VALUE"""),3.5732692E7)</f>
        <v>35732692</v>
      </c>
    </row>
    <row r="7">
      <c r="A7" s="7">
        <f>IFERROR(__xludf.DUMMYFUNCTION("""COMPUTED_VALUE"""),45205.64583333333)</f>
        <v>45205.64583</v>
      </c>
      <c r="B7" s="6">
        <f>IFERROR(__xludf.DUMMYFUNCTION("""COMPUTED_VALUE"""),97.2)</f>
        <v>97.2</v>
      </c>
      <c r="C7" s="6">
        <f>IFERROR(__xludf.DUMMYFUNCTION("""COMPUTED_VALUE"""),97.35)</f>
        <v>97.35</v>
      </c>
      <c r="D7" s="6">
        <f>IFERROR(__xludf.DUMMYFUNCTION("""COMPUTED_VALUE"""),93.55)</f>
        <v>93.55</v>
      </c>
      <c r="E7" s="6">
        <f>IFERROR(__xludf.DUMMYFUNCTION("""COMPUTED_VALUE"""),94.95)</f>
        <v>94.95</v>
      </c>
      <c r="F7" s="6">
        <f>IFERROR(__xludf.DUMMYFUNCTION("""COMPUTED_VALUE"""),2.5465887E7)</f>
        <v>25465887</v>
      </c>
    </row>
    <row r="8">
      <c r="A8" s="7">
        <f>IFERROR(__xludf.DUMMYFUNCTION("""COMPUTED_VALUE"""),45212.64583333333)</f>
        <v>45212.64583</v>
      </c>
      <c r="B8" s="6">
        <f>IFERROR(__xludf.DUMMYFUNCTION("""COMPUTED_VALUE"""),94.35)</f>
        <v>94.35</v>
      </c>
      <c r="C8" s="6">
        <f>IFERROR(__xludf.DUMMYFUNCTION("""COMPUTED_VALUE"""),100.9)</f>
        <v>100.9</v>
      </c>
      <c r="D8" s="6">
        <f>IFERROR(__xludf.DUMMYFUNCTION("""COMPUTED_VALUE"""),92.5)</f>
        <v>92.5</v>
      </c>
      <c r="E8" s="6">
        <f>IFERROR(__xludf.DUMMYFUNCTION("""COMPUTED_VALUE"""),99.0)</f>
        <v>99</v>
      </c>
      <c r="F8" s="6">
        <f>IFERROR(__xludf.DUMMYFUNCTION("""COMPUTED_VALUE"""),6.7341576E7)</f>
        <v>67341576</v>
      </c>
    </row>
    <row r="9">
      <c r="A9" s="7">
        <f>IFERROR(__xludf.DUMMYFUNCTION("""COMPUTED_VALUE"""),45219.64583333333)</f>
        <v>45219.64583</v>
      </c>
      <c r="B9" s="6">
        <f>IFERROR(__xludf.DUMMYFUNCTION("""COMPUTED_VALUE"""),99.25)</f>
        <v>99.25</v>
      </c>
      <c r="C9" s="6">
        <f>IFERROR(__xludf.DUMMYFUNCTION("""COMPUTED_VALUE"""),102.25)</f>
        <v>102.25</v>
      </c>
      <c r="D9" s="6">
        <f>IFERROR(__xludf.DUMMYFUNCTION("""COMPUTED_VALUE"""),94.4)</f>
        <v>94.4</v>
      </c>
      <c r="E9" s="6">
        <f>IFERROR(__xludf.DUMMYFUNCTION("""COMPUTED_VALUE"""),94.65)</f>
        <v>94.65</v>
      </c>
      <c r="F9" s="6">
        <f>IFERROR(__xludf.DUMMYFUNCTION("""COMPUTED_VALUE"""),4.4859186E7)</f>
        <v>44859186</v>
      </c>
    </row>
    <row r="10">
      <c r="A10" s="7">
        <f>IFERROR(__xludf.DUMMYFUNCTION("""COMPUTED_VALUE"""),45226.64583333333)</f>
        <v>45226.64583</v>
      </c>
      <c r="B10" s="6">
        <f>IFERROR(__xludf.DUMMYFUNCTION("""COMPUTED_VALUE"""),94.95)</f>
        <v>94.95</v>
      </c>
      <c r="C10" s="6">
        <f>IFERROR(__xludf.DUMMYFUNCTION("""COMPUTED_VALUE"""),95.0)</f>
        <v>95</v>
      </c>
      <c r="D10" s="6">
        <f>IFERROR(__xludf.DUMMYFUNCTION("""COMPUTED_VALUE"""),88.6)</f>
        <v>88.6</v>
      </c>
      <c r="E10" s="6">
        <f>IFERROR(__xludf.DUMMYFUNCTION("""COMPUTED_VALUE"""),91.2)</f>
        <v>91.2</v>
      </c>
      <c r="F10" s="6">
        <f>IFERROR(__xludf.DUMMYFUNCTION("""COMPUTED_VALUE"""),3.2165623E7)</f>
        <v>32165623</v>
      </c>
    </row>
    <row r="11">
      <c r="A11" s="7">
        <f>IFERROR(__xludf.DUMMYFUNCTION("""COMPUTED_VALUE"""),45233.64583333333)</f>
        <v>45233.64583</v>
      </c>
      <c r="B11" s="6">
        <f>IFERROR(__xludf.DUMMYFUNCTION("""COMPUTED_VALUE"""),92.05)</f>
        <v>92.05</v>
      </c>
      <c r="C11" s="6">
        <f>IFERROR(__xludf.DUMMYFUNCTION("""COMPUTED_VALUE"""),94.4)</f>
        <v>94.4</v>
      </c>
      <c r="D11" s="6">
        <f>IFERROR(__xludf.DUMMYFUNCTION("""COMPUTED_VALUE"""),90.9)</f>
        <v>90.9</v>
      </c>
      <c r="E11" s="6">
        <f>IFERROR(__xludf.DUMMYFUNCTION("""COMPUTED_VALUE"""),93.05)</f>
        <v>93.05</v>
      </c>
      <c r="F11" s="6">
        <f>IFERROR(__xludf.DUMMYFUNCTION("""COMPUTED_VALUE"""),1.9162525E7)</f>
        <v>19162525</v>
      </c>
    </row>
    <row r="12">
      <c r="A12" s="7">
        <f>IFERROR(__xludf.DUMMYFUNCTION("""COMPUTED_VALUE"""),45240.64583333333)</f>
        <v>45240.64583</v>
      </c>
      <c r="B12" s="6">
        <f>IFERROR(__xludf.DUMMYFUNCTION("""COMPUTED_VALUE"""),93.85)</f>
        <v>93.85</v>
      </c>
      <c r="C12" s="6">
        <f>IFERROR(__xludf.DUMMYFUNCTION("""COMPUTED_VALUE"""),95.3)</f>
        <v>95.3</v>
      </c>
      <c r="D12" s="6">
        <f>IFERROR(__xludf.DUMMYFUNCTION("""COMPUTED_VALUE"""),89.25)</f>
        <v>89.25</v>
      </c>
      <c r="E12" s="6">
        <f>IFERROR(__xludf.DUMMYFUNCTION("""COMPUTED_VALUE"""),91.3)</f>
        <v>91.3</v>
      </c>
      <c r="F12" s="6">
        <f>IFERROR(__xludf.DUMMYFUNCTION("""COMPUTED_VALUE"""),3.7423049E7)</f>
        <v>37423049</v>
      </c>
    </row>
    <row r="13">
      <c r="A13" s="7">
        <f>IFERROR(__xludf.DUMMYFUNCTION("""COMPUTED_VALUE"""),45247.64583333333)</f>
        <v>45247.64583</v>
      </c>
      <c r="B13" s="6">
        <f>IFERROR(__xludf.DUMMYFUNCTION("""COMPUTED_VALUE"""),92.25)</f>
        <v>92.25</v>
      </c>
      <c r="C13" s="6">
        <f>IFERROR(__xludf.DUMMYFUNCTION("""COMPUTED_VALUE"""),95.25)</f>
        <v>95.25</v>
      </c>
      <c r="D13" s="6">
        <f>IFERROR(__xludf.DUMMYFUNCTION("""COMPUTED_VALUE"""),90.8)</f>
        <v>90.8</v>
      </c>
      <c r="E13" s="6">
        <f>IFERROR(__xludf.DUMMYFUNCTION("""COMPUTED_VALUE"""),92.75)</f>
        <v>92.75</v>
      </c>
      <c r="F13" s="6">
        <f>IFERROR(__xludf.DUMMYFUNCTION("""COMPUTED_VALUE"""),3.282677E7)</f>
        <v>32826770</v>
      </c>
    </row>
    <row r="14">
      <c r="A14" s="7">
        <f>IFERROR(__xludf.DUMMYFUNCTION("""COMPUTED_VALUE"""),45254.64583333333)</f>
        <v>45254.64583</v>
      </c>
      <c r="B14" s="6">
        <f>IFERROR(__xludf.DUMMYFUNCTION("""COMPUTED_VALUE"""),93.0)</f>
        <v>93</v>
      </c>
      <c r="C14" s="6">
        <f>IFERROR(__xludf.DUMMYFUNCTION("""COMPUTED_VALUE"""),94.65)</f>
        <v>94.65</v>
      </c>
      <c r="D14" s="6">
        <f>IFERROR(__xludf.DUMMYFUNCTION("""COMPUTED_VALUE"""),90.1)</f>
        <v>90.1</v>
      </c>
      <c r="E14" s="6">
        <f>IFERROR(__xludf.DUMMYFUNCTION("""COMPUTED_VALUE"""),91.05)</f>
        <v>91.05</v>
      </c>
      <c r="F14" s="6">
        <f>IFERROR(__xludf.DUMMYFUNCTION("""COMPUTED_VALUE"""),4.4489963E7)</f>
        <v>44489963</v>
      </c>
    </row>
    <row r="15">
      <c r="A15" s="7">
        <f>IFERROR(__xludf.DUMMYFUNCTION("""COMPUTED_VALUE"""),45261.64583333333)</f>
        <v>45261.64583</v>
      </c>
      <c r="B15" s="6">
        <f>IFERROR(__xludf.DUMMYFUNCTION("""COMPUTED_VALUE"""),91.65)</f>
        <v>91.65</v>
      </c>
      <c r="C15" s="6">
        <f>IFERROR(__xludf.DUMMYFUNCTION("""COMPUTED_VALUE"""),94.15)</f>
        <v>94.15</v>
      </c>
      <c r="D15" s="6">
        <f>IFERROR(__xludf.DUMMYFUNCTION("""COMPUTED_VALUE"""),91.1)</f>
        <v>91.1</v>
      </c>
      <c r="E15" s="6">
        <f>IFERROR(__xludf.DUMMYFUNCTION("""COMPUTED_VALUE"""),93.75)</f>
        <v>93.75</v>
      </c>
      <c r="F15" s="6">
        <f>IFERROR(__xludf.DUMMYFUNCTION("""COMPUTED_VALUE"""),3.7636862E7)</f>
        <v>37636862</v>
      </c>
    </row>
    <row r="16">
      <c r="A16" s="7">
        <f>IFERROR(__xludf.DUMMYFUNCTION("""COMPUTED_VALUE"""),45268.64583333333)</f>
        <v>45268.64583</v>
      </c>
      <c r="B16" s="6">
        <f>IFERROR(__xludf.DUMMYFUNCTION("""COMPUTED_VALUE"""),95.1)</f>
        <v>95.1</v>
      </c>
      <c r="C16" s="6">
        <f>IFERROR(__xludf.DUMMYFUNCTION("""COMPUTED_VALUE"""),100.7)</f>
        <v>100.7</v>
      </c>
      <c r="D16" s="6">
        <f>IFERROR(__xludf.DUMMYFUNCTION("""COMPUTED_VALUE"""),94.55)</f>
        <v>94.55</v>
      </c>
      <c r="E16" s="6">
        <f>IFERROR(__xludf.DUMMYFUNCTION("""COMPUTED_VALUE"""),97.45)</f>
        <v>97.45</v>
      </c>
      <c r="F16" s="6">
        <f>IFERROR(__xludf.DUMMYFUNCTION("""COMPUTED_VALUE"""),9.9838549E7)</f>
        <v>99838549</v>
      </c>
    </row>
    <row r="17">
      <c r="A17" s="7">
        <f>IFERROR(__xludf.DUMMYFUNCTION("""COMPUTED_VALUE"""),45275.64583333333)</f>
        <v>45275.64583</v>
      </c>
      <c r="B17" s="6">
        <f>IFERROR(__xludf.DUMMYFUNCTION("""COMPUTED_VALUE"""),97.9)</f>
        <v>97.9</v>
      </c>
      <c r="C17" s="6">
        <f>IFERROR(__xludf.DUMMYFUNCTION("""COMPUTED_VALUE"""),113.7)</f>
        <v>113.7</v>
      </c>
      <c r="D17" s="6">
        <f>IFERROR(__xludf.DUMMYFUNCTION("""COMPUTED_VALUE"""),96.4)</f>
        <v>96.4</v>
      </c>
      <c r="E17" s="6">
        <f>IFERROR(__xludf.DUMMYFUNCTION("""COMPUTED_VALUE"""),110.7)</f>
        <v>110.7</v>
      </c>
      <c r="F17" s="6">
        <f>IFERROR(__xludf.DUMMYFUNCTION("""COMPUTED_VALUE"""),2.00575063E8)</f>
        <v>200575063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IFERROR(__xludf.DUMMYFUNCTION("""COMPUTED_VALUE"""),110.85)</f>
        <v>110.85</v>
      </c>
      <c r="C18" s="6">
        <f>IFERROR(__xludf.DUMMYFUNCTION("""COMPUTED_VALUE"""),120.15)</f>
        <v>120.15</v>
      </c>
      <c r="D18" s="6">
        <f>IFERROR(__xludf.DUMMYFUNCTION("""COMPUTED_VALUE"""),102.3)</f>
        <v>102.3</v>
      </c>
      <c r="E18" s="6">
        <f>IFERROR(__xludf.DUMMYFUNCTION("""COMPUTED_VALUE"""),115.1)</f>
        <v>115.1</v>
      </c>
      <c r="F18" s="6">
        <f>IFERROR(__xludf.DUMMYFUNCTION("""COMPUTED_VALUE"""),2.38561318E8)</f>
        <v>238561318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IFERROR(__xludf.DUMMYFUNCTION("""COMPUTED_VALUE"""),116.5)</f>
        <v>116.5</v>
      </c>
      <c r="C19" s="6">
        <f>IFERROR(__xludf.DUMMYFUNCTION("""COMPUTED_VALUE"""),135.7)</f>
        <v>135.7</v>
      </c>
      <c r="D19" s="6">
        <f>IFERROR(__xludf.DUMMYFUNCTION("""COMPUTED_VALUE"""),114.7)</f>
        <v>114.7</v>
      </c>
      <c r="E19" s="6">
        <f>IFERROR(__xludf.DUMMYFUNCTION("""COMPUTED_VALUE"""),131.95)</f>
        <v>131.95</v>
      </c>
      <c r="F19" s="6">
        <f>IFERROR(__xludf.DUMMYFUNCTION("""COMPUTED_VALUE"""),2.56860388E8)</f>
        <v>256860388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IFERROR(__xludf.DUMMYFUNCTION("""COMPUTED_VALUE"""),132.7)</f>
        <v>132.7</v>
      </c>
      <c r="C20" s="6">
        <f>IFERROR(__xludf.DUMMYFUNCTION("""COMPUTED_VALUE"""),139.85)</f>
        <v>139.85</v>
      </c>
      <c r="D20" s="6">
        <f>IFERROR(__xludf.DUMMYFUNCTION("""COMPUTED_VALUE"""),127.2)</f>
        <v>127.2</v>
      </c>
      <c r="E20" s="6">
        <f>IFERROR(__xludf.DUMMYFUNCTION("""COMPUTED_VALUE"""),128.1)</f>
        <v>128.1</v>
      </c>
      <c r="F20" s="6">
        <f>IFERROR(__xludf.DUMMYFUNCTION("""COMPUTED_VALUE"""),1.98408405E8)</f>
        <v>198408405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IFERROR(__xludf.DUMMYFUNCTION("""COMPUTED_VALUE"""),128.95)</f>
        <v>128.95</v>
      </c>
      <c r="C21" s="6">
        <f>IFERROR(__xludf.DUMMYFUNCTION("""COMPUTED_VALUE"""),133.45)</f>
        <v>133.45</v>
      </c>
      <c r="D21" s="6">
        <f>IFERROR(__xludf.DUMMYFUNCTION("""COMPUTED_VALUE"""),123.05)</f>
        <v>123.05</v>
      </c>
      <c r="E21" s="6">
        <f>IFERROR(__xludf.DUMMYFUNCTION("""COMPUTED_VALUE"""),131.45)</f>
        <v>131.45</v>
      </c>
      <c r="F21" s="6">
        <f>IFERROR(__xludf.DUMMYFUNCTION("""COMPUTED_VALUE"""),1.21208224E8)</f>
        <v>121208224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IFERROR(__xludf.DUMMYFUNCTION("""COMPUTED_VALUE"""),136.5)</f>
        <v>136.5</v>
      </c>
      <c r="C22" s="6">
        <f>IFERROR(__xludf.DUMMYFUNCTION("""COMPUTED_VALUE"""),142.4)</f>
        <v>142.4</v>
      </c>
      <c r="D22" s="6">
        <f>IFERROR(__xludf.DUMMYFUNCTION("""COMPUTED_VALUE"""),121.85)</f>
        <v>121.85</v>
      </c>
      <c r="E22" s="6">
        <f>IFERROR(__xludf.DUMMYFUNCTION("""COMPUTED_VALUE"""),141.1)</f>
        <v>141.1</v>
      </c>
      <c r="F22" s="6">
        <f>IFERROR(__xludf.DUMMYFUNCTION("""COMPUTED_VALUE"""),1.39624001E8)</f>
        <v>139624001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IFERROR(__xludf.DUMMYFUNCTION("""COMPUTED_VALUE"""),144.9)</f>
        <v>144.9</v>
      </c>
      <c r="C23" s="6">
        <f>IFERROR(__xludf.DUMMYFUNCTION("""COMPUTED_VALUE"""),157.0)</f>
        <v>157</v>
      </c>
      <c r="D23" s="6">
        <f>IFERROR(__xludf.DUMMYFUNCTION("""COMPUTED_VALUE"""),141.5)</f>
        <v>141.5</v>
      </c>
      <c r="E23" s="6">
        <f>IFERROR(__xludf.DUMMYFUNCTION("""COMPUTED_VALUE"""),153.0)</f>
        <v>153</v>
      </c>
      <c r="F23" s="6">
        <f>IFERROR(__xludf.DUMMYFUNCTION("""COMPUTED_VALUE"""),2.01638522E8)</f>
        <v>201638522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IFERROR(__xludf.DUMMYFUNCTION("""COMPUTED_VALUE"""),153.9)</f>
        <v>153.9</v>
      </c>
      <c r="C24" s="6">
        <f>IFERROR(__xludf.DUMMYFUNCTION("""COMPUTED_VALUE"""),165.55)</f>
        <v>165.55</v>
      </c>
      <c r="D24" s="6">
        <f>IFERROR(__xludf.DUMMYFUNCTION("""COMPUTED_VALUE"""),147.05)</f>
        <v>147.05</v>
      </c>
      <c r="E24" s="6">
        <f>IFERROR(__xludf.DUMMYFUNCTION("""COMPUTED_VALUE"""),157.5)</f>
        <v>157.5</v>
      </c>
      <c r="F24" s="6">
        <f>IFERROR(__xludf.DUMMYFUNCTION("""COMPUTED_VALUE"""),1.94743865E8)</f>
        <v>194743865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IFERROR(__xludf.DUMMYFUNCTION("""COMPUTED_VALUE"""),158.0)</f>
        <v>158</v>
      </c>
      <c r="C25" s="6">
        <f>IFERROR(__xludf.DUMMYFUNCTION("""COMPUTED_VALUE"""),169.3)</f>
        <v>169.3</v>
      </c>
      <c r="D25" s="6">
        <f>IFERROR(__xludf.DUMMYFUNCTION("""COMPUTED_VALUE"""),137.35)</f>
        <v>137.35</v>
      </c>
      <c r="E25" s="6">
        <f>IFERROR(__xludf.DUMMYFUNCTION("""COMPUTED_VALUE"""),162.75)</f>
        <v>162.75</v>
      </c>
      <c r="F25" s="6">
        <f>IFERROR(__xludf.DUMMYFUNCTION("""COMPUTED_VALUE"""),3.04167467E8)</f>
        <v>304167467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IFERROR(__xludf.DUMMYFUNCTION("""COMPUTED_VALUE"""),164.0)</f>
        <v>164</v>
      </c>
      <c r="C26" s="6">
        <f>IFERROR(__xludf.DUMMYFUNCTION("""COMPUTED_VALUE"""),165.2)</f>
        <v>165.2</v>
      </c>
      <c r="D26" s="6">
        <f>IFERROR(__xludf.DUMMYFUNCTION("""COMPUTED_VALUE"""),152.75)</f>
        <v>152.75</v>
      </c>
      <c r="E26" s="6">
        <f>IFERROR(__xludf.DUMMYFUNCTION("""COMPUTED_VALUE"""),159.0)</f>
        <v>159</v>
      </c>
      <c r="F26" s="6">
        <f>IFERROR(__xludf.DUMMYFUNCTION("""COMPUTED_VALUE"""),1.0725129E8)</f>
        <v>107251290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IFERROR(__xludf.DUMMYFUNCTION("""COMPUTED_VALUE"""),166.5)</f>
        <v>166.5</v>
      </c>
      <c r="C27" s="6">
        <f>IFERROR(__xludf.DUMMYFUNCTION("""COMPUTED_VALUE"""),170.45)</f>
        <v>170.45</v>
      </c>
      <c r="D27" s="6">
        <f>IFERROR(__xludf.DUMMYFUNCTION("""COMPUTED_VALUE"""),157.8)</f>
        <v>157.8</v>
      </c>
      <c r="E27" s="6">
        <f>IFERROR(__xludf.DUMMYFUNCTION("""COMPUTED_VALUE"""),163.2)</f>
        <v>163.2</v>
      </c>
      <c r="F27" s="6">
        <f>IFERROR(__xludf.DUMMYFUNCTION("""COMPUTED_VALUE"""),9.5124358E7)</f>
        <v>95124358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IFERROR(__xludf.DUMMYFUNCTION("""COMPUTED_VALUE"""),163.5)</f>
        <v>163.5</v>
      </c>
      <c r="C28" s="6">
        <f>IFERROR(__xludf.DUMMYFUNCTION("""COMPUTED_VALUE"""),164.1)</f>
        <v>164.1</v>
      </c>
      <c r="D28" s="6">
        <f>IFERROR(__xludf.DUMMYFUNCTION("""COMPUTED_VALUE"""),130.25)</f>
        <v>130.25</v>
      </c>
      <c r="E28" s="6">
        <f>IFERROR(__xludf.DUMMYFUNCTION("""COMPUTED_VALUE"""),136.4)</f>
        <v>136.4</v>
      </c>
      <c r="F28" s="6">
        <f>IFERROR(__xludf.DUMMYFUNCTION("""COMPUTED_VALUE"""),1.3490683E8)</f>
        <v>134906830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IFERROR(__xludf.DUMMYFUNCTION("""COMPUTED_VALUE"""),137.5)</f>
        <v>137.5</v>
      </c>
      <c r="C29" s="6">
        <f>IFERROR(__xludf.DUMMYFUNCTION("""COMPUTED_VALUE"""),150.75)</f>
        <v>150.75</v>
      </c>
      <c r="D29" s="6">
        <f>IFERROR(__xludf.DUMMYFUNCTION("""COMPUTED_VALUE"""),135.05)</f>
        <v>135.05</v>
      </c>
      <c r="E29" s="6">
        <f>IFERROR(__xludf.DUMMYFUNCTION("""COMPUTED_VALUE"""),148.75)</f>
        <v>148.75</v>
      </c>
      <c r="F29" s="6">
        <f>IFERROR(__xludf.DUMMYFUNCTION("""COMPUTED_VALUE"""),1.29450637E8)</f>
        <v>129450637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IFERROR(__xludf.DUMMYFUNCTION("""COMPUTED_VALUE"""),148.5)</f>
        <v>148.5</v>
      </c>
      <c r="C30" s="6">
        <f>IFERROR(__xludf.DUMMYFUNCTION("""COMPUTED_VALUE"""),154.65)</f>
        <v>154.65</v>
      </c>
      <c r="D30" s="6">
        <f>IFERROR(__xludf.DUMMYFUNCTION("""COMPUTED_VALUE"""),148.25)</f>
        <v>148.25</v>
      </c>
      <c r="E30" s="6">
        <f>IFERROR(__xludf.DUMMYFUNCTION("""COMPUTED_VALUE"""),152.55)</f>
        <v>152.55</v>
      </c>
      <c r="F30" s="6">
        <f>IFERROR(__xludf.DUMMYFUNCTION("""COMPUTED_VALUE"""),3.2226507E7)</f>
        <v>32226507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IFERROR(__xludf.DUMMYFUNCTION("""COMPUTED_VALUE"""),153.9)</f>
        <v>153.9</v>
      </c>
      <c r="C31" s="6">
        <f>IFERROR(__xludf.DUMMYFUNCTION("""COMPUTED_VALUE"""),180.4)</f>
        <v>180.4</v>
      </c>
      <c r="D31" s="6">
        <f>IFERROR(__xludf.DUMMYFUNCTION("""COMPUTED_VALUE"""),153.6)</f>
        <v>153.6</v>
      </c>
      <c r="E31" s="6">
        <f>IFERROR(__xludf.DUMMYFUNCTION("""COMPUTED_VALUE"""),177.5)</f>
        <v>177.5</v>
      </c>
      <c r="F31" s="6">
        <f>IFERROR(__xludf.DUMMYFUNCTION("""COMPUTED_VALUE"""),1.88874387E8)</f>
        <v>188874387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IFERROR(__xludf.DUMMYFUNCTION("""COMPUTED_VALUE"""),178.7)</f>
        <v>178.7</v>
      </c>
      <c r="C32" s="6">
        <f>IFERROR(__xludf.DUMMYFUNCTION("""COMPUTED_VALUE"""),188.8)</f>
        <v>188.8</v>
      </c>
      <c r="D32" s="6">
        <f>IFERROR(__xludf.DUMMYFUNCTION("""COMPUTED_VALUE"""),174.65)</f>
        <v>174.65</v>
      </c>
      <c r="E32" s="6">
        <f>IFERROR(__xludf.DUMMYFUNCTION("""COMPUTED_VALUE"""),178.2)</f>
        <v>178.2</v>
      </c>
      <c r="F32" s="6">
        <f>IFERROR(__xludf.DUMMYFUNCTION("""COMPUTED_VALUE"""),1.02593126E8)</f>
        <v>102593126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IFERROR(__xludf.DUMMYFUNCTION("""COMPUTED_VALUE"""),182.0)</f>
        <v>182</v>
      </c>
      <c r="C33" s="6">
        <f>IFERROR(__xludf.DUMMYFUNCTION("""COMPUTED_VALUE"""),187.65)</f>
        <v>187.65</v>
      </c>
      <c r="D33" s="6">
        <f>IFERROR(__xludf.DUMMYFUNCTION("""COMPUTED_VALUE"""),174.75)</f>
        <v>174.75</v>
      </c>
      <c r="E33" s="6">
        <f>IFERROR(__xludf.DUMMYFUNCTION("""COMPUTED_VALUE"""),184.8)</f>
        <v>184.8</v>
      </c>
      <c r="F33" s="6">
        <f>IFERROR(__xludf.DUMMYFUNCTION("""COMPUTED_VALUE"""),1.22073019E8)</f>
        <v>122073019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IFERROR(__xludf.DUMMYFUNCTION("""COMPUTED_VALUE"""),187.8)</f>
        <v>187.8</v>
      </c>
      <c r="C34" s="6">
        <f>IFERROR(__xludf.DUMMYFUNCTION("""COMPUTED_VALUE"""),192.2)</f>
        <v>192.2</v>
      </c>
      <c r="D34" s="6">
        <f>IFERROR(__xludf.DUMMYFUNCTION("""COMPUTED_VALUE"""),182.4)</f>
        <v>182.4</v>
      </c>
      <c r="E34" s="6">
        <f>IFERROR(__xludf.DUMMYFUNCTION("""COMPUTED_VALUE"""),188.9)</f>
        <v>188.9</v>
      </c>
      <c r="F34" s="6">
        <f>IFERROR(__xludf.DUMMYFUNCTION("""COMPUTED_VALUE"""),1.13223057E8)</f>
        <v>113223057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IFERROR(__xludf.DUMMYFUNCTION("""COMPUTED_VALUE"""),190.55)</f>
        <v>190.55</v>
      </c>
      <c r="C35" s="6">
        <f>IFERROR(__xludf.DUMMYFUNCTION("""COMPUTED_VALUE"""),193.1)</f>
        <v>193.1</v>
      </c>
      <c r="D35" s="6">
        <f>IFERROR(__xludf.DUMMYFUNCTION("""COMPUTED_VALUE"""),182.3)</f>
        <v>182.3</v>
      </c>
      <c r="E35" s="6">
        <f>IFERROR(__xludf.DUMMYFUNCTION("""COMPUTED_VALUE"""),185.1)</f>
        <v>185.1</v>
      </c>
      <c r="F35" s="6">
        <f>IFERROR(__xludf.DUMMYFUNCTION("""COMPUTED_VALUE"""),5.1446882E7)</f>
        <v>51446882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IFERROR(__xludf.DUMMYFUNCTION("""COMPUTED_VALUE"""),186.65)</f>
        <v>186.65</v>
      </c>
      <c r="C36" s="6">
        <f>IFERROR(__xludf.DUMMYFUNCTION("""COMPUTED_VALUE"""),186.9)</f>
        <v>186.9</v>
      </c>
      <c r="D36" s="6">
        <f>IFERROR(__xludf.DUMMYFUNCTION("""COMPUTED_VALUE"""),169.3)</f>
        <v>169.3</v>
      </c>
      <c r="E36" s="6">
        <f>IFERROR(__xludf.DUMMYFUNCTION("""COMPUTED_VALUE"""),173.95)</f>
        <v>173.95</v>
      </c>
      <c r="F36" s="6">
        <f>IFERROR(__xludf.DUMMYFUNCTION("""COMPUTED_VALUE"""),6.3147944E7)</f>
        <v>63147944</v>
      </c>
    </row>
    <row r="37">
      <c r="A37" s="7">
        <f>IFERROR(__xludf.DUMMYFUNCTION("""COMPUTED_VALUE"""),45436.64583333333)</f>
        <v>45436.64583</v>
      </c>
      <c r="B37" s="6">
        <f>IFERROR(__xludf.DUMMYFUNCTION("""COMPUTED_VALUE"""),200.0)</f>
        <v>200</v>
      </c>
      <c r="C37" s="6">
        <f>IFERROR(__xludf.DUMMYFUNCTION("""COMPUTED_VALUE"""),204.2)</f>
        <v>204.2</v>
      </c>
      <c r="D37" s="6">
        <f>IFERROR(__xludf.DUMMYFUNCTION("""COMPUTED_VALUE"""),190.15)</f>
        <v>190.15</v>
      </c>
      <c r="E37" s="6">
        <f>IFERROR(__xludf.DUMMYFUNCTION("""COMPUTED_VALUE"""),193.15)</f>
        <v>193.15</v>
      </c>
      <c r="F37" s="6">
        <f>IFERROR(__xludf.DUMMYFUNCTION("""COMPUTED_VALUE"""),8.2137436E7)</f>
        <v>82137436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IFERROR(__xludf.DUMMYFUNCTION("""COMPUTED_VALUE"""),194.5)</f>
        <v>194.5</v>
      </c>
      <c r="C38" s="6">
        <f>IFERROR(__xludf.DUMMYFUNCTION("""COMPUTED_VALUE"""),206.3)</f>
        <v>206.3</v>
      </c>
      <c r="D38" s="6">
        <f>IFERROR(__xludf.DUMMYFUNCTION("""COMPUTED_VALUE"""),187.0)</f>
        <v>187</v>
      </c>
      <c r="E38" s="6">
        <f>IFERROR(__xludf.DUMMYFUNCTION("""COMPUTED_VALUE"""),191.65)</f>
        <v>191.65</v>
      </c>
      <c r="F38" s="6">
        <f>IFERROR(__xludf.DUMMYFUNCTION("""COMPUTED_VALUE"""),1.74512015E8)</f>
        <v>174512015</v>
      </c>
    </row>
    <row r="39">
      <c r="A39" s="7">
        <f>IFERROR(__xludf.DUMMYFUNCTION("""COMPUTED_VALUE"""),45450.64583333333)</f>
        <v>45450.64583</v>
      </c>
      <c r="B39" s="6">
        <f>IFERROR(__xludf.DUMMYFUNCTION("""COMPUTED_VALUE"""),201.2)</f>
        <v>201.2</v>
      </c>
      <c r="C39" s="6">
        <f>IFERROR(__xludf.DUMMYFUNCTION("""COMPUTED_VALUE"""),201.6)</f>
        <v>201.6</v>
      </c>
      <c r="D39" s="6">
        <f>IFERROR(__xludf.DUMMYFUNCTION("""COMPUTED_VALUE"""),147.15)</f>
        <v>147.15</v>
      </c>
      <c r="E39" s="6">
        <f>IFERROR(__xludf.DUMMYFUNCTION("""COMPUTED_VALUE"""),185.3)</f>
        <v>185.3</v>
      </c>
      <c r="F39" s="6">
        <f>IFERROR(__xludf.DUMMYFUNCTION("""COMPUTED_VALUE"""),1.7727371E8)</f>
        <v>177273710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IFERROR(__xludf.DUMMYFUNCTION("""COMPUTED_VALUE"""),185.0)</f>
        <v>185</v>
      </c>
      <c r="C40" s="6">
        <f>IFERROR(__xludf.DUMMYFUNCTION("""COMPUTED_VALUE"""),195.2)</f>
        <v>195.2</v>
      </c>
      <c r="D40" s="6">
        <f>IFERROR(__xludf.DUMMYFUNCTION("""COMPUTED_VALUE"""),181.55)</f>
        <v>181.55</v>
      </c>
      <c r="E40" s="6">
        <f>IFERROR(__xludf.DUMMYFUNCTION("""COMPUTED_VALUE"""),191.91)</f>
        <v>191.91</v>
      </c>
      <c r="F40" s="6">
        <f>IFERROR(__xludf.DUMMYFUNCTION("""COMPUTED_VALUE"""),8.3602525E7)</f>
        <v>83602525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IFERROR(__xludf.DUMMYFUNCTION("""COMPUTED_VALUE"""),192.38)</f>
        <v>192.38</v>
      </c>
      <c r="C41" s="6">
        <f>IFERROR(__xludf.DUMMYFUNCTION("""COMPUTED_VALUE"""),196.75)</f>
        <v>196.75</v>
      </c>
      <c r="D41" s="6">
        <f>IFERROR(__xludf.DUMMYFUNCTION("""COMPUTED_VALUE"""),183.22)</f>
        <v>183.22</v>
      </c>
      <c r="E41" s="6">
        <f>IFERROR(__xludf.DUMMYFUNCTION("""COMPUTED_VALUE"""),193.98)</f>
        <v>193.98</v>
      </c>
      <c r="F41" s="6">
        <f>IFERROR(__xludf.DUMMYFUNCTION("""COMPUTED_VALUE"""),5.7250164E7)</f>
        <v>57250164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IFERROR(__xludf.DUMMYFUNCTION("""COMPUTED_VALUE"""),192.4)</f>
        <v>192.4</v>
      </c>
      <c r="C42" s="6">
        <f>IFERROR(__xludf.DUMMYFUNCTION("""COMPUTED_VALUE"""),192.4)</f>
        <v>192.4</v>
      </c>
      <c r="D42" s="6">
        <f>IFERROR(__xludf.DUMMYFUNCTION("""COMPUTED_VALUE"""),180.76)</f>
        <v>180.76</v>
      </c>
      <c r="E42" s="6">
        <f>IFERROR(__xludf.DUMMYFUNCTION("""COMPUTED_VALUE"""),187.11)</f>
        <v>187.11</v>
      </c>
      <c r="F42" s="6">
        <f>IFERROR(__xludf.DUMMYFUNCTION("""COMPUTED_VALUE"""),6.8323677E7)</f>
        <v>68323677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IFERROR(__xludf.DUMMYFUNCTION("""COMPUTED_VALUE"""),188.2)</f>
        <v>188.2</v>
      </c>
      <c r="C43" s="6">
        <f>IFERROR(__xludf.DUMMYFUNCTION("""COMPUTED_VALUE"""),199.6)</f>
        <v>199.6</v>
      </c>
      <c r="D43" s="6">
        <f>IFERROR(__xludf.DUMMYFUNCTION("""COMPUTED_VALUE"""),187.41)</f>
        <v>187.41</v>
      </c>
      <c r="E43" s="6">
        <f>IFERROR(__xludf.DUMMYFUNCTION("""COMPUTED_VALUE"""),199.02)</f>
        <v>199.02</v>
      </c>
      <c r="F43" s="6">
        <f>IFERROR(__xludf.DUMMYFUNCTION("""COMPUTED_VALUE"""),6.0250175E7)</f>
        <v>60250175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IFERROR(__xludf.DUMMYFUNCTION("""COMPUTED_VALUE"""),199.8)</f>
        <v>199.8</v>
      </c>
      <c r="C44" s="6">
        <f>IFERROR(__xludf.DUMMYFUNCTION("""COMPUTED_VALUE"""),209.0)</f>
        <v>209</v>
      </c>
      <c r="D44" s="6">
        <f>IFERROR(__xludf.DUMMYFUNCTION("""COMPUTED_VALUE"""),192.2)</f>
        <v>192.2</v>
      </c>
      <c r="E44" s="6">
        <f>IFERROR(__xludf.DUMMYFUNCTION("""COMPUTED_VALUE"""),197.56)</f>
        <v>197.56</v>
      </c>
      <c r="F44" s="6">
        <f>IFERROR(__xludf.DUMMYFUNCTION("""COMPUTED_VALUE"""),7.7928654E7)</f>
        <v>77928654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IFERROR(__xludf.DUMMYFUNCTION("""COMPUTED_VALUE"""),198.0)</f>
        <v>198</v>
      </c>
      <c r="C45" s="6">
        <f>IFERROR(__xludf.DUMMYFUNCTION("""COMPUTED_VALUE"""),203.17)</f>
        <v>203.17</v>
      </c>
      <c r="D45" s="6">
        <f>IFERROR(__xludf.DUMMYFUNCTION("""COMPUTED_VALUE"""),183.79)</f>
        <v>183.79</v>
      </c>
      <c r="E45" s="6">
        <f>IFERROR(__xludf.DUMMYFUNCTION("""COMPUTED_VALUE"""),186.33)</f>
        <v>186.33</v>
      </c>
      <c r="F45" s="6">
        <f>IFERROR(__xludf.DUMMYFUNCTION("""COMPUTED_VALUE"""),6.4471557E7)</f>
        <v>64471557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IFERROR(__xludf.DUMMYFUNCTION("""COMPUTED_VALUE"""),184.4)</f>
        <v>184.4</v>
      </c>
      <c r="C46" s="6">
        <f>IFERROR(__xludf.DUMMYFUNCTION("""COMPUTED_VALUE"""),193.5)</f>
        <v>193.5</v>
      </c>
      <c r="D46" s="6">
        <f>IFERROR(__xludf.DUMMYFUNCTION("""COMPUTED_VALUE"""),174.7)</f>
        <v>174.7</v>
      </c>
      <c r="E46" s="6">
        <f>IFERROR(__xludf.DUMMYFUNCTION("""COMPUTED_VALUE"""),189.5)</f>
        <v>189.5</v>
      </c>
      <c r="F46" s="6">
        <f>IFERROR(__xludf.DUMMYFUNCTION("""COMPUTED_VALUE"""),6.3543783E7)</f>
        <v>63543783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IFERROR(__xludf.DUMMYFUNCTION("""COMPUTED_VALUE"""),190.95)</f>
        <v>190.95</v>
      </c>
      <c r="C47" s="6">
        <f>IFERROR(__xludf.DUMMYFUNCTION("""COMPUTED_VALUE"""),200.4)</f>
        <v>200.4</v>
      </c>
      <c r="D47" s="6">
        <f>IFERROR(__xludf.DUMMYFUNCTION("""COMPUTED_VALUE"""),184.3)</f>
        <v>184.3</v>
      </c>
      <c r="E47" s="6">
        <f>IFERROR(__xludf.DUMMYFUNCTION("""COMPUTED_VALUE"""),185.21)</f>
        <v>185.21</v>
      </c>
      <c r="F47" s="6">
        <f>IFERROR(__xludf.DUMMYFUNCTION("""COMPUTED_VALUE"""),6.2221524E7)</f>
        <v>62221524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IFERROR(__xludf.DUMMYFUNCTION("""COMPUTED_VALUE"""),179.0)</f>
        <v>179</v>
      </c>
      <c r="C48" s="6">
        <f>IFERROR(__xludf.DUMMYFUNCTION("""COMPUTED_VALUE"""),180.4)</f>
        <v>180.4</v>
      </c>
      <c r="D48" s="6">
        <f>IFERROR(__xludf.DUMMYFUNCTION("""COMPUTED_VALUE"""),171.32)</f>
        <v>171.32</v>
      </c>
      <c r="E48" s="6">
        <f>IFERROR(__xludf.DUMMYFUNCTION("""COMPUTED_VALUE"""),177.25)</f>
        <v>177.25</v>
      </c>
      <c r="F48" s="6">
        <f>IFERROR(__xludf.DUMMYFUNCTION("""COMPUTED_VALUE"""),6.4638994E7)</f>
        <v>64638994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IFERROR(__xludf.DUMMYFUNCTION("""COMPUTED_VALUE"""),176.39)</f>
        <v>176.39</v>
      </c>
      <c r="C49" s="6">
        <f>IFERROR(__xludf.DUMMYFUNCTION("""COMPUTED_VALUE"""),177.68)</f>
        <v>177.68</v>
      </c>
      <c r="D49" s="6">
        <f>IFERROR(__xludf.DUMMYFUNCTION("""COMPUTED_VALUE"""),163.16)</f>
        <v>163.16</v>
      </c>
      <c r="E49" s="6">
        <f>IFERROR(__xludf.DUMMYFUNCTION("""COMPUTED_VALUE"""),165.13)</f>
        <v>165.13</v>
      </c>
      <c r="F49" s="6">
        <f>IFERROR(__xludf.DUMMYFUNCTION("""COMPUTED_VALUE"""),8.690912E7)</f>
        <v>86909120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IFERROR(__xludf.DUMMYFUNCTION("""COMPUTED_VALUE"""),166.9)</f>
        <v>166.9</v>
      </c>
      <c r="C50" s="6">
        <f>IFERROR(__xludf.DUMMYFUNCTION("""COMPUTED_VALUE"""),174.7)</f>
        <v>174.7</v>
      </c>
      <c r="D50" s="6">
        <f>IFERROR(__xludf.DUMMYFUNCTION("""COMPUTED_VALUE"""),164.85)</f>
        <v>164.85</v>
      </c>
      <c r="E50" s="6">
        <f>IFERROR(__xludf.DUMMYFUNCTION("""COMPUTED_VALUE"""),173.16)</f>
        <v>173.16</v>
      </c>
      <c r="F50" s="6">
        <f>IFERROR(__xludf.DUMMYFUNCTION("""COMPUTED_VALUE"""),8.9836116E7)</f>
        <v>89836116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IFERROR(__xludf.DUMMYFUNCTION("""COMPUTED_VALUE"""),176.55)</f>
        <v>176.55</v>
      </c>
      <c r="C51" s="6">
        <f>IFERROR(__xludf.DUMMYFUNCTION("""COMPUTED_VALUE"""),187.0)</f>
        <v>187</v>
      </c>
      <c r="D51" s="6">
        <f>IFERROR(__xludf.DUMMYFUNCTION("""COMPUTED_VALUE"""),175.32)</f>
        <v>175.32</v>
      </c>
      <c r="E51" s="6">
        <f>IFERROR(__xludf.DUMMYFUNCTION("""COMPUTED_VALUE"""),182.6)</f>
        <v>182.6</v>
      </c>
      <c r="F51" s="6">
        <f>IFERROR(__xludf.DUMMYFUNCTION("""COMPUTED_VALUE"""),9.1445409E7)</f>
        <v>91445409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IFERROR(__xludf.DUMMYFUNCTION("""COMPUTED_VALUE"""),182.95)</f>
        <v>182.95</v>
      </c>
      <c r="C52" s="6">
        <f>IFERROR(__xludf.DUMMYFUNCTION("""COMPUTED_VALUE"""),183.0)</f>
        <v>183</v>
      </c>
      <c r="D52" s="6">
        <f>IFERROR(__xludf.DUMMYFUNCTION("""COMPUTED_VALUE"""),172.63)</f>
        <v>172.63</v>
      </c>
      <c r="E52" s="6">
        <f>IFERROR(__xludf.DUMMYFUNCTION("""COMPUTED_VALUE"""),174.0)</f>
        <v>174</v>
      </c>
      <c r="F52" s="6">
        <f>IFERROR(__xludf.DUMMYFUNCTION("""COMPUTED_VALUE"""),3.3520509E7)</f>
        <v>33520509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IFERROR(__xludf.DUMMYFUNCTION("""COMPUTED_VALUE"""),172.5)</f>
        <v>172.5</v>
      </c>
      <c r="C53" s="6">
        <f>IFERROR(__xludf.DUMMYFUNCTION("""COMPUTED_VALUE"""),185.4)</f>
        <v>185.4</v>
      </c>
      <c r="D53" s="6">
        <f>IFERROR(__xludf.DUMMYFUNCTION("""COMPUTED_VALUE"""),168.02)</f>
        <v>168.02</v>
      </c>
      <c r="E53" s="6">
        <f>IFERROR(__xludf.DUMMYFUNCTION("""COMPUTED_VALUE"""),182.35)</f>
        <v>182.35</v>
      </c>
      <c r="F53" s="6">
        <f>IFERROR(__xludf.DUMMYFUNCTION("""COMPUTED_VALUE"""),5.150686E7)</f>
        <v>51506860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IFERROR(__xludf.DUMMYFUNCTION("""COMPUTED_VALUE"""),183.7)</f>
        <v>183.7</v>
      </c>
      <c r="C54" s="6">
        <f>IFERROR(__xludf.DUMMYFUNCTION("""COMPUTED_VALUE"""),191.49)</f>
        <v>191.49</v>
      </c>
      <c r="D54" s="6">
        <f>IFERROR(__xludf.DUMMYFUNCTION("""COMPUTED_VALUE"""),176.26)</f>
        <v>176.26</v>
      </c>
      <c r="E54" s="6">
        <f>IFERROR(__xludf.DUMMYFUNCTION("""COMPUTED_VALUE"""),184.03)</f>
        <v>184.03</v>
      </c>
      <c r="F54" s="6">
        <f>IFERROR(__xludf.DUMMYFUNCTION("""COMPUTED_VALUE"""),6.4311216E7)</f>
        <v>64311216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IFERROR(__xludf.DUMMYFUNCTION("""COMPUTED_VALUE"""),183.2)</f>
        <v>183.2</v>
      </c>
      <c r="C55" s="6">
        <f>IFERROR(__xludf.DUMMYFUNCTION("""COMPUTED_VALUE"""),212.4)</f>
        <v>212.4</v>
      </c>
      <c r="D55" s="6">
        <f>IFERROR(__xludf.DUMMYFUNCTION("""COMPUTED_VALUE"""),179.83)</f>
        <v>179.83</v>
      </c>
      <c r="E55" s="6">
        <f>IFERROR(__xludf.DUMMYFUNCTION("""COMPUTED_VALUE"""),207.04)</f>
        <v>207.04</v>
      </c>
      <c r="F55" s="6">
        <f>IFERROR(__xludf.DUMMYFUNCTION("""COMPUTED_VALUE"""),1.84072612E8)</f>
        <v>184072612</v>
      </c>
    </row>
    <row r="56">
      <c r="A56" s="7">
        <f>IFERROR(__xludf.DUMMYFUNCTION("""COMPUTED_VALUE"""),45569.64583333333)</f>
        <v>45569.64583</v>
      </c>
      <c r="B56" s="6">
        <f>IFERROR(__xludf.DUMMYFUNCTION("""COMPUTED_VALUE"""),207.6)</f>
        <v>207.6</v>
      </c>
      <c r="C56" s="6">
        <f>IFERROR(__xludf.DUMMYFUNCTION("""COMPUTED_VALUE"""),227.39)</f>
        <v>227.39</v>
      </c>
      <c r="D56" s="6">
        <f>IFERROR(__xludf.DUMMYFUNCTION("""COMPUTED_VALUE"""),206.53)</f>
        <v>206.53</v>
      </c>
      <c r="E56" s="6">
        <f>IFERROR(__xludf.DUMMYFUNCTION("""COMPUTED_VALUE"""),220.35)</f>
        <v>220.35</v>
      </c>
      <c r="F56" s="6">
        <f>IFERROR(__xludf.DUMMYFUNCTION("""COMPUTED_VALUE"""),1.55667347E8)</f>
        <v>155667347</v>
      </c>
    </row>
    <row r="57">
      <c r="A57" s="7">
        <f>IFERROR(__xludf.DUMMYFUNCTION("""COMPUTED_VALUE"""),45576.64583333333)</f>
        <v>45576.64583</v>
      </c>
      <c r="B57" s="6">
        <f>IFERROR(__xludf.DUMMYFUNCTION("""COMPUTED_VALUE"""),221.0)</f>
        <v>221</v>
      </c>
      <c r="C57" s="6">
        <f>IFERROR(__xludf.DUMMYFUNCTION("""COMPUTED_VALUE"""),223.89)</f>
        <v>223.89</v>
      </c>
      <c r="D57" s="6">
        <f>IFERROR(__xludf.DUMMYFUNCTION("""COMPUTED_VALUE"""),200.0)</f>
        <v>200</v>
      </c>
      <c r="E57" s="6">
        <f>IFERROR(__xludf.DUMMYFUNCTION("""COMPUTED_VALUE"""),222.92)</f>
        <v>222.92</v>
      </c>
      <c r="F57" s="6">
        <f>IFERROR(__xludf.DUMMYFUNCTION("""COMPUTED_VALUE"""),1.14601321E8)</f>
        <v>114601321</v>
      </c>
    </row>
    <row r="58">
      <c r="A58" s="7">
        <f>IFERROR(__xludf.DUMMYFUNCTION("""COMPUTED_VALUE"""),45583.64583333333)</f>
        <v>45583.64583</v>
      </c>
      <c r="B58" s="6">
        <f>IFERROR(__xludf.DUMMYFUNCTION("""COMPUTED_VALUE"""),225.0)</f>
        <v>225</v>
      </c>
      <c r="C58" s="6">
        <f>IFERROR(__xludf.DUMMYFUNCTION("""COMPUTED_VALUE"""),232.8)</f>
        <v>232.8</v>
      </c>
      <c r="D58" s="6">
        <f>IFERROR(__xludf.DUMMYFUNCTION("""COMPUTED_VALUE"""),215.8)</f>
        <v>215.8</v>
      </c>
      <c r="E58" s="6">
        <f>IFERROR(__xludf.DUMMYFUNCTION("""COMPUTED_VALUE"""),232.12)</f>
        <v>232.12</v>
      </c>
      <c r="F58" s="6">
        <f>IFERROR(__xludf.DUMMYFUNCTION("""COMPUTED_VALUE"""),1.41323556E8)</f>
        <v>141323556</v>
      </c>
    </row>
    <row r="59">
      <c r="A59" s="7">
        <f>IFERROR(__xludf.DUMMYFUNCTION("""COMPUTED_VALUE"""),45590.64583333333)</f>
        <v>45590.64583</v>
      </c>
      <c r="B59" s="6">
        <f>IFERROR(__xludf.DUMMYFUNCTION("""COMPUTED_VALUE"""),234.75)</f>
        <v>234.75</v>
      </c>
      <c r="C59" s="6">
        <f>IFERROR(__xludf.DUMMYFUNCTION("""COMPUTED_VALUE"""),235.37)</f>
        <v>235.37</v>
      </c>
      <c r="D59" s="6">
        <f>IFERROR(__xludf.DUMMYFUNCTION("""COMPUTED_VALUE"""),208.65)</f>
        <v>208.65</v>
      </c>
      <c r="E59" s="6">
        <f>IFERROR(__xludf.DUMMYFUNCTION("""COMPUTED_VALUE"""),218.87)</f>
        <v>218.87</v>
      </c>
      <c r="F59" s="6">
        <f>IFERROR(__xludf.DUMMYFUNCTION("""COMPUTED_VALUE"""),1.01377528E8)</f>
        <v>101377528</v>
      </c>
    </row>
    <row r="60">
      <c r="A60" s="7">
        <f>IFERROR(__xludf.DUMMYFUNCTION("""COMPUTED_VALUE"""),45604.64583333333)</f>
        <v>45604.64583</v>
      </c>
      <c r="B60" s="6">
        <f>IFERROR(__xludf.DUMMYFUNCTION("""COMPUTED_VALUE"""),228.91)</f>
        <v>228.91</v>
      </c>
      <c r="C60" s="6">
        <f>IFERROR(__xludf.DUMMYFUNCTION("""COMPUTED_VALUE"""),247.99)</f>
        <v>247.99</v>
      </c>
      <c r="D60" s="6">
        <f>IFERROR(__xludf.DUMMYFUNCTION("""COMPUTED_VALUE"""),223.05)</f>
        <v>223.05</v>
      </c>
      <c r="E60" s="6">
        <f>IFERROR(__xludf.DUMMYFUNCTION("""COMPUTED_VALUE"""),238.89)</f>
        <v>238.89</v>
      </c>
      <c r="F60" s="6">
        <f>IFERROR(__xludf.DUMMYFUNCTION("""COMPUTED_VALUE"""),1.11642362E8)</f>
        <v>111642362</v>
      </c>
    </row>
    <row r="61">
      <c r="A61" s="7">
        <f>IFERROR(__xludf.DUMMYFUNCTION("""COMPUTED_VALUE"""),45610.64583333333)</f>
        <v>45610.64583</v>
      </c>
      <c r="B61" s="6">
        <f>IFERROR(__xludf.DUMMYFUNCTION("""COMPUTED_VALUE"""),238.0)</f>
        <v>238</v>
      </c>
      <c r="C61" s="6">
        <f>IFERROR(__xludf.DUMMYFUNCTION("""COMPUTED_VALUE"""),238.0)</f>
        <v>238</v>
      </c>
      <c r="D61" s="6">
        <f>IFERROR(__xludf.DUMMYFUNCTION("""COMPUTED_VALUE"""),218.6)</f>
        <v>218.6</v>
      </c>
      <c r="E61" s="6">
        <f>IFERROR(__xludf.DUMMYFUNCTION("""COMPUTED_VALUE"""),219.87)</f>
        <v>219.87</v>
      </c>
      <c r="F61" s="6">
        <f>IFERROR(__xludf.DUMMYFUNCTION("""COMPUTED_VALUE"""),7.6352177E7)</f>
        <v>76352177</v>
      </c>
    </row>
    <row r="62">
      <c r="A62" s="7">
        <f>IFERROR(__xludf.DUMMYFUNCTION("""COMPUTED_VALUE"""),45618.64583333333)</f>
        <v>45618.64583</v>
      </c>
      <c r="B62" s="6">
        <f>IFERROR(__xludf.DUMMYFUNCTION("""COMPUTED_VALUE"""),226.0)</f>
        <v>226</v>
      </c>
      <c r="C62" s="6">
        <f>IFERROR(__xludf.DUMMYFUNCTION("""COMPUTED_VALUE"""),259.5)</f>
        <v>259.5</v>
      </c>
      <c r="D62" s="6">
        <f>IFERROR(__xludf.DUMMYFUNCTION("""COMPUTED_VALUE"""),225.0)</f>
        <v>225</v>
      </c>
      <c r="E62" s="6">
        <f>IFERROR(__xludf.DUMMYFUNCTION("""COMPUTED_VALUE"""),256.85)</f>
        <v>256.85</v>
      </c>
      <c r="F62" s="6">
        <f>IFERROR(__xludf.DUMMYFUNCTION("""COMPUTED_VALUE"""),2.46886457E8)</f>
        <v>246886457</v>
      </c>
    </row>
    <row r="63">
      <c r="A63" s="7">
        <f>IFERROR(__xludf.DUMMYFUNCTION("""COMPUTED_VALUE"""),45625.64583333333)</f>
        <v>45625.64583</v>
      </c>
      <c r="B63" s="6">
        <f>IFERROR(__xludf.DUMMYFUNCTION("""COMPUTED_VALUE"""),260.0)</f>
        <v>260</v>
      </c>
      <c r="C63" s="6">
        <f>IFERROR(__xludf.DUMMYFUNCTION("""COMPUTED_VALUE"""),262.99)</f>
        <v>262.99</v>
      </c>
      <c r="D63" s="6">
        <f>IFERROR(__xludf.DUMMYFUNCTION("""COMPUTED_VALUE"""),239.76)</f>
        <v>239.76</v>
      </c>
      <c r="E63" s="6">
        <f>IFERROR(__xludf.DUMMYFUNCTION("""COMPUTED_VALUE"""),242.14)</f>
        <v>242.14</v>
      </c>
      <c r="F63" s="6">
        <f>IFERROR(__xludf.DUMMYFUNCTION("""COMPUTED_VALUE"""),1.15548275E8)</f>
        <v>115548275</v>
      </c>
    </row>
    <row r="64">
      <c r="A64" s="7">
        <f>IFERROR(__xludf.DUMMYFUNCTION("""COMPUTED_VALUE"""),45632.64583333333)</f>
        <v>45632.64583</v>
      </c>
      <c r="B64" s="6">
        <f>IFERROR(__xludf.DUMMYFUNCTION("""COMPUTED_VALUE"""),242.14)</f>
        <v>242.14</v>
      </c>
      <c r="C64" s="6">
        <f>IFERROR(__xludf.DUMMYFUNCTION("""COMPUTED_VALUE"""),252.7)</f>
        <v>252.7</v>
      </c>
      <c r="D64" s="6">
        <f>IFERROR(__xludf.DUMMYFUNCTION("""COMPUTED_VALUE"""),240.15)</f>
        <v>240.15</v>
      </c>
      <c r="E64" s="6">
        <f>IFERROR(__xludf.DUMMYFUNCTION("""COMPUTED_VALUE"""),248.26)</f>
        <v>248.26</v>
      </c>
      <c r="F64" s="6">
        <f>IFERROR(__xludf.DUMMYFUNCTION("""COMPUTED_VALUE"""),6.1956734E7)</f>
        <v>61956734</v>
      </c>
    </row>
    <row r="65">
      <c r="A65" s="7">
        <f>IFERROR(__xludf.DUMMYFUNCTION("""COMPUTED_VALUE"""),45639.64583333333)</f>
        <v>45639.64583</v>
      </c>
      <c r="B65" s="6">
        <f>IFERROR(__xludf.DUMMYFUNCTION("""COMPUTED_VALUE"""),249.0)</f>
        <v>249</v>
      </c>
      <c r="C65" s="6">
        <f>IFERROR(__xludf.DUMMYFUNCTION("""COMPUTED_VALUE"""),255.65)</f>
        <v>255.65</v>
      </c>
      <c r="D65" s="6">
        <f>IFERROR(__xludf.DUMMYFUNCTION("""COMPUTED_VALUE"""),223.56)</f>
        <v>223.56</v>
      </c>
      <c r="E65" s="6">
        <f>IFERROR(__xludf.DUMMYFUNCTION("""COMPUTED_VALUE"""),226.46)</f>
        <v>226.46</v>
      </c>
      <c r="F65" s="6">
        <f>IFERROR(__xludf.DUMMYFUNCTION("""COMPUTED_VALUE"""),1.21817657E8)</f>
        <v>121817657</v>
      </c>
    </row>
    <row r="66">
      <c r="A66" s="7">
        <f>IFERROR(__xludf.DUMMYFUNCTION("""COMPUTED_VALUE"""),45646.64583333333)</f>
        <v>45646.64583</v>
      </c>
      <c r="B66" s="6">
        <f>IFERROR(__xludf.DUMMYFUNCTION("""COMPUTED_VALUE"""),226.48)</f>
        <v>226.48</v>
      </c>
      <c r="C66" s="6">
        <f>IFERROR(__xludf.DUMMYFUNCTION("""COMPUTED_VALUE"""),229.16)</f>
        <v>229.16</v>
      </c>
      <c r="D66" s="6">
        <f>IFERROR(__xludf.DUMMYFUNCTION("""COMPUTED_VALUE"""),214.11)</f>
        <v>214.11</v>
      </c>
      <c r="E66" s="6">
        <f>IFERROR(__xludf.DUMMYFUNCTION("""COMPUTED_VALUE"""),215.36)</f>
        <v>215.36</v>
      </c>
      <c r="F66" s="6">
        <f>IFERROR(__xludf.DUMMYFUNCTION("""COMPUTED_VALUE"""),7.5971049E7)</f>
        <v>75971049</v>
      </c>
    </row>
    <row r="67">
      <c r="A67" s="7">
        <f>IFERROR(__xludf.DUMMYFUNCTION("""COMPUTED_VALUE"""),45653.64583333333)</f>
        <v>45653.64583</v>
      </c>
      <c r="B67" s="6">
        <f>IFERROR(__xludf.DUMMYFUNCTION("""COMPUTED_VALUE"""),217.5)</f>
        <v>217.5</v>
      </c>
      <c r="C67" s="6">
        <f>IFERROR(__xludf.DUMMYFUNCTION("""COMPUTED_VALUE"""),221.25)</f>
        <v>221.25</v>
      </c>
      <c r="D67" s="6">
        <f>IFERROR(__xludf.DUMMYFUNCTION("""COMPUTED_VALUE"""),212.4)</f>
        <v>212.4</v>
      </c>
      <c r="E67" s="6">
        <f>IFERROR(__xludf.DUMMYFUNCTION("""COMPUTED_VALUE"""),213.59)</f>
        <v>213.59</v>
      </c>
      <c r="F67" s="6">
        <f>IFERROR(__xludf.DUMMYFUNCTION("""COMPUTED_VALUE"""),4.1498936E7)</f>
        <v>41498936</v>
      </c>
    </row>
    <row r="68">
      <c r="A68" s="7">
        <f>IFERROR(__xludf.DUMMYFUNCTION("""COMPUTED_VALUE"""),45660.64583333333)</f>
        <v>45660.64583</v>
      </c>
      <c r="B68" s="6">
        <f>IFERROR(__xludf.DUMMYFUNCTION("""COMPUTED_VALUE"""),213.59)</f>
        <v>213.59</v>
      </c>
      <c r="C68" s="6">
        <f>IFERROR(__xludf.DUMMYFUNCTION("""COMPUTED_VALUE"""),218.18)</f>
        <v>218.18</v>
      </c>
      <c r="D68" s="6">
        <f>IFERROR(__xludf.DUMMYFUNCTION("""COMPUTED_VALUE"""),206.86)</f>
        <v>206.86</v>
      </c>
      <c r="E68" s="6">
        <f>IFERROR(__xludf.DUMMYFUNCTION("""COMPUTED_VALUE"""),208.0)</f>
        <v>208</v>
      </c>
      <c r="F68" s="6">
        <f>IFERROR(__xludf.DUMMYFUNCTION("""COMPUTED_VALUE"""),4.0384251E7)</f>
        <v>40384251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IFERROR(__xludf.DUMMYFUNCTION("""COMPUTED_VALUE"""),208.0)</f>
        <v>208</v>
      </c>
      <c r="C69" s="6">
        <f>IFERROR(__xludf.DUMMYFUNCTION("""COMPUTED_VALUE"""),208.02)</f>
        <v>208.02</v>
      </c>
      <c r="D69" s="6">
        <f>IFERROR(__xludf.DUMMYFUNCTION("""COMPUTED_VALUE"""),196.37)</f>
        <v>196.37</v>
      </c>
      <c r="E69" s="6">
        <f>IFERROR(__xludf.DUMMYFUNCTION("""COMPUTED_VALUE"""),202.26)</f>
        <v>202.26</v>
      </c>
      <c r="F69" s="6">
        <f>IFERROR(__xludf.DUMMYFUNCTION("""COMPUTED_VALUE"""),5.1813358E7)</f>
        <v>51813358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IFERROR(__xludf.DUMMYFUNCTION("""COMPUTED_VALUE"""),198.25)</f>
        <v>198.25</v>
      </c>
      <c r="C70" s="6">
        <f>IFERROR(__xludf.DUMMYFUNCTION("""COMPUTED_VALUE"""),206.47)</f>
        <v>206.47</v>
      </c>
      <c r="D70" s="6">
        <f>IFERROR(__xludf.DUMMYFUNCTION("""COMPUTED_VALUE"""),191.01)</f>
        <v>191.01</v>
      </c>
      <c r="E70" s="6">
        <f>IFERROR(__xludf.DUMMYFUNCTION("""COMPUTED_VALUE"""),205.54)</f>
        <v>205.54</v>
      </c>
      <c r="F70" s="6">
        <f>IFERROR(__xludf.DUMMYFUNCTION("""COMPUTED_VALUE"""),5.0470609E7)</f>
        <v>50470609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IFERROR(__xludf.DUMMYFUNCTION("""COMPUTED_VALUE"""),206.45)</f>
        <v>206.45</v>
      </c>
      <c r="C71" s="6">
        <f>IFERROR(__xludf.DUMMYFUNCTION("""COMPUTED_VALUE"""),215.71)</f>
        <v>215.71</v>
      </c>
      <c r="D71" s="6">
        <f>IFERROR(__xludf.DUMMYFUNCTION("""COMPUTED_VALUE"""),198.01)</f>
        <v>198.01</v>
      </c>
      <c r="E71" s="6">
        <f>IFERROR(__xludf.DUMMYFUNCTION("""COMPUTED_VALUE"""),203.2)</f>
        <v>203.2</v>
      </c>
      <c r="F71" s="6">
        <f>IFERROR(__xludf.DUMMYFUNCTION("""COMPUTED_VALUE"""),3.8968673E7)</f>
        <v>38968673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IFERROR(__xludf.DUMMYFUNCTION("""COMPUTED_VALUE"""),194.0)</f>
        <v>194</v>
      </c>
      <c r="C72" s="6">
        <f>IFERROR(__xludf.DUMMYFUNCTION("""COMPUTED_VALUE"""),203.88)</f>
        <v>203.88</v>
      </c>
      <c r="D72" s="6">
        <f>IFERROR(__xludf.DUMMYFUNCTION("""COMPUTED_VALUE"""),184.76)</f>
        <v>184.76</v>
      </c>
      <c r="E72" s="6">
        <f>IFERROR(__xludf.DUMMYFUNCTION("""COMPUTED_VALUE"""),200.49)</f>
        <v>200.49</v>
      </c>
      <c r="F72" s="6">
        <f>IFERROR(__xludf.DUMMYFUNCTION("""COMPUTED_VALUE"""),3.9007146E7)</f>
        <v>39007146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IFERROR(__xludf.DUMMYFUNCTION("""COMPUTED_VALUE"""),200.49)</f>
        <v>200.49</v>
      </c>
      <c r="C73" s="6">
        <f>IFERROR(__xludf.DUMMYFUNCTION("""COMPUTED_VALUE"""),200.49)</f>
        <v>200.49</v>
      </c>
      <c r="D73" s="6">
        <f>IFERROR(__xludf.DUMMYFUNCTION("""COMPUTED_VALUE"""),178.8)</f>
        <v>178.8</v>
      </c>
      <c r="E73" s="6">
        <f>IFERROR(__xludf.DUMMYFUNCTION("""COMPUTED_VALUE"""),181.63)</f>
        <v>181.63</v>
      </c>
      <c r="F73" s="6">
        <f>IFERROR(__xludf.DUMMYFUNCTION("""COMPUTED_VALUE"""),9.3333544E7)</f>
        <v>93333544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IFERROR(__xludf.DUMMYFUNCTION("""COMPUTED_VALUE"""),180.78)</f>
        <v>180.78</v>
      </c>
      <c r="C74" s="6">
        <f>IFERROR(__xludf.DUMMYFUNCTION("""COMPUTED_VALUE"""),202.5)</f>
        <v>202.5</v>
      </c>
      <c r="D74" s="6">
        <f>IFERROR(__xludf.DUMMYFUNCTION("""COMPUTED_VALUE"""),175.8)</f>
        <v>175.8</v>
      </c>
      <c r="E74" s="6">
        <f>IFERROR(__xludf.DUMMYFUNCTION("""COMPUTED_VALUE"""),201.01)</f>
        <v>201.01</v>
      </c>
      <c r="F74" s="6">
        <f>IFERROR(__xludf.DUMMYFUNCTION("""COMPUTED_VALUE"""),4.7395546E7)</f>
        <v>47395546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IFERROR(__xludf.DUMMYFUNCTION("""COMPUTED_VALUE"""),197.2)</f>
        <v>197.2</v>
      </c>
      <c r="C75" s="6">
        <f>IFERROR(__xludf.DUMMYFUNCTION("""COMPUTED_VALUE"""),198.01)</f>
        <v>198.01</v>
      </c>
      <c r="D75" s="6">
        <f>IFERROR(__xludf.DUMMYFUNCTION("""COMPUTED_VALUE"""),174.5)</f>
        <v>174.5</v>
      </c>
      <c r="E75" s="6">
        <f>IFERROR(__xludf.DUMMYFUNCTION("""COMPUTED_VALUE"""),177.6)</f>
        <v>177.6</v>
      </c>
      <c r="F75" s="6">
        <f>IFERROR(__xludf.DUMMYFUNCTION("""COMPUTED_VALUE"""),5.2855098E7)</f>
        <v>52855098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IFERROR(__xludf.DUMMYFUNCTION("""COMPUTED_VALUE"""),178.24)</f>
        <v>178.24</v>
      </c>
      <c r="C76" s="6">
        <f>IFERROR(__xludf.DUMMYFUNCTION("""COMPUTED_VALUE"""),196.96)</f>
        <v>196.96</v>
      </c>
      <c r="D76" s="6">
        <f>IFERROR(__xludf.DUMMYFUNCTION("""COMPUTED_VALUE"""),173.51)</f>
        <v>173.51</v>
      </c>
      <c r="E76" s="6">
        <f>IFERROR(__xludf.DUMMYFUNCTION("""COMPUTED_VALUE"""),195.17)</f>
        <v>195.17</v>
      </c>
      <c r="F76" s="6">
        <f>IFERROR(__xludf.DUMMYFUNCTION("""COMPUTED_VALUE"""),4.9343765E7)</f>
        <v>49343765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IFERROR(__xludf.DUMMYFUNCTION("""COMPUTED_VALUE"""),195.17)</f>
        <v>195.17</v>
      </c>
      <c r="C77" s="6">
        <f>IFERROR(__xludf.DUMMYFUNCTION("""COMPUTED_VALUE"""),196.78)</f>
        <v>196.78</v>
      </c>
      <c r="D77" s="6">
        <f>IFERROR(__xludf.DUMMYFUNCTION("""COMPUTED_VALUE"""),184.46)</f>
        <v>184.46</v>
      </c>
      <c r="E77" s="6">
        <f>IFERROR(__xludf.DUMMYFUNCTION("""COMPUTED_VALUE"""),187.87)</f>
        <v>187.87</v>
      </c>
      <c r="F77" s="6">
        <f>IFERROR(__xludf.DUMMYFUNCTION("""COMPUTED_VALUE"""),2.7620633E7)</f>
        <v>27620633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IFERROR(__xludf.DUMMYFUNCTION("""COMPUTED_VALUE"""),186.8)</f>
        <v>186.8</v>
      </c>
      <c r="C78" s="6">
        <f>IFERROR(__xludf.DUMMYFUNCTION("""COMPUTED_VALUE"""),192.39)</f>
        <v>192.39</v>
      </c>
      <c r="D78" s="6">
        <f>IFERROR(__xludf.DUMMYFUNCTION("""COMPUTED_VALUE"""),182.12)</f>
        <v>182.12</v>
      </c>
      <c r="E78" s="6">
        <f>IFERROR(__xludf.DUMMYFUNCTION("""COMPUTED_VALUE"""),185.52)</f>
        <v>185.52</v>
      </c>
      <c r="F78" s="6">
        <f>IFERROR(__xludf.DUMMYFUNCTION("""COMPUTED_VALUE"""),7.7098234E7)</f>
        <v>77098234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IFERROR(__xludf.DUMMYFUNCTION("""COMPUTED_VALUE"""),187.2)</f>
        <v>187.2</v>
      </c>
      <c r="C79" s="6">
        <f>IFERROR(__xludf.DUMMYFUNCTION("""COMPUTED_VALUE"""),189.08)</f>
        <v>189.08</v>
      </c>
      <c r="D79" s="6">
        <f>IFERROR(__xludf.DUMMYFUNCTION("""COMPUTED_VALUE"""),174.87)</f>
        <v>174.87</v>
      </c>
      <c r="E79" s="6">
        <f>IFERROR(__xludf.DUMMYFUNCTION("""COMPUTED_VALUE"""),175.53)</f>
        <v>175.53</v>
      </c>
      <c r="F79" s="6">
        <f>IFERROR(__xludf.DUMMYFUNCTION("""COMPUTED_VALUE"""),5.406435E7)</f>
        <v>54064350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IFERROR(__xludf.DUMMYFUNCTION("""COMPUTED_VALUE"""),175.0)</f>
        <v>175</v>
      </c>
      <c r="C80" s="6">
        <f>IFERROR(__xludf.DUMMYFUNCTION("""COMPUTED_VALUE"""),178.68)</f>
        <v>178.68</v>
      </c>
      <c r="D80" s="6">
        <f>IFERROR(__xludf.DUMMYFUNCTION("""COMPUTED_VALUE"""),156.5)</f>
        <v>156.5</v>
      </c>
      <c r="E80" s="6">
        <f>IFERROR(__xludf.DUMMYFUNCTION("""COMPUTED_VALUE"""),157.7)</f>
        <v>157.7</v>
      </c>
      <c r="F80" s="6">
        <f>IFERROR(__xludf.DUMMYFUNCTION("""COMPUTED_VALUE"""),5.3870059E7)</f>
        <v>53870059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IFERROR(__xludf.DUMMYFUNCTION("""COMPUTED_VALUE"""),143.0)</f>
        <v>143</v>
      </c>
      <c r="C81" s="6">
        <f>IFERROR(__xludf.DUMMYFUNCTION("""COMPUTED_VALUE"""),150.86)</f>
        <v>150.86</v>
      </c>
      <c r="D81" s="6">
        <f>IFERROR(__xludf.DUMMYFUNCTION("""COMPUTED_VALUE"""),137.75)</f>
        <v>137.75</v>
      </c>
      <c r="E81" s="6">
        <f>IFERROR(__xludf.DUMMYFUNCTION("""COMPUTED_VALUE"""),143.22)</f>
        <v>143.22</v>
      </c>
      <c r="F81" s="6">
        <f>IFERROR(__xludf.DUMMYFUNCTION("""COMPUTED_VALUE"""),9.3545761E7)</f>
        <v>93545761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IFERROR(__xludf.DUMMYFUNCTION("""COMPUTED_VALUE"""),144.71)</f>
        <v>144.71</v>
      </c>
      <c r="C82" s="6">
        <f>IFERROR(__xludf.DUMMYFUNCTION("""COMPUTED_VALUE"""),154.4)</f>
        <v>154.4</v>
      </c>
      <c r="D82" s="6">
        <f>IFERROR(__xludf.DUMMYFUNCTION("""COMPUTED_VALUE"""),144.71)</f>
        <v>144.71</v>
      </c>
      <c r="E82" s="6">
        <f>IFERROR(__xludf.DUMMYFUNCTION("""COMPUTED_VALUE"""),152.89)</f>
        <v>152.89</v>
      </c>
      <c r="F82" s="6">
        <f>IFERROR(__xludf.DUMMYFUNCTION("""COMPUTED_VALUE"""),4.8238367E7)</f>
        <v>48238367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IFERROR(__xludf.DUMMYFUNCTION("""COMPUTED_VALUE"""),155.25)</f>
        <v>155.25</v>
      </c>
      <c r="C83" s="6">
        <f>IFERROR(__xludf.DUMMYFUNCTION("""COMPUTED_VALUE"""),164.4)</f>
        <v>164.4</v>
      </c>
      <c r="D83" s="6">
        <f>IFERROR(__xludf.DUMMYFUNCTION("""COMPUTED_VALUE"""),153.73)</f>
        <v>153.73</v>
      </c>
      <c r="E83" s="6">
        <f>IFERROR(__xludf.DUMMYFUNCTION("""COMPUTED_VALUE"""),156.5)</f>
        <v>156.5</v>
      </c>
      <c r="F83" s="6">
        <f>IFERROR(__xludf.DUMMYFUNCTION("""COMPUTED_VALUE"""),8.6527079E7)</f>
        <v>86527079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IFERROR(__xludf.DUMMYFUNCTION("""COMPUTED_VALUE"""),157.0)</f>
        <v>157</v>
      </c>
      <c r="C84" s="6">
        <f>IFERROR(__xludf.DUMMYFUNCTION("""COMPUTED_VALUE"""),162.4)</f>
        <v>162.4</v>
      </c>
      <c r="D84" s="6">
        <f>IFERROR(__xludf.DUMMYFUNCTION("""COMPUTED_VALUE"""),155.45)</f>
        <v>155.45</v>
      </c>
      <c r="E84" s="6">
        <f>IFERROR(__xludf.DUMMYFUNCTION("""COMPUTED_VALUE"""),159.77)</f>
        <v>159.77</v>
      </c>
      <c r="F84" s="6">
        <f>IFERROR(__xludf.DUMMYFUNCTION("""COMPUTED_VALUE"""),3.7185399E7)</f>
        <v>37185399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IFERROR(__xludf.DUMMYFUNCTION("""COMPUTED_VALUE"""),160.51)</f>
        <v>160.51</v>
      </c>
      <c r="C85" s="6">
        <f>IFERROR(__xludf.DUMMYFUNCTION("""COMPUTED_VALUE"""),161.8)</f>
        <v>161.8</v>
      </c>
      <c r="D85" s="6">
        <f>IFERROR(__xludf.DUMMYFUNCTION("""COMPUTED_VALUE"""),149.0)</f>
        <v>149</v>
      </c>
      <c r="E85" s="6">
        <f>IFERROR(__xludf.DUMMYFUNCTION("""COMPUTED_VALUE"""),156.84)</f>
        <v>156.84</v>
      </c>
      <c r="F85" s="6">
        <f>IFERROR(__xludf.DUMMYFUNCTION("""COMPUTED_VALUE"""),4.2926376E7)</f>
        <v>42926376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IFERROR(__xludf.DUMMYFUNCTION("""COMPUTED_VALUE"""),162.39)</f>
        <v>162.39</v>
      </c>
      <c r="C86" s="6">
        <f>IFERROR(__xludf.DUMMYFUNCTION("""COMPUTED_VALUE"""),180.8)</f>
        <v>180.8</v>
      </c>
      <c r="D86" s="6">
        <f>IFERROR(__xludf.DUMMYFUNCTION("""COMPUTED_VALUE"""),161.36)</f>
        <v>161.36</v>
      </c>
      <c r="E86" s="6">
        <f>IFERROR(__xludf.DUMMYFUNCTION("""COMPUTED_VALUE"""),177.19)</f>
        <v>177.19</v>
      </c>
      <c r="F86" s="6">
        <f>IFERROR(__xludf.DUMMYFUNCTION("""COMPUTED_VALUE"""),8.3142348E7)</f>
        <v>83142348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IFERROR(__xludf.DUMMYFUNCTION("""COMPUTED_VALUE"""),177.0)</f>
        <v>177</v>
      </c>
      <c r="C87" s="6">
        <f>IFERROR(__xludf.DUMMYFUNCTION("""COMPUTED_VALUE"""),192.0)</f>
        <v>192</v>
      </c>
      <c r="D87" s="6">
        <f>IFERROR(__xludf.DUMMYFUNCTION("""COMPUTED_VALUE"""),176.62)</f>
        <v>176.62</v>
      </c>
      <c r="E87" s="6">
        <f>IFERROR(__xludf.DUMMYFUNCTION("""COMPUTED_VALUE"""),183.84)</f>
        <v>183.84</v>
      </c>
      <c r="F87" s="6">
        <f>IFERROR(__xludf.DUMMYFUNCTION("""COMPUTED_VALUE"""),1.034752E8)</f>
        <v>103475200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IFERROR(__xludf.DUMMYFUNCTION("""COMPUTED_VALUE"""),185.0)</f>
        <v>185</v>
      </c>
      <c r="C88" s="6">
        <f>IFERROR(__xludf.DUMMYFUNCTION("""COMPUTED_VALUE"""),185.68)</f>
        <v>185.68</v>
      </c>
      <c r="D88" s="6">
        <f>IFERROR(__xludf.DUMMYFUNCTION("""COMPUTED_VALUE"""),179.82)</f>
        <v>179.82</v>
      </c>
      <c r="E88" s="6">
        <f>IFERROR(__xludf.DUMMYFUNCTION("""COMPUTED_VALUE"""),180.35)</f>
        <v>180.35</v>
      </c>
      <c r="F88" s="6">
        <f>IFERROR(__xludf.DUMMYFUNCTION("""COMPUTED_VALUE"""),3.6608047E7)</f>
        <v>36608047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IFERROR(__xludf.DUMMYFUNCTION("""COMPUTED_VALUE"""),179.0)</f>
        <v>179</v>
      </c>
      <c r="C89" s="6">
        <f>IFERROR(__xludf.DUMMYFUNCTION("""COMPUTED_VALUE"""),190.9)</f>
        <v>190.9</v>
      </c>
      <c r="D89" s="6">
        <f>IFERROR(__xludf.DUMMYFUNCTION("""COMPUTED_VALUE"""),176.34)</f>
        <v>176.34</v>
      </c>
      <c r="E89" s="6">
        <f>IFERROR(__xludf.DUMMYFUNCTION("""COMPUTED_VALUE"""),188.47)</f>
        <v>188.47</v>
      </c>
      <c r="F89" s="6">
        <f>IFERROR(__xludf.DUMMYFUNCTION("""COMPUTED_VALUE"""),5.2993157E7)</f>
        <v>52993157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IFERROR(__xludf.DUMMYFUNCTION("""COMPUTED_VALUE"""),190.1)</f>
        <v>190.1</v>
      </c>
      <c r="C90" s="6">
        <f>IFERROR(__xludf.DUMMYFUNCTION("""COMPUTED_VALUE"""),194.37)</f>
        <v>194.37</v>
      </c>
      <c r="D90" s="6">
        <f>IFERROR(__xludf.DUMMYFUNCTION("""COMPUTED_VALUE"""),182.52)</f>
        <v>182.52</v>
      </c>
      <c r="E90" s="6">
        <f>IFERROR(__xludf.DUMMYFUNCTION("""COMPUTED_VALUE"""),185.68)</f>
        <v>185.68</v>
      </c>
      <c r="F90" s="6">
        <f>IFERROR(__xludf.DUMMYFUNCTION("""COMPUTED_VALUE"""),5.4246866E7)</f>
        <v>54246866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IFERROR(__xludf.DUMMYFUNCTION("""COMPUTED_VALUE"""),186.0)</f>
        <v>186</v>
      </c>
      <c r="C91" s="6">
        <f>IFERROR(__xludf.DUMMYFUNCTION("""COMPUTED_VALUE"""),188.55)</f>
        <v>188.55</v>
      </c>
      <c r="D91" s="6">
        <f>IFERROR(__xludf.DUMMYFUNCTION("""COMPUTED_VALUE"""),180.97)</f>
        <v>180.97</v>
      </c>
      <c r="E91" s="6">
        <f>IFERROR(__xludf.DUMMYFUNCTION("""COMPUTED_VALUE"""),183.99)</f>
        <v>183.99</v>
      </c>
      <c r="F91" s="6">
        <f>IFERROR(__xludf.DUMMYFUNCTION("""COMPUTED_VALUE"""),3.0357647E7)</f>
        <v>30357647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IFERROR(__xludf.DUMMYFUNCTION("""COMPUTED_VALUE"""),181.31)</f>
        <v>181.31</v>
      </c>
      <c r="C92" s="6">
        <f>IFERROR(__xludf.DUMMYFUNCTION("""COMPUTED_VALUE"""),197.6)</f>
        <v>197.6</v>
      </c>
      <c r="D92" s="6">
        <f>IFERROR(__xludf.DUMMYFUNCTION("""COMPUTED_VALUE"""),181.31)</f>
        <v>181.31</v>
      </c>
      <c r="E92" s="6">
        <f>IFERROR(__xludf.DUMMYFUNCTION("""COMPUTED_VALUE"""),190.83)</f>
        <v>190.83</v>
      </c>
      <c r="F92" s="6">
        <f>IFERROR(__xludf.DUMMYFUNCTION("""COMPUTED_VALUE"""),5.2917549E7)</f>
        <v>52917549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IFERROR(__xludf.DUMMYFUNCTION("""COMPUTED_VALUE"""),191.72)</f>
        <v>191.72</v>
      </c>
      <c r="C93" s="6">
        <f>IFERROR(__xludf.DUMMYFUNCTION("""COMPUTED_VALUE"""),195.9)</f>
        <v>195.9</v>
      </c>
      <c r="D93" s="6">
        <f>IFERROR(__xludf.DUMMYFUNCTION("""COMPUTED_VALUE"""),188.15)</f>
        <v>188.15</v>
      </c>
      <c r="E93" s="6">
        <f>IFERROR(__xludf.DUMMYFUNCTION("""COMPUTED_VALUE"""),192.09)</f>
        <v>192.09</v>
      </c>
      <c r="F93" s="6">
        <f>IFERROR(__xludf.DUMMYFUNCTION("""COMPUTED_VALUE"""),4.7585591E7)</f>
        <v>47585591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IFERROR(__xludf.DUMMYFUNCTION("""COMPUTED_VALUE"""),192.0)</f>
        <v>192</v>
      </c>
      <c r="C94" s="6">
        <f>IFERROR(__xludf.DUMMYFUNCTION("""COMPUTED_VALUE"""),192.85)</f>
        <v>192.85</v>
      </c>
      <c r="D94" s="6">
        <f>IFERROR(__xludf.DUMMYFUNCTION("""COMPUTED_VALUE"""),185.24)</f>
        <v>185.24</v>
      </c>
      <c r="E94" s="6">
        <f>IFERROR(__xludf.DUMMYFUNCTION("""COMPUTED_VALUE"""),189.5)</f>
        <v>189.5</v>
      </c>
      <c r="F94" s="6">
        <f>IFERROR(__xludf.DUMMYFUNCTION("""COMPUTED_VALUE"""),2.9100574E7)</f>
        <v>29100574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IFERROR(__xludf.DUMMYFUNCTION("""COMPUTED_VALUE"""),189.0)</f>
        <v>189</v>
      </c>
      <c r="C95" s="6">
        <f>IFERROR(__xludf.DUMMYFUNCTION("""COMPUTED_VALUE"""),191.83)</f>
        <v>191.83</v>
      </c>
      <c r="D95" s="6">
        <f>IFERROR(__xludf.DUMMYFUNCTION("""COMPUTED_VALUE"""),186.77)</f>
        <v>186.77</v>
      </c>
      <c r="E95" s="6">
        <f>IFERROR(__xludf.DUMMYFUNCTION("""COMPUTED_VALUE"""),188.02)</f>
        <v>188.02</v>
      </c>
      <c r="F95" s="6">
        <f>IFERROR(__xludf.DUMMYFUNCTION("""COMPUTED_VALUE"""),2.396871E7)</f>
        <v>23968710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IFERROR(__xludf.DUMMYFUNCTION("""COMPUTED_VALUE"""),191.05)</f>
        <v>191.05</v>
      </c>
      <c r="C96" s="6">
        <f>IFERROR(__xludf.DUMMYFUNCTION("""COMPUTED_VALUE"""),200.0)</f>
        <v>200</v>
      </c>
      <c r="D96" s="6">
        <f>IFERROR(__xludf.DUMMYFUNCTION("""COMPUTED_VALUE"""),190.43)</f>
        <v>190.43</v>
      </c>
      <c r="E96" s="6">
        <f>IFERROR(__xludf.DUMMYFUNCTION("""COMPUTED_VALUE"""),193.66)</f>
        <v>193.66</v>
      </c>
      <c r="F96" s="6">
        <f>IFERROR(__xludf.DUMMYFUNCTION("""COMPUTED_VALUE"""),5.1955285E7)</f>
        <v>51955285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IFERROR(__xludf.DUMMYFUNCTION("""COMPUTED_VALUE"""),193.6)</f>
        <v>193.6</v>
      </c>
      <c r="C97" s="6">
        <f>IFERROR(__xludf.DUMMYFUNCTION("""COMPUTED_VALUE"""),193.64)</f>
        <v>193.64</v>
      </c>
      <c r="D97" s="6">
        <f>IFERROR(__xludf.DUMMYFUNCTION("""COMPUTED_VALUE"""),180.32)</f>
        <v>180.32</v>
      </c>
      <c r="E97" s="6">
        <f>IFERROR(__xludf.DUMMYFUNCTION("""COMPUTED_VALUE"""),180.7)</f>
        <v>180.7</v>
      </c>
      <c r="F97" s="6">
        <f>IFERROR(__xludf.DUMMYFUNCTION("""COMPUTED_VALUE"""),2.7933027E7)</f>
        <v>27933027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IFERROR(__xludf.DUMMYFUNCTION("""COMPUTED_VALUE"""),180.7)</f>
        <v>180.7</v>
      </c>
      <c r="C98" s="6">
        <f>IFERROR(__xludf.DUMMYFUNCTION("""COMPUTED_VALUE"""),191.74)</f>
        <v>191.74</v>
      </c>
      <c r="D98" s="6">
        <f>IFERROR(__xludf.DUMMYFUNCTION("""COMPUTED_VALUE"""),179.93)</f>
        <v>179.93</v>
      </c>
      <c r="E98" s="6">
        <f>IFERROR(__xludf.DUMMYFUNCTION("""COMPUTED_VALUE"""),187.41)</f>
        <v>187.41</v>
      </c>
      <c r="F98" s="6">
        <f>IFERROR(__xludf.DUMMYFUNCTION("""COMPUTED_VALUE"""),3.1283523E7)</f>
        <v>31283523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IFERROR(__xludf.DUMMYFUNCTION("""COMPUTED_VALUE"""),188.4)</f>
        <v>188.4</v>
      </c>
      <c r="C99" s="6">
        <f>IFERROR(__xludf.DUMMYFUNCTION("""COMPUTED_VALUE"""),191.75)</f>
        <v>191.75</v>
      </c>
      <c r="D99" s="6">
        <f>IFERROR(__xludf.DUMMYFUNCTION("""COMPUTED_VALUE"""),185.73)</f>
        <v>185.73</v>
      </c>
      <c r="E99" s="6">
        <f>IFERROR(__xludf.DUMMYFUNCTION("""COMPUTED_VALUE"""),187.58)</f>
        <v>187.58</v>
      </c>
      <c r="F99" s="6">
        <f>IFERROR(__xludf.DUMMYFUNCTION("""COMPUTED_VALUE"""),2.4778488E7)</f>
        <v>24778488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IFERROR(__xludf.DUMMYFUNCTION("""COMPUTED_VALUE"""),188.61)</f>
        <v>188.61</v>
      </c>
      <c r="C100" s="6">
        <f>IFERROR(__xludf.DUMMYFUNCTION("""COMPUTED_VALUE"""),193.57)</f>
        <v>193.57</v>
      </c>
      <c r="D100" s="6">
        <f>IFERROR(__xludf.DUMMYFUNCTION("""COMPUTED_VALUE"""),186.97)</f>
        <v>186.97</v>
      </c>
      <c r="E100" s="6">
        <f>IFERROR(__xludf.DUMMYFUNCTION("""COMPUTED_VALUE"""),188.87)</f>
        <v>188.87</v>
      </c>
      <c r="F100" s="6">
        <f>IFERROR(__xludf.DUMMYFUNCTION("""COMPUTED_VALUE"""),1.9830289E7)</f>
        <v>19830289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IFERROR(__xludf.DUMMYFUNCTION("""COMPUTED_VALUE"""),189.9)</f>
        <v>189.9</v>
      </c>
      <c r="C101" s="6">
        <f>IFERROR(__xludf.DUMMYFUNCTION("""COMPUTED_VALUE"""),193.0)</f>
        <v>193</v>
      </c>
      <c r="D101" s="6">
        <f>IFERROR(__xludf.DUMMYFUNCTION("""COMPUTED_VALUE"""),185.1)</f>
        <v>185.1</v>
      </c>
      <c r="E101" s="6">
        <f>IFERROR(__xludf.DUMMYFUNCTION("""COMPUTED_VALUE"""),186.02)</f>
        <v>186.02</v>
      </c>
      <c r="F101" s="6">
        <f>IFERROR(__xludf.DUMMYFUNCTION("""COMPUTED_VALUE"""),6.4944183E7)</f>
        <v>64944183</v>
      </c>
    </row>
  </sheetData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IFERROR(__xludf.DUMMYFUNCTION("GOOGLEFINANCE(""NSE:NAUKRI"",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IFERROR(__xludf.DUMMYFUNCTION("""COMPUTED_VALUE"""),841.99)</f>
        <v>841.99</v>
      </c>
      <c r="C2" s="6">
        <f>IFERROR(__xludf.DUMMYFUNCTION("""COMPUTED_VALUE"""),882.98)</f>
        <v>882.98</v>
      </c>
      <c r="D2" s="6">
        <f>IFERROR(__xludf.DUMMYFUNCTION("""COMPUTED_VALUE"""),830.71)</f>
        <v>830.71</v>
      </c>
      <c r="E2" s="6">
        <f>IFERROR(__xludf.DUMMYFUNCTION("""COMPUTED_VALUE"""),874.47)</f>
        <v>874.47</v>
      </c>
      <c r="F2" s="6">
        <f>IFERROR(__xludf.DUMMYFUNCTION("""COMPUTED_VALUE"""),1594550.0)</f>
        <v>1594550</v>
      </c>
    </row>
    <row r="3">
      <c r="A3" s="7">
        <f>IFERROR(__xludf.DUMMYFUNCTION("""COMPUTED_VALUE"""),45177.64583333333)</f>
        <v>45177.64583</v>
      </c>
      <c r="B3" s="6">
        <f>IFERROR(__xludf.DUMMYFUNCTION("""COMPUTED_VALUE"""),879.03)</f>
        <v>879.03</v>
      </c>
      <c r="C3" s="6">
        <f>IFERROR(__xludf.DUMMYFUNCTION("""COMPUTED_VALUE"""),904.0)</f>
        <v>904</v>
      </c>
      <c r="D3" s="6">
        <f>IFERROR(__xludf.DUMMYFUNCTION("""COMPUTED_VALUE"""),865.92)</f>
        <v>865.92</v>
      </c>
      <c r="E3" s="6">
        <f>IFERROR(__xludf.DUMMYFUNCTION("""COMPUTED_VALUE"""),895.55)</f>
        <v>895.55</v>
      </c>
      <c r="F3" s="6">
        <f>IFERROR(__xludf.DUMMYFUNCTION("""COMPUTED_VALUE"""),1087401.0)</f>
        <v>1087401</v>
      </c>
    </row>
    <row r="4">
      <c r="A4" s="7">
        <f>IFERROR(__xludf.DUMMYFUNCTION("""COMPUTED_VALUE"""),45184.64583333333)</f>
        <v>45184.64583</v>
      </c>
      <c r="B4" s="6">
        <f>IFERROR(__xludf.DUMMYFUNCTION("""COMPUTED_VALUE"""),893.4)</f>
        <v>893.4</v>
      </c>
      <c r="C4" s="6">
        <f>IFERROR(__xludf.DUMMYFUNCTION("""COMPUTED_VALUE"""),915.76)</f>
        <v>915.76</v>
      </c>
      <c r="D4" s="6">
        <f>IFERROR(__xludf.DUMMYFUNCTION("""COMPUTED_VALUE"""),867.0)</f>
        <v>867</v>
      </c>
      <c r="E4" s="6">
        <f>IFERROR(__xludf.DUMMYFUNCTION("""COMPUTED_VALUE"""),896.92)</f>
        <v>896.92</v>
      </c>
      <c r="F4" s="6">
        <f>IFERROR(__xludf.DUMMYFUNCTION("""COMPUTED_VALUE"""),1851144.0)</f>
        <v>1851144</v>
      </c>
    </row>
    <row r="5">
      <c r="A5" s="7">
        <f>IFERROR(__xludf.DUMMYFUNCTION("""COMPUTED_VALUE"""),45191.64583333333)</f>
        <v>45191.64583</v>
      </c>
      <c r="B5" s="6">
        <f>IFERROR(__xludf.DUMMYFUNCTION("""COMPUTED_VALUE"""),896.81)</f>
        <v>896.81</v>
      </c>
      <c r="C5" s="6">
        <f>IFERROR(__xludf.DUMMYFUNCTION("""COMPUTED_VALUE"""),907.8)</f>
        <v>907.8</v>
      </c>
      <c r="D5" s="6">
        <f>IFERROR(__xludf.DUMMYFUNCTION("""COMPUTED_VALUE"""),854.4)</f>
        <v>854.4</v>
      </c>
      <c r="E5" s="6">
        <f>IFERROR(__xludf.DUMMYFUNCTION("""COMPUTED_VALUE"""),860.07)</f>
        <v>860.07</v>
      </c>
      <c r="F5" s="6">
        <f>IFERROR(__xludf.DUMMYFUNCTION("""COMPUTED_VALUE"""),1186859.0)</f>
        <v>1186859</v>
      </c>
    </row>
    <row r="6">
      <c r="A6" s="7">
        <f>IFERROR(__xludf.DUMMYFUNCTION("""COMPUTED_VALUE"""),45198.64583333333)</f>
        <v>45198.64583</v>
      </c>
      <c r="B6" s="6">
        <f>IFERROR(__xludf.DUMMYFUNCTION("""COMPUTED_VALUE"""),860.07)</f>
        <v>860.07</v>
      </c>
      <c r="C6" s="6">
        <f>IFERROR(__xludf.DUMMYFUNCTION("""COMPUTED_VALUE"""),860.68)</f>
        <v>860.68</v>
      </c>
      <c r="D6" s="6">
        <f>IFERROR(__xludf.DUMMYFUNCTION("""COMPUTED_VALUE"""),826.8)</f>
        <v>826.8</v>
      </c>
      <c r="E6" s="6">
        <f>IFERROR(__xludf.DUMMYFUNCTION("""COMPUTED_VALUE"""),833.06)</f>
        <v>833.06</v>
      </c>
      <c r="F6" s="6">
        <f>IFERROR(__xludf.DUMMYFUNCTION("""COMPUTED_VALUE"""),1878514.0)</f>
        <v>1878514</v>
      </c>
    </row>
    <row r="7">
      <c r="A7" s="7">
        <f>IFERROR(__xludf.DUMMYFUNCTION("""COMPUTED_VALUE"""),45205.64583333333)</f>
        <v>45205.64583</v>
      </c>
      <c r="B7" s="6">
        <f>IFERROR(__xludf.DUMMYFUNCTION("""COMPUTED_VALUE"""),828.41)</f>
        <v>828.41</v>
      </c>
      <c r="C7" s="6">
        <f>IFERROR(__xludf.DUMMYFUNCTION("""COMPUTED_VALUE"""),846.0)</f>
        <v>846</v>
      </c>
      <c r="D7" s="6">
        <f>IFERROR(__xludf.DUMMYFUNCTION("""COMPUTED_VALUE"""),801.0)</f>
        <v>801</v>
      </c>
      <c r="E7" s="6">
        <f>IFERROR(__xludf.DUMMYFUNCTION("""COMPUTED_VALUE"""),842.58)</f>
        <v>842.58</v>
      </c>
      <c r="F7" s="6">
        <f>IFERROR(__xludf.DUMMYFUNCTION("""COMPUTED_VALUE"""),1791700.0)</f>
        <v>1791700</v>
      </c>
    </row>
    <row r="8">
      <c r="A8" s="7">
        <f>IFERROR(__xludf.DUMMYFUNCTION("""COMPUTED_VALUE"""),45212.64583333333)</f>
        <v>45212.64583</v>
      </c>
      <c r="B8" s="6">
        <f>IFERROR(__xludf.DUMMYFUNCTION("""COMPUTED_VALUE"""),830.2)</f>
        <v>830.2</v>
      </c>
      <c r="C8" s="6">
        <f>IFERROR(__xludf.DUMMYFUNCTION("""COMPUTED_VALUE"""),861.8)</f>
        <v>861.8</v>
      </c>
      <c r="D8" s="6">
        <f>IFERROR(__xludf.DUMMYFUNCTION("""COMPUTED_VALUE"""),821.0)</f>
        <v>821</v>
      </c>
      <c r="E8" s="6">
        <f>IFERROR(__xludf.DUMMYFUNCTION("""COMPUTED_VALUE"""),827.46)</f>
        <v>827.46</v>
      </c>
      <c r="F8" s="6">
        <f>IFERROR(__xludf.DUMMYFUNCTION("""COMPUTED_VALUE"""),1158027.0)</f>
        <v>1158027</v>
      </c>
    </row>
    <row r="9">
      <c r="A9" s="7">
        <f>IFERROR(__xludf.DUMMYFUNCTION("""COMPUTED_VALUE"""),45219.64583333333)</f>
        <v>45219.64583</v>
      </c>
      <c r="B9" s="6">
        <f>IFERROR(__xludf.DUMMYFUNCTION("""COMPUTED_VALUE"""),824.66)</f>
        <v>824.66</v>
      </c>
      <c r="C9" s="6">
        <f>IFERROR(__xludf.DUMMYFUNCTION("""COMPUTED_VALUE"""),848.0)</f>
        <v>848</v>
      </c>
      <c r="D9" s="6">
        <f>IFERROR(__xludf.DUMMYFUNCTION("""COMPUTED_VALUE"""),820.63)</f>
        <v>820.63</v>
      </c>
      <c r="E9" s="6">
        <f>IFERROR(__xludf.DUMMYFUNCTION("""COMPUTED_VALUE"""),840.6)</f>
        <v>840.6</v>
      </c>
      <c r="F9" s="6">
        <f>IFERROR(__xludf.DUMMYFUNCTION("""COMPUTED_VALUE"""),1315488.0)</f>
        <v>1315488</v>
      </c>
    </row>
    <row r="10">
      <c r="A10" s="7">
        <f>IFERROR(__xludf.DUMMYFUNCTION("""COMPUTED_VALUE"""),45226.64583333333)</f>
        <v>45226.64583</v>
      </c>
      <c r="B10" s="6">
        <f>IFERROR(__xludf.DUMMYFUNCTION("""COMPUTED_VALUE"""),841.0)</f>
        <v>841</v>
      </c>
      <c r="C10" s="6">
        <f>IFERROR(__xludf.DUMMYFUNCTION("""COMPUTED_VALUE"""),842.97)</f>
        <v>842.97</v>
      </c>
      <c r="D10" s="6">
        <f>IFERROR(__xludf.DUMMYFUNCTION("""COMPUTED_VALUE"""),794.41)</f>
        <v>794.41</v>
      </c>
      <c r="E10" s="6">
        <f>IFERROR(__xludf.DUMMYFUNCTION("""COMPUTED_VALUE"""),816.3)</f>
        <v>816.3</v>
      </c>
      <c r="F10" s="6">
        <f>IFERROR(__xludf.DUMMYFUNCTION("""COMPUTED_VALUE"""),710356.0)</f>
        <v>710356</v>
      </c>
    </row>
    <row r="11">
      <c r="A11" s="7">
        <f>IFERROR(__xludf.DUMMYFUNCTION("""COMPUTED_VALUE"""),45233.64583333333)</f>
        <v>45233.64583</v>
      </c>
      <c r="B11" s="6">
        <f>IFERROR(__xludf.DUMMYFUNCTION("""COMPUTED_VALUE"""),819.4)</f>
        <v>819.4</v>
      </c>
      <c r="C11" s="6">
        <f>IFERROR(__xludf.DUMMYFUNCTION("""COMPUTED_VALUE"""),854.0)</f>
        <v>854</v>
      </c>
      <c r="D11" s="6">
        <f>IFERROR(__xludf.DUMMYFUNCTION("""COMPUTED_VALUE"""),811.47)</f>
        <v>811.47</v>
      </c>
      <c r="E11" s="6">
        <f>IFERROR(__xludf.DUMMYFUNCTION("""COMPUTED_VALUE"""),850.07)</f>
        <v>850.07</v>
      </c>
      <c r="F11" s="6">
        <f>IFERROR(__xludf.DUMMYFUNCTION("""COMPUTED_VALUE"""),1053204.0)</f>
        <v>1053204</v>
      </c>
    </row>
    <row r="12">
      <c r="A12" s="7">
        <f>IFERROR(__xludf.DUMMYFUNCTION("""COMPUTED_VALUE"""),45240.64583333333)</f>
        <v>45240.64583</v>
      </c>
      <c r="B12" s="6">
        <f>IFERROR(__xludf.DUMMYFUNCTION("""COMPUTED_VALUE"""),854.0)</f>
        <v>854</v>
      </c>
      <c r="C12" s="6">
        <f>IFERROR(__xludf.DUMMYFUNCTION("""COMPUTED_VALUE"""),920.57)</f>
        <v>920.57</v>
      </c>
      <c r="D12" s="6">
        <f>IFERROR(__xludf.DUMMYFUNCTION("""COMPUTED_VALUE"""),851.2)</f>
        <v>851.2</v>
      </c>
      <c r="E12" s="6">
        <f>IFERROR(__xludf.DUMMYFUNCTION("""COMPUTED_VALUE"""),902.16)</f>
        <v>902.16</v>
      </c>
      <c r="F12" s="6">
        <f>IFERROR(__xludf.DUMMYFUNCTION("""COMPUTED_VALUE"""),1878576.0)</f>
        <v>1878576</v>
      </c>
    </row>
    <row r="13">
      <c r="A13" s="7">
        <f>IFERROR(__xludf.DUMMYFUNCTION("""COMPUTED_VALUE"""),45247.64583333333)</f>
        <v>45247.64583</v>
      </c>
      <c r="B13" s="6">
        <f>IFERROR(__xludf.DUMMYFUNCTION("""COMPUTED_VALUE"""),908.8)</f>
        <v>908.8</v>
      </c>
      <c r="C13" s="6">
        <f>IFERROR(__xludf.DUMMYFUNCTION("""COMPUTED_VALUE"""),967.16)</f>
        <v>967.16</v>
      </c>
      <c r="D13" s="6">
        <f>IFERROR(__xludf.DUMMYFUNCTION("""COMPUTED_VALUE"""),894.51)</f>
        <v>894.51</v>
      </c>
      <c r="E13" s="6">
        <f>IFERROR(__xludf.DUMMYFUNCTION("""COMPUTED_VALUE"""),961.06)</f>
        <v>961.06</v>
      </c>
      <c r="F13" s="6">
        <f>IFERROR(__xludf.DUMMYFUNCTION("""COMPUTED_VALUE"""),1303029.0)</f>
        <v>1303029</v>
      </c>
    </row>
    <row r="14">
      <c r="A14" s="7">
        <f>IFERROR(__xludf.DUMMYFUNCTION("""COMPUTED_VALUE"""),45254.64583333333)</f>
        <v>45254.64583</v>
      </c>
      <c r="B14" s="6">
        <f>IFERROR(__xludf.DUMMYFUNCTION("""COMPUTED_VALUE"""),961.0)</f>
        <v>961</v>
      </c>
      <c r="C14" s="6">
        <f>IFERROR(__xludf.DUMMYFUNCTION("""COMPUTED_VALUE"""),967.85)</f>
        <v>967.85</v>
      </c>
      <c r="D14" s="6">
        <f>IFERROR(__xludf.DUMMYFUNCTION("""COMPUTED_VALUE"""),916.22)</f>
        <v>916.22</v>
      </c>
      <c r="E14" s="6">
        <f>IFERROR(__xludf.DUMMYFUNCTION("""COMPUTED_VALUE"""),919.38)</f>
        <v>919.38</v>
      </c>
      <c r="F14" s="6">
        <f>IFERROR(__xludf.DUMMYFUNCTION("""COMPUTED_VALUE"""),629272.0)</f>
        <v>629272</v>
      </c>
    </row>
    <row r="15">
      <c r="A15" s="7">
        <f>IFERROR(__xludf.DUMMYFUNCTION("""COMPUTED_VALUE"""),45261.64583333333)</f>
        <v>45261.64583</v>
      </c>
      <c r="B15" s="6">
        <f>IFERROR(__xludf.DUMMYFUNCTION("""COMPUTED_VALUE"""),919.0)</f>
        <v>919</v>
      </c>
      <c r="C15" s="6">
        <f>IFERROR(__xludf.DUMMYFUNCTION("""COMPUTED_VALUE"""),933.75)</f>
        <v>933.75</v>
      </c>
      <c r="D15" s="6">
        <f>IFERROR(__xludf.DUMMYFUNCTION("""COMPUTED_VALUE"""),904.1)</f>
        <v>904.1</v>
      </c>
      <c r="E15" s="6">
        <f>IFERROR(__xludf.DUMMYFUNCTION("""COMPUTED_VALUE"""),914.58)</f>
        <v>914.58</v>
      </c>
      <c r="F15" s="6">
        <f>IFERROR(__xludf.DUMMYFUNCTION("""COMPUTED_VALUE"""),987286.0)</f>
        <v>987286</v>
      </c>
    </row>
    <row r="16">
      <c r="A16" s="7">
        <f>IFERROR(__xludf.DUMMYFUNCTION("""COMPUTED_VALUE"""),45268.64583333333)</f>
        <v>45268.64583</v>
      </c>
      <c r="B16" s="6">
        <f>IFERROR(__xludf.DUMMYFUNCTION("""COMPUTED_VALUE"""),920.0)</f>
        <v>920</v>
      </c>
      <c r="C16" s="6">
        <f>IFERROR(__xludf.DUMMYFUNCTION("""COMPUTED_VALUE"""),969.8)</f>
        <v>969.8</v>
      </c>
      <c r="D16" s="6">
        <f>IFERROR(__xludf.DUMMYFUNCTION("""COMPUTED_VALUE"""),914.07)</f>
        <v>914.07</v>
      </c>
      <c r="E16" s="6">
        <f>IFERROR(__xludf.DUMMYFUNCTION("""COMPUTED_VALUE"""),949.13)</f>
        <v>949.13</v>
      </c>
      <c r="F16" s="6">
        <f>IFERROR(__xludf.DUMMYFUNCTION("""COMPUTED_VALUE"""),1328981.0)</f>
        <v>1328981</v>
      </c>
    </row>
    <row r="17">
      <c r="A17" s="7">
        <f>IFERROR(__xludf.DUMMYFUNCTION("""COMPUTED_VALUE"""),45275.64583333333)</f>
        <v>45275.64583</v>
      </c>
      <c r="B17" s="6">
        <f>IFERROR(__xludf.DUMMYFUNCTION("""COMPUTED_VALUE"""),952.13)</f>
        <v>952.13</v>
      </c>
      <c r="C17" s="6">
        <f>IFERROR(__xludf.DUMMYFUNCTION("""COMPUTED_VALUE"""),1047.0)</f>
        <v>1047</v>
      </c>
      <c r="D17" s="6">
        <f>IFERROR(__xludf.DUMMYFUNCTION("""COMPUTED_VALUE"""),941.0)</f>
        <v>941</v>
      </c>
      <c r="E17" s="6">
        <f>IFERROR(__xludf.DUMMYFUNCTION("""COMPUTED_VALUE"""),1044.17)</f>
        <v>1044.17</v>
      </c>
      <c r="F17" s="6">
        <f>IFERROR(__xludf.DUMMYFUNCTION("""COMPUTED_VALUE"""),2903871.0)</f>
        <v>2903871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IFERROR(__xludf.DUMMYFUNCTION("""COMPUTED_VALUE"""),1046.19)</f>
        <v>1046.19</v>
      </c>
      <c r="C18" s="6">
        <f>IFERROR(__xludf.DUMMYFUNCTION("""COMPUTED_VALUE"""),1063.81)</f>
        <v>1063.81</v>
      </c>
      <c r="D18" s="6">
        <f>IFERROR(__xludf.DUMMYFUNCTION("""COMPUTED_VALUE"""),976.82)</f>
        <v>976.82</v>
      </c>
      <c r="E18" s="6">
        <f>IFERROR(__xludf.DUMMYFUNCTION("""COMPUTED_VALUE"""),1001.3)</f>
        <v>1001.3</v>
      </c>
      <c r="F18" s="6">
        <f>IFERROR(__xludf.DUMMYFUNCTION("""COMPUTED_VALUE"""),1805258.0)</f>
        <v>1805258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IFERROR(__xludf.DUMMYFUNCTION("""COMPUTED_VALUE"""),1010.0)</f>
        <v>1010</v>
      </c>
      <c r="C19" s="6">
        <f>IFERROR(__xludf.DUMMYFUNCTION("""COMPUTED_VALUE"""),1038.12)</f>
        <v>1038.12</v>
      </c>
      <c r="D19" s="6">
        <f>IFERROR(__xludf.DUMMYFUNCTION("""COMPUTED_VALUE"""),1003.01)</f>
        <v>1003.01</v>
      </c>
      <c r="E19" s="6">
        <f>IFERROR(__xludf.DUMMYFUNCTION("""COMPUTED_VALUE"""),1028.03)</f>
        <v>1028.03</v>
      </c>
      <c r="F19" s="6">
        <f>IFERROR(__xludf.DUMMYFUNCTION("""COMPUTED_VALUE"""),714463.0)</f>
        <v>714463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IFERROR(__xludf.DUMMYFUNCTION("""COMPUTED_VALUE"""),1035.0)</f>
        <v>1035</v>
      </c>
      <c r="C20" s="6">
        <f>IFERROR(__xludf.DUMMYFUNCTION("""COMPUTED_VALUE"""),1058.0)</f>
        <v>1058</v>
      </c>
      <c r="D20" s="6">
        <f>IFERROR(__xludf.DUMMYFUNCTION("""COMPUTED_VALUE"""),1006.0)</f>
        <v>1006</v>
      </c>
      <c r="E20" s="6">
        <f>IFERROR(__xludf.DUMMYFUNCTION("""COMPUTED_VALUE"""),1049.23)</f>
        <v>1049.23</v>
      </c>
      <c r="F20" s="6">
        <f>IFERROR(__xludf.DUMMYFUNCTION("""COMPUTED_VALUE"""),1256626.0)</f>
        <v>1256626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IFERROR(__xludf.DUMMYFUNCTION("""COMPUTED_VALUE"""),1059.0)</f>
        <v>1059</v>
      </c>
      <c r="C21" s="6">
        <f>IFERROR(__xludf.DUMMYFUNCTION("""COMPUTED_VALUE"""),1077.56)</f>
        <v>1077.56</v>
      </c>
      <c r="D21" s="6">
        <f>IFERROR(__xludf.DUMMYFUNCTION("""COMPUTED_VALUE"""),1025.33)</f>
        <v>1025.33</v>
      </c>
      <c r="E21" s="6">
        <f>IFERROR(__xludf.DUMMYFUNCTION("""COMPUTED_VALUE"""),1061.66)</f>
        <v>1061.66</v>
      </c>
      <c r="F21" s="6">
        <f>IFERROR(__xludf.DUMMYFUNCTION("""COMPUTED_VALUE"""),1394748.0)</f>
        <v>1394748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IFERROR(__xludf.DUMMYFUNCTION("""COMPUTED_VALUE"""),1019.99)</f>
        <v>1019.99</v>
      </c>
      <c r="C22" s="6">
        <f>IFERROR(__xludf.DUMMYFUNCTION("""COMPUTED_VALUE"""),1019.99)</f>
        <v>1019.99</v>
      </c>
      <c r="D22" s="6">
        <f>IFERROR(__xludf.DUMMYFUNCTION("""COMPUTED_VALUE"""),972.44)</f>
        <v>972.44</v>
      </c>
      <c r="E22" s="6">
        <f>IFERROR(__xludf.DUMMYFUNCTION("""COMPUTED_VALUE"""),996.51)</f>
        <v>996.51</v>
      </c>
      <c r="F22" s="6">
        <f>IFERROR(__xludf.DUMMYFUNCTION("""COMPUTED_VALUE"""),682567.0)</f>
        <v>682567</v>
      </c>
    </row>
    <row r="23">
      <c r="A23" s="7">
        <f>IFERROR(__xludf.DUMMYFUNCTION("""COMPUTED_VALUE"""),45324.64583333333)</f>
        <v>45324.64583</v>
      </c>
      <c r="B23" s="6">
        <f>IFERROR(__xludf.DUMMYFUNCTION("""COMPUTED_VALUE"""),999.22)</f>
        <v>999.22</v>
      </c>
      <c r="C23" s="6">
        <f>IFERROR(__xludf.DUMMYFUNCTION("""COMPUTED_VALUE"""),1043.0)</f>
        <v>1043</v>
      </c>
      <c r="D23" s="6">
        <f>IFERROR(__xludf.DUMMYFUNCTION("""COMPUTED_VALUE"""),974.4)</f>
        <v>974.4</v>
      </c>
      <c r="E23" s="6">
        <f>IFERROR(__xludf.DUMMYFUNCTION("""COMPUTED_VALUE"""),1035.43)</f>
        <v>1035.43</v>
      </c>
      <c r="F23" s="6">
        <f>IFERROR(__xludf.DUMMYFUNCTION("""COMPUTED_VALUE"""),1435814.0)</f>
        <v>1435814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IFERROR(__xludf.DUMMYFUNCTION("""COMPUTED_VALUE"""),1041.98)</f>
        <v>1041.98</v>
      </c>
      <c r="C24" s="6">
        <f>IFERROR(__xludf.DUMMYFUNCTION("""COMPUTED_VALUE"""),1107.77)</f>
        <v>1107.77</v>
      </c>
      <c r="D24" s="6">
        <f>IFERROR(__xludf.DUMMYFUNCTION("""COMPUTED_VALUE"""),1028.25)</f>
        <v>1028.25</v>
      </c>
      <c r="E24" s="6">
        <f>IFERROR(__xludf.DUMMYFUNCTION("""COMPUTED_VALUE"""),1098.52)</f>
        <v>1098.52</v>
      </c>
      <c r="F24" s="6">
        <f>IFERROR(__xludf.DUMMYFUNCTION("""COMPUTED_VALUE"""),1774503.0)</f>
        <v>1774503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IFERROR(__xludf.DUMMYFUNCTION("""COMPUTED_VALUE"""),1109.0)</f>
        <v>1109</v>
      </c>
      <c r="C25" s="6">
        <f>IFERROR(__xludf.DUMMYFUNCTION("""COMPUTED_VALUE"""),1109.0)</f>
        <v>1109</v>
      </c>
      <c r="D25" s="6">
        <f>IFERROR(__xludf.DUMMYFUNCTION("""COMPUTED_VALUE"""),1006.27)</f>
        <v>1006.27</v>
      </c>
      <c r="E25" s="6">
        <f>IFERROR(__xludf.DUMMYFUNCTION("""COMPUTED_VALUE"""),1054.15)</f>
        <v>1054.15</v>
      </c>
      <c r="F25" s="6">
        <f>IFERROR(__xludf.DUMMYFUNCTION("""COMPUTED_VALUE"""),1432869.0)</f>
        <v>1432869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IFERROR(__xludf.DUMMYFUNCTION("""COMPUTED_VALUE"""),1055.2)</f>
        <v>1055.2</v>
      </c>
      <c r="C26" s="6">
        <f>IFERROR(__xludf.DUMMYFUNCTION("""COMPUTED_VALUE"""),1087.59)</f>
        <v>1087.59</v>
      </c>
      <c r="D26" s="6">
        <f>IFERROR(__xludf.DUMMYFUNCTION("""COMPUTED_VALUE"""),1042.2)</f>
        <v>1042.2</v>
      </c>
      <c r="E26" s="6">
        <f>IFERROR(__xludf.DUMMYFUNCTION("""COMPUTED_VALUE"""),1067.43)</f>
        <v>1067.43</v>
      </c>
      <c r="F26" s="6">
        <f>IFERROR(__xludf.DUMMYFUNCTION("""COMPUTED_VALUE"""),896385.0)</f>
        <v>896385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IFERROR(__xludf.DUMMYFUNCTION("""COMPUTED_VALUE"""),1056.0)</f>
        <v>1056</v>
      </c>
      <c r="C27" s="6">
        <f>IFERROR(__xludf.DUMMYFUNCTION("""COMPUTED_VALUE"""),1072.35)</f>
        <v>1072.35</v>
      </c>
      <c r="D27" s="6">
        <f>IFERROR(__xludf.DUMMYFUNCTION("""COMPUTED_VALUE"""),1001.0)</f>
        <v>1001</v>
      </c>
      <c r="E27" s="6">
        <f>IFERROR(__xludf.DUMMYFUNCTION("""COMPUTED_VALUE"""),1017.7)</f>
        <v>1017.7</v>
      </c>
      <c r="F27" s="6">
        <f>IFERROR(__xludf.DUMMYFUNCTION("""COMPUTED_VALUE"""),1434641.0)</f>
        <v>1434641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IFERROR(__xludf.DUMMYFUNCTION("""COMPUTED_VALUE"""),1024.05)</f>
        <v>1024.05</v>
      </c>
      <c r="C28" s="6">
        <f>IFERROR(__xludf.DUMMYFUNCTION("""COMPUTED_VALUE"""),1056.0)</f>
        <v>1056</v>
      </c>
      <c r="D28" s="6">
        <f>IFERROR(__xludf.DUMMYFUNCTION("""COMPUTED_VALUE"""),993.91)</f>
        <v>993.91</v>
      </c>
      <c r="E28" s="6">
        <f>IFERROR(__xludf.DUMMYFUNCTION("""COMPUTED_VALUE"""),1048.24)</f>
        <v>1048.24</v>
      </c>
      <c r="F28" s="6">
        <f>IFERROR(__xludf.DUMMYFUNCTION("""COMPUTED_VALUE"""),1644132.0)</f>
        <v>1644132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IFERROR(__xludf.DUMMYFUNCTION("""COMPUTED_VALUE"""),1048.23)</f>
        <v>1048.23</v>
      </c>
      <c r="C29" s="6">
        <f>IFERROR(__xludf.DUMMYFUNCTION("""COMPUTED_VALUE"""),1063.79)</f>
        <v>1063.79</v>
      </c>
      <c r="D29" s="6">
        <f>IFERROR(__xludf.DUMMYFUNCTION("""COMPUTED_VALUE"""),1010.4)</f>
        <v>1010.4</v>
      </c>
      <c r="E29" s="6">
        <f>IFERROR(__xludf.DUMMYFUNCTION("""COMPUTED_VALUE"""),1048.62)</f>
        <v>1048.62</v>
      </c>
      <c r="F29" s="6">
        <f>IFERROR(__xludf.DUMMYFUNCTION("""COMPUTED_VALUE"""),1222514.0)</f>
        <v>1222514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IFERROR(__xludf.DUMMYFUNCTION("""COMPUTED_VALUE"""),1048.62)</f>
        <v>1048.62</v>
      </c>
      <c r="C30" s="6">
        <f>IFERROR(__xludf.DUMMYFUNCTION("""COMPUTED_VALUE"""),1126.36)</f>
        <v>1126.36</v>
      </c>
      <c r="D30" s="6">
        <f>IFERROR(__xludf.DUMMYFUNCTION("""COMPUTED_VALUE"""),1030.44)</f>
        <v>1030.44</v>
      </c>
      <c r="E30" s="6">
        <f>IFERROR(__xludf.DUMMYFUNCTION("""COMPUTED_VALUE"""),1118.4)</f>
        <v>1118.4</v>
      </c>
      <c r="F30" s="6">
        <f>IFERROR(__xludf.DUMMYFUNCTION("""COMPUTED_VALUE"""),1492666.0)</f>
        <v>1492666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IFERROR(__xludf.DUMMYFUNCTION("""COMPUTED_VALUE"""),1120.0)</f>
        <v>1120</v>
      </c>
      <c r="C31" s="6">
        <f>IFERROR(__xludf.DUMMYFUNCTION("""COMPUTED_VALUE"""),1160.46)</f>
        <v>1160.46</v>
      </c>
      <c r="D31" s="6">
        <f>IFERROR(__xludf.DUMMYFUNCTION("""COMPUTED_VALUE"""),1115.9)</f>
        <v>1115.9</v>
      </c>
      <c r="E31" s="6">
        <f>IFERROR(__xludf.DUMMYFUNCTION("""COMPUTED_VALUE"""),1134.93)</f>
        <v>1134.93</v>
      </c>
      <c r="F31" s="6">
        <f>IFERROR(__xludf.DUMMYFUNCTION("""COMPUTED_VALUE"""),1060360.0)</f>
        <v>1060360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IFERROR(__xludf.DUMMYFUNCTION("""COMPUTED_VALUE"""),1166.0)</f>
        <v>1166</v>
      </c>
      <c r="C32" s="6">
        <f>IFERROR(__xludf.DUMMYFUNCTION("""COMPUTED_VALUE"""),1271.0)</f>
        <v>1271</v>
      </c>
      <c r="D32" s="6">
        <f>IFERROR(__xludf.DUMMYFUNCTION("""COMPUTED_VALUE"""),1166.0)</f>
        <v>1166</v>
      </c>
      <c r="E32" s="6">
        <f>IFERROR(__xludf.DUMMYFUNCTION("""COMPUTED_VALUE"""),1194.71)</f>
        <v>1194.71</v>
      </c>
      <c r="F32" s="6">
        <f>IFERROR(__xludf.DUMMYFUNCTION("""COMPUTED_VALUE"""),2991428.0)</f>
        <v>2991428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IFERROR(__xludf.DUMMYFUNCTION("""COMPUTED_VALUE"""),1170.0)</f>
        <v>1170</v>
      </c>
      <c r="C33" s="6">
        <f>IFERROR(__xludf.DUMMYFUNCTION("""COMPUTED_VALUE"""),1184.0)</f>
        <v>1184</v>
      </c>
      <c r="D33" s="6">
        <f>IFERROR(__xludf.DUMMYFUNCTION("""COMPUTED_VALUE"""),1124.4)</f>
        <v>1124.4</v>
      </c>
      <c r="E33" s="6">
        <f>IFERROR(__xludf.DUMMYFUNCTION("""COMPUTED_VALUE"""),1142.42)</f>
        <v>1142.42</v>
      </c>
      <c r="F33" s="6">
        <f>IFERROR(__xludf.DUMMYFUNCTION("""COMPUTED_VALUE"""),922737.0)</f>
        <v>922737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IFERROR(__xludf.DUMMYFUNCTION("""COMPUTED_VALUE"""),1152.28)</f>
        <v>1152.28</v>
      </c>
      <c r="C34" s="6">
        <f>IFERROR(__xludf.DUMMYFUNCTION("""COMPUTED_VALUE"""),1199.98)</f>
        <v>1199.98</v>
      </c>
      <c r="D34" s="6">
        <f>IFERROR(__xludf.DUMMYFUNCTION("""COMPUTED_VALUE"""),1136.05)</f>
        <v>1136.05</v>
      </c>
      <c r="E34" s="6">
        <f>IFERROR(__xludf.DUMMYFUNCTION("""COMPUTED_VALUE"""),1179.37)</f>
        <v>1179.37</v>
      </c>
      <c r="F34" s="6">
        <f>IFERROR(__xludf.DUMMYFUNCTION("""COMPUTED_VALUE"""),1150684.0)</f>
        <v>1150684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IFERROR(__xludf.DUMMYFUNCTION("""COMPUTED_VALUE"""),1184.0)</f>
        <v>1184</v>
      </c>
      <c r="C35" s="6">
        <f>IFERROR(__xludf.DUMMYFUNCTION("""COMPUTED_VALUE"""),1228.0)</f>
        <v>1228</v>
      </c>
      <c r="D35" s="6">
        <f>IFERROR(__xludf.DUMMYFUNCTION("""COMPUTED_VALUE"""),1163.6)</f>
        <v>1163.6</v>
      </c>
      <c r="E35" s="6">
        <f>IFERROR(__xludf.DUMMYFUNCTION("""COMPUTED_VALUE"""),1199.57)</f>
        <v>1199.57</v>
      </c>
      <c r="F35" s="6">
        <f>IFERROR(__xludf.DUMMYFUNCTION("""COMPUTED_VALUE"""),1002089.0)</f>
        <v>1002089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IFERROR(__xludf.DUMMYFUNCTION("""COMPUTED_VALUE"""),1209.4)</f>
        <v>1209.4</v>
      </c>
      <c r="C36" s="6">
        <f>IFERROR(__xludf.DUMMYFUNCTION("""COMPUTED_VALUE"""),1227.3)</f>
        <v>1227.3</v>
      </c>
      <c r="D36" s="6">
        <f>IFERROR(__xludf.DUMMYFUNCTION("""COMPUTED_VALUE"""),1166.2)</f>
        <v>1166.2</v>
      </c>
      <c r="E36" s="6">
        <f>IFERROR(__xludf.DUMMYFUNCTION("""COMPUTED_VALUE"""),1205.48)</f>
        <v>1205.48</v>
      </c>
      <c r="F36" s="6">
        <f>IFERROR(__xludf.DUMMYFUNCTION("""COMPUTED_VALUE"""),965313.0)</f>
        <v>965313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IFERROR(__xludf.DUMMYFUNCTION("""COMPUTED_VALUE"""),1244.0)</f>
        <v>1244</v>
      </c>
      <c r="C37" s="6">
        <f>IFERROR(__xludf.DUMMYFUNCTION("""COMPUTED_VALUE"""),1309.0)</f>
        <v>1309</v>
      </c>
      <c r="D37" s="6">
        <f>IFERROR(__xludf.DUMMYFUNCTION("""COMPUTED_VALUE"""),1240.71)</f>
        <v>1240.71</v>
      </c>
      <c r="E37" s="6">
        <f>IFERROR(__xludf.DUMMYFUNCTION("""COMPUTED_VALUE"""),1267.23)</f>
        <v>1267.23</v>
      </c>
      <c r="F37" s="6">
        <f>IFERROR(__xludf.DUMMYFUNCTION("""COMPUTED_VALUE"""),2260138.0)</f>
        <v>2260138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IFERROR(__xludf.DUMMYFUNCTION("""COMPUTED_VALUE"""),1271.98)</f>
        <v>1271.98</v>
      </c>
      <c r="C38" s="6">
        <f>IFERROR(__xludf.DUMMYFUNCTION("""COMPUTED_VALUE"""),1283.09)</f>
        <v>1283.09</v>
      </c>
      <c r="D38" s="6">
        <f>IFERROR(__xludf.DUMMYFUNCTION("""COMPUTED_VALUE"""),1132.0)</f>
        <v>1132</v>
      </c>
      <c r="E38" s="6">
        <f>IFERROR(__xludf.DUMMYFUNCTION("""COMPUTED_VALUE"""),1139.42)</f>
        <v>1139.42</v>
      </c>
      <c r="F38" s="6">
        <f>IFERROR(__xludf.DUMMYFUNCTION("""COMPUTED_VALUE"""),2068736.0)</f>
        <v>2068736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IFERROR(__xludf.DUMMYFUNCTION("""COMPUTED_VALUE"""),1217.6)</f>
        <v>1217.6</v>
      </c>
      <c r="C39" s="6">
        <f>IFERROR(__xludf.DUMMYFUNCTION("""COMPUTED_VALUE"""),1271.99)</f>
        <v>1271.99</v>
      </c>
      <c r="D39" s="6">
        <f>IFERROR(__xludf.DUMMYFUNCTION("""COMPUTED_VALUE"""),1050.0)</f>
        <v>1050</v>
      </c>
      <c r="E39" s="6">
        <f>IFERROR(__xludf.DUMMYFUNCTION("""COMPUTED_VALUE"""),1245.96)</f>
        <v>1245.96</v>
      </c>
      <c r="F39" s="6">
        <f>IFERROR(__xludf.DUMMYFUNCTION("""COMPUTED_VALUE"""),2184538.0)</f>
        <v>2184538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IFERROR(__xludf.DUMMYFUNCTION("""COMPUTED_VALUE"""),1250.0)</f>
        <v>1250</v>
      </c>
      <c r="C40" s="6">
        <f>IFERROR(__xludf.DUMMYFUNCTION("""COMPUTED_VALUE"""),1273.2)</f>
        <v>1273.2</v>
      </c>
      <c r="D40" s="6">
        <f>IFERROR(__xludf.DUMMYFUNCTION("""COMPUTED_VALUE"""),1229.62)</f>
        <v>1229.62</v>
      </c>
      <c r="E40" s="6">
        <f>IFERROR(__xludf.DUMMYFUNCTION("""COMPUTED_VALUE"""),1248.59)</f>
        <v>1248.59</v>
      </c>
      <c r="F40" s="6">
        <f>IFERROR(__xludf.DUMMYFUNCTION("""COMPUTED_VALUE"""),1394158.0)</f>
        <v>1394158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IFERROR(__xludf.DUMMYFUNCTION("""COMPUTED_VALUE"""),1225.0)</f>
        <v>1225</v>
      </c>
      <c r="C41" s="6">
        <f>IFERROR(__xludf.DUMMYFUNCTION("""COMPUTED_VALUE"""),1299.0)</f>
        <v>1299</v>
      </c>
      <c r="D41" s="6">
        <f>IFERROR(__xludf.DUMMYFUNCTION("""COMPUTED_VALUE"""),1220.56)</f>
        <v>1220.56</v>
      </c>
      <c r="E41" s="6">
        <f>IFERROR(__xludf.DUMMYFUNCTION("""COMPUTED_VALUE"""),1276.94)</f>
        <v>1276.94</v>
      </c>
      <c r="F41" s="6">
        <f>IFERROR(__xludf.DUMMYFUNCTION("""COMPUTED_VALUE"""),1045908.0)</f>
        <v>1045908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IFERROR(__xludf.DUMMYFUNCTION("""COMPUTED_VALUE"""),1276.0)</f>
        <v>1276</v>
      </c>
      <c r="C42" s="6">
        <f>IFERROR(__xludf.DUMMYFUNCTION("""COMPUTED_VALUE"""),1363.99)</f>
        <v>1363.99</v>
      </c>
      <c r="D42" s="6">
        <f>IFERROR(__xludf.DUMMYFUNCTION("""COMPUTED_VALUE"""),1258.75)</f>
        <v>1258.75</v>
      </c>
      <c r="E42" s="6">
        <f>IFERROR(__xludf.DUMMYFUNCTION("""COMPUTED_VALUE"""),1357.17)</f>
        <v>1357.17</v>
      </c>
      <c r="F42" s="6">
        <f>IFERROR(__xludf.DUMMYFUNCTION("""COMPUTED_VALUE"""),1666143.0)</f>
        <v>1666143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IFERROR(__xludf.DUMMYFUNCTION("""COMPUTED_VALUE"""),1350.02)</f>
        <v>1350.02</v>
      </c>
      <c r="C43" s="6">
        <f>IFERROR(__xludf.DUMMYFUNCTION("""COMPUTED_VALUE"""),1393.8)</f>
        <v>1393.8</v>
      </c>
      <c r="D43" s="6">
        <f>IFERROR(__xludf.DUMMYFUNCTION("""COMPUTED_VALUE"""),1328.4)</f>
        <v>1328.4</v>
      </c>
      <c r="E43" s="6">
        <f>IFERROR(__xludf.DUMMYFUNCTION("""COMPUTED_VALUE"""),1361.9)</f>
        <v>1361.9</v>
      </c>
      <c r="F43" s="6">
        <f>IFERROR(__xludf.DUMMYFUNCTION("""COMPUTED_VALUE"""),1278020.0)</f>
        <v>1278020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IFERROR(__xludf.DUMMYFUNCTION("""COMPUTED_VALUE"""),1374.9)</f>
        <v>1374.9</v>
      </c>
      <c r="C44" s="6">
        <f>IFERROR(__xludf.DUMMYFUNCTION("""COMPUTED_VALUE"""),1412.6)</f>
        <v>1412.6</v>
      </c>
      <c r="D44" s="6">
        <f>IFERROR(__xludf.DUMMYFUNCTION("""COMPUTED_VALUE"""),1313.82)</f>
        <v>1313.82</v>
      </c>
      <c r="E44" s="6">
        <f>IFERROR(__xludf.DUMMYFUNCTION("""COMPUTED_VALUE"""),1372.3)</f>
        <v>1372.3</v>
      </c>
      <c r="F44" s="6">
        <f>IFERROR(__xludf.DUMMYFUNCTION("""COMPUTED_VALUE"""),1693031.0)</f>
        <v>1693031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IFERROR(__xludf.DUMMYFUNCTION("""COMPUTED_VALUE"""),1374.0)</f>
        <v>1374</v>
      </c>
      <c r="C45" s="6">
        <f>IFERROR(__xludf.DUMMYFUNCTION("""COMPUTED_VALUE"""),1413.99)</f>
        <v>1413.99</v>
      </c>
      <c r="D45" s="6">
        <f>IFERROR(__xludf.DUMMYFUNCTION("""COMPUTED_VALUE"""),1348.25)</f>
        <v>1348.25</v>
      </c>
      <c r="E45" s="6">
        <f>IFERROR(__xludf.DUMMYFUNCTION("""COMPUTED_VALUE"""),1365.52)</f>
        <v>1365.52</v>
      </c>
      <c r="F45" s="6">
        <f>IFERROR(__xludf.DUMMYFUNCTION("""COMPUTED_VALUE"""),829076.0)</f>
        <v>829076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IFERROR(__xludf.DUMMYFUNCTION("""COMPUTED_VALUE"""),1364.99)</f>
        <v>1364.99</v>
      </c>
      <c r="C46" s="6">
        <f>IFERROR(__xludf.DUMMYFUNCTION("""COMPUTED_VALUE"""),1442.0)</f>
        <v>1442</v>
      </c>
      <c r="D46" s="6">
        <f>IFERROR(__xludf.DUMMYFUNCTION("""COMPUTED_VALUE"""),1341.36)</f>
        <v>1341.36</v>
      </c>
      <c r="E46" s="6">
        <f>IFERROR(__xludf.DUMMYFUNCTION("""COMPUTED_VALUE"""),1437.48)</f>
        <v>1437.48</v>
      </c>
      <c r="F46" s="6">
        <f>IFERROR(__xludf.DUMMYFUNCTION("""COMPUTED_VALUE"""),1211226.0)</f>
        <v>1211226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IFERROR(__xludf.DUMMYFUNCTION("""COMPUTED_VALUE"""),1448.99)</f>
        <v>1448.99</v>
      </c>
      <c r="C47" s="6">
        <f>IFERROR(__xludf.DUMMYFUNCTION("""COMPUTED_VALUE"""),1465.55)</f>
        <v>1465.55</v>
      </c>
      <c r="D47" s="6">
        <f>IFERROR(__xludf.DUMMYFUNCTION("""COMPUTED_VALUE"""),1368.96)</f>
        <v>1368.96</v>
      </c>
      <c r="E47" s="6">
        <f>IFERROR(__xludf.DUMMYFUNCTION("""COMPUTED_VALUE"""),1444.1)</f>
        <v>1444.1</v>
      </c>
      <c r="F47" s="6">
        <f>IFERROR(__xludf.DUMMYFUNCTION("""COMPUTED_VALUE"""),2220538.0)</f>
        <v>2220538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IFERROR(__xludf.DUMMYFUNCTION("""COMPUTED_VALUE"""),1400.01)</f>
        <v>1400.01</v>
      </c>
      <c r="C48" s="6">
        <f>IFERROR(__xludf.DUMMYFUNCTION("""COMPUTED_VALUE"""),1450.0)</f>
        <v>1450</v>
      </c>
      <c r="D48" s="6">
        <f>IFERROR(__xludf.DUMMYFUNCTION("""COMPUTED_VALUE"""),1356.4)</f>
        <v>1356.4</v>
      </c>
      <c r="E48" s="6">
        <f>IFERROR(__xludf.DUMMYFUNCTION("""COMPUTED_VALUE"""),1442.9)</f>
        <v>1442.9</v>
      </c>
      <c r="F48" s="6">
        <f>IFERROR(__xludf.DUMMYFUNCTION("""COMPUTED_VALUE"""),1615923.0)</f>
        <v>1615923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IFERROR(__xludf.DUMMYFUNCTION("""COMPUTED_VALUE"""),1460.0)</f>
        <v>1460</v>
      </c>
      <c r="C49" s="6">
        <f>IFERROR(__xludf.DUMMYFUNCTION("""COMPUTED_VALUE"""),1488.0)</f>
        <v>1488</v>
      </c>
      <c r="D49" s="6">
        <f>IFERROR(__xludf.DUMMYFUNCTION("""COMPUTED_VALUE"""),1407.81)</f>
        <v>1407.81</v>
      </c>
      <c r="E49" s="6">
        <f>IFERROR(__xludf.DUMMYFUNCTION("""COMPUTED_VALUE"""),1483.57)</f>
        <v>1483.57</v>
      </c>
      <c r="F49" s="6">
        <f>IFERROR(__xludf.DUMMYFUNCTION("""COMPUTED_VALUE"""),1150359.0)</f>
        <v>1150359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IFERROR(__xludf.DUMMYFUNCTION("""COMPUTED_VALUE"""),1483.57)</f>
        <v>1483.57</v>
      </c>
      <c r="C50" s="6">
        <f>IFERROR(__xludf.DUMMYFUNCTION("""COMPUTED_VALUE"""),1514.01)</f>
        <v>1514.01</v>
      </c>
      <c r="D50" s="6">
        <f>IFERROR(__xludf.DUMMYFUNCTION("""COMPUTED_VALUE"""),1462.81)</f>
        <v>1462.81</v>
      </c>
      <c r="E50" s="6">
        <f>IFERROR(__xludf.DUMMYFUNCTION("""COMPUTED_VALUE"""),1478.52)</f>
        <v>1478.52</v>
      </c>
      <c r="F50" s="6">
        <f>IFERROR(__xludf.DUMMYFUNCTION("""COMPUTED_VALUE"""),826152.0)</f>
        <v>826152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IFERROR(__xludf.DUMMYFUNCTION("""COMPUTED_VALUE"""),1477.53)</f>
        <v>1477.53</v>
      </c>
      <c r="C51" s="6">
        <f>IFERROR(__xludf.DUMMYFUNCTION("""COMPUTED_VALUE"""),1545.0)</f>
        <v>1545</v>
      </c>
      <c r="D51" s="6">
        <f>IFERROR(__xludf.DUMMYFUNCTION("""COMPUTED_VALUE"""),1477.53)</f>
        <v>1477.53</v>
      </c>
      <c r="E51" s="6">
        <f>IFERROR(__xludf.DUMMYFUNCTION("""COMPUTED_VALUE"""),1535.76)</f>
        <v>1535.76</v>
      </c>
      <c r="F51" s="6">
        <f>IFERROR(__xludf.DUMMYFUNCTION("""COMPUTED_VALUE"""),1098543.0)</f>
        <v>1098543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IFERROR(__xludf.DUMMYFUNCTION("""COMPUTED_VALUE"""),1535.99)</f>
        <v>1535.99</v>
      </c>
      <c r="C52" s="6">
        <f>IFERROR(__xludf.DUMMYFUNCTION("""COMPUTED_VALUE"""),1549.3)</f>
        <v>1549.3</v>
      </c>
      <c r="D52" s="6">
        <f>IFERROR(__xludf.DUMMYFUNCTION("""COMPUTED_VALUE"""),1452.81)</f>
        <v>1452.81</v>
      </c>
      <c r="E52" s="6">
        <f>IFERROR(__xludf.DUMMYFUNCTION("""COMPUTED_VALUE"""),1484.98)</f>
        <v>1484.98</v>
      </c>
      <c r="F52" s="6">
        <f>IFERROR(__xludf.DUMMYFUNCTION("""COMPUTED_VALUE"""),809628.0)</f>
        <v>809628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IFERROR(__xludf.DUMMYFUNCTION("""COMPUTED_VALUE"""),1466.2)</f>
        <v>1466.2</v>
      </c>
      <c r="C53" s="6">
        <f>IFERROR(__xludf.DUMMYFUNCTION("""COMPUTED_VALUE"""),1566.0)</f>
        <v>1566</v>
      </c>
      <c r="D53" s="6">
        <f>IFERROR(__xludf.DUMMYFUNCTION("""COMPUTED_VALUE"""),1459.29)</f>
        <v>1459.29</v>
      </c>
      <c r="E53" s="6">
        <f>IFERROR(__xludf.DUMMYFUNCTION("""COMPUTED_VALUE"""),1545.81)</f>
        <v>1545.81</v>
      </c>
      <c r="F53" s="6">
        <f>IFERROR(__xludf.DUMMYFUNCTION("""COMPUTED_VALUE"""),987360.0)</f>
        <v>987360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IFERROR(__xludf.DUMMYFUNCTION("""COMPUTED_VALUE"""),1545.81)</f>
        <v>1545.81</v>
      </c>
      <c r="C54" s="6">
        <f>IFERROR(__xludf.DUMMYFUNCTION("""COMPUTED_VALUE"""),1630.2)</f>
        <v>1630.2</v>
      </c>
      <c r="D54" s="6">
        <f>IFERROR(__xludf.DUMMYFUNCTION("""COMPUTED_VALUE"""),1514.01)</f>
        <v>1514.01</v>
      </c>
      <c r="E54" s="6">
        <f>IFERROR(__xludf.DUMMYFUNCTION("""COMPUTED_VALUE"""),1621.24)</f>
        <v>1621.24</v>
      </c>
      <c r="F54" s="6">
        <f>IFERROR(__xludf.DUMMYFUNCTION("""COMPUTED_VALUE"""),1801547.0)</f>
        <v>1801547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IFERROR(__xludf.DUMMYFUNCTION("""COMPUTED_VALUE"""),1622.3)</f>
        <v>1622.3</v>
      </c>
      <c r="C55" s="6">
        <f>IFERROR(__xludf.DUMMYFUNCTION("""COMPUTED_VALUE"""),1652.07)</f>
        <v>1652.07</v>
      </c>
      <c r="D55" s="6">
        <f>IFERROR(__xludf.DUMMYFUNCTION("""COMPUTED_VALUE"""),1566.82)</f>
        <v>1566.82</v>
      </c>
      <c r="E55" s="6">
        <f>IFERROR(__xludf.DUMMYFUNCTION("""COMPUTED_VALUE"""),1634.15)</f>
        <v>1634.15</v>
      </c>
      <c r="F55" s="6">
        <f>IFERROR(__xludf.DUMMYFUNCTION("""COMPUTED_VALUE"""),1223261.0)</f>
        <v>1223261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IFERROR(__xludf.DUMMYFUNCTION("""COMPUTED_VALUE"""),1622.74)</f>
        <v>1622.74</v>
      </c>
      <c r="C56" s="6">
        <f>IFERROR(__xludf.DUMMYFUNCTION("""COMPUTED_VALUE"""),1661.78)</f>
        <v>1661.78</v>
      </c>
      <c r="D56" s="6">
        <f>IFERROR(__xludf.DUMMYFUNCTION("""COMPUTED_VALUE"""),1602.13)</f>
        <v>1602.13</v>
      </c>
      <c r="E56" s="6">
        <f>IFERROR(__xludf.DUMMYFUNCTION("""COMPUTED_VALUE"""),1639.73)</f>
        <v>1639.73</v>
      </c>
      <c r="F56" s="6">
        <f>IFERROR(__xludf.DUMMYFUNCTION("""COMPUTED_VALUE"""),907672.0)</f>
        <v>907672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IFERROR(__xludf.DUMMYFUNCTION("""COMPUTED_VALUE"""),1661.78)</f>
        <v>1661.78</v>
      </c>
      <c r="C57" s="6">
        <f>IFERROR(__xludf.DUMMYFUNCTION("""COMPUTED_VALUE"""),1694.4)</f>
        <v>1694.4</v>
      </c>
      <c r="D57" s="6">
        <f>IFERROR(__xludf.DUMMYFUNCTION("""COMPUTED_VALUE"""),1582.01)</f>
        <v>1582.01</v>
      </c>
      <c r="E57" s="6">
        <f>IFERROR(__xludf.DUMMYFUNCTION("""COMPUTED_VALUE"""),1672.66)</f>
        <v>1672.66</v>
      </c>
      <c r="F57" s="6">
        <f>IFERROR(__xludf.DUMMYFUNCTION("""COMPUTED_VALUE"""),1032010.0)</f>
        <v>1032010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IFERROR(__xludf.DUMMYFUNCTION("""COMPUTED_VALUE"""),1677.99)</f>
        <v>1677.99</v>
      </c>
      <c r="C58" s="6">
        <f>IFERROR(__xludf.DUMMYFUNCTION("""COMPUTED_VALUE"""),1679.85)</f>
        <v>1679.85</v>
      </c>
      <c r="D58" s="6">
        <f>IFERROR(__xludf.DUMMYFUNCTION("""COMPUTED_VALUE"""),1582.14)</f>
        <v>1582.14</v>
      </c>
      <c r="E58" s="6">
        <f>IFERROR(__xludf.DUMMYFUNCTION("""COMPUTED_VALUE"""),1617.77)</f>
        <v>1617.77</v>
      </c>
      <c r="F58" s="6">
        <f>IFERROR(__xludf.DUMMYFUNCTION("""COMPUTED_VALUE"""),843011.0)</f>
        <v>843011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IFERROR(__xludf.DUMMYFUNCTION("""COMPUTED_VALUE"""),1623.4)</f>
        <v>1623.4</v>
      </c>
      <c r="C59" s="6">
        <f>IFERROR(__xludf.DUMMYFUNCTION("""COMPUTED_VALUE"""),1631.95)</f>
        <v>1631.95</v>
      </c>
      <c r="D59" s="6">
        <f>IFERROR(__xludf.DUMMYFUNCTION("""COMPUTED_VALUE"""),1486.81)</f>
        <v>1486.81</v>
      </c>
      <c r="E59" s="6">
        <f>IFERROR(__xludf.DUMMYFUNCTION("""COMPUTED_VALUE"""),1519.53)</f>
        <v>1519.53</v>
      </c>
      <c r="F59" s="6">
        <f>IFERROR(__xludf.DUMMYFUNCTION("""COMPUTED_VALUE"""),1086589.0)</f>
        <v>1086589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IFERROR(__xludf.DUMMYFUNCTION("""COMPUTED_VALUE"""),1490.0)</f>
        <v>1490</v>
      </c>
      <c r="C60" s="6">
        <f>IFERROR(__xludf.DUMMYFUNCTION("""COMPUTED_VALUE"""),1609.17)</f>
        <v>1609.17</v>
      </c>
      <c r="D60" s="6">
        <f>IFERROR(__xludf.DUMMYFUNCTION("""COMPUTED_VALUE"""),1474.11)</f>
        <v>1474.11</v>
      </c>
      <c r="E60" s="6">
        <f>IFERROR(__xludf.DUMMYFUNCTION("""COMPUTED_VALUE"""),1530.92)</f>
        <v>1530.92</v>
      </c>
      <c r="F60" s="6">
        <f>IFERROR(__xludf.DUMMYFUNCTION("""COMPUTED_VALUE"""),1616311.0)</f>
        <v>1616311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IFERROR(__xludf.DUMMYFUNCTION("""COMPUTED_VALUE"""),1534.0)</f>
        <v>1534</v>
      </c>
      <c r="C61" s="6">
        <f>IFERROR(__xludf.DUMMYFUNCTION("""COMPUTED_VALUE"""),1620.0)</f>
        <v>1620</v>
      </c>
      <c r="D61" s="6">
        <f>IFERROR(__xludf.DUMMYFUNCTION("""COMPUTED_VALUE"""),1510.0)</f>
        <v>1510</v>
      </c>
      <c r="E61" s="6">
        <f>IFERROR(__xludf.DUMMYFUNCTION("""COMPUTED_VALUE"""),1553.64)</f>
        <v>1553.64</v>
      </c>
      <c r="F61" s="6">
        <f>IFERROR(__xludf.DUMMYFUNCTION("""COMPUTED_VALUE"""),1085455.0)</f>
        <v>1085455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IFERROR(__xludf.DUMMYFUNCTION("""COMPUTED_VALUE"""),1569.72)</f>
        <v>1569.72</v>
      </c>
      <c r="C62" s="6">
        <f>IFERROR(__xludf.DUMMYFUNCTION("""COMPUTED_VALUE"""),1605.92)</f>
        <v>1605.92</v>
      </c>
      <c r="D62" s="6">
        <f>IFERROR(__xludf.DUMMYFUNCTION("""COMPUTED_VALUE"""),1498.2)</f>
        <v>1498.2</v>
      </c>
      <c r="E62" s="6">
        <f>IFERROR(__xludf.DUMMYFUNCTION("""COMPUTED_VALUE"""),1599.99)</f>
        <v>1599.99</v>
      </c>
      <c r="F62" s="6">
        <f>IFERROR(__xludf.DUMMYFUNCTION("""COMPUTED_VALUE"""),1578310.0)</f>
        <v>1578310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IFERROR(__xludf.DUMMYFUNCTION("""COMPUTED_VALUE"""),1603.2)</f>
        <v>1603.2</v>
      </c>
      <c r="C63" s="6">
        <f>IFERROR(__xludf.DUMMYFUNCTION("""COMPUTED_VALUE"""),1680.93)</f>
        <v>1680.93</v>
      </c>
      <c r="D63" s="6">
        <f>IFERROR(__xludf.DUMMYFUNCTION("""COMPUTED_VALUE"""),1603.2)</f>
        <v>1603.2</v>
      </c>
      <c r="E63" s="6">
        <f>IFERROR(__xludf.DUMMYFUNCTION("""COMPUTED_VALUE"""),1651.06)</f>
        <v>1651.06</v>
      </c>
      <c r="F63" s="6">
        <f>IFERROR(__xludf.DUMMYFUNCTION("""COMPUTED_VALUE"""),1572962.0)</f>
        <v>1572962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IFERROR(__xludf.DUMMYFUNCTION("""COMPUTED_VALUE"""),1648.0)</f>
        <v>1648</v>
      </c>
      <c r="C64" s="6">
        <f>IFERROR(__xludf.DUMMYFUNCTION("""COMPUTED_VALUE"""),1731.26)</f>
        <v>1731.26</v>
      </c>
      <c r="D64" s="6">
        <f>IFERROR(__xludf.DUMMYFUNCTION("""COMPUTED_VALUE"""),1645.83)</f>
        <v>1645.83</v>
      </c>
      <c r="E64" s="6">
        <f>IFERROR(__xludf.DUMMYFUNCTION("""COMPUTED_VALUE"""),1696.78)</f>
        <v>1696.78</v>
      </c>
      <c r="F64" s="6">
        <f>IFERROR(__xludf.DUMMYFUNCTION("""COMPUTED_VALUE"""),1587660.0)</f>
        <v>1587660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IFERROR(__xludf.DUMMYFUNCTION("""COMPUTED_VALUE"""),1697.0)</f>
        <v>1697</v>
      </c>
      <c r="C65" s="6">
        <f>IFERROR(__xludf.DUMMYFUNCTION("""COMPUTED_VALUE"""),1755.73)</f>
        <v>1755.73</v>
      </c>
      <c r="D65" s="6">
        <f>IFERROR(__xludf.DUMMYFUNCTION("""COMPUTED_VALUE"""),1680.2)</f>
        <v>1680.2</v>
      </c>
      <c r="E65" s="6">
        <f>IFERROR(__xludf.DUMMYFUNCTION("""COMPUTED_VALUE"""),1740.48)</f>
        <v>1740.48</v>
      </c>
      <c r="F65" s="6">
        <f>IFERROR(__xludf.DUMMYFUNCTION("""COMPUTED_VALUE"""),1187285.0)</f>
        <v>1187285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IFERROR(__xludf.DUMMYFUNCTION("""COMPUTED_VALUE"""),1744.99)</f>
        <v>1744.99</v>
      </c>
      <c r="C66" s="6">
        <f>IFERROR(__xludf.DUMMYFUNCTION("""COMPUTED_VALUE"""),1789.49)</f>
        <v>1789.49</v>
      </c>
      <c r="D66" s="6">
        <f>IFERROR(__xludf.DUMMYFUNCTION("""COMPUTED_VALUE"""),1691.39)</f>
        <v>1691.39</v>
      </c>
      <c r="E66" s="6">
        <f>IFERROR(__xludf.DUMMYFUNCTION("""COMPUTED_VALUE"""),1698.99)</f>
        <v>1698.99</v>
      </c>
      <c r="F66" s="6">
        <f>IFERROR(__xludf.DUMMYFUNCTION("""COMPUTED_VALUE"""),1200935.0)</f>
        <v>1200935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IFERROR(__xludf.DUMMYFUNCTION("""COMPUTED_VALUE"""),1701.18)</f>
        <v>1701.18</v>
      </c>
      <c r="C67" s="6">
        <f>IFERROR(__xludf.DUMMYFUNCTION("""COMPUTED_VALUE"""),1755.07)</f>
        <v>1755.07</v>
      </c>
      <c r="D67" s="6">
        <f>IFERROR(__xludf.DUMMYFUNCTION("""COMPUTED_VALUE"""),1701.11)</f>
        <v>1701.11</v>
      </c>
      <c r="E67" s="6">
        <f>IFERROR(__xludf.DUMMYFUNCTION("""COMPUTED_VALUE"""),1727.49)</f>
        <v>1727.49</v>
      </c>
      <c r="F67" s="6">
        <f>IFERROR(__xludf.DUMMYFUNCTION("""COMPUTED_VALUE"""),723338.0)</f>
        <v>723338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IFERROR(__xludf.DUMMYFUNCTION("""COMPUTED_VALUE"""),1727.49)</f>
        <v>1727.49</v>
      </c>
      <c r="C68" s="6">
        <f>IFERROR(__xludf.DUMMYFUNCTION("""COMPUTED_VALUE"""),1817.0)</f>
        <v>1817</v>
      </c>
      <c r="D68" s="6">
        <f>IFERROR(__xludf.DUMMYFUNCTION("""COMPUTED_VALUE"""),1687.0)</f>
        <v>1687</v>
      </c>
      <c r="E68" s="6">
        <f>IFERROR(__xludf.DUMMYFUNCTION("""COMPUTED_VALUE"""),1805.1)</f>
        <v>1805.1</v>
      </c>
      <c r="F68" s="6">
        <f>IFERROR(__xludf.DUMMYFUNCTION("""COMPUTED_VALUE"""),2134421.0)</f>
        <v>2134421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IFERROR(__xludf.DUMMYFUNCTION("""COMPUTED_VALUE"""),1824.0)</f>
        <v>1824</v>
      </c>
      <c r="C69" s="6">
        <f>IFERROR(__xludf.DUMMYFUNCTION("""COMPUTED_VALUE"""),1825.78)</f>
        <v>1825.78</v>
      </c>
      <c r="D69" s="6">
        <f>IFERROR(__xludf.DUMMYFUNCTION("""COMPUTED_VALUE"""),1564.45)</f>
        <v>1564.45</v>
      </c>
      <c r="E69" s="6">
        <f>IFERROR(__xludf.DUMMYFUNCTION("""COMPUTED_VALUE"""),1567.14)</f>
        <v>1567.14</v>
      </c>
      <c r="F69" s="6">
        <f>IFERROR(__xludf.DUMMYFUNCTION("""COMPUTED_VALUE"""),2137998.0)</f>
        <v>2137998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IFERROR(__xludf.DUMMYFUNCTION("""COMPUTED_VALUE"""),1533.0)</f>
        <v>1533</v>
      </c>
      <c r="C70" s="6">
        <f>IFERROR(__xludf.DUMMYFUNCTION("""COMPUTED_VALUE"""),1556.0)</f>
        <v>1556</v>
      </c>
      <c r="D70" s="6">
        <f>IFERROR(__xludf.DUMMYFUNCTION("""COMPUTED_VALUE"""),1442.14)</f>
        <v>1442.14</v>
      </c>
      <c r="E70" s="6">
        <f>IFERROR(__xludf.DUMMYFUNCTION("""COMPUTED_VALUE"""),1549.63)</f>
        <v>1549.63</v>
      </c>
      <c r="F70" s="6">
        <f>IFERROR(__xludf.DUMMYFUNCTION("""COMPUTED_VALUE"""),1897822.0)</f>
        <v>1897822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IFERROR(__xludf.DUMMYFUNCTION("""COMPUTED_VALUE"""),1551.2)</f>
        <v>1551.2</v>
      </c>
      <c r="C71" s="6">
        <f>IFERROR(__xludf.DUMMYFUNCTION("""COMPUTED_VALUE"""),1569.76)</f>
        <v>1569.76</v>
      </c>
      <c r="D71" s="6">
        <f>IFERROR(__xludf.DUMMYFUNCTION("""COMPUTED_VALUE"""),1427.41)</f>
        <v>1427.41</v>
      </c>
      <c r="E71" s="6">
        <f>IFERROR(__xludf.DUMMYFUNCTION("""COMPUTED_VALUE"""),1489.41)</f>
        <v>1489.41</v>
      </c>
      <c r="F71" s="6">
        <f>IFERROR(__xludf.DUMMYFUNCTION("""COMPUTED_VALUE"""),1461162.0)</f>
        <v>1461162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IFERROR(__xludf.DUMMYFUNCTION("""COMPUTED_VALUE"""),1548.02)</f>
        <v>1548.02</v>
      </c>
      <c r="C72" s="6">
        <f>IFERROR(__xludf.DUMMYFUNCTION("""COMPUTED_VALUE"""),1637.0)</f>
        <v>1637</v>
      </c>
      <c r="D72" s="6">
        <f>IFERROR(__xludf.DUMMYFUNCTION("""COMPUTED_VALUE"""),1526.98)</f>
        <v>1526.98</v>
      </c>
      <c r="E72" s="6">
        <f>IFERROR(__xludf.DUMMYFUNCTION("""COMPUTED_VALUE"""),1572.02)</f>
        <v>1572.02</v>
      </c>
      <c r="F72" s="6">
        <f>IFERROR(__xludf.DUMMYFUNCTION("""COMPUTED_VALUE"""),1830784.0)</f>
        <v>1830784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IFERROR(__xludf.DUMMYFUNCTION("""COMPUTED_VALUE"""),1576.8)</f>
        <v>1576.8</v>
      </c>
      <c r="C73" s="6">
        <f>IFERROR(__xludf.DUMMYFUNCTION("""COMPUTED_VALUE"""),1600.0)</f>
        <v>1600</v>
      </c>
      <c r="D73" s="6">
        <f>IFERROR(__xludf.DUMMYFUNCTION("""COMPUTED_VALUE"""),1479.61)</f>
        <v>1479.61</v>
      </c>
      <c r="E73" s="6">
        <f>IFERROR(__xludf.DUMMYFUNCTION("""COMPUTED_VALUE"""),1497.1)</f>
        <v>1497.1</v>
      </c>
      <c r="F73" s="6">
        <f>IFERROR(__xludf.DUMMYFUNCTION("""COMPUTED_VALUE"""),1196242.0)</f>
        <v>1196242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IFERROR(__xludf.DUMMYFUNCTION("""COMPUTED_VALUE"""),1480.02)</f>
        <v>1480.02</v>
      </c>
      <c r="C74" s="6">
        <f>IFERROR(__xludf.DUMMYFUNCTION("""COMPUTED_VALUE"""),1566.39)</f>
        <v>1566.39</v>
      </c>
      <c r="D74" s="6">
        <f>IFERROR(__xludf.DUMMYFUNCTION("""COMPUTED_VALUE"""),1445.35)</f>
        <v>1445.35</v>
      </c>
      <c r="E74" s="6">
        <f>IFERROR(__xludf.DUMMYFUNCTION("""COMPUTED_VALUE"""),1507.42)</f>
        <v>1507.42</v>
      </c>
      <c r="F74" s="6">
        <f>IFERROR(__xludf.DUMMYFUNCTION("""COMPUTED_VALUE"""),1090202.0)</f>
        <v>1090202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IFERROR(__xludf.DUMMYFUNCTION("""COMPUTED_VALUE"""),1491.0)</f>
        <v>1491</v>
      </c>
      <c r="C75" s="6">
        <f>IFERROR(__xludf.DUMMYFUNCTION("""COMPUTED_VALUE"""),1493.0)</f>
        <v>1493</v>
      </c>
      <c r="D75" s="6">
        <f>IFERROR(__xludf.DUMMYFUNCTION("""COMPUTED_VALUE"""),1380.2)</f>
        <v>1380.2</v>
      </c>
      <c r="E75" s="6">
        <f>IFERROR(__xludf.DUMMYFUNCTION("""COMPUTED_VALUE"""),1398.53)</f>
        <v>1398.53</v>
      </c>
      <c r="F75" s="6">
        <f>IFERROR(__xludf.DUMMYFUNCTION("""COMPUTED_VALUE"""),2222279.0)</f>
        <v>2222279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IFERROR(__xludf.DUMMYFUNCTION("""COMPUTED_VALUE"""),1394.7)</f>
        <v>1394.7</v>
      </c>
      <c r="C76" s="6">
        <f>IFERROR(__xludf.DUMMYFUNCTION("""COMPUTED_VALUE"""),1413.76)</f>
        <v>1413.76</v>
      </c>
      <c r="D76" s="6">
        <f>IFERROR(__xludf.DUMMYFUNCTION("""COMPUTED_VALUE"""),1332.49)</f>
        <v>1332.49</v>
      </c>
      <c r="E76" s="6">
        <f>IFERROR(__xludf.DUMMYFUNCTION("""COMPUTED_VALUE"""),1366.77)</f>
        <v>1366.77</v>
      </c>
      <c r="F76" s="6">
        <f>IFERROR(__xludf.DUMMYFUNCTION("""COMPUTED_VALUE"""),1413633.0)</f>
        <v>1413633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IFERROR(__xludf.DUMMYFUNCTION("""COMPUTED_VALUE"""),1366.77)</f>
        <v>1366.77</v>
      </c>
      <c r="C77" s="6">
        <f>IFERROR(__xludf.DUMMYFUNCTION("""COMPUTED_VALUE"""),1381.7)</f>
        <v>1381.7</v>
      </c>
      <c r="D77" s="6">
        <f>IFERROR(__xludf.DUMMYFUNCTION("""COMPUTED_VALUE"""),1269.91)</f>
        <v>1269.91</v>
      </c>
      <c r="E77" s="6">
        <f>IFERROR(__xludf.DUMMYFUNCTION("""COMPUTED_VALUE"""),1276.51)</f>
        <v>1276.51</v>
      </c>
      <c r="F77" s="6">
        <f>IFERROR(__xludf.DUMMYFUNCTION("""COMPUTED_VALUE"""),1449228.0)</f>
        <v>1449228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IFERROR(__xludf.DUMMYFUNCTION("""COMPUTED_VALUE"""),1284.21)</f>
        <v>1284.21</v>
      </c>
      <c r="C78" s="6">
        <f>IFERROR(__xludf.DUMMYFUNCTION("""COMPUTED_VALUE"""),1387.29)</f>
        <v>1387.29</v>
      </c>
      <c r="D78" s="6">
        <f>IFERROR(__xludf.DUMMYFUNCTION("""COMPUTED_VALUE"""),1270.57)</f>
        <v>1270.57</v>
      </c>
      <c r="E78" s="6">
        <f>IFERROR(__xludf.DUMMYFUNCTION("""COMPUTED_VALUE"""),1383.2)</f>
        <v>1383.2</v>
      </c>
      <c r="F78" s="6">
        <f>IFERROR(__xludf.DUMMYFUNCTION("""COMPUTED_VALUE"""),1523488.0)</f>
        <v>1523488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IFERROR(__xludf.DUMMYFUNCTION("""COMPUTED_VALUE"""),1399.4)</f>
        <v>1399.4</v>
      </c>
      <c r="C79" s="6">
        <f>IFERROR(__xludf.DUMMYFUNCTION("""COMPUTED_VALUE"""),1485.98)</f>
        <v>1485.98</v>
      </c>
      <c r="D79" s="6">
        <f>IFERROR(__xludf.DUMMYFUNCTION("""COMPUTED_VALUE"""),1386.07)</f>
        <v>1386.07</v>
      </c>
      <c r="E79" s="6">
        <f>IFERROR(__xludf.DUMMYFUNCTION("""COMPUTED_VALUE"""),1436.28)</f>
        <v>1436.28</v>
      </c>
      <c r="F79" s="6">
        <f>IFERROR(__xludf.DUMMYFUNCTION("""COMPUTED_VALUE"""),2084071.0)</f>
        <v>2084071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IFERROR(__xludf.DUMMYFUNCTION("""COMPUTED_VALUE"""),1436.28)</f>
        <v>1436.28</v>
      </c>
      <c r="C80" s="6">
        <f>IFERROR(__xludf.DUMMYFUNCTION("""COMPUTED_VALUE"""),1436.28)</f>
        <v>1436.28</v>
      </c>
      <c r="D80" s="6">
        <f>IFERROR(__xludf.DUMMYFUNCTION("""COMPUTED_VALUE"""),1265.02)</f>
        <v>1265.02</v>
      </c>
      <c r="E80" s="6">
        <f>IFERROR(__xludf.DUMMYFUNCTION("""COMPUTED_VALUE"""),1279.32)</f>
        <v>1279.32</v>
      </c>
      <c r="F80" s="6">
        <f>IFERROR(__xludf.DUMMYFUNCTION("""COMPUTED_VALUE"""),1369416.0)</f>
        <v>1369416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IFERROR(__xludf.DUMMYFUNCTION("""COMPUTED_VALUE"""),1157.0)</f>
        <v>1157</v>
      </c>
      <c r="C81" s="6">
        <f>IFERROR(__xludf.DUMMYFUNCTION("""COMPUTED_VALUE"""),1342.0)</f>
        <v>1342</v>
      </c>
      <c r="D81" s="6">
        <f>IFERROR(__xludf.DUMMYFUNCTION("""COMPUTED_VALUE"""),1157.0)</f>
        <v>1157</v>
      </c>
      <c r="E81" s="6">
        <f>IFERROR(__xludf.DUMMYFUNCTION("""COMPUTED_VALUE"""),1309.06)</f>
        <v>1309.06</v>
      </c>
      <c r="F81" s="6">
        <f>IFERROR(__xludf.DUMMYFUNCTION("""COMPUTED_VALUE"""),1642519.0)</f>
        <v>1642519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IFERROR(__xludf.DUMMYFUNCTION("""COMPUTED_VALUE"""),1355.3)</f>
        <v>1355.3</v>
      </c>
      <c r="C82" s="6">
        <f>IFERROR(__xludf.DUMMYFUNCTION("""COMPUTED_VALUE"""),1362.5)</f>
        <v>1362.5</v>
      </c>
      <c r="D82" s="6">
        <f>IFERROR(__xludf.DUMMYFUNCTION("""COMPUTED_VALUE"""),1312.3)</f>
        <v>1312.3</v>
      </c>
      <c r="E82" s="6">
        <f>IFERROR(__xludf.DUMMYFUNCTION("""COMPUTED_VALUE"""),1346.9)</f>
        <v>1346.9</v>
      </c>
      <c r="F82" s="6">
        <f>IFERROR(__xludf.DUMMYFUNCTION("""COMPUTED_VALUE"""),680288.0)</f>
        <v>680288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IFERROR(__xludf.DUMMYFUNCTION("""COMPUTED_VALUE"""),1358.0)</f>
        <v>1358</v>
      </c>
      <c r="C83" s="6">
        <f>IFERROR(__xludf.DUMMYFUNCTION("""COMPUTED_VALUE"""),1450.0)</f>
        <v>1450</v>
      </c>
      <c r="D83" s="6">
        <f>IFERROR(__xludf.DUMMYFUNCTION("""COMPUTED_VALUE"""),1354.9)</f>
        <v>1354.9</v>
      </c>
      <c r="E83" s="6">
        <f>IFERROR(__xludf.DUMMYFUNCTION("""COMPUTED_VALUE"""),1407.7)</f>
        <v>1407.7</v>
      </c>
      <c r="F83" s="6">
        <f>IFERROR(__xludf.DUMMYFUNCTION("""COMPUTED_VALUE"""),1330268.0)</f>
        <v>1330268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IFERROR(__xludf.DUMMYFUNCTION("""COMPUTED_VALUE"""),1401.0)</f>
        <v>1401</v>
      </c>
      <c r="C84" s="6">
        <f>IFERROR(__xludf.DUMMYFUNCTION("""COMPUTED_VALUE"""),1443.0)</f>
        <v>1443</v>
      </c>
      <c r="D84" s="6">
        <f>IFERROR(__xludf.DUMMYFUNCTION("""COMPUTED_VALUE"""),1382.8)</f>
        <v>1382.8</v>
      </c>
      <c r="E84" s="6">
        <f>IFERROR(__xludf.DUMMYFUNCTION("""COMPUTED_VALUE"""),1428.3)</f>
        <v>1428.3</v>
      </c>
      <c r="F84" s="6">
        <f>IFERROR(__xludf.DUMMYFUNCTION("""COMPUTED_VALUE"""),733356.0)</f>
        <v>733356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IFERROR(__xludf.DUMMYFUNCTION("""COMPUTED_VALUE"""),1428.3)</f>
        <v>1428.3</v>
      </c>
      <c r="C85" s="6">
        <f>IFERROR(__xludf.DUMMYFUNCTION("""COMPUTED_VALUE"""),1453.6)</f>
        <v>1453.6</v>
      </c>
      <c r="D85" s="6">
        <f>IFERROR(__xludf.DUMMYFUNCTION("""COMPUTED_VALUE"""),1319.0)</f>
        <v>1319</v>
      </c>
      <c r="E85" s="6">
        <f>IFERROR(__xludf.DUMMYFUNCTION("""COMPUTED_VALUE"""),1375.0)</f>
        <v>1375</v>
      </c>
      <c r="F85" s="6">
        <f>IFERROR(__xludf.DUMMYFUNCTION("""COMPUTED_VALUE"""),1659818.0)</f>
        <v>1659818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IFERROR(__xludf.DUMMYFUNCTION("""COMPUTED_VALUE"""),1404.5)</f>
        <v>1404.5</v>
      </c>
      <c r="C86" s="6">
        <f>IFERROR(__xludf.DUMMYFUNCTION("""COMPUTED_VALUE"""),1525.0)</f>
        <v>1525</v>
      </c>
      <c r="D86" s="6">
        <f>IFERROR(__xludf.DUMMYFUNCTION("""COMPUTED_VALUE"""),1392.0)</f>
        <v>1392</v>
      </c>
      <c r="E86" s="6">
        <f>IFERROR(__xludf.DUMMYFUNCTION("""COMPUTED_VALUE"""),1509.5)</f>
        <v>1509.5</v>
      </c>
      <c r="F86" s="6">
        <f>IFERROR(__xludf.DUMMYFUNCTION("""COMPUTED_VALUE"""),4487993.0)</f>
        <v>4487993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IFERROR(__xludf.DUMMYFUNCTION("""COMPUTED_VALUE"""),1509.5)</f>
        <v>1509.5</v>
      </c>
      <c r="C87" s="6">
        <f>IFERROR(__xludf.DUMMYFUNCTION("""COMPUTED_VALUE"""),1515.0)</f>
        <v>1515</v>
      </c>
      <c r="D87" s="6">
        <f>IFERROR(__xludf.DUMMYFUNCTION("""COMPUTED_VALUE"""),1432.5)</f>
        <v>1432.5</v>
      </c>
      <c r="E87" s="6">
        <f>IFERROR(__xludf.DUMMYFUNCTION("""COMPUTED_VALUE"""),1489.0)</f>
        <v>1489</v>
      </c>
      <c r="F87" s="6">
        <f>IFERROR(__xludf.DUMMYFUNCTION("""COMPUTED_VALUE"""),3620524.0)</f>
        <v>3620524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IFERROR(__xludf.DUMMYFUNCTION("""COMPUTED_VALUE"""),1495.0)</f>
        <v>1495</v>
      </c>
      <c r="C88" s="6">
        <f>IFERROR(__xludf.DUMMYFUNCTION("""COMPUTED_VALUE"""),1497.0)</f>
        <v>1497</v>
      </c>
      <c r="D88" s="6">
        <f>IFERROR(__xludf.DUMMYFUNCTION("""COMPUTED_VALUE"""),1405.5)</f>
        <v>1405.5</v>
      </c>
      <c r="E88" s="6">
        <f>IFERROR(__xludf.DUMMYFUNCTION("""COMPUTED_VALUE"""),1427.5)</f>
        <v>1427.5</v>
      </c>
      <c r="F88" s="6">
        <f>IFERROR(__xludf.DUMMYFUNCTION("""COMPUTED_VALUE"""),7768383.0)</f>
        <v>7768383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IFERROR(__xludf.DUMMYFUNCTION("""COMPUTED_VALUE"""),1411.0)</f>
        <v>1411</v>
      </c>
      <c r="C89" s="6">
        <f>IFERROR(__xludf.DUMMYFUNCTION("""COMPUTED_VALUE"""),1510.6)</f>
        <v>1510.6</v>
      </c>
      <c r="D89" s="6">
        <f>IFERROR(__xludf.DUMMYFUNCTION("""COMPUTED_VALUE"""),1396.1)</f>
        <v>1396.1</v>
      </c>
      <c r="E89" s="6">
        <f>IFERROR(__xludf.DUMMYFUNCTION("""COMPUTED_VALUE"""),1507.2)</f>
        <v>1507.2</v>
      </c>
      <c r="F89" s="6">
        <f>IFERROR(__xludf.DUMMYFUNCTION("""COMPUTED_VALUE"""),6764075.0)</f>
        <v>6764075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IFERROR(__xludf.DUMMYFUNCTION("""COMPUTED_VALUE"""),1510.0)</f>
        <v>1510</v>
      </c>
      <c r="C90" s="6">
        <f>IFERROR(__xludf.DUMMYFUNCTION("""COMPUTED_VALUE"""),1550.0)</f>
        <v>1550</v>
      </c>
      <c r="D90" s="6">
        <f>IFERROR(__xludf.DUMMYFUNCTION("""COMPUTED_VALUE"""),1435.0)</f>
        <v>1435</v>
      </c>
      <c r="E90" s="6">
        <f>IFERROR(__xludf.DUMMYFUNCTION("""COMPUTED_VALUE"""),1459.8)</f>
        <v>1459.8</v>
      </c>
      <c r="F90" s="6">
        <f>IFERROR(__xludf.DUMMYFUNCTION("""COMPUTED_VALUE"""),5385303.0)</f>
        <v>5385303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IFERROR(__xludf.DUMMYFUNCTION("""COMPUTED_VALUE"""),1457.0)</f>
        <v>1457</v>
      </c>
      <c r="C91" s="6">
        <f>IFERROR(__xludf.DUMMYFUNCTION("""COMPUTED_VALUE"""),1511.4)</f>
        <v>1511.4</v>
      </c>
      <c r="D91" s="6">
        <f>IFERROR(__xludf.DUMMYFUNCTION("""COMPUTED_VALUE"""),1452.1)</f>
        <v>1452.1</v>
      </c>
      <c r="E91" s="6">
        <f>IFERROR(__xludf.DUMMYFUNCTION("""COMPUTED_VALUE"""),1505.1)</f>
        <v>1505.1</v>
      </c>
      <c r="F91" s="6">
        <f>IFERROR(__xludf.DUMMYFUNCTION("""COMPUTED_VALUE"""),4930254.0)</f>
        <v>4930254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IFERROR(__xludf.DUMMYFUNCTION("""COMPUTED_VALUE"""),1490.0)</f>
        <v>1490</v>
      </c>
      <c r="C92" s="6">
        <f>IFERROR(__xludf.DUMMYFUNCTION("""COMPUTED_VALUE"""),1537.2)</f>
        <v>1537.2</v>
      </c>
      <c r="D92" s="6">
        <f>IFERROR(__xludf.DUMMYFUNCTION("""COMPUTED_VALUE"""),1467.9)</f>
        <v>1467.9</v>
      </c>
      <c r="E92" s="6">
        <f>IFERROR(__xludf.DUMMYFUNCTION("""COMPUTED_VALUE"""),1508.1)</f>
        <v>1508.1</v>
      </c>
      <c r="F92" s="6">
        <f>IFERROR(__xludf.DUMMYFUNCTION("""COMPUTED_VALUE"""),9424733.0)</f>
        <v>9424733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IFERROR(__xludf.DUMMYFUNCTION("""COMPUTED_VALUE"""),1522.6)</f>
        <v>1522.6</v>
      </c>
      <c r="C93" s="6">
        <f>IFERROR(__xludf.DUMMYFUNCTION("""COMPUTED_VALUE"""),1530.0)</f>
        <v>1530</v>
      </c>
      <c r="D93" s="6">
        <f>IFERROR(__xludf.DUMMYFUNCTION("""COMPUTED_VALUE"""),1430.9)</f>
        <v>1430.9</v>
      </c>
      <c r="E93" s="6">
        <f>IFERROR(__xludf.DUMMYFUNCTION("""COMPUTED_VALUE"""),1486.4)</f>
        <v>1486.4</v>
      </c>
      <c r="F93" s="6">
        <f>IFERROR(__xludf.DUMMYFUNCTION("""COMPUTED_VALUE"""),5935400.0)</f>
        <v>5935400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IFERROR(__xludf.DUMMYFUNCTION("""COMPUTED_VALUE"""),1485.0)</f>
        <v>1485</v>
      </c>
      <c r="C94" s="6">
        <f>IFERROR(__xludf.DUMMYFUNCTION("""COMPUTED_VALUE"""),1489.0)</f>
        <v>1489</v>
      </c>
      <c r="D94" s="6">
        <f>IFERROR(__xludf.DUMMYFUNCTION("""COMPUTED_VALUE"""),1371.1)</f>
        <v>1371.1</v>
      </c>
      <c r="E94" s="6">
        <f>IFERROR(__xludf.DUMMYFUNCTION("""COMPUTED_VALUE"""),1375.2)</f>
        <v>1375.2</v>
      </c>
      <c r="F94" s="6">
        <f>IFERROR(__xludf.DUMMYFUNCTION("""COMPUTED_VALUE"""),9049648.0)</f>
        <v>9049648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IFERROR(__xludf.DUMMYFUNCTION("""COMPUTED_VALUE"""),1375.5)</f>
        <v>1375.5</v>
      </c>
      <c r="C95" s="6">
        <f>IFERROR(__xludf.DUMMYFUNCTION("""COMPUTED_VALUE"""),1407.3)</f>
        <v>1407.3</v>
      </c>
      <c r="D95" s="6">
        <f>IFERROR(__xludf.DUMMYFUNCTION("""COMPUTED_VALUE"""),1354.0)</f>
        <v>1354</v>
      </c>
      <c r="E95" s="6">
        <f>IFERROR(__xludf.DUMMYFUNCTION("""COMPUTED_VALUE"""),1364.8)</f>
        <v>1364.8</v>
      </c>
      <c r="F95" s="6">
        <f>IFERROR(__xludf.DUMMYFUNCTION("""COMPUTED_VALUE"""),8377793.0)</f>
        <v>8377793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IFERROR(__xludf.DUMMYFUNCTION("""COMPUTED_VALUE"""),1364.8)</f>
        <v>1364.8</v>
      </c>
      <c r="C96" s="6">
        <f>IFERROR(__xludf.DUMMYFUNCTION("""COMPUTED_VALUE"""),1485.0)</f>
        <v>1485</v>
      </c>
      <c r="D96" s="6">
        <f>IFERROR(__xludf.DUMMYFUNCTION("""COMPUTED_VALUE"""),1363.2)</f>
        <v>1363.2</v>
      </c>
      <c r="E96" s="6">
        <f>IFERROR(__xludf.DUMMYFUNCTION("""COMPUTED_VALUE"""),1436.5)</f>
        <v>1436.5</v>
      </c>
      <c r="F96" s="6">
        <f>IFERROR(__xludf.DUMMYFUNCTION("""COMPUTED_VALUE"""),8465265.0)</f>
        <v>8465265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IFERROR(__xludf.DUMMYFUNCTION("""COMPUTED_VALUE"""),1430.0)</f>
        <v>1430</v>
      </c>
      <c r="C97" s="6">
        <f>IFERROR(__xludf.DUMMYFUNCTION("""COMPUTED_VALUE"""),1431.9)</f>
        <v>1431.9</v>
      </c>
      <c r="D97" s="6">
        <f>IFERROR(__xludf.DUMMYFUNCTION("""COMPUTED_VALUE"""),1364.2)</f>
        <v>1364.2</v>
      </c>
      <c r="E97" s="6">
        <f>IFERROR(__xludf.DUMMYFUNCTION("""COMPUTED_VALUE"""),1367.9)</f>
        <v>1367.9</v>
      </c>
      <c r="F97" s="6">
        <f>IFERROR(__xludf.DUMMYFUNCTION("""COMPUTED_VALUE"""),6571895.0)</f>
        <v>6571895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IFERROR(__xludf.DUMMYFUNCTION("""COMPUTED_VALUE"""),1369.0)</f>
        <v>1369</v>
      </c>
      <c r="C98" s="6">
        <f>IFERROR(__xludf.DUMMYFUNCTION("""COMPUTED_VALUE"""),1377.4)</f>
        <v>1377.4</v>
      </c>
      <c r="D98" s="6">
        <f>IFERROR(__xludf.DUMMYFUNCTION("""COMPUTED_VALUE"""),1311.2)</f>
        <v>1311.2</v>
      </c>
      <c r="E98" s="6">
        <f>IFERROR(__xludf.DUMMYFUNCTION("""COMPUTED_VALUE"""),1332.0)</f>
        <v>1332</v>
      </c>
      <c r="F98" s="6">
        <f>IFERROR(__xludf.DUMMYFUNCTION("""COMPUTED_VALUE"""),1.0949819E7)</f>
        <v>10949819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IFERROR(__xludf.DUMMYFUNCTION("""COMPUTED_VALUE"""),1307.9)</f>
        <v>1307.9</v>
      </c>
      <c r="C99" s="6">
        <f>IFERROR(__xludf.DUMMYFUNCTION("""COMPUTED_VALUE"""),1385.5)</f>
        <v>1385.5</v>
      </c>
      <c r="D99" s="6">
        <f>IFERROR(__xludf.DUMMYFUNCTION("""COMPUTED_VALUE"""),1287.1)</f>
        <v>1287.1</v>
      </c>
      <c r="E99" s="6">
        <f>IFERROR(__xludf.DUMMYFUNCTION("""COMPUTED_VALUE"""),1365.4)</f>
        <v>1365.4</v>
      </c>
      <c r="F99" s="6">
        <f>IFERROR(__xludf.DUMMYFUNCTION("""COMPUTED_VALUE"""),1.4586103E7)</f>
        <v>14586103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IFERROR(__xludf.DUMMYFUNCTION("""COMPUTED_VALUE"""),1390.0)</f>
        <v>1390</v>
      </c>
      <c r="C100" s="6">
        <f>IFERROR(__xludf.DUMMYFUNCTION("""COMPUTED_VALUE"""),1437.8)</f>
        <v>1437.8</v>
      </c>
      <c r="D100" s="6">
        <f>IFERROR(__xludf.DUMMYFUNCTION("""COMPUTED_VALUE"""),1343.6)</f>
        <v>1343.6</v>
      </c>
      <c r="E100" s="6">
        <f>IFERROR(__xludf.DUMMYFUNCTION("""COMPUTED_VALUE"""),1380.6)</f>
        <v>1380.6</v>
      </c>
      <c r="F100" s="6">
        <f>IFERROR(__xludf.DUMMYFUNCTION("""COMPUTED_VALUE"""),7290824.0)</f>
        <v>7290824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IFERROR(__xludf.DUMMYFUNCTION("""COMPUTED_VALUE"""),1387.5)</f>
        <v>1387.5</v>
      </c>
      <c r="C101" s="6">
        <f>IFERROR(__xludf.DUMMYFUNCTION("""COMPUTED_VALUE"""),1420.3)</f>
        <v>1420.3</v>
      </c>
      <c r="D101" s="6">
        <f>IFERROR(__xludf.DUMMYFUNCTION("""COMPUTED_VALUE"""),1384.1)</f>
        <v>1384.1</v>
      </c>
      <c r="E101" s="6">
        <f>IFERROR(__xludf.DUMMYFUNCTION("""COMPUTED_VALUE"""),1395.7)</f>
        <v>1395.7</v>
      </c>
      <c r="F101" s="6">
        <f>IFERROR(__xludf.DUMMYFUNCTION("""COMPUTED_VALUE"""),2.4076674E7)</f>
        <v>24076674</v>
      </c>
    </row>
  </sheetData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IFERROR(__xludf.DUMMYFUNCTION("GOOGLEFINANCE(""NSE:NESTLEIND"",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IFERROR(__xludf.DUMMYFUNCTION("""COMPUTED_VALUE"""),1109.58)</f>
        <v>1109.58</v>
      </c>
      <c r="C2" s="6">
        <f>IFERROR(__xludf.DUMMYFUNCTION("""COMPUTED_VALUE"""),1114.45)</f>
        <v>1114.45</v>
      </c>
      <c r="D2" s="6">
        <f>IFERROR(__xludf.DUMMYFUNCTION("""COMPUTED_VALUE"""),1083.5)</f>
        <v>1083.5</v>
      </c>
      <c r="E2" s="6">
        <f>IFERROR(__xludf.DUMMYFUNCTION("""COMPUTED_VALUE"""),1095.78)</f>
        <v>1095.78</v>
      </c>
      <c r="F2" s="6">
        <f>IFERROR(__xludf.DUMMYFUNCTION("""COMPUTED_VALUE"""),427681.0)</f>
        <v>427681</v>
      </c>
    </row>
    <row r="3">
      <c r="A3" s="7">
        <f>IFERROR(__xludf.DUMMYFUNCTION("""COMPUTED_VALUE"""),45177.64583333333)</f>
        <v>45177.64583</v>
      </c>
      <c r="B3" s="6">
        <f>IFERROR(__xludf.DUMMYFUNCTION("""COMPUTED_VALUE"""),1098.76)</f>
        <v>1098.76</v>
      </c>
      <c r="C3" s="6">
        <f>IFERROR(__xludf.DUMMYFUNCTION("""COMPUTED_VALUE"""),1105.0)</f>
        <v>1105</v>
      </c>
      <c r="D3" s="6">
        <f>IFERROR(__xludf.DUMMYFUNCTION("""COMPUTED_VALUE"""),1081.63)</f>
        <v>1081.63</v>
      </c>
      <c r="E3" s="6">
        <f>IFERROR(__xludf.DUMMYFUNCTION("""COMPUTED_VALUE"""),1094.16)</f>
        <v>1094.16</v>
      </c>
      <c r="F3" s="6">
        <f>IFERROR(__xludf.DUMMYFUNCTION("""COMPUTED_VALUE"""),264332.0)</f>
        <v>264332</v>
      </c>
    </row>
    <row r="4">
      <c r="A4" s="7">
        <f>IFERROR(__xludf.DUMMYFUNCTION("""COMPUTED_VALUE"""),45184.64583333333)</f>
        <v>45184.64583</v>
      </c>
      <c r="B4" s="6">
        <f>IFERROR(__xludf.DUMMYFUNCTION("""COMPUTED_VALUE"""),1095.5)</f>
        <v>1095.5</v>
      </c>
      <c r="C4" s="6">
        <f>IFERROR(__xludf.DUMMYFUNCTION("""COMPUTED_VALUE"""),1135.05)</f>
        <v>1135.05</v>
      </c>
      <c r="D4" s="6">
        <f>IFERROR(__xludf.DUMMYFUNCTION("""COMPUTED_VALUE"""),1093.67)</f>
        <v>1093.67</v>
      </c>
      <c r="E4" s="6">
        <f>IFERROR(__xludf.DUMMYFUNCTION("""COMPUTED_VALUE"""),1131.12)</f>
        <v>1131.12</v>
      </c>
      <c r="F4" s="6">
        <f>IFERROR(__xludf.DUMMYFUNCTION("""COMPUTED_VALUE"""),344378.0)</f>
        <v>344378</v>
      </c>
    </row>
    <row r="5">
      <c r="A5" s="7">
        <f>IFERROR(__xludf.DUMMYFUNCTION("""COMPUTED_VALUE"""),45191.64583333333)</f>
        <v>45191.64583</v>
      </c>
      <c r="B5" s="6">
        <f>IFERROR(__xludf.DUMMYFUNCTION("""COMPUTED_VALUE"""),1131.0)</f>
        <v>1131</v>
      </c>
      <c r="C5" s="6">
        <f>IFERROR(__xludf.DUMMYFUNCTION("""COMPUTED_VALUE"""),1142.0)</f>
        <v>1142</v>
      </c>
      <c r="D5" s="6">
        <f>IFERROR(__xludf.DUMMYFUNCTION("""COMPUTED_VALUE"""),1117.5)</f>
        <v>1117.5</v>
      </c>
      <c r="E5" s="6">
        <f>IFERROR(__xludf.DUMMYFUNCTION("""COMPUTED_VALUE"""),1126.63)</f>
        <v>1126.63</v>
      </c>
      <c r="F5" s="6">
        <f>IFERROR(__xludf.DUMMYFUNCTION("""COMPUTED_VALUE"""),199466.0)</f>
        <v>199466</v>
      </c>
    </row>
    <row r="6">
      <c r="A6" s="7">
        <f>IFERROR(__xludf.DUMMYFUNCTION("""COMPUTED_VALUE"""),45198.64583333333)</f>
        <v>45198.64583</v>
      </c>
      <c r="B6" s="6">
        <f>IFERROR(__xludf.DUMMYFUNCTION("""COMPUTED_VALUE"""),1128.5)</f>
        <v>1128.5</v>
      </c>
      <c r="C6" s="6">
        <f>IFERROR(__xludf.DUMMYFUNCTION("""COMPUTED_VALUE"""),1153.15)</f>
        <v>1153.15</v>
      </c>
      <c r="D6" s="6">
        <f>IFERROR(__xludf.DUMMYFUNCTION("""COMPUTED_VALUE"""),1121.5)</f>
        <v>1121.5</v>
      </c>
      <c r="E6" s="6">
        <f>IFERROR(__xludf.DUMMYFUNCTION("""COMPUTED_VALUE"""),1125.35)</f>
        <v>1125.35</v>
      </c>
      <c r="F6" s="6">
        <f>IFERROR(__xludf.DUMMYFUNCTION("""COMPUTED_VALUE"""),239291.0)</f>
        <v>239291</v>
      </c>
    </row>
    <row r="7">
      <c r="A7" s="7">
        <f>IFERROR(__xludf.DUMMYFUNCTION("""COMPUTED_VALUE"""),45205.64583333333)</f>
        <v>45205.64583</v>
      </c>
      <c r="B7" s="6">
        <f>IFERROR(__xludf.DUMMYFUNCTION("""COMPUTED_VALUE"""),1125.35)</f>
        <v>1125.35</v>
      </c>
      <c r="C7" s="6">
        <f>IFERROR(__xludf.DUMMYFUNCTION("""COMPUTED_VALUE"""),1167.94)</f>
        <v>1167.94</v>
      </c>
      <c r="D7" s="6">
        <f>IFERROR(__xludf.DUMMYFUNCTION("""COMPUTED_VALUE"""),1112.76)</f>
        <v>1112.76</v>
      </c>
      <c r="E7" s="6">
        <f>IFERROR(__xludf.DUMMYFUNCTION("""COMPUTED_VALUE"""),1145.61)</f>
        <v>1145.61</v>
      </c>
      <c r="F7" s="6">
        <f>IFERROR(__xludf.DUMMYFUNCTION("""COMPUTED_VALUE"""),370313.0)</f>
        <v>370313</v>
      </c>
    </row>
    <row r="8">
      <c r="A8" s="7">
        <f>IFERROR(__xludf.DUMMYFUNCTION("""COMPUTED_VALUE"""),45212.64583333333)</f>
        <v>45212.64583</v>
      </c>
      <c r="B8" s="6">
        <f>IFERROR(__xludf.DUMMYFUNCTION("""COMPUTED_VALUE"""),1140.6)</f>
        <v>1140.6</v>
      </c>
      <c r="C8" s="6">
        <f>IFERROR(__xludf.DUMMYFUNCTION("""COMPUTED_VALUE"""),1179.99)</f>
        <v>1179.99</v>
      </c>
      <c r="D8" s="6">
        <f>IFERROR(__xludf.DUMMYFUNCTION("""COMPUTED_VALUE"""),1140.0)</f>
        <v>1140</v>
      </c>
      <c r="E8" s="6">
        <f>IFERROR(__xludf.DUMMYFUNCTION("""COMPUTED_VALUE"""),1177.72)</f>
        <v>1177.72</v>
      </c>
      <c r="F8" s="6">
        <f>IFERROR(__xludf.DUMMYFUNCTION("""COMPUTED_VALUE"""),275769.0)</f>
        <v>275769</v>
      </c>
    </row>
    <row r="9">
      <c r="A9" s="7">
        <f>IFERROR(__xludf.DUMMYFUNCTION("""COMPUTED_VALUE"""),45219.64583333333)</f>
        <v>45219.64583</v>
      </c>
      <c r="B9" s="6">
        <f>IFERROR(__xludf.DUMMYFUNCTION("""COMPUTED_VALUE"""),1177.5)</f>
        <v>1177.5</v>
      </c>
      <c r="C9" s="6">
        <f>IFERROR(__xludf.DUMMYFUNCTION("""COMPUTED_VALUE"""),1237.25)</f>
        <v>1237.25</v>
      </c>
      <c r="D9" s="6">
        <f>IFERROR(__xludf.DUMMYFUNCTION("""COMPUTED_VALUE"""),1148.75)</f>
        <v>1148.75</v>
      </c>
      <c r="E9" s="6">
        <f>IFERROR(__xludf.DUMMYFUNCTION("""COMPUTED_VALUE"""),1213.98)</f>
        <v>1213.98</v>
      </c>
      <c r="F9" s="6">
        <f>IFERROR(__xludf.DUMMYFUNCTION("""COMPUTED_VALUE"""),660791.0)</f>
        <v>660791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IFERROR(__xludf.DUMMYFUNCTION("""COMPUTED_VALUE"""),1215.0)</f>
        <v>1215</v>
      </c>
      <c r="C10" s="6">
        <f>IFERROR(__xludf.DUMMYFUNCTION("""COMPUTED_VALUE"""),1233.75)</f>
        <v>1233.75</v>
      </c>
      <c r="D10" s="6">
        <f>IFERROR(__xludf.DUMMYFUNCTION("""COMPUTED_VALUE"""),1171.05)</f>
        <v>1171.05</v>
      </c>
      <c r="E10" s="6">
        <f>IFERROR(__xludf.DUMMYFUNCTION("""COMPUTED_VALUE"""),1202.85)</f>
        <v>1202.85</v>
      </c>
      <c r="F10" s="6">
        <f>IFERROR(__xludf.DUMMYFUNCTION("""COMPUTED_VALUE"""),447957.0)</f>
        <v>447957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IFERROR(__xludf.DUMMYFUNCTION("""COMPUTED_VALUE"""),1205.0)</f>
        <v>1205</v>
      </c>
      <c r="C11" s="6">
        <f>IFERROR(__xludf.DUMMYFUNCTION("""COMPUTED_VALUE"""),1216.5)</f>
        <v>1216.5</v>
      </c>
      <c r="D11" s="6">
        <f>IFERROR(__xludf.DUMMYFUNCTION("""COMPUTED_VALUE"""),1188.66)</f>
        <v>1188.66</v>
      </c>
      <c r="E11" s="6">
        <f>IFERROR(__xludf.DUMMYFUNCTION("""COMPUTED_VALUE"""),1199.95)</f>
        <v>1199.95</v>
      </c>
      <c r="F11" s="6">
        <f>IFERROR(__xludf.DUMMYFUNCTION("""COMPUTED_VALUE"""),342725.0)</f>
        <v>342725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IFERROR(__xludf.DUMMYFUNCTION("""COMPUTED_VALUE"""),1207.5)</f>
        <v>1207.5</v>
      </c>
      <c r="C12" s="6">
        <f>IFERROR(__xludf.DUMMYFUNCTION("""COMPUTED_VALUE"""),1224.0)</f>
        <v>1224</v>
      </c>
      <c r="D12" s="6">
        <f>IFERROR(__xludf.DUMMYFUNCTION("""COMPUTED_VALUE"""),1202.78)</f>
        <v>1202.78</v>
      </c>
      <c r="E12" s="6">
        <f>IFERROR(__xludf.DUMMYFUNCTION("""COMPUTED_VALUE"""),1206.86)</f>
        <v>1206.86</v>
      </c>
      <c r="F12" s="6">
        <f>IFERROR(__xludf.DUMMYFUNCTION("""COMPUTED_VALUE"""),234086.0)</f>
        <v>234086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IFERROR(__xludf.DUMMYFUNCTION("""COMPUTED_VALUE"""),1217.0)</f>
        <v>1217</v>
      </c>
      <c r="C13" s="6">
        <f>IFERROR(__xludf.DUMMYFUNCTION("""COMPUTED_VALUE"""),1224.24)</f>
        <v>1224.24</v>
      </c>
      <c r="D13" s="6">
        <f>IFERROR(__xludf.DUMMYFUNCTION("""COMPUTED_VALUE"""),1200.4)</f>
        <v>1200.4</v>
      </c>
      <c r="E13" s="6">
        <f>IFERROR(__xludf.DUMMYFUNCTION("""COMPUTED_VALUE"""),1218.65)</f>
        <v>1218.65</v>
      </c>
      <c r="F13" s="6">
        <f>IFERROR(__xludf.DUMMYFUNCTION("""COMPUTED_VALUE"""),251052.0)</f>
        <v>251052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IFERROR(__xludf.DUMMYFUNCTION("""COMPUTED_VALUE"""),1218.75)</f>
        <v>1218.75</v>
      </c>
      <c r="C14" s="6">
        <f>IFERROR(__xludf.DUMMYFUNCTION("""COMPUTED_VALUE"""),1229.49)</f>
        <v>1229.49</v>
      </c>
      <c r="D14" s="6">
        <f>IFERROR(__xludf.DUMMYFUNCTION("""COMPUTED_VALUE"""),1205.4)</f>
        <v>1205.4</v>
      </c>
      <c r="E14" s="6">
        <f>IFERROR(__xludf.DUMMYFUNCTION("""COMPUTED_VALUE"""),1206.95)</f>
        <v>1206.95</v>
      </c>
      <c r="F14" s="6">
        <f>IFERROR(__xludf.DUMMYFUNCTION("""COMPUTED_VALUE"""),213491.0)</f>
        <v>213491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IFERROR(__xludf.DUMMYFUNCTION("""COMPUTED_VALUE"""),1206.9)</f>
        <v>1206.9</v>
      </c>
      <c r="C15" s="6">
        <f>IFERROR(__xludf.DUMMYFUNCTION("""COMPUTED_VALUE"""),1218.25)</f>
        <v>1218.25</v>
      </c>
      <c r="D15" s="6">
        <f>IFERROR(__xludf.DUMMYFUNCTION("""COMPUTED_VALUE"""),1194.16)</f>
        <v>1194.16</v>
      </c>
      <c r="E15" s="6">
        <f>IFERROR(__xludf.DUMMYFUNCTION("""COMPUTED_VALUE"""),1216.93)</f>
        <v>1216.93</v>
      </c>
      <c r="F15" s="6">
        <f>IFERROR(__xludf.DUMMYFUNCTION("""COMPUTED_VALUE"""),361265.0)</f>
        <v>361265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IFERROR(__xludf.DUMMYFUNCTION("""COMPUTED_VALUE"""),1219.45)</f>
        <v>1219.45</v>
      </c>
      <c r="C16" s="6">
        <f>IFERROR(__xludf.DUMMYFUNCTION("""COMPUTED_VALUE"""),1258.79)</f>
        <v>1258.79</v>
      </c>
      <c r="D16" s="6">
        <f>IFERROR(__xludf.DUMMYFUNCTION("""COMPUTED_VALUE"""),1206.93)</f>
        <v>1206.93</v>
      </c>
      <c r="E16" s="6">
        <f>IFERROR(__xludf.DUMMYFUNCTION("""COMPUTED_VALUE"""),1239.48)</f>
        <v>1239.48</v>
      </c>
      <c r="F16" s="6">
        <f>IFERROR(__xludf.DUMMYFUNCTION("""COMPUTED_VALUE"""),376348.0)</f>
        <v>376348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IFERROR(__xludf.DUMMYFUNCTION("""COMPUTED_VALUE"""),1244.0)</f>
        <v>1244</v>
      </c>
      <c r="C17" s="6">
        <f>IFERROR(__xludf.DUMMYFUNCTION("""COMPUTED_VALUE"""),1262.04)</f>
        <v>1262.04</v>
      </c>
      <c r="D17" s="6">
        <f>IFERROR(__xludf.DUMMYFUNCTION("""COMPUTED_VALUE"""),1211.0)</f>
        <v>1211</v>
      </c>
      <c r="E17" s="6">
        <f>IFERROR(__xludf.DUMMYFUNCTION("""COMPUTED_VALUE"""),1218.32)</f>
        <v>1218.32</v>
      </c>
      <c r="F17" s="6">
        <f>IFERROR(__xludf.DUMMYFUNCTION("""COMPUTED_VALUE"""),426899.0)</f>
        <v>426899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IFERROR(__xludf.DUMMYFUNCTION("""COMPUTED_VALUE"""),1222.5)</f>
        <v>1222.5</v>
      </c>
      <c r="C18" s="6">
        <f>IFERROR(__xludf.DUMMYFUNCTION("""COMPUTED_VALUE"""),1288.92)</f>
        <v>1288.92</v>
      </c>
      <c r="D18" s="6">
        <f>IFERROR(__xludf.DUMMYFUNCTION("""COMPUTED_VALUE"""),1214.95)</f>
        <v>1214.95</v>
      </c>
      <c r="E18" s="6">
        <f>IFERROR(__xludf.DUMMYFUNCTION("""COMPUTED_VALUE"""),1268.42)</f>
        <v>1268.42</v>
      </c>
      <c r="F18" s="6">
        <f>IFERROR(__xludf.DUMMYFUNCTION("""COMPUTED_VALUE"""),763144.0)</f>
        <v>763144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IFERROR(__xludf.DUMMYFUNCTION("""COMPUTED_VALUE"""),1274.3)</f>
        <v>1274.3</v>
      </c>
      <c r="C19" s="6">
        <f>IFERROR(__xludf.DUMMYFUNCTION("""COMPUTED_VALUE"""),1332.5)</f>
        <v>1332.5</v>
      </c>
      <c r="D19" s="6">
        <f>IFERROR(__xludf.DUMMYFUNCTION("""COMPUTED_VALUE"""),1268.25)</f>
        <v>1268.25</v>
      </c>
      <c r="E19" s="6">
        <f>IFERROR(__xludf.DUMMYFUNCTION("""COMPUTED_VALUE"""),1329.02)</f>
        <v>1329.02</v>
      </c>
      <c r="F19" s="6">
        <f>IFERROR(__xludf.DUMMYFUNCTION("""COMPUTED_VALUE"""),394381.0)</f>
        <v>394381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IFERROR(__xludf.DUMMYFUNCTION("""COMPUTED_VALUE"""),1332.5)</f>
        <v>1332.5</v>
      </c>
      <c r="C20" s="6">
        <f>IFERROR(__xludf.DUMMYFUNCTION("""COMPUTED_VALUE"""),1384.65)</f>
        <v>1384.65</v>
      </c>
      <c r="D20" s="6">
        <f>IFERROR(__xludf.DUMMYFUNCTION("""COMPUTED_VALUE"""),1321.23)</f>
        <v>1321.23</v>
      </c>
      <c r="E20" s="6">
        <f>IFERROR(__xludf.DUMMYFUNCTION("""COMPUTED_VALUE"""),1333.2)</f>
        <v>1333.2</v>
      </c>
      <c r="F20" s="6">
        <f>IFERROR(__xludf.DUMMYFUNCTION("""COMPUTED_VALUE"""),3083987.0)</f>
        <v>3083987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IFERROR(__xludf.DUMMYFUNCTION("""COMPUTED_VALUE"""),1341.5)</f>
        <v>1341.5</v>
      </c>
      <c r="C21" s="6">
        <f>IFERROR(__xludf.DUMMYFUNCTION("""COMPUTED_VALUE"""),1344.5)</f>
        <v>1344.5</v>
      </c>
      <c r="D21" s="6">
        <f>IFERROR(__xludf.DUMMYFUNCTION("""COMPUTED_VALUE"""),1265.0)</f>
        <v>1265</v>
      </c>
      <c r="E21" s="6">
        <f>IFERROR(__xludf.DUMMYFUNCTION("""COMPUTED_VALUE"""),1274.8)</f>
        <v>1274.8</v>
      </c>
      <c r="F21" s="6">
        <f>IFERROR(__xludf.DUMMYFUNCTION("""COMPUTED_VALUE"""),4754595.0)</f>
        <v>4754595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IFERROR(__xludf.DUMMYFUNCTION("""COMPUTED_VALUE"""),1240.0)</f>
        <v>1240</v>
      </c>
      <c r="C22" s="6">
        <f>IFERROR(__xludf.DUMMYFUNCTION("""COMPUTED_VALUE"""),1264.0)</f>
        <v>1264</v>
      </c>
      <c r="D22" s="6">
        <f>IFERROR(__xludf.DUMMYFUNCTION("""COMPUTED_VALUE"""),1223.0)</f>
        <v>1223</v>
      </c>
      <c r="E22" s="6">
        <f>IFERROR(__xludf.DUMMYFUNCTION("""COMPUTED_VALUE"""),1241.08)</f>
        <v>1241.08</v>
      </c>
      <c r="F22" s="6">
        <f>IFERROR(__xludf.DUMMYFUNCTION("""COMPUTED_VALUE"""),2135349.0)</f>
        <v>2135349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IFERROR(__xludf.DUMMYFUNCTION("""COMPUTED_VALUE"""),1241.08)</f>
        <v>1241.08</v>
      </c>
      <c r="C23" s="6">
        <f>IFERROR(__xludf.DUMMYFUNCTION("""COMPUTED_VALUE"""),1265.58)</f>
        <v>1265.58</v>
      </c>
      <c r="D23" s="6">
        <f>IFERROR(__xludf.DUMMYFUNCTION("""COMPUTED_VALUE"""),1231.35)</f>
        <v>1231.35</v>
      </c>
      <c r="E23" s="6">
        <f>IFERROR(__xludf.DUMMYFUNCTION("""COMPUTED_VALUE"""),1240.7)</f>
        <v>1240.7</v>
      </c>
      <c r="F23" s="6">
        <f>IFERROR(__xludf.DUMMYFUNCTION("""COMPUTED_VALUE"""),3591474.0)</f>
        <v>3591474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IFERROR(__xludf.DUMMYFUNCTION("""COMPUTED_VALUE"""),1252.5)</f>
        <v>1252.5</v>
      </c>
      <c r="C24" s="6">
        <f>IFERROR(__xludf.DUMMYFUNCTION("""COMPUTED_VALUE"""),1256.93)</f>
        <v>1256.93</v>
      </c>
      <c r="D24" s="6">
        <f>IFERROR(__xludf.DUMMYFUNCTION("""COMPUTED_VALUE"""),1204.55)</f>
        <v>1204.55</v>
      </c>
      <c r="E24" s="6">
        <f>IFERROR(__xludf.DUMMYFUNCTION("""COMPUTED_VALUE"""),1225.05)</f>
        <v>1225.05</v>
      </c>
      <c r="F24" s="6">
        <f>IFERROR(__xludf.DUMMYFUNCTION("""COMPUTED_VALUE"""),5343830.0)</f>
        <v>5343830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IFERROR(__xludf.DUMMYFUNCTION("""COMPUTED_VALUE"""),1229.88)</f>
        <v>1229.88</v>
      </c>
      <c r="C25" s="6">
        <f>IFERROR(__xludf.DUMMYFUNCTION("""COMPUTED_VALUE"""),1248.68)</f>
        <v>1248.68</v>
      </c>
      <c r="D25" s="6">
        <f>IFERROR(__xludf.DUMMYFUNCTION("""COMPUTED_VALUE"""),1217.53)</f>
        <v>1217.53</v>
      </c>
      <c r="E25" s="6">
        <f>IFERROR(__xludf.DUMMYFUNCTION("""COMPUTED_VALUE"""),1243.83)</f>
        <v>1243.83</v>
      </c>
      <c r="F25" s="6">
        <f>IFERROR(__xludf.DUMMYFUNCTION("""COMPUTED_VALUE"""),2852654.0)</f>
        <v>2852654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IFERROR(__xludf.DUMMYFUNCTION("""COMPUTED_VALUE"""),1247.5)</f>
        <v>1247.5</v>
      </c>
      <c r="C26" s="6">
        <f>IFERROR(__xludf.DUMMYFUNCTION("""COMPUTED_VALUE"""),1291.5)</f>
        <v>1291.5</v>
      </c>
      <c r="D26" s="6">
        <f>IFERROR(__xludf.DUMMYFUNCTION("""COMPUTED_VALUE"""),1240.7)</f>
        <v>1240.7</v>
      </c>
      <c r="E26" s="6">
        <f>IFERROR(__xludf.DUMMYFUNCTION("""COMPUTED_VALUE"""),1289.5)</f>
        <v>1289.5</v>
      </c>
      <c r="F26" s="6">
        <f>IFERROR(__xludf.DUMMYFUNCTION("""COMPUTED_VALUE"""),3360136.0)</f>
        <v>3360136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IFERROR(__xludf.DUMMYFUNCTION("""COMPUTED_VALUE"""),1297.45)</f>
        <v>1297.45</v>
      </c>
      <c r="C27" s="6">
        <f>IFERROR(__xludf.DUMMYFUNCTION("""COMPUTED_VALUE"""),1300.55)</f>
        <v>1300.55</v>
      </c>
      <c r="D27" s="6">
        <f>IFERROR(__xludf.DUMMYFUNCTION("""COMPUTED_VALUE"""),1254.13)</f>
        <v>1254.13</v>
      </c>
      <c r="E27" s="6">
        <f>IFERROR(__xludf.DUMMYFUNCTION("""COMPUTED_VALUE"""),1280.47)</f>
        <v>1280.47</v>
      </c>
      <c r="F27" s="6">
        <f>IFERROR(__xludf.DUMMYFUNCTION("""COMPUTED_VALUE"""),2613904.0)</f>
        <v>2613904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IFERROR(__xludf.DUMMYFUNCTION("""COMPUTED_VALUE"""),1280.47)</f>
        <v>1280.47</v>
      </c>
      <c r="C28" s="6">
        <f>IFERROR(__xludf.DUMMYFUNCTION("""COMPUTED_VALUE"""),1326.83)</f>
        <v>1326.83</v>
      </c>
      <c r="D28" s="6">
        <f>IFERROR(__xludf.DUMMYFUNCTION("""COMPUTED_VALUE"""),1274.28)</f>
        <v>1274.28</v>
      </c>
      <c r="E28" s="6">
        <f>IFERROR(__xludf.DUMMYFUNCTION("""COMPUTED_VALUE"""),1301.83)</f>
        <v>1301.83</v>
      </c>
      <c r="F28" s="6">
        <f>IFERROR(__xludf.DUMMYFUNCTION("""COMPUTED_VALUE"""),6562325.0)</f>
        <v>6562325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IFERROR(__xludf.DUMMYFUNCTION("""COMPUTED_VALUE"""),1301.83)</f>
        <v>1301.83</v>
      </c>
      <c r="C29" s="6">
        <f>IFERROR(__xludf.DUMMYFUNCTION("""COMPUTED_VALUE"""),1305.4)</f>
        <v>1305.4</v>
      </c>
      <c r="D29" s="6">
        <f>IFERROR(__xludf.DUMMYFUNCTION("""COMPUTED_VALUE"""),1234.08)</f>
        <v>1234.08</v>
      </c>
      <c r="E29" s="6">
        <f>IFERROR(__xludf.DUMMYFUNCTION("""COMPUTED_VALUE"""),1286.7)</f>
        <v>1286.7</v>
      </c>
      <c r="F29" s="6">
        <f>IFERROR(__xludf.DUMMYFUNCTION("""COMPUTED_VALUE"""),5008545.0)</f>
        <v>5008545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IFERROR(__xludf.DUMMYFUNCTION("""COMPUTED_VALUE"""),1284.0)</f>
        <v>1284</v>
      </c>
      <c r="C30" s="6">
        <f>IFERROR(__xludf.DUMMYFUNCTION("""COMPUTED_VALUE"""),1319.35)</f>
        <v>1319.35</v>
      </c>
      <c r="D30" s="6">
        <f>IFERROR(__xludf.DUMMYFUNCTION("""COMPUTED_VALUE"""),1266.08)</f>
        <v>1266.08</v>
      </c>
      <c r="E30" s="6">
        <f>IFERROR(__xludf.DUMMYFUNCTION("""COMPUTED_VALUE"""),1311.18)</f>
        <v>1311.18</v>
      </c>
      <c r="F30" s="6">
        <f>IFERROR(__xludf.DUMMYFUNCTION("""COMPUTED_VALUE"""),4054364.0)</f>
        <v>4054364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IFERROR(__xludf.DUMMYFUNCTION("""COMPUTED_VALUE"""),1311.18)</f>
        <v>1311.18</v>
      </c>
      <c r="C31" s="6">
        <f>IFERROR(__xludf.DUMMYFUNCTION("""COMPUTED_VALUE"""),1321.3)</f>
        <v>1321.3</v>
      </c>
      <c r="D31" s="6">
        <f>IFERROR(__xludf.DUMMYFUNCTION("""COMPUTED_VALUE"""),1257.05)</f>
        <v>1257.05</v>
      </c>
      <c r="E31" s="6">
        <f>IFERROR(__xludf.DUMMYFUNCTION("""COMPUTED_VALUE"""),1268.83)</f>
        <v>1268.83</v>
      </c>
      <c r="F31" s="6">
        <f>IFERROR(__xludf.DUMMYFUNCTION("""COMPUTED_VALUE"""),5548657.0)</f>
        <v>5548657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IFERROR(__xludf.DUMMYFUNCTION("""COMPUTED_VALUE"""),1265.5)</f>
        <v>1265.5</v>
      </c>
      <c r="C32" s="6">
        <f>IFERROR(__xludf.DUMMYFUNCTION("""COMPUTED_VALUE"""),1279.5)</f>
        <v>1279.5</v>
      </c>
      <c r="D32" s="6">
        <f>IFERROR(__xludf.DUMMYFUNCTION("""COMPUTED_VALUE"""),1246.43)</f>
        <v>1246.43</v>
      </c>
      <c r="E32" s="6">
        <f>IFERROR(__xludf.DUMMYFUNCTION("""COMPUTED_VALUE"""),1268.1)</f>
        <v>1268.1</v>
      </c>
      <c r="F32" s="6">
        <f>IFERROR(__xludf.DUMMYFUNCTION("""COMPUTED_VALUE"""),3387276.0)</f>
        <v>3387276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IFERROR(__xludf.DUMMYFUNCTION("""COMPUTED_VALUE"""),1255.0)</f>
        <v>1255</v>
      </c>
      <c r="C33" s="6">
        <f>IFERROR(__xludf.DUMMYFUNCTION("""COMPUTED_VALUE"""),1291.83)</f>
        <v>1291.83</v>
      </c>
      <c r="D33" s="6">
        <f>IFERROR(__xludf.DUMMYFUNCTION("""COMPUTED_VALUE"""),1205.0)</f>
        <v>1205</v>
      </c>
      <c r="E33" s="6">
        <f>IFERROR(__xludf.DUMMYFUNCTION("""COMPUTED_VALUE"""),1218.85)</f>
        <v>1218.85</v>
      </c>
      <c r="F33" s="6">
        <f>IFERROR(__xludf.DUMMYFUNCTION("""COMPUTED_VALUE"""),6805529.0)</f>
        <v>6805529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IFERROR(__xludf.DUMMYFUNCTION("""COMPUTED_VALUE"""),1218.25)</f>
        <v>1218.25</v>
      </c>
      <c r="C34" s="6">
        <f>IFERROR(__xludf.DUMMYFUNCTION("""COMPUTED_VALUE"""),1291.4)</f>
        <v>1291.4</v>
      </c>
      <c r="D34" s="6">
        <f>IFERROR(__xludf.DUMMYFUNCTION("""COMPUTED_VALUE"""),1212.97)</f>
        <v>1212.97</v>
      </c>
      <c r="E34" s="6">
        <f>IFERROR(__xludf.DUMMYFUNCTION("""COMPUTED_VALUE"""),1241.38)</f>
        <v>1241.38</v>
      </c>
      <c r="F34" s="6">
        <f>IFERROR(__xludf.DUMMYFUNCTION("""COMPUTED_VALUE"""),7662708.0)</f>
        <v>7662708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IFERROR(__xludf.DUMMYFUNCTION("""COMPUTED_VALUE"""),1251.0)</f>
        <v>1251</v>
      </c>
      <c r="C35" s="6">
        <f>IFERROR(__xludf.DUMMYFUNCTION("""COMPUTED_VALUE"""),1270.5)</f>
        <v>1270.5</v>
      </c>
      <c r="D35" s="6">
        <f>IFERROR(__xludf.DUMMYFUNCTION("""COMPUTED_VALUE"""),1218.13)</f>
        <v>1218.13</v>
      </c>
      <c r="E35" s="6">
        <f>IFERROR(__xludf.DUMMYFUNCTION("""COMPUTED_VALUE"""),1228.05)</f>
        <v>1228.05</v>
      </c>
      <c r="F35" s="6">
        <f>IFERROR(__xludf.DUMMYFUNCTION("""COMPUTED_VALUE"""),3674844.0)</f>
        <v>3674844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IFERROR(__xludf.DUMMYFUNCTION("""COMPUTED_VALUE"""),1237.2)</f>
        <v>1237.2</v>
      </c>
      <c r="C36" s="6">
        <f>IFERROR(__xludf.DUMMYFUNCTION("""COMPUTED_VALUE"""),1274.95)</f>
        <v>1274.95</v>
      </c>
      <c r="D36" s="6">
        <f>IFERROR(__xludf.DUMMYFUNCTION("""COMPUTED_VALUE"""),1223.47)</f>
        <v>1223.47</v>
      </c>
      <c r="E36" s="6">
        <f>IFERROR(__xludf.DUMMYFUNCTION("""COMPUTED_VALUE"""),1266.6)</f>
        <v>1266.6</v>
      </c>
      <c r="F36" s="6">
        <f>IFERROR(__xludf.DUMMYFUNCTION("""COMPUTED_VALUE"""),3888096.0)</f>
        <v>3888096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IFERROR(__xludf.DUMMYFUNCTION("""COMPUTED_VALUE"""),1233.0)</f>
        <v>1233</v>
      </c>
      <c r="C37" s="6">
        <f>IFERROR(__xludf.DUMMYFUNCTION("""COMPUTED_VALUE"""),1244.8)</f>
        <v>1244.8</v>
      </c>
      <c r="D37" s="6">
        <f>IFERROR(__xludf.DUMMYFUNCTION("""COMPUTED_VALUE"""),1216.0)</f>
        <v>1216</v>
      </c>
      <c r="E37" s="6">
        <f>IFERROR(__xludf.DUMMYFUNCTION("""COMPUTED_VALUE"""),1233.88)</f>
        <v>1233.88</v>
      </c>
      <c r="F37" s="6">
        <f>IFERROR(__xludf.DUMMYFUNCTION("""COMPUTED_VALUE"""),3310213.0)</f>
        <v>3310213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IFERROR(__xludf.DUMMYFUNCTION("""COMPUTED_VALUE"""),1238.5)</f>
        <v>1238.5</v>
      </c>
      <c r="C38" s="6">
        <f>IFERROR(__xludf.DUMMYFUNCTION("""COMPUTED_VALUE"""),1248.5)</f>
        <v>1248.5</v>
      </c>
      <c r="D38" s="6">
        <f>IFERROR(__xludf.DUMMYFUNCTION("""COMPUTED_VALUE"""),1172.5)</f>
        <v>1172.5</v>
      </c>
      <c r="E38" s="6">
        <f>IFERROR(__xludf.DUMMYFUNCTION("""COMPUTED_VALUE"""),1177.45)</f>
        <v>1177.45</v>
      </c>
      <c r="F38" s="6">
        <f>IFERROR(__xludf.DUMMYFUNCTION("""COMPUTED_VALUE"""),5734290.0)</f>
        <v>5734290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IFERROR(__xludf.DUMMYFUNCTION("""COMPUTED_VALUE"""),1187.4)</f>
        <v>1187.4</v>
      </c>
      <c r="C39" s="6">
        <f>IFERROR(__xludf.DUMMYFUNCTION("""COMPUTED_VALUE"""),1287.03)</f>
        <v>1287.03</v>
      </c>
      <c r="D39" s="6">
        <f>IFERROR(__xludf.DUMMYFUNCTION("""COMPUTED_VALUE"""),1163.72)</f>
        <v>1163.72</v>
      </c>
      <c r="E39" s="6">
        <f>IFERROR(__xludf.DUMMYFUNCTION("""COMPUTED_VALUE"""),1251.22)</f>
        <v>1251.22</v>
      </c>
      <c r="F39" s="6">
        <f>IFERROR(__xludf.DUMMYFUNCTION("""COMPUTED_VALUE"""),6643167.0)</f>
        <v>6643167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IFERROR(__xludf.DUMMYFUNCTION("""COMPUTED_VALUE"""),1255.0)</f>
        <v>1255</v>
      </c>
      <c r="C40" s="6">
        <f>IFERROR(__xludf.DUMMYFUNCTION("""COMPUTED_VALUE"""),1307.22)</f>
        <v>1307.22</v>
      </c>
      <c r="D40" s="6">
        <f>IFERROR(__xludf.DUMMYFUNCTION("""COMPUTED_VALUE"""),1253.53)</f>
        <v>1253.53</v>
      </c>
      <c r="E40" s="6">
        <f>IFERROR(__xludf.DUMMYFUNCTION("""COMPUTED_VALUE"""),1271.25)</f>
        <v>1271.25</v>
      </c>
      <c r="F40" s="6">
        <f>IFERROR(__xludf.DUMMYFUNCTION("""COMPUTED_VALUE"""),3355737.0)</f>
        <v>3355737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IFERROR(__xludf.DUMMYFUNCTION("""COMPUTED_VALUE"""),1274.5)</f>
        <v>1274.5</v>
      </c>
      <c r="C41" s="6">
        <f>IFERROR(__xludf.DUMMYFUNCTION("""COMPUTED_VALUE"""),1279.8)</f>
        <v>1279.8</v>
      </c>
      <c r="D41" s="6">
        <f>IFERROR(__xludf.DUMMYFUNCTION("""COMPUTED_VALUE"""),1244.25)</f>
        <v>1244.25</v>
      </c>
      <c r="E41" s="6">
        <f>IFERROR(__xludf.DUMMYFUNCTION("""COMPUTED_VALUE"""),1249.2)</f>
        <v>1249.2</v>
      </c>
      <c r="F41" s="6">
        <f>IFERROR(__xludf.DUMMYFUNCTION("""COMPUTED_VALUE"""),2972818.0)</f>
        <v>2972818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IFERROR(__xludf.DUMMYFUNCTION("""COMPUTED_VALUE"""),1249.2)</f>
        <v>1249.2</v>
      </c>
      <c r="C42" s="6">
        <f>IFERROR(__xludf.DUMMYFUNCTION("""COMPUTED_VALUE"""),1286.85)</f>
        <v>1286.85</v>
      </c>
      <c r="D42" s="6">
        <f>IFERROR(__xludf.DUMMYFUNCTION("""COMPUTED_VALUE"""),1242.25)</f>
        <v>1242.25</v>
      </c>
      <c r="E42" s="6">
        <f>IFERROR(__xludf.DUMMYFUNCTION("""COMPUTED_VALUE"""),1275.83)</f>
        <v>1275.83</v>
      </c>
      <c r="F42" s="6">
        <f>IFERROR(__xludf.DUMMYFUNCTION("""COMPUTED_VALUE"""),3564631.0)</f>
        <v>3564631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IFERROR(__xludf.DUMMYFUNCTION("""COMPUTED_VALUE"""),1279.9)</f>
        <v>1279.9</v>
      </c>
      <c r="C43" s="6">
        <f>IFERROR(__xludf.DUMMYFUNCTION("""COMPUTED_VALUE"""),1295.55)</f>
        <v>1295.55</v>
      </c>
      <c r="D43" s="6">
        <f>IFERROR(__xludf.DUMMYFUNCTION("""COMPUTED_VALUE"""),1266.25)</f>
        <v>1266.25</v>
      </c>
      <c r="E43" s="6">
        <f>IFERROR(__xludf.DUMMYFUNCTION("""COMPUTED_VALUE"""),1287.08)</f>
        <v>1287.08</v>
      </c>
      <c r="F43" s="6">
        <f>IFERROR(__xludf.DUMMYFUNCTION("""COMPUTED_VALUE"""),2926759.0)</f>
        <v>2926759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IFERROR(__xludf.DUMMYFUNCTION("""COMPUTED_VALUE"""),1287.08)</f>
        <v>1287.08</v>
      </c>
      <c r="C44" s="6">
        <f>IFERROR(__xludf.DUMMYFUNCTION("""COMPUTED_VALUE"""),1324.98)</f>
        <v>1324.98</v>
      </c>
      <c r="D44" s="6">
        <f>IFERROR(__xludf.DUMMYFUNCTION("""COMPUTED_VALUE"""),1280.72)</f>
        <v>1280.72</v>
      </c>
      <c r="E44" s="6">
        <f>IFERROR(__xludf.DUMMYFUNCTION("""COMPUTED_VALUE"""),1304.5)</f>
        <v>1304.5</v>
      </c>
      <c r="F44" s="6">
        <f>IFERROR(__xludf.DUMMYFUNCTION("""COMPUTED_VALUE"""),3871531.0)</f>
        <v>3871531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IFERROR(__xludf.DUMMYFUNCTION("""COMPUTED_VALUE"""),1304.53)</f>
        <v>1304.53</v>
      </c>
      <c r="C45" s="6">
        <f>IFERROR(__xludf.DUMMYFUNCTION("""COMPUTED_VALUE"""),1322.75)</f>
        <v>1322.75</v>
      </c>
      <c r="D45" s="6">
        <f>IFERROR(__xludf.DUMMYFUNCTION("""COMPUTED_VALUE"""),1284.53)</f>
        <v>1284.53</v>
      </c>
      <c r="E45" s="6">
        <f>IFERROR(__xludf.DUMMYFUNCTION("""COMPUTED_VALUE"""),1298.93)</f>
        <v>1298.93</v>
      </c>
      <c r="F45" s="6">
        <f>IFERROR(__xludf.DUMMYFUNCTION("""COMPUTED_VALUE"""),2510763.0)</f>
        <v>2510763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IFERROR(__xludf.DUMMYFUNCTION("""COMPUTED_VALUE"""),1298.93)</f>
        <v>1298.93</v>
      </c>
      <c r="C46" s="6">
        <f>IFERROR(__xludf.DUMMYFUNCTION("""COMPUTED_VALUE"""),1315.0)</f>
        <v>1315</v>
      </c>
      <c r="D46" s="6">
        <f>IFERROR(__xludf.DUMMYFUNCTION("""COMPUTED_VALUE"""),1225.75)</f>
        <v>1225.75</v>
      </c>
      <c r="E46" s="6">
        <f>IFERROR(__xludf.DUMMYFUNCTION("""COMPUTED_VALUE"""),1238.45)</f>
        <v>1238.45</v>
      </c>
      <c r="F46" s="6">
        <f>IFERROR(__xludf.DUMMYFUNCTION("""COMPUTED_VALUE"""),8113588.0)</f>
        <v>8113588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IFERROR(__xludf.DUMMYFUNCTION("""COMPUTED_VALUE"""),1241.8)</f>
        <v>1241.8</v>
      </c>
      <c r="C47" s="6">
        <f>IFERROR(__xludf.DUMMYFUNCTION("""COMPUTED_VALUE"""),1257.0)</f>
        <v>1257</v>
      </c>
      <c r="D47" s="6">
        <f>IFERROR(__xludf.DUMMYFUNCTION("""COMPUTED_VALUE"""),1225.5)</f>
        <v>1225.5</v>
      </c>
      <c r="E47" s="6">
        <f>IFERROR(__xludf.DUMMYFUNCTION("""COMPUTED_VALUE"""),1247.55)</f>
        <v>1247.55</v>
      </c>
      <c r="F47" s="6">
        <f>IFERROR(__xludf.DUMMYFUNCTION("""COMPUTED_VALUE"""),5822256.0)</f>
        <v>5822256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IFERROR(__xludf.DUMMYFUNCTION("""COMPUTED_VALUE"""),1244.0)</f>
        <v>1244</v>
      </c>
      <c r="C48" s="6">
        <f>IFERROR(__xludf.DUMMYFUNCTION("""COMPUTED_VALUE"""),1264.47)</f>
        <v>1264.47</v>
      </c>
      <c r="D48" s="6">
        <f>IFERROR(__xludf.DUMMYFUNCTION("""COMPUTED_VALUE"""),1237.53)</f>
        <v>1237.53</v>
      </c>
      <c r="E48" s="6">
        <f>IFERROR(__xludf.DUMMYFUNCTION("""COMPUTED_VALUE"""),1252.35)</f>
        <v>1252.35</v>
      </c>
      <c r="F48" s="6">
        <f>IFERROR(__xludf.DUMMYFUNCTION("""COMPUTED_VALUE"""),4620323.0)</f>
        <v>4620323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IFERROR(__xludf.DUMMYFUNCTION("""COMPUTED_VALUE"""),1250.9)</f>
        <v>1250.9</v>
      </c>
      <c r="C49" s="6">
        <f>IFERROR(__xludf.DUMMYFUNCTION("""COMPUTED_VALUE"""),1266.72)</f>
        <v>1266.72</v>
      </c>
      <c r="D49" s="6">
        <f>IFERROR(__xludf.DUMMYFUNCTION("""COMPUTED_VALUE"""),1230.3)</f>
        <v>1230.3</v>
      </c>
      <c r="E49" s="6">
        <f>IFERROR(__xludf.DUMMYFUNCTION("""COMPUTED_VALUE"""),1262.72)</f>
        <v>1262.72</v>
      </c>
      <c r="F49" s="6">
        <f>IFERROR(__xludf.DUMMYFUNCTION("""COMPUTED_VALUE"""),2208576.0)</f>
        <v>2208576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IFERROR(__xludf.DUMMYFUNCTION("""COMPUTED_VALUE"""),1265.0)</f>
        <v>1265</v>
      </c>
      <c r="C50" s="6">
        <f>IFERROR(__xludf.DUMMYFUNCTION("""COMPUTED_VALUE"""),1282.53)</f>
        <v>1282.53</v>
      </c>
      <c r="D50" s="6">
        <f>IFERROR(__xludf.DUMMYFUNCTION("""COMPUTED_VALUE"""),1249.53)</f>
        <v>1249.53</v>
      </c>
      <c r="E50" s="6">
        <f>IFERROR(__xludf.DUMMYFUNCTION("""COMPUTED_VALUE"""),1264.6)</f>
        <v>1264.6</v>
      </c>
      <c r="F50" s="6">
        <f>IFERROR(__xludf.DUMMYFUNCTION("""COMPUTED_VALUE"""),2733648.0)</f>
        <v>2733648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IFERROR(__xludf.DUMMYFUNCTION("""COMPUTED_VALUE"""),1264.6)</f>
        <v>1264.6</v>
      </c>
      <c r="C51" s="6">
        <f>IFERROR(__xludf.DUMMYFUNCTION("""COMPUTED_VALUE"""),1272.5)</f>
        <v>1272.5</v>
      </c>
      <c r="D51" s="6">
        <f>IFERROR(__xludf.DUMMYFUNCTION("""COMPUTED_VALUE"""),1245.0)</f>
        <v>1245</v>
      </c>
      <c r="E51" s="6">
        <f>IFERROR(__xludf.DUMMYFUNCTION("""COMPUTED_VALUE"""),1250.38)</f>
        <v>1250.38</v>
      </c>
      <c r="F51" s="6">
        <f>IFERROR(__xludf.DUMMYFUNCTION("""COMPUTED_VALUE"""),4393906.0)</f>
        <v>4393906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IFERROR(__xludf.DUMMYFUNCTION("""COMPUTED_VALUE"""),1250.0)</f>
        <v>1250</v>
      </c>
      <c r="C52" s="6">
        <f>IFERROR(__xludf.DUMMYFUNCTION("""COMPUTED_VALUE"""),1279.5)</f>
        <v>1279.5</v>
      </c>
      <c r="D52" s="6">
        <f>IFERROR(__xludf.DUMMYFUNCTION("""COMPUTED_VALUE"""),1244.03)</f>
        <v>1244.03</v>
      </c>
      <c r="E52" s="6">
        <f>IFERROR(__xludf.DUMMYFUNCTION("""COMPUTED_VALUE"""),1251.6)</f>
        <v>1251.6</v>
      </c>
      <c r="F52" s="6">
        <f>IFERROR(__xludf.DUMMYFUNCTION("""COMPUTED_VALUE"""),4322057.0)</f>
        <v>4322057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IFERROR(__xludf.DUMMYFUNCTION("""COMPUTED_VALUE"""),1247.58)</f>
        <v>1247.58</v>
      </c>
      <c r="C53" s="6">
        <f>IFERROR(__xludf.DUMMYFUNCTION("""COMPUTED_VALUE"""),1280.8)</f>
        <v>1280.8</v>
      </c>
      <c r="D53" s="6">
        <f>IFERROR(__xludf.DUMMYFUNCTION("""COMPUTED_VALUE"""),1244.0)</f>
        <v>1244</v>
      </c>
      <c r="E53" s="6">
        <f>IFERROR(__xludf.DUMMYFUNCTION("""COMPUTED_VALUE"""),1265.7)</f>
        <v>1265.7</v>
      </c>
      <c r="F53" s="6">
        <f>IFERROR(__xludf.DUMMYFUNCTION("""COMPUTED_VALUE"""),5373171.0)</f>
        <v>5373171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IFERROR(__xludf.DUMMYFUNCTION("""COMPUTED_VALUE"""),1265.0)</f>
        <v>1265</v>
      </c>
      <c r="C54" s="6">
        <f>IFERROR(__xludf.DUMMYFUNCTION("""COMPUTED_VALUE"""),1352.13)</f>
        <v>1352.13</v>
      </c>
      <c r="D54" s="6">
        <f>IFERROR(__xludf.DUMMYFUNCTION("""COMPUTED_VALUE"""),1250.0)</f>
        <v>1250</v>
      </c>
      <c r="E54" s="6">
        <f>IFERROR(__xludf.DUMMYFUNCTION("""COMPUTED_VALUE"""),1349.78)</f>
        <v>1349.78</v>
      </c>
      <c r="F54" s="6">
        <f>IFERROR(__xludf.DUMMYFUNCTION("""COMPUTED_VALUE"""),7123660.0)</f>
        <v>7123660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IFERROR(__xludf.DUMMYFUNCTION("""COMPUTED_VALUE"""),1352.58)</f>
        <v>1352.58</v>
      </c>
      <c r="C55" s="6">
        <f>IFERROR(__xludf.DUMMYFUNCTION("""COMPUTED_VALUE"""),1389.0)</f>
        <v>1389</v>
      </c>
      <c r="D55" s="6">
        <f>IFERROR(__xludf.DUMMYFUNCTION("""COMPUTED_VALUE"""),1329.53)</f>
        <v>1329.53</v>
      </c>
      <c r="E55" s="6">
        <f>IFERROR(__xludf.DUMMYFUNCTION("""COMPUTED_VALUE"""),1372.85)</f>
        <v>1372.85</v>
      </c>
      <c r="F55" s="6">
        <f>IFERROR(__xludf.DUMMYFUNCTION("""COMPUTED_VALUE"""),5587010.0)</f>
        <v>5587010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IFERROR(__xludf.DUMMYFUNCTION("""COMPUTED_VALUE"""),1360.0)</f>
        <v>1360</v>
      </c>
      <c r="C56" s="6">
        <f>IFERROR(__xludf.DUMMYFUNCTION("""COMPUTED_VALUE"""),1370.0)</f>
        <v>1370</v>
      </c>
      <c r="D56" s="6">
        <f>IFERROR(__xludf.DUMMYFUNCTION("""COMPUTED_VALUE"""),1295.15)</f>
        <v>1295.15</v>
      </c>
      <c r="E56" s="6">
        <f>IFERROR(__xludf.DUMMYFUNCTION("""COMPUTED_VALUE"""),1299.08)</f>
        <v>1299.08</v>
      </c>
      <c r="F56" s="6">
        <f>IFERROR(__xludf.DUMMYFUNCTION("""COMPUTED_VALUE"""),3281350.0)</f>
        <v>3281350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IFERROR(__xludf.DUMMYFUNCTION("""COMPUTED_VALUE"""),1302.47)</f>
        <v>1302.47</v>
      </c>
      <c r="C57" s="6">
        <f>IFERROR(__xludf.DUMMYFUNCTION("""COMPUTED_VALUE"""),1310.0)</f>
        <v>1310</v>
      </c>
      <c r="D57" s="6">
        <f>IFERROR(__xludf.DUMMYFUNCTION("""COMPUTED_VALUE"""),1234.47)</f>
        <v>1234.47</v>
      </c>
      <c r="E57" s="6">
        <f>IFERROR(__xludf.DUMMYFUNCTION("""COMPUTED_VALUE"""),1255.9)</f>
        <v>1255.9</v>
      </c>
      <c r="F57" s="6">
        <f>IFERROR(__xludf.DUMMYFUNCTION("""COMPUTED_VALUE"""),6330089.0)</f>
        <v>6330089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IFERROR(__xludf.DUMMYFUNCTION("""COMPUTED_VALUE"""),1259.85)</f>
        <v>1259.85</v>
      </c>
      <c r="C58" s="6">
        <f>IFERROR(__xludf.DUMMYFUNCTION("""COMPUTED_VALUE"""),1259.85)</f>
        <v>1259.85</v>
      </c>
      <c r="D58" s="6">
        <f>IFERROR(__xludf.DUMMYFUNCTION("""COMPUTED_VALUE"""),1163.05)</f>
        <v>1163.05</v>
      </c>
      <c r="E58" s="6">
        <f>IFERROR(__xludf.DUMMYFUNCTION("""COMPUTED_VALUE"""),1175.13)</f>
        <v>1175.13</v>
      </c>
      <c r="F58" s="6">
        <f>IFERROR(__xludf.DUMMYFUNCTION("""COMPUTED_VALUE"""),6969120.0)</f>
        <v>6969120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IFERROR(__xludf.DUMMYFUNCTION("""COMPUTED_VALUE"""),1180.0)</f>
        <v>1180</v>
      </c>
      <c r="C59" s="6">
        <f>IFERROR(__xludf.DUMMYFUNCTION("""COMPUTED_VALUE"""),1192.5)</f>
        <v>1192.5</v>
      </c>
      <c r="D59" s="6">
        <f>IFERROR(__xludf.DUMMYFUNCTION("""COMPUTED_VALUE"""),1108.0)</f>
        <v>1108</v>
      </c>
      <c r="E59" s="6">
        <f>IFERROR(__xludf.DUMMYFUNCTION("""COMPUTED_VALUE"""),1130.35)</f>
        <v>1130.35</v>
      </c>
      <c r="F59" s="6">
        <f>IFERROR(__xludf.DUMMYFUNCTION("""COMPUTED_VALUE"""),6720102.0)</f>
        <v>6720102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IFERROR(__xludf.DUMMYFUNCTION("""COMPUTED_VALUE"""),1141.5)</f>
        <v>1141.5</v>
      </c>
      <c r="C60" s="6">
        <f>IFERROR(__xludf.DUMMYFUNCTION("""COMPUTED_VALUE"""),1149.0)</f>
        <v>1149</v>
      </c>
      <c r="D60" s="6">
        <f>IFERROR(__xludf.DUMMYFUNCTION("""COMPUTED_VALUE"""),1115.45)</f>
        <v>1115.45</v>
      </c>
      <c r="E60" s="6">
        <f>IFERROR(__xludf.DUMMYFUNCTION("""COMPUTED_VALUE"""),1147.83)</f>
        <v>1147.83</v>
      </c>
      <c r="F60" s="6">
        <f>IFERROR(__xludf.DUMMYFUNCTION("""COMPUTED_VALUE"""),4223015.0)</f>
        <v>4223015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IFERROR(__xludf.DUMMYFUNCTION("""COMPUTED_VALUE"""),1140.0)</f>
        <v>1140</v>
      </c>
      <c r="C61" s="6">
        <f>IFERROR(__xludf.DUMMYFUNCTION("""COMPUTED_VALUE"""),1147.43)</f>
        <v>1147.43</v>
      </c>
      <c r="D61" s="6">
        <f>IFERROR(__xludf.DUMMYFUNCTION("""COMPUTED_VALUE"""),1089.2)</f>
        <v>1089.2</v>
      </c>
      <c r="E61" s="6">
        <f>IFERROR(__xludf.DUMMYFUNCTION("""COMPUTED_VALUE"""),1091.4)</f>
        <v>1091.4</v>
      </c>
      <c r="F61" s="6">
        <f>IFERROR(__xludf.DUMMYFUNCTION("""COMPUTED_VALUE"""),3801560.0)</f>
        <v>3801560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IFERROR(__xludf.DUMMYFUNCTION("""COMPUTED_VALUE"""),1095.35)</f>
        <v>1095.35</v>
      </c>
      <c r="C62" s="6">
        <f>IFERROR(__xludf.DUMMYFUNCTION("""COMPUTED_VALUE"""),1126.43)</f>
        <v>1126.43</v>
      </c>
      <c r="D62" s="6">
        <f>IFERROR(__xludf.DUMMYFUNCTION("""COMPUTED_VALUE"""),1084.35)</f>
        <v>1084.35</v>
      </c>
      <c r="E62" s="6">
        <f>IFERROR(__xludf.DUMMYFUNCTION("""COMPUTED_VALUE"""),1123.65)</f>
        <v>1123.65</v>
      </c>
      <c r="F62" s="6">
        <f>IFERROR(__xludf.DUMMYFUNCTION("""COMPUTED_VALUE"""),3097527.0)</f>
        <v>3097527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IFERROR(__xludf.DUMMYFUNCTION("""COMPUTED_VALUE"""),1129.28)</f>
        <v>1129.28</v>
      </c>
      <c r="C63" s="6">
        <f>IFERROR(__xludf.DUMMYFUNCTION("""COMPUTED_VALUE"""),1144.75)</f>
        <v>1144.75</v>
      </c>
      <c r="D63" s="6">
        <f>IFERROR(__xludf.DUMMYFUNCTION("""COMPUTED_VALUE"""),1113.5)</f>
        <v>1113.5</v>
      </c>
      <c r="E63" s="6">
        <f>IFERROR(__xludf.DUMMYFUNCTION("""COMPUTED_VALUE"""),1117.33)</f>
        <v>1117.33</v>
      </c>
      <c r="F63" s="6">
        <f>IFERROR(__xludf.DUMMYFUNCTION("""COMPUTED_VALUE"""),5379823.0)</f>
        <v>5379823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IFERROR(__xludf.DUMMYFUNCTION("""COMPUTED_VALUE"""),1121.4)</f>
        <v>1121.4</v>
      </c>
      <c r="C64" s="6">
        <f>IFERROR(__xludf.DUMMYFUNCTION("""COMPUTED_VALUE"""),1145.97)</f>
        <v>1145.97</v>
      </c>
      <c r="D64" s="6">
        <f>IFERROR(__xludf.DUMMYFUNCTION("""COMPUTED_VALUE"""),1110.5)</f>
        <v>1110.5</v>
      </c>
      <c r="E64" s="6">
        <f>IFERROR(__xludf.DUMMYFUNCTION("""COMPUTED_VALUE"""),1133.9)</f>
        <v>1133.9</v>
      </c>
      <c r="F64" s="6">
        <f>IFERROR(__xludf.DUMMYFUNCTION("""COMPUTED_VALUE"""),4036758.0)</f>
        <v>4036758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IFERROR(__xludf.DUMMYFUNCTION("""COMPUTED_VALUE"""),1135.0)</f>
        <v>1135</v>
      </c>
      <c r="C65" s="6">
        <f>IFERROR(__xludf.DUMMYFUNCTION("""COMPUTED_VALUE"""),1138.3)</f>
        <v>1138.3</v>
      </c>
      <c r="D65" s="6">
        <f>IFERROR(__xludf.DUMMYFUNCTION("""COMPUTED_VALUE"""),1104.13)</f>
        <v>1104.13</v>
      </c>
      <c r="E65" s="6">
        <f>IFERROR(__xludf.DUMMYFUNCTION("""COMPUTED_VALUE"""),1126.75)</f>
        <v>1126.75</v>
      </c>
      <c r="F65" s="6">
        <f>IFERROR(__xludf.DUMMYFUNCTION("""COMPUTED_VALUE"""),4140281.0)</f>
        <v>4140281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IFERROR(__xludf.DUMMYFUNCTION("""COMPUTED_VALUE"""),1126.75)</f>
        <v>1126.75</v>
      </c>
      <c r="C66" s="6">
        <f>IFERROR(__xludf.DUMMYFUNCTION("""COMPUTED_VALUE"""),1128.75)</f>
        <v>1128.75</v>
      </c>
      <c r="D66" s="6">
        <f>IFERROR(__xludf.DUMMYFUNCTION("""COMPUTED_VALUE"""),1072.7)</f>
        <v>1072.7</v>
      </c>
      <c r="E66" s="6">
        <f>IFERROR(__xludf.DUMMYFUNCTION("""COMPUTED_VALUE"""),1081.75)</f>
        <v>1081.75</v>
      </c>
      <c r="F66" s="6">
        <f>IFERROR(__xludf.DUMMYFUNCTION("""COMPUTED_VALUE"""),6336510.0)</f>
        <v>6336510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IFERROR(__xludf.DUMMYFUNCTION("""COMPUTED_VALUE"""),1085.0)</f>
        <v>1085</v>
      </c>
      <c r="C67" s="6">
        <f>IFERROR(__xludf.DUMMYFUNCTION("""COMPUTED_VALUE"""),1090.0)</f>
        <v>1090</v>
      </c>
      <c r="D67" s="6">
        <f>IFERROR(__xludf.DUMMYFUNCTION("""COMPUTED_VALUE"""),1073.2)</f>
        <v>1073.2</v>
      </c>
      <c r="E67" s="6">
        <f>IFERROR(__xludf.DUMMYFUNCTION("""COMPUTED_VALUE"""),1082.8)</f>
        <v>1082.8</v>
      </c>
      <c r="F67" s="6">
        <f>IFERROR(__xludf.DUMMYFUNCTION("""COMPUTED_VALUE"""),1747876.0)</f>
        <v>1747876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IFERROR(__xludf.DUMMYFUNCTION("""COMPUTED_VALUE"""),1087.0)</f>
        <v>1087</v>
      </c>
      <c r="C68" s="6">
        <f>IFERROR(__xludf.DUMMYFUNCTION("""COMPUTED_VALUE"""),1118.97)</f>
        <v>1118.97</v>
      </c>
      <c r="D68" s="6">
        <f>IFERROR(__xludf.DUMMYFUNCTION("""COMPUTED_VALUE"""),1073.88)</f>
        <v>1073.88</v>
      </c>
      <c r="E68" s="6">
        <f>IFERROR(__xludf.DUMMYFUNCTION("""COMPUTED_VALUE"""),1116.35)</f>
        <v>1116.35</v>
      </c>
      <c r="F68" s="6">
        <f>IFERROR(__xludf.DUMMYFUNCTION("""COMPUTED_VALUE"""),3965951.0)</f>
        <v>3965951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IFERROR(__xludf.DUMMYFUNCTION("""COMPUTED_VALUE"""),1121.75)</f>
        <v>1121.75</v>
      </c>
      <c r="C69" s="6">
        <f>IFERROR(__xludf.DUMMYFUNCTION("""COMPUTED_VALUE"""),1139.0)</f>
        <v>1139</v>
      </c>
      <c r="D69" s="6">
        <f>IFERROR(__xludf.DUMMYFUNCTION("""COMPUTED_VALUE"""),1085.0)</f>
        <v>1085</v>
      </c>
      <c r="E69" s="6">
        <f>IFERROR(__xludf.DUMMYFUNCTION("""COMPUTED_VALUE"""),1123.95)</f>
        <v>1123.95</v>
      </c>
      <c r="F69" s="6">
        <f>IFERROR(__xludf.DUMMYFUNCTION("""COMPUTED_VALUE"""),4140957.0)</f>
        <v>4140957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IFERROR(__xludf.DUMMYFUNCTION("""COMPUTED_VALUE"""),1122.5)</f>
        <v>1122.5</v>
      </c>
      <c r="C70" s="6">
        <f>IFERROR(__xludf.DUMMYFUNCTION("""COMPUTED_VALUE"""),1130.58)</f>
        <v>1130.58</v>
      </c>
      <c r="D70" s="6">
        <f>IFERROR(__xludf.DUMMYFUNCTION("""COMPUTED_VALUE"""),1078.25)</f>
        <v>1078.25</v>
      </c>
      <c r="E70" s="6">
        <f>IFERROR(__xludf.DUMMYFUNCTION("""COMPUTED_VALUE"""),1108.6)</f>
        <v>1108.6</v>
      </c>
      <c r="F70" s="6">
        <f>IFERROR(__xludf.DUMMYFUNCTION("""COMPUTED_VALUE"""),4012415.0)</f>
        <v>4012415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IFERROR(__xludf.DUMMYFUNCTION("""COMPUTED_VALUE"""),1109.6)</f>
        <v>1109.6</v>
      </c>
      <c r="C71" s="6">
        <f>IFERROR(__xludf.DUMMYFUNCTION("""COMPUTED_VALUE"""),1120.0)</f>
        <v>1120</v>
      </c>
      <c r="D71" s="6">
        <f>IFERROR(__xludf.DUMMYFUNCTION("""COMPUTED_VALUE"""),1082.5)</f>
        <v>1082.5</v>
      </c>
      <c r="E71" s="6">
        <f>IFERROR(__xludf.DUMMYFUNCTION("""COMPUTED_VALUE"""),1103.95)</f>
        <v>1103.95</v>
      </c>
      <c r="F71" s="6">
        <f>IFERROR(__xludf.DUMMYFUNCTION("""COMPUTED_VALUE"""),2773165.0)</f>
        <v>2773165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IFERROR(__xludf.DUMMYFUNCTION("""COMPUTED_VALUE"""),1163.6)</f>
        <v>1163.6</v>
      </c>
      <c r="C72" s="6">
        <f>IFERROR(__xludf.DUMMYFUNCTION("""COMPUTED_VALUE"""),1187.0)</f>
        <v>1187</v>
      </c>
      <c r="D72" s="6">
        <f>IFERROR(__xludf.DUMMYFUNCTION("""COMPUTED_VALUE"""),1103.78)</f>
        <v>1103.78</v>
      </c>
      <c r="E72" s="6">
        <f>IFERROR(__xludf.DUMMYFUNCTION("""COMPUTED_VALUE"""),1112.55)</f>
        <v>1112.55</v>
      </c>
      <c r="F72" s="6">
        <f>IFERROR(__xludf.DUMMYFUNCTION("""COMPUTED_VALUE"""),5639198.0)</f>
        <v>5639198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IFERROR(__xludf.DUMMYFUNCTION("""COMPUTED_VALUE"""),1117.5)</f>
        <v>1117.5</v>
      </c>
      <c r="C73" s="6">
        <f>IFERROR(__xludf.DUMMYFUNCTION("""COMPUTED_VALUE"""),1126.25)</f>
        <v>1126.25</v>
      </c>
      <c r="D73" s="6">
        <f>IFERROR(__xludf.DUMMYFUNCTION("""COMPUTED_VALUE"""),1085.03)</f>
        <v>1085.03</v>
      </c>
      <c r="E73" s="6">
        <f>IFERROR(__xludf.DUMMYFUNCTION("""COMPUTED_VALUE"""),1097.93)</f>
        <v>1097.93</v>
      </c>
      <c r="F73" s="6">
        <f>IFERROR(__xludf.DUMMYFUNCTION("""COMPUTED_VALUE"""),3212284.0)</f>
        <v>3212284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IFERROR(__xludf.DUMMYFUNCTION("""COMPUTED_VALUE"""),1097.93)</f>
        <v>1097.93</v>
      </c>
      <c r="C74" s="6">
        <f>IFERROR(__xludf.DUMMYFUNCTION("""COMPUTED_VALUE"""),1114.75)</f>
        <v>1114.75</v>
      </c>
      <c r="D74" s="6">
        <f>IFERROR(__xludf.DUMMYFUNCTION("""COMPUTED_VALUE"""),1085.0)</f>
        <v>1085</v>
      </c>
      <c r="E74" s="6">
        <f>IFERROR(__xludf.DUMMYFUNCTION("""COMPUTED_VALUE"""),1107.47)</f>
        <v>1107.47</v>
      </c>
      <c r="F74" s="6">
        <f>IFERROR(__xludf.DUMMYFUNCTION("""COMPUTED_VALUE"""),2933765.0)</f>
        <v>2933765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IFERROR(__xludf.DUMMYFUNCTION("""COMPUTED_VALUE"""),1099.5)</f>
        <v>1099.5</v>
      </c>
      <c r="C75" s="6">
        <f>IFERROR(__xludf.DUMMYFUNCTION("""COMPUTED_VALUE"""),1140.9)</f>
        <v>1140.9</v>
      </c>
      <c r="D75" s="6">
        <f>IFERROR(__xludf.DUMMYFUNCTION("""COMPUTED_VALUE"""),1092.5)</f>
        <v>1092.5</v>
      </c>
      <c r="E75" s="6">
        <f>IFERROR(__xludf.DUMMYFUNCTION("""COMPUTED_VALUE"""),1094.83)</f>
        <v>1094.83</v>
      </c>
      <c r="F75" s="6">
        <f>IFERROR(__xludf.DUMMYFUNCTION("""COMPUTED_VALUE"""),3721445.0)</f>
        <v>3721445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IFERROR(__xludf.DUMMYFUNCTION("""COMPUTED_VALUE"""),1094.13)</f>
        <v>1094.13</v>
      </c>
      <c r="C76" s="6">
        <f>IFERROR(__xludf.DUMMYFUNCTION("""COMPUTED_VALUE"""),1123.0)</f>
        <v>1123</v>
      </c>
      <c r="D76" s="6">
        <f>IFERROR(__xludf.DUMMYFUNCTION("""COMPUTED_VALUE"""),1055.0)</f>
        <v>1055</v>
      </c>
      <c r="E76" s="6">
        <f>IFERROR(__xludf.DUMMYFUNCTION("""COMPUTED_VALUE"""),1119.22)</f>
        <v>1119.22</v>
      </c>
      <c r="F76" s="6">
        <f>IFERROR(__xludf.DUMMYFUNCTION("""COMPUTED_VALUE"""),4194028.0)</f>
        <v>4194028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IFERROR(__xludf.DUMMYFUNCTION("""COMPUTED_VALUE"""),1119.6)</f>
        <v>1119.6</v>
      </c>
      <c r="C77" s="6">
        <f>IFERROR(__xludf.DUMMYFUNCTION("""COMPUTED_VALUE"""),1137.0)</f>
        <v>1137</v>
      </c>
      <c r="D77" s="6">
        <f>IFERROR(__xludf.DUMMYFUNCTION("""COMPUTED_VALUE"""),1077.55)</f>
        <v>1077.55</v>
      </c>
      <c r="E77" s="6">
        <f>IFERROR(__xludf.DUMMYFUNCTION("""COMPUTED_VALUE"""),1095.97)</f>
        <v>1095.97</v>
      </c>
      <c r="F77" s="6">
        <f>IFERROR(__xludf.DUMMYFUNCTION("""COMPUTED_VALUE"""),1635894.0)</f>
        <v>1635894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IFERROR(__xludf.DUMMYFUNCTION("""COMPUTED_VALUE"""),1087.78)</f>
        <v>1087.78</v>
      </c>
      <c r="C78" s="6">
        <f>IFERROR(__xludf.DUMMYFUNCTION("""COMPUTED_VALUE"""),1137.5)</f>
        <v>1137.5</v>
      </c>
      <c r="D78" s="6">
        <f>IFERROR(__xludf.DUMMYFUNCTION("""COMPUTED_VALUE"""),1078.0)</f>
        <v>1078</v>
      </c>
      <c r="E78" s="6">
        <f>IFERROR(__xludf.DUMMYFUNCTION("""COMPUTED_VALUE"""),1134.43)</f>
        <v>1134.43</v>
      </c>
      <c r="F78" s="6">
        <f>IFERROR(__xludf.DUMMYFUNCTION("""COMPUTED_VALUE"""),2525835.0)</f>
        <v>2525835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IFERROR(__xludf.DUMMYFUNCTION("""COMPUTED_VALUE"""),1136.55)</f>
        <v>1136.55</v>
      </c>
      <c r="C79" s="6">
        <f>IFERROR(__xludf.DUMMYFUNCTION("""COMPUTED_VALUE"""),1144.3)</f>
        <v>1144.3</v>
      </c>
      <c r="D79" s="6">
        <f>IFERROR(__xludf.DUMMYFUNCTION("""COMPUTED_VALUE"""),1112.63)</f>
        <v>1112.63</v>
      </c>
      <c r="E79" s="6">
        <f>IFERROR(__xludf.DUMMYFUNCTION("""COMPUTED_VALUE"""),1125.38)</f>
        <v>1125.38</v>
      </c>
      <c r="F79" s="6">
        <f>IFERROR(__xludf.DUMMYFUNCTION("""COMPUTED_VALUE"""),3288299.0)</f>
        <v>3288299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IFERROR(__xludf.DUMMYFUNCTION("""COMPUTED_VALUE"""),1130.95)</f>
        <v>1130.95</v>
      </c>
      <c r="C80" s="6">
        <f>IFERROR(__xludf.DUMMYFUNCTION("""COMPUTED_VALUE"""),1143.93)</f>
        <v>1143.93</v>
      </c>
      <c r="D80" s="6">
        <f>IFERROR(__xludf.DUMMYFUNCTION("""COMPUTED_VALUE"""),1074.0)</f>
        <v>1074</v>
      </c>
      <c r="E80" s="6">
        <f>IFERROR(__xludf.DUMMYFUNCTION("""COMPUTED_VALUE"""),1131.08)</f>
        <v>1131.08</v>
      </c>
      <c r="F80" s="6">
        <f>IFERROR(__xludf.DUMMYFUNCTION("""COMPUTED_VALUE"""),3230500.0)</f>
        <v>3230500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IFERROR(__xludf.DUMMYFUNCTION("""COMPUTED_VALUE"""),1080.0)</f>
        <v>1080</v>
      </c>
      <c r="C81" s="6">
        <f>IFERROR(__xludf.DUMMYFUNCTION("""COMPUTED_VALUE"""),1186.0)</f>
        <v>1186</v>
      </c>
      <c r="D81" s="6">
        <f>IFERROR(__xludf.DUMMYFUNCTION("""COMPUTED_VALUE"""),1080.0)</f>
        <v>1080</v>
      </c>
      <c r="E81" s="6">
        <f>IFERROR(__xludf.DUMMYFUNCTION("""COMPUTED_VALUE"""),1180.7)</f>
        <v>1180.7</v>
      </c>
      <c r="F81" s="6">
        <f>IFERROR(__xludf.DUMMYFUNCTION("""COMPUTED_VALUE"""),4582484.0)</f>
        <v>4582484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IFERROR(__xludf.DUMMYFUNCTION("""COMPUTED_VALUE"""),1190.7)</f>
        <v>1190.7</v>
      </c>
      <c r="C82" s="6">
        <f>IFERROR(__xludf.DUMMYFUNCTION("""COMPUTED_VALUE"""),1211.6)</f>
        <v>1211.6</v>
      </c>
      <c r="D82" s="6">
        <f>IFERROR(__xludf.DUMMYFUNCTION("""COMPUTED_VALUE"""),1172.8)</f>
        <v>1172.8</v>
      </c>
      <c r="E82" s="6">
        <f>IFERROR(__xludf.DUMMYFUNCTION("""COMPUTED_VALUE"""),1208.3)</f>
        <v>1208.3</v>
      </c>
      <c r="F82" s="6">
        <f>IFERROR(__xludf.DUMMYFUNCTION("""COMPUTED_VALUE"""),2366007.0)</f>
        <v>2366007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IFERROR(__xludf.DUMMYFUNCTION("""COMPUTED_VALUE"""),1200.5)</f>
        <v>1200.5</v>
      </c>
      <c r="C83" s="6">
        <f>IFERROR(__xludf.DUMMYFUNCTION("""COMPUTED_VALUE"""),1257.5)</f>
        <v>1257.5</v>
      </c>
      <c r="D83" s="6">
        <f>IFERROR(__xludf.DUMMYFUNCTION("""COMPUTED_VALUE"""),1189.5)</f>
        <v>1189.5</v>
      </c>
      <c r="E83" s="6">
        <f>IFERROR(__xludf.DUMMYFUNCTION("""COMPUTED_VALUE"""),1206.75)</f>
        <v>1206.75</v>
      </c>
      <c r="F83" s="6">
        <f>IFERROR(__xludf.DUMMYFUNCTION("""COMPUTED_VALUE"""),5012597.0)</f>
        <v>5012597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IFERROR(__xludf.DUMMYFUNCTION("""COMPUTED_VALUE"""),1200.0)</f>
        <v>1200</v>
      </c>
      <c r="C84" s="6">
        <f>IFERROR(__xludf.DUMMYFUNCTION("""COMPUTED_VALUE"""),1209.2)</f>
        <v>1209.2</v>
      </c>
      <c r="D84" s="6">
        <f>IFERROR(__xludf.DUMMYFUNCTION("""COMPUTED_VALUE"""),1163.5)</f>
        <v>1163.5</v>
      </c>
      <c r="E84" s="6">
        <f>IFERROR(__xludf.DUMMYFUNCTION("""COMPUTED_VALUE"""),1168.85)</f>
        <v>1168.85</v>
      </c>
      <c r="F84" s="6">
        <f>IFERROR(__xludf.DUMMYFUNCTION("""COMPUTED_VALUE"""),3609591.0)</f>
        <v>3609591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IFERROR(__xludf.DUMMYFUNCTION("""COMPUTED_VALUE"""),1174.45)</f>
        <v>1174.45</v>
      </c>
      <c r="C85" s="6">
        <f>IFERROR(__xludf.DUMMYFUNCTION("""COMPUTED_VALUE"""),1187.1)</f>
        <v>1187.1</v>
      </c>
      <c r="D85" s="6">
        <f>IFERROR(__xludf.DUMMYFUNCTION("""COMPUTED_VALUE"""),1145.85)</f>
        <v>1145.85</v>
      </c>
      <c r="E85" s="6">
        <f>IFERROR(__xludf.DUMMYFUNCTION("""COMPUTED_VALUE"""),1162.7)</f>
        <v>1162.7</v>
      </c>
      <c r="F85" s="6">
        <f>IFERROR(__xludf.DUMMYFUNCTION("""COMPUTED_VALUE"""),4716237.0)</f>
        <v>4716237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IFERROR(__xludf.DUMMYFUNCTION("""COMPUTED_VALUE"""),1179.9)</f>
        <v>1179.9</v>
      </c>
      <c r="C86" s="6">
        <f>IFERROR(__xludf.DUMMYFUNCTION("""COMPUTED_VALUE"""),1207.45)</f>
        <v>1207.45</v>
      </c>
      <c r="D86" s="6">
        <f>IFERROR(__xludf.DUMMYFUNCTION("""COMPUTED_VALUE"""),1170.75)</f>
        <v>1170.75</v>
      </c>
      <c r="E86" s="6">
        <f>IFERROR(__xludf.DUMMYFUNCTION("""COMPUTED_VALUE"""),1204.4)</f>
        <v>1204.4</v>
      </c>
      <c r="F86" s="6">
        <f>IFERROR(__xludf.DUMMYFUNCTION("""COMPUTED_VALUE"""),3817722.0)</f>
        <v>3817722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IFERROR(__xludf.DUMMYFUNCTION("""COMPUTED_VALUE"""),1202.0)</f>
        <v>1202</v>
      </c>
      <c r="C87" s="6">
        <f>IFERROR(__xludf.DUMMYFUNCTION("""COMPUTED_VALUE"""),1212.0)</f>
        <v>1212</v>
      </c>
      <c r="D87" s="6">
        <f>IFERROR(__xludf.DUMMYFUNCTION("""COMPUTED_VALUE"""),1170.0)</f>
        <v>1170</v>
      </c>
      <c r="E87" s="6">
        <f>IFERROR(__xludf.DUMMYFUNCTION("""COMPUTED_VALUE"""),1207.2)</f>
        <v>1207.2</v>
      </c>
      <c r="F87" s="6">
        <f>IFERROR(__xludf.DUMMYFUNCTION("""COMPUTED_VALUE"""),3533790.0)</f>
        <v>3533790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IFERROR(__xludf.DUMMYFUNCTION("""COMPUTED_VALUE"""),1207.2)</f>
        <v>1207.2</v>
      </c>
      <c r="C88" s="6">
        <f>IFERROR(__xludf.DUMMYFUNCTION("""COMPUTED_VALUE"""),1241.0)</f>
        <v>1241</v>
      </c>
      <c r="D88" s="6">
        <f>IFERROR(__xludf.DUMMYFUNCTION("""COMPUTED_VALUE"""),1195.25)</f>
        <v>1195.25</v>
      </c>
      <c r="E88" s="6">
        <f>IFERROR(__xludf.DUMMYFUNCTION("""COMPUTED_VALUE"""),1198.1)</f>
        <v>1198.1</v>
      </c>
      <c r="F88" s="6">
        <f>IFERROR(__xludf.DUMMYFUNCTION("""COMPUTED_VALUE"""),4138782.0)</f>
        <v>4138782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IFERROR(__xludf.DUMMYFUNCTION("""COMPUTED_VALUE"""),1200.0)</f>
        <v>1200</v>
      </c>
      <c r="C89" s="6">
        <f>IFERROR(__xludf.DUMMYFUNCTION("""COMPUTED_VALUE"""),1213.2)</f>
        <v>1213.2</v>
      </c>
      <c r="D89" s="6">
        <f>IFERROR(__xludf.DUMMYFUNCTION("""COMPUTED_VALUE"""),1190.25)</f>
        <v>1190.25</v>
      </c>
      <c r="E89" s="6">
        <f>IFERROR(__xludf.DUMMYFUNCTION("""COMPUTED_VALUE"""),1208.6)</f>
        <v>1208.6</v>
      </c>
      <c r="F89" s="6">
        <f>IFERROR(__xludf.DUMMYFUNCTION("""COMPUTED_VALUE"""),3584105.0)</f>
        <v>3584105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IFERROR(__xludf.DUMMYFUNCTION("""COMPUTED_VALUE"""),1212.5)</f>
        <v>1212.5</v>
      </c>
      <c r="C90" s="6">
        <f>IFERROR(__xludf.DUMMYFUNCTION("""COMPUTED_VALUE"""),1225.0)</f>
        <v>1225</v>
      </c>
      <c r="D90" s="6">
        <f>IFERROR(__xludf.DUMMYFUNCTION("""COMPUTED_VALUE"""),1173.4)</f>
        <v>1173.4</v>
      </c>
      <c r="E90" s="6">
        <f>IFERROR(__xludf.DUMMYFUNCTION("""COMPUTED_VALUE"""),1188.4)</f>
        <v>1188.4</v>
      </c>
      <c r="F90" s="6">
        <f>IFERROR(__xludf.DUMMYFUNCTION("""COMPUTED_VALUE"""),3664362.0)</f>
        <v>3664362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IFERROR(__xludf.DUMMYFUNCTION("""COMPUTED_VALUE"""),1185.05)</f>
        <v>1185.05</v>
      </c>
      <c r="C91" s="6">
        <f>IFERROR(__xludf.DUMMYFUNCTION("""COMPUTED_VALUE"""),1199.0)</f>
        <v>1199</v>
      </c>
      <c r="D91" s="6">
        <f>IFERROR(__xludf.DUMMYFUNCTION("""COMPUTED_VALUE"""),1155.0)</f>
        <v>1155</v>
      </c>
      <c r="E91" s="6">
        <f>IFERROR(__xludf.DUMMYFUNCTION("""COMPUTED_VALUE"""),1180.2)</f>
        <v>1180.2</v>
      </c>
      <c r="F91" s="6">
        <f>IFERROR(__xludf.DUMMYFUNCTION("""COMPUTED_VALUE"""),1.3893949E7)</f>
        <v>13893949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IFERROR(__xludf.DUMMYFUNCTION("""COMPUTED_VALUE"""),1186.5)</f>
        <v>1186.5</v>
      </c>
      <c r="C92" s="6">
        <f>IFERROR(__xludf.DUMMYFUNCTION("""COMPUTED_VALUE"""),1231.85)</f>
        <v>1231.85</v>
      </c>
      <c r="D92" s="6">
        <f>IFERROR(__xludf.DUMMYFUNCTION("""COMPUTED_VALUE"""),1175.45)</f>
        <v>1175.45</v>
      </c>
      <c r="E92" s="6">
        <f>IFERROR(__xludf.DUMMYFUNCTION("""COMPUTED_VALUE"""),1229.35)</f>
        <v>1229.35</v>
      </c>
      <c r="F92" s="6">
        <f>IFERROR(__xludf.DUMMYFUNCTION("""COMPUTED_VALUE"""),5094831.0)</f>
        <v>5094831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IFERROR(__xludf.DUMMYFUNCTION("""COMPUTED_VALUE"""),1234.0)</f>
        <v>1234</v>
      </c>
      <c r="C93" s="6">
        <f>IFERROR(__xludf.DUMMYFUNCTION("""COMPUTED_VALUE"""),1237.8)</f>
        <v>1237.8</v>
      </c>
      <c r="D93" s="6">
        <f>IFERROR(__xludf.DUMMYFUNCTION("""COMPUTED_VALUE"""),1183.55)</f>
        <v>1183.55</v>
      </c>
      <c r="E93" s="6">
        <f>IFERROR(__xludf.DUMMYFUNCTION("""COMPUTED_VALUE"""),1196.4)</f>
        <v>1196.4</v>
      </c>
      <c r="F93" s="6">
        <f>IFERROR(__xludf.DUMMYFUNCTION("""COMPUTED_VALUE"""),3132017.0)</f>
        <v>3132017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IFERROR(__xludf.DUMMYFUNCTION("""COMPUTED_VALUE"""),1199.7)</f>
        <v>1199.7</v>
      </c>
      <c r="C94" s="6">
        <f>IFERROR(__xludf.DUMMYFUNCTION("""COMPUTED_VALUE"""),1218.45)</f>
        <v>1218.45</v>
      </c>
      <c r="D94" s="6">
        <f>IFERROR(__xludf.DUMMYFUNCTION("""COMPUTED_VALUE"""),1194.0)</f>
        <v>1194</v>
      </c>
      <c r="E94" s="6">
        <f>IFERROR(__xludf.DUMMYFUNCTION("""COMPUTED_VALUE"""),1201.75)</f>
        <v>1201.75</v>
      </c>
      <c r="F94" s="6">
        <f>IFERROR(__xludf.DUMMYFUNCTION("""COMPUTED_VALUE"""),1840632.0)</f>
        <v>1840632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IFERROR(__xludf.DUMMYFUNCTION("""COMPUTED_VALUE"""),1202.65)</f>
        <v>1202.65</v>
      </c>
      <c r="C95" s="6">
        <f>IFERROR(__xludf.DUMMYFUNCTION("""COMPUTED_VALUE"""),1245.0)</f>
        <v>1245</v>
      </c>
      <c r="D95" s="6">
        <f>IFERROR(__xludf.DUMMYFUNCTION("""COMPUTED_VALUE"""),1188.5)</f>
        <v>1188.5</v>
      </c>
      <c r="E95" s="6">
        <f>IFERROR(__xludf.DUMMYFUNCTION("""COMPUTED_VALUE"""),1236.1)</f>
        <v>1236.1</v>
      </c>
      <c r="F95" s="6">
        <f>IFERROR(__xludf.DUMMYFUNCTION("""COMPUTED_VALUE"""),3132256.0)</f>
        <v>3132256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IFERROR(__xludf.DUMMYFUNCTION("""COMPUTED_VALUE"""),1236.45)</f>
        <v>1236.45</v>
      </c>
      <c r="C96" s="6">
        <f>IFERROR(__xludf.DUMMYFUNCTION("""COMPUTED_VALUE"""),1239.2)</f>
        <v>1239.2</v>
      </c>
      <c r="D96" s="6">
        <f>IFERROR(__xludf.DUMMYFUNCTION("""COMPUTED_VALUE"""),1133.0)</f>
        <v>1133</v>
      </c>
      <c r="E96" s="6">
        <f>IFERROR(__xludf.DUMMYFUNCTION("""COMPUTED_VALUE"""),1137.3)</f>
        <v>1137.3</v>
      </c>
      <c r="F96" s="6">
        <f>IFERROR(__xludf.DUMMYFUNCTION("""COMPUTED_VALUE"""),5501738.0)</f>
        <v>5501738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IFERROR(__xludf.DUMMYFUNCTION("""COMPUTED_VALUE"""),1137.35)</f>
        <v>1137.35</v>
      </c>
      <c r="C97" s="6">
        <f>IFERROR(__xludf.DUMMYFUNCTION("""COMPUTED_VALUE"""),1149.95)</f>
        <v>1149.95</v>
      </c>
      <c r="D97" s="6">
        <f>IFERROR(__xludf.DUMMYFUNCTION("""COMPUTED_VALUE"""),1109.95)</f>
        <v>1109.95</v>
      </c>
      <c r="E97" s="6">
        <f>IFERROR(__xludf.DUMMYFUNCTION("""COMPUTED_VALUE"""),1138.25)</f>
        <v>1138.25</v>
      </c>
      <c r="F97" s="6">
        <f>IFERROR(__xludf.DUMMYFUNCTION("""COMPUTED_VALUE"""),3683900.0)</f>
        <v>3683900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IFERROR(__xludf.DUMMYFUNCTION("""COMPUTED_VALUE"""),1143.0)</f>
        <v>1143</v>
      </c>
      <c r="C98" s="6">
        <f>IFERROR(__xludf.DUMMYFUNCTION("""COMPUTED_VALUE"""),1143.3)</f>
        <v>1143.3</v>
      </c>
      <c r="D98" s="6">
        <f>IFERROR(__xludf.DUMMYFUNCTION("""COMPUTED_VALUE"""),1093.4)</f>
        <v>1093.4</v>
      </c>
      <c r="E98" s="6">
        <f>IFERROR(__xludf.DUMMYFUNCTION("""COMPUTED_VALUE"""),1096.5)</f>
        <v>1096.5</v>
      </c>
      <c r="F98" s="6">
        <f>IFERROR(__xludf.DUMMYFUNCTION("""COMPUTED_VALUE"""),3288103.0)</f>
        <v>3288103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IFERROR(__xludf.DUMMYFUNCTION("""COMPUTED_VALUE"""),1097.0)</f>
        <v>1097</v>
      </c>
      <c r="C99" s="6">
        <f>IFERROR(__xludf.DUMMYFUNCTION("""COMPUTED_VALUE"""),1109.6)</f>
        <v>1109.6</v>
      </c>
      <c r="D99" s="6">
        <f>IFERROR(__xludf.DUMMYFUNCTION("""COMPUTED_VALUE"""),1084.7)</f>
        <v>1084.7</v>
      </c>
      <c r="E99" s="6">
        <f>IFERROR(__xludf.DUMMYFUNCTION("""COMPUTED_VALUE"""),1089.4)</f>
        <v>1089.4</v>
      </c>
      <c r="F99" s="6">
        <f>IFERROR(__xludf.DUMMYFUNCTION("""COMPUTED_VALUE"""),3552587.0)</f>
        <v>3552587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IFERROR(__xludf.DUMMYFUNCTION("""COMPUTED_VALUE"""),1120.5)</f>
        <v>1120.5</v>
      </c>
      <c r="C100" s="6">
        <f>IFERROR(__xludf.DUMMYFUNCTION("""COMPUTED_VALUE"""),1192.8)</f>
        <v>1192.8</v>
      </c>
      <c r="D100" s="6">
        <f>IFERROR(__xludf.DUMMYFUNCTION("""COMPUTED_VALUE"""),1120.5)</f>
        <v>1120.5</v>
      </c>
      <c r="E100" s="6">
        <f>IFERROR(__xludf.DUMMYFUNCTION("""COMPUTED_VALUE"""),1162.9)</f>
        <v>1162.9</v>
      </c>
      <c r="F100" s="6">
        <f>IFERROR(__xludf.DUMMYFUNCTION("""COMPUTED_VALUE"""),8895142.0)</f>
        <v>8895142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IFERROR(__xludf.DUMMYFUNCTION("""COMPUTED_VALUE"""),1162.9)</f>
        <v>1162.9</v>
      </c>
      <c r="C101" s="6">
        <f>IFERROR(__xludf.DUMMYFUNCTION("""COMPUTED_VALUE"""),1179.0)</f>
        <v>1179</v>
      </c>
      <c r="D101" s="6">
        <f>IFERROR(__xludf.DUMMYFUNCTION("""COMPUTED_VALUE"""),1148.8)</f>
        <v>1148.8</v>
      </c>
      <c r="E101" s="6">
        <f>IFERROR(__xludf.DUMMYFUNCTION("""COMPUTED_VALUE"""),1162.2)</f>
        <v>1162.2</v>
      </c>
      <c r="F101" s="6">
        <f>IFERROR(__xludf.DUMMYFUNCTION("""COMPUTED_VALUE"""),2.5655633E7)</f>
        <v>25655633</v>
      </c>
    </row>
  </sheetData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IFERROR(__xludf.DUMMYFUNCTION("GOOGLEFINANCE(""NSE:NHPC"",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IFERROR(__xludf.DUMMYFUNCTION("""COMPUTED_VALUE"""),50.4)</f>
        <v>50.4</v>
      </c>
      <c r="C2" s="6">
        <f>IFERROR(__xludf.DUMMYFUNCTION("""COMPUTED_VALUE"""),51.5)</f>
        <v>51.5</v>
      </c>
      <c r="D2" s="6">
        <f>IFERROR(__xludf.DUMMYFUNCTION("""COMPUTED_VALUE"""),49.9)</f>
        <v>49.9</v>
      </c>
      <c r="E2" s="6">
        <f>IFERROR(__xludf.DUMMYFUNCTION("""COMPUTED_VALUE"""),50.25)</f>
        <v>50.25</v>
      </c>
      <c r="F2" s="6">
        <f>IFERROR(__xludf.DUMMYFUNCTION("""COMPUTED_VALUE"""),6.9833722E7)</f>
        <v>69833722</v>
      </c>
    </row>
    <row r="3">
      <c r="A3" s="7">
        <f>IFERROR(__xludf.DUMMYFUNCTION("""COMPUTED_VALUE"""),45177.64583333333)</f>
        <v>45177.64583</v>
      </c>
      <c r="B3" s="6">
        <f>IFERROR(__xludf.DUMMYFUNCTION("""COMPUTED_VALUE"""),50.8)</f>
        <v>50.8</v>
      </c>
      <c r="C3" s="6">
        <f>IFERROR(__xludf.DUMMYFUNCTION("""COMPUTED_VALUE"""),54.35)</f>
        <v>54.35</v>
      </c>
      <c r="D3" s="6">
        <f>IFERROR(__xludf.DUMMYFUNCTION("""COMPUTED_VALUE"""),50.6)</f>
        <v>50.6</v>
      </c>
      <c r="E3" s="6">
        <f>IFERROR(__xludf.DUMMYFUNCTION("""COMPUTED_VALUE"""),52.8)</f>
        <v>52.8</v>
      </c>
      <c r="F3" s="6">
        <f>IFERROR(__xludf.DUMMYFUNCTION("""COMPUTED_VALUE"""),2.25880168E8)</f>
        <v>225880168</v>
      </c>
    </row>
    <row r="4">
      <c r="A4" s="7">
        <f>IFERROR(__xludf.DUMMYFUNCTION("""COMPUTED_VALUE"""),45184.64583333333)</f>
        <v>45184.64583</v>
      </c>
      <c r="B4" s="6">
        <f>IFERROR(__xludf.DUMMYFUNCTION("""COMPUTED_VALUE"""),53.45)</f>
        <v>53.45</v>
      </c>
      <c r="C4" s="6">
        <f>IFERROR(__xludf.DUMMYFUNCTION("""COMPUTED_VALUE"""),56.85)</f>
        <v>56.85</v>
      </c>
      <c r="D4" s="6">
        <f>IFERROR(__xludf.DUMMYFUNCTION("""COMPUTED_VALUE"""),49.35)</f>
        <v>49.35</v>
      </c>
      <c r="E4" s="6">
        <f>IFERROR(__xludf.DUMMYFUNCTION("""COMPUTED_VALUE"""),54.8)</f>
        <v>54.8</v>
      </c>
      <c r="F4" s="6">
        <f>IFERROR(__xludf.DUMMYFUNCTION("""COMPUTED_VALUE"""),4.11613638E8)</f>
        <v>411613638</v>
      </c>
    </row>
    <row r="5">
      <c r="A5" s="7">
        <f>IFERROR(__xludf.DUMMYFUNCTION("""COMPUTED_VALUE"""),45191.64583333333)</f>
        <v>45191.64583</v>
      </c>
      <c r="B5" s="6">
        <f>IFERROR(__xludf.DUMMYFUNCTION("""COMPUTED_VALUE"""),54.8)</f>
        <v>54.8</v>
      </c>
      <c r="C5" s="6">
        <f>IFERROR(__xludf.DUMMYFUNCTION("""COMPUTED_VALUE"""),56.35)</f>
        <v>56.35</v>
      </c>
      <c r="D5" s="6">
        <f>IFERROR(__xludf.DUMMYFUNCTION("""COMPUTED_VALUE"""),51.75)</f>
        <v>51.75</v>
      </c>
      <c r="E5" s="6">
        <f>IFERROR(__xludf.DUMMYFUNCTION("""COMPUTED_VALUE"""),52.05)</f>
        <v>52.05</v>
      </c>
      <c r="F5" s="6">
        <f>IFERROR(__xludf.DUMMYFUNCTION("""COMPUTED_VALUE"""),2.12370965E8)</f>
        <v>212370965</v>
      </c>
    </row>
    <row r="6">
      <c r="A6" s="7">
        <f>IFERROR(__xludf.DUMMYFUNCTION("""COMPUTED_VALUE"""),45198.64583333333)</f>
        <v>45198.64583</v>
      </c>
      <c r="B6" s="6">
        <f>IFERROR(__xludf.DUMMYFUNCTION("""COMPUTED_VALUE"""),52.45)</f>
        <v>52.45</v>
      </c>
      <c r="C6" s="6">
        <f>IFERROR(__xludf.DUMMYFUNCTION("""COMPUTED_VALUE"""),53.8)</f>
        <v>53.8</v>
      </c>
      <c r="D6" s="6">
        <f>IFERROR(__xludf.DUMMYFUNCTION("""COMPUTED_VALUE"""),51.1)</f>
        <v>51.1</v>
      </c>
      <c r="E6" s="6">
        <f>IFERROR(__xludf.DUMMYFUNCTION("""COMPUTED_VALUE"""),52.8)</f>
        <v>52.8</v>
      </c>
      <c r="F6" s="6">
        <f>IFERROR(__xludf.DUMMYFUNCTION("""COMPUTED_VALUE"""),1.395338E8)</f>
        <v>139533800</v>
      </c>
    </row>
    <row r="7">
      <c r="A7" s="7">
        <f>IFERROR(__xludf.DUMMYFUNCTION("""COMPUTED_VALUE"""),45205.64583333333)</f>
        <v>45205.64583</v>
      </c>
      <c r="B7" s="6">
        <f>IFERROR(__xludf.DUMMYFUNCTION("""COMPUTED_VALUE"""),53.1)</f>
        <v>53.1</v>
      </c>
      <c r="C7" s="6">
        <f>IFERROR(__xludf.DUMMYFUNCTION("""COMPUTED_VALUE"""),53.95)</f>
        <v>53.95</v>
      </c>
      <c r="D7" s="6">
        <f>IFERROR(__xludf.DUMMYFUNCTION("""COMPUTED_VALUE"""),51.7)</f>
        <v>51.7</v>
      </c>
      <c r="E7" s="6">
        <f>IFERROR(__xludf.DUMMYFUNCTION("""COMPUTED_VALUE"""),53.15)</f>
        <v>53.15</v>
      </c>
      <c r="F7" s="6">
        <f>IFERROR(__xludf.DUMMYFUNCTION("""COMPUTED_VALUE"""),1.05132043E8)</f>
        <v>105132043</v>
      </c>
    </row>
    <row r="8">
      <c r="A8" s="7">
        <f>IFERROR(__xludf.DUMMYFUNCTION("""COMPUTED_VALUE"""),45212.64583333333)</f>
        <v>45212.64583</v>
      </c>
      <c r="B8" s="6">
        <f>IFERROR(__xludf.DUMMYFUNCTION("""COMPUTED_VALUE"""),52.5)</f>
        <v>52.5</v>
      </c>
      <c r="C8" s="6">
        <f>IFERROR(__xludf.DUMMYFUNCTION("""COMPUTED_VALUE"""),53.4)</f>
        <v>53.4</v>
      </c>
      <c r="D8" s="6">
        <f>IFERROR(__xludf.DUMMYFUNCTION("""COMPUTED_VALUE"""),51.6)</f>
        <v>51.6</v>
      </c>
      <c r="E8" s="6">
        <f>IFERROR(__xludf.DUMMYFUNCTION("""COMPUTED_VALUE"""),52.45)</f>
        <v>52.45</v>
      </c>
      <c r="F8" s="6">
        <f>IFERROR(__xludf.DUMMYFUNCTION("""COMPUTED_VALUE"""),7.3625106E7)</f>
        <v>73625106</v>
      </c>
    </row>
    <row r="9">
      <c r="A9" s="7">
        <f>IFERROR(__xludf.DUMMYFUNCTION("""COMPUTED_VALUE"""),45219.64583333333)</f>
        <v>45219.64583</v>
      </c>
      <c r="B9" s="6">
        <f>IFERROR(__xludf.DUMMYFUNCTION("""COMPUTED_VALUE"""),51.95)</f>
        <v>51.95</v>
      </c>
      <c r="C9" s="6">
        <f>IFERROR(__xludf.DUMMYFUNCTION("""COMPUTED_VALUE"""),53.9)</f>
        <v>53.9</v>
      </c>
      <c r="D9" s="6">
        <f>IFERROR(__xludf.DUMMYFUNCTION("""COMPUTED_VALUE"""),51.05)</f>
        <v>51.05</v>
      </c>
      <c r="E9" s="6">
        <f>IFERROR(__xludf.DUMMYFUNCTION("""COMPUTED_VALUE"""),51.5)</f>
        <v>51.5</v>
      </c>
      <c r="F9" s="6">
        <f>IFERROR(__xludf.DUMMYFUNCTION("""COMPUTED_VALUE"""),8.2472489E7)</f>
        <v>82472489</v>
      </c>
    </row>
    <row r="10">
      <c r="A10" s="7">
        <f>IFERROR(__xludf.DUMMYFUNCTION("""COMPUTED_VALUE"""),45226.64583333333)</f>
        <v>45226.64583</v>
      </c>
      <c r="B10" s="6">
        <f>IFERROR(__xludf.DUMMYFUNCTION("""COMPUTED_VALUE"""),51.55)</f>
        <v>51.55</v>
      </c>
      <c r="C10" s="6">
        <f>IFERROR(__xludf.DUMMYFUNCTION("""COMPUTED_VALUE"""),51.8)</f>
        <v>51.8</v>
      </c>
      <c r="D10" s="6">
        <f>IFERROR(__xludf.DUMMYFUNCTION("""COMPUTED_VALUE"""),48.4)</f>
        <v>48.4</v>
      </c>
      <c r="E10" s="6">
        <f>IFERROR(__xludf.DUMMYFUNCTION("""COMPUTED_VALUE"""),50.65)</f>
        <v>50.65</v>
      </c>
      <c r="F10" s="6">
        <f>IFERROR(__xludf.DUMMYFUNCTION("""COMPUTED_VALUE"""),7.7089397E7)</f>
        <v>77089397</v>
      </c>
    </row>
    <row r="11">
      <c r="A11" s="7">
        <f>IFERROR(__xludf.DUMMYFUNCTION("""COMPUTED_VALUE"""),45233.64583333333)</f>
        <v>45233.64583</v>
      </c>
      <c r="B11" s="6">
        <f>IFERROR(__xludf.DUMMYFUNCTION("""COMPUTED_VALUE"""),50.9)</f>
        <v>50.9</v>
      </c>
      <c r="C11" s="6">
        <f>IFERROR(__xludf.DUMMYFUNCTION("""COMPUTED_VALUE"""),51.35)</f>
        <v>51.35</v>
      </c>
      <c r="D11" s="6">
        <f>IFERROR(__xludf.DUMMYFUNCTION("""COMPUTED_VALUE"""),49.2)</f>
        <v>49.2</v>
      </c>
      <c r="E11" s="6">
        <f>IFERROR(__xludf.DUMMYFUNCTION("""COMPUTED_VALUE"""),50.15)</f>
        <v>50.15</v>
      </c>
      <c r="F11" s="6">
        <f>IFERROR(__xludf.DUMMYFUNCTION("""COMPUTED_VALUE"""),6.2570105E7)</f>
        <v>62570105</v>
      </c>
    </row>
    <row r="12">
      <c r="A12" s="7">
        <f>IFERROR(__xludf.DUMMYFUNCTION("""COMPUTED_VALUE"""),45240.64583333333)</f>
        <v>45240.64583</v>
      </c>
      <c r="B12" s="6">
        <f>IFERROR(__xludf.DUMMYFUNCTION("""COMPUTED_VALUE"""),50.4)</f>
        <v>50.4</v>
      </c>
      <c r="C12" s="6">
        <f>IFERROR(__xludf.DUMMYFUNCTION("""COMPUTED_VALUE"""),52.35)</f>
        <v>52.35</v>
      </c>
      <c r="D12" s="6">
        <f>IFERROR(__xludf.DUMMYFUNCTION("""COMPUTED_VALUE"""),49.95)</f>
        <v>49.95</v>
      </c>
      <c r="E12" s="6">
        <f>IFERROR(__xludf.DUMMYFUNCTION("""COMPUTED_VALUE"""),51.6)</f>
        <v>51.6</v>
      </c>
      <c r="F12" s="6">
        <f>IFERROR(__xludf.DUMMYFUNCTION("""COMPUTED_VALUE"""),6.9291821E7)</f>
        <v>69291821</v>
      </c>
    </row>
    <row r="13">
      <c r="A13" s="7">
        <f>IFERROR(__xludf.DUMMYFUNCTION("""COMPUTED_VALUE"""),45247.64583333333)</f>
        <v>45247.64583</v>
      </c>
      <c r="B13" s="6">
        <f>IFERROR(__xludf.DUMMYFUNCTION("""COMPUTED_VALUE"""),52.0)</f>
        <v>52</v>
      </c>
      <c r="C13" s="6">
        <f>IFERROR(__xludf.DUMMYFUNCTION("""COMPUTED_VALUE"""),53.1)</f>
        <v>53.1</v>
      </c>
      <c r="D13" s="6">
        <f>IFERROR(__xludf.DUMMYFUNCTION("""COMPUTED_VALUE"""),51.6)</f>
        <v>51.6</v>
      </c>
      <c r="E13" s="6">
        <f>IFERROR(__xludf.DUMMYFUNCTION("""COMPUTED_VALUE"""),52.7)</f>
        <v>52.7</v>
      </c>
      <c r="F13" s="6">
        <f>IFERROR(__xludf.DUMMYFUNCTION("""COMPUTED_VALUE"""),6.1929003E7)</f>
        <v>61929003</v>
      </c>
    </row>
    <row r="14">
      <c r="A14" s="7">
        <f>IFERROR(__xludf.DUMMYFUNCTION("""COMPUTED_VALUE"""),45254.64583333333)</f>
        <v>45254.64583</v>
      </c>
      <c r="B14" s="6">
        <f>IFERROR(__xludf.DUMMYFUNCTION("""COMPUTED_VALUE"""),52.95)</f>
        <v>52.95</v>
      </c>
      <c r="C14" s="6">
        <f>IFERROR(__xludf.DUMMYFUNCTION("""COMPUTED_VALUE"""),56.55)</f>
        <v>56.55</v>
      </c>
      <c r="D14" s="6">
        <f>IFERROR(__xludf.DUMMYFUNCTION("""COMPUTED_VALUE"""),52.25)</f>
        <v>52.25</v>
      </c>
      <c r="E14" s="6">
        <f>IFERROR(__xludf.DUMMYFUNCTION("""COMPUTED_VALUE"""),54.7)</f>
        <v>54.7</v>
      </c>
      <c r="F14" s="6">
        <f>IFERROR(__xludf.DUMMYFUNCTION("""COMPUTED_VALUE"""),1.26480008E8)</f>
        <v>126480008</v>
      </c>
    </row>
    <row r="15">
      <c r="A15" s="7">
        <f>IFERROR(__xludf.DUMMYFUNCTION("""COMPUTED_VALUE"""),45261.64583333333)</f>
        <v>45261.64583</v>
      </c>
      <c r="B15" s="6">
        <f>IFERROR(__xludf.DUMMYFUNCTION("""COMPUTED_VALUE"""),54.9)</f>
        <v>54.9</v>
      </c>
      <c r="C15" s="6">
        <f>IFERROR(__xludf.DUMMYFUNCTION("""COMPUTED_VALUE"""),57.65)</f>
        <v>57.65</v>
      </c>
      <c r="D15" s="6">
        <f>IFERROR(__xludf.DUMMYFUNCTION("""COMPUTED_VALUE"""),53.65)</f>
        <v>53.65</v>
      </c>
      <c r="E15" s="6">
        <f>IFERROR(__xludf.DUMMYFUNCTION("""COMPUTED_VALUE"""),56.4)</f>
        <v>56.4</v>
      </c>
      <c r="F15" s="6">
        <f>IFERROR(__xludf.DUMMYFUNCTION("""COMPUTED_VALUE"""),1.28836245E8)</f>
        <v>128836245</v>
      </c>
    </row>
    <row r="16">
      <c r="A16" s="7">
        <f>IFERROR(__xludf.DUMMYFUNCTION("""COMPUTED_VALUE"""),45268.64583333333)</f>
        <v>45268.64583</v>
      </c>
      <c r="B16" s="6">
        <f>IFERROR(__xludf.DUMMYFUNCTION("""COMPUTED_VALUE"""),57.7)</f>
        <v>57.7</v>
      </c>
      <c r="C16" s="6">
        <f>IFERROR(__xludf.DUMMYFUNCTION("""COMPUTED_VALUE"""),65.7)</f>
        <v>65.7</v>
      </c>
      <c r="D16" s="6">
        <f>IFERROR(__xludf.DUMMYFUNCTION("""COMPUTED_VALUE"""),56.7)</f>
        <v>56.7</v>
      </c>
      <c r="E16" s="6">
        <f>IFERROR(__xludf.DUMMYFUNCTION("""COMPUTED_VALUE"""),63.2)</f>
        <v>63.2</v>
      </c>
      <c r="F16" s="6">
        <f>IFERROR(__xludf.DUMMYFUNCTION("""COMPUTED_VALUE"""),2.33148251E8)</f>
        <v>233148251</v>
      </c>
    </row>
    <row r="17">
      <c r="A17" s="7">
        <f>IFERROR(__xludf.DUMMYFUNCTION("""COMPUTED_VALUE"""),45275.64583333333)</f>
        <v>45275.64583</v>
      </c>
      <c r="B17" s="6">
        <f>IFERROR(__xludf.DUMMYFUNCTION("""COMPUTED_VALUE"""),63.75)</f>
        <v>63.75</v>
      </c>
      <c r="C17" s="6">
        <f>IFERROR(__xludf.DUMMYFUNCTION("""COMPUTED_VALUE"""),66.85)</f>
        <v>66.85</v>
      </c>
      <c r="D17" s="6">
        <f>IFERROR(__xludf.DUMMYFUNCTION("""COMPUTED_VALUE"""),61.2)</f>
        <v>61.2</v>
      </c>
      <c r="E17" s="6">
        <f>IFERROR(__xludf.DUMMYFUNCTION("""COMPUTED_VALUE"""),65.05)</f>
        <v>65.05</v>
      </c>
      <c r="F17" s="6">
        <f>IFERROR(__xludf.DUMMYFUNCTION("""COMPUTED_VALUE"""),2.06066705E8)</f>
        <v>206066705</v>
      </c>
    </row>
    <row r="18">
      <c r="A18" s="7">
        <f>IFERROR(__xludf.DUMMYFUNCTION("""COMPUTED_VALUE"""),45282.64583333333)</f>
        <v>45282.64583</v>
      </c>
      <c r="B18" s="6">
        <f>IFERROR(__xludf.DUMMYFUNCTION("""COMPUTED_VALUE"""),65.5)</f>
        <v>65.5</v>
      </c>
      <c r="C18" s="6">
        <f>IFERROR(__xludf.DUMMYFUNCTION("""COMPUTED_VALUE"""),66.95)</f>
        <v>66.95</v>
      </c>
      <c r="D18" s="6">
        <f>IFERROR(__xludf.DUMMYFUNCTION("""COMPUTED_VALUE"""),58.0)</f>
        <v>58</v>
      </c>
      <c r="E18" s="6">
        <f>IFERROR(__xludf.DUMMYFUNCTION("""COMPUTED_VALUE"""),64.7)</f>
        <v>64.7</v>
      </c>
      <c r="F18" s="6">
        <f>IFERROR(__xludf.DUMMYFUNCTION("""COMPUTED_VALUE"""),1.37892692E8)</f>
        <v>137892692</v>
      </c>
    </row>
    <row r="19">
      <c r="A19" s="7">
        <f>IFERROR(__xludf.DUMMYFUNCTION("""COMPUTED_VALUE"""),45289.64583333333)</f>
        <v>45289.64583</v>
      </c>
      <c r="B19" s="6">
        <f>IFERROR(__xludf.DUMMYFUNCTION("""COMPUTED_VALUE"""),65.25)</f>
        <v>65.25</v>
      </c>
      <c r="C19" s="6">
        <f>IFERROR(__xludf.DUMMYFUNCTION("""COMPUTED_VALUE"""),66.1)</f>
        <v>66.1</v>
      </c>
      <c r="D19" s="6">
        <f>IFERROR(__xludf.DUMMYFUNCTION("""COMPUTED_VALUE"""),63.5)</f>
        <v>63.5</v>
      </c>
      <c r="E19" s="6">
        <f>IFERROR(__xludf.DUMMYFUNCTION("""COMPUTED_VALUE"""),64.6)</f>
        <v>64.6</v>
      </c>
      <c r="F19" s="6">
        <f>IFERROR(__xludf.DUMMYFUNCTION("""COMPUTED_VALUE"""),6.9763787E7)</f>
        <v>69763787</v>
      </c>
    </row>
    <row r="20">
      <c r="A20" s="7">
        <f>IFERROR(__xludf.DUMMYFUNCTION("""COMPUTED_VALUE"""),45296.64583333333)</f>
        <v>45296.64583</v>
      </c>
      <c r="B20" s="6">
        <f>IFERROR(__xludf.DUMMYFUNCTION("""COMPUTED_VALUE"""),64.95)</f>
        <v>64.95</v>
      </c>
      <c r="C20" s="6">
        <f>IFERROR(__xludf.DUMMYFUNCTION("""COMPUTED_VALUE"""),75.3)</f>
        <v>75.3</v>
      </c>
      <c r="D20" s="6">
        <f>IFERROR(__xludf.DUMMYFUNCTION("""COMPUTED_VALUE"""),64.65)</f>
        <v>64.65</v>
      </c>
      <c r="E20" s="6">
        <f>IFERROR(__xludf.DUMMYFUNCTION("""COMPUTED_VALUE"""),71.95)</f>
        <v>71.95</v>
      </c>
      <c r="F20" s="6">
        <f>IFERROR(__xludf.DUMMYFUNCTION("""COMPUTED_VALUE"""),2.67612921E8)</f>
        <v>267612921</v>
      </c>
    </row>
    <row r="21">
      <c r="A21" s="7">
        <f>IFERROR(__xludf.DUMMYFUNCTION("""COMPUTED_VALUE"""),45303.64583333333)</f>
        <v>45303.64583</v>
      </c>
      <c r="B21" s="6">
        <f>IFERROR(__xludf.DUMMYFUNCTION("""COMPUTED_VALUE"""),72.8)</f>
        <v>72.8</v>
      </c>
      <c r="C21" s="6">
        <f>IFERROR(__xludf.DUMMYFUNCTION("""COMPUTED_VALUE"""),72.8)</f>
        <v>72.8</v>
      </c>
      <c r="D21" s="6">
        <f>IFERROR(__xludf.DUMMYFUNCTION("""COMPUTED_VALUE"""),68.4)</f>
        <v>68.4</v>
      </c>
      <c r="E21" s="6">
        <f>IFERROR(__xludf.DUMMYFUNCTION("""COMPUTED_VALUE"""),69.15)</f>
        <v>69.15</v>
      </c>
      <c r="F21" s="6">
        <f>IFERROR(__xludf.DUMMYFUNCTION("""COMPUTED_VALUE"""),1.4262845E8)</f>
        <v>142628450</v>
      </c>
    </row>
    <row r="22">
      <c r="A22" s="7">
        <f>IFERROR(__xludf.DUMMYFUNCTION("""COMPUTED_VALUE"""),45316.64583333333)</f>
        <v>45316.64583</v>
      </c>
      <c r="B22" s="6">
        <f>IFERROR(__xludf.DUMMYFUNCTION("""COMPUTED_VALUE"""),83.3)</f>
        <v>83.3</v>
      </c>
      <c r="C22" s="6">
        <f>IFERROR(__xludf.DUMMYFUNCTION("""COMPUTED_VALUE"""),84.4)</f>
        <v>84.4</v>
      </c>
      <c r="D22" s="6">
        <f>IFERROR(__xludf.DUMMYFUNCTION("""COMPUTED_VALUE"""),75.2)</f>
        <v>75.2</v>
      </c>
      <c r="E22" s="6">
        <f>IFERROR(__xludf.DUMMYFUNCTION("""COMPUTED_VALUE"""),83.3)</f>
        <v>83.3</v>
      </c>
      <c r="F22" s="6">
        <f>IFERROR(__xludf.DUMMYFUNCTION("""COMPUTED_VALUE"""),4.8386003E8)</f>
        <v>483860030</v>
      </c>
    </row>
    <row r="23">
      <c r="A23" s="7">
        <f>IFERROR(__xludf.DUMMYFUNCTION("""COMPUTED_VALUE"""),45324.64583333333)</f>
        <v>45324.64583</v>
      </c>
      <c r="B23" s="6">
        <f>IFERROR(__xludf.DUMMYFUNCTION("""COMPUTED_VALUE"""),85.5)</f>
        <v>85.5</v>
      </c>
      <c r="C23" s="6">
        <f>IFERROR(__xludf.DUMMYFUNCTION("""COMPUTED_VALUE"""),103.0)</f>
        <v>103</v>
      </c>
      <c r="D23" s="6">
        <f>IFERROR(__xludf.DUMMYFUNCTION("""COMPUTED_VALUE"""),84.8)</f>
        <v>84.8</v>
      </c>
      <c r="E23" s="6">
        <f>IFERROR(__xludf.DUMMYFUNCTION("""COMPUTED_VALUE"""),100.65)</f>
        <v>100.65</v>
      </c>
      <c r="F23" s="6">
        <f>IFERROR(__xludf.DUMMYFUNCTION("""COMPUTED_VALUE"""),1.28463152E9)</f>
        <v>1284631520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IFERROR(__xludf.DUMMYFUNCTION("""COMPUTED_VALUE"""),105.75)</f>
        <v>105.75</v>
      </c>
      <c r="C24" s="6">
        <f>IFERROR(__xludf.DUMMYFUNCTION("""COMPUTED_VALUE"""),115.85)</f>
        <v>115.85</v>
      </c>
      <c r="D24" s="6">
        <f>IFERROR(__xludf.DUMMYFUNCTION("""COMPUTED_VALUE"""),92.5)</f>
        <v>92.5</v>
      </c>
      <c r="E24" s="6">
        <f>IFERROR(__xludf.DUMMYFUNCTION("""COMPUTED_VALUE"""),96.25)</f>
        <v>96.25</v>
      </c>
      <c r="F24" s="6">
        <f>IFERROR(__xludf.DUMMYFUNCTION("""COMPUTED_VALUE"""),1.379236156E9)</f>
        <v>1379236156</v>
      </c>
    </row>
    <row r="25">
      <c r="A25" s="7">
        <f>IFERROR(__xludf.DUMMYFUNCTION("""COMPUTED_VALUE"""),45338.64583333333)</f>
        <v>45338.64583</v>
      </c>
      <c r="B25" s="6">
        <f>IFERROR(__xludf.DUMMYFUNCTION("""COMPUTED_VALUE"""),95.5)</f>
        <v>95.5</v>
      </c>
      <c r="C25" s="6">
        <f>IFERROR(__xludf.DUMMYFUNCTION("""COMPUTED_VALUE"""),96.55)</f>
        <v>96.55</v>
      </c>
      <c r="D25" s="6">
        <f>IFERROR(__xludf.DUMMYFUNCTION("""COMPUTED_VALUE"""),77.5)</f>
        <v>77.5</v>
      </c>
      <c r="E25" s="6">
        <f>IFERROR(__xludf.DUMMYFUNCTION("""COMPUTED_VALUE"""),92.85)</f>
        <v>92.85</v>
      </c>
      <c r="F25" s="6">
        <f>IFERROR(__xludf.DUMMYFUNCTION("""COMPUTED_VALUE"""),1.463079808E9)</f>
        <v>1463079808</v>
      </c>
    </row>
    <row r="26">
      <c r="A26" s="7">
        <f>IFERROR(__xludf.DUMMYFUNCTION("""COMPUTED_VALUE"""),45345.64583333333)</f>
        <v>45345.64583</v>
      </c>
      <c r="B26" s="6">
        <f>IFERROR(__xludf.DUMMYFUNCTION("""COMPUTED_VALUE"""),94.4)</f>
        <v>94.4</v>
      </c>
      <c r="C26" s="6">
        <f>IFERROR(__xludf.DUMMYFUNCTION("""COMPUTED_VALUE"""),98.9)</f>
        <v>98.9</v>
      </c>
      <c r="D26" s="6">
        <f>IFERROR(__xludf.DUMMYFUNCTION("""COMPUTED_VALUE"""),88.6)</f>
        <v>88.6</v>
      </c>
      <c r="E26" s="6">
        <f>IFERROR(__xludf.DUMMYFUNCTION("""COMPUTED_VALUE"""),91.65)</f>
        <v>91.65</v>
      </c>
      <c r="F26" s="6">
        <f>IFERROR(__xludf.DUMMYFUNCTION("""COMPUTED_VALUE"""),7.29139983E8)</f>
        <v>729139983</v>
      </c>
    </row>
    <row r="27">
      <c r="A27" s="7">
        <f>IFERROR(__xludf.DUMMYFUNCTION("""COMPUTED_VALUE"""),45358.64583333333)</f>
        <v>45358.64583</v>
      </c>
      <c r="B27" s="6">
        <f>IFERROR(__xludf.DUMMYFUNCTION("""COMPUTED_VALUE"""),91.0)</f>
        <v>91</v>
      </c>
      <c r="C27" s="6">
        <f>IFERROR(__xludf.DUMMYFUNCTION("""COMPUTED_VALUE"""),95.5)</f>
        <v>95.5</v>
      </c>
      <c r="D27" s="6">
        <f>IFERROR(__xludf.DUMMYFUNCTION("""COMPUTED_VALUE"""),88.2)</f>
        <v>88.2</v>
      </c>
      <c r="E27" s="6">
        <f>IFERROR(__xludf.DUMMYFUNCTION("""COMPUTED_VALUE"""),90.05)</f>
        <v>90.05</v>
      </c>
      <c r="F27" s="6">
        <f>IFERROR(__xludf.DUMMYFUNCTION("""COMPUTED_VALUE"""),3.47578454E8)</f>
        <v>347578454</v>
      </c>
    </row>
    <row r="28">
      <c r="A28" s="7">
        <f>IFERROR(__xludf.DUMMYFUNCTION("""COMPUTED_VALUE"""),45366.64583333333)</f>
        <v>45366.64583</v>
      </c>
      <c r="B28" s="6">
        <f>IFERROR(__xludf.DUMMYFUNCTION("""COMPUTED_VALUE"""),90.6)</f>
        <v>90.6</v>
      </c>
      <c r="C28" s="6">
        <f>IFERROR(__xludf.DUMMYFUNCTION("""COMPUTED_VALUE"""),91.95)</f>
        <v>91.95</v>
      </c>
      <c r="D28" s="6">
        <f>IFERROR(__xludf.DUMMYFUNCTION("""COMPUTED_VALUE"""),73.6)</f>
        <v>73.6</v>
      </c>
      <c r="E28" s="6">
        <f>IFERROR(__xludf.DUMMYFUNCTION("""COMPUTED_VALUE"""),82.95)</f>
        <v>82.95</v>
      </c>
      <c r="F28" s="6">
        <f>IFERROR(__xludf.DUMMYFUNCTION("""COMPUTED_VALUE"""),6.99290705E8)</f>
        <v>699290705</v>
      </c>
    </row>
    <row r="29">
      <c r="A29" s="7">
        <f>IFERROR(__xludf.DUMMYFUNCTION("""COMPUTED_VALUE"""),45373.64583333333)</f>
        <v>45373.64583</v>
      </c>
      <c r="B29" s="6">
        <f>IFERROR(__xludf.DUMMYFUNCTION("""COMPUTED_VALUE"""),84.1)</f>
        <v>84.1</v>
      </c>
      <c r="C29" s="6">
        <f>IFERROR(__xludf.DUMMYFUNCTION("""COMPUTED_VALUE"""),86.55)</f>
        <v>86.55</v>
      </c>
      <c r="D29" s="6">
        <f>IFERROR(__xludf.DUMMYFUNCTION("""COMPUTED_VALUE"""),80.7)</f>
        <v>80.7</v>
      </c>
      <c r="E29" s="6">
        <f>IFERROR(__xludf.DUMMYFUNCTION("""COMPUTED_VALUE"""),85.05)</f>
        <v>85.05</v>
      </c>
      <c r="F29" s="6">
        <f>IFERROR(__xludf.DUMMYFUNCTION("""COMPUTED_VALUE"""),4.04511508E8)</f>
        <v>404511508</v>
      </c>
    </row>
    <row r="30">
      <c r="A30" s="7">
        <f>IFERROR(__xludf.DUMMYFUNCTION("""COMPUTED_VALUE"""),45379.64583333333)</f>
        <v>45379.64583</v>
      </c>
      <c r="B30" s="6">
        <f>IFERROR(__xludf.DUMMYFUNCTION("""COMPUTED_VALUE"""),85.5)</f>
        <v>85.5</v>
      </c>
      <c r="C30" s="6">
        <f>IFERROR(__xludf.DUMMYFUNCTION("""COMPUTED_VALUE"""),90.95)</f>
        <v>90.95</v>
      </c>
      <c r="D30" s="6">
        <f>IFERROR(__xludf.DUMMYFUNCTION("""COMPUTED_VALUE"""),84.65)</f>
        <v>84.65</v>
      </c>
      <c r="E30" s="6">
        <f>IFERROR(__xludf.DUMMYFUNCTION("""COMPUTED_VALUE"""),89.7)</f>
        <v>89.7</v>
      </c>
      <c r="F30" s="6">
        <f>IFERROR(__xludf.DUMMYFUNCTION("""COMPUTED_VALUE"""),2.50567941E8)</f>
        <v>250567941</v>
      </c>
    </row>
    <row r="31">
      <c r="A31" s="7">
        <f>IFERROR(__xludf.DUMMYFUNCTION("""COMPUTED_VALUE"""),45387.64583333333)</f>
        <v>45387.64583</v>
      </c>
      <c r="B31" s="6">
        <f>IFERROR(__xludf.DUMMYFUNCTION("""COMPUTED_VALUE"""),90.65)</f>
        <v>90.65</v>
      </c>
      <c r="C31" s="6">
        <f>IFERROR(__xludf.DUMMYFUNCTION("""COMPUTED_VALUE"""),95.5)</f>
        <v>95.5</v>
      </c>
      <c r="D31" s="6">
        <f>IFERROR(__xludf.DUMMYFUNCTION("""COMPUTED_VALUE"""),89.4)</f>
        <v>89.4</v>
      </c>
      <c r="E31" s="6">
        <f>IFERROR(__xludf.DUMMYFUNCTION("""COMPUTED_VALUE"""),93.95)</f>
        <v>93.95</v>
      </c>
      <c r="F31" s="6">
        <f>IFERROR(__xludf.DUMMYFUNCTION("""COMPUTED_VALUE"""),3.91875182E8)</f>
        <v>391875182</v>
      </c>
    </row>
    <row r="32">
      <c r="A32" s="7">
        <f>IFERROR(__xludf.DUMMYFUNCTION("""COMPUTED_VALUE"""),45394.64583333333)</f>
        <v>45394.64583</v>
      </c>
      <c r="B32" s="6">
        <f>IFERROR(__xludf.DUMMYFUNCTION("""COMPUTED_VALUE"""),94.5)</f>
        <v>94.5</v>
      </c>
      <c r="C32" s="6">
        <f>IFERROR(__xludf.DUMMYFUNCTION("""COMPUTED_VALUE"""),94.7)</f>
        <v>94.7</v>
      </c>
      <c r="D32" s="6">
        <f>IFERROR(__xludf.DUMMYFUNCTION("""COMPUTED_VALUE"""),90.3)</f>
        <v>90.3</v>
      </c>
      <c r="E32" s="6">
        <f>IFERROR(__xludf.DUMMYFUNCTION("""COMPUTED_VALUE"""),92.25)</f>
        <v>92.25</v>
      </c>
      <c r="F32" s="6">
        <f>IFERROR(__xludf.DUMMYFUNCTION("""COMPUTED_VALUE"""),1.84458401E8)</f>
        <v>184458401</v>
      </c>
    </row>
    <row r="33">
      <c r="A33" s="7">
        <f>IFERROR(__xludf.DUMMYFUNCTION("""COMPUTED_VALUE"""),45401.64583333333)</f>
        <v>45401.64583</v>
      </c>
      <c r="B33" s="6">
        <f>IFERROR(__xludf.DUMMYFUNCTION("""COMPUTED_VALUE"""),88.35)</f>
        <v>88.35</v>
      </c>
      <c r="C33" s="6">
        <f>IFERROR(__xludf.DUMMYFUNCTION("""COMPUTED_VALUE"""),92.95)</f>
        <v>92.95</v>
      </c>
      <c r="D33" s="6">
        <f>IFERROR(__xludf.DUMMYFUNCTION("""COMPUTED_VALUE"""),86.85)</f>
        <v>86.85</v>
      </c>
      <c r="E33" s="6">
        <f>IFERROR(__xludf.DUMMYFUNCTION("""COMPUTED_VALUE"""),87.15)</f>
        <v>87.15</v>
      </c>
      <c r="F33" s="6">
        <f>IFERROR(__xludf.DUMMYFUNCTION("""COMPUTED_VALUE"""),2.43340597E8)</f>
        <v>243340597</v>
      </c>
    </row>
    <row r="34">
      <c r="A34" s="7">
        <f>IFERROR(__xludf.DUMMYFUNCTION("""COMPUTED_VALUE"""),45408.64583333333)</f>
        <v>45408.64583</v>
      </c>
      <c r="B34" s="6">
        <f>IFERROR(__xludf.DUMMYFUNCTION("""COMPUTED_VALUE"""),88.8)</f>
        <v>88.8</v>
      </c>
      <c r="C34" s="6">
        <f>IFERROR(__xludf.DUMMYFUNCTION("""COMPUTED_VALUE"""),94.0)</f>
        <v>94</v>
      </c>
      <c r="D34" s="6">
        <f>IFERROR(__xludf.DUMMYFUNCTION("""COMPUTED_VALUE"""),88.3)</f>
        <v>88.3</v>
      </c>
      <c r="E34" s="6">
        <f>IFERROR(__xludf.DUMMYFUNCTION("""COMPUTED_VALUE"""),92.55)</f>
        <v>92.55</v>
      </c>
      <c r="F34" s="6">
        <f>IFERROR(__xludf.DUMMYFUNCTION("""COMPUTED_VALUE"""),2.08270904E8)</f>
        <v>208270904</v>
      </c>
    </row>
    <row r="35">
      <c r="A35" s="7">
        <f>IFERROR(__xludf.DUMMYFUNCTION("""COMPUTED_VALUE"""),45415.64583333333)</f>
        <v>45415.64583</v>
      </c>
      <c r="B35" s="6">
        <f>IFERROR(__xludf.DUMMYFUNCTION("""COMPUTED_VALUE"""),93.45)</f>
        <v>93.45</v>
      </c>
      <c r="C35" s="6">
        <f>IFERROR(__xludf.DUMMYFUNCTION("""COMPUTED_VALUE"""),101.35)</f>
        <v>101.35</v>
      </c>
      <c r="D35" s="6">
        <f>IFERROR(__xludf.DUMMYFUNCTION("""COMPUTED_VALUE"""),92.7)</f>
        <v>92.7</v>
      </c>
      <c r="E35" s="6">
        <f>IFERROR(__xludf.DUMMYFUNCTION("""COMPUTED_VALUE"""),99.25)</f>
        <v>99.25</v>
      </c>
      <c r="F35" s="6">
        <f>IFERROR(__xludf.DUMMYFUNCTION("""COMPUTED_VALUE"""),3.77283093E8)</f>
        <v>377283093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IFERROR(__xludf.DUMMYFUNCTION("""COMPUTED_VALUE"""),101.0)</f>
        <v>101</v>
      </c>
      <c r="C36" s="6">
        <f>IFERROR(__xludf.DUMMYFUNCTION("""COMPUTED_VALUE"""),103.5)</f>
        <v>103.5</v>
      </c>
      <c r="D36" s="6">
        <f>IFERROR(__xludf.DUMMYFUNCTION("""COMPUTED_VALUE"""),90.4)</f>
        <v>90.4</v>
      </c>
      <c r="E36" s="6">
        <f>IFERROR(__xludf.DUMMYFUNCTION("""COMPUTED_VALUE"""),94.5)</f>
        <v>94.5</v>
      </c>
      <c r="F36" s="6">
        <f>IFERROR(__xludf.DUMMYFUNCTION("""COMPUTED_VALUE"""),5.93757218E8)</f>
        <v>593757218</v>
      </c>
    </row>
    <row r="37">
      <c r="A37" s="7">
        <f>IFERROR(__xludf.DUMMYFUNCTION("""COMPUTED_VALUE"""),45436.64583333333)</f>
        <v>45436.64583</v>
      </c>
      <c r="B37" s="6">
        <f>IFERROR(__xludf.DUMMYFUNCTION("""COMPUTED_VALUE"""),98.6)</f>
        <v>98.6</v>
      </c>
      <c r="C37" s="6">
        <f>IFERROR(__xludf.DUMMYFUNCTION("""COMPUTED_VALUE"""),108.7)</f>
        <v>108.7</v>
      </c>
      <c r="D37" s="6">
        <f>IFERROR(__xludf.DUMMYFUNCTION("""COMPUTED_VALUE"""),97.2)</f>
        <v>97.2</v>
      </c>
      <c r="E37" s="6">
        <f>IFERROR(__xludf.DUMMYFUNCTION("""COMPUTED_VALUE"""),102.45)</f>
        <v>102.45</v>
      </c>
      <c r="F37" s="6">
        <f>IFERROR(__xludf.DUMMYFUNCTION("""COMPUTED_VALUE"""),5.81705149E8)</f>
        <v>581705149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IFERROR(__xludf.DUMMYFUNCTION("""COMPUTED_VALUE"""),103.6)</f>
        <v>103.6</v>
      </c>
      <c r="C38" s="6">
        <f>IFERROR(__xludf.DUMMYFUNCTION("""COMPUTED_VALUE"""),110.45)</f>
        <v>110.45</v>
      </c>
      <c r="D38" s="6">
        <f>IFERROR(__xludf.DUMMYFUNCTION("""COMPUTED_VALUE"""),98.65)</f>
        <v>98.65</v>
      </c>
      <c r="E38" s="6">
        <f>IFERROR(__xludf.DUMMYFUNCTION("""COMPUTED_VALUE"""),107.25)</f>
        <v>107.25</v>
      </c>
      <c r="F38" s="6">
        <f>IFERROR(__xludf.DUMMYFUNCTION("""COMPUTED_VALUE"""),9.43429402E8)</f>
        <v>943429402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IFERROR(__xludf.DUMMYFUNCTION("""COMPUTED_VALUE"""),118.0)</f>
        <v>118</v>
      </c>
      <c r="C39" s="6">
        <f>IFERROR(__xludf.DUMMYFUNCTION("""COMPUTED_VALUE"""),118.0)</f>
        <v>118</v>
      </c>
      <c r="D39" s="6">
        <f>IFERROR(__xludf.DUMMYFUNCTION("""COMPUTED_VALUE"""),91.1)</f>
        <v>91.1</v>
      </c>
      <c r="E39" s="6">
        <f>IFERROR(__xludf.DUMMYFUNCTION("""COMPUTED_VALUE"""),103.2)</f>
        <v>103.2</v>
      </c>
      <c r="F39" s="6">
        <f>IFERROR(__xludf.DUMMYFUNCTION("""COMPUTED_VALUE"""),7.74479638E8)</f>
        <v>774479638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IFERROR(__xludf.DUMMYFUNCTION("""COMPUTED_VALUE"""),104.3)</f>
        <v>104.3</v>
      </c>
      <c r="C40" s="6">
        <f>IFERROR(__xludf.DUMMYFUNCTION("""COMPUTED_VALUE"""),105.48)</f>
        <v>105.48</v>
      </c>
      <c r="D40" s="6">
        <f>IFERROR(__xludf.DUMMYFUNCTION("""COMPUTED_VALUE"""),101.28)</f>
        <v>101.28</v>
      </c>
      <c r="E40" s="6">
        <f>IFERROR(__xludf.DUMMYFUNCTION("""COMPUTED_VALUE"""),102.59)</f>
        <v>102.59</v>
      </c>
      <c r="F40" s="6">
        <f>IFERROR(__xludf.DUMMYFUNCTION("""COMPUTED_VALUE"""),2.72475842E8)</f>
        <v>272475842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IFERROR(__xludf.DUMMYFUNCTION("""COMPUTED_VALUE"""),103.15)</f>
        <v>103.15</v>
      </c>
      <c r="C41" s="6">
        <f>IFERROR(__xludf.DUMMYFUNCTION("""COMPUTED_VALUE"""),103.3)</f>
        <v>103.3</v>
      </c>
      <c r="D41" s="6">
        <f>IFERROR(__xludf.DUMMYFUNCTION("""COMPUTED_VALUE"""),99.11)</f>
        <v>99.11</v>
      </c>
      <c r="E41" s="6">
        <f>IFERROR(__xludf.DUMMYFUNCTION("""COMPUTED_VALUE"""),100.76)</f>
        <v>100.76</v>
      </c>
      <c r="F41" s="6">
        <f>IFERROR(__xludf.DUMMYFUNCTION("""COMPUTED_VALUE"""),1.63902155E8)</f>
        <v>163902155</v>
      </c>
    </row>
    <row r="42">
      <c r="A42" s="7">
        <f>IFERROR(__xludf.DUMMYFUNCTION("""COMPUTED_VALUE"""),45471.64583333333)</f>
        <v>45471.64583</v>
      </c>
      <c r="B42" s="6">
        <f>IFERROR(__xludf.DUMMYFUNCTION("""COMPUTED_VALUE"""),99.71)</f>
        <v>99.71</v>
      </c>
      <c r="C42" s="6">
        <f>IFERROR(__xludf.DUMMYFUNCTION("""COMPUTED_VALUE"""),102.83)</f>
        <v>102.83</v>
      </c>
      <c r="D42" s="6">
        <f>IFERROR(__xludf.DUMMYFUNCTION("""COMPUTED_VALUE"""),98.01)</f>
        <v>98.01</v>
      </c>
      <c r="E42" s="6">
        <f>IFERROR(__xludf.DUMMYFUNCTION("""COMPUTED_VALUE"""),100.7)</f>
        <v>100.7</v>
      </c>
      <c r="F42" s="6">
        <f>IFERROR(__xludf.DUMMYFUNCTION("""COMPUTED_VALUE"""),1.97335047E8)</f>
        <v>197335047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IFERROR(__xludf.DUMMYFUNCTION("""COMPUTED_VALUE"""),101.0)</f>
        <v>101</v>
      </c>
      <c r="C43" s="6">
        <f>IFERROR(__xludf.DUMMYFUNCTION("""COMPUTED_VALUE"""),105.3)</f>
        <v>105.3</v>
      </c>
      <c r="D43" s="6">
        <f>IFERROR(__xludf.DUMMYFUNCTION("""COMPUTED_VALUE"""),98.71)</f>
        <v>98.71</v>
      </c>
      <c r="E43" s="6">
        <f>IFERROR(__xludf.DUMMYFUNCTION("""COMPUTED_VALUE"""),103.82)</f>
        <v>103.82</v>
      </c>
      <c r="F43" s="6">
        <f>IFERROR(__xludf.DUMMYFUNCTION("""COMPUTED_VALUE"""),2.68555387E8)</f>
        <v>268555387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IFERROR(__xludf.DUMMYFUNCTION("""COMPUTED_VALUE"""),104.5)</f>
        <v>104.5</v>
      </c>
      <c r="C44" s="6">
        <f>IFERROR(__xludf.DUMMYFUNCTION("""COMPUTED_VALUE"""),116.95)</f>
        <v>116.95</v>
      </c>
      <c r="D44" s="6">
        <f>IFERROR(__xludf.DUMMYFUNCTION("""COMPUTED_VALUE"""),102.06)</f>
        <v>102.06</v>
      </c>
      <c r="E44" s="6">
        <f>IFERROR(__xludf.DUMMYFUNCTION("""COMPUTED_VALUE"""),113.02)</f>
        <v>113.02</v>
      </c>
      <c r="F44" s="6">
        <f>IFERROR(__xludf.DUMMYFUNCTION("""COMPUTED_VALUE"""),6.40445986E8)</f>
        <v>640445986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IFERROR(__xludf.DUMMYFUNCTION("""COMPUTED_VALUE"""),113.8)</f>
        <v>113.8</v>
      </c>
      <c r="C45" s="6">
        <f>IFERROR(__xludf.DUMMYFUNCTION("""COMPUTED_VALUE"""),118.4)</f>
        <v>118.4</v>
      </c>
      <c r="D45" s="6">
        <f>IFERROR(__xludf.DUMMYFUNCTION("""COMPUTED_VALUE"""),105.5)</f>
        <v>105.5</v>
      </c>
      <c r="E45" s="6">
        <f>IFERROR(__xludf.DUMMYFUNCTION("""COMPUTED_VALUE"""),106.27)</f>
        <v>106.27</v>
      </c>
      <c r="F45" s="6">
        <f>IFERROR(__xludf.DUMMYFUNCTION("""COMPUTED_VALUE"""),3.4885276E8)</f>
        <v>348852760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IFERROR(__xludf.DUMMYFUNCTION("""COMPUTED_VALUE"""),105.8)</f>
        <v>105.8</v>
      </c>
      <c r="C46" s="6">
        <f>IFERROR(__xludf.DUMMYFUNCTION("""COMPUTED_VALUE"""),108.87)</f>
        <v>108.87</v>
      </c>
      <c r="D46" s="6">
        <f>IFERROR(__xludf.DUMMYFUNCTION("""COMPUTED_VALUE"""),96.67)</f>
        <v>96.67</v>
      </c>
      <c r="E46" s="6">
        <f>IFERROR(__xludf.DUMMYFUNCTION("""COMPUTED_VALUE"""),104.62)</f>
        <v>104.62</v>
      </c>
      <c r="F46" s="6">
        <f>IFERROR(__xludf.DUMMYFUNCTION("""COMPUTED_VALUE"""),3.58525468E8)</f>
        <v>358525468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IFERROR(__xludf.DUMMYFUNCTION("""COMPUTED_VALUE"""),105.25)</f>
        <v>105.25</v>
      </c>
      <c r="C47" s="6">
        <f>IFERROR(__xludf.DUMMYFUNCTION("""COMPUTED_VALUE"""),106.65)</f>
        <v>106.65</v>
      </c>
      <c r="D47" s="6">
        <f>IFERROR(__xludf.DUMMYFUNCTION("""COMPUTED_VALUE"""),102.36)</f>
        <v>102.36</v>
      </c>
      <c r="E47" s="6">
        <f>IFERROR(__xludf.DUMMYFUNCTION("""COMPUTED_VALUE"""),103.31)</f>
        <v>103.31</v>
      </c>
      <c r="F47" s="6">
        <f>IFERROR(__xludf.DUMMYFUNCTION("""COMPUTED_VALUE"""),1.48587466E8)</f>
        <v>148587466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IFERROR(__xludf.DUMMYFUNCTION("""COMPUTED_VALUE"""),100.0)</f>
        <v>100</v>
      </c>
      <c r="C48" s="6">
        <f>IFERROR(__xludf.DUMMYFUNCTION("""COMPUTED_VALUE"""),101.6)</f>
        <v>101.6</v>
      </c>
      <c r="D48" s="6">
        <f>IFERROR(__xludf.DUMMYFUNCTION("""COMPUTED_VALUE"""),97.4)</f>
        <v>97.4</v>
      </c>
      <c r="E48" s="6">
        <f>IFERROR(__xludf.DUMMYFUNCTION("""COMPUTED_VALUE"""),97.77)</f>
        <v>97.77</v>
      </c>
      <c r="F48" s="6">
        <f>IFERROR(__xludf.DUMMYFUNCTION("""COMPUTED_VALUE"""),1.83309131E8)</f>
        <v>183309131</v>
      </c>
    </row>
    <row r="49">
      <c r="A49" s="7">
        <f>IFERROR(__xludf.DUMMYFUNCTION("""COMPUTED_VALUE"""),45520.64583333333)</f>
        <v>45520.64583</v>
      </c>
      <c r="B49" s="6">
        <f>IFERROR(__xludf.DUMMYFUNCTION("""COMPUTED_VALUE"""),96.84)</f>
        <v>96.84</v>
      </c>
      <c r="C49" s="6">
        <f>IFERROR(__xludf.DUMMYFUNCTION("""COMPUTED_VALUE"""),97.79)</f>
        <v>97.79</v>
      </c>
      <c r="D49" s="6">
        <f>IFERROR(__xludf.DUMMYFUNCTION("""COMPUTED_VALUE"""),92.5)</f>
        <v>92.5</v>
      </c>
      <c r="E49" s="6">
        <f>IFERROR(__xludf.DUMMYFUNCTION("""COMPUTED_VALUE"""),94.13)</f>
        <v>94.13</v>
      </c>
      <c r="F49" s="6">
        <f>IFERROR(__xludf.DUMMYFUNCTION("""COMPUTED_VALUE"""),1.24902896E8)</f>
        <v>124902896</v>
      </c>
    </row>
    <row r="50">
      <c r="A50" s="7">
        <f>IFERROR(__xludf.DUMMYFUNCTION("""COMPUTED_VALUE"""),45527.64583333333)</f>
        <v>45527.64583</v>
      </c>
      <c r="B50" s="6">
        <f>IFERROR(__xludf.DUMMYFUNCTION("""COMPUTED_VALUE"""),94.65)</f>
        <v>94.65</v>
      </c>
      <c r="C50" s="6">
        <f>IFERROR(__xludf.DUMMYFUNCTION("""COMPUTED_VALUE"""),98.6)</f>
        <v>98.6</v>
      </c>
      <c r="D50" s="6">
        <f>IFERROR(__xludf.DUMMYFUNCTION("""COMPUTED_VALUE"""),94.5)</f>
        <v>94.5</v>
      </c>
      <c r="E50" s="6">
        <f>IFERROR(__xludf.DUMMYFUNCTION("""COMPUTED_VALUE"""),97.09)</f>
        <v>97.09</v>
      </c>
      <c r="F50" s="6">
        <f>IFERROR(__xludf.DUMMYFUNCTION("""COMPUTED_VALUE"""),1.04818595E8)</f>
        <v>104818595</v>
      </c>
    </row>
    <row r="51">
      <c r="A51" s="7">
        <f>IFERROR(__xludf.DUMMYFUNCTION("""COMPUTED_VALUE"""),45534.64583333333)</f>
        <v>45534.64583</v>
      </c>
      <c r="B51" s="6">
        <f>IFERROR(__xludf.DUMMYFUNCTION("""COMPUTED_VALUE"""),97.6)</f>
        <v>97.6</v>
      </c>
      <c r="C51" s="6">
        <f>IFERROR(__xludf.DUMMYFUNCTION("""COMPUTED_VALUE"""),99.3)</f>
        <v>99.3</v>
      </c>
      <c r="D51" s="6">
        <f>IFERROR(__xludf.DUMMYFUNCTION("""COMPUTED_VALUE"""),93.09)</f>
        <v>93.09</v>
      </c>
      <c r="E51" s="6">
        <f>IFERROR(__xludf.DUMMYFUNCTION("""COMPUTED_VALUE"""),96.12)</f>
        <v>96.12</v>
      </c>
      <c r="F51" s="6">
        <f>IFERROR(__xludf.DUMMYFUNCTION("""COMPUTED_VALUE"""),1.28861847E8)</f>
        <v>128861847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IFERROR(__xludf.DUMMYFUNCTION("""COMPUTED_VALUE"""),100.0)</f>
        <v>100</v>
      </c>
      <c r="C52" s="6">
        <f>IFERROR(__xludf.DUMMYFUNCTION("""COMPUTED_VALUE"""),100.5)</f>
        <v>100.5</v>
      </c>
      <c r="D52" s="6">
        <f>IFERROR(__xludf.DUMMYFUNCTION("""COMPUTED_VALUE"""),95.5)</f>
        <v>95.5</v>
      </c>
      <c r="E52" s="6">
        <f>IFERROR(__xludf.DUMMYFUNCTION("""COMPUTED_VALUE"""),96.09)</f>
        <v>96.09</v>
      </c>
      <c r="F52" s="6">
        <f>IFERROR(__xludf.DUMMYFUNCTION("""COMPUTED_VALUE"""),1.33662622E8)</f>
        <v>133662622</v>
      </c>
    </row>
    <row r="53">
      <c r="A53" s="7">
        <f>IFERROR(__xludf.DUMMYFUNCTION("""COMPUTED_VALUE"""),45548.64583333333)</f>
        <v>45548.64583</v>
      </c>
      <c r="B53" s="6">
        <f>IFERROR(__xludf.DUMMYFUNCTION("""COMPUTED_VALUE"""),96.0)</f>
        <v>96</v>
      </c>
      <c r="C53" s="6">
        <f>IFERROR(__xludf.DUMMYFUNCTION("""COMPUTED_VALUE"""),96.5)</f>
        <v>96.5</v>
      </c>
      <c r="D53" s="6">
        <f>IFERROR(__xludf.DUMMYFUNCTION("""COMPUTED_VALUE"""),93.81)</f>
        <v>93.81</v>
      </c>
      <c r="E53" s="6">
        <f>IFERROR(__xludf.DUMMYFUNCTION("""COMPUTED_VALUE"""),94.28)</f>
        <v>94.28</v>
      </c>
      <c r="F53" s="6">
        <f>IFERROR(__xludf.DUMMYFUNCTION("""COMPUTED_VALUE"""),8.002991E7)</f>
        <v>80029910</v>
      </c>
    </row>
    <row r="54">
      <c r="A54" s="7">
        <f>IFERROR(__xludf.DUMMYFUNCTION("""COMPUTED_VALUE"""),45555.64583333333)</f>
        <v>45555.64583</v>
      </c>
      <c r="B54" s="6">
        <f>IFERROR(__xludf.DUMMYFUNCTION("""COMPUTED_VALUE"""),94.69)</f>
        <v>94.69</v>
      </c>
      <c r="C54" s="6">
        <f>IFERROR(__xludf.DUMMYFUNCTION("""COMPUTED_VALUE"""),96.98)</f>
        <v>96.98</v>
      </c>
      <c r="D54" s="6">
        <f>IFERROR(__xludf.DUMMYFUNCTION("""COMPUTED_VALUE"""),91.39)</f>
        <v>91.39</v>
      </c>
      <c r="E54" s="6">
        <f>IFERROR(__xludf.DUMMYFUNCTION("""COMPUTED_VALUE"""),94.65)</f>
        <v>94.65</v>
      </c>
      <c r="F54" s="6">
        <f>IFERROR(__xludf.DUMMYFUNCTION("""COMPUTED_VALUE"""),9.0657903E7)</f>
        <v>90657903</v>
      </c>
    </row>
    <row r="55">
      <c r="A55" s="7">
        <f>IFERROR(__xludf.DUMMYFUNCTION("""COMPUTED_VALUE"""),45562.64583333333)</f>
        <v>45562.64583</v>
      </c>
      <c r="B55" s="6">
        <f>IFERROR(__xludf.DUMMYFUNCTION("""COMPUTED_VALUE"""),94.6)</f>
        <v>94.6</v>
      </c>
      <c r="C55" s="6">
        <f>IFERROR(__xludf.DUMMYFUNCTION("""COMPUTED_VALUE"""),96.0)</f>
        <v>96</v>
      </c>
      <c r="D55" s="6">
        <f>IFERROR(__xludf.DUMMYFUNCTION("""COMPUTED_VALUE"""),92.2)</f>
        <v>92.2</v>
      </c>
      <c r="E55" s="6">
        <f>IFERROR(__xludf.DUMMYFUNCTION("""COMPUTED_VALUE"""),95.34)</f>
        <v>95.34</v>
      </c>
      <c r="F55" s="6">
        <f>IFERROR(__xludf.DUMMYFUNCTION("""COMPUTED_VALUE"""),1.48682323E8)</f>
        <v>148682323</v>
      </c>
    </row>
    <row r="56">
      <c r="A56" s="7">
        <f>IFERROR(__xludf.DUMMYFUNCTION("""COMPUTED_VALUE"""),45569.64583333333)</f>
        <v>45569.64583</v>
      </c>
      <c r="B56" s="6">
        <f>IFERROR(__xludf.DUMMYFUNCTION("""COMPUTED_VALUE"""),95.34)</f>
        <v>95.34</v>
      </c>
      <c r="C56" s="6">
        <f>IFERROR(__xludf.DUMMYFUNCTION("""COMPUTED_VALUE"""),96.19)</f>
        <v>96.19</v>
      </c>
      <c r="D56" s="6">
        <f>IFERROR(__xludf.DUMMYFUNCTION("""COMPUTED_VALUE"""),91.05)</f>
        <v>91.05</v>
      </c>
      <c r="E56" s="6">
        <f>IFERROR(__xludf.DUMMYFUNCTION("""COMPUTED_VALUE"""),93.17)</f>
        <v>93.17</v>
      </c>
      <c r="F56" s="6">
        <f>IFERROR(__xludf.DUMMYFUNCTION("""COMPUTED_VALUE"""),7.6647942E7)</f>
        <v>76647942</v>
      </c>
    </row>
    <row r="57">
      <c r="A57" s="7">
        <f>IFERROR(__xludf.DUMMYFUNCTION("""COMPUTED_VALUE"""),45576.64583333333)</f>
        <v>45576.64583</v>
      </c>
      <c r="B57" s="6">
        <f>IFERROR(__xludf.DUMMYFUNCTION("""COMPUTED_VALUE"""),93.15)</f>
        <v>93.15</v>
      </c>
      <c r="C57" s="6">
        <f>IFERROR(__xludf.DUMMYFUNCTION("""COMPUTED_VALUE"""),93.25)</f>
        <v>93.25</v>
      </c>
      <c r="D57" s="6">
        <f>IFERROR(__xludf.DUMMYFUNCTION("""COMPUTED_VALUE"""),87.72)</f>
        <v>87.72</v>
      </c>
      <c r="E57" s="6">
        <f>IFERROR(__xludf.DUMMYFUNCTION("""COMPUTED_VALUE"""),90.92)</f>
        <v>90.92</v>
      </c>
      <c r="F57" s="6">
        <f>IFERROR(__xludf.DUMMYFUNCTION("""COMPUTED_VALUE"""),1.17966527E8)</f>
        <v>117966527</v>
      </c>
    </row>
    <row r="58">
      <c r="A58" s="7">
        <f>IFERROR(__xludf.DUMMYFUNCTION("""COMPUTED_VALUE"""),45583.64583333333)</f>
        <v>45583.64583</v>
      </c>
      <c r="B58" s="6">
        <f>IFERROR(__xludf.DUMMYFUNCTION("""COMPUTED_VALUE"""),91.0)</f>
        <v>91</v>
      </c>
      <c r="C58" s="6">
        <f>IFERROR(__xludf.DUMMYFUNCTION("""COMPUTED_VALUE"""),91.84)</f>
        <v>91.84</v>
      </c>
      <c r="D58" s="6">
        <f>IFERROR(__xludf.DUMMYFUNCTION("""COMPUTED_VALUE"""),83.01)</f>
        <v>83.01</v>
      </c>
      <c r="E58" s="6">
        <f>IFERROR(__xludf.DUMMYFUNCTION("""COMPUTED_VALUE"""),84.13)</f>
        <v>84.13</v>
      </c>
      <c r="F58" s="6">
        <f>IFERROR(__xludf.DUMMYFUNCTION("""COMPUTED_VALUE"""),1.06562622E8)</f>
        <v>106562622</v>
      </c>
    </row>
    <row r="59">
      <c r="A59" s="7">
        <f>IFERROR(__xludf.DUMMYFUNCTION("""COMPUTED_VALUE"""),45590.64583333333)</f>
        <v>45590.64583</v>
      </c>
      <c r="B59" s="6">
        <f>IFERROR(__xludf.DUMMYFUNCTION("""COMPUTED_VALUE"""),84.5)</f>
        <v>84.5</v>
      </c>
      <c r="C59" s="6">
        <f>IFERROR(__xludf.DUMMYFUNCTION("""COMPUTED_VALUE"""),84.55)</f>
        <v>84.55</v>
      </c>
      <c r="D59" s="6">
        <f>IFERROR(__xludf.DUMMYFUNCTION("""COMPUTED_VALUE"""),75.1)</f>
        <v>75.1</v>
      </c>
      <c r="E59" s="6">
        <f>IFERROR(__xludf.DUMMYFUNCTION("""COMPUTED_VALUE"""),78.5)</f>
        <v>78.5</v>
      </c>
      <c r="F59" s="6">
        <f>IFERROR(__xludf.DUMMYFUNCTION("""COMPUTED_VALUE"""),1.91227586E8)</f>
        <v>191227586</v>
      </c>
    </row>
    <row r="60">
      <c r="A60" s="7">
        <f>IFERROR(__xludf.DUMMYFUNCTION("""COMPUTED_VALUE"""),45604.64583333333)</f>
        <v>45604.64583</v>
      </c>
      <c r="B60" s="6">
        <f>IFERROR(__xludf.DUMMYFUNCTION("""COMPUTED_VALUE"""),84.5)</f>
        <v>84.5</v>
      </c>
      <c r="C60" s="6">
        <f>IFERROR(__xludf.DUMMYFUNCTION("""COMPUTED_VALUE"""),85.59)</f>
        <v>85.59</v>
      </c>
      <c r="D60" s="6">
        <f>IFERROR(__xludf.DUMMYFUNCTION("""COMPUTED_VALUE"""),79.5)</f>
        <v>79.5</v>
      </c>
      <c r="E60" s="6">
        <f>IFERROR(__xludf.DUMMYFUNCTION("""COMPUTED_VALUE"""),82.35)</f>
        <v>82.35</v>
      </c>
      <c r="F60" s="6">
        <f>IFERROR(__xludf.DUMMYFUNCTION("""COMPUTED_VALUE"""),1.35708959E8)</f>
        <v>135708959</v>
      </c>
    </row>
    <row r="61">
      <c r="A61" s="7">
        <f>IFERROR(__xludf.DUMMYFUNCTION("""COMPUTED_VALUE"""),45610.64583333333)</f>
        <v>45610.64583</v>
      </c>
      <c r="B61" s="6">
        <f>IFERROR(__xludf.DUMMYFUNCTION("""COMPUTED_VALUE"""),82.35)</f>
        <v>82.35</v>
      </c>
      <c r="C61" s="6">
        <f>IFERROR(__xludf.DUMMYFUNCTION("""COMPUTED_VALUE"""),82.58)</f>
        <v>82.58</v>
      </c>
      <c r="D61" s="6">
        <f>IFERROR(__xludf.DUMMYFUNCTION("""COMPUTED_VALUE"""),77.26)</f>
        <v>77.26</v>
      </c>
      <c r="E61" s="6">
        <f>IFERROR(__xludf.DUMMYFUNCTION("""COMPUTED_VALUE"""),78.38)</f>
        <v>78.38</v>
      </c>
      <c r="F61" s="6">
        <f>IFERROR(__xludf.DUMMYFUNCTION("""COMPUTED_VALUE"""),7.052889E7)</f>
        <v>70528890</v>
      </c>
    </row>
    <row r="62">
      <c r="A62" s="7">
        <f>IFERROR(__xludf.DUMMYFUNCTION("""COMPUTED_VALUE"""),45618.64583333333)</f>
        <v>45618.64583</v>
      </c>
      <c r="B62" s="6">
        <f>IFERROR(__xludf.DUMMYFUNCTION("""COMPUTED_VALUE"""),78.63)</f>
        <v>78.63</v>
      </c>
      <c r="C62" s="6">
        <f>IFERROR(__xludf.DUMMYFUNCTION("""COMPUTED_VALUE"""),80.54)</f>
        <v>80.54</v>
      </c>
      <c r="D62" s="6">
        <f>IFERROR(__xludf.DUMMYFUNCTION("""COMPUTED_VALUE"""),76.41)</f>
        <v>76.41</v>
      </c>
      <c r="E62" s="6">
        <f>IFERROR(__xludf.DUMMYFUNCTION("""COMPUTED_VALUE"""),79.16)</f>
        <v>79.16</v>
      </c>
      <c r="F62" s="6">
        <f>IFERROR(__xludf.DUMMYFUNCTION("""COMPUTED_VALUE"""),6.0463542E7)</f>
        <v>60463542</v>
      </c>
    </row>
    <row r="63">
      <c r="A63" s="7">
        <f>IFERROR(__xludf.DUMMYFUNCTION("""COMPUTED_VALUE"""),45625.64583333333)</f>
        <v>45625.64583</v>
      </c>
      <c r="B63" s="6">
        <f>IFERROR(__xludf.DUMMYFUNCTION("""COMPUTED_VALUE"""),80.99)</f>
        <v>80.99</v>
      </c>
      <c r="C63" s="6">
        <f>IFERROR(__xludf.DUMMYFUNCTION("""COMPUTED_VALUE"""),84.68)</f>
        <v>84.68</v>
      </c>
      <c r="D63" s="6">
        <f>IFERROR(__xludf.DUMMYFUNCTION("""COMPUTED_VALUE"""),80.83)</f>
        <v>80.83</v>
      </c>
      <c r="E63" s="6">
        <f>IFERROR(__xludf.DUMMYFUNCTION("""COMPUTED_VALUE"""),81.44)</f>
        <v>81.44</v>
      </c>
      <c r="F63" s="6">
        <f>IFERROR(__xludf.DUMMYFUNCTION("""COMPUTED_VALUE"""),1.18826571E8)</f>
        <v>118826571</v>
      </c>
    </row>
    <row r="64">
      <c r="A64" s="7">
        <f>IFERROR(__xludf.DUMMYFUNCTION("""COMPUTED_VALUE"""),45632.64583333333)</f>
        <v>45632.64583</v>
      </c>
      <c r="B64" s="6">
        <f>IFERROR(__xludf.DUMMYFUNCTION("""COMPUTED_VALUE"""),81.9)</f>
        <v>81.9</v>
      </c>
      <c r="C64" s="6">
        <f>IFERROR(__xludf.DUMMYFUNCTION("""COMPUTED_VALUE"""),86.84)</f>
        <v>86.84</v>
      </c>
      <c r="D64" s="6">
        <f>IFERROR(__xludf.DUMMYFUNCTION("""COMPUTED_VALUE"""),81.25)</f>
        <v>81.25</v>
      </c>
      <c r="E64" s="6">
        <f>IFERROR(__xludf.DUMMYFUNCTION("""COMPUTED_VALUE"""),84.87)</f>
        <v>84.87</v>
      </c>
      <c r="F64" s="6">
        <f>IFERROR(__xludf.DUMMYFUNCTION("""COMPUTED_VALUE"""),1.44346068E8)</f>
        <v>144346068</v>
      </c>
    </row>
    <row r="65">
      <c r="A65" s="7">
        <f>IFERROR(__xludf.DUMMYFUNCTION("""COMPUTED_VALUE"""),45639.64583333333)</f>
        <v>45639.64583</v>
      </c>
      <c r="B65" s="6">
        <f>IFERROR(__xludf.DUMMYFUNCTION("""COMPUTED_VALUE"""),87.0)</f>
        <v>87</v>
      </c>
      <c r="C65" s="6">
        <f>IFERROR(__xludf.DUMMYFUNCTION("""COMPUTED_VALUE"""),88.79)</f>
        <v>88.79</v>
      </c>
      <c r="D65" s="6">
        <f>IFERROR(__xludf.DUMMYFUNCTION("""COMPUTED_VALUE"""),83.16)</f>
        <v>83.16</v>
      </c>
      <c r="E65" s="6">
        <f>IFERROR(__xludf.DUMMYFUNCTION("""COMPUTED_VALUE"""),85.44)</f>
        <v>85.44</v>
      </c>
      <c r="F65" s="6">
        <f>IFERROR(__xludf.DUMMYFUNCTION("""COMPUTED_VALUE"""),1.44830224E8)</f>
        <v>144830224</v>
      </c>
    </row>
    <row r="66">
      <c r="A66" s="7">
        <f>IFERROR(__xludf.DUMMYFUNCTION("""COMPUTED_VALUE"""),45646.64583333333)</f>
        <v>45646.64583</v>
      </c>
      <c r="B66" s="6">
        <f>IFERROR(__xludf.DUMMYFUNCTION("""COMPUTED_VALUE"""),86.0)</f>
        <v>86</v>
      </c>
      <c r="C66" s="6">
        <f>IFERROR(__xludf.DUMMYFUNCTION("""COMPUTED_VALUE"""),86.39)</f>
        <v>86.39</v>
      </c>
      <c r="D66" s="6">
        <f>IFERROR(__xludf.DUMMYFUNCTION("""COMPUTED_VALUE"""),80.85)</f>
        <v>80.85</v>
      </c>
      <c r="E66" s="6">
        <f>IFERROR(__xludf.DUMMYFUNCTION("""COMPUTED_VALUE"""),81.47)</f>
        <v>81.47</v>
      </c>
      <c r="F66" s="6">
        <f>IFERROR(__xludf.DUMMYFUNCTION("""COMPUTED_VALUE"""),7.4875666E7)</f>
        <v>74875666</v>
      </c>
    </row>
    <row r="67">
      <c r="A67" s="7">
        <f>IFERROR(__xludf.DUMMYFUNCTION("""COMPUTED_VALUE"""),45653.64583333333)</f>
        <v>45653.64583</v>
      </c>
      <c r="B67" s="6">
        <f>IFERROR(__xludf.DUMMYFUNCTION("""COMPUTED_VALUE"""),82.75)</f>
        <v>82.75</v>
      </c>
      <c r="C67" s="6">
        <f>IFERROR(__xludf.DUMMYFUNCTION("""COMPUTED_VALUE"""),82.9)</f>
        <v>82.9</v>
      </c>
      <c r="D67" s="6">
        <f>IFERROR(__xludf.DUMMYFUNCTION("""COMPUTED_VALUE"""),80.05)</f>
        <v>80.05</v>
      </c>
      <c r="E67" s="6">
        <f>IFERROR(__xludf.DUMMYFUNCTION("""COMPUTED_VALUE"""),80.33)</f>
        <v>80.33</v>
      </c>
      <c r="F67" s="6">
        <f>IFERROR(__xludf.DUMMYFUNCTION("""COMPUTED_VALUE"""),5.0603107E7)</f>
        <v>50603107</v>
      </c>
    </row>
    <row r="68">
      <c r="A68" s="7">
        <f>IFERROR(__xludf.DUMMYFUNCTION("""COMPUTED_VALUE"""),45660.64583333333)</f>
        <v>45660.64583</v>
      </c>
      <c r="B68" s="6">
        <f>IFERROR(__xludf.DUMMYFUNCTION("""COMPUTED_VALUE"""),80.67)</f>
        <v>80.67</v>
      </c>
      <c r="C68" s="6">
        <f>IFERROR(__xludf.DUMMYFUNCTION("""COMPUTED_VALUE"""),84.5)</f>
        <v>84.5</v>
      </c>
      <c r="D68" s="6">
        <f>IFERROR(__xludf.DUMMYFUNCTION("""COMPUTED_VALUE"""),78.37)</f>
        <v>78.37</v>
      </c>
      <c r="E68" s="6">
        <f>IFERROR(__xludf.DUMMYFUNCTION("""COMPUTED_VALUE"""),83.09)</f>
        <v>83.09</v>
      </c>
      <c r="F68" s="6">
        <f>IFERROR(__xludf.DUMMYFUNCTION("""COMPUTED_VALUE"""),1.28294516E8)</f>
        <v>128294516</v>
      </c>
    </row>
    <row r="69">
      <c r="A69" s="7">
        <f>IFERROR(__xludf.DUMMYFUNCTION("""COMPUTED_VALUE"""),45667.64583333333)</f>
        <v>45667.64583</v>
      </c>
      <c r="B69" s="6">
        <f>IFERROR(__xludf.DUMMYFUNCTION("""COMPUTED_VALUE"""),83.0)</f>
        <v>83</v>
      </c>
      <c r="C69" s="6">
        <f>IFERROR(__xludf.DUMMYFUNCTION("""COMPUTED_VALUE"""),83.08)</f>
        <v>83.08</v>
      </c>
      <c r="D69" s="6">
        <f>IFERROR(__xludf.DUMMYFUNCTION("""COMPUTED_VALUE"""),76.43)</f>
        <v>76.43</v>
      </c>
      <c r="E69" s="6">
        <f>IFERROR(__xludf.DUMMYFUNCTION("""COMPUTED_VALUE"""),76.6)</f>
        <v>76.6</v>
      </c>
      <c r="F69" s="6">
        <f>IFERROR(__xludf.DUMMYFUNCTION("""COMPUTED_VALUE"""),9.0881435E7)</f>
        <v>90881435</v>
      </c>
    </row>
    <row r="70">
      <c r="A70" s="7">
        <f>IFERROR(__xludf.DUMMYFUNCTION("""COMPUTED_VALUE"""),45674.64583333333)</f>
        <v>45674.64583</v>
      </c>
      <c r="B70" s="6">
        <f>IFERROR(__xludf.DUMMYFUNCTION("""COMPUTED_VALUE"""),73.86)</f>
        <v>73.86</v>
      </c>
      <c r="C70" s="6">
        <f>IFERROR(__xludf.DUMMYFUNCTION("""COMPUTED_VALUE"""),81.0)</f>
        <v>81</v>
      </c>
      <c r="D70" s="6">
        <f>IFERROR(__xludf.DUMMYFUNCTION("""COMPUTED_VALUE"""),72.15)</f>
        <v>72.15</v>
      </c>
      <c r="E70" s="6">
        <f>IFERROR(__xludf.DUMMYFUNCTION("""COMPUTED_VALUE"""),80.4)</f>
        <v>80.4</v>
      </c>
      <c r="F70" s="6">
        <f>IFERROR(__xludf.DUMMYFUNCTION("""COMPUTED_VALUE"""),8.3486318E7)</f>
        <v>83486318</v>
      </c>
    </row>
    <row r="71">
      <c r="A71" s="7">
        <f>IFERROR(__xludf.DUMMYFUNCTION("""COMPUTED_VALUE"""),45681.64583333333)</f>
        <v>45681.64583</v>
      </c>
      <c r="B71" s="6">
        <f>IFERROR(__xludf.DUMMYFUNCTION("""COMPUTED_VALUE"""),80.54)</f>
        <v>80.54</v>
      </c>
      <c r="C71" s="6">
        <f>IFERROR(__xludf.DUMMYFUNCTION("""COMPUTED_VALUE"""),80.7)</f>
        <v>80.7</v>
      </c>
      <c r="D71" s="6">
        <f>IFERROR(__xludf.DUMMYFUNCTION("""COMPUTED_VALUE"""),76.63)</f>
        <v>76.63</v>
      </c>
      <c r="E71" s="6">
        <f>IFERROR(__xludf.DUMMYFUNCTION("""COMPUTED_VALUE"""),76.88)</f>
        <v>76.88</v>
      </c>
      <c r="F71" s="6">
        <f>IFERROR(__xludf.DUMMYFUNCTION("""COMPUTED_VALUE"""),4.8965162E7)</f>
        <v>48965162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IFERROR(__xludf.DUMMYFUNCTION("""COMPUTED_VALUE"""),77.13)</f>
        <v>77.13</v>
      </c>
      <c r="C72" s="6">
        <f>IFERROR(__xludf.DUMMYFUNCTION("""COMPUTED_VALUE"""),80.84)</f>
        <v>80.84</v>
      </c>
      <c r="D72" s="6">
        <f>IFERROR(__xludf.DUMMYFUNCTION("""COMPUTED_VALUE"""),74.53)</f>
        <v>74.53</v>
      </c>
      <c r="E72" s="6">
        <f>IFERROR(__xludf.DUMMYFUNCTION("""COMPUTED_VALUE"""),77.43)</f>
        <v>77.43</v>
      </c>
      <c r="F72" s="6">
        <f>IFERROR(__xludf.DUMMYFUNCTION("""COMPUTED_VALUE"""),7.7439267E7)</f>
        <v>77439267</v>
      </c>
    </row>
    <row r="73">
      <c r="A73" s="7">
        <f>IFERROR(__xludf.DUMMYFUNCTION("""COMPUTED_VALUE"""),45702.64583333333)</f>
        <v>45702.64583</v>
      </c>
      <c r="B73" s="6">
        <f>IFERROR(__xludf.DUMMYFUNCTION("""COMPUTED_VALUE"""),76.0)</f>
        <v>76</v>
      </c>
      <c r="C73" s="6">
        <f>IFERROR(__xludf.DUMMYFUNCTION("""COMPUTED_VALUE"""),78.86)</f>
        <v>78.86</v>
      </c>
      <c r="D73" s="6">
        <f>IFERROR(__xludf.DUMMYFUNCTION("""COMPUTED_VALUE"""),71.0)</f>
        <v>71</v>
      </c>
      <c r="E73" s="6">
        <f>IFERROR(__xludf.DUMMYFUNCTION("""COMPUTED_VALUE"""),73.29)</f>
        <v>73.29</v>
      </c>
      <c r="F73" s="6">
        <f>IFERROR(__xludf.DUMMYFUNCTION("""COMPUTED_VALUE"""),7.685589E7)</f>
        <v>76855890</v>
      </c>
    </row>
    <row r="74">
      <c r="A74" s="7">
        <f>IFERROR(__xludf.DUMMYFUNCTION("""COMPUTED_VALUE"""),45709.64583333333)</f>
        <v>45709.64583</v>
      </c>
      <c r="B74" s="6">
        <f>IFERROR(__xludf.DUMMYFUNCTION("""COMPUTED_VALUE"""),72.5)</f>
        <v>72.5</v>
      </c>
      <c r="C74" s="6">
        <f>IFERROR(__xludf.DUMMYFUNCTION("""COMPUTED_VALUE"""),82.16)</f>
        <v>82.16</v>
      </c>
      <c r="D74" s="6">
        <f>IFERROR(__xludf.DUMMYFUNCTION("""COMPUTED_VALUE"""),71.1)</f>
        <v>71.1</v>
      </c>
      <c r="E74" s="6">
        <f>IFERROR(__xludf.DUMMYFUNCTION("""COMPUTED_VALUE"""),79.89)</f>
        <v>79.89</v>
      </c>
      <c r="F74" s="6">
        <f>IFERROR(__xludf.DUMMYFUNCTION("""COMPUTED_VALUE"""),1.30790133E8)</f>
        <v>130790133</v>
      </c>
    </row>
    <row r="75">
      <c r="A75" s="7">
        <f>IFERROR(__xludf.DUMMYFUNCTION("""COMPUTED_VALUE"""),45716.64583333333)</f>
        <v>45716.64583</v>
      </c>
      <c r="B75" s="6">
        <f>IFERROR(__xludf.DUMMYFUNCTION("""COMPUTED_VALUE"""),78.9)</f>
        <v>78.9</v>
      </c>
      <c r="C75" s="6">
        <f>IFERROR(__xludf.DUMMYFUNCTION("""COMPUTED_VALUE"""),78.95)</f>
        <v>78.95</v>
      </c>
      <c r="D75" s="6">
        <f>IFERROR(__xludf.DUMMYFUNCTION("""COMPUTED_VALUE"""),71.0)</f>
        <v>71</v>
      </c>
      <c r="E75" s="6">
        <f>IFERROR(__xludf.DUMMYFUNCTION("""COMPUTED_VALUE"""),72.9)</f>
        <v>72.9</v>
      </c>
      <c r="F75" s="6">
        <f>IFERROR(__xludf.DUMMYFUNCTION("""COMPUTED_VALUE"""),8.6390153E7)</f>
        <v>86390153</v>
      </c>
    </row>
    <row r="76">
      <c r="A76" s="7">
        <f>IFERROR(__xludf.DUMMYFUNCTION("""COMPUTED_VALUE"""),45723.64583333333)</f>
        <v>45723.64583</v>
      </c>
      <c r="B76" s="6">
        <f>IFERROR(__xludf.DUMMYFUNCTION("""COMPUTED_VALUE"""),73.59)</f>
        <v>73.59</v>
      </c>
      <c r="C76" s="6">
        <f>IFERROR(__xludf.DUMMYFUNCTION("""COMPUTED_VALUE"""),78.15)</f>
        <v>78.15</v>
      </c>
      <c r="D76" s="6">
        <f>IFERROR(__xludf.DUMMYFUNCTION("""COMPUTED_VALUE"""),71.5)</f>
        <v>71.5</v>
      </c>
      <c r="E76" s="6">
        <f>IFERROR(__xludf.DUMMYFUNCTION("""COMPUTED_VALUE"""),77.03)</f>
        <v>77.03</v>
      </c>
      <c r="F76" s="6">
        <f>IFERROR(__xludf.DUMMYFUNCTION("""COMPUTED_VALUE"""),7.0290494E7)</f>
        <v>70290494</v>
      </c>
    </row>
    <row r="77">
      <c r="A77" s="7">
        <f>IFERROR(__xludf.DUMMYFUNCTION("""COMPUTED_VALUE"""),45729.64583333333)</f>
        <v>45729.64583</v>
      </c>
      <c r="B77" s="6">
        <f>IFERROR(__xludf.DUMMYFUNCTION("""COMPUTED_VALUE"""),77.4)</f>
        <v>77.4</v>
      </c>
      <c r="C77" s="6">
        <f>IFERROR(__xludf.DUMMYFUNCTION("""COMPUTED_VALUE"""),79.0)</f>
        <v>79</v>
      </c>
      <c r="D77" s="6">
        <f>IFERROR(__xludf.DUMMYFUNCTION("""COMPUTED_VALUE"""),74.32)</f>
        <v>74.32</v>
      </c>
      <c r="E77" s="6">
        <f>IFERROR(__xludf.DUMMYFUNCTION("""COMPUTED_VALUE"""),77.57)</f>
        <v>77.57</v>
      </c>
      <c r="F77" s="6">
        <f>IFERROR(__xludf.DUMMYFUNCTION("""COMPUTED_VALUE"""),5.1316572E7)</f>
        <v>51316572</v>
      </c>
    </row>
    <row r="78">
      <c r="A78" s="7">
        <f>IFERROR(__xludf.DUMMYFUNCTION("""COMPUTED_VALUE"""),45737.64583333333)</f>
        <v>45737.64583</v>
      </c>
      <c r="B78" s="6">
        <f>IFERROR(__xludf.DUMMYFUNCTION("""COMPUTED_VALUE"""),77.6)</f>
        <v>77.6</v>
      </c>
      <c r="C78" s="6">
        <f>IFERROR(__xludf.DUMMYFUNCTION("""COMPUTED_VALUE"""),84.09)</f>
        <v>84.09</v>
      </c>
      <c r="D78" s="6">
        <f>IFERROR(__xludf.DUMMYFUNCTION("""COMPUTED_VALUE"""),77.6)</f>
        <v>77.6</v>
      </c>
      <c r="E78" s="6">
        <f>IFERROR(__xludf.DUMMYFUNCTION("""COMPUTED_VALUE"""),82.56)</f>
        <v>82.56</v>
      </c>
      <c r="F78" s="6">
        <f>IFERROR(__xludf.DUMMYFUNCTION("""COMPUTED_VALUE"""),9.4989176E7)</f>
        <v>94989176</v>
      </c>
    </row>
    <row r="79">
      <c r="A79" s="7">
        <f>IFERROR(__xludf.DUMMYFUNCTION("""COMPUTED_VALUE"""),45744.64583333333)</f>
        <v>45744.64583</v>
      </c>
      <c r="B79" s="6">
        <f>IFERROR(__xludf.DUMMYFUNCTION("""COMPUTED_VALUE"""),83.29)</f>
        <v>83.29</v>
      </c>
      <c r="C79" s="6">
        <f>IFERROR(__xludf.DUMMYFUNCTION("""COMPUTED_VALUE"""),86.94)</f>
        <v>86.94</v>
      </c>
      <c r="D79" s="6">
        <f>IFERROR(__xludf.DUMMYFUNCTION("""COMPUTED_VALUE"""),80.0)</f>
        <v>80</v>
      </c>
      <c r="E79" s="6">
        <f>IFERROR(__xludf.DUMMYFUNCTION("""COMPUTED_VALUE"""),82.2)</f>
        <v>82.2</v>
      </c>
      <c r="F79" s="6">
        <f>IFERROR(__xludf.DUMMYFUNCTION("""COMPUTED_VALUE"""),2.17080209E8)</f>
        <v>217080209</v>
      </c>
    </row>
    <row r="80">
      <c r="A80" s="7">
        <f>IFERROR(__xludf.DUMMYFUNCTION("""COMPUTED_VALUE"""),45751.64583333333)</f>
        <v>45751.64583</v>
      </c>
      <c r="B80" s="6">
        <f>IFERROR(__xludf.DUMMYFUNCTION("""COMPUTED_VALUE"""),82.08)</f>
        <v>82.08</v>
      </c>
      <c r="C80" s="6">
        <f>IFERROR(__xludf.DUMMYFUNCTION("""COMPUTED_VALUE"""),84.9)</f>
        <v>84.9</v>
      </c>
      <c r="D80" s="6">
        <f>IFERROR(__xludf.DUMMYFUNCTION("""COMPUTED_VALUE"""),80.81)</f>
        <v>80.81</v>
      </c>
      <c r="E80" s="6">
        <f>IFERROR(__xludf.DUMMYFUNCTION("""COMPUTED_VALUE"""),83.04)</f>
        <v>83.04</v>
      </c>
      <c r="F80" s="6">
        <f>IFERROR(__xludf.DUMMYFUNCTION("""COMPUTED_VALUE"""),7.5305757E7)</f>
        <v>75305757</v>
      </c>
    </row>
    <row r="81">
      <c r="A81" s="7">
        <f>IFERROR(__xludf.DUMMYFUNCTION("""COMPUTED_VALUE"""),45758.64583333333)</f>
        <v>45758.64583</v>
      </c>
      <c r="B81" s="6">
        <f>IFERROR(__xludf.DUMMYFUNCTION("""COMPUTED_VALUE"""),76.5)</f>
        <v>76.5</v>
      </c>
      <c r="C81" s="6">
        <f>IFERROR(__xludf.DUMMYFUNCTION("""COMPUTED_VALUE"""),85.9)</f>
        <v>85.9</v>
      </c>
      <c r="D81" s="6">
        <f>IFERROR(__xludf.DUMMYFUNCTION("""COMPUTED_VALUE"""),75.75)</f>
        <v>75.75</v>
      </c>
      <c r="E81" s="6">
        <f>IFERROR(__xludf.DUMMYFUNCTION("""COMPUTED_VALUE"""),84.2)</f>
        <v>84.2</v>
      </c>
      <c r="F81" s="6">
        <f>IFERROR(__xludf.DUMMYFUNCTION("""COMPUTED_VALUE"""),9.3452437E7)</f>
        <v>93452437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IFERROR(__xludf.DUMMYFUNCTION("""COMPUTED_VALUE"""),85.2)</f>
        <v>85.2</v>
      </c>
      <c r="C82" s="6">
        <f>IFERROR(__xludf.DUMMYFUNCTION("""COMPUTED_VALUE"""),86.26)</f>
        <v>86.26</v>
      </c>
      <c r="D82" s="6">
        <f>IFERROR(__xludf.DUMMYFUNCTION("""COMPUTED_VALUE"""),84.7)</f>
        <v>84.7</v>
      </c>
      <c r="E82" s="6">
        <f>IFERROR(__xludf.DUMMYFUNCTION("""COMPUTED_VALUE"""),84.98)</f>
        <v>84.98</v>
      </c>
      <c r="F82" s="6">
        <f>IFERROR(__xludf.DUMMYFUNCTION("""COMPUTED_VALUE"""),5.6248221E7)</f>
        <v>56248221</v>
      </c>
    </row>
    <row r="83">
      <c r="A83" s="7">
        <f>IFERROR(__xludf.DUMMYFUNCTION("""COMPUTED_VALUE"""),45772.64583333333)</f>
        <v>45772.64583</v>
      </c>
      <c r="B83" s="6">
        <f>IFERROR(__xludf.DUMMYFUNCTION("""COMPUTED_VALUE"""),85.0)</f>
        <v>85</v>
      </c>
      <c r="C83" s="6">
        <f>IFERROR(__xludf.DUMMYFUNCTION("""COMPUTED_VALUE"""),91.49)</f>
        <v>91.49</v>
      </c>
      <c r="D83" s="6">
        <f>IFERROR(__xludf.DUMMYFUNCTION("""COMPUTED_VALUE"""),84.85)</f>
        <v>84.85</v>
      </c>
      <c r="E83" s="6">
        <f>IFERROR(__xludf.DUMMYFUNCTION("""COMPUTED_VALUE"""),86.07)</f>
        <v>86.07</v>
      </c>
      <c r="F83" s="6">
        <f>IFERROR(__xludf.DUMMYFUNCTION("""COMPUTED_VALUE"""),1.21474097E8)</f>
        <v>121474097</v>
      </c>
    </row>
    <row r="84">
      <c r="A84" s="7">
        <f>IFERROR(__xludf.DUMMYFUNCTION("""COMPUTED_VALUE"""),45779.64583333333)</f>
        <v>45779.64583</v>
      </c>
      <c r="B84" s="6">
        <f>IFERROR(__xludf.DUMMYFUNCTION("""COMPUTED_VALUE"""),86.04)</f>
        <v>86.04</v>
      </c>
      <c r="C84" s="6">
        <f>IFERROR(__xludf.DUMMYFUNCTION("""COMPUTED_VALUE"""),88.13)</f>
        <v>88.13</v>
      </c>
      <c r="D84" s="6">
        <f>IFERROR(__xludf.DUMMYFUNCTION("""COMPUTED_VALUE"""),84.75)</f>
        <v>84.75</v>
      </c>
      <c r="E84" s="6">
        <f>IFERROR(__xludf.DUMMYFUNCTION("""COMPUTED_VALUE"""),84.99)</f>
        <v>84.99</v>
      </c>
      <c r="F84" s="6">
        <f>IFERROR(__xludf.DUMMYFUNCTION("""COMPUTED_VALUE"""),4.3172293E7)</f>
        <v>43172293</v>
      </c>
    </row>
    <row r="85">
      <c r="A85" s="7">
        <f>IFERROR(__xludf.DUMMYFUNCTION("""COMPUTED_VALUE"""),45786.64583333333)</f>
        <v>45786.64583</v>
      </c>
      <c r="B85" s="6">
        <f>IFERROR(__xludf.DUMMYFUNCTION("""COMPUTED_VALUE"""),85.9)</f>
        <v>85.9</v>
      </c>
      <c r="C85" s="6">
        <f>IFERROR(__xludf.DUMMYFUNCTION("""COMPUTED_VALUE"""),85.92)</f>
        <v>85.92</v>
      </c>
      <c r="D85" s="6">
        <f>IFERROR(__xludf.DUMMYFUNCTION("""COMPUTED_VALUE"""),76.25)</f>
        <v>76.25</v>
      </c>
      <c r="E85" s="6">
        <f>IFERROR(__xludf.DUMMYFUNCTION("""COMPUTED_VALUE"""),77.97)</f>
        <v>77.97</v>
      </c>
      <c r="F85" s="6">
        <f>IFERROR(__xludf.DUMMYFUNCTION("""COMPUTED_VALUE"""),8.6119799E7)</f>
        <v>86119799</v>
      </c>
    </row>
    <row r="86">
      <c r="A86" s="7">
        <f>IFERROR(__xludf.DUMMYFUNCTION("""COMPUTED_VALUE"""),45793.64583333333)</f>
        <v>45793.64583</v>
      </c>
      <c r="B86" s="6">
        <f>IFERROR(__xludf.DUMMYFUNCTION("""COMPUTED_VALUE"""),81.59)</f>
        <v>81.59</v>
      </c>
      <c r="C86" s="6">
        <f>IFERROR(__xludf.DUMMYFUNCTION("""COMPUTED_VALUE"""),90.78)</f>
        <v>90.78</v>
      </c>
      <c r="D86" s="6">
        <f>IFERROR(__xludf.DUMMYFUNCTION("""COMPUTED_VALUE"""),81.4)</f>
        <v>81.4</v>
      </c>
      <c r="E86" s="6">
        <f>IFERROR(__xludf.DUMMYFUNCTION("""COMPUTED_VALUE"""),89.71)</f>
        <v>89.71</v>
      </c>
      <c r="F86" s="6">
        <f>IFERROR(__xludf.DUMMYFUNCTION("""COMPUTED_VALUE"""),1.21581809E8)</f>
        <v>121581809</v>
      </c>
    </row>
    <row r="87">
      <c r="A87" s="7">
        <f>IFERROR(__xludf.DUMMYFUNCTION("""COMPUTED_VALUE"""),45800.64583333333)</f>
        <v>45800.64583</v>
      </c>
      <c r="B87" s="6">
        <f>IFERROR(__xludf.DUMMYFUNCTION("""COMPUTED_VALUE"""),90.18)</f>
        <v>90.18</v>
      </c>
      <c r="C87" s="6">
        <f>IFERROR(__xludf.DUMMYFUNCTION("""COMPUTED_VALUE"""),90.65)</f>
        <v>90.65</v>
      </c>
      <c r="D87" s="6">
        <f>IFERROR(__xludf.DUMMYFUNCTION("""COMPUTED_VALUE"""),85.75)</f>
        <v>85.75</v>
      </c>
      <c r="E87" s="6">
        <f>IFERROR(__xludf.DUMMYFUNCTION("""COMPUTED_VALUE"""),85.97)</f>
        <v>85.97</v>
      </c>
      <c r="F87" s="6">
        <f>IFERROR(__xludf.DUMMYFUNCTION("""COMPUTED_VALUE"""),1.18143196E8)</f>
        <v>118143196</v>
      </c>
    </row>
    <row r="88">
      <c r="A88" s="7">
        <f>IFERROR(__xludf.DUMMYFUNCTION("""COMPUTED_VALUE"""),45807.64583333333)</f>
        <v>45807.64583</v>
      </c>
      <c r="B88" s="6">
        <f>IFERROR(__xludf.DUMMYFUNCTION("""COMPUTED_VALUE"""),86.29)</f>
        <v>86.29</v>
      </c>
      <c r="C88" s="6">
        <f>IFERROR(__xludf.DUMMYFUNCTION("""COMPUTED_VALUE"""),88.3)</f>
        <v>88.3</v>
      </c>
      <c r="D88" s="6">
        <f>IFERROR(__xludf.DUMMYFUNCTION("""COMPUTED_VALUE"""),85.65)</f>
        <v>85.65</v>
      </c>
      <c r="E88" s="6">
        <f>IFERROR(__xludf.DUMMYFUNCTION("""COMPUTED_VALUE"""),87.41)</f>
        <v>87.41</v>
      </c>
      <c r="F88" s="6">
        <f>IFERROR(__xludf.DUMMYFUNCTION("""COMPUTED_VALUE"""),7.8432609E7)</f>
        <v>78432609</v>
      </c>
    </row>
    <row r="89">
      <c r="A89" s="7">
        <f>IFERROR(__xludf.DUMMYFUNCTION("""COMPUTED_VALUE"""),45814.64583333333)</f>
        <v>45814.64583</v>
      </c>
      <c r="B89" s="6">
        <f>IFERROR(__xludf.DUMMYFUNCTION("""COMPUTED_VALUE"""),87.37)</f>
        <v>87.37</v>
      </c>
      <c r="C89" s="6">
        <f>IFERROR(__xludf.DUMMYFUNCTION("""COMPUTED_VALUE"""),89.63)</f>
        <v>89.63</v>
      </c>
      <c r="D89" s="6">
        <f>IFERROR(__xludf.DUMMYFUNCTION("""COMPUTED_VALUE"""),84.68)</f>
        <v>84.68</v>
      </c>
      <c r="E89" s="6">
        <f>IFERROR(__xludf.DUMMYFUNCTION("""COMPUTED_VALUE"""),89.31)</f>
        <v>89.31</v>
      </c>
      <c r="F89" s="6">
        <f>IFERROR(__xludf.DUMMYFUNCTION("""COMPUTED_VALUE"""),7.1465758E7)</f>
        <v>71465758</v>
      </c>
    </row>
    <row r="90">
      <c r="A90" s="7">
        <f>IFERROR(__xludf.DUMMYFUNCTION("""COMPUTED_VALUE"""),45821.64583333333)</f>
        <v>45821.64583</v>
      </c>
      <c r="B90" s="6">
        <f>IFERROR(__xludf.DUMMYFUNCTION("""COMPUTED_VALUE"""),90.3)</f>
        <v>90.3</v>
      </c>
      <c r="C90" s="6">
        <f>IFERROR(__xludf.DUMMYFUNCTION("""COMPUTED_VALUE"""),92.34)</f>
        <v>92.34</v>
      </c>
      <c r="D90" s="6">
        <f>IFERROR(__xludf.DUMMYFUNCTION("""COMPUTED_VALUE"""),85.05)</f>
        <v>85.05</v>
      </c>
      <c r="E90" s="6">
        <f>IFERROR(__xludf.DUMMYFUNCTION("""COMPUTED_VALUE"""),86.06)</f>
        <v>86.06</v>
      </c>
      <c r="F90" s="6">
        <f>IFERROR(__xludf.DUMMYFUNCTION("""COMPUTED_VALUE"""),8.24434E7)</f>
        <v>82443400</v>
      </c>
    </row>
    <row r="91">
      <c r="A91" s="7">
        <f>IFERROR(__xludf.DUMMYFUNCTION("""COMPUTED_VALUE"""),45828.64583333333)</f>
        <v>45828.64583</v>
      </c>
      <c r="B91" s="6">
        <f>IFERROR(__xludf.DUMMYFUNCTION("""COMPUTED_VALUE"""),86.06)</f>
        <v>86.06</v>
      </c>
      <c r="C91" s="6">
        <f>IFERROR(__xludf.DUMMYFUNCTION("""COMPUTED_VALUE"""),86.94)</f>
        <v>86.94</v>
      </c>
      <c r="D91" s="6">
        <f>IFERROR(__xludf.DUMMYFUNCTION("""COMPUTED_VALUE"""),80.58)</f>
        <v>80.58</v>
      </c>
      <c r="E91" s="6">
        <f>IFERROR(__xludf.DUMMYFUNCTION("""COMPUTED_VALUE"""),82.31)</f>
        <v>82.31</v>
      </c>
      <c r="F91" s="6">
        <f>IFERROR(__xludf.DUMMYFUNCTION("""COMPUTED_VALUE"""),6.3125961E7)</f>
        <v>63125961</v>
      </c>
    </row>
    <row r="92">
      <c r="A92" s="7">
        <f>IFERROR(__xludf.DUMMYFUNCTION("""COMPUTED_VALUE"""),45835.64583333333)</f>
        <v>45835.64583</v>
      </c>
      <c r="B92" s="6">
        <f>IFERROR(__xludf.DUMMYFUNCTION("""COMPUTED_VALUE"""),81.39)</f>
        <v>81.39</v>
      </c>
      <c r="C92" s="6">
        <f>IFERROR(__xludf.DUMMYFUNCTION("""COMPUTED_VALUE"""),86.58)</f>
        <v>86.58</v>
      </c>
      <c r="D92" s="6">
        <f>IFERROR(__xludf.DUMMYFUNCTION("""COMPUTED_VALUE"""),81.11)</f>
        <v>81.11</v>
      </c>
      <c r="E92" s="6">
        <f>IFERROR(__xludf.DUMMYFUNCTION("""COMPUTED_VALUE"""),85.55)</f>
        <v>85.55</v>
      </c>
      <c r="F92" s="6">
        <f>IFERROR(__xludf.DUMMYFUNCTION("""COMPUTED_VALUE"""),7.6252368E7)</f>
        <v>76252368</v>
      </c>
    </row>
    <row r="93">
      <c r="A93" s="7">
        <f>IFERROR(__xludf.DUMMYFUNCTION("""COMPUTED_VALUE"""),45842.64583333333)</f>
        <v>45842.64583</v>
      </c>
      <c r="B93" s="6">
        <f>IFERROR(__xludf.DUMMYFUNCTION("""COMPUTED_VALUE"""),85.97)</f>
        <v>85.97</v>
      </c>
      <c r="C93" s="6">
        <f>IFERROR(__xludf.DUMMYFUNCTION("""COMPUTED_VALUE"""),86.3)</f>
        <v>86.3</v>
      </c>
      <c r="D93" s="6">
        <f>IFERROR(__xludf.DUMMYFUNCTION("""COMPUTED_VALUE"""),84.01)</f>
        <v>84.01</v>
      </c>
      <c r="E93" s="6">
        <f>IFERROR(__xludf.DUMMYFUNCTION("""COMPUTED_VALUE"""),85.04)</f>
        <v>85.04</v>
      </c>
      <c r="F93" s="6">
        <f>IFERROR(__xludf.DUMMYFUNCTION("""COMPUTED_VALUE"""),4.028005E7)</f>
        <v>40280050</v>
      </c>
    </row>
    <row r="94">
      <c r="A94" s="7">
        <f>IFERROR(__xludf.DUMMYFUNCTION("""COMPUTED_VALUE"""),45849.64583333333)</f>
        <v>45849.64583</v>
      </c>
      <c r="B94" s="6">
        <f>IFERROR(__xludf.DUMMYFUNCTION("""COMPUTED_VALUE"""),85.0)</f>
        <v>85</v>
      </c>
      <c r="C94" s="6">
        <f>IFERROR(__xludf.DUMMYFUNCTION("""COMPUTED_VALUE"""),88.78)</f>
        <v>88.78</v>
      </c>
      <c r="D94" s="6">
        <f>IFERROR(__xludf.DUMMYFUNCTION("""COMPUTED_VALUE"""),84.3)</f>
        <v>84.3</v>
      </c>
      <c r="E94" s="6">
        <f>IFERROR(__xludf.DUMMYFUNCTION("""COMPUTED_VALUE"""),88.05)</f>
        <v>88.05</v>
      </c>
      <c r="F94" s="6">
        <f>IFERROR(__xludf.DUMMYFUNCTION("""COMPUTED_VALUE"""),9.561603E7)</f>
        <v>95616030</v>
      </c>
    </row>
    <row r="95">
      <c r="A95" s="7">
        <f>IFERROR(__xludf.DUMMYFUNCTION("""COMPUTED_VALUE"""),45856.64583333333)</f>
        <v>45856.64583</v>
      </c>
      <c r="B95" s="6">
        <f>IFERROR(__xludf.DUMMYFUNCTION("""COMPUTED_VALUE"""),88.18)</f>
        <v>88.18</v>
      </c>
      <c r="C95" s="6">
        <f>IFERROR(__xludf.DUMMYFUNCTION("""COMPUTED_VALUE"""),89.75)</f>
        <v>89.75</v>
      </c>
      <c r="D95" s="6">
        <f>IFERROR(__xludf.DUMMYFUNCTION("""COMPUTED_VALUE"""),86.43)</f>
        <v>86.43</v>
      </c>
      <c r="E95" s="6">
        <f>IFERROR(__xludf.DUMMYFUNCTION("""COMPUTED_VALUE"""),87.03)</f>
        <v>87.03</v>
      </c>
      <c r="F95" s="6">
        <f>IFERROR(__xludf.DUMMYFUNCTION("""COMPUTED_VALUE"""),5.9719557E7)</f>
        <v>59719557</v>
      </c>
    </row>
    <row r="96">
      <c r="A96" s="7">
        <f>IFERROR(__xludf.DUMMYFUNCTION("""COMPUTED_VALUE"""),45863.64583333333)</f>
        <v>45863.64583</v>
      </c>
      <c r="B96" s="6">
        <f>IFERROR(__xludf.DUMMYFUNCTION("""COMPUTED_VALUE"""),87.1)</f>
        <v>87.1</v>
      </c>
      <c r="C96" s="6">
        <f>IFERROR(__xludf.DUMMYFUNCTION("""COMPUTED_VALUE"""),88.09)</f>
        <v>88.09</v>
      </c>
      <c r="D96" s="6">
        <f>IFERROR(__xludf.DUMMYFUNCTION("""COMPUTED_VALUE"""),83.14)</f>
        <v>83.14</v>
      </c>
      <c r="E96" s="6">
        <f>IFERROR(__xludf.DUMMYFUNCTION("""COMPUTED_VALUE"""),83.48)</f>
        <v>83.48</v>
      </c>
      <c r="F96" s="6">
        <f>IFERROR(__xludf.DUMMYFUNCTION("""COMPUTED_VALUE"""),4.0515905E7)</f>
        <v>40515905</v>
      </c>
    </row>
    <row r="97">
      <c r="A97" s="7">
        <f>IFERROR(__xludf.DUMMYFUNCTION("""COMPUTED_VALUE"""),45870.64583333333)</f>
        <v>45870.64583</v>
      </c>
      <c r="B97" s="6">
        <f>IFERROR(__xludf.DUMMYFUNCTION("""COMPUTED_VALUE"""),83.79)</f>
        <v>83.79</v>
      </c>
      <c r="C97" s="6">
        <f>IFERROR(__xludf.DUMMYFUNCTION("""COMPUTED_VALUE"""),84.83)</f>
        <v>84.83</v>
      </c>
      <c r="D97" s="6">
        <f>IFERROR(__xludf.DUMMYFUNCTION("""COMPUTED_VALUE"""),82.45)</f>
        <v>82.45</v>
      </c>
      <c r="E97" s="6">
        <f>IFERROR(__xludf.DUMMYFUNCTION("""COMPUTED_VALUE"""),83.24)</f>
        <v>83.24</v>
      </c>
      <c r="F97" s="6">
        <f>IFERROR(__xludf.DUMMYFUNCTION("""COMPUTED_VALUE"""),4.100369E7)</f>
        <v>41003690</v>
      </c>
    </row>
    <row r="98">
      <c r="A98" s="7">
        <f>IFERROR(__xludf.DUMMYFUNCTION("""COMPUTED_VALUE"""),45877.64583333333)</f>
        <v>45877.64583</v>
      </c>
      <c r="B98" s="6">
        <f>IFERROR(__xludf.DUMMYFUNCTION("""COMPUTED_VALUE"""),82.94)</f>
        <v>82.94</v>
      </c>
      <c r="C98" s="6">
        <f>IFERROR(__xludf.DUMMYFUNCTION("""COMPUTED_VALUE"""),85.6)</f>
        <v>85.6</v>
      </c>
      <c r="D98" s="6">
        <f>IFERROR(__xludf.DUMMYFUNCTION("""COMPUTED_VALUE"""),81.5)</f>
        <v>81.5</v>
      </c>
      <c r="E98" s="6">
        <f>IFERROR(__xludf.DUMMYFUNCTION("""COMPUTED_VALUE"""),81.78)</f>
        <v>81.78</v>
      </c>
      <c r="F98" s="6">
        <f>IFERROR(__xludf.DUMMYFUNCTION("""COMPUTED_VALUE"""),3.4170738E7)</f>
        <v>34170738</v>
      </c>
    </row>
    <row r="99">
      <c r="A99" s="7">
        <f>IFERROR(__xludf.DUMMYFUNCTION("""COMPUTED_VALUE"""),45883.64583333333)</f>
        <v>45883.64583</v>
      </c>
      <c r="B99" s="6">
        <f>IFERROR(__xludf.DUMMYFUNCTION("""COMPUTED_VALUE"""),82.45)</f>
        <v>82.45</v>
      </c>
      <c r="C99" s="6">
        <f>IFERROR(__xludf.DUMMYFUNCTION("""COMPUTED_VALUE"""),85.86)</f>
        <v>85.86</v>
      </c>
      <c r="D99" s="6">
        <f>IFERROR(__xludf.DUMMYFUNCTION("""COMPUTED_VALUE"""),81.77)</f>
        <v>81.77</v>
      </c>
      <c r="E99" s="6">
        <f>IFERROR(__xludf.DUMMYFUNCTION("""COMPUTED_VALUE"""),82.32)</f>
        <v>82.32</v>
      </c>
      <c r="F99" s="6">
        <f>IFERROR(__xludf.DUMMYFUNCTION("""COMPUTED_VALUE"""),4.170233E7)</f>
        <v>41702330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IFERROR(__xludf.DUMMYFUNCTION("""COMPUTED_VALUE"""),83.0)</f>
        <v>83</v>
      </c>
      <c r="C100" s="6">
        <f>IFERROR(__xludf.DUMMYFUNCTION("""COMPUTED_VALUE"""),83.55)</f>
        <v>83.55</v>
      </c>
      <c r="D100" s="6">
        <f>IFERROR(__xludf.DUMMYFUNCTION("""COMPUTED_VALUE"""),80.61)</f>
        <v>80.61</v>
      </c>
      <c r="E100" s="6">
        <f>IFERROR(__xludf.DUMMYFUNCTION("""COMPUTED_VALUE"""),80.71)</f>
        <v>80.71</v>
      </c>
      <c r="F100" s="6">
        <f>IFERROR(__xludf.DUMMYFUNCTION("""COMPUTED_VALUE"""),4.6641689E7)</f>
        <v>46641689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IFERROR(__xludf.DUMMYFUNCTION("""COMPUTED_VALUE"""),80.84)</f>
        <v>80.84</v>
      </c>
      <c r="C101" s="6">
        <f>IFERROR(__xludf.DUMMYFUNCTION("""COMPUTED_VALUE"""),81.09)</f>
        <v>81.09</v>
      </c>
      <c r="D101" s="6">
        <f>IFERROR(__xludf.DUMMYFUNCTION("""COMPUTED_VALUE"""),78.36)</f>
        <v>78.36</v>
      </c>
      <c r="E101" s="6">
        <f>IFERROR(__xludf.DUMMYFUNCTION("""COMPUTED_VALUE"""),79.84)</f>
        <v>79.84</v>
      </c>
      <c r="F101" s="6">
        <f>IFERROR(__xludf.DUMMYFUNCTION("""COMPUTED_VALUE"""),2.319222E8)</f>
        <v>231922200</v>
      </c>
    </row>
  </sheetData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IFERROR(__xludf.DUMMYFUNCTION("GOOGLEFINANCE(""NSE:NMDC"",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IFERROR(__xludf.DUMMYFUNCTION("""COMPUTED_VALUE"""),40.23)</f>
        <v>40.23</v>
      </c>
      <c r="C2" s="6">
        <f>IFERROR(__xludf.DUMMYFUNCTION("""COMPUTED_VALUE"""),43.63)</f>
        <v>43.63</v>
      </c>
      <c r="D2" s="6">
        <f>IFERROR(__xludf.DUMMYFUNCTION("""COMPUTED_VALUE"""),39.87)</f>
        <v>39.87</v>
      </c>
      <c r="E2" s="6">
        <f>IFERROR(__xludf.DUMMYFUNCTION("""COMPUTED_VALUE"""),43.5)</f>
        <v>43.5</v>
      </c>
      <c r="F2" s="6">
        <f>IFERROR(__xludf.DUMMYFUNCTION("""COMPUTED_VALUE"""),8.6490014E7)</f>
        <v>86490014</v>
      </c>
    </row>
    <row r="3">
      <c r="A3" s="7">
        <f>IFERROR(__xludf.DUMMYFUNCTION("""COMPUTED_VALUE"""),45177.64583333333)</f>
        <v>45177.64583</v>
      </c>
      <c r="B3" s="6">
        <f>IFERROR(__xludf.DUMMYFUNCTION("""COMPUTED_VALUE"""),44.37)</f>
        <v>44.37</v>
      </c>
      <c r="C3" s="6">
        <f>IFERROR(__xludf.DUMMYFUNCTION("""COMPUTED_VALUE"""),48.53)</f>
        <v>48.53</v>
      </c>
      <c r="D3" s="6">
        <f>IFERROR(__xludf.DUMMYFUNCTION("""COMPUTED_VALUE"""),44.33)</f>
        <v>44.33</v>
      </c>
      <c r="E3" s="6">
        <f>IFERROR(__xludf.DUMMYFUNCTION("""COMPUTED_VALUE"""),47.47)</f>
        <v>47.47</v>
      </c>
      <c r="F3" s="6">
        <f>IFERROR(__xludf.DUMMYFUNCTION("""COMPUTED_VALUE"""),1.16940996E8)</f>
        <v>116940996</v>
      </c>
    </row>
    <row r="4">
      <c r="A4" s="7">
        <f>IFERROR(__xludf.DUMMYFUNCTION("""COMPUTED_VALUE"""),45184.64583333333)</f>
        <v>45184.64583</v>
      </c>
      <c r="B4" s="6">
        <f>IFERROR(__xludf.DUMMYFUNCTION("""COMPUTED_VALUE"""),47.67)</f>
        <v>47.67</v>
      </c>
      <c r="C4" s="6">
        <f>IFERROR(__xludf.DUMMYFUNCTION("""COMPUTED_VALUE"""),51.42)</f>
        <v>51.42</v>
      </c>
      <c r="D4" s="6">
        <f>IFERROR(__xludf.DUMMYFUNCTION("""COMPUTED_VALUE"""),45.22)</f>
        <v>45.22</v>
      </c>
      <c r="E4" s="6">
        <f>IFERROR(__xludf.DUMMYFUNCTION("""COMPUTED_VALUE"""),49.97)</f>
        <v>49.97</v>
      </c>
      <c r="F4" s="6">
        <f>IFERROR(__xludf.DUMMYFUNCTION("""COMPUTED_VALUE"""),1.17902971E8)</f>
        <v>117902971</v>
      </c>
    </row>
    <row r="5">
      <c r="A5" s="7">
        <f>IFERROR(__xludf.DUMMYFUNCTION("""COMPUTED_VALUE"""),45191.64583333333)</f>
        <v>45191.64583</v>
      </c>
      <c r="B5" s="6">
        <f>IFERROR(__xludf.DUMMYFUNCTION("""COMPUTED_VALUE"""),49.97)</f>
        <v>49.97</v>
      </c>
      <c r="C5" s="6">
        <f>IFERROR(__xludf.DUMMYFUNCTION("""COMPUTED_VALUE"""),50.52)</f>
        <v>50.52</v>
      </c>
      <c r="D5" s="6">
        <f>IFERROR(__xludf.DUMMYFUNCTION("""COMPUTED_VALUE"""),47.03)</f>
        <v>47.03</v>
      </c>
      <c r="E5" s="6">
        <f>IFERROR(__xludf.DUMMYFUNCTION("""COMPUTED_VALUE"""),47.73)</f>
        <v>47.73</v>
      </c>
      <c r="F5" s="6">
        <f>IFERROR(__xludf.DUMMYFUNCTION("""COMPUTED_VALUE"""),4.610317E7)</f>
        <v>46103170</v>
      </c>
    </row>
    <row r="6">
      <c r="A6" s="7">
        <f>IFERROR(__xludf.DUMMYFUNCTION("""COMPUTED_VALUE"""),45198.64583333333)</f>
        <v>45198.64583</v>
      </c>
      <c r="B6" s="6">
        <f>IFERROR(__xludf.DUMMYFUNCTION("""COMPUTED_VALUE"""),47.73)</f>
        <v>47.73</v>
      </c>
      <c r="C6" s="6">
        <f>IFERROR(__xludf.DUMMYFUNCTION("""COMPUTED_VALUE"""),49.65)</f>
        <v>49.65</v>
      </c>
      <c r="D6" s="6">
        <f>IFERROR(__xludf.DUMMYFUNCTION("""COMPUTED_VALUE"""),47.13)</f>
        <v>47.13</v>
      </c>
      <c r="E6" s="6">
        <f>IFERROR(__xludf.DUMMYFUNCTION("""COMPUTED_VALUE"""),49.32)</f>
        <v>49.32</v>
      </c>
      <c r="F6" s="6">
        <f>IFERROR(__xludf.DUMMYFUNCTION("""COMPUTED_VALUE"""),5.4918017E7)</f>
        <v>54918017</v>
      </c>
    </row>
    <row r="7">
      <c r="A7" s="7">
        <f>IFERROR(__xludf.DUMMYFUNCTION("""COMPUTED_VALUE"""),45205.64583333333)</f>
        <v>45205.64583</v>
      </c>
      <c r="B7" s="6">
        <f>IFERROR(__xludf.DUMMYFUNCTION("""COMPUTED_VALUE"""),49.87)</f>
        <v>49.87</v>
      </c>
      <c r="C7" s="6">
        <f>IFERROR(__xludf.DUMMYFUNCTION("""COMPUTED_VALUE"""),49.98)</f>
        <v>49.98</v>
      </c>
      <c r="D7" s="6">
        <f>IFERROR(__xludf.DUMMYFUNCTION("""COMPUTED_VALUE"""),47.88)</f>
        <v>47.88</v>
      </c>
      <c r="E7" s="6">
        <f>IFERROR(__xludf.DUMMYFUNCTION("""COMPUTED_VALUE"""),48.6)</f>
        <v>48.6</v>
      </c>
      <c r="F7" s="6">
        <f>IFERROR(__xludf.DUMMYFUNCTION("""COMPUTED_VALUE"""),4.1897304E7)</f>
        <v>41897304</v>
      </c>
    </row>
    <row r="8">
      <c r="A8" s="7">
        <f>IFERROR(__xludf.DUMMYFUNCTION("""COMPUTED_VALUE"""),45212.64583333333)</f>
        <v>45212.64583</v>
      </c>
      <c r="B8" s="6">
        <f>IFERROR(__xludf.DUMMYFUNCTION("""COMPUTED_VALUE"""),48.0)</f>
        <v>48</v>
      </c>
      <c r="C8" s="6">
        <f>IFERROR(__xludf.DUMMYFUNCTION("""COMPUTED_VALUE"""),54.7)</f>
        <v>54.7</v>
      </c>
      <c r="D8" s="6">
        <f>IFERROR(__xludf.DUMMYFUNCTION("""COMPUTED_VALUE"""),46.88)</f>
        <v>46.88</v>
      </c>
      <c r="E8" s="6">
        <f>IFERROR(__xludf.DUMMYFUNCTION("""COMPUTED_VALUE"""),53.3)</f>
        <v>53.3</v>
      </c>
      <c r="F8" s="6">
        <f>IFERROR(__xludf.DUMMYFUNCTION("""COMPUTED_VALUE"""),1.43384246E8)</f>
        <v>143384246</v>
      </c>
    </row>
    <row r="9">
      <c r="A9" s="7">
        <f>IFERROR(__xludf.DUMMYFUNCTION("""COMPUTED_VALUE"""),45219.64583333333)</f>
        <v>45219.64583</v>
      </c>
      <c r="B9" s="6">
        <f>IFERROR(__xludf.DUMMYFUNCTION("""COMPUTED_VALUE"""),53.8)</f>
        <v>53.8</v>
      </c>
      <c r="C9" s="6">
        <f>IFERROR(__xludf.DUMMYFUNCTION("""COMPUTED_VALUE"""),55.85)</f>
        <v>55.85</v>
      </c>
      <c r="D9" s="6">
        <f>IFERROR(__xludf.DUMMYFUNCTION("""COMPUTED_VALUE"""),52.03)</f>
        <v>52.03</v>
      </c>
      <c r="E9" s="6">
        <f>IFERROR(__xludf.DUMMYFUNCTION("""COMPUTED_VALUE"""),52.68)</f>
        <v>52.68</v>
      </c>
      <c r="F9" s="6">
        <f>IFERROR(__xludf.DUMMYFUNCTION("""COMPUTED_VALUE"""),8.8225654E7)</f>
        <v>88225654</v>
      </c>
    </row>
    <row r="10">
      <c r="A10" s="7">
        <f>IFERROR(__xludf.DUMMYFUNCTION("""COMPUTED_VALUE"""),45226.64583333333)</f>
        <v>45226.64583</v>
      </c>
      <c r="B10" s="6">
        <f>IFERROR(__xludf.DUMMYFUNCTION("""COMPUTED_VALUE"""),52.67)</f>
        <v>52.67</v>
      </c>
      <c r="C10" s="6">
        <f>IFERROR(__xludf.DUMMYFUNCTION("""COMPUTED_VALUE"""),52.93)</f>
        <v>52.93</v>
      </c>
      <c r="D10" s="6">
        <f>IFERROR(__xludf.DUMMYFUNCTION("""COMPUTED_VALUE"""),49.73)</f>
        <v>49.73</v>
      </c>
      <c r="E10" s="6">
        <f>IFERROR(__xludf.DUMMYFUNCTION("""COMPUTED_VALUE"""),51.47)</f>
        <v>51.47</v>
      </c>
      <c r="F10" s="6">
        <f>IFERROR(__xludf.DUMMYFUNCTION("""COMPUTED_VALUE"""),5.4851771E7)</f>
        <v>54851771</v>
      </c>
    </row>
    <row r="11">
      <c r="A11" s="7">
        <f>IFERROR(__xludf.DUMMYFUNCTION("""COMPUTED_VALUE"""),45233.64583333333)</f>
        <v>45233.64583</v>
      </c>
      <c r="B11" s="6">
        <f>IFERROR(__xludf.DUMMYFUNCTION("""COMPUTED_VALUE"""),51.47)</f>
        <v>51.47</v>
      </c>
      <c r="C11" s="6">
        <f>IFERROR(__xludf.DUMMYFUNCTION("""COMPUTED_VALUE"""),53.75)</f>
        <v>53.75</v>
      </c>
      <c r="D11" s="6">
        <f>IFERROR(__xludf.DUMMYFUNCTION("""COMPUTED_VALUE"""),50.83)</f>
        <v>50.83</v>
      </c>
      <c r="E11" s="6">
        <f>IFERROR(__xludf.DUMMYFUNCTION("""COMPUTED_VALUE"""),53.15)</f>
        <v>53.15</v>
      </c>
      <c r="F11" s="6">
        <f>IFERROR(__xludf.DUMMYFUNCTION("""COMPUTED_VALUE"""),3.9013648E7)</f>
        <v>39013648</v>
      </c>
    </row>
    <row r="12">
      <c r="A12" s="7">
        <f>IFERROR(__xludf.DUMMYFUNCTION("""COMPUTED_VALUE"""),45240.64583333333)</f>
        <v>45240.64583</v>
      </c>
      <c r="B12" s="6">
        <f>IFERROR(__xludf.DUMMYFUNCTION("""COMPUTED_VALUE"""),53.55)</f>
        <v>53.55</v>
      </c>
      <c r="C12" s="6">
        <f>IFERROR(__xludf.DUMMYFUNCTION("""COMPUTED_VALUE"""),56.53)</f>
        <v>56.53</v>
      </c>
      <c r="D12" s="6">
        <f>IFERROR(__xludf.DUMMYFUNCTION("""COMPUTED_VALUE"""),53.15)</f>
        <v>53.15</v>
      </c>
      <c r="E12" s="6">
        <f>IFERROR(__xludf.DUMMYFUNCTION("""COMPUTED_VALUE"""),56.23)</f>
        <v>56.23</v>
      </c>
      <c r="F12" s="6">
        <f>IFERROR(__xludf.DUMMYFUNCTION("""COMPUTED_VALUE"""),6.0971397E7)</f>
        <v>60971397</v>
      </c>
    </row>
    <row r="13">
      <c r="A13" s="7">
        <f>IFERROR(__xludf.DUMMYFUNCTION("""COMPUTED_VALUE"""),45247.64583333333)</f>
        <v>45247.64583</v>
      </c>
      <c r="B13" s="6">
        <f>IFERROR(__xludf.DUMMYFUNCTION("""COMPUTED_VALUE"""),57.58)</f>
        <v>57.58</v>
      </c>
      <c r="C13" s="6">
        <f>IFERROR(__xludf.DUMMYFUNCTION("""COMPUTED_VALUE"""),59.27)</f>
        <v>59.27</v>
      </c>
      <c r="D13" s="6">
        <f>IFERROR(__xludf.DUMMYFUNCTION("""COMPUTED_VALUE"""),55.58)</f>
        <v>55.58</v>
      </c>
      <c r="E13" s="6">
        <f>IFERROR(__xludf.DUMMYFUNCTION("""COMPUTED_VALUE"""),56.3)</f>
        <v>56.3</v>
      </c>
      <c r="F13" s="6">
        <f>IFERROR(__xludf.DUMMYFUNCTION("""COMPUTED_VALUE"""),8.0489613E7)</f>
        <v>80489613</v>
      </c>
    </row>
    <row r="14">
      <c r="A14" s="7">
        <f>IFERROR(__xludf.DUMMYFUNCTION("""COMPUTED_VALUE"""),45254.64583333333)</f>
        <v>45254.64583</v>
      </c>
      <c r="B14" s="6">
        <f>IFERROR(__xludf.DUMMYFUNCTION("""COMPUTED_VALUE"""),56.93)</f>
        <v>56.93</v>
      </c>
      <c r="C14" s="6">
        <f>IFERROR(__xludf.DUMMYFUNCTION("""COMPUTED_VALUE"""),59.12)</f>
        <v>59.12</v>
      </c>
      <c r="D14" s="6">
        <f>IFERROR(__xludf.DUMMYFUNCTION("""COMPUTED_VALUE"""),55.72)</f>
        <v>55.72</v>
      </c>
      <c r="E14" s="6">
        <f>IFERROR(__xludf.DUMMYFUNCTION("""COMPUTED_VALUE"""),57.73)</f>
        <v>57.73</v>
      </c>
      <c r="F14" s="6">
        <f>IFERROR(__xludf.DUMMYFUNCTION("""COMPUTED_VALUE"""),7.1516416E7)</f>
        <v>71516416</v>
      </c>
    </row>
    <row r="15">
      <c r="A15" s="7">
        <f>IFERROR(__xludf.DUMMYFUNCTION("""COMPUTED_VALUE"""),45261.64583333333)</f>
        <v>45261.64583</v>
      </c>
      <c r="B15" s="6">
        <f>IFERROR(__xludf.DUMMYFUNCTION("""COMPUTED_VALUE"""),58.17)</f>
        <v>58.17</v>
      </c>
      <c r="C15" s="6">
        <f>IFERROR(__xludf.DUMMYFUNCTION("""COMPUTED_VALUE"""),61.57)</f>
        <v>61.57</v>
      </c>
      <c r="D15" s="6">
        <f>IFERROR(__xludf.DUMMYFUNCTION("""COMPUTED_VALUE"""),57.92)</f>
        <v>57.92</v>
      </c>
      <c r="E15" s="6">
        <f>IFERROR(__xludf.DUMMYFUNCTION("""COMPUTED_VALUE"""),60.68)</f>
        <v>60.68</v>
      </c>
      <c r="F15" s="6">
        <f>IFERROR(__xludf.DUMMYFUNCTION("""COMPUTED_VALUE"""),6.5822183E7)</f>
        <v>65822183</v>
      </c>
    </row>
    <row r="16">
      <c r="A16" s="7">
        <f>IFERROR(__xludf.DUMMYFUNCTION("""COMPUTED_VALUE"""),45268.64583333333)</f>
        <v>45268.64583</v>
      </c>
      <c r="B16" s="6">
        <f>IFERROR(__xludf.DUMMYFUNCTION("""COMPUTED_VALUE"""),61.77)</f>
        <v>61.77</v>
      </c>
      <c r="C16" s="6">
        <f>IFERROR(__xludf.DUMMYFUNCTION("""COMPUTED_VALUE"""),63.0)</f>
        <v>63</v>
      </c>
      <c r="D16" s="6">
        <f>IFERROR(__xludf.DUMMYFUNCTION("""COMPUTED_VALUE"""),60.23)</f>
        <v>60.23</v>
      </c>
      <c r="E16" s="6">
        <f>IFERROR(__xludf.DUMMYFUNCTION("""COMPUTED_VALUE"""),61.2)</f>
        <v>61.2</v>
      </c>
      <c r="F16" s="6">
        <f>IFERROR(__xludf.DUMMYFUNCTION("""COMPUTED_VALUE"""),4.7212575E7)</f>
        <v>47212575</v>
      </c>
    </row>
    <row r="17">
      <c r="A17" s="7">
        <f>IFERROR(__xludf.DUMMYFUNCTION("""COMPUTED_VALUE"""),45275.64583333333)</f>
        <v>45275.64583</v>
      </c>
      <c r="B17" s="6">
        <f>IFERROR(__xludf.DUMMYFUNCTION("""COMPUTED_VALUE"""),61.33)</f>
        <v>61.33</v>
      </c>
      <c r="C17" s="6">
        <f>IFERROR(__xludf.DUMMYFUNCTION("""COMPUTED_VALUE"""),65.93)</f>
        <v>65.93</v>
      </c>
      <c r="D17" s="6">
        <f>IFERROR(__xludf.DUMMYFUNCTION("""COMPUTED_VALUE"""),60.5)</f>
        <v>60.5</v>
      </c>
      <c r="E17" s="6">
        <f>IFERROR(__xludf.DUMMYFUNCTION("""COMPUTED_VALUE"""),64.98)</f>
        <v>64.98</v>
      </c>
      <c r="F17" s="6">
        <f>IFERROR(__xludf.DUMMYFUNCTION("""COMPUTED_VALUE"""),6.5505897E7)</f>
        <v>65505897</v>
      </c>
    </row>
    <row r="18">
      <c r="A18" s="7">
        <f>IFERROR(__xludf.DUMMYFUNCTION("""COMPUTED_VALUE"""),45282.64583333333)</f>
        <v>45282.64583</v>
      </c>
      <c r="B18" s="6">
        <f>IFERROR(__xludf.DUMMYFUNCTION("""COMPUTED_VALUE"""),64.98)</f>
        <v>64.98</v>
      </c>
      <c r="C18" s="6">
        <f>IFERROR(__xludf.DUMMYFUNCTION("""COMPUTED_VALUE"""),66.22)</f>
        <v>66.22</v>
      </c>
      <c r="D18" s="6">
        <f>IFERROR(__xludf.DUMMYFUNCTION("""COMPUTED_VALUE"""),59.97)</f>
        <v>59.97</v>
      </c>
      <c r="E18" s="6">
        <f>IFERROR(__xludf.DUMMYFUNCTION("""COMPUTED_VALUE"""),65.13)</f>
        <v>65.13</v>
      </c>
      <c r="F18" s="6">
        <f>IFERROR(__xludf.DUMMYFUNCTION("""COMPUTED_VALUE"""),7.1100434E7)</f>
        <v>71100434</v>
      </c>
    </row>
    <row r="19">
      <c r="A19" s="7">
        <f>IFERROR(__xludf.DUMMYFUNCTION("""COMPUTED_VALUE"""),45289.64583333333)</f>
        <v>45289.64583</v>
      </c>
      <c r="B19" s="6">
        <f>IFERROR(__xludf.DUMMYFUNCTION("""COMPUTED_VALUE"""),65.25)</f>
        <v>65.25</v>
      </c>
      <c r="C19" s="6">
        <f>IFERROR(__xludf.DUMMYFUNCTION("""COMPUTED_VALUE"""),70.88)</f>
        <v>70.88</v>
      </c>
      <c r="D19" s="6">
        <f>IFERROR(__xludf.DUMMYFUNCTION("""COMPUTED_VALUE"""),64.95)</f>
        <v>64.95</v>
      </c>
      <c r="E19" s="6">
        <f>IFERROR(__xludf.DUMMYFUNCTION("""COMPUTED_VALUE"""),69.88)</f>
        <v>69.88</v>
      </c>
      <c r="F19" s="6">
        <f>IFERROR(__xludf.DUMMYFUNCTION("""COMPUTED_VALUE"""),9.113854E7)</f>
        <v>91138540</v>
      </c>
    </row>
    <row r="20">
      <c r="A20" s="7">
        <f>IFERROR(__xludf.DUMMYFUNCTION("""COMPUTED_VALUE"""),45296.64583333333)</f>
        <v>45296.64583</v>
      </c>
      <c r="B20" s="6">
        <f>IFERROR(__xludf.DUMMYFUNCTION("""COMPUTED_VALUE"""),70.3)</f>
        <v>70.3</v>
      </c>
      <c r="C20" s="6">
        <f>IFERROR(__xludf.DUMMYFUNCTION("""COMPUTED_VALUE"""),75.77)</f>
        <v>75.77</v>
      </c>
      <c r="D20" s="6">
        <f>IFERROR(__xludf.DUMMYFUNCTION("""COMPUTED_VALUE"""),69.75)</f>
        <v>69.75</v>
      </c>
      <c r="E20" s="6">
        <f>IFERROR(__xludf.DUMMYFUNCTION("""COMPUTED_VALUE"""),74.23)</f>
        <v>74.23</v>
      </c>
      <c r="F20" s="6">
        <f>IFERROR(__xludf.DUMMYFUNCTION("""COMPUTED_VALUE"""),1.02861124E8)</f>
        <v>102861124</v>
      </c>
    </row>
    <row r="21">
      <c r="A21" s="7">
        <f>IFERROR(__xludf.DUMMYFUNCTION("""COMPUTED_VALUE"""),45303.64583333333)</f>
        <v>45303.64583</v>
      </c>
      <c r="B21" s="6">
        <f>IFERROR(__xludf.DUMMYFUNCTION("""COMPUTED_VALUE"""),74.55)</f>
        <v>74.55</v>
      </c>
      <c r="C21" s="6">
        <f>IFERROR(__xludf.DUMMYFUNCTION("""COMPUTED_VALUE"""),74.62)</f>
        <v>74.62</v>
      </c>
      <c r="D21" s="6">
        <f>IFERROR(__xludf.DUMMYFUNCTION("""COMPUTED_VALUE"""),69.52)</f>
        <v>69.52</v>
      </c>
      <c r="E21" s="6">
        <f>IFERROR(__xludf.DUMMYFUNCTION("""COMPUTED_VALUE"""),70.45)</f>
        <v>70.45</v>
      </c>
      <c r="F21" s="6">
        <f>IFERROR(__xludf.DUMMYFUNCTION("""COMPUTED_VALUE"""),6.1878285E7)</f>
        <v>61878285</v>
      </c>
    </row>
    <row r="22">
      <c r="A22" s="7">
        <f>IFERROR(__xludf.DUMMYFUNCTION("""COMPUTED_VALUE"""),45316.64583333333)</f>
        <v>45316.64583</v>
      </c>
      <c r="B22" s="6">
        <f>IFERROR(__xludf.DUMMYFUNCTION("""COMPUTED_VALUE"""),71.58)</f>
        <v>71.58</v>
      </c>
      <c r="C22" s="6">
        <f>IFERROR(__xludf.DUMMYFUNCTION("""COMPUTED_VALUE"""),72.57)</f>
        <v>72.57</v>
      </c>
      <c r="D22" s="6">
        <f>IFERROR(__xludf.DUMMYFUNCTION("""COMPUTED_VALUE"""),67.17)</f>
        <v>67.17</v>
      </c>
      <c r="E22" s="6">
        <f>IFERROR(__xludf.DUMMYFUNCTION("""COMPUTED_VALUE"""),72.38)</f>
        <v>72.38</v>
      </c>
      <c r="F22" s="6">
        <f>IFERROR(__xludf.DUMMYFUNCTION("""COMPUTED_VALUE"""),5.5913459E7)</f>
        <v>55913459</v>
      </c>
    </row>
    <row r="23">
      <c r="A23" s="7">
        <f>IFERROR(__xludf.DUMMYFUNCTION("""COMPUTED_VALUE"""),45324.64583333333)</f>
        <v>45324.64583</v>
      </c>
      <c r="B23" s="6">
        <f>IFERROR(__xludf.DUMMYFUNCTION("""COMPUTED_VALUE"""),73.18)</f>
        <v>73.18</v>
      </c>
      <c r="C23" s="6">
        <f>IFERROR(__xludf.DUMMYFUNCTION("""COMPUTED_VALUE"""),79.17)</f>
        <v>79.17</v>
      </c>
      <c r="D23" s="6">
        <f>IFERROR(__xludf.DUMMYFUNCTION("""COMPUTED_VALUE"""),72.47)</f>
        <v>72.47</v>
      </c>
      <c r="E23" s="6">
        <f>IFERROR(__xludf.DUMMYFUNCTION("""COMPUTED_VALUE"""),78.52)</f>
        <v>78.52</v>
      </c>
      <c r="F23" s="6">
        <f>IFERROR(__xludf.DUMMYFUNCTION("""COMPUTED_VALUE"""),8.7559723E7)</f>
        <v>87559723</v>
      </c>
    </row>
    <row r="24">
      <c r="A24" s="7">
        <f>IFERROR(__xludf.DUMMYFUNCTION("""COMPUTED_VALUE"""),45331.64583333333)</f>
        <v>45331.64583</v>
      </c>
      <c r="B24" s="6">
        <f>IFERROR(__xludf.DUMMYFUNCTION("""COMPUTED_VALUE"""),80.0)</f>
        <v>80</v>
      </c>
      <c r="C24" s="6">
        <f>IFERROR(__xludf.DUMMYFUNCTION("""COMPUTED_VALUE"""),82.35)</f>
        <v>82.35</v>
      </c>
      <c r="D24" s="6">
        <f>IFERROR(__xludf.DUMMYFUNCTION("""COMPUTED_VALUE"""),77.92)</f>
        <v>77.92</v>
      </c>
      <c r="E24" s="6">
        <f>IFERROR(__xludf.DUMMYFUNCTION("""COMPUTED_VALUE"""),80.5)</f>
        <v>80.5</v>
      </c>
      <c r="F24" s="6">
        <f>IFERROR(__xludf.DUMMYFUNCTION("""COMPUTED_VALUE"""),9.0824149E7)</f>
        <v>90824149</v>
      </c>
    </row>
    <row r="25">
      <c r="A25" s="7">
        <f>IFERROR(__xludf.DUMMYFUNCTION("""COMPUTED_VALUE"""),45338.64583333333)</f>
        <v>45338.64583</v>
      </c>
      <c r="B25" s="6">
        <f>IFERROR(__xludf.DUMMYFUNCTION("""COMPUTED_VALUE"""),80.25)</f>
        <v>80.25</v>
      </c>
      <c r="C25" s="6">
        <f>IFERROR(__xludf.DUMMYFUNCTION("""COMPUTED_VALUE"""),84.13)</f>
        <v>84.13</v>
      </c>
      <c r="D25" s="6">
        <f>IFERROR(__xludf.DUMMYFUNCTION("""COMPUTED_VALUE"""),74.43)</f>
        <v>74.43</v>
      </c>
      <c r="E25" s="6">
        <f>IFERROR(__xludf.DUMMYFUNCTION("""COMPUTED_VALUE"""),81.45)</f>
        <v>81.45</v>
      </c>
      <c r="F25" s="6">
        <f>IFERROR(__xludf.DUMMYFUNCTION("""COMPUTED_VALUE"""),1.29572679E8)</f>
        <v>129572679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IFERROR(__xludf.DUMMYFUNCTION("""COMPUTED_VALUE"""),81.93)</f>
        <v>81.93</v>
      </c>
      <c r="C26" s="6">
        <f>IFERROR(__xludf.DUMMYFUNCTION("""COMPUTED_VALUE"""),83.47)</f>
        <v>83.47</v>
      </c>
      <c r="D26" s="6">
        <f>IFERROR(__xludf.DUMMYFUNCTION("""COMPUTED_VALUE"""),77.1)</f>
        <v>77.1</v>
      </c>
      <c r="E26" s="6">
        <f>IFERROR(__xludf.DUMMYFUNCTION("""COMPUTED_VALUE"""),79.43)</f>
        <v>79.43</v>
      </c>
      <c r="F26" s="6">
        <f>IFERROR(__xludf.DUMMYFUNCTION("""COMPUTED_VALUE"""),8.7170722E7)</f>
        <v>87170722</v>
      </c>
    </row>
    <row r="27">
      <c r="A27" s="7">
        <f>IFERROR(__xludf.DUMMYFUNCTION("""COMPUTED_VALUE"""),45358.64583333333)</f>
        <v>45358.64583</v>
      </c>
      <c r="B27" s="6">
        <f>IFERROR(__xludf.DUMMYFUNCTION("""COMPUTED_VALUE"""),78.83)</f>
        <v>78.83</v>
      </c>
      <c r="C27" s="6">
        <f>IFERROR(__xludf.DUMMYFUNCTION("""COMPUTED_VALUE"""),81.73)</f>
        <v>81.73</v>
      </c>
      <c r="D27" s="6">
        <f>IFERROR(__xludf.DUMMYFUNCTION("""COMPUTED_VALUE"""),77.95)</f>
        <v>77.95</v>
      </c>
      <c r="E27" s="6">
        <f>IFERROR(__xludf.DUMMYFUNCTION("""COMPUTED_VALUE"""),79.6)</f>
        <v>79.6</v>
      </c>
      <c r="F27" s="6">
        <f>IFERROR(__xludf.DUMMYFUNCTION("""COMPUTED_VALUE"""),5.8668125E7)</f>
        <v>58668125</v>
      </c>
    </row>
    <row r="28">
      <c r="A28" s="7">
        <f>IFERROR(__xludf.DUMMYFUNCTION("""COMPUTED_VALUE"""),45366.64583333333)</f>
        <v>45366.64583</v>
      </c>
      <c r="B28" s="6">
        <f>IFERROR(__xludf.DUMMYFUNCTION("""COMPUTED_VALUE"""),78.33)</f>
        <v>78.33</v>
      </c>
      <c r="C28" s="6">
        <f>IFERROR(__xludf.DUMMYFUNCTION("""COMPUTED_VALUE"""),79.17)</f>
        <v>79.17</v>
      </c>
      <c r="D28" s="6">
        <f>IFERROR(__xludf.DUMMYFUNCTION("""COMPUTED_VALUE"""),63.45)</f>
        <v>63.45</v>
      </c>
      <c r="E28" s="6">
        <f>IFERROR(__xludf.DUMMYFUNCTION("""COMPUTED_VALUE"""),66.12)</f>
        <v>66.12</v>
      </c>
      <c r="F28" s="6">
        <f>IFERROR(__xludf.DUMMYFUNCTION("""COMPUTED_VALUE"""),1.07282717E8)</f>
        <v>107282717</v>
      </c>
    </row>
    <row r="29">
      <c r="A29" s="7">
        <f>IFERROR(__xludf.DUMMYFUNCTION("""COMPUTED_VALUE"""),45373.64583333333)</f>
        <v>45373.64583</v>
      </c>
      <c r="B29" s="6">
        <f>IFERROR(__xludf.DUMMYFUNCTION("""COMPUTED_VALUE"""),66.13)</f>
        <v>66.13</v>
      </c>
      <c r="C29" s="6">
        <f>IFERROR(__xludf.DUMMYFUNCTION("""COMPUTED_VALUE"""),69.7)</f>
        <v>69.7</v>
      </c>
      <c r="D29" s="6">
        <f>IFERROR(__xludf.DUMMYFUNCTION("""COMPUTED_VALUE"""),65.02)</f>
        <v>65.02</v>
      </c>
      <c r="E29" s="6">
        <f>IFERROR(__xludf.DUMMYFUNCTION("""COMPUTED_VALUE"""),67.9)</f>
        <v>67.9</v>
      </c>
      <c r="F29" s="6">
        <f>IFERROR(__xludf.DUMMYFUNCTION("""COMPUTED_VALUE"""),1.00570651E8)</f>
        <v>100570651</v>
      </c>
    </row>
    <row r="30">
      <c r="A30" s="7">
        <f>IFERROR(__xludf.DUMMYFUNCTION("""COMPUTED_VALUE"""),45379.64583333333)</f>
        <v>45379.64583</v>
      </c>
      <c r="B30" s="6">
        <f>IFERROR(__xludf.DUMMYFUNCTION("""COMPUTED_VALUE"""),67.5)</f>
        <v>67.5</v>
      </c>
      <c r="C30" s="6">
        <f>IFERROR(__xludf.DUMMYFUNCTION("""COMPUTED_VALUE"""),68.73)</f>
        <v>68.73</v>
      </c>
      <c r="D30" s="6">
        <f>IFERROR(__xludf.DUMMYFUNCTION("""COMPUTED_VALUE"""),66.17)</f>
        <v>66.17</v>
      </c>
      <c r="E30" s="6">
        <f>IFERROR(__xludf.DUMMYFUNCTION("""COMPUTED_VALUE"""),67.25)</f>
        <v>67.25</v>
      </c>
      <c r="F30" s="6">
        <f>IFERROR(__xludf.DUMMYFUNCTION("""COMPUTED_VALUE"""),3.3689824E7)</f>
        <v>33689824</v>
      </c>
    </row>
    <row r="31">
      <c r="A31" s="7">
        <f>IFERROR(__xludf.DUMMYFUNCTION("""COMPUTED_VALUE"""),45387.64583333333)</f>
        <v>45387.64583</v>
      </c>
      <c r="B31" s="6">
        <f>IFERROR(__xludf.DUMMYFUNCTION("""COMPUTED_VALUE"""),68.27)</f>
        <v>68.27</v>
      </c>
      <c r="C31" s="6">
        <f>IFERROR(__xludf.DUMMYFUNCTION("""COMPUTED_VALUE"""),73.58)</f>
        <v>73.58</v>
      </c>
      <c r="D31" s="6">
        <f>IFERROR(__xludf.DUMMYFUNCTION("""COMPUTED_VALUE"""),67.77)</f>
        <v>67.77</v>
      </c>
      <c r="E31" s="6">
        <f>IFERROR(__xludf.DUMMYFUNCTION("""COMPUTED_VALUE"""),72.63)</f>
        <v>72.63</v>
      </c>
      <c r="F31" s="6">
        <f>IFERROR(__xludf.DUMMYFUNCTION("""COMPUTED_VALUE"""),7.3124617E7)</f>
        <v>73124617</v>
      </c>
    </row>
    <row r="32">
      <c r="A32" s="7">
        <f>IFERROR(__xludf.DUMMYFUNCTION("""COMPUTED_VALUE"""),45394.64583333333)</f>
        <v>45394.64583</v>
      </c>
      <c r="B32" s="6">
        <f>IFERROR(__xludf.DUMMYFUNCTION("""COMPUTED_VALUE"""),73.22)</f>
        <v>73.22</v>
      </c>
      <c r="C32" s="6">
        <f>IFERROR(__xludf.DUMMYFUNCTION("""COMPUTED_VALUE"""),81.48)</f>
        <v>81.48</v>
      </c>
      <c r="D32" s="6">
        <f>IFERROR(__xludf.DUMMYFUNCTION("""COMPUTED_VALUE"""),72.38)</f>
        <v>72.38</v>
      </c>
      <c r="E32" s="6">
        <f>IFERROR(__xludf.DUMMYFUNCTION("""COMPUTED_VALUE"""),79.63)</f>
        <v>79.63</v>
      </c>
      <c r="F32" s="6">
        <f>IFERROR(__xludf.DUMMYFUNCTION("""COMPUTED_VALUE"""),9.6977508E7)</f>
        <v>96977508</v>
      </c>
    </row>
    <row r="33">
      <c r="A33" s="7">
        <f>IFERROR(__xludf.DUMMYFUNCTION("""COMPUTED_VALUE"""),45401.64583333333)</f>
        <v>45401.64583</v>
      </c>
      <c r="B33" s="6">
        <f>IFERROR(__xludf.DUMMYFUNCTION("""COMPUTED_VALUE"""),77.85)</f>
        <v>77.85</v>
      </c>
      <c r="C33" s="6">
        <f>IFERROR(__xludf.DUMMYFUNCTION("""COMPUTED_VALUE"""),82.28)</f>
        <v>82.28</v>
      </c>
      <c r="D33" s="6">
        <f>IFERROR(__xludf.DUMMYFUNCTION("""COMPUTED_VALUE"""),76.45)</f>
        <v>76.45</v>
      </c>
      <c r="E33" s="6">
        <f>IFERROR(__xludf.DUMMYFUNCTION("""COMPUTED_VALUE"""),78.55)</f>
        <v>78.55</v>
      </c>
      <c r="F33" s="6">
        <f>IFERROR(__xludf.DUMMYFUNCTION("""COMPUTED_VALUE"""),6.9075284E7)</f>
        <v>69075284</v>
      </c>
    </row>
    <row r="34">
      <c r="A34" s="7">
        <f>IFERROR(__xludf.DUMMYFUNCTION("""COMPUTED_VALUE"""),45408.64583333333)</f>
        <v>45408.64583</v>
      </c>
      <c r="B34" s="6">
        <f>IFERROR(__xludf.DUMMYFUNCTION("""COMPUTED_VALUE"""),79.33)</f>
        <v>79.33</v>
      </c>
      <c r="C34" s="6">
        <f>IFERROR(__xludf.DUMMYFUNCTION("""COMPUTED_VALUE"""),86.5)</f>
        <v>86.5</v>
      </c>
      <c r="D34" s="6">
        <f>IFERROR(__xludf.DUMMYFUNCTION("""COMPUTED_VALUE"""),77.98)</f>
        <v>77.98</v>
      </c>
      <c r="E34" s="6">
        <f>IFERROR(__xludf.DUMMYFUNCTION("""COMPUTED_VALUE"""),85.98)</f>
        <v>85.98</v>
      </c>
      <c r="F34" s="6">
        <f>IFERROR(__xludf.DUMMYFUNCTION("""COMPUTED_VALUE"""),8.7025167E7)</f>
        <v>87025167</v>
      </c>
    </row>
    <row r="35">
      <c r="A35" s="7">
        <f>IFERROR(__xludf.DUMMYFUNCTION("""COMPUTED_VALUE"""),45415.64583333333)</f>
        <v>45415.64583</v>
      </c>
      <c r="B35" s="6">
        <f>IFERROR(__xludf.DUMMYFUNCTION("""COMPUTED_VALUE"""),86.92)</f>
        <v>86.92</v>
      </c>
      <c r="C35" s="6">
        <f>IFERROR(__xludf.DUMMYFUNCTION("""COMPUTED_VALUE"""),89.97)</f>
        <v>89.97</v>
      </c>
      <c r="D35" s="6">
        <f>IFERROR(__xludf.DUMMYFUNCTION("""COMPUTED_VALUE"""),84.07)</f>
        <v>84.07</v>
      </c>
      <c r="E35" s="6">
        <f>IFERROR(__xludf.DUMMYFUNCTION("""COMPUTED_VALUE"""),89.65)</f>
        <v>89.65</v>
      </c>
      <c r="F35" s="6">
        <f>IFERROR(__xludf.DUMMYFUNCTION("""COMPUTED_VALUE"""),7.3611942E7)</f>
        <v>73611942</v>
      </c>
    </row>
    <row r="36">
      <c r="A36" s="7">
        <f>IFERROR(__xludf.DUMMYFUNCTION("""COMPUTED_VALUE"""),45422.64583333333)</f>
        <v>45422.64583</v>
      </c>
      <c r="B36" s="6">
        <f>IFERROR(__xludf.DUMMYFUNCTION("""COMPUTED_VALUE"""),90.57)</f>
        <v>90.57</v>
      </c>
      <c r="C36" s="6">
        <f>IFERROR(__xludf.DUMMYFUNCTION("""COMPUTED_VALUE"""),91.07)</f>
        <v>91.07</v>
      </c>
      <c r="D36" s="6">
        <f>IFERROR(__xludf.DUMMYFUNCTION("""COMPUTED_VALUE"""),82.82)</f>
        <v>82.82</v>
      </c>
      <c r="E36" s="6">
        <f>IFERROR(__xludf.DUMMYFUNCTION("""COMPUTED_VALUE"""),85.13)</f>
        <v>85.13</v>
      </c>
      <c r="F36" s="6">
        <f>IFERROR(__xludf.DUMMYFUNCTION("""COMPUTED_VALUE"""),7.8583872E7)</f>
        <v>78583872</v>
      </c>
    </row>
    <row r="37">
      <c r="A37" s="7">
        <f>IFERROR(__xludf.DUMMYFUNCTION("""COMPUTED_VALUE"""),45436.64583333333)</f>
        <v>45436.64583</v>
      </c>
      <c r="B37" s="6">
        <f>IFERROR(__xludf.DUMMYFUNCTION("""COMPUTED_VALUE"""),93.68)</f>
        <v>93.68</v>
      </c>
      <c r="C37" s="6">
        <f>IFERROR(__xludf.DUMMYFUNCTION("""COMPUTED_VALUE"""),95.45)</f>
        <v>95.45</v>
      </c>
      <c r="D37" s="6">
        <f>IFERROR(__xludf.DUMMYFUNCTION("""COMPUTED_VALUE"""),87.88)</f>
        <v>87.88</v>
      </c>
      <c r="E37" s="6">
        <f>IFERROR(__xludf.DUMMYFUNCTION("""COMPUTED_VALUE"""),89.3)</f>
        <v>89.3</v>
      </c>
      <c r="F37" s="6">
        <f>IFERROR(__xludf.DUMMYFUNCTION("""COMPUTED_VALUE"""),5.3869921E7)</f>
        <v>53869921</v>
      </c>
    </row>
    <row r="38">
      <c r="A38" s="7">
        <f>IFERROR(__xludf.DUMMYFUNCTION("""COMPUTED_VALUE"""),45443.64583333333)</f>
        <v>45443.64583</v>
      </c>
      <c r="B38" s="6">
        <f>IFERROR(__xludf.DUMMYFUNCTION("""COMPUTED_VALUE"""),90.05)</f>
        <v>90.05</v>
      </c>
      <c r="C38" s="6">
        <f>IFERROR(__xludf.DUMMYFUNCTION("""COMPUTED_VALUE"""),90.05)</f>
        <v>90.05</v>
      </c>
      <c r="D38" s="6">
        <f>IFERROR(__xludf.DUMMYFUNCTION("""COMPUTED_VALUE"""),82.73)</f>
        <v>82.73</v>
      </c>
      <c r="E38" s="6">
        <f>IFERROR(__xludf.DUMMYFUNCTION("""COMPUTED_VALUE"""),86.72)</f>
        <v>86.72</v>
      </c>
      <c r="F38" s="6">
        <f>IFERROR(__xludf.DUMMYFUNCTION("""COMPUTED_VALUE"""),7.3792211E7)</f>
        <v>73792211</v>
      </c>
    </row>
    <row r="39">
      <c r="A39" s="7">
        <f>IFERROR(__xludf.DUMMYFUNCTION("""COMPUTED_VALUE"""),45450.64583333333)</f>
        <v>45450.64583</v>
      </c>
      <c r="B39" s="6">
        <f>IFERROR(__xludf.DUMMYFUNCTION("""COMPUTED_VALUE"""),91.0)</f>
        <v>91</v>
      </c>
      <c r="C39" s="6">
        <f>IFERROR(__xludf.DUMMYFUNCTION("""COMPUTED_VALUE"""),91.03)</f>
        <v>91.03</v>
      </c>
      <c r="D39" s="6">
        <f>IFERROR(__xludf.DUMMYFUNCTION("""COMPUTED_VALUE"""),70.38)</f>
        <v>70.38</v>
      </c>
      <c r="E39" s="6">
        <f>IFERROR(__xludf.DUMMYFUNCTION("""COMPUTED_VALUE"""),86.17)</f>
        <v>86.17</v>
      </c>
      <c r="F39" s="6">
        <f>IFERROR(__xludf.DUMMYFUNCTION("""COMPUTED_VALUE"""),8.2920193E7)</f>
        <v>82920193</v>
      </c>
    </row>
    <row r="40">
      <c r="A40" s="7">
        <f>IFERROR(__xludf.DUMMYFUNCTION("""COMPUTED_VALUE"""),45457.64583333333)</f>
        <v>45457.64583</v>
      </c>
      <c r="B40" s="6">
        <f>IFERROR(__xludf.DUMMYFUNCTION("""COMPUTED_VALUE"""),86.33)</f>
        <v>86.33</v>
      </c>
      <c r="C40" s="6">
        <f>IFERROR(__xludf.DUMMYFUNCTION("""COMPUTED_VALUE"""),89.57)</f>
        <v>89.57</v>
      </c>
      <c r="D40" s="6">
        <f>IFERROR(__xludf.DUMMYFUNCTION("""COMPUTED_VALUE"""),84.17)</f>
        <v>84.17</v>
      </c>
      <c r="E40" s="6">
        <f>IFERROR(__xludf.DUMMYFUNCTION("""COMPUTED_VALUE"""),89.13)</f>
        <v>89.13</v>
      </c>
      <c r="F40" s="6">
        <f>IFERROR(__xludf.DUMMYFUNCTION("""COMPUTED_VALUE"""),3.6040241E7)</f>
        <v>36040241</v>
      </c>
    </row>
    <row r="41">
      <c r="A41" s="7">
        <f>IFERROR(__xludf.DUMMYFUNCTION("""COMPUTED_VALUE"""),45464.64583333333)</f>
        <v>45464.64583</v>
      </c>
      <c r="B41" s="6">
        <f>IFERROR(__xludf.DUMMYFUNCTION("""COMPUTED_VALUE"""),89.53)</f>
        <v>89.53</v>
      </c>
      <c r="C41" s="6">
        <f>IFERROR(__xludf.DUMMYFUNCTION("""COMPUTED_VALUE"""),91.87)</f>
        <v>91.87</v>
      </c>
      <c r="D41" s="6">
        <f>IFERROR(__xludf.DUMMYFUNCTION("""COMPUTED_VALUE"""),86.42)</f>
        <v>86.42</v>
      </c>
      <c r="E41" s="6">
        <f>IFERROR(__xludf.DUMMYFUNCTION("""COMPUTED_VALUE"""),89.9)</f>
        <v>89.9</v>
      </c>
      <c r="F41" s="6">
        <f>IFERROR(__xludf.DUMMYFUNCTION("""COMPUTED_VALUE"""),4.5035734E7)</f>
        <v>45035734</v>
      </c>
    </row>
    <row r="42">
      <c r="A42" s="7">
        <f>IFERROR(__xludf.DUMMYFUNCTION("""COMPUTED_VALUE"""),45471.64583333333)</f>
        <v>45471.64583</v>
      </c>
      <c r="B42" s="6">
        <f>IFERROR(__xludf.DUMMYFUNCTION("""COMPUTED_VALUE"""),89.15)</f>
        <v>89.15</v>
      </c>
      <c r="C42" s="6">
        <f>IFERROR(__xludf.DUMMYFUNCTION("""COMPUTED_VALUE"""),89.23)</f>
        <v>89.23</v>
      </c>
      <c r="D42" s="6">
        <f>IFERROR(__xludf.DUMMYFUNCTION("""COMPUTED_VALUE"""),80.42)</f>
        <v>80.42</v>
      </c>
      <c r="E42" s="6">
        <f>IFERROR(__xludf.DUMMYFUNCTION("""COMPUTED_VALUE"""),82.02)</f>
        <v>82.02</v>
      </c>
      <c r="F42" s="6">
        <f>IFERROR(__xludf.DUMMYFUNCTION("""COMPUTED_VALUE"""),6.8787744E7)</f>
        <v>68787744</v>
      </c>
    </row>
    <row r="43">
      <c r="A43" s="7">
        <f>IFERROR(__xludf.DUMMYFUNCTION("""COMPUTED_VALUE"""),45478.64583333333)</f>
        <v>45478.64583</v>
      </c>
      <c r="B43" s="6">
        <f>IFERROR(__xludf.DUMMYFUNCTION("""COMPUTED_VALUE"""),81.67)</f>
        <v>81.67</v>
      </c>
      <c r="C43" s="6">
        <f>IFERROR(__xludf.DUMMYFUNCTION("""COMPUTED_VALUE"""),85.13)</f>
        <v>85.13</v>
      </c>
      <c r="D43" s="6">
        <f>IFERROR(__xludf.DUMMYFUNCTION("""COMPUTED_VALUE"""),80.8)</f>
        <v>80.8</v>
      </c>
      <c r="E43" s="6">
        <f>IFERROR(__xludf.DUMMYFUNCTION("""COMPUTED_VALUE"""),84.09)</f>
        <v>84.09</v>
      </c>
      <c r="F43" s="6">
        <f>IFERROR(__xludf.DUMMYFUNCTION("""COMPUTED_VALUE"""),8.7292986E7)</f>
        <v>87292986</v>
      </c>
    </row>
    <row r="44">
      <c r="A44" s="7">
        <f>IFERROR(__xludf.DUMMYFUNCTION("""COMPUTED_VALUE"""),45485.64583333333)</f>
        <v>45485.64583</v>
      </c>
      <c r="B44" s="6">
        <f>IFERROR(__xludf.DUMMYFUNCTION("""COMPUTED_VALUE"""),84.4)</f>
        <v>84.4</v>
      </c>
      <c r="C44" s="6">
        <f>IFERROR(__xludf.DUMMYFUNCTION("""COMPUTED_VALUE"""),84.73)</f>
        <v>84.73</v>
      </c>
      <c r="D44" s="6">
        <f>IFERROR(__xludf.DUMMYFUNCTION("""COMPUTED_VALUE"""),79.86)</f>
        <v>79.86</v>
      </c>
      <c r="E44" s="6">
        <f>IFERROR(__xludf.DUMMYFUNCTION("""COMPUTED_VALUE"""),82.09)</f>
        <v>82.09</v>
      </c>
      <c r="F44" s="6">
        <f>IFERROR(__xludf.DUMMYFUNCTION("""COMPUTED_VALUE"""),4.3566146E7)</f>
        <v>43566146</v>
      </c>
    </row>
    <row r="45">
      <c r="A45" s="7">
        <f>IFERROR(__xludf.DUMMYFUNCTION("""COMPUTED_VALUE"""),45492.64583333333)</f>
        <v>45492.64583</v>
      </c>
      <c r="B45" s="6">
        <f>IFERROR(__xludf.DUMMYFUNCTION("""COMPUTED_VALUE"""),82.33)</f>
        <v>82.33</v>
      </c>
      <c r="C45" s="6">
        <f>IFERROR(__xludf.DUMMYFUNCTION("""COMPUTED_VALUE"""),83.57)</f>
        <v>83.57</v>
      </c>
      <c r="D45" s="6">
        <f>IFERROR(__xludf.DUMMYFUNCTION("""COMPUTED_VALUE"""),76.0)</f>
        <v>76</v>
      </c>
      <c r="E45" s="6">
        <f>IFERROR(__xludf.DUMMYFUNCTION("""COMPUTED_VALUE"""),76.25)</f>
        <v>76.25</v>
      </c>
      <c r="F45" s="6">
        <f>IFERROR(__xludf.DUMMYFUNCTION("""COMPUTED_VALUE"""),3.0518702E7)</f>
        <v>30518702</v>
      </c>
    </row>
    <row r="46">
      <c r="A46" s="7">
        <f>IFERROR(__xludf.DUMMYFUNCTION("""COMPUTED_VALUE"""),45499.64583333333)</f>
        <v>45499.64583</v>
      </c>
      <c r="B46" s="6">
        <f>IFERROR(__xludf.DUMMYFUNCTION("""COMPUTED_VALUE"""),76.0)</f>
        <v>76</v>
      </c>
      <c r="C46" s="6">
        <f>IFERROR(__xludf.DUMMYFUNCTION("""COMPUTED_VALUE"""),79.77)</f>
        <v>79.77</v>
      </c>
      <c r="D46" s="6">
        <f>IFERROR(__xludf.DUMMYFUNCTION("""COMPUTED_VALUE"""),73.63)</f>
        <v>73.63</v>
      </c>
      <c r="E46" s="6">
        <f>IFERROR(__xludf.DUMMYFUNCTION("""COMPUTED_VALUE"""),79.52)</f>
        <v>79.52</v>
      </c>
      <c r="F46" s="6">
        <f>IFERROR(__xludf.DUMMYFUNCTION("""COMPUTED_VALUE"""),4.4863528E7)</f>
        <v>44863528</v>
      </c>
    </row>
    <row r="47">
      <c r="A47" s="7">
        <f>IFERROR(__xludf.DUMMYFUNCTION("""COMPUTED_VALUE"""),45506.64583333333)</f>
        <v>45506.64583</v>
      </c>
      <c r="B47" s="6">
        <f>IFERROR(__xludf.DUMMYFUNCTION("""COMPUTED_VALUE"""),80.03)</f>
        <v>80.03</v>
      </c>
      <c r="C47" s="6">
        <f>IFERROR(__xludf.DUMMYFUNCTION("""COMPUTED_VALUE"""),83.05)</f>
        <v>83.05</v>
      </c>
      <c r="D47" s="6">
        <f>IFERROR(__xludf.DUMMYFUNCTION("""COMPUTED_VALUE"""),78.18)</f>
        <v>78.18</v>
      </c>
      <c r="E47" s="6">
        <f>IFERROR(__xludf.DUMMYFUNCTION("""COMPUTED_VALUE"""),78.64)</f>
        <v>78.64</v>
      </c>
      <c r="F47" s="6">
        <f>IFERROR(__xludf.DUMMYFUNCTION("""COMPUTED_VALUE"""),4.018483E7)</f>
        <v>40184830</v>
      </c>
    </row>
    <row r="48">
      <c r="A48" s="7">
        <f>IFERROR(__xludf.DUMMYFUNCTION("""COMPUTED_VALUE"""),45513.64583333333)</f>
        <v>45513.64583</v>
      </c>
      <c r="B48" s="6">
        <f>IFERROR(__xludf.DUMMYFUNCTION("""COMPUTED_VALUE"""),76.99)</f>
        <v>76.99</v>
      </c>
      <c r="C48" s="6">
        <f>IFERROR(__xludf.DUMMYFUNCTION("""COMPUTED_VALUE"""),77.16)</f>
        <v>77.16</v>
      </c>
      <c r="D48" s="6">
        <f>IFERROR(__xludf.DUMMYFUNCTION("""COMPUTED_VALUE"""),72.84)</f>
        <v>72.84</v>
      </c>
      <c r="E48" s="6">
        <f>IFERROR(__xludf.DUMMYFUNCTION("""COMPUTED_VALUE"""),73.84)</f>
        <v>73.84</v>
      </c>
      <c r="F48" s="6">
        <f>IFERROR(__xludf.DUMMYFUNCTION("""COMPUTED_VALUE"""),3.5382229E7)</f>
        <v>35382229</v>
      </c>
    </row>
    <row r="49">
      <c r="A49" s="7">
        <f>IFERROR(__xludf.DUMMYFUNCTION("""COMPUTED_VALUE"""),45520.64583333333)</f>
        <v>45520.64583</v>
      </c>
      <c r="B49" s="6">
        <f>IFERROR(__xludf.DUMMYFUNCTION("""COMPUTED_VALUE"""),73.0)</f>
        <v>73</v>
      </c>
      <c r="C49" s="6">
        <f>IFERROR(__xludf.DUMMYFUNCTION("""COMPUTED_VALUE"""),78.32)</f>
        <v>78.32</v>
      </c>
      <c r="D49" s="6">
        <f>IFERROR(__xludf.DUMMYFUNCTION("""COMPUTED_VALUE"""),70.02)</f>
        <v>70.02</v>
      </c>
      <c r="E49" s="6">
        <f>IFERROR(__xludf.DUMMYFUNCTION("""COMPUTED_VALUE"""),72.48)</f>
        <v>72.48</v>
      </c>
      <c r="F49" s="6">
        <f>IFERROR(__xludf.DUMMYFUNCTION("""COMPUTED_VALUE"""),6.2715571E7)</f>
        <v>62715571</v>
      </c>
    </row>
    <row r="50">
      <c r="A50" s="7">
        <f>IFERROR(__xludf.DUMMYFUNCTION("""COMPUTED_VALUE"""),45527.64583333333)</f>
        <v>45527.64583</v>
      </c>
      <c r="B50" s="6">
        <f>IFERROR(__xludf.DUMMYFUNCTION("""COMPUTED_VALUE"""),73.23)</f>
        <v>73.23</v>
      </c>
      <c r="C50" s="6">
        <f>IFERROR(__xludf.DUMMYFUNCTION("""COMPUTED_VALUE"""),75.96)</f>
        <v>75.96</v>
      </c>
      <c r="D50" s="6">
        <f>IFERROR(__xludf.DUMMYFUNCTION("""COMPUTED_VALUE"""),72.4)</f>
        <v>72.4</v>
      </c>
      <c r="E50" s="6">
        <f>IFERROR(__xludf.DUMMYFUNCTION("""COMPUTED_VALUE"""),73.92)</f>
        <v>73.92</v>
      </c>
      <c r="F50" s="6">
        <f>IFERROR(__xludf.DUMMYFUNCTION("""COMPUTED_VALUE"""),3.9397639E7)</f>
        <v>39397639</v>
      </c>
    </row>
    <row r="51">
      <c r="A51" s="7">
        <f>IFERROR(__xludf.DUMMYFUNCTION("""COMPUTED_VALUE"""),45534.64583333333)</f>
        <v>45534.64583</v>
      </c>
      <c r="B51" s="6">
        <f>IFERROR(__xludf.DUMMYFUNCTION("""COMPUTED_VALUE"""),74.33)</f>
        <v>74.33</v>
      </c>
      <c r="C51" s="6">
        <f>IFERROR(__xludf.DUMMYFUNCTION("""COMPUTED_VALUE"""),77.7)</f>
        <v>77.7</v>
      </c>
      <c r="D51" s="6">
        <f>IFERROR(__xludf.DUMMYFUNCTION("""COMPUTED_VALUE"""),73.52)</f>
        <v>73.52</v>
      </c>
      <c r="E51" s="6">
        <f>IFERROR(__xludf.DUMMYFUNCTION("""COMPUTED_VALUE"""),74.22)</f>
        <v>74.22</v>
      </c>
      <c r="F51" s="6">
        <f>IFERROR(__xludf.DUMMYFUNCTION("""COMPUTED_VALUE"""),3.2909687E7)</f>
        <v>32909687</v>
      </c>
    </row>
    <row r="52">
      <c r="A52" s="7">
        <f>IFERROR(__xludf.DUMMYFUNCTION("""COMPUTED_VALUE"""),45541.64583333333)</f>
        <v>45541.64583</v>
      </c>
      <c r="B52" s="6">
        <f>IFERROR(__xludf.DUMMYFUNCTION("""COMPUTED_VALUE"""),73.67)</f>
        <v>73.67</v>
      </c>
      <c r="C52" s="6">
        <f>IFERROR(__xludf.DUMMYFUNCTION("""COMPUTED_VALUE"""),73.93)</f>
        <v>73.93</v>
      </c>
      <c r="D52" s="6">
        <f>IFERROR(__xludf.DUMMYFUNCTION("""COMPUTED_VALUE"""),69.13)</f>
        <v>69.13</v>
      </c>
      <c r="E52" s="6">
        <f>IFERROR(__xludf.DUMMYFUNCTION("""COMPUTED_VALUE"""),70.33)</f>
        <v>70.33</v>
      </c>
      <c r="F52" s="6">
        <f>IFERROR(__xludf.DUMMYFUNCTION("""COMPUTED_VALUE"""),4.5278021E7)</f>
        <v>45278021</v>
      </c>
    </row>
    <row r="53">
      <c r="A53" s="7">
        <f>IFERROR(__xludf.DUMMYFUNCTION("""COMPUTED_VALUE"""),45548.64583333333)</f>
        <v>45548.64583</v>
      </c>
      <c r="B53" s="6">
        <f>IFERROR(__xludf.DUMMYFUNCTION("""COMPUTED_VALUE"""),70.33)</f>
        <v>70.33</v>
      </c>
      <c r="C53" s="6">
        <f>IFERROR(__xludf.DUMMYFUNCTION("""COMPUTED_VALUE"""),73.97)</f>
        <v>73.97</v>
      </c>
      <c r="D53" s="6">
        <f>IFERROR(__xludf.DUMMYFUNCTION("""COMPUTED_VALUE"""),68.3)</f>
        <v>68.3</v>
      </c>
      <c r="E53" s="6">
        <f>IFERROR(__xludf.DUMMYFUNCTION("""COMPUTED_VALUE"""),73.56)</f>
        <v>73.56</v>
      </c>
      <c r="F53" s="6">
        <f>IFERROR(__xludf.DUMMYFUNCTION("""COMPUTED_VALUE"""),4.7970638E7)</f>
        <v>47970638</v>
      </c>
    </row>
    <row r="54">
      <c r="A54" s="7">
        <f>IFERROR(__xludf.DUMMYFUNCTION("""COMPUTED_VALUE"""),45555.64583333333)</f>
        <v>45555.64583</v>
      </c>
      <c r="B54" s="6">
        <f>IFERROR(__xludf.DUMMYFUNCTION("""COMPUTED_VALUE"""),73.9)</f>
        <v>73.9</v>
      </c>
      <c r="C54" s="6">
        <f>IFERROR(__xludf.DUMMYFUNCTION("""COMPUTED_VALUE"""),74.5)</f>
        <v>74.5</v>
      </c>
      <c r="D54" s="6">
        <f>IFERROR(__xludf.DUMMYFUNCTION("""COMPUTED_VALUE"""),68.56)</f>
        <v>68.56</v>
      </c>
      <c r="E54" s="6">
        <f>IFERROR(__xludf.DUMMYFUNCTION("""COMPUTED_VALUE"""),70.85)</f>
        <v>70.85</v>
      </c>
      <c r="F54" s="6">
        <f>IFERROR(__xludf.DUMMYFUNCTION("""COMPUTED_VALUE"""),4.369402E7)</f>
        <v>43694020</v>
      </c>
    </row>
    <row r="55">
      <c r="A55" s="7">
        <f>IFERROR(__xludf.DUMMYFUNCTION("""COMPUTED_VALUE"""),45562.64583333333)</f>
        <v>45562.64583</v>
      </c>
      <c r="B55" s="6">
        <f>IFERROR(__xludf.DUMMYFUNCTION("""COMPUTED_VALUE"""),71.06)</f>
        <v>71.06</v>
      </c>
      <c r="C55" s="6">
        <f>IFERROR(__xludf.DUMMYFUNCTION("""COMPUTED_VALUE"""),79.93)</f>
        <v>79.93</v>
      </c>
      <c r="D55" s="6">
        <f>IFERROR(__xludf.DUMMYFUNCTION("""COMPUTED_VALUE"""),70.72)</f>
        <v>70.72</v>
      </c>
      <c r="E55" s="6">
        <f>IFERROR(__xludf.DUMMYFUNCTION("""COMPUTED_VALUE"""),78.39)</f>
        <v>78.39</v>
      </c>
      <c r="F55" s="6">
        <f>IFERROR(__xludf.DUMMYFUNCTION("""COMPUTED_VALUE"""),8.9275228E7)</f>
        <v>89275228</v>
      </c>
    </row>
    <row r="56">
      <c r="A56" s="7">
        <f>IFERROR(__xludf.DUMMYFUNCTION("""COMPUTED_VALUE"""),45569.64583333333)</f>
        <v>45569.64583</v>
      </c>
      <c r="B56" s="6">
        <f>IFERROR(__xludf.DUMMYFUNCTION("""COMPUTED_VALUE"""),81.0)</f>
        <v>81</v>
      </c>
      <c r="C56" s="6">
        <f>IFERROR(__xludf.DUMMYFUNCTION("""COMPUTED_VALUE"""),82.47)</f>
        <v>82.47</v>
      </c>
      <c r="D56" s="6">
        <f>IFERROR(__xludf.DUMMYFUNCTION("""COMPUTED_VALUE"""),78.03)</f>
        <v>78.03</v>
      </c>
      <c r="E56" s="6">
        <f>IFERROR(__xludf.DUMMYFUNCTION("""COMPUTED_VALUE"""),78.85)</f>
        <v>78.85</v>
      </c>
      <c r="F56" s="6">
        <f>IFERROR(__xludf.DUMMYFUNCTION("""COMPUTED_VALUE"""),8.5230053E7)</f>
        <v>85230053</v>
      </c>
    </row>
    <row r="57">
      <c r="A57" s="7">
        <f>IFERROR(__xludf.DUMMYFUNCTION("""COMPUTED_VALUE"""),45576.64583333333)</f>
        <v>45576.64583</v>
      </c>
      <c r="B57" s="6">
        <f>IFERROR(__xludf.DUMMYFUNCTION("""COMPUTED_VALUE"""),79.42)</f>
        <v>79.42</v>
      </c>
      <c r="C57" s="6">
        <f>IFERROR(__xludf.DUMMYFUNCTION("""COMPUTED_VALUE"""),80.57)</f>
        <v>80.57</v>
      </c>
      <c r="D57" s="6">
        <f>IFERROR(__xludf.DUMMYFUNCTION("""COMPUTED_VALUE"""),70.33)</f>
        <v>70.33</v>
      </c>
      <c r="E57" s="6">
        <f>IFERROR(__xludf.DUMMYFUNCTION("""COMPUTED_VALUE"""),77.89)</f>
        <v>77.89</v>
      </c>
      <c r="F57" s="6">
        <f>IFERROR(__xludf.DUMMYFUNCTION("""COMPUTED_VALUE"""),9.3844234E7)</f>
        <v>93844234</v>
      </c>
    </row>
    <row r="58">
      <c r="A58" s="7">
        <f>IFERROR(__xludf.DUMMYFUNCTION("""COMPUTED_VALUE"""),45583.64583333333)</f>
        <v>45583.64583</v>
      </c>
      <c r="B58" s="6">
        <f>IFERROR(__xludf.DUMMYFUNCTION("""COMPUTED_VALUE"""),78.0)</f>
        <v>78</v>
      </c>
      <c r="C58" s="6">
        <f>IFERROR(__xludf.DUMMYFUNCTION("""COMPUTED_VALUE"""),79.67)</f>
        <v>79.67</v>
      </c>
      <c r="D58" s="6">
        <f>IFERROR(__xludf.DUMMYFUNCTION("""COMPUTED_VALUE"""),73.22)</f>
        <v>73.22</v>
      </c>
      <c r="E58" s="6">
        <f>IFERROR(__xludf.DUMMYFUNCTION("""COMPUTED_VALUE"""),77.15)</f>
        <v>77.15</v>
      </c>
      <c r="F58" s="6">
        <f>IFERROR(__xludf.DUMMYFUNCTION("""COMPUTED_VALUE"""),4.8422057E7)</f>
        <v>48422057</v>
      </c>
    </row>
    <row r="59">
      <c r="A59" s="7">
        <f>IFERROR(__xludf.DUMMYFUNCTION("""COMPUTED_VALUE"""),45590.64583333333)</f>
        <v>45590.64583</v>
      </c>
      <c r="B59" s="6">
        <f>IFERROR(__xludf.DUMMYFUNCTION("""COMPUTED_VALUE"""),77.17)</f>
        <v>77.17</v>
      </c>
      <c r="C59" s="6">
        <f>IFERROR(__xludf.DUMMYFUNCTION("""COMPUTED_VALUE"""),77.93)</f>
        <v>77.93</v>
      </c>
      <c r="D59" s="6">
        <f>IFERROR(__xludf.DUMMYFUNCTION("""COMPUTED_VALUE"""),70.0)</f>
        <v>70</v>
      </c>
      <c r="E59" s="6">
        <f>IFERROR(__xludf.DUMMYFUNCTION("""COMPUTED_VALUE"""),72.61)</f>
        <v>72.61</v>
      </c>
      <c r="F59" s="6">
        <f>IFERROR(__xludf.DUMMYFUNCTION("""COMPUTED_VALUE"""),5.1668433E7)</f>
        <v>51668433</v>
      </c>
    </row>
    <row r="60">
      <c r="A60" s="7">
        <f>IFERROR(__xludf.DUMMYFUNCTION("""COMPUTED_VALUE"""),45604.64583333333)</f>
        <v>45604.64583</v>
      </c>
      <c r="B60" s="6">
        <f>IFERROR(__xludf.DUMMYFUNCTION("""COMPUTED_VALUE"""),74.89)</f>
        <v>74.89</v>
      </c>
      <c r="C60" s="6">
        <f>IFERROR(__xludf.DUMMYFUNCTION("""COMPUTED_VALUE"""),82.08)</f>
        <v>82.08</v>
      </c>
      <c r="D60" s="6">
        <f>IFERROR(__xludf.DUMMYFUNCTION("""COMPUTED_VALUE"""),74.05)</f>
        <v>74.05</v>
      </c>
      <c r="E60" s="6">
        <f>IFERROR(__xludf.DUMMYFUNCTION("""COMPUTED_VALUE"""),78.66)</f>
        <v>78.66</v>
      </c>
      <c r="F60" s="6">
        <f>IFERROR(__xludf.DUMMYFUNCTION("""COMPUTED_VALUE"""),8.9908303E7)</f>
        <v>89908303</v>
      </c>
    </row>
    <row r="61">
      <c r="A61" s="7">
        <f>IFERROR(__xludf.DUMMYFUNCTION("""COMPUTED_VALUE"""),45610.64583333333)</f>
        <v>45610.64583</v>
      </c>
      <c r="B61" s="6">
        <f>IFERROR(__xludf.DUMMYFUNCTION("""COMPUTED_VALUE"""),78.13)</f>
        <v>78.13</v>
      </c>
      <c r="C61" s="6">
        <f>IFERROR(__xludf.DUMMYFUNCTION("""COMPUTED_VALUE"""),78.26)</f>
        <v>78.26</v>
      </c>
      <c r="D61" s="6">
        <f>IFERROR(__xludf.DUMMYFUNCTION("""COMPUTED_VALUE"""),72.7)</f>
        <v>72.7</v>
      </c>
      <c r="E61" s="6">
        <f>IFERROR(__xludf.DUMMYFUNCTION("""COMPUTED_VALUE"""),72.93)</f>
        <v>72.93</v>
      </c>
      <c r="F61" s="6">
        <f>IFERROR(__xludf.DUMMYFUNCTION("""COMPUTED_VALUE"""),6.9947855E7)</f>
        <v>69947855</v>
      </c>
    </row>
    <row r="62">
      <c r="A62" s="7">
        <f>IFERROR(__xludf.DUMMYFUNCTION("""COMPUTED_VALUE"""),45618.64583333333)</f>
        <v>45618.64583</v>
      </c>
      <c r="B62" s="6">
        <f>IFERROR(__xludf.DUMMYFUNCTION("""COMPUTED_VALUE"""),73.35)</f>
        <v>73.35</v>
      </c>
      <c r="C62" s="6">
        <f>IFERROR(__xludf.DUMMYFUNCTION("""COMPUTED_VALUE"""),76.47)</f>
        <v>76.47</v>
      </c>
      <c r="D62" s="6">
        <f>IFERROR(__xludf.DUMMYFUNCTION("""COMPUTED_VALUE"""),71.74)</f>
        <v>71.74</v>
      </c>
      <c r="E62" s="6">
        <f>IFERROR(__xludf.DUMMYFUNCTION("""COMPUTED_VALUE"""),73.59)</f>
        <v>73.59</v>
      </c>
      <c r="F62" s="6">
        <f>IFERROR(__xludf.DUMMYFUNCTION("""COMPUTED_VALUE"""),4.4629592E7)</f>
        <v>44629592</v>
      </c>
    </row>
    <row r="63">
      <c r="A63" s="7">
        <f>IFERROR(__xludf.DUMMYFUNCTION("""COMPUTED_VALUE"""),45625.64583333333)</f>
        <v>45625.64583</v>
      </c>
      <c r="B63" s="6">
        <f>IFERROR(__xludf.DUMMYFUNCTION("""COMPUTED_VALUE"""),75.0)</f>
        <v>75</v>
      </c>
      <c r="C63" s="6">
        <f>IFERROR(__xludf.DUMMYFUNCTION("""COMPUTED_VALUE"""),77.4)</f>
        <v>77.4</v>
      </c>
      <c r="D63" s="6">
        <f>IFERROR(__xludf.DUMMYFUNCTION("""COMPUTED_VALUE"""),74.6)</f>
        <v>74.6</v>
      </c>
      <c r="E63" s="6">
        <f>IFERROR(__xludf.DUMMYFUNCTION("""COMPUTED_VALUE"""),76.69)</f>
        <v>76.69</v>
      </c>
      <c r="F63" s="6">
        <f>IFERROR(__xludf.DUMMYFUNCTION("""COMPUTED_VALUE"""),4.3760195E7)</f>
        <v>43760195</v>
      </c>
    </row>
    <row r="64">
      <c r="A64" s="7">
        <f>IFERROR(__xludf.DUMMYFUNCTION("""COMPUTED_VALUE"""),45632.64583333333)</f>
        <v>45632.64583</v>
      </c>
      <c r="B64" s="6">
        <f>IFERROR(__xludf.DUMMYFUNCTION("""COMPUTED_VALUE"""),77.31)</f>
        <v>77.31</v>
      </c>
      <c r="C64" s="6">
        <f>IFERROR(__xludf.DUMMYFUNCTION("""COMPUTED_VALUE"""),79.83)</f>
        <v>79.83</v>
      </c>
      <c r="D64" s="6">
        <f>IFERROR(__xludf.DUMMYFUNCTION("""COMPUTED_VALUE"""),76.51)</f>
        <v>76.51</v>
      </c>
      <c r="E64" s="6">
        <f>IFERROR(__xludf.DUMMYFUNCTION("""COMPUTED_VALUE"""),79.55)</f>
        <v>79.55</v>
      </c>
      <c r="F64" s="6">
        <f>IFERROR(__xludf.DUMMYFUNCTION("""COMPUTED_VALUE"""),2.7086491E7)</f>
        <v>27086491</v>
      </c>
    </row>
    <row r="65">
      <c r="A65" s="7">
        <f>IFERROR(__xludf.DUMMYFUNCTION("""COMPUTED_VALUE"""),45639.64583333333)</f>
        <v>45639.64583</v>
      </c>
      <c r="B65" s="6">
        <f>IFERROR(__xludf.DUMMYFUNCTION("""COMPUTED_VALUE"""),79.82)</f>
        <v>79.82</v>
      </c>
      <c r="C65" s="6">
        <f>IFERROR(__xludf.DUMMYFUNCTION("""COMPUTED_VALUE"""),82.83)</f>
        <v>82.83</v>
      </c>
      <c r="D65" s="6">
        <f>IFERROR(__xludf.DUMMYFUNCTION("""COMPUTED_VALUE"""),76.4)</f>
        <v>76.4</v>
      </c>
      <c r="E65" s="6">
        <f>IFERROR(__xludf.DUMMYFUNCTION("""COMPUTED_VALUE"""),77.91)</f>
        <v>77.91</v>
      </c>
      <c r="F65" s="6">
        <f>IFERROR(__xludf.DUMMYFUNCTION("""COMPUTED_VALUE"""),6.7481057E7)</f>
        <v>67481057</v>
      </c>
    </row>
    <row r="66">
      <c r="A66" s="7">
        <f>IFERROR(__xludf.DUMMYFUNCTION("""COMPUTED_VALUE"""),45646.64583333333)</f>
        <v>45646.64583</v>
      </c>
      <c r="B66" s="6">
        <f>IFERROR(__xludf.DUMMYFUNCTION("""COMPUTED_VALUE"""),77.92)</f>
        <v>77.92</v>
      </c>
      <c r="C66" s="6">
        <f>IFERROR(__xludf.DUMMYFUNCTION("""COMPUTED_VALUE"""),78.23)</f>
        <v>78.23</v>
      </c>
      <c r="D66" s="6">
        <f>IFERROR(__xludf.DUMMYFUNCTION("""COMPUTED_VALUE"""),69.9)</f>
        <v>69.9</v>
      </c>
      <c r="E66" s="6">
        <f>IFERROR(__xludf.DUMMYFUNCTION("""COMPUTED_VALUE"""),71.05)</f>
        <v>71.05</v>
      </c>
      <c r="F66" s="6">
        <f>IFERROR(__xludf.DUMMYFUNCTION("""COMPUTED_VALUE"""),7.9195897E7)</f>
        <v>79195897</v>
      </c>
    </row>
    <row r="67">
      <c r="A67" s="7">
        <f>IFERROR(__xludf.DUMMYFUNCTION("""COMPUTED_VALUE"""),45653.64583333333)</f>
        <v>45653.64583</v>
      </c>
      <c r="B67" s="6">
        <f>IFERROR(__xludf.DUMMYFUNCTION("""COMPUTED_VALUE"""),71.83)</f>
        <v>71.83</v>
      </c>
      <c r="C67" s="6">
        <f>IFERROR(__xludf.DUMMYFUNCTION("""COMPUTED_VALUE"""),72.58)</f>
        <v>72.58</v>
      </c>
      <c r="D67" s="6">
        <f>IFERROR(__xludf.DUMMYFUNCTION("""COMPUTED_VALUE"""),69.13)</f>
        <v>69.13</v>
      </c>
      <c r="E67" s="6">
        <f>IFERROR(__xludf.DUMMYFUNCTION("""COMPUTED_VALUE"""),69.32)</f>
        <v>69.32</v>
      </c>
      <c r="F67" s="6">
        <f>IFERROR(__xludf.DUMMYFUNCTION("""COMPUTED_VALUE"""),7.6300273E7)</f>
        <v>76300273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IFERROR(__xludf.DUMMYFUNCTION("""COMPUTED_VALUE"""),69.45)</f>
        <v>69.45</v>
      </c>
      <c r="C68" s="6">
        <f>IFERROR(__xludf.DUMMYFUNCTION("""COMPUTED_VALUE"""),69.65)</f>
        <v>69.65</v>
      </c>
      <c r="D68" s="6">
        <f>IFERROR(__xludf.DUMMYFUNCTION("""COMPUTED_VALUE"""),65.0)</f>
        <v>65</v>
      </c>
      <c r="E68" s="6">
        <f>IFERROR(__xludf.DUMMYFUNCTION("""COMPUTED_VALUE"""),67.66)</f>
        <v>67.66</v>
      </c>
      <c r="F68" s="6">
        <f>IFERROR(__xludf.DUMMYFUNCTION("""COMPUTED_VALUE"""),1.49946873E8)</f>
        <v>149946873</v>
      </c>
    </row>
    <row r="69">
      <c r="A69" s="7">
        <f>IFERROR(__xludf.DUMMYFUNCTION("""COMPUTED_VALUE"""),45667.64583333333)</f>
        <v>45667.64583</v>
      </c>
      <c r="B69" s="6">
        <f>IFERROR(__xludf.DUMMYFUNCTION("""COMPUTED_VALUE"""),67.89)</f>
        <v>67.89</v>
      </c>
      <c r="C69" s="6">
        <f>IFERROR(__xludf.DUMMYFUNCTION("""COMPUTED_VALUE"""),67.89)</f>
        <v>67.89</v>
      </c>
      <c r="D69" s="6">
        <f>IFERROR(__xludf.DUMMYFUNCTION("""COMPUTED_VALUE"""),62.85)</f>
        <v>62.85</v>
      </c>
      <c r="E69" s="6">
        <f>IFERROR(__xludf.DUMMYFUNCTION("""COMPUTED_VALUE"""),63.04)</f>
        <v>63.04</v>
      </c>
      <c r="F69" s="6">
        <f>IFERROR(__xludf.DUMMYFUNCTION("""COMPUTED_VALUE"""),1.23543842E8)</f>
        <v>123543842</v>
      </c>
    </row>
    <row r="70">
      <c r="A70" s="7">
        <f>IFERROR(__xludf.DUMMYFUNCTION("""COMPUTED_VALUE"""),45674.64583333333)</f>
        <v>45674.64583</v>
      </c>
      <c r="B70" s="6">
        <f>IFERROR(__xludf.DUMMYFUNCTION("""COMPUTED_VALUE"""),62.12)</f>
        <v>62.12</v>
      </c>
      <c r="C70" s="6">
        <f>IFERROR(__xludf.DUMMYFUNCTION("""COMPUTED_VALUE"""),67.12)</f>
        <v>67.12</v>
      </c>
      <c r="D70" s="6">
        <f>IFERROR(__xludf.DUMMYFUNCTION("""COMPUTED_VALUE"""),59.7)</f>
        <v>59.7</v>
      </c>
      <c r="E70" s="6">
        <f>IFERROR(__xludf.DUMMYFUNCTION("""COMPUTED_VALUE"""),66.63)</f>
        <v>66.63</v>
      </c>
      <c r="F70" s="6">
        <f>IFERROR(__xludf.DUMMYFUNCTION("""COMPUTED_VALUE"""),1.47374546E8)</f>
        <v>147374546</v>
      </c>
    </row>
    <row r="71">
      <c r="A71" s="7">
        <f>IFERROR(__xludf.DUMMYFUNCTION("""COMPUTED_VALUE"""),45681.64583333333)</f>
        <v>45681.64583</v>
      </c>
      <c r="B71" s="6">
        <f>IFERROR(__xludf.DUMMYFUNCTION("""COMPUTED_VALUE"""),67.19)</f>
        <v>67.19</v>
      </c>
      <c r="C71" s="6">
        <f>IFERROR(__xludf.DUMMYFUNCTION("""COMPUTED_VALUE"""),69.06)</f>
        <v>69.06</v>
      </c>
      <c r="D71" s="6">
        <f>IFERROR(__xludf.DUMMYFUNCTION("""COMPUTED_VALUE"""),63.82)</f>
        <v>63.82</v>
      </c>
      <c r="E71" s="6">
        <f>IFERROR(__xludf.DUMMYFUNCTION("""COMPUTED_VALUE"""),66.77)</f>
        <v>66.77</v>
      </c>
      <c r="F71" s="6">
        <f>IFERROR(__xludf.DUMMYFUNCTION("""COMPUTED_VALUE"""),1.45576239E8)</f>
        <v>145576239</v>
      </c>
    </row>
    <row r="72">
      <c r="A72" s="7">
        <f>IFERROR(__xludf.DUMMYFUNCTION("""COMPUTED_VALUE"""),45695.64583333333)</f>
        <v>45695.64583</v>
      </c>
      <c r="B72" s="6">
        <f>IFERROR(__xludf.DUMMYFUNCTION("""COMPUTED_VALUE"""),63.21)</f>
        <v>63.21</v>
      </c>
      <c r="C72" s="6">
        <f>IFERROR(__xludf.DUMMYFUNCTION("""COMPUTED_VALUE"""),67.2)</f>
        <v>67.2</v>
      </c>
      <c r="D72" s="6">
        <f>IFERROR(__xludf.DUMMYFUNCTION("""COMPUTED_VALUE"""),60.62)</f>
        <v>60.62</v>
      </c>
      <c r="E72" s="6">
        <f>IFERROR(__xludf.DUMMYFUNCTION("""COMPUTED_VALUE"""),66.66)</f>
        <v>66.66</v>
      </c>
      <c r="F72" s="6">
        <f>IFERROR(__xludf.DUMMYFUNCTION("""COMPUTED_VALUE"""),1.13733859E8)</f>
        <v>113733859</v>
      </c>
    </row>
    <row r="73">
      <c r="A73" s="7">
        <f>IFERROR(__xludf.DUMMYFUNCTION("""COMPUTED_VALUE"""),45702.64583333333)</f>
        <v>45702.64583</v>
      </c>
      <c r="B73" s="6">
        <f>IFERROR(__xludf.DUMMYFUNCTION("""COMPUTED_VALUE"""),66.85)</f>
        <v>66.85</v>
      </c>
      <c r="C73" s="6">
        <f>IFERROR(__xludf.DUMMYFUNCTION("""COMPUTED_VALUE"""),66.9)</f>
        <v>66.9</v>
      </c>
      <c r="D73" s="6">
        <f>IFERROR(__xludf.DUMMYFUNCTION("""COMPUTED_VALUE"""),60.14)</f>
        <v>60.14</v>
      </c>
      <c r="E73" s="6">
        <f>IFERROR(__xludf.DUMMYFUNCTION("""COMPUTED_VALUE"""),61.93)</f>
        <v>61.93</v>
      </c>
      <c r="F73" s="6">
        <f>IFERROR(__xludf.DUMMYFUNCTION("""COMPUTED_VALUE"""),9.3396298E7)</f>
        <v>93396298</v>
      </c>
    </row>
    <row r="74">
      <c r="A74" s="7">
        <f>IFERROR(__xludf.DUMMYFUNCTION("""COMPUTED_VALUE"""),45709.64583333333)</f>
        <v>45709.64583</v>
      </c>
      <c r="B74" s="6">
        <f>IFERROR(__xludf.DUMMYFUNCTION("""COMPUTED_VALUE"""),61.51)</f>
        <v>61.51</v>
      </c>
      <c r="C74" s="6">
        <f>IFERROR(__xludf.DUMMYFUNCTION("""COMPUTED_VALUE"""),68.14)</f>
        <v>68.14</v>
      </c>
      <c r="D74" s="6">
        <f>IFERROR(__xludf.DUMMYFUNCTION("""COMPUTED_VALUE"""),60.38)</f>
        <v>60.38</v>
      </c>
      <c r="E74" s="6">
        <f>IFERROR(__xludf.DUMMYFUNCTION("""COMPUTED_VALUE"""),67.73)</f>
        <v>67.73</v>
      </c>
      <c r="F74" s="6">
        <f>IFERROR(__xludf.DUMMYFUNCTION("""COMPUTED_VALUE"""),9.7342346E7)</f>
        <v>97342346</v>
      </c>
    </row>
    <row r="75">
      <c r="A75" s="7">
        <f>IFERROR(__xludf.DUMMYFUNCTION("""COMPUTED_VALUE"""),45716.64583333333)</f>
        <v>45716.64583</v>
      </c>
      <c r="B75" s="6">
        <f>IFERROR(__xludf.DUMMYFUNCTION("""COMPUTED_VALUE"""),67.0)</f>
        <v>67</v>
      </c>
      <c r="C75" s="6">
        <f>IFERROR(__xludf.DUMMYFUNCTION("""COMPUTED_VALUE"""),67.05)</f>
        <v>67.05</v>
      </c>
      <c r="D75" s="6">
        <f>IFERROR(__xludf.DUMMYFUNCTION("""COMPUTED_VALUE"""),61.84)</f>
        <v>61.84</v>
      </c>
      <c r="E75" s="6">
        <f>IFERROR(__xludf.DUMMYFUNCTION("""COMPUTED_VALUE"""),62.48)</f>
        <v>62.48</v>
      </c>
      <c r="F75" s="6">
        <f>IFERROR(__xludf.DUMMYFUNCTION("""COMPUTED_VALUE"""),6.8597311E7)</f>
        <v>68597311</v>
      </c>
    </row>
    <row r="76">
      <c r="A76" s="7">
        <f>IFERROR(__xludf.DUMMYFUNCTION("""COMPUTED_VALUE"""),45723.64583333333)</f>
        <v>45723.64583</v>
      </c>
      <c r="B76" s="6">
        <f>IFERROR(__xludf.DUMMYFUNCTION("""COMPUTED_VALUE"""),62.71)</f>
        <v>62.71</v>
      </c>
      <c r="C76" s="6">
        <f>IFERROR(__xludf.DUMMYFUNCTION("""COMPUTED_VALUE"""),68.18)</f>
        <v>68.18</v>
      </c>
      <c r="D76" s="6">
        <f>IFERROR(__xludf.DUMMYFUNCTION("""COMPUTED_VALUE"""),61.09)</f>
        <v>61.09</v>
      </c>
      <c r="E76" s="6">
        <f>IFERROR(__xludf.DUMMYFUNCTION("""COMPUTED_VALUE"""),67.13)</f>
        <v>67.13</v>
      </c>
      <c r="F76" s="6">
        <f>IFERROR(__xludf.DUMMYFUNCTION("""COMPUTED_VALUE"""),1.17775991E8)</f>
        <v>117775991</v>
      </c>
    </row>
    <row r="77">
      <c r="A77" s="7">
        <f>IFERROR(__xludf.DUMMYFUNCTION("""COMPUTED_VALUE"""),45729.64583333333)</f>
        <v>45729.64583</v>
      </c>
      <c r="B77" s="6">
        <f>IFERROR(__xludf.DUMMYFUNCTION("""COMPUTED_VALUE"""),67.8)</f>
        <v>67.8</v>
      </c>
      <c r="C77" s="6">
        <f>IFERROR(__xludf.DUMMYFUNCTION("""COMPUTED_VALUE"""),68.5)</f>
        <v>68.5</v>
      </c>
      <c r="D77" s="6">
        <f>IFERROR(__xludf.DUMMYFUNCTION("""COMPUTED_VALUE"""),63.26)</f>
        <v>63.26</v>
      </c>
      <c r="E77" s="6">
        <f>IFERROR(__xludf.DUMMYFUNCTION("""COMPUTED_VALUE"""),63.8)</f>
        <v>63.8</v>
      </c>
      <c r="F77" s="6">
        <f>IFERROR(__xludf.DUMMYFUNCTION("""COMPUTED_VALUE"""),8.7927771E7)</f>
        <v>87927771</v>
      </c>
    </row>
    <row r="78">
      <c r="A78" s="7">
        <f>IFERROR(__xludf.DUMMYFUNCTION("""COMPUTED_VALUE"""),45737.64583333333)</f>
        <v>45737.64583</v>
      </c>
      <c r="B78" s="6">
        <f>IFERROR(__xludf.DUMMYFUNCTION("""COMPUTED_VALUE"""),64.56)</f>
        <v>64.56</v>
      </c>
      <c r="C78" s="6">
        <f>IFERROR(__xludf.DUMMYFUNCTION("""COMPUTED_VALUE"""),70.3)</f>
        <v>70.3</v>
      </c>
      <c r="D78" s="6">
        <f>IFERROR(__xludf.DUMMYFUNCTION("""COMPUTED_VALUE"""),64.11)</f>
        <v>64.11</v>
      </c>
      <c r="E78" s="6">
        <f>IFERROR(__xludf.DUMMYFUNCTION("""COMPUTED_VALUE"""),67.51)</f>
        <v>67.51</v>
      </c>
      <c r="F78" s="6">
        <f>IFERROR(__xludf.DUMMYFUNCTION("""COMPUTED_VALUE"""),1.61382999E8)</f>
        <v>161382999</v>
      </c>
    </row>
    <row r="79">
      <c r="A79" s="7">
        <f>IFERROR(__xludf.DUMMYFUNCTION("""COMPUTED_VALUE"""),45744.64583333333)</f>
        <v>45744.64583</v>
      </c>
      <c r="B79" s="6">
        <f>IFERROR(__xludf.DUMMYFUNCTION("""COMPUTED_VALUE"""),68.2)</f>
        <v>68.2</v>
      </c>
      <c r="C79" s="6">
        <f>IFERROR(__xludf.DUMMYFUNCTION("""COMPUTED_VALUE"""),70.49)</f>
        <v>70.49</v>
      </c>
      <c r="D79" s="6">
        <f>IFERROR(__xludf.DUMMYFUNCTION("""COMPUTED_VALUE"""),67.0)</f>
        <v>67</v>
      </c>
      <c r="E79" s="6">
        <f>IFERROR(__xludf.DUMMYFUNCTION("""COMPUTED_VALUE"""),68.89)</f>
        <v>68.89</v>
      </c>
      <c r="F79" s="6">
        <f>IFERROR(__xludf.DUMMYFUNCTION("""COMPUTED_VALUE"""),1.21569309E8)</f>
        <v>121569309</v>
      </c>
    </row>
    <row r="80">
      <c r="A80" s="7">
        <f>IFERROR(__xludf.DUMMYFUNCTION("""COMPUTED_VALUE"""),45751.64583333333)</f>
        <v>45751.64583</v>
      </c>
      <c r="B80" s="6">
        <f>IFERROR(__xludf.DUMMYFUNCTION("""COMPUTED_VALUE"""),68.01)</f>
        <v>68.01</v>
      </c>
      <c r="C80" s="6">
        <f>IFERROR(__xludf.DUMMYFUNCTION("""COMPUTED_VALUE"""),70.98)</f>
        <v>70.98</v>
      </c>
      <c r="D80" s="6">
        <f>IFERROR(__xludf.DUMMYFUNCTION("""COMPUTED_VALUE"""),64.66)</f>
        <v>64.66</v>
      </c>
      <c r="E80" s="6">
        <f>IFERROR(__xludf.DUMMYFUNCTION("""COMPUTED_VALUE"""),65.02)</f>
        <v>65.02</v>
      </c>
      <c r="F80" s="6">
        <f>IFERROR(__xludf.DUMMYFUNCTION("""COMPUTED_VALUE"""),1.07804969E8)</f>
        <v>107804969</v>
      </c>
    </row>
    <row r="81">
      <c r="A81" s="7">
        <f>IFERROR(__xludf.DUMMYFUNCTION("""COMPUTED_VALUE"""),45758.64583333333)</f>
        <v>45758.64583</v>
      </c>
      <c r="B81" s="6">
        <f>IFERROR(__xludf.DUMMYFUNCTION("""COMPUTED_VALUE"""),59.99)</f>
        <v>59.99</v>
      </c>
      <c r="C81" s="6">
        <f>IFERROR(__xludf.DUMMYFUNCTION("""COMPUTED_VALUE"""),63.72)</f>
        <v>63.72</v>
      </c>
      <c r="D81" s="6">
        <f>IFERROR(__xludf.DUMMYFUNCTION("""COMPUTED_VALUE"""),59.53)</f>
        <v>59.53</v>
      </c>
      <c r="E81" s="6">
        <f>IFERROR(__xludf.DUMMYFUNCTION("""COMPUTED_VALUE"""),62.91)</f>
        <v>62.91</v>
      </c>
      <c r="F81" s="6">
        <f>IFERROR(__xludf.DUMMYFUNCTION("""COMPUTED_VALUE"""),1.31687701E8)</f>
        <v>131687701</v>
      </c>
    </row>
    <row r="82">
      <c r="A82" s="7">
        <f>IFERROR(__xludf.DUMMYFUNCTION("""COMPUTED_VALUE"""),45764.64583333333)</f>
        <v>45764.64583</v>
      </c>
      <c r="B82" s="6">
        <f>IFERROR(__xludf.DUMMYFUNCTION("""COMPUTED_VALUE"""),64.04)</f>
        <v>64.04</v>
      </c>
      <c r="C82" s="6">
        <f>IFERROR(__xludf.DUMMYFUNCTION("""COMPUTED_VALUE"""),66.39)</f>
        <v>66.39</v>
      </c>
      <c r="D82" s="6">
        <f>IFERROR(__xludf.DUMMYFUNCTION("""COMPUTED_VALUE"""),63.55)</f>
        <v>63.55</v>
      </c>
      <c r="E82" s="6">
        <f>IFERROR(__xludf.DUMMYFUNCTION("""COMPUTED_VALUE"""),65.87)</f>
        <v>65.87</v>
      </c>
      <c r="F82" s="6">
        <f>IFERROR(__xludf.DUMMYFUNCTION("""COMPUTED_VALUE"""),5.2035462E7)</f>
        <v>52035462</v>
      </c>
    </row>
    <row r="83">
      <c r="A83" s="7">
        <f>IFERROR(__xludf.DUMMYFUNCTION("""COMPUTED_VALUE"""),45772.64583333333)</f>
        <v>45772.64583</v>
      </c>
      <c r="B83" s="6">
        <f>IFERROR(__xludf.DUMMYFUNCTION("""COMPUTED_VALUE"""),66.45)</f>
        <v>66.45</v>
      </c>
      <c r="C83" s="6">
        <f>IFERROR(__xludf.DUMMYFUNCTION("""COMPUTED_VALUE"""),69.1)</f>
        <v>69.1</v>
      </c>
      <c r="D83" s="6">
        <f>IFERROR(__xludf.DUMMYFUNCTION("""COMPUTED_VALUE"""),64.3)</f>
        <v>64.3</v>
      </c>
      <c r="E83" s="6">
        <f>IFERROR(__xludf.DUMMYFUNCTION("""COMPUTED_VALUE"""),64.95)</f>
        <v>64.95</v>
      </c>
      <c r="F83" s="6">
        <f>IFERROR(__xludf.DUMMYFUNCTION("""COMPUTED_VALUE"""),1.3525516E8)</f>
        <v>135255160</v>
      </c>
    </row>
    <row r="84">
      <c r="A84" s="7">
        <f>IFERROR(__xludf.DUMMYFUNCTION("""COMPUTED_VALUE"""),45779.64583333333)</f>
        <v>45779.64583</v>
      </c>
      <c r="B84" s="6">
        <f>IFERROR(__xludf.DUMMYFUNCTION("""COMPUTED_VALUE"""),64.95)</f>
        <v>64.95</v>
      </c>
      <c r="C84" s="6">
        <f>IFERROR(__xludf.DUMMYFUNCTION("""COMPUTED_VALUE"""),67.24)</f>
        <v>67.24</v>
      </c>
      <c r="D84" s="6">
        <f>IFERROR(__xludf.DUMMYFUNCTION("""COMPUTED_VALUE"""),64.32)</f>
        <v>64.32</v>
      </c>
      <c r="E84" s="6">
        <f>IFERROR(__xludf.DUMMYFUNCTION("""COMPUTED_VALUE"""),65.24)</f>
        <v>65.24</v>
      </c>
      <c r="F84" s="6">
        <f>IFERROR(__xludf.DUMMYFUNCTION("""COMPUTED_VALUE"""),6.6497941E7)</f>
        <v>66497941</v>
      </c>
    </row>
    <row r="85">
      <c r="A85" s="7">
        <f>IFERROR(__xludf.DUMMYFUNCTION("""COMPUTED_VALUE"""),45786.64583333333)</f>
        <v>45786.64583</v>
      </c>
      <c r="B85" s="6">
        <f>IFERROR(__xludf.DUMMYFUNCTION("""COMPUTED_VALUE"""),65.8)</f>
        <v>65.8</v>
      </c>
      <c r="C85" s="6">
        <f>IFERROR(__xludf.DUMMYFUNCTION("""COMPUTED_VALUE"""),66.45)</f>
        <v>66.45</v>
      </c>
      <c r="D85" s="6">
        <f>IFERROR(__xludf.DUMMYFUNCTION("""COMPUTED_VALUE"""),62.0)</f>
        <v>62</v>
      </c>
      <c r="E85" s="6">
        <f>IFERROR(__xludf.DUMMYFUNCTION("""COMPUTED_VALUE"""),64.29)</f>
        <v>64.29</v>
      </c>
      <c r="F85" s="6">
        <f>IFERROR(__xludf.DUMMYFUNCTION("""COMPUTED_VALUE"""),8.3282304E7)</f>
        <v>83282304</v>
      </c>
    </row>
    <row r="86">
      <c r="A86" s="7">
        <f>IFERROR(__xludf.DUMMYFUNCTION("""COMPUTED_VALUE"""),45793.64583333333)</f>
        <v>45793.64583</v>
      </c>
      <c r="B86" s="6">
        <f>IFERROR(__xludf.DUMMYFUNCTION("""COMPUTED_VALUE"""),67.05)</f>
        <v>67.05</v>
      </c>
      <c r="C86" s="6">
        <f>IFERROR(__xludf.DUMMYFUNCTION("""COMPUTED_VALUE"""),70.85)</f>
        <v>70.85</v>
      </c>
      <c r="D86" s="6">
        <f>IFERROR(__xludf.DUMMYFUNCTION("""COMPUTED_VALUE"""),66.17)</f>
        <v>66.17</v>
      </c>
      <c r="E86" s="6">
        <f>IFERROR(__xludf.DUMMYFUNCTION("""COMPUTED_VALUE"""),70.27)</f>
        <v>70.27</v>
      </c>
      <c r="F86" s="6">
        <f>IFERROR(__xludf.DUMMYFUNCTION("""COMPUTED_VALUE"""),1.16990423E8)</f>
        <v>116990423</v>
      </c>
    </row>
    <row r="87">
      <c r="A87" s="7">
        <f>IFERROR(__xludf.DUMMYFUNCTION("""COMPUTED_VALUE"""),45800.64583333333)</f>
        <v>45800.64583</v>
      </c>
      <c r="B87" s="6">
        <f>IFERROR(__xludf.DUMMYFUNCTION("""COMPUTED_VALUE"""),70.27)</f>
        <v>70.27</v>
      </c>
      <c r="C87" s="6">
        <f>IFERROR(__xludf.DUMMYFUNCTION("""COMPUTED_VALUE"""),73.1)</f>
        <v>73.1</v>
      </c>
      <c r="D87" s="6">
        <f>IFERROR(__xludf.DUMMYFUNCTION("""COMPUTED_VALUE"""),69.06)</f>
        <v>69.06</v>
      </c>
      <c r="E87" s="6">
        <f>IFERROR(__xludf.DUMMYFUNCTION("""COMPUTED_VALUE"""),72.49)</f>
        <v>72.49</v>
      </c>
      <c r="F87" s="6">
        <f>IFERROR(__xludf.DUMMYFUNCTION("""COMPUTED_VALUE"""),1.20635552E8)</f>
        <v>120635552</v>
      </c>
    </row>
    <row r="88">
      <c r="A88" s="7">
        <f>IFERROR(__xludf.DUMMYFUNCTION("""COMPUTED_VALUE"""),45807.64583333333)</f>
        <v>45807.64583</v>
      </c>
      <c r="B88" s="6">
        <f>IFERROR(__xludf.DUMMYFUNCTION("""COMPUTED_VALUE"""),72.96)</f>
        <v>72.96</v>
      </c>
      <c r="C88" s="6">
        <f>IFERROR(__xludf.DUMMYFUNCTION("""COMPUTED_VALUE"""),73.69)</f>
        <v>73.69</v>
      </c>
      <c r="D88" s="6">
        <f>IFERROR(__xludf.DUMMYFUNCTION("""COMPUTED_VALUE"""),70.11)</f>
        <v>70.11</v>
      </c>
      <c r="E88" s="6">
        <f>IFERROR(__xludf.DUMMYFUNCTION("""COMPUTED_VALUE"""),71.17)</f>
        <v>71.17</v>
      </c>
      <c r="F88" s="6">
        <f>IFERROR(__xludf.DUMMYFUNCTION("""COMPUTED_VALUE"""),1.16834212E8)</f>
        <v>116834212</v>
      </c>
    </row>
    <row r="89">
      <c r="A89" s="7">
        <f>IFERROR(__xludf.DUMMYFUNCTION("""COMPUTED_VALUE"""),45814.64583333333)</f>
        <v>45814.64583</v>
      </c>
      <c r="B89" s="6">
        <f>IFERROR(__xludf.DUMMYFUNCTION("""COMPUTED_VALUE"""),71.1)</f>
        <v>71.1</v>
      </c>
      <c r="C89" s="6">
        <f>IFERROR(__xludf.DUMMYFUNCTION("""COMPUTED_VALUE"""),72.85)</f>
        <v>72.85</v>
      </c>
      <c r="D89" s="6">
        <f>IFERROR(__xludf.DUMMYFUNCTION("""COMPUTED_VALUE"""),69.05)</f>
        <v>69.05</v>
      </c>
      <c r="E89" s="6">
        <f>IFERROR(__xludf.DUMMYFUNCTION("""COMPUTED_VALUE"""),72.49)</f>
        <v>72.49</v>
      </c>
      <c r="F89" s="6">
        <f>IFERROR(__xludf.DUMMYFUNCTION("""COMPUTED_VALUE"""),1.08845006E8)</f>
        <v>108845006</v>
      </c>
    </row>
    <row r="90">
      <c r="A90" s="7">
        <f>IFERROR(__xludf.DUMMYFUNCTION("""COMPUTED_VALUE"""),45821.64583333333)</f>
        <v>45821.64583</v>
      </c>
      <c r="B90" s="6">
        <f>IFERROR(__xludf.DUMMYFUNCTION("""COMPUTED_VALUE"""),73.0)</f>
        <v>73</v>
      </c>
      <c r="C90" s="6">
        <f>IFERROR(__xludf.DUMMYFUNCTION("""COMPUTED_VALUE"""),75.17)</f>
        <v>75.17</v>
      </c>
      <c r="D90" s="6">
        <f>IFERROR(__xludf.DUMMYFUNCTION("""COMPUTED_VALUE"""),70.0)</f>
        <v>70</v>
      </c>
      <c r="E90" s="6">
        <f>IFERROR(__xludf.DUMMYFUNCTION("""COMPUTED_VALUE"""),70.37)</f>
        <v>70.37</v>
      </c>
      <c r="F90" s="6">
        <f>IFERROR(__xludf.DUMMYFUNCTION("""COMPUTED_VALUE"""),1.16577726E8)</f>
        <v>116577726</v>
      </c>
    </row>
    <row r="91">
      <c r="A91" s="7">
        <f>IFERROR(__xludf.DUMMYFUNCTION("""COMPUTED_VALUE"""),45828.64583333333)</f>
        <v>45828.64583</v>
      </c>
      <c r="B91" s="6">
        <f>IFERROR(__xludf.DUMMYFUNCTION("""COMPUTED_VALUE"""),70.2)</f>
        <v>70.2</v>
      </c>
      <c r="C91" s="6">
        <f>IFERROR(__xludf.DUMMYFUNCTION("""COMPUTED_VALUE"""),70.66)</f>
        <v>70.66</v>
      </c>
      <c r="D91" s="6">
        <f>IFERROR(__xludf.DUMMYFUNCTION("""COMPUTED_VALUE"""),66.8)</f>
        <v>66.8</v>
      </c>
      <c r="E91" s="6">
        <f>IFERROR(__xludf.DUMMYFUNCTION("""COMPUTED_VALUE"""),67.94)</f>
        <v>67.94</v>
      </c>
      <c r="F91" s="6">
        <f>IFERROR(__xludf.DUMMYFUNCTION("""COMPUTED_VALUE"""),8.9496387E7)</f>
        <v>89496387</v>
      </c>
    </row>
    <row r="92">
      <c r="A92" s="7">
        <f>IFERROR(__xludf.DUMMYFUNCTION("""COMPUTED_VALUE"""),45835.64583333333)</f>
        <v>45835.64583</v>
      </c>
      <c r="B92" s="6">
        <f>IFERROR(__xludf.DUMMYFUNCTION("""COMPUTED_VALUE"""),67.7)</f>
        <v>67.7</v>
      </c>
      <c r="C92" s="6">
        <f>IFERROR(__xludf.DUMMYFUNCTION("""COMPUTED_VALUE"""),72.43)</f>
        <v>72.43</v>
      </c>
      <c r="D92" s="6">
        <f>IFERROR(__xludf.DUMMYFUNCTION("""COMPUTED_VALUE"""),67.34)</f>
        <v>67.34</v>
      </c>
      <c r="E92" s="6">
        <f>IFERROR(__xludf.DUMMYFUNCTION("""COMPUTED_VALUE"""),69.91)</f>
        <v>69.91</v>
      </c>
      <c r="F92" s="6">
        <f>IFERROR(__xludf.DUMMYFUNCTION("""COMPUTED_VALUE"""),9.305097E7)</f>
        <v>93050970</v>
      </c>
    </row>
    <row r="93">
      <c r="A93" s="7">
        <f>IFERROR(__xludf.DUMMYFUNCTION("""COMPUTED_VALUE"""),45842.64583333333)</f>
        <v>45842.64583</v>
      </c>
      <c r="B93" s="6">
        <f>IFERROR(__xludf.DUMMYFUNCTION("""COMPUTED_VALUE"""),70.54)</f>
        <v>70.54</v>
      </c>
      <c r="C93" s="6">
        <f>IFERROR(__xludf.DUMMYFUNCTION("""COMPUTED_VALUE"""),70.59)</f>
        <v>70.59</v>
      </c>
      <c r="D93" s="6">
        <f>IFERROR(__xludf.DUMMYFUNCTION("""COMPUTED_VALUE"""),67.0)</f>
        <v>67</v>
      </c>
      <c r="E93" s="6">
        <f>IFERROR(__xludf.DUMMYFUNCTION("""COMPUTED_VALUE"""),68.78)</f>
        <v>68.78</v>
      </c>
      <c r="F93" s="6">
        <f>IFERROR(__xludf.DUMMYFUNCTION("""COMPUTED_VALUE"""),1.36001863E8)</f>
        <v>136001863</v>
      </c>
    </row>
    <row r="94">
      <c r="A94" s="7">
        <f>IFERROR(__xludf.DUMMYFUNCTION("""COMPUTED_VALUE"""),45849.64583333333)</f>
        <v>45849.64583</v>
      </c>
      <c r="B94" s="6">
        <f>IFERROR(__xludf.DUMMYFUNCTION("""COMPUTED_VALUE"""),68.95)</f>
        <v>68.95</v>
      </c>
      <c r="C94" s="6">
        <f>IFERROR(__xludf.DUMMYFUNCTION("""COMPUTED_VALUE"""),70.65)</f>
        <v>70.65</v>
      </c>
      <c r="D94" s="6">
        <f>IFERROR(__xludf.DUMMYFUNCTION("""COMPUTED_VALUE"""),67.15)</f>
        <v>67.15</v>
      </c>
      <c r="E94" s="6">
        <f>IFERROR(__xludf.DUMMYFUNCTION("""COMPUTED_VALUE"""),69.05)</f>
        <v>69.05</v>
      </c>
      <c r="F94" s="6">
        <f>IFERROR(__xludf.DUMMYFUNCTION("""COMPUTED_VALUE"""),9.2168672E7)</f>
        <v>92168672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IFERROR(__xludf.DUMMYFUNCTION("""COMPUTED_VALUE"""),69.0)</f>
        <v>69</v>
      </c>
      <c r="C95" s="6">
        <f>IFERROR(__xludf.DUMMYFUNCTION("""COMPUTED_VALUE"""),71.64)</f>
        <v>71.64</v>
      </c>
      <c r="D95" s="6">
        <f>IFERROR(__xludf.DUMMYFUNCTION("""COMPUTED_VALUE"""),67.75)</f>
        <v>67.75</v>
      </c>
      <c r="E95" s="6">
        <f>IFERROR(__xludf.DUMMYFUNCTION("""COMPUTED_VALUE"""),71.44)</f>
        <v>71.44</v>
      </c>
      <c r="F95" s="6">
        <f>IFERROR(__xludf.DUMMYFUNCTION("""COMPUTED_VALUE"""),1.70421204E8)</f>
        <v>170421204</v>
      </c>
    </row>
    <row r="96">
      <c r="A96" s="7">
        <f>IFERROR(__xludf.DUMMYFUNCTION("""COMPUTED_VALUE"""),45863.64583333333)</f>
        <v>45863.64583</v>
      </c>
      <c r="B96" s="6">
        <f>IFERROR(__xludf.DUMMYFUNCTION("""COMPUTED_VALUE"""),71.9)</f>
        <v>71.9</v>
      </c>
      <c r="C96" s="6">
        <f>IFERROR(__xludf.DUMMYFUNCTION("""COMPUTED_VALUE"""),73.6)</f>
        <v>73.6</v>
      </c>
      <c r="D96" s="6">
        <f>IFERROR(__xludf.DUMMYFUNCTION("""COMPUTED_VALUE"""),71.25)</f>
        <v>71.25</v>
      </c>
      <c r="E96" s="6">
        <f>IFERROR(__xludf.DUMMYFUNCTION("""COMPUTED_VALUE"""),71.65)</f>
        <v>71.65</v>
      </c>
      <c r="F96" s="6">
        <f>IFERROR(__xludf.DUMMYFUNCTION("""COMPUTED_VALUE"""),1.30571382E8)</f>
        <v>130571382</v>
      </c>
    </row>
    <row r="97">
      <c r="A97" s="7">
        <f>IFERROR(__xludf.DUMMYFUNCTION("""COMPUTED_VALUE"""),45870.64583333333)</f>
        <v>45870.64583</v>
      </c>
      <c r="B97" s="6">
        <f>IFERROR(__xludf.DUMMYFUNCTION("""COMPUTED_VALUE"""),71.69)</f>
        <v>71.69</v>
      </c>
      <c r="C97" s="6">
        <f>IFERROR(__xludf.DUMMYFUNCTION("""COMPUTED_VALUE"""),72.79)</f>
        <v>72.79</v>
      </c>
      <c r="D97" s="6">
        <f>IFERROR(__xludf.DUMMYFUNCTION("""COMPUTED_VALUE"""),70.3)</f>
        <v>70.3</v>
      </c>
      <c r="E97" s="6">
        <f>IFERROR(__xludf.DUMMYFUNCTION("""COMPUTED_VALUE"""),70.46)</f>
        <v>70.46</v>
      </c>
      <c r="F97" s="6">
        <f>IFERROR(__xludf.DUMMYFUNCTION("""COMPUTED_VALUE"""),6.7247705E7)</f>
        <v>67247705</v>
      </c>
    </row>
    <row r="98">
      <c r="A98" s="7">
        <f>IFERROR(__xludf.DUMMYFUNCTION("""COMPUTED_VALUE"""),45877.64583333333)</f>
        <v>45877.64583</v>
      </c>
      <c r="B98" s="6">
        <f>IFERROR(__xludf.DUMMYFUNCTION("""COMPUTED_VALUE"""),70.89)</f>
        <v>70.89</v>
      </c>
      <c r="C98" s="6">
        <f>IFERROR(__xludf.DUMMYFUNCTION("""COMPUTED_VALUE"""),72.98)</f>
        <v>72.98</v>
      </c>
      <c r="D98" s="6">
        <f>IFERROR(__xludf.DUMMYFUNCTION("""COMPUTED_VALUE"""),70.04)</f>
        <v>70.04</v>
      </c>
      <c r="E98" s="6">
        <f>IFERROR(__xludf.DUMMYFUNCTION("""COMPUTED_VALUE"""),71.07)</f>
        <v>71.07</v>
      </c>
      <c r="F98" s="6">
        <f>IFERROR(__xludf.DUMMYFUNCTION("""COMPUTED_VALUE"""),6.9192478E7)</f>
        <v>69192478</v>
      </c>
    </row>
    <row r="99">
      <c r="A99" s="7">
        <f>IFERROR(__xludf.DUMMYFUNCTION("""COMPUTED_VALUE"""),45883.64583333333)</f>
        <v>45883.64583</v>
      </c>
      <c r="B99" s="6">
        <f>IFERROR(__xludf.DUMMYFUNCTION("""COMPUTED_VALUE"""),71.2)</f>
        <v>71.2</v>
      </c>
      <c r="C99" s="6">
        <f>IFERROR(__xludf.DUMMYFUNCTION("""COMPUTED_VALUE"""),73.0)</f>
        <v>73</v>
      </c>
      <c r="D99" s="6">
        <f>IFERROR(__xludf.DUMMYFUNCTION("""COMPUTED_VALUE"""),69.0)</f>
        <v>69</v>
      </c>
      <c r="E99" s="6">
        <f>IFERROR(__xludf.DUMMYFUNCTION("""COMPUTED_VALUE"""),69.4)</f>
        <v>69.4</v>
      </c>
      <c r="F99" s="6">
        <f>IFERROR(__xludf.DUMMYFUNCTION("""COMPUTED_VALUE"""),8.5479647E7)</f>
        <v>85479647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IFERROR(__xludf.DUMMYFUNCTION("""COMPUTED_VALUE"""),70.22)</f>
        <v>70.22</v>
      </c>
      <c r="C100" s="6">
        <f>IFERROR(__xludf.DUMMYFUNCTION("""COMPUTED_VALUE"""),72.72)</f>
        <v>72.72</v>
      </c>
      <c r="D100" s="6">
        <f>IFERROR(__xludf.DUMMYFUNCTION("""COMPUTED_VALUE"""),69.3)</f>
        <v>69.3</v>
      </c>
      <c r="E100" s="6">
        <f>IFERROR(__xludf.DUMMYFUNCTION("""COMPUTED_VALUE"""),70.16)</f>
        <v>70.16</v>
      </c>
      <c r="F100" s="6">
        <f>IFERROR(__xludf.DUMMYFUNCTION("""COMPUTED_VALUE"""),8.6497229E7)</f>
        <v>86497229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IFERROR(__xludf.DUMMYFUNCTION("""COMPUTED_VALUE"""),70.8)</f>
        <v>70.8</v>
      </c>
      <c r="C101" s="6">
        <f>IFERROR(__xludf.DUMMYFUNCTION("""COMPUTED_VALUE"""),71.3)</f>
        <v>71.3</v>
      </c>
      <c r="D101" s="6">
        <f>IFERROR(__xludf.DUMMYFUNCTION("""COMPUTED_VALUE"""),69.47)</f>
        <v>69.47</v>
      </c>
      <c r="E101" s="6">
        <f>IFERROR(__xludf.DUMMYFUNCTION("""COMPUTED_VALUE"""),69.88)</f>
        <v>69.88</v>
      </c>
      <c r="F101" s="6">
        <f>IFERROR(__xludf.DUMMYFUNCTION("""COMPUTED_VALUE"""),1.75654308E8)</f>
        <v>175654308</v>
      </c>
    </row>
  </sheetData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IFERROR(__xludf.DUMMYFUNCTION("GOOGLEFINANCE(""NSE:NTPC"",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IFERROR(__xludf.DUMMYFUNCTION("""COMPUTED_VALUE"""),217.9)</f>
        <v>217.9</v>
      </c>
      <c r="C2" s="6">
        <f>IFERROR(__xludf.DUMMYFUNCTION("""COMPUTED_VALUE"""),231.65)</f>
        <v>231.65</v>
      </c>
      <c r="D2" s="6">
        <f>IFERROR(__xludf.DUMMYFUNCTION("""COMPUTED_VALUE"""),216.15)</f>
        <v>216.15</v>
      </c>
      <c r="E2" s="6">
        <f>IFERROR(__xludf.DUMMYFUNCTION("""COMPUTED_VALUE"""),230.7)</f>
        <v>230.7</v>
      </c>
      <c r="F2" s="6">
        <f>IFERROR(__xludf.DUMMYFUNCTION("""COMPUTED_VALUE"""),6.7534772E7)</f>
        <v>67534772</v>
      </c>
    </row>
    <row r="3">
      <c r="A3" s="7">
        <f>IFERROR(__xludf.DUMMYFUNCTION("""COMPUTED_VALUE"""),45177.64583333333)</f>
        <v>45177.64583</v>
      </c>
      <c r="B3" s="6">
        <f>IFERROR(__xludf.DUMMYFUNCTION("""COMPUTED_VALUE"""),233.7)</f>
        <v>233.7</v>
      </c>
      <c r="C3" s="6">
        <f>IFERROR(__xludf.DUMMYFUNCTION("""COMPUTED_VALUE"""),243.6)</f>
        <v>243.6</v>
      </c>
      <c r="D3" s="6">
        <f>IFERROR(__xludf.DUMMYFUNCTION("""COMPUTED_VALUE"""),228.4)</f>
        <v>228.4</v>
      </c>
      <c r="E3" s="6">
        <f>IFERROR(__xludf.DUMMYFUNCTION("""COMPUTED_VALUE"""),240.25)</f>
        <v>240.25</v>
      </c>
      <c r="F3" s="6">
        <f>IFERROR(__xludf.DUMMYFUNCTION("""COMPUTED_VALUE"""),1.09662665E8)</f>
        <v>109662665</v>
      </c>
    </row>
    <row r="4">
      <c r="A4" s="7">
        <f>IFERROR(__xludf.DUMMYFUNCTION("""COMPUTED_VALUE"""),45184.64583333333)</f>
        <v>45184.64583</v>
      </c>
      <c r="B4" s="6">
        <f>IFERROR(__xludf.DUMMYFUNCTION("""COMPUTED_VALUE"""),243.6)</f>
        <v>243.6</v>
      </c>
      <c r="C4" s="6">
        <f>IFERROR(__xludf.DUMMYFUNCTION("""COMPUTED_VALUE"""),244.95)</f>
        <v>244.95</v>
      </c>
      <c r="D4" s="6">
        <f>IFERROR(__xludf.DUMMYFUNCTION("""COMPUTED_VALUE"""),233.15)</f>
        <v>233.15</v>
      </c>
      <c r="E4" s="6">
        <f>IFERROR(__xludf.DUMMYFUNCTION("""COMPUTED_VALUE"""),236.2)</f>
        <v>236.2</v>
      </c>
      <c r="F4" s="6">
        <f>IFERROR(__xludf.DUMMYFUNCTION("""COMPUTED_VALUE"""),7.4486469E7)</f>
        <v>74486469</v>
      </c>
    </row>
    <row r="5">
      <c r="A5" s="7">
        <f>IFERROR(__xludf.DUMMYFUNCTION("""COMPUTED_VALUE"""),45191.64583333333)</f>
        <v>45191.64583</v>
      </c>
      <c r="B5" s="6">
        <f>IFERROR(__xludf.DUMMYFUNCTION("""COMPUTED_VALUE"""),237.0)</f>
        <v>237</v>
      </c>
      <c r="C5" s="6">
        <f>IFERROR(__xludf.DUMMYFUNCTION("""COMPUTED_VALUE"""),246.0)</f>
        <v>246</v>
      </c>
      <c r="D5" s="6">
        <f>IFERROR(__xludf.DUMMYFUNCTION("""COMPUTED_VALUE"""),236.0)</f>
        <v>236</v>
      </c>
      <c r="E5" s="6">
        <f>IFERROR(__xludf.DUMMYFUNCTION("""COMPUTED_VALUE"""),237.95)</f>
        <v>237.95</v>
      </c>
      <c r="F5" s="6">
        <f>IFERROR(__xludf.DUMMYFUNCTION("""COMPUTED_VALUE"""),4.7444145E7)</f>
        <v>47444145</v>
      </c>
    </row>
    <row r="6">
      <c r="A6" s="7">
        <f>IFERROR(__xludf.DUMMYFUNCTION("""COMPUTED_VALUE"""),45198.64583333333)</f>
        <v>45198.64583</v>
      </c>
      <c r="B6" s="6">
        <f>IFERROR(__xludf.DUMMYFUNCTION("""COMPUTED_VALUE"""),239.15)</f>
        <v>239.15</v>
      </c>
      <c r="C6" s="6">
        <f>IFERROR(__xludf.DUMMYFUNCTION("""COMPUTED_VALUE"""),251.5)</f>
        <v>251.5</v>
      </c>
      <c r="D6" s="6">
        <f>IFERROR(__xludf.DUMMYFUNCTION("""COMPUTED_VALUE"""),235.65)</f>
        <v>235.65</v>
      </c>
      <c r="E6" s="6">
        <f>IFERROR(__xludf.DUMMYFUNCTION("""COMPUTED_VALUE"""),245.55)</f>
        <v>245.55</v>
      </c>
      <c r="F6" s="6">
        <f>IFERROR(__xludf.DUMMYFUNCTION("""COMPUTED_VALUE"""),9.6314537E7)</f>
        <v>96314537</v>
      </c>
    </row>
    <row r="7">
      <c r="A7" s="7">
        <f>IFERROR(__xludf.DUMMYFUNCTION("""COMPUTED_VALUE"""),45205.64583333333)</f>
        <v>45205.64583</v>
      </c>
      <c r="B7" s="6">
        <f>IFERROR(__xludf.DUMMYFUNCTION("""COMPUTED_VALUE"""),244.35)</f>
        <v>244.35</v>
      </c>
      <c r="C7" s="6">
        <f>IFERROR(__xludf.DUMMYFUNCTION("""COMPUTED_VALUE"""),246.7)</f>
        <v>246.7</v>
      </c>
      <c r="D7" s="6">
        <f>IFERROR(__xludf.DUMMYFUNCTION("""COMPUTED_VALUE"""),231.5)</f>
        <v>231.5</v>
      </c>
      <c r="E7" s="6">
        <f>IFERROR(__xludf.DUMMYFUNCTION("""COMPUTED_VALUE"""),235.55)</f>
        <v>235.55</v>
      </c>
      <c r="F7" s="6">
        <f>IFERROR(__xludf.DUMMYFUNCTION("""COMPUTED_VALUE"""),7.1606993E7)</f>
        <v>71606993</v>
      </c>
    </row>
    <row r="8">
      <c r="A8" s="7">
        <f>IFERROR(__xludf.DUMMYFUNCTION("""COMPUTED_VALUE"""),45212.64583333333)</f>
        <v>45212.64583</v>
      </c>
      <c r="B8" s="6">
        <f>IFERROR(__xludf.DUMMYFUNCTION("""COMPUTED_VALUE"""),233.85)</f>
        <v>233.85</v>
      </c>
      <c r="C8" s="6">
        <f>IFERROR(__xludf.DUMMYFUNCTION("""COMPUTED_VALUE"""),243.8)</f>
        <v>243.8</v>
      </c>
      <c r="D8" s="6">
        <f>IFERROR(__xludf.DUMMYFUNCTION("""COMPUTED_VALUE"""),230.5)</f>
        <v>230.5</v>
      </c>
      <c r="E8" s="6">
        <f>IFERROR(__xludf.DUMMYFUNCTION("""COMPUTED_VALUE"""),242.05)</f>
        <v>242.05</v>
      </c>
      <c r="F8" s="6">
        <f>IFERROR(__xludf.DUMMYFUNCTION("""COMPUTED_VALUE"""),6.168885E7)</f>
        <v>61688850</v>
      </c>
    </row>
    <row r="9">
      <c r="A9" s="7">
        <f>IFERROR(__xludf.DUMMYFUNCTION("""COMPUTED_VALUE"""),45219.64583333333)</f>
        <v>45219.64583</v>
      </c>
      <c r="B9" s="6">
        <f>IFERROR(__xludf.DUMMYFUNCTION("""COMPUTED_VALUE"""),242.85)</f>
        <v>242.85</v>
      </c>
      <c r="C9" s="6">
        <f>IFERROR(__xludf.DUMMYFUNCTION("""COMPUTED_VALUE"""),247.2)</f>
        <v>247.2</v>
      </c>
      <c r="D9" s="6">
        <f>IFERROR(__xludf.DUMMYFUNCTION("""COMPUTED_VALUE"""),237.55)</f>
        <v>237.55</v>
      </c>
      <c r="E9" s="6">
        <f>IFERROR(__xludf.DUMMYFUNCTION("""COMPUTED_VALUE"""),241.0)</f>
        <v>241</v>
      </c>
      <c r="F9" s="6">
        <f>IFERROR(__xludf.DUMMYFUNCTION("""COMPUTED_VALUE"""),4.4534608E7)</f>
        <v>44534608</v>
      </c>
    </row>
    <row r="10">
      <c r="A10" s="7">
        <f>IFERROR(__xludf.DUMMYFUNCTION("""COMPUTED_VALUE"""),45226.64583333333)</f>
        <v>45226.64583</v>
      </c>
      <c r="B10" s="6">
        <f>IFERROR(__xludf.DUMMYFUNCTION("""COMPUTED_VALUE"""),240.8)</f>
        <v>240.8</v>
      </c>
      <c r="C10" s="6">
        <f>IFERROR(__xludf.DUMMYFUNCTION("""COMPUTED_VALUE"""),240.9)</f>
        <v>240.9</v>
      </c>
      <c r="D10" s="6">
        <f>IFERROR(__xludf.DUMMYFUNCTION("""COMPUTED_VALUE"""),227.75)</f>
        <v>227.75</v>
      </c>
      <c r="E10" s="6">
        <f>IFERROR(__xludf.DUMMYFUNCTION("""COMPUTED_VALUE"""),236.6)</f>
        <v>236.6</v>
      </c>
      <c r="F10" s="6">
        <f>IFERROR(__xludf.DUMMYFUNCTION("""COMPUTED_VALUE"""),5.8937558E7)</f>
        <v>58937558</v>
      </c>
    </row>
    <row r="11">
      <c r="A11" s="7">
        <f>IFERROR(__xludf.DUMMYFUNCTION("""COMPUTED_VALUE"""),45233.64583333333)</f>
        <v>45233.64583</v>
      </c>
      <c r="B11" s="6">
        <f>IFERROR(__xludf.DUMMYFUNCTION("""COMPUTED_VALUE"""),237.45)</f>
        <v>237.45</v>
      </c>
      <c r="C11" s="6">
        <f>IFERROR(__xludf.DUMMYFUNCTION("""COMPUTED_VALUE"""),238.4)</f>
        <v>238.4</v>
      </c>
      <c r="D11" s="6">
        <f>IFERROR(__xludf.DUMMYFUNCTION("""COMPUTED_VALUE"""),230.65)</f>
        <v>230.65</v>
      </c>
      <c r="E11" s="6">
        <f>IFERROR(__xludf.DUMMYFUNCTION("""COMPUTED_VALUE"""),234.35)</f>
        <v>234.35</v>
      </c>
      <c r="F11" s="6">
        <f>IFERROR(__xludf.DUMMYFUNCTION("""COMPUTED_VALUE"""),3.4996841E7)</f>
        <v>34996841</v>
      </c>
    </row>
    <row r="12">
      <c r="A12" s="7">
        <f>IFERROR(__xludf.DUMMYFUNCTION("""COMPUTED_VALUE"""),45240.64583333333)</f>
        <v>45240.64583</v>
      </c>
      <c r="B12" s="6">
        <f>IFERROR(__xludf.DUMMYFUNCTION("""COMPUTED_VALUE"""),235.35)</f>
        <v>235.35</v>
      </c>
      <c r="C12" s="6">
        <f>IFERROR(__xludf.DUMMYFUNCTION("""COMPUTED_VALUE"""),243.25)</f>
        <v>243.25</v>
      </c>
      <c r="D12" s="6">
        <f>IFERROR(__xludf.DUMMYFUNCTION("""COMPUTED_VALUE"""),234.55)</f>
        <v>234.55</v>
      </c>
      <c r="E12" s="6">
        <f>IFERROR(__xludf.DUMMYFUNCTION("""COMPUTED_VALUE"""),242.75)</f>
        <v>242.75</v>
      </c>
      <c r="F12" s="6">
        <f>IFERROR(__xludf.DUMMYFUNCTION("""COMPUTED_VALUE"""),4.5695671E7)</f>
        <v>45695671</v>
      </c>
    </row>
    <row r="13">
      <c r="A13" s="7">
        <f>IFERROR(__xludf.DUMMYFUNCTION("""COMPUTED_VALUE"""),45247.64583333333)</f>
        <v>45247.64583</v>
      </c>
      <c r="B13" s="6">
        <f>IFERROR(__xludf.DUMMYFUNCTION("""COMPUTED_VALUE"""),245.95)</f>
        <v>245.95</v>
      </c>
      <c r="C13" s="6">
        <f>IFERROR(__xludf.DUMMYFUNCTION("""COMPUTED_VALUE"""),254.25)</f>
        <v>254.25</v>
      </c>
      <c r="D13" s="6">
        <f>IFERROR(__xludf.DUMMYFUNCTION("""COMPUTED_VALUE"""),243.0)</f>
        <v>243</v>
      </c>
      <c r="E13" s="6">
        <f>IFERROR(__xludf.DUMMYFUNCTION("""COMPUTED_VALUE"""),251.6)</f>
        <v>251.6</v>
      </c>
      <c r="F13" s="6">
        <f>IFERROR(__xludf.DUMMYFUNCTION("""COMPUTED_VALUE"""),6.0037853E7)</f>
        <v>60037853</v>
      </c>
    </row>
    <row r="14">
      <c r="A14" s="7">
        <f>IFERROR(__xludf.DUMMYFUNCTION("""COMPUTED_VALUE"""),45254.64583333333)</f>
        <v>45254.64583</v>
      </c>
      <c r="B14" s="6">
        <f>IFERROR(__xludf.DUMMYFUNCTION("""COMPUTED_VALUE"""),251.0)</f>
        <v>251</v>
      </c>
      <c r="C14" s="6">
        <f>IFERROR(__xludf.DUMMYFUNCTION("""COMPUTED_VALUE"""),256.85)</f>
        <v>256.85</v>
      </c>
      <c r="D14" s="6">
        <f>IFERROR(__xludf.DUMMYFUNCTION("""COMPUTED_VALUE"""),247.3)</f>
        <v>247.3</v>
      </c>
      <c r="E14" s="6">
        <f>IFERROR(__xludf.DUMMYFUNCTION("""COMPUTED_VALUE"""),253.9)</f>
        <v>253.9</v>
      </c>
      <c r="F14" s="6">
        <f>IFERROR(__xludf.DUMMYFUNCTION("""COMPUTED_VALUE"""),3.3760587E7)</f>
        <v>33760587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IFERROR(__xludf.DUMMYFUNCTION("""COMPUTED_VALUE"""),254.85)</f>
        <v>254.85</v>
      </c>
      <c r="C15" s="6">
        <f>IFERROR(__xludf.DUMMYFUNCTION("""COMPUTED_VALUE"""),275.45)</f>
        <v>275.45</v>
      </c>
      <c r="D15" s="6">
        <f>IFERROR(__xludf.DUMMYFUNCTION("""COMPUTED_VALUE"""),253.65)</f>
        <v>253.65</v>
      </c>
      <c r="E15" s="6">
        <f>IFERROR(__xludf.DUMMYFUNCTION("""COMPUTED_VALUE"""),268.95)</f>
        <v>268.95</v>
      </c>
      <c r="F15" s="6">
        <f>IFERROR(__xludf.DUMMYFUNCTION("""COMPUTED_VALUE"""),6.5597941E7)</f>
        <v>65597941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IFERROR(__xludf.DUMMYFUNCTION("""COMPUTED_VALUE"""),276.0)</f>
        <v>276</v>
      </c>
      <c r="C16" s="6">
        <f>IFERROR(__xludf.DUMMYFUNCTION("""COMPUTED_VALUE"""),291.9)</f>
        <v>291.9</v>
      </c>
      <c r="D16" s="6">
        <f>IFERROR(__xludf.DUMMYFUNCTION("""COMPUTED_VALUE"""),272.8)</f>
        <v>272.8</v>
      </c>
      <c r="E16" s="6">
        <f>IFERROR(__xludf.DUMMYFUNCTION("""COMPUTED_VALUE"""),285.05)</f>
        <v>285.05</v>
      </c>
      <c r="F16" s="6">
        <f>IFERROR(__xludf.DUMMYFUNCTION("""COMPUTED_VALUE"""),9.8711766E7)</f>
        <v>98711766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IFERROR(__xludf.DUMMYFUNCTION("""COMPUTED_VALUE"""),286.05)</f>
        <v>286.05</v>
      </c>
      <c r="C17" s="6">
        <f>IFERROR(__xludf.DUMMYFUNCTION("""COMPUTED_VALUE"""),307.0)</f>
        <v>307</v>
      </c>
      <c r="D17" s="6">
        <f>IFERROR(__xludf.DUMMYFUNCTION("""COMPUTED_VALUE"""),280.85)</f>
        <v>280.85</v>
      </c>
      <c r="E17" s="6">
        <f>IFERROR(__xludf.DUMMYFUNCTION("""COMPUTED_VALUE"""),305.1)</f>
        <v>305.1</v>
      </c>
      <c r="F17" s="6">
        <f>IFERROR(__xludf.DUMMYFUNCTION("""COMPUTED_VALUE"""),9.4086229E7)</f>
        <v>94086229</v>
      </c>
    </row>
    <row r="18">
      <c r="A18" s="7">
        <f>IFERROR(__xludf.DUMMYFUNCTION("""COMPUTED_VALUE"""),45282.64583333333)</f>
        <v>45282.64583</v>
      </c>
      <c r="B18" s="6">
        <f>IFERROR(__xludf.DUMMYFUNCTION("""COMPUTED_VALUE"""),306.0)</f>
        <v>306</v>
      </c>
      <c r="C18" s="6">
        <f>IFERROR(__xludf.DUMMYFUNCTION("""COMPUTED_VALUE"""),313.35)</f>
        <v>313.35</v>
      </c>
      <c r="D18" s="6">
        <f>IFERROR(__xludf.DUMMYFUNCTION("""COMPUTED_VALUE"""),293.2)</f>
        <v>293.2</v>
      </c>
      <c r="E18" s="6">
        <f>IFERROR(__xludf.DUMMYFUNCTION("""COMPUTED_VALUE"""),302.8)</f>
        <v>302.8</v>
      </c>
      <c r="F18" s="6">
        <f>IFERROR(__xludf.DUMMYFUNCTION("""COMPUTED_VALUE"""),8.5531636E7)</f>
        <v>85531636</v>
      </c>
    </row>
    <row r="19">
      <c r="A19" s="7">
        <f>IFERROR(__xludf.DUMMYFUNCTION("""COMPUTED_VALUE"""),45289.64583333333)</f>
        <v>45289.64583</v>
      </c>
      <c r="B19" s="6">
        <f>IFERROR(__xludf.DUMMYFUNCTION("""COMPUTED_VALUE"""),306.45)</f>
        <v>306.45</v>
      </c>
      <c r="C19" s="6">
        <f>IFERROR(__xludf.DUMMYFUNCTION("""COMPUTED_VALUE"""),315.5)</f>
        <v>315.5</v>
      </c>
      <c r="D19" s="6">
        <f>IFERROR(__xludf.DUMMYFUNCTION("""COMPUTED_VALUE"""),303.55)</f>
        <v>303.55</v>
      </c>
      <c r="E19" s="6">
        <f>IFERROR(__xludf.DUMMYFUNCTION("""COMPUTED_VALUE"""),311.15)</f>
        <v>311.15</v>
      </c>
      <c r="F19" s="6">
        <f>IFERROR(__xludf.DUMMYFUNCTION("""COMPUTED_VALUE"""),7.2822717E7)</f>
        <v>72822717</v>
      </c>
    </row>
    <row r="20">
      <c r="A20" s="7">
        <f>IFERROR(__xludf.DUMMYFUNCTION("""COMPUTED_VALUE"""),45296.64583333333)</f>
        <v>45296.64583</v>
      </c>
      <c r="B20" s="6">
        <f>IFERROR(__xludf.DUMMYFUNCTION("""COMPUTED_VALUE"""),312.0)</f>
        <v>312</v>
      </c>
      <c r="C20" s="6">
        <f>IFERROR(__xludf.DUMMYFUNCTION("""COMPUTED_VALUE"""),325.65)</f>
        <v>325.65</v>
      </c>
      <c r="D20" s="6">
        <f>IFERROR(__xludf.DUMMYFUNCTION("""COMPUTED_VALUE"""),302.05)</f>
        <v>302.05</v>
      </c>
      <c r="E20" s="6">
        <f>IFERROR(__xludf.DUMMYFUNCTION("""COMPUTED_VALUE"""),314.95)</f>
        <v>314.95</v>
      </c>
      <c r="F20" s="6">
        <f>IFERROR(__xludf.DUMMYFUNCTION("""COMPUTED_VALUE"""),1.03304908E8)</f>
        <v>103304908</v>
      </c>
    </row>
    <row r="21">
      <c r="A21" s="7">
        <f>IFERROR(__xludf.DUMMYFUNCTION("""COMPUTED_VALUE"""),45303.64583333333)</f>
        <v>45303.64583</v>
      </c>
      <c r="B21" s="6">
        <f>IFERROR(__xludf.DUMMYFUNCTION("""COMPUTED_VALUE"""),316.45)</f>
        <v>316.45</v>
      </c>
      <c r="C21" s="6">
        <f>IFERROR(__xludf.DUMMYFUNCTION("""COMPUTED_VALUE"""),321.45)</f>
        <v>321.45</v>
      </c>
      <c r="D21" s="6">
        <f>IFERROR(__xludf.DUMMYFUNCTION("""COMPUTED_VALUE"""),308.0)</f>
        <v>308</v>
      </c>
      <c r="E21" s="6">
        <f>IFERROR(__xludf.DUMMYFUNCTION("""COMPUTED_VALUE"""),312.65)</f>
        <v>312.65</v>
      </c>
      <c r="F21" s="6">
        <f>IFERROR(__xludf.DUMMYFUNCTION("""COMPUTED_VALUE"""),5.9478927E7)</f>
        <v>59478927</v>
      </c>
    </row>
    <row r="22">
      <c r="A22" s="7">
        <f>IFERROR(__xludf.DUMMYFUNCTION("""COMPUTED_VALUE"""),45316.64583333333)</f>
        <v>45316.64583</v>
      </c>
      <c r="B22" s="6">
        <f>IFERROR(__xludf.DUMMYFUNCTION("""COMPUTED_VALUE"""),313.45)</f>
        <v>313.45</v>
      </c>
      <c r="C22" s="6">
        <f>IFERROR(__xludf.DUMMYFUNCTION("""COMPUTED_VALUE"""),317.2)</f>
        <v>317.2</v>
      </c>
      <c r="D22" s="6">
        <f>IFERROR(__xludf.DUMMYFUNCTION("""COMPUTED_VALUE"""),298.25)</f>
        <v>298.25</v>
      </c>
      <c r="E22" s="6">
        <f>IFERROR(__xludf.DUMMYFUNCTION("""COMPUTED_VALUE"""),314.75)</f>
        <v>314.75</v>
      </c>
      <c r="F22" s="6">
        <f>IFERROR(__xludf.DUMMYFUNCTION("""COMPUTED_VALUE"""),7.8099812E7)</f>
        <v>78099812</v>
      </c>
    </row>
    <row r="23">
      <c r="A23" s="7">
        <f>IFERROR(__xludf.DUMMYFUNCTION("""COMPUTED_VALUE"""),45324.64583333333)</f>
        <v>45324.64583</v>
      </c>
      <c r="B23" s="6">
        <f>IFERROR(__xludf.DUMMYFUNCTION("""COMPUTED_VALUE"""),317.8)</f>
        <v>317.8</v>
      </c>
      <c r="C23" s="6">
        <f>IFERROR(__xludf.DUMMYFUNCTION("""COMPUTED_VALUE"""),333.7)</f>
        <v>333.7</v>
      </c>
      <c r="D23" s="6">
        <f>IFERROR(__xludf.DUMMYFUNCTION("""COMPUTED_VALUE"""),312.6)</f>
        <v>312.6</v>
      </c>
      <c r="E23" s="6">
        <f>IFERROR(__xludf.DUMMYFUNCTION("""COMPUTED_VALUE"""),332.5)</f>
        <v>332.5</v>
      </c>
      <c r="F23" s="6">
        <f>IFERROR(__xludf.DUMMYFUNCTION("""COMPUTED_VALUE"""),1.22912035E8)</f>
        <v>122912035</v>
      </c>
    </row>
    <row r="24">
      <c r="A24" s="7">
        <f>IFERROR(__xludf.DUMMYFUNCTION("""COMPUTED_VALUE"""),45331.64583333333)</f>
        <v>45331.64583</v>
      </c>
      <c r="B24" s="6">
        <f>IFERROR(__xludf.DUMMYFUNCTION("""COMPUTED_VALUE"""),338.0)</f>
        <v>338</v>
      </c>
      <c r="C24" s="6">
        <f>IFERROR(__xludf.DUMMYFUNCTION("""COMPUTED_VALUE"""),341.05)</f>
        <v>341.05</v>
      </c>
      <c r="D24" s="6">
        <f>IFERROR(__xludf.DUMMYFUNCTION("""COMPUTED_VALUE"""),319.6)</f>
        <v>319.6</v>
      </c>
      <c r="E24" s="6">
        <f>IFERROR(__xludf.DUMMYFUNCTION("""COMPUTED_VALUE"""),324.9)</f>
        <v>324.9</v>
      </c>
      <c r="F24" s="6">
        <f>IFERROR(__xludf.DUMMYFUNCTION("""COMPUTED_VALUE"""),7.5815888E7)</f>
        <v>75815888</v>
      </c>
    </row>
    <row r="25">
      <c r="A25" s="7">
        <f>IFERROR(__xludf.DUMMYFUNCTION("""COMPUTED_VALUE"""),45338.64583333333)</f>
        <v>45338.64583</v>
      </c>
      <c r="B25" s="6">
        <f>IFERROR(__xludf.DUMMYFUNCTION("""COMPUTED_VALUE"""),326.15)</f>
        <v>326.15</v>
      </c>
      <c r="C25" s="6">
        <f>IFERROR(__xludf.DUMMYFUNCTION("""COMPUTED_VALUE"""),342.95)</f>
        <v>342.95</v>
      </c>
      <c r="D25" s="6">
        <f>IFERROR(__xludf.DUMMYFUNCTION("""COMPUTED_VALUE"""),314.5)</f>
        <v>314.5</v>
      </c>
      <c r="E25" s="6">
        <f>IFERROR(__xludf.DUMMYFUNCTION("""COMPUTED_VALUE"""),337.75)</f>
        <v>337.75</v>
      </c>
      <c r="F25" s="6">
        <f>IFERROR(__xludf.DUMMYFUNCTION("""COMPUTED_VALUE"""),8.3507665E7)</f>
        <v>83507665</v>
      </c>
    </row>
    <row r="26">
      <c r="A26" s="7">
        <f>IFERROR(__xludf.DUMMYFUNCTION("""COMPUTED_VALUE"""),45345.64583333333)</f>
        <v>45345.64583</v>
      </c>
      <c r="B26" s="6">
        <f>IFERROR(__xludf.DUMMYFUNCTION("""COMPUTED_VALUE"""),340.4)</f>
        <v>340.4</v>
      </c>
      <c r="C26" s="6">
        <f>IFERROR(__xludf.DUMMYFUNCTION("""COMPUTED_VALUE"""),348.05)</f>
        <v>348.05</v>
      </c>
      <c r="D26" s="6">
        <f>IFERROR(__xludf.DUMMYFUNCTION("""COMPUTED_VALUE"""),330.6)</f>
        <v>330.6</v>
      </c>
      <c r="E26" s="6">
        <f>IFERROR(__xludf.DUMMYFUNCTION("""COMPUTED_VALUE"""),337.75)</f>
        <v>337.75</v>
      </c>
      <c r="F26" s="6">
        <f>IFERROR(__xludf.DUMMYFUNCTION("""COMPUTED_VALUE"""),7.1337633E7)</f>
        <v>71337633</v>
      </c>
    </row>
    <row r="27">
      <c r="A27" s="7">
        <f>IFERROR(__xludf.DUMMYFUNCTION("""COMPUTED_VALUE"""),45358.64583333333)</f>
        <v>45358.64583</v>
      </c>
      <c r="B27" s="6">
        <f>IFERROR(__xludf.DUMMYFUNCTION("""COMPUTED_VALUE"""),348.0)</f>
        <v>348</v>
      </c>
      <c r="C27" s="6">
        <f>IFERROR(__xludf.DUMMYFUNCTION("""COMPUTED_VALUE"""),359.95)</f>
        <v>359.95</v>
      </c>
      <c r="D27" s="6">
        <f>IFERROR(__xludf.DUMMYFUNCTION("""COMPUTED_VALUE"""),345.0)</f>
        <v>345</v>
      </c>
      <c r="E27" s="6">
        <f>IFERROR(__xludf.DUMMYFUNCTION("""COMPUTED_VALUE"""),352.2)</f>
        <v>352.2</v>
      </c>
      <c r="F27" s="6">
        <f>IFERROR(__xludf.DUMMYFUNCTION("""COMPUTED_VALUE"""),7.6287578E7)</f>
        <v>76287578</v>
      </c>
    </row>
    <row r="28">
      <c r="A28" s="7">
        <f>IFERROR(__xludf.DUMMYFUNCTION("""COMPUTED_VALUE"""),45366.64583333333)</f>
        <v>45366.64583</v>
      </c>
      <c r="B28" s="6">
        <f>IFERROR(__xludf.DUMMYFUNCTION("""COMPUTED_VALUE"""),352.25)</f>
        <v>352.25</v>
      </c>
      <c r="C28" s="6">
        <f>IFERROR(__xludf.DUMMYFUNCTION("""COMPUTED_VALUE"""),353.15)</f>
        <v>353.15</v>
      </c>
      <c r="D28" s="6">
        <f>IFERROR(__xludf.DUMMYFUNCTION("""COMPUTED_VALUE"""),305.75)</f>
        <v>305.75</v>
      </c>
      <c r="E28" s="6">
        <f>IFERROR(__xludf.DUMMYFUNCTION("""COMPUTED_VALUE"""),316.3)</f>
        <v>316.3</v>
      </c>
      <c r="F28" s="6">
        <f>IFERROR(__xludf.DUMMYFUNCTION("""COMPUTED_VALUE"""),1.08169195E8)</f>
        <v>108169195</v>
      </c>
    </row>
    <row r="29">
      <c r="A29" s="7">
        <f>IFERROR(__xludf.DUMMYFUNCTION("""COMPUTED_VALUE"""),45373.64583333333)</f>
        <v>45373.64583</v>
      </c>
      <c r="B29" s="6">
        <f>IFERROR(__xludf.DUMMYFUNCTION("""COMPUTED_VALUE"""),317.1)</f>
        <v>317.1</v>
      </c>
      <c r="C29" s="6">
        <f>IFERROR(__xludf.DUMMYFUNCTION("""COMPUTED_VALUE"""),327.25)</f>
        <v>327.25</v>
      </c>
      <c r="D29" s="6">
        <f>IFERROR(__xludf.DUMMYFUNCTION("""COMPUTED_VALUE"""),308.3)</f>
        <v>308.3</v>
      </c>
      <c r="E29" s="6">
        <f>IFERROR(__xludf.DUMMYFUNCTION("""COMPUTED_VALUE"""),324.75)</f>
        <v>324.75</v>
      </c>
      <c r="F29" s="6">
        <f>IFERROR(__xludf.DUMMYFUNCTION("""COMPUTED_VALUE"""),7.5184712E7)</f>
        <v>75184712</v>
      </c>
    </row>
    <row r="30">
      <c r="A30" s="7">
        <f>IFERROR(__xludf.DUMMYFUNCTION("""COMPUTED_VALUE"""),45379.64583333333)</f>
        <v>45379.64583</v>
      </c>
      <c r="B30" s="6">
        <f>IFERROR(__xludf.DUMMYFUNCTION("""COMPUTED_VALUE"""),320.1)</f>
        <v>320.1</v>
      </c>
      <c r="C30" s="6">
        <f>IFERROR(__xludf.DUMMYFUNCTION("""COMPUTED_VALUE"""),340.0)</f>
        <v>340</v>
      </c>
      <c r="D30" s="6">
        <f>IFERROR(__xludf.DUMMYFUNCTION("""COMPUTED_VALUE"""),320.1)</f>
        <v>320.1</v>
      </c>
      <c r="E30" s="6">
        <f>IFERROR(__xludf.DUMMYFUNCTION("""COMPUTED_VALUE"""),335.8)</f>
        <v>335.8</v>
      </c>
      <c r="F30" s="6">
        <f>IFERROR(__xludf.DUMMYFUNCTION("""COMPUTED_VALUE"""),7.6286516E7)</f>
        <v>76286516</v>
      </c>
    </row>
    <row r="31">
      <c r="A31" s="7">
        <f>IFERROR(__xludf.DUMMYFUNCTION("""COMPUTED_VALUE"""),45387.64583333333)</f>
        <v>45387.64583</v>
      </c>
      <c r="B31" s="6">
        <f>IFERROR(__xludf.DUMMYFUNCTION("""COMPUTED_VALUE"""),339.0)</f>
        <v>339</v>
      </c>
      <c r="C31" s="6">
        <f>IFERROR(__xludf.DUMMYFUNCTION("""COMPUTED_VALUE"""),362.7)</f>
        <v>362.7</v>
      </c>
      <c r="D31" s="6">
        <f>IFERROR(__xludf.DUMMYFUNCTION("""COMPUTED_VALUE"""),336.15)</f>
        <v>336.15</v>
      </c>
      <c r="E31" s="6">
        <f>IFERROR(__xludf.DUMMYFUNCTION("""COMPUTED_VALUE"""),354.55)</f>
        <v>354.55</v>
      </c>
      <c r="F31" s="6">
        <f>IFERROR(__xludf.DUMMYFUNCTION("""COMPUTED_VALUE"""),8.0176913E7)</f>
        <v>80176913</v>
      </c>
    </row>
    <row r="32">
      <c r="A32" s="7">
        <f>IFERROR(__xludf.DUMMYFUNCTION("""COMPUTED_VALUE"""),45394.64583333333)</f>
        <v>45394.64583</v>
      </c>
      <c r="B32" s="6">
        <f>IFERROR(__xludf.DUMMYFUNCTION("""COMPUTED_VALUE"""),355.6)</f>
        <v>355.6</v>
      </c>
      <c r="C32" s="6">
        <f>IFERROR(__xludf.DUMMYFUNCTION("""COMPUTED_VALUE"""),374.5)</f>
        <v>374.5</v>
      </c>
      <c r="D32" s="6">
        <f>IFERROR(__xludf.DUMMYFUNCTION("""COMPUTED_VALUE"""),353.25)</f>
        <v>353.25</v>
      </c>
      <c r="E32" s="6">
        <f>IFERROR(__xludf.DUMMYFUNCTION("""COMPUTED_VALUE"""),361.75)</f>
        <v>361.75</v>
      </c>
      <c r="F32" s="6">
        <f>IFERROR(__xludf.DUMMYFUNCTION("""COMPUTED_VALUE"""),6.526842E7)</f>
        <v>65268420</v>
      </c>
    </row>
    <row r="33">
      <c r="A33" s="7">
        <f>IFERROR(__xludf.DUMMYFUNCTION("""COMPUTED_VALUE"""),45401.64583333333)</f>
        <v>45401.64583</v>
      </c>
      <c r="B33" s="6">
        <f>IFERROR(__xludf.DUMMYFUNCTION("""COMPUTED_VALUE"""),355.5)</f>
        <v>355.5</v>
      </c>
      <c r="C33" s="6">
        <f>IFERROR(__xludf.DUMMYFUNCTION("""COMPUTED_VALUE"""),366.0)</f>
        <v>366</v>
      </c>
      <c r="D33" s="6">
        <f>IFERROR(__xludf.DUMMYFUNCTION("""COMPUTED_VALUE"""),343.0)</f>
        <v>343</v>
      </c>
      <c r="E33" s="6">
        <f>IFERROR(__xludf.DUMMYFUNCTION("""COMPUTED_VALUE"""),350.55)</f>
        <v>350.55</v>
      </c>
      <c r="F33" s="6">
        <f>IFERROR(__xludf.DUMMYFUNCTION("""COMPUTED_VALUE"""),6.929044E7)</f>
        <v>69290440</v>
      </c>
    </row>
    <row r="34">
      <c r="A34" s="7">
        <f>IFERROR(__xludf.DUMMYFUNCTION("""COMPUTED_VALUE"""),45408.64583333333)</f>
        <v>45408.64583</v>
      </c>
      <c r="B34" s="6">
        <f>IFERROR(__xludf.DUMMYFUNCTION("""COMPUTED_VALUE"""),355.0)</f>
        <v>355</v>
      </c>
      <c r="C34" s="6">
        <f>IFERROR(__xludf.DUMMYFUNCTION("""COMPUTED_VALUE"""),361.4)</f>
        <v>361.4</v>
      </c>
      <c r="D34" s="6">
        <f>IFERROR(__xludf.DUMMYFUNCTION("""COMPUTED_VALUE"""),341.9)</f>
        <v>341.9</v>
      </c>
      <c r="E34" s="6">
        <f>IFERROR(__xludf.DUMMYFUNCTION("""COMPUTED_VALUE"""),356.0)</f>
        <v>356</v>
      </c>
      <c r="F34" s="6">
        <f>IFERROR(__xludf.DUMMYFUNCTION("""COMPUTED_VALUE"""),9.4017932E7)</f>
        <v>94017932</v>
      </c>
    </row>
    <row r="35">
      <c r="A35" s="7">
        <f>IFERROR(__xludf.DUMMYFUNCTION("""COMPUTED_VALUE"""),45415.64583333333)</f>
        <v>45415.64583</v>
      </c>
      <c r="B35" s="6">
        <f>IFERROR(__xludf.DUMMYFUNCTION("""COMPUTED_VALUE"""),359.7)</f>
        <v>359.7</v>
      </c>
      <c r="C35" s="6">
        <f>IFERROR(__xludf.DUMMYFUNCTION("""COMPUTED_VALUE"""),380.4)</f>
        <v>380.4</v>
      </c>
      <c r="D35" s="6">
        <f>IFERROR(__xludf.DUMMYFUNCTION("""COMPUTED_VALUE"""),356.95)</f>
        <v>356.95</v>
      </c>
      <c r="E35" s="6">
        <f>IFERROR(__xludf.DUMMYFUNCTION("""COMPUTED_VALUE"""),364.95)</f>
        <v>364.95</v>
      </c>
      <c r="F35" s="6">
        <f>IFERROR(__xludf.DUMMYFUNCTION("""COMPUTED_VALUE"""),8.2955573E7)</f>
        <v>82955573</v>
      </c>
    </row>
    <row r="36">
      <c r="A36" s="7">
        <f>IFERROR(__xludf.DUMMYFUNCTION("""COMPUTED_VALUE"""),45422.64583333333)</f>
        <v>45422.64583</v>
      </c>
      <c r="B36" s="6">
        <f>IFERROR(__xludf.DUMMYFUNCTION("""COMPUTED_VALUE"""),367.8)</f>
        <v>367.8</v>
      </c>
      <c r="C36" s="6">
        <f>IFERROR(__xludf.DUMMYFUNCTION("""COMPUTED_VALUE"""),368.85)</f>
        <v>368.85</v>
      </c>
      <c r="D36" s="6">
        <f>IFERROR(__xludf.DUMMYFUNCTION("""COMPUTED_VALUE"""),344.85)</f>
        <v>344.85</v>
      </c>
      <c r="E36" s="6">
        <f>IFERROR(__xludf.DUMMYFUNCTION("""COMPUTED_VALUE"""),355.5)</f>
        <v>355.5</v>
      </c>
      <c r="F36" s="6">
        <f>IFERROR(__xludf.DUMMYFUNCTION("""COMPUTED_VALUE"""),5.5685865E7)</f>
        <v>55685865</v>
      </c>
    </row>
    <row r="37">
      <c r="A37" s="7">
        <f>IFERROR(__xludf.DUMMYFUNCTION("""COMPUTED_VALUE"""),45436.64583333333)</f>
        <v>45436.64583</v>
      </c>
      <c r="B37" s="6">
        <f>IFERROR(__xludf.DUMMYFUNCTION("""COMPUTED_VALUE"""),367.0)</f>
        <v>367</v>
      </c>
      <c r="C37" s="6">
        <f>IFERROR(__xludf.DUMMYFUNCTION("""COMPUTED_VALUE"""),378.15)</f>
        <v>378.15</v>
      </c>
      <c r="D37" s="6">
        <f>IFERROR(__xludf.DUMMYFUNCTION("""COMPUTED_VALUE"""),365.35)</f>
        <v>365.35</v>
      </c>
      <c r="E37" s="6">
        <f>IFERROR(__xludf.DUMMYFUNCTION("""COMPUTED_VALUE"""),374.95)</f>
        <v>374.95</v>
      </c>
      <c r="F37" s="6">
        <f>IFERROR(__xludf.DUMMYFUNCTION("""COMPUTED_VALUE"""),5.3629577E7)</f>
        <v>53629577</v>
      </c>
    </row>
    <row r="38">
      <c r="A38" s="7">
        <f>IFERROR(__xludf.DUMMYFUNCTION("""COMPUTED_VALUE"""),45443.64583333333)</f>
        <v>45443.64583</v>
      </c>
      <c r="B38" s="6">
        <f>IFERROR(__xludf.DUMMYFUNCTION("""COMPUTED_VALUE"""),379.95)</f>
        <v>379.95</v>
      </c>
      <c r="C38" s="6">
        <f>IFERROR(__xludf.DUMMYFUNCTION("""COMPUTED_VALUE"""),380.5)</f>
        <v>380.5</v>
      </c>
      <c r="D38" s="6">
        <f>IFERROR(__xludf.DUMMYFUNCTION("""COMPUTED_VALUE"""),355.5)</f>
        <v>355.5</v>
      </c>
      <c r="E38" s="6">
        <f>IFERROR(__xludf.DUMMYFUNCTION("""COMPUTED_VALUE"""),359.0)</f>
        <v>359</v>
      </c>
      <c r="F38" s="6">
        <f>IFERROR(__xludf.DUMMYFUNCTION("""COMPUTED_VALUE"""),9.5179383E7)</f>
        <v>95179383</v>
      </c>
    </row>
    <row r="39">
      <c r="A39" s="7">
        <f>IFERROR(__xludf.DUMMYFUNCTION("""COMPUTED_VALUE"""),45450.64583333333)</f>
        <v>45450.64583</v>
      </c>
      <c r="B39" s="6">
        <f>IFERROR(__xludf.DUMMYFUNCTION("""COMPUTED_VALUE"""),385.0)</f>
        <v>385</v>
      </c>
      <c r="C39" s="6">
        <f>IFERROR(__xludf.DUMMYFUNCTION("""COMPUTED_VALUE"""),393.2)</f>
        <v>393.2</v>
      </c>
      <c r="D39" s="6">
        <f>IFERROR(__xludf.DUMMYFUNCTION("""COMPUTED_VALUE"""),313.95)</f>
        <v>313.95</v>
      </c>
      <c r="E39" s="6">
        <f>IFERROR(__xludf.DUMMYFUNCTION("""COMPUTED_VALUE"""),360.6)</f>
        <v>360.6</v>
      </c>
      <c r="F39" s="6">
        <f>IFERROR(__xludf.DUMMYFUNCTION("""COMPUTED_VALUE"""),2.26823279E8)</f>
        <v>226823279</v>
      </c>
    </row>
    <row r="40">
      <c r="A40" s="7">
        <f>IFERROR(__xludf.DUMMYFUNCTION("""COMPUTED_VALUE"""),45457.64583333333)</f>
        <v>45457.64583</v>
      </c>
      <c r="B40" s="6">
        <f>IFERROR(__xludf.DUMMYFUNCTION("""COMPUTED_VALUE"""),365.0)</f>
        <v>365</v>
      </c>
      <c r="C40" s="6">
        <f>IFERROR(__xludf.DUMMYFUNCTION("""COMPUTED_VALUE"""),376.4)</f>
        <v>376.4</v>
      </c>
      <c r="D40" s="6">
        <f>IFERROR(__xludf.DUMMYFUNCTION("""COMPUTED_VALUE"""),361.8)</f>
        <v>361.8</v>
      </c>
      <c r="E40" s="6">
        <f>IFERROR(__xludf.DUMMYFUNCTION("""COMPUTED_VALUE"""),368.45)</f>
        <v>368.45</v>
      </c>
      <c r="F40" s="6">
        <f>IFERROR(__xludf.DUMMYFUNCTION("""COMPUTED_VALUE"""),6.0985025E7)</f>
        <v>60985025</v>
      </c>
    </row>
    <row r="41">
      <c r="A41" s="7">
        <f>IFERROR(__xludf.DUMMYFUNCTION("""COMPUTED_VALUE"""),45464.64583333333)</f>
        <v>45464.64583</v>
      </c>
      <c r="B41" s="6">
        <f>IFERROR(__xludf.DUMMYFUNCTION("""COMPUTED_VALUE"""),371.8)</f>
        <v>371.8</v>
      </c>
      <c r="C41" s="6">
        <f>IFERROR(__xludf.DUMMYFUNCTION("""COMPUTED_VALUE"""),372.25)</f>
        <v>372.25</v>
      </c>
      <c r="D41" s="6">
        <f>IFERROR(__xludf.DUMMYFUNCTION("""COMPUTED_VALUE"""),356.75)</f>
        <v>356.75</v>
      </c>
      <c r="E41" s="6">
        <f>IFERROR(__xludf.DUMMYFUNCTION("""COMPUTED_VALUE"""),359.8)</f>
        <v>359.8</v>
      </c>
      <c r="F41" s="6">
        <f>IFERROR(__xludf.DUMMYFUNCTION("""COMPUTED_VALUE"""),5.0836164E7)</f>
        <v>50836164</v>
      </c>
    </row>
    <row r="42">
      <c r="A42" s="7">
        <f>IFERROR(__xludf.DUMMYFUNCTION("""COMPUTED_VALUE"""),45471.64583333333)</f>
        <v>45471.64583</v>
      </c>
      <c r="B42" s="6">
        <f>IFERROR(__xludf.DUMMYFUNCTION("""COMPUTED_VALUE"""),357.6)</f>
        <v>357.6</v>
      </c>
      <c r="C42" s="6">
        <f>IFERROR(__xludf.DUMMYFUNCTION("""COMPUTED_VALUE"""),389.5)</f>
        <v>389.5</v>
      </c>
      <c r="D42" s="6">
        <f>IFERROR(__xludf.DUMMYFUNCTION("""COMPUTED_VALUE"""),355.55)</f>
        <v>355.55</v>
      </c>
      <c r="E42" s="6">
        <f>IFERROR(__xludf.DUMMYFUNCTION("""COMPUTED_VALUE"""),378.35)</f>
        <v>378.35</v>
      </c>
      <c r="F42" s="6">
        <f>IFERROR(__xludf.DUMMYFUNCTION("""COMPUTED_VALUE"""),1.20757688E8)</f>
        <v>120757688</v>
      </c>
    </row>
    <row r="43">
      <c r="A43" s="7">
        <f>IFERROR(__xludf.DUMMYFUNCTION("""COMPUTED_VALUE"""),45478.64583333333)</f>
        <v>45478.64583</v>
      </c>
      <c r="B43" s="6">
        <f>IFERROR(__xludf.DUMMYFUNCTION("""COMPUTED_VALUE"""),381.75)</f>
        <v>381.75</v>
      </c>
      <c r="C43" s="6">
        <f>IFERROR(__xludf.DUMMYFUNCTION("""COMPUTED_VALUE"""),382.0)</f>
        <v>382</v>
      </c>
      <c r="D43" s="6">
        <f>IFERROR(__xludf.DUMMYFUNCTION("""COMPUTED_VALUE"""),365.15)</f>
        <v>365.15</v>
      </c>
      <c r="E43" s="6">
        <f>IFERROR(__xludf.DUMMYFUNCTION("""COMPUTED_VALUE"""),379.8)</f>
        <v>379.8</v>
      </c>
      <c r="F43" s="6">
        <f>IFERROR(__xludf.DUMMYFUNCTION("""COMPUTED_VALUE"""),7.7162392E7)</f>
        <v>77162392</v>
      </c>
    </row>
    <row r="44">
      <c r="A44" s="7">
        <f>IFERROR(__xludf.DUMMYFUNCTION("""COMPUTED_VALUE"""),45485.64583333333)</f>
        <v>45485.64583</v>
      </c>
      <c r="B44" s="6">
        <f>IFERROR(__xludf.DUMMYFUNCTION("""COMPUTED_VALUE"""),380.85)</f>
        <v>380.85</v>
      </c>
      <c r="C44" s="6">
        <f>IFERROR(__xludf.DUMMYFUNCTION("""COMPUTED_VALUE"""),383.8)</f>
        <v>383.8</v>
      </c>
      <c r="D44" s="6">
        <f>IFERROR(__xludf.DUMMYFUNCTION("""COMPUTED_VALUE"""),370.0)</f>
        <v>370</v>
      </c>
      <c r="E44" s="6">
        <f>IFERROR(__xludf.DUMMYFUNCTION("""COMPUTED_VALUE"""),377.15)</f>
        <v>377.15</v>
      </c>
      <c r="F44" s="6">
        <f>IFERROR(__xludf.DUMMYFUNCTION("""COMPUTED_VALUE"""),7.099404E7)</f>
        <v>70994040</v>
      </c>
    </row>
    <row r="45">
      <c r="A45" s="7">
        <f>IFERROR(__xludf.DUMMYFUNCTION("""COMPUTED_VALUE"""),45492.64583333333)</f>
        <v>45492.64583</v>
      </c>
      <c r="B45" s="6">
        <f>IFERROR(__xludf.DUMMYFUNCTION("""COMPUTED_VALUE"""),378.6)</f>
        <v>378.6</v>
      </c>
      <c r="C45" s="6">
        <f>IFERROR(__xludf.DUMMYFUNCTION("""COMPUTED_VALUE"""),388.95)</f>
        <v>388.95</v>
      </c>
      <c r="D45" s="6">
        <f>IFERROR(__xludf.DUMMYFUNCTION("""COMPUTED_VALUE"""),362.9)</f>
        <v>362.9</v>
      </c>
      <c r="E45" s="6">
        <f>IFERROR(__xludf.DUMMYFUNCTION("""COMPUTED_VALUE"""),364.65)</f>
        <v>364.65</v>
      </c>
      <c r="F45" s="6">
        <f>IFERROR(__xludf.DUMMYFUNCTION("""COMPUTED_VALUE"""),6.3883426E7)</f>
        <v>63883426</v>
      </c>
    </row>
    <row r="46">
      <c r="A46" s="7">
        <f>IFERROR(__xludf.DUMMYFUNCTION("""COMPUTED_VALUE"""),45499.64583333333)</f>
        <v>45499.64583</v>
      </c>
      <c r="B46" s="6">
        <f>IFERROR(__xludf.DUMMYFUNCTION("""COMPUTED_VALUE"""),364.75)</f>
        <v>364.75</v>
      </c>
      <c r="C46" s="6">
        <f>IFERROR(__xludf.DUMMYFUNCTION("""COMPUTED_VALUE"""),399.5)</f>
        <v>399.5</v>
      </c>
      <c r="D46" s="6">
        <f>IFERROR(__xludf.DUMMYFUNCTION("""COMPUTED_VALUE"""),361.55)</f>
        <v>361.55</v>
      </c>
      <c r="E46" s="6">
        <f>IFERROR(__xludf.DUMMYFUNCTION("""COMPUTED_VALUE"""),396.3)</f>
        <v>396.3</v>
      </c>
      <c r="F46" s="6">
        <f>IFERROR(__xludf.DUMMYFUNCTION("""COMPUTED_VALUE"""),1.51820772E8)</f>
        <v>151820772</v>
      </c>
    </row>
    <row r="47">
      <c r="A47" s="7">
        <f>IFERROR(__xludf.DUMMYFUNCTION("""COMPUTED_VALUE"""),45506.64583333333)</f>
        <v>45506.64583</v>
      </c>
      <c r="B47" s="6">
        <f>IFERROR(__xludf.DUMMYFUNCTION("""COMPUTED_VALUE"""),404.0)</f>
        <v>404</v>
      </c>
      <c r="C47" s="6">
        <f>IFERROR(__xludf.DUMMYFUNCTION("""COMPUTED_VALUE"""),426.3)</f>
        <v>426.3</v>
      </c>
      <c r="D47" s="6">
        <f>IFERROR(__xludf.DUMMYFUNCTION("""COMPUTED_VALUE"""),392.65)</f>
        <v>392.65</v>
      </c>
      <c r="E47" s="6">
        <f>IFERROR(__xludf.DUMMYFUNCTION("""COMPUTED_VALUE"""),419.7)</f>
        <v>419.7</v>
      </c>
      <c r="F47" s="6">
        <f>IFERROR(__xludf.DUMMYFUNCTION("""COMPUTED_VALUE"""),1.44963109E8)</f>
        <v>144963109</v>
      </c>
    </row>
    <row r="48">
      <c r="A48" s="7">
        <f>IFERROR(__xludf.DUMMYFUNCTION("""COMPUTED_VALUE"""),45513.64583333333)</f>
        <v>45513.64583</v>
      </c>
      <c r="B48" s="6">
        <f>IFERROR(__xludf.DUMMYFUNCTION("""COMPUTED_VALUE"""),407.65)</f>
        <v>407.65</v>
      </c>
      <c r="C48" s="6">
        <f>IFERROR(__xludf.DUMMYFUNCTION("""COMPUTED_VALUE"""),424.95)</f>
        <v>424.95</v>
      </c>
      <c r="D48" s="6">
        <f>IFERROR(__xludf.DUMMYFUNCTION("""COMPUTED_VALUE"""),404.65)</f>
        <v>404.65</v>
      </c>
      <c r="E48" s="6">
        <f>IFERROR(__xludf.DUMMYFUNCTION("""COMPUTED_VALUE"""),410.65)</f>
        <v>410.65</v>
      </c>
      <c r="F48" s="6">
        <f>IFERROR(__xludf.DUMMYFUNCTION("""COMPUTED_VALUE"""),1.03678956E8)</f>
        <v>103678956</v>
      </c>
    </row>
    <row r="49">
      <c r="A49" s="7">
        <f>IFERROR(__xludf.DUMMYFUNCTION("""COMPUTED_VALUE"""),45520.64583333333)</f>
        <v>45520.64583</v>
      </c>
      <c r="B49" s="6">
        <f>IFERROR(__xludf.DUMMYFUNCTION("""COMPUTED_VALUE"""),410.0)</f>
        <v>410</v>
      </c>
      <c r="C49" s="6">
        <f>IFERROR(__xludf.DUMMYFUNCTION("""COMPUTED_VALUE"""),410.0)</f>
        <v>410</v>
      </c>
      <c r="D49" s="6">
        <f>IFERROR(__xludf.DUMMYFUNCTION("""COMPUTED_VALUE"""),393.3)</f>
        <v>393.3</v>
      </c>
      <c r="E49" s="6">
        <f>IFERROR(__xludf.DUMMYFUNCTION("""COMPUTED_VALUE"""),398.05)</f>
        <v>398.05</v>
      </c>
      <c r="F49" s="6">
        <f>IFERROR(__xludf.DUMMYFUNCTION("""COMPUTED_VALUE"""),6.0879163E7)</f>
        <v>60879163</v>
      </c>
    </row>
    <row r="50">
      <c r="A50" s="7">
        <f>IFERROR(__xludf.DUMMYFUNCTION("""COMPUTED_VALUE"""),45527.64583333333)</f>
        <v>45527.64583</v>
      </c>
      <c r="B50" s="6">
        <f>IFERROR(__xludf.DUMMYFUNCTION("""COMPUTED_VALUE"""),402.3)</f>
        <v>402.3</v>
      </c>
      <c r="C50" s="6">
        <f>IFERROR(__xludf.DUMMYFUNCTION("""COMPUTED_VALUE"""),410.05)</f>
        <v>410.05</v>
      </c>
      <c r="D50" s="6">
        <f>IFERROR(__xludf.DUMMYFUNCTION("""COMPUTED_VALUE"""),399.55)</f>
        <v>399.55</v>
      </c>
      <c r="E50" s="6">
        <f>IFERROR(__xludf.DUMMYFUNCTION("""COMPUTED_VALUE"""),401.95)</f>
        <v>401.95</v>
      </c>
      <c r="F50" s="6">
        <f>IFERROR(__xludf.DUMMYFUNCTION("""COMPUTED_VALUE"""),5.2488856E7)</f>
        <v>52488856</v>
      </c>
    </row>
    <row r="51">
      <c r="A51" s="7">
        <f>IFERROR(__xludf.DUMMYFUNCTION("""COMPUTED_VALUE"""),45534.64583333333)</f>
        <v>45534.64583</v>
      </c>
      <c r="B51" s="6">
        <f>IFERROR(__xludf.DUMMYFUNCTION("""COMPUTED_VALUE"""),402.45)</f>
        <v>402.45</v>
      </c>
      <c r="C51" s="6">
        <f>IFERROR(__xludf.DUMMYFUNCTION("""COMPUTED_VALUE"""),419.2)</f>
        <v>419.2</v>
      </c>
      <c r="D51" s="6">
        <f>IFERROR(__xludf.DUMMYFUNCTION("""COMPUTED_VALUE"""),401.95)</f>
        <v>401.95</v>
      </c>
      <c r="E51" s="6">
        <f>IFERROR(__xludf.DUMMYFUNCTION("""COMPUTED_VALUE"""),416.2)</f>
        <v>416.2</v>
      </c>
      <c r="F51" s="6">
        <f>IFERROR(__xludf.DUMMYFUNCTION("""COMPUTED_VALUE"""),7.9747263E7)</f>
        <v>79747263</v>
      </c>
    </row>
    <row r="52">
      <c r="A52" s="7">
        <f>IFERROR(__xludf.DUMMYFUNCTION("""COMPUTED_VALUE"""),45541.64583333333)</f>
        <v>45541.64583</v>
      </c>
      <c r="B52" s="6">
        <f>IFERROR(__xludf.DUMMYFUNCTION("""COMPUTED_VALUE"""),417.8)</f>
        <v>417.8</v>
      </c>
      <c r="C52" s="6">
        <f>IFERROR(__xludf.DUMMYFUNCTION("""COMPUTED_VALUE"""),419.1)</f>
        <v>419.1</v>
      </c>
      <c r="D52" s="6">
        <f>IFERROR(__xludf.DUMMYFUNCTION("""COMPUTED_VALUE"""),392.7)</f>
        <v>392.7</v>
      </c>
      <c r="E52" s="6">
        <f>IFERROR(__xludf.DUMMYFUNCTION("""COMPUTED_VALUE"""),394.8)</f>
        <v>394.8</v>
      </c>
      <c r="F52" s="6">
        <f>IFERROR(__xludf.DUMMYFUNCTION("""COMPUTED_VALUE"""),6.190032E7)</f>
        <v>61900320</v>
      </c>
    </row>
    <row r="53">
      <c r="A53" s="7">
        <f>IFERROR(__xludf.DUMMYFUNCTION("""COMPUTED_VALUE"""),45548.64583333333)</f>
        <v>45548.64583</v>
      </c>
      <c r="B53" s="6">
        <f>IFERROR(__xludf.DUMMYFUNCTION("""COMPUTED_VALUE"""),391.2)</f>
        <v>391.2</v>
      </c>
      <c r="C53" s="6">
        <f>IFERROR(__xludf.DUMMYFUNCTION("""COMPUTED_VALUE"""),407.3)</f>
        <v>407.3</v>
      </c>
      <c r="D53" s="6">
        <f>IFERROR(__xludf.DUMMYFUNCTION("""COMPUTED_VALUE"""),385.3)</f>
        <v>385.3</v>
      </c>
      <c r="E53" s="6">
        <f>IFERROR(__xludf.DUMMYFUNCTION("""COMPUTED_VALUE"""),401.4)</f>
        <v>401.4</v>
      </c>
      <c r="F53" s="6">
        <f>IFERROR(__xludf.DUMMYFUNCTION("""COMPUTED_VALUE"""),7.5683543E7)</f>
        <v>75683543</v>
      </c>
    </row>
    <row r="54">
      <c r="A54" s="7">
        <f>IFERROR(__xludf.DUMMYFUNCTION("""COMPUTED_VALUE"""),45555.64583333333)</f>
        <v>45555.64583</v>
      </c>
      <c r="B54" s="6">
        <f>IFERROR(__xludf.DUMMYFUNCTION("""COMPUTED_VALUE"""),402.45)</f>
        <v>402.45</v>
      </c>
      <c r="C54" s="6">
        <f>IFERROR(__xludf.DUMMYFUNCTION("""COMPUTED_VALUE"""),431.85)</f>
        <v>431.85</v>
      </c>
      <c r="D54" s="6">
        <f>IFERROR(__xludf.DUMMYFUNCTION("""COMPUTED_VALUE"""),402.0)</f>
        <v>402</v>
      </c>
      <c r="E54" s="6">
        <f>IFERROR(__xludf.DUMMYFUNCTION("""COMPUTED_VALUE"""),423.95)</f>
        <v>423.95</v>
      </c>
      <c r="F54" s="6">
        <f>IFERROR(__xludf.DUMMYFUNCTION("""COMPUTED_VALUE"""),1.3190199E8)</f>
        <v>131901990</v>
      </c>
    </row>
    <row r="55">
      <c r="A55" s="7">
        <f>IFERROR(__xludf.DUMMYFUNCTION("""COMPUTED_VALUE"""),45562.64583333333)</f>
        <v>45562.64583</v>
      </c>
      <c r="B55" s="6">
        <f>IFERROR(__xludf.DUMMYFUNCTION("""COMPUTED_VALUE"""),427.5)</f>
        <v>427.5</v>
      </c>
      <c r="C55" s="6">
        <f>IFERROR(__xludf.DUMMYFUNCTION("""COMPUTED_VALUE"""),442.5)</f>
        <v>442.5</v>
      </c>
      <c r="D55" s="6">
        <f>IFERROR(__xludf.DUMMYFUNCTION("""COMPUTED_VALUE"""),425.0)</f>
        <v>425</v>
      </c>
      <c r="E55" s="6">
        <f>IFERROR(__xludf.DUMMYFUNCTION("""COMPUTED_VALUE"""),436.9)</f>
        <v>436.9</v>
      </c>
      <c r="F55" s="6">
        <f>IFERROR(__xludf.DUMMYFUNCTION("""COMPUTED_VALUE"""),1.2005042E8)</f>
        <v>120050420</v>
      </c>
    </row>
    <row r="56">
      <c r="A56" s="7">
        <f>IFERROR(__xludf.DUMMYFUNCTION("""COMPUTED_VALUE"""),45569.64583333333)</f>
        <v>45569.64583</v>
      </c>
      <c r="B56" s="6">
        <f>IFERROR(__xludf.DUMMYFUNCTION("""COMPUTED_VALUE"""),436.9)</f>
        <v>436.9</v>
      </c>
      <c r="C56" s="6">
        <f>IFERROR(__xludf.DUMMYFUNCTION("""COMPUTED_VALUE"""),448.45)</f>
        <v>448.45</v>
      </c>
      <c r="D56" s="6">
        <f>IFERROR(__xludf.DUMMYFUNCTION("""COMPUTED_VALUE"""),426.3)</f>
        <v>426.3</v>
      </c>
      <c r="E56" s="6">
        <f>IFERROR(__xludf.DUMMYFUNCTION("""COMPUTED_VALUE"""),430.45)</f>
        <v>430.45</v>
      </c>
      <c r="F56" s="6">
        <f>IFERROR(__xludf.DUMMYFUNCTION("""COMPUTED_VALUE"""),6.8799301E7)</f>
        <v>68799301</v>
      </c>
    </row>
    <row r="57">
      <c r="A57" s="7">
        <f>IFERROR(__xludf.DUMMYFUNCTION("""COMPUTED_VALUE"""),45576.64583333333)</f>
        <v>45576.64583</v>
      </c>
      <c r="B57" s="6">
        <f>IFERROR(__xludf.DUMMYFUNCTION("""COMPUTED_VALUE"""),430.6)</f>
        <v>430.6</v>
      </c>
      <c r="C57" s="6">
        <f>IFERROR(__xludf.DUMMYFUNCTION("""COMPUTED_VALUE"""),433.0)</f>
        <v>433</v>
      </c>
      <c r="D57" s="6">
        <f>IFERROR(__xludf.DUMMYFUNCTION("""COMPUTED_VALUE"""),409.05)</f>
        <v>409.05</v>
      </c>
      <c r="E57" s="6">
        <f>IFERROR(__xludf.DUMMYFUNCTION("""COMPUTED_VALUE"""),422.5)</f>
        <v>422.5</v>
      </c>
      <c r="F57" s="6">
        <f>IFERROR(__xludf.DUMMYFUNCTION("""COMPUTED_VALUE"""),8.0558975E7)</f>
        <v>80558975</v>
      </c>
    </row>
    <row r="58">
      <c r="A58" s="7">
        <f>IFERROR(__xludf.DUMMYFUNCTION("""COMPUTED_VALUE"""),45583.64583333333)</f>
        <v>45583.64583</v>
      </c>
      <c r="B58" s="6">
        <f>IFERROR(__xludf.DUMMYFUNCTION("""COMPUTED_VALUE"""),424.6)</f>
        <v>424.6</v>
      </c>
      <c r="C58" s="6">
        <f>IFERROR(__xludf.DUMMYFUNCTION("""COMPUTED_VALUE"""),429.4)</f>
        <v>429.4</v>
      </c>
      <c r="D58" s="6">
        <f>IFERROR(__xludf.DUMMYFUNCTION("""COMPUTED_VALUE"""),414.45)</f>
        <v>414.45</v>
      </c>
      <c r="E58" s="6">
        <f>IFERROR(__xludf.DUMMYFUNCTION("""COMPUTED_VALUE"""),424.95)</f>
        <v>424.95</v>
      </c>
      <c r="F58" s="6">
        <f>IFERROR(__xludf.DUMMYFUNCTION("""COMPUTED_VALUE"""),4.4865939E7)</f>
        <v>44865939</v>
      </c>
    </row>
    <row r="59">
      <c r="A59" s="7">
        <f>IFERROR(__xludf.DUMMYFUNCTION("""COMPUTED_VALUE"""),45590.64583333333)</f>
        <v>45590.64583</v>
      </c>
      <c r="B59" s="6">
        <f>IFERROR(__xludf.DUMMYFUNCTION("""COMPUTED_VALUE"""),426.05)</f>
        <v>426.05</v>
      </c>
      <c r="C59" s="6">
        <f>IFERROR(__xludf.DUMMYFUNCTION("""COMPUTED_VALUE"""),428.75)</f>
        <v>428.75</v>
      </c>
      <c r="D59" s="6">
        <f>IFERROR(__xludf.DUMMYFUNCTION("""COMPUTED_VALUE"""),391.6)</f>
        <v>391.6</v>
      </c>
      <c r="E59" s="6">
        <f>IFERROR(__xludf.DUMMYFUNCTION("""COMPUTED_VALUE"""),398.9)</f>
        <v>398.9</v>
      </c>
      <c r="F59" s="6">
        <f>IFERROR(__xludf.DUMMYFUNCTION("""COMPUTED_VALUE"""),7.4947373E7)</f>
        <v>74947373</v>
      </c>
    </row>
    <row r="60">
      <c r="A60" s="7">
        <f>IFERROR(__xludf.DUMMYFUNCTION("""COMPUTED_VALUE"""),45604.64583333333)</f>
        <v>45604.64583</v>
      </c>
      <c r="B60" s="6">
        <f>IFERROR(__xludf.DUMMYFUNCTION("""COMPUTED_VALUE"""),413.85)</f>
        <v>413.85</v>
      </c>
      <c r="C60" s="6">
        <f>IFERROR(__xludf.DUMMYFUNCTION("""COMPUTED_VALUE"""),414.3)</f>
        <v>414.3</v>
      </c>
      <c r="D60" s="6">
        <f>IFERROR(__xludf.DUMMYFUNCTION("""COMPUTED_VALUE"""),393.7)</f>
        <v>393.7</v>
      </c>
      <c r="E60" s="6">
        <f>IFERROR(__xludf.DUMMYFUNCTION("""COMPUTED_VALUE"""),397.65)</f>
        <v>397.65</v>
      </c>
      <c r="F60" s="6">
        <f>IFERROR(__xludf.DUMMYFUNCTION("""COMPUTED_VALUE"""),4.5358278E7)</f>
        <v>45358278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IFERROR(__xludf.DUMMYFUNCTION("""COMPUTED_VALUE"""),398.15)</f>
        <v>398.15</v>
      </c>
      <c r="C61" s="6">
        <f>IFERROR(__xludf.DUMMYFUNCTION("""COMPUTED_VALUE"""),400.9)</f>
        <v>400.9</v>
      </c>
      <c r="D61" s="6">
        <f>IFERROR(__xludf.DUMMYFUNCTION("""COMPUTED_VALUE"""),371.35)</f>
        <v>371.35</v>
      </c>
      <c r="E61" s="6">
        <f>IFERROR(__xludf.DUMMYFUNCTION("""COMPUTED_VALUE"""),372.5)</f>
        <v>372.5</v>
      </c>
      <c r="F61" s="6">
        <f>IFERROR(__xludf.DUMMYFUNCTION("""COMPUTED_VALUE"""),5.8482218E7)</f>
        <v>58482218</v>
      </c>
    </row>
    <row r="62">
      <c r="A62" s="7">
        <f>IFERROR(__xludf.DUMMYFUNCTION("""COMPUTED_VALUE"""),45618.64583333333)</f>
        <v>45618.64583</v>
      </c>
      <c r="B62" s="6">
        <f>IFERROR(__xludf.DUMMYFUNCTION("""COMPUTED_VALUE"""),380.0)</f>
        <v>380</v>
      </c>
      <c r="C62" s="6">
        <f>IFERROR(__xludf.DUMMYFUNCTION("""COMPUTED_VALUE"""),380.0)</f>
        <v>380</v>
      </c>
      <c r="D62" s="6">
        <f>IFERROR(__xludf.DUMMYFUNCTION("""COMPUTED_VALUE"""),354.8)</f>
        <v>354.8</v>
      </c>
      <c r="E62" s="6">
        <f>IFERROR(__xludf.DUMMYFUNCTION("""COMPUTED_VALUE"""),365.45)</f>
        <v>365.45</v>
      </c>
      <c r="F62" s="6">
        <f>IFERROR(__xludf.DUMMYFUNCTION("""COMPUTED_VALUE"""),7.0664134E7)</f>
        <v>70664134</v>
      </c>
    </row>
    <row r="63">
      <c r="A63" s="7">
        <f>IFERROR(__xludf.DUMMYFUNCTION("""COMPUTED_VALUE"""),45625.64583333333)</f>
        <v>45625.64583</v>
      </c>
      <c r="B63" s="6">
        <f>IFERROR(__xludf.DUMMYFUNCTION("""COMPUTED_VALUE"""),374.0)</f>
        <v>374</v>
      </c>
      <c r="C63" s="6">
        <f>IFERROR(__xludf.DUMMYFUNCTION("""COMPUTED_VALUE"""),377.2)</f>
        <v>377.2</v>
      </c>
      <c r="D63" s="6">
        <f>IFERROR(__xludf.DUMMYFUNCTION("""COMPUTED_VALUE"""),359.6)</f>
        <v>359.6</v>
      </c>
      <c r="E63" s="6">
        <f>IFERROR(__xludf.DUMMYFUNCTION("""COMPUTED_VALUE"""),363.65)</f>
        <v>363.65</v>
      </c>
      <c r="F63" s="6">
        <f>IFERROR(__xludf.DUMMYFUNCTION("""COMPUTED_VALUE"""),7.4954226E7)</f>
        <v>74954226</v>
      </c>
    </row>
    <row r="64">
      <c r="A64" s="7">
        <f>IFERROR(__xludf.DUMMYFUNCTION("""COMPUTED_VALUE"""),45632.64583333333)</f>
        <v>45632.64583</v>
      </c>
      <c r="B64" s="6">
        <f>IFERROR(__xludf.DUMMYFUNCTION("""COMPUTED_VALUE"""),363.65)</f>
        <v>363.65</v>
      </c>
      <c r="C64" s="6">
        <f>IFERROR(__xludf.DUMMYFUNCTION("""COMPUTED_VALUE"""),375.15)</f>
        <v>375.15</v>
      </c>
      <c r="D64" s="6">
        <f>IFERROR(__xludf.DUMMYFUNCTION("""COMPUTED_VALUE"""),357.0)</f>
        <v>357</v>
      </c>
      <c r="E64" s="6">
        <f>IFERROR(__xludf.DUMMYFUNCTION("""COMPUTED_VALUE"""),369.5)</f>
        <v>369.5</v>
      </c>
      <c r="F64" s="6">
        <f>IFERROR(__xludf.DUMMYFUNCTION("""COMPUTED_VALUE"""),7.7246433E7)</f>
        <v>77246433</v>
      </c>
    </row>
    <row r="65">
      <c r="A65" s="7">
        <f>IFERROR(__xludf.DUMMYFUNCTION("""COMPUTED_VALUE"""),45639.64583333333)</f>
        <v>45639.64583</v>
      </c>
      <c r="B65" s="6">
        <f>IFERROR(__xludf.DUMMYFUNCTION("""COMPUTED_VALUE"""),370.9)</f>
        <v>370.9</v>
      </c>
      <c r="C65" s="6">
        <f>IFERROR(__xludf.DUMMYFUNCTION("""COMPUTED_VALUE"""),373.3)</f>
        <v>373.3</v>
      </c>
      <c r="D65" s="6">
        <f>IFERROR(__xludf.DUMMYFUNCTION("""COMPUTED_VALUE"""),348.05)</f>
        <v>348.05</v>
      </c>
      <c r="E65" s="6">
        <f>IFERROR(__xludf.DUMMYFUNCTION("""COMPUTED_VALUE"""),357.15)</f>
        <v>357.15</v>
      </c>
      <c r="F65" s="6">
        <f>IFERROR(__xludf.DUMMYFUNCTION("""COMPUTED_VALUE"""),6.5598522E7)</f>
        <v>65598522</v>
      </c>
    </row>
    <row r="66">
      <c r="A66" s="7">
        <f>IFERROR(__xludf.DUMMYFUNCTION("""COMPUTED_VALUE"""),45646.64583333333)</f>
        <v>45646.64583</v>
      </c>
      <c r="B66" s="6">
        <f>IFERROR(__xludf.DUMMYFUNCTION("""COMPUTED_VALUE"""),357.15)</f>
        <v>357.15</v>
      </c>
      <c r="C66" s="6">
        <f>IFERROR(__xludf.DUMMYFUNCTION("""COMPUTED_VALUE"""),358.9)</f>
        <v>358.9</v>
      </c>
      <c r="D66" s="6">
        <f>IFERROR(__xludf.DUMMYFUNCTION("""COMPUTED_VALUE"""),331.0)</f>
        <v>331</v>
      </c>
      <c r="E66" s="6">
        <f>IFERROR(__xludf.DUMMYFUNCTION("""COMPUTED_VALUE"""),333.25)</f>
        <v>333.25</v>
      </c>
      <c r="F66" s="6">
        <f>IFERROR(__xludf.DUMMYFUNCTION("""COMPUTED_VALUE"""),7.7375637E7)</f>
        <v>77375637</v>
      </c>
    </row>
    <row r="67">
      <c r="A67" s="7">
        <f>IFERROR(__xludf.DUMMYFUNCTION("""COMPUTED_VALUE"""),45653.64583333333)</f>
        <v>45653.64583</v>
      </c>
      <c r="B67" s="6">
        <f>IFERROR(__xludf.DUMMYFUNCTION("""COMPUTED_VALUE"""),335.9)</f>
        <v>335.9</v>
      </c>
      <c r="C67" s="6">
        <f>IFERROR(__xludf.DUMMYFUNCTION("""COMPUTED_VALUE"""),340.0)</f>
        <v>340</v>
      </c>
      <c r="D67" s="6">
        <f>IFERROR(__xludf.DUMMYFUNCTION("""COMPUTED_VALUE"""),330.5)</f>
        <v>330.5</v>
      </c>
      <c r="E67" s="6">
        <f>IFERROR(__xludf.DUMMYFUNCTION("""COMPUTED_VALUE"""),335.0)</f>
        <v>335</v>
      </c>
      <c r="F67" s="6">
        <f>IFERROR(__xludf.DUMMYFUNCTION("""COMPUTED_VALUE"""),3.4760458E7)</f>
        <v>34760458</v>
      </c>
    </row>
    <row r="68">
      <c r="A68" s="7">
        <f>IFERROR(__xludf.DUMMYFUNCTION("""COMPUTED_VALUE"""),45660.64583333333)</f>
        <v>45660.64583</v>
      </c>
      <c r="B68" s="6">
        <f>IFERROR(__xludf.DUMMYFUNCTION("""COMPUTED_VALUE"""),335.0)</f>
        <v>335</v>
      </c>
      <c r="C68" s="6">
        <f>IFERROR(__xludf.DUMMYFUNCTION("""COMPUTED_VALUE"""),344.5)</f>
        <v>344.5</v>
      </c>
      <c r="D68" s="6">
        <f>IFERROR(__xludf.DUMMYFUNCTION("""COMPUTED_VALUE"""),326.2)</f>
        <v>326.2</v>
      </c>
      <c r="E68" s="6">
        <f>IFERROR(__xludf.DUMMYFUNCTION("""COMPUTED_VALUE"""),339.85)</f>
        <v>339.85</v>
      </c>
      <c r="F68" s="6">
        <f>IFERROR(__xludf.DUMMYFUNCTION("""COMPUTED_VALUE"""),7.8315529E7)</f>
        <v>78315529</v>
      </c>
    </row>
    <row r="69">
      <c r="A69" s="7">
        <f>IFERROR(__xludf.DUMMYFUNCTION("""COMPUTED_VALUE"""),45667.64583333333)</f>
        <v>45667.64583</v>
      </c>
      <c r="B69" s="6">
        <f>IFERROR(__xludf.DUMMYFUNCTION("""COMPUTED_VALUE"""),341.7)</f>
        <v>341.7</v>
      </c>
      <c r="C69" s="6">
        <f>IFERROR(__xludf.DUMMYFUNCTION("""COMPUTED_VALUE"""),341.7)</f>
        <v>341.7</v>
      </c>
      <c r="D69" s="6">
        <f>IFERROR(__xludf.DUMMYFUNCTION("""COMPUTED_VALUE"""),307.6)</f>
        <v>307.6</v>
      </c>
      <c r="E69" s="6">
        <f>IFERROR(__xludf.DUMMYFUNCTION("""COMPUTED_VALUE"""),308.25)</f>
        <v>308.25</v>
      </c>
      <c r="F69" s="6">
        <f>IFERROR(__xludf.DUMMYFUNCTION("""COMPUTED_VALUE"""),6.1767696E7)</f>
        <v>61767696</v>
      </c>
    </row>
    <row r="70">
      <c r="A70" s="7">
        <f>IFERROR(__xludf.DUMMYFUNCTION("""COMPUTED_VALUE"""),45674.64583333333)</f>
        <v>45674.64583</v>
      </c>
      <c r="B70" s="6">
        <f>IFERROR(__xludf.DUMMYFUNCTION("""COMPUTED_VALUE"""),301.1)</f>
        <v>301.1</v>
      </c>
      <c r="C70" s="6">
        <f>IFERROR(__xludf.DUMMYFUNCTION("""COMPUTED_VALUE"""),329.0)</f>
        <v>329</v>
      </c>
      <c r="D70" s="6">
        <f>IFERROR(__xludf.DUMMYFUNCTION("""COMPUTED_VALUE"""),296.85)</f>
        <v>296.85</v>
      </c>
      <c r="E70" s="6">
        <f>IFERROR(__xludf.DUMMYFUNCTION("""COMPUTED_VALUE"""),326.15)</f>
        <v>326.15</v>
      </c>
      <c r="F70" s="6">
        <f>IFERROR(__xludf.DUMMYFUNCTION("""COMPUTED_VALUE"""),9.6252268E7)</f>
        <v>96252268</v>
      </c>
    </row>
    <row r="71">
      <c r="A71" s="7">
        <f>IFERROR(__xludf.DUMMYFUNCTION("""COMPUTED_VALUE"""),45681.64583333333)</f>
        <v>45681.64583</v>
      </c>
      <c r="B71" s="6">
        <f>IFERROR(__xludf.DUMMYFUNCTION("""COMPUTED_VALUE"""),326.2)</f>
        <v>326.2</v>
      </c>
      <c r="C71" s="6">
        <f>IFERROR(__xludf.DUMMYFUNCTION("""COMPUTED_VALUE"""),338.25)</f>
        <v>338.25</v>
      </c>
      <c r="D71" s="6">
        <f>IFERROR(__xludf.DUMMYFUNCTION("""COMPUTED_VALUE"""),317.35)</f>
        <v>317.35</v>
      </c>
      <c r="E71" s="6">
        <f>IFERROR(__xludf.DUMMYFUNCTION("""COMPUTED_VALUE"""),323.65)</f>
        <v>323.65</v>
      </c>
      <c r="F71" s="6">
        <f>IFERROR(__xludf.DUMMYFUNCTION("""COMPUTED_VALUE"""),5.5804602E7)</f>
        <v>55804602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IFERROR(__xludf.DUMMYFUNCTION("""COMPUTED_VALUE"""),310.1)</f>
        <v>310.1</v>
      </c>
      <c r="C72" s="6">
        <f>IFERROR(__xludf.DUMMYFUNCTION("""COMPUTED_VALUE"""),323.05)</f>
        <v>323.05</v>
      </c>
      <c r="D72" s="6">
        <f>IFERROR(__xludf.DUMMYFUNCTION("""COMPUTED_VALUE"""),304.0)</f>
        <v>304</v>
      </c>
      <c r="E72" s="6">
        <f>IFERROR(__xludf.DUMMYFUNCTION("""COMPUTED_VALUE"""),316.95)</f>
        <v>316.95</v>
      </c>
      <c r="F72" s="6">
        <f>IFERROR(__xludf.DUMMYFUNCTION("""COMPUTED_VALUE"""),6.2570892E7)</f>
        <v>62570892</v>
      </c>
    </row>
    <row r="73">
      <c r="A73" s="7">
        <f>IFERROR(__xludf.DUMMYFUNCTION("""COMPUTED_VALUE"""),45702.64583333333)</f>
        <v>45702.64583</v>
      </c>
      <c r="B73" s="6">
        <f>IFERROR(__xludf.DUMMYFUNCTION("""COMPUTED_VALUE"""),316.5)</f>
        <v>316.5</v>
      </c>
      <c r="C73" s="6">
        <f>IFERROR(__xludf.DUMMYFUNCTION("""COMPUTED_VALUE"""),316.85)</f>
        <v>316.85</v>
      </c>
      <c r="D73" s="6">
        <f>IFERROR(__xludf.DUMMYFUNCTION("""COMPUTED_VALUE"""),298.35)</f>
        <v>298.35</v>
      </c>
      <c r="E73" s="6">
        <f>IFERROR(__xludf.DUMMYFUNCTION("""COMPUTED_VALUE"""),300.35)</f>
        <v>300.35</v>
      </c>
      <c r="F73" s="6">
        <f>IFERROR(__xludf.DUMMYFUNCTION("""COMPUTED_VALUE"""),4.4197199E7)</f>
        <v>44197199</v>
      </c>
    </row>
    <row r="74">
      <c r="A74" s="7">
        <f>IFERROR(__xludf.DUMMYFUNCTION("""COMPUTED_VALUE"""),45709.64583333333)</f>
        <v>45709.64583</v>
      </c>
      <c r="B74" s="6">
        <f>IFERROR(__xludf.DUMMYFUNCTION("""COMPUTED_VALUE"""),297.5)</f>
        <v>297.5</v>
      </c>
      <c r="C74" s="6">
        <f>IFERROR(__xludf.DUMMYFUNCTION("""COMPUTED_VALUE"""),329.75)</f>
        <v>329.75</v>
      </c>
      <c r="D74" s="6">
        <f>IFERROR(__xludf.DUMMYFUNCTION("""COMPUTED_VALUE"""),292.8)</f>
        <v>292.8</v>
      </c>
      <c r="E74" s="6">
        <f>IFERROR(__xludf.DUMMYFUNCTION("""COMPUTED_VALUE"""),326.25)</f>
        <v>326.25</v>
      </c>
      <c r="F74" s="6">
        <f>IFERROR(__xludf.DUMMYFUNCTION("""COMPUTED_VALUE"""),6.9034845E7)</f>
        <v>69034845</v>
      </c>
    </row>
    <row r="75">
      <c r="A75" s="7">
        <f>IFERROR(__xludf.DUMMYFUNCTION("""COMPUTED_VALUE"""),45716.64583333333)</f>
        <v>45716.64583</v>
      </c>
      <c r="B75" s="6">
        <f>IFERROR(__xludf.DUMMYFUNCTION("""COMPUTED_VALUE"""),322.1)</f>
        <v>322.1</v>
      </c>
      <c r="C75" s="6">
        <f>IFERROR(__xludf.DUMMYFUNCTION("""COMPUTED_VALUE"""),325.4)</f>
        <v>325.4</v>
      </c>
      <c r="D75" s="6">
        <f>IFERROR(__xludf.DUMMYFUNCTION("""COMPUTED_VALUE"""),306.55)</f>
        <v>306.55</v>
      </c>
      <c r="E75" s="6">
        <f>IFERROR(__xludf.DUMMYFUNCTION("""COMPUTED_VALUE"""),311.45)</f>
        <v>311.45</v>
      </c>
      <c r="F75" s="6">
        <f>IFERROR(__xludf.DUMMYFUNCTION("""COMPUTED_VALUE"""),4.5149771E7)</f>
        <v>45149771</v>
      </c>
    </row>
    <row r="76">
      <c r="A76" s="7">
        <f>IFERROR(__xludf.DUMMYFUNCTION("""COMPUTED_VALUE"""),45723.64583333333)</f>
        <v>45723.64583</v>
      </c>
      <c r="B76" s="6">
        <f>IFERROR(__xludf.DUMMYFUNCTION("""COMPUTED_VALUE"""),311.3)</f>
        <v>311.3</v>
      </c>
      <c r="C76" s="6">
        <f>IFERROR(__xludf.DUMMYFUNCTION("""COMPUTED_VALUE"""),338.8)</f>
        <v>338.8</v>
      </c>
      <c r="D76" s="6">
        <f>IFERROR(__xludf.DUMMYFUNCTION("""COMPUTED_VALUE"""),307.7)</f>
        <v>307.7</v>
      </c>
      <c r="E76" s="6">
        <f>IFERROR(__xludf.DUMMYFUNCTION("""COMPUTED_VALUE"""),329.55)</f>
        <v>329.55</v>
      </c>
      <c r="F76" s="6">
        <f>IFERROR(__xludf.DUMMYFUNCTION("""COMPUTED_VALUE"""),6.4295535E7)</f>
        <v>64295535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IFERROR(__xludf.DUMMYFUNCTION("""COMPUTED_VALUE"""),329.45)</f>
        <v>329.45</v>
      </c>
      <c r="C77" s="6">
        <f>IFERROR(__xludf.DUMMYFUNCTION("""COMPUTED_VALUE"""),334.95)</f>
        <v>334.95</v>
      </c>
      <c r="D77" s="6">
        <f>IFERROR(__xludf.DUMMYFUNCTION("""COMPUTED_VALUE"""),323.7)</f>
        <v>323.7</v>
      </c>
      <c r="E77" s="6">
        <f>IFERROR(__xludf.DUMMYFUNCTION("""COMPUTED_VALUE"""),331.9)</f>
        <v>331.9</v>
      </c>
      <c r="F77" s="6">
        <f>IFERROR(__xludf.DUMMYFUNCTION("""COMPUTED_VALUE"""),3.7632465E7)</f>
        <v>37632465</v>
      </c>
    </row>
    <row r="78">
      <c r="A78" s="7">
        <f>IFERROR(__xludf.DUMMYFUNCTION("""COMPUTED_VALUE"""),45737.64583333333)</f>
        <v>45737.64583</v>
      </c>
      <c r="B78" s="6">
        <f>IFERROR(__xludf.DUMMYFUNCTION("""COMPUTED_VALUE"""),332.95)</f>
        <v>332.95</v>
      </c>
      <c r="C78" s="6">
        <f>IFERROR(__xludf.DUMMYFUNCTION("""COMPUTED_VALUE"""),353.85)</f>
        <v>353.85</v>
      </c>
      <c r="D78" s="6">
        <f>IFERROR(__xludf.DUMMYFUNCTION("""COMPUTED_VALUE"""),330.5)</f>
        <v>330.5</v>
      </c>
      <c r="E78" s="6">
        <f>IFERROR(__xludf.DUMMYFUNCTION("""COMPUTED_VALUE"""),351.3)</f>
        <v>351.3</v>
      </c>
      <c r="F78" s="6">
        <f>IFERROR(__xludf.DUMMYFUNCTION("""COMPUTED_VALUE"""),9.492517E7)</f>
        <v>94925170</v>
      </c>
    </row>
    <row r="79">
      <c r="A79" s="7">
        <f>IFERROR(__xludf.DUMMYFUNCTION("""COMPUTED_VALUE"""),45744.64583333333)</f>
        <v>45744.64583</v>
      </c>
      <c r="B79" s="6">
        <f>IFERROR(__xludf.DUMMYFUNCTION("""COMPUTED_VALUE"""),357.0)</f>
        <v>357</v>
      </c>
      <c r="C79" s="6">
        <f>IFERROR(__xludf.DUMMYFUNCTION("""COMPUTED_VALUE"""),371.45)</f>
        <v>371.45</v>
      </c>
      <c r="D79" s="6">
        <f>IFERROR(__xludf.DUMMYFUNCTION("""COMPUTED_VALUE"""),351.0)</f>
        <v>351</v>
      </c>
      <c r="E79" s="6">
        <f>IFERROR(__xludf.DUMMYFUNCTION("""COMPUTED_VALUE"""),357.6)</f>
        <v>357.6</v>
      </c>
      <c r="F79" s="6">
        <f>IFERROR(__xludf.DUMMYFUNCTION("""COMPUTED_VALUE"""),1.15703264E8)</f>
        <v>115703264</v>
      </c>
    </row>
    <row r="80">
      <c r="A80" s="7">
        <f>IFERROR(__xludf.DUMMYFUNCTION("""COMPUTED_VALUE"""),45751.64583333333)</f>
        <v>45751.64583</v>
      </c>
      <c r="B80" s="6">
        <f>IFERROR(__xludf.DUMMYFUNCTION("""COMPUTED_VALUE"""),352.35)</f>
        <v>352.35</v>
      </c>
      <c r="C80" s="6">
        <f>IFERROR(__xludf.DUMMYFUNCTION("""COMPUTED_VALUE"""),362.9)</f>
        <v>362.9</v>
      </c>
      <c r="D80" s="6">
        <f>IFERROR(__xludf.DUMMYFUNCTION("""COMPUTED_VALUE"""),347.05)</f>
        <v>347.05</v>
      </c>
      <c r="E80" s="6">
        <f>IFERROR(__xludf.DUMMYFUNCTION("""COMPUTED_VALUE"""),350.4)</f>
        <v>350.4</v>
      </c>
      <c r="F80" s="6">
        <f>IFERROR(__xludf.DUMMYFUNCTION("""COMPUTED_VALUE"""),5.3520097E7)</f>
        <v>53520097</v>
      </c>
    </row>
    <row r="81">
      <c r="A81" s="7">
        <f>IFERROR(__xludf.DUMMYFUNCTION("""COMPUTED_VALUE"""),45758.64583333333)</f>
        <v>45758.64583</v>
      </c>
      <c r="B81" s="6">
        <f>IFERROR(__xludf.DUMMYFUNCTION("""COMPUTED_VALUE"""),328.0)</f>
        <v>328</v>
      </c>
      <c r="C81" s="6">
        <f>IFERROR(__xludf.DUMMYFUNCTION("""COMPUTED_VALUE"""),361.5)</f>
        <v>361.5</v>
      </c>
      <c r="D81" s="6">
        <f>IFERROR(__xludf.DUMMYFUNCTION("""COMPUTED_VALUE"""),324.0)</f>
        <v>324</v>
      </c>
      <c r="E81" s="6">
        <f>IFERROR(__xludf.DUMMYFUNCTION("""COMPUTED_VALUE"""),360.1)</f>
        <v>360.1</v>
      </c>
      <c r="F81" s="6">
        <f>IFERROR(__xludf.DUMMYFUNCTION("""COMPUTED_VALUE"""),5.4240073E7)</f>
        <v>54240073</v>
      </c>
    </row>
    <row r="82">
      <c r="A82" s="7">
        <f>IFERROR(__xludf.DUMMYFUNCTION("""COMPUTED_VALUE"""),45764.64583333333)</f>
        <v>45764.64583</v>
      </c>
      <c r="B82" s="6">
        <f>IFERROR(__xludf.DUMMYFUNCTION("""COMPUTED_VALUE"""),367.0)</f>
        <v>367</v>
      </c>
      <c r="C82" s="6">
        <f>IFERROR(__xludf.DUMMYFUNCTION("""COMPUTED_VALUE"""),368.45)</f>
        <v>368.45</v>
      </c>
      <c r="D82" s="6">
        <f>IFERROR(__xludf.DUMMYFUNCTION("""COMPUTED_VALUE"""),357.25)</f>
        <v>357.25</v>
      </c>
      <c r="E82" s="6">
        <f>IFERROR(__xludf.DUMMYFUNCTION("""COMPUTED_VALUE"""),364.0)</f>
        <v>364</v>
      </c>
      <c r="F82" s="6">
        <f>IFERROR(__xludf.DUMMYFUNCTION("""COMPUTED_VALUE"""),4.1327007E7)</f>
        <v>41327007</v>
      </c>
    </row>
    <row r="83">
      <c r="A83" s="7">
        <f>IFERROR(__xludf.DUMMYFUNCTION("""COMPUTED_VALUE"""),45772.64583333333)</f>
        <v>45772.64583</v>
      </c>
      <c r="B83" s="6">
        <f>IFERROR(__xludf.DUMMYFUNCTION("""COMPUTED_VALUE"""),365.8)</f>
        <v>365.8</v>
      </c>
      <c r="C83" s="6">
        <f>IFERROR(__xludf.DUMMYFUNCTION("""COMPUTED_VALUE"""),368.2)</f>
        <v>368.2</v>
      </c>
      <c r="D83" s="6">
        <f>IFERROR(__xludf.DUMMYFUNCTION("""COMPUTED_VALUE"""),351.1)</f>
        <v>351.1</v>
      </c>
      <c r="E83" s="6">
        <f>IFERROR(__xludf.DUMMYFUNCTION("""COMPUTED_VALUE"""),356.45)</f>
        <v>356.45</v>
      </c>
      <c r="F83" s="6">
        <f>IFERROR(__xludf.DUMMYFUNCTION("""COMPUTED_VALUE"""),4.6448681E7)</f>
        <v>46448681</v>
      </c>
    </row>
    <row r="84">
      <c r="A84" s="7">
        <f>IFERROR(__xludf.DUMMYFUNCTION("""COMPUTED_VALUE"""),45779.64583333333)</f>
        <v>45779.64583</v>
      </c>
      <c r="B84" s="6">
        <f>IFERROR(__xludf.DUMMYFUNCTION("""COMPUTED_VALUE"""),353.7)</f>
        <v>353.7</v>
      </c>
      <c r="C84" s="6">
        <f>IFERROR(__xludf.DUMMYFUNCTION("""COMPUTED_VALUE"""),364.35)</f>
        <v>364.35</v>
      </c>
      <c r="D84" s="6">
        <f>IFERROR(__xludf.DUMMYFUNCTION("""COMPUTED_VALUE"""),347.6)</f>
        <v>347.6</v>
      </c>
      <c r="E84" s="6">
        <f>IFERROR(__xludf.DUMMYFUNCTION("""COMPUTED_VALUE"""),348.45)</f>
        <v>348.45</v>
      </c>
      <c r="F84" s="6">
        <f>IFERROR(__xludf.DUMMYFUNCTION("""COMPUTED_VALUE"""),3.9749376E7)</f>
        <v>39749376</v>
      </c>
    </row>
    <row r="85">
      <c r="A85" s="7">
        <f>IFERROR(__xludf.DUMMYFUNCTION("""COMPUTED_VALUE"""),45786.64583333333)</f>
        <v>45786.64583</v>
      </c>
      <c r="B85" s="6">
        <f>IFERROR(__xludf.DUMMYFUNCTION("""COMPUTED_VALUE"""),351.0)</f>
        <v>351</v>
      </c>
      <c r="C85" s="6">
        <f>IFERROR(__xludf.DUMMYFUNCTION("""COMPUTED_VALUE"""),352.0)</f>
        <v>352</v>
      </c>
      <c r="D85" s="6">
        <f>IFERROR(__xludf.DUMMYFUNCTION("""COMPUTED_VALUE"""),330.6)</f>
        <v>330.6</v>
      </c>
      <c r="E85" s="6">
        <f>IFERROR(__xludf.DUMMYFUNCTION("""COMPUTED_VALUE"""),334.75)</f>
        <v>334.75</v>
      </c>
      <c r="F85" s="6">
        <f>IFERROR(__xludf.DUMMYFUNCTION("""COMPUTED_VALUE"""),5.2470479E7)</f>
        <v>52470479</v>
      </c>
    </row>
    <row r="86">
      <c r="A86" s="7">
        <f>IFERROR(__xludf.DUMMYFUNCTION("""COMPUTED_VALUE"""),45793.64583333333)</f>
        <v>45793.64583</v>
      </c>
      <c r="B86" s="6">
        <f>IFERROR(__xludf.DUMMYFUNCTION("""COMPUTED_VALUE"""),340.4)</f>
        <v>340.4</v>
      </c>
      <c r="C86" s="6">
        <f>IFERROR(__xludf.DUMMYFUNCTION("""COMPUTED_VALUE"""),349.8)</f>
        <v>349.8</v>
      </c>
      <c r="D86" s="6">
        <f>IFERROR(__xludf.DUMMYFUNCTION("""COMPUTED_VALUE"""),332.65)</f>
        <v>332.65</v>
      </c>
      <c r="E86" s="6">
        <f>IFERROR(__xludf.DUMMYFUNCTION("""COMPUTED_VALUE"""),343.1)</f>
        <v>343.1</v>
      </c>
      <c r="F86" s="6">
        <f>IFERROR(__xludf.DUMMYFUNCTION("""COMPUTED_VALUE"""),9.5430839E7)</f>
        <v>95430839</v>
      </c>
    </row>
    <row r="87">
      <c r="A87" s="7">
        <f>IFERROR(__xludf.DUMMYFUNCTION("""COMPUTED_VALUE"""),45800.64583333333)</f>
        <v>45800.64583</v>
      </c>
      <c r="B87" s="6">
        <f>IFERROR(__xludf.DUMMYFUNCTION("""COMPUTED_VALUE"""),343.1)</f>
        <v>343.1</v>
      </c>
      <c r="C87" s="6">
        <f>IFERROR(__xludf.DUMMYFUNCTION("""COMPUTED_VALUE"""),349.7)</f>
        <v>349.7</v>
      </c>
      <c r="D87" s="6">
        <f>IFERROR(__xludf.DUMMYFUNCTION("""COMPUTED_VALUE"""),338.25)</f>
        <v>338.25</v>
      </c>
      <c r="E87" s="6">
        <f>IFERROR(__xludf.DUMMYFUNCTION("""COMPUTED_VALUE"""),344.6)</f>
        <v>344.6</v>
      </c>
      <c r="F87" s="6">
        <f>IFERROR(__xludf.DUMMYFUNCTION("""COMPUTED_VALUE"""),3.4898775E7)</f>
        <v>34898775</v>
      </c>
    </row>
    <row r="88">
      <c r="A88" s="7">
        <f>IFERROR(__xludf.DUMMYFUNCTION("""COMPUTED_VALUE"""),45807.64583333333)</f>
        <v>45807.64583</v>
      </c>
      <c r="B88" s="6">
        <f>IFERROR(__xludf.DUMMYFUNCTION("""COMPUTED_VALUE"""),351.0)</f>
        <v>351</v>
      </c>
      <c r="C88" s="6">
        <f>IFERROR(__xludf.DUMMYFUNCTION("""COMPUTED_VALUE"""),351.2)</f>
        <v>351.2</v>
      </c>
      <c r="D88" s="6">
        <f>IFERROR(__xludf.DUMMYFUNCTION("""COMPUTED_VALUE"""),332.85)</f>
        <v>332.85</v>
      </c>
      <c r="E88" s="6">
        <f>IFERROR(__xludf.DUMMYFUNCTION("""COMPUTED_VALUE"""),333.9)</f>
        <v>333.9</v>
      </c>
      <c r="F88" s="6">
        <f>IFERROR(__xludf.DUMMYFUNCTION("""COMPUTED_VALUE"""),8.7605472E7)</f>
        <v>87605472</v>
      </c>
    </row>
    <row r="89">
      <c r="A89" s="7">
        <f>IFERROR(__xludf.DUMMYFUNCTION("""COMPUTED_VALUE"""),45814.64583333333)</f>
        <v>45814.64583</v>
      </c>
      <c r="B89" s="6">
        <f>IFERROR(__xludf.DUMMYFUNCTION("""COMPUTED_VALUE"""),333.9)</f>
        <v>333.9</v>
      </c>
      <c r="C89" s="6">
        <f>IFERROR(__xludf.DUMMYFUNCTION("""COMPUTED_VALUE"""),334.8)</f>
        <v>334.8</v>
      </c>
      <c r="D89" s="6">
        <f>IFERROR(__xludf.DUMMYFUNCTION("""COMPUTED_VALUE"""),324.85)</f>
        <v>324.85</v>
      </c>
      <c r="E89" s="6">
        <f>IFERROR(__xludf.DUMMYFUNCTION("""COMPUTED_VALUE"""),332.85)</f>
        <v>332.85</v>
      </c>
      <c r="F89" s="6">
        <f>IFERROR(__xludf.DUMMYFUNCTION("""COMPUTED_VALUE"""),8.6888596E7)</f>
        <v>86888596</v>
      </c>
    </row>
    <row r="90">
      <c r="A90" s="7">
        <f>IFERROR(__xludf.DUMMYFUNCTION("""COMPUTED_VALUE"""),45821.64583333333)</f>
        <v>45821.64583</v>
      </c>
      <c r="B90" s="6">
        <f>IFERROR(__xludf.DUMMYFUNCTION("""COMPUTED_VALUE"""),333.9)</f>
        <v>333.9</v>
      </c>
      <c r="C90" s="6">
        <f>IFERROR(__xludf.DUMMYFUNCTION("""COMPUTED_VALUE"""),342.6)</f>
        <v>342.6</v>
      </c>
      <c r="D90" s="6">
        <f>IFERROR(__xludf.DUMMYFUNCTION("""COMPUTED_VALUE"""),326.6)</f>
        <v>326.6</v>
      </c>
      <c r="E90" s="6">
        <f>IFERROR(__xludf.DUMMYFUNCTION("""COMPUTED_VALUE"""),331.95)</f>
        <v>331.95</v>
      </c>
      <c r="F90" s="6">
        <f>IFERROR(__xludf.DUMMYFUNCTION("""COMPUTED_VALUE"""),6.5878508E7)</f>
        <v>65878508</v>
      </c>
    </row>
    <row r="91">
      <c r="A91" s="7">
        <f>IFERROR(__xludf.DUMMYFUNCTION("""COMPUTED_VALUE"""),45828.64583333333)</f>
        <v>45828.64583</v>
      </c>
      <c r="B91" s="6">
        <f>IFERROR(__xludf.DUMMYFUNCTION("""COMPUTED_VALUE"""),332.0)</f>
        <v>332</v>
      </c>
      <c r="C91" s="6">
        <f>IFERROR(__xludf.DUMMYFUNCTION("""COMPUTED_VALUE"""),336.9)</f>
        <v>336.9</v>
      </c>
      <c r="D91" s="6">
        <f>IFERROR(__xludf.DUMMYFUNCTION("""COMPUTED_VALUE"""),328.55)</f>
        <v>328.55</v>
      </c>
      <c r="E91" s="6">
        <f>IFERROR(__xludf.DUMMYFUNCTION("""COMPUTED_VALUE"""),335.2)</f>
        <v>335.2</v>
      </c>
      <c r="F91" s="6">
        <f>IFERROR(__xludf.DUMMYFUNCTION("""COMPUTED_VALUE"""),6.0901077E7)</f>
        <v>60901077</v>
      </c>
    </row>
    <row r="92">
      <c r="A92" s="7">
        <f>IFERROR(__xludf.DUMMYFUNCTION("""COMPUTED_VALUE"""),45835.64583333333)</f>
        <v>45835.64583</v>
      </c>
      <c r="B92" s="6">
        <f>IFERROR(__xludf.DUMMYFUNCTION("""COMPUTED_VALUE"""),333.7)</f>
        <v>333.7</v>
      </c>
      <c r="C92" s="6">
        <f>IFERROR(__xludf.DUMMYFUNCTION("""COMPUTED_VALUE"""),341.3)</f>
        <v>341.3</v>
      </c>
      <c r="D92" s="6">
        <f>IFERROR(__xludf.DUMMYFUNCTION("""COMPUTED_VALUE"""),321.35)</f>
        <v>321.35</v>
      </c>
      <c r="E92" s="6">
        <f>IFERROR(__xludf.DUMMYFUNCTION("""COMPUTED_VALUE"""),338.3)</f>
        <v>338.3</v>
      </c>
      <c r="F92" s="6">
        <f>IFERROR(__xludf.DUMMYFUNCTION("""COMPUTED_VALUE"""),1.91655602E8)</f>
        <v>191655602</v>
      </c>
    </row>
    <row r="93">
      <c r="A93" s="7">
        <f>IFERROR(__xludf.DUMMYFUNCTION("""COMPUTED_VALUE"""),45842.64583333333)</f>
        <v>45842.64583</v>
      </c>
      <c r="B93" s="6">
        <f>IFERROR(__xludf.DUMMYFUNCTION("""COMPUTED_VALUE"""),335.75)</f>
        <v>335.75</v>
      </c>
      <c r="C93" s="6">
        <f>IFERROR(__xludf.DUMMYFUNCTION("""COMPUTED_VALUE"""),337.25)</f>
        <v>337.25</v>
      </c>
      <c r="D93" s="6">
        <f>IFERROR(__xludf.DUMMYFUNCTION("""COMPUTED_VALUE"""),331.0)</f>
        <v>331</v>
      </c>
      <c r="E93" s="6">
        <f>IFERROR(__xludf.DUMMYFUNCTION("""COMPUTED_VALUE"""),335.5)</f>
        <v>335.5</v>
      </c>
      <c r="F93" s="6">
        <f>IFERROR(__xludf.DUMMYFUNCTION("""COMPUTED_VALUE"""),5.3774676E7)</f>
        <v>53774676</v>
      </c>
    </row>
    <row r="94">
      <c r="A94" s="7">
        <f>IFERROR(__xludf.DUMMYFUNCTION("""COMPUTED_VALUE"""),45849.64583333333)</f>
        <v>45849.64583</v>
      </c>
      <c r="B94" s="6">
        <f>IFERROR(__xludf.DUMMYFUNCTION("""COMPUTED_VALUE"""),335.5)</f>
        <v>335.5</v>
      </c>
      <c r="C94" s="6">
        <f>IFERROR(__xludf.DUMMYFUNCTION("""COMPUTED_VALUE"""),345.6)</f>
        <v>345.6</v>
      </c>
      <c r="D94" s="6">
        <f>IFERROR(__xludf.DUMMYFUNCTION("""COMPUTED_VALUE"""),333.75)</f>
        <v>333.75</v>
      </c>
      <c r="E94" s="6">
        <f>IFERROR(__xludf.DUMMYFUNCTION("""COMPUTED_VALUE"""),342.7)</f>
        <v>342.7</v>
      </c>
      <c r="F94" s="6">
        <f>IFERROR(__xludf.DUMMYFUNCTION("""COMPUTED_VALUE"""),5.4286996E7)</f>
        <v>54286996</v>
      </c>
    </row>
    <row r="95">
      <c r="A95" s="7">
        <f>IFERROR(__xludf.DUMMYFUNCTION("""COMPUTED_VALUE"""),45856.64583333333)</f>
        <v>45856.64583</v>
      </c>
      <c r="B95" s="6">
        <f>IFERROR(__xludf.DUMMYFUNCTION("""COMPUTED_VALUE"""),343.05)</f>
        <v>343.05</v>
      </c>
      <c r="C95" s="6">
        <f>IFERROR(__xludf.DUMMYFUNCTION("""COMPUTED_VALUE"""),345.0)</f>
        <v>345</v>
      </c>
      <c r="D95" s="6">
        <f>IFERROR(__xludf.DUMMYFUNCTION("""COMPUTED_VALUE"""),339.95)</f>
        <v>339.95</v>
      </c>
      <c r="E95" s="6">
        <f>IFERROR(__xludf.DUMMYFUNCTION("""COMPUTED_VALUE"""),342.1)</f>
        <v>342.1</v>
      </c>
      <c r="F95" s="6">
        <f>IFERROR(__xludf.DUMMYFUNCTION("""COMPUTED_VALUE"""),3.990157E7)</f>
        <v>39901570</v>
      </c>
    </row>
    <row r="96">
      <c r="A96" s="7">
        <f>IFERROR(__xludf.DUMMYFUNCTION("""COMPUTED_VALUE"""),45863.64583333333)</f>
        <v>45863.64583</v>
      </c>
      <c r="B96" s="6">
        <f>IFERROR(__xludf.DUMMYFUNCTION("""COMPUTED_VALUE"""),342.1)</f>
        <v>342.1</v>
      </c>
      <c r="C96" s="6">
        <f>IFERROR(__xludf.DUMMYFUNCTION("""COMPUTED_VALUE"""),344.0)</f>
        <v>344</v>
      </c>
      <c r="D96" s="6">
        <f>IFERROR(__xludf.DUMMYFUNCTION("""COMPUTED_VALUE"""),332.55)</f>
        <v>332.55</v>
      </c>
      <c r="E96" s="6">
        <f>IFERROR(__xludf.DUMMYFUNCTION("""COMPUTED_VALUE"""),333.2)</f>
        <v>333.2</v>
      </c>
      <c r="F96" s="6">
        <f>IFERROR(__xludf.DUMMYFUNCTION("""COMPUTED_VALUE"""),3.1139304E7)</f>
        <v>31139304</v>
      </c>
    </row>
    <row r="97">
      <c r="A97" s="7">
        <f>IFERROR(__xludf.DUMMYFUNCTION("""COMPUTED_VALUE"""),45870.64583333333)</f>
        <v>45870.64583</v>
      </c>
      <c r="B97" s="6">
        <f>IFERROR(__xludf.DUMMYFUNCTION("""COMPUTED_VALUE"""),333.45)</f>
        <v>333.45</v>
      </c>
      <c r="C97" s="6">
        <f>IFERROR(__xludf.DUMMYFUNCTION("""COMPUTED_VALUE"""),342.3)</f>
        <v>342.3</v>
      </c>
      <c r="D97" s="6">
        <f>IFERROR(__xludf.DUMMYFUNCTION("""COMPUTED_VALUE"""),328.5)</f>
        <v>328.5</v>
      </c>
      <c r="E97" s="6">
        <f>IFERROR(__xludf.DUMMYFUNCTION("""COMPUTED_VALUE"""),330.9)</f>
        <v>330.9</v>
      </c>
      <c r="F97" s="6">
        <f>IFERROR(__xludf.DUMMYFUNCTION("""COMPUTED_VALUE"""),4.0737463E7)</f>
        <v>40737463</v>
      </c>
    </row>
    <row r="98">
      <c r="A98" s="7">
        <f>IFERROR(__xludf.DUMMYFUNCTION("""COMPUTED_VALUE"""),45877.64583333333)</f>
        <v>45877.64583</v>
      </c>
      <c r="B98" s="6">
        <f>IFERROR(__xludf.DUMMYFUNCTION("""COMPUTED_VALUE"""),330.9)</f>
        <v>330.9</v>
      </c>
      <c r="C98" s="6">
        <f>IFERROR(__xludf.DUMMYFUNCTION("""COMPUTED_VALUE"""),337.5)</f>
        <v>337.5</v>
      </c>
      <c r="D98" s="6">
        <f>IFERROR(__xludf.DUMMYFUNCTION("""COMPUTED_VALUE"""),327.2)</f>
        <v>327.2</v>
      </c>
      <c r="E98" s="6">
        <f>IFERROR(__xludf.DUMMYFUNCTION("""COMPUTED_VALUE"""),334.75)</f>
        <v>334.75</v>
      </c>
      <c r="F98" s="6">
        <f>IFERROR(__xludf.DUMMYFUNCTION("""COMPUTED_VALUE"""),5.1900367E7)</f>
        <v>51900367</v>
      </c>
    </row>
    <row r="99">
      <c r="A99" s="7">
        <f>IFERROR(__xludf.DUMMYFUNCTION("""COMPUTED_VALUE"""),45883.64583333333)</f>
        <v>45883.64583</v>
      </c>
      <c r="B99" s="6">
        <f>IFERROR(__xludf.DUMMYFUNCTION("""COMPUTED_VALUE"""),335.0)</f>
        <v>335</v>
      </c>
      <c r="C99" s="6">
        <f>IFERROR(__xludf.DUMMYFUNCTION("""COMPUTED_VALUE"""),343.0)</f>
        <v>343</v>
      </c>
      <c r="D99" s="6">
        <f>IFERROR(__xludf.DUMMYFUNCTION("""COMPUTED_VALUE"""),333.95)</f>
        <v>333.95</v>
      </c>
      <c r="E99" s="6">
        <f>IFERROR(__xludf.DUMMYFUNCTION("""COMPUTED_VALUE"""),339.35)</f>
        <v>339.35</v>
      </c>
      <c r="F99" s="6">
        <f>IFERROR(__xludf.DUMMYFUNCTION("""COMPUTED_VALUE"""),3.0321036E7)</f>
        <v>30321036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IFERROR(__xludf.DUMMYFUNCTION("""COMPUTED_VALUE"""),341.45)</f>
        <v>341.45</v>
      </c>
      <c r="C100" s="6">
        <f>IFERROR(__xludf.DUMMYFUNCTION("""COMPUTED_VALUE"""),344.35)</f>
        <v>344.35</v>
      </c>
      <c r="D100" s="6">
        <f>IFERROR(__xludf.DUMMYFUNCTION("""COMPUTED_VALUE"""),334.15)</f>
        <v>334.15</v>
      </c>
      <c r="E100" s="6">
        <f>IFERROR(__xludf.DUMMYFUNCTION("""COMPUTED_VALUE"""),337.0)</f>
        <v>337</v>
      </c>
      <c r="F100" s="6">
        <f>IFERROR(__xludf.DUMMYFUNCTION("""COMPUTED_VALUE"""),4.7321964E7)</f>
        <v>47321964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IFERROR(__xludf.DUMMYFUNCTION("""COMPUTED_VALUE"""),337.05)</f>
        <v>337.05</v>
      </c>
      <c r="C101" s="6">
        <f>IFERROR(__xludf.DUMMYFUNCTION("""COMPUTED_VALUE"""),341.4)</f>
        <v>341.4</v>
      </c>
      <c r="D101" s="6">
        <f>IFERROR(__xludf.DUMMYFUNCTION("""COMPUTED_VALUE"""),331.75)</f>
        <v>331.75</v>
      </c>
      <c r="E101" s="6">
        <f>IFERROR(__xludf.DUMMYFUNCTION("""COMPUTED_VALUE"""),333.2)</f>
        <v>333.2</v>
      </c>
      <c r="F101" s="6">
        <f>IFERROR(__xludf.DUMMYFUNCTION("""COMPUTED_VALUE"""),1.38161736E8)</f>
        <v>138161736</v>
      </c>
    </row>
  </sheetData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IFERROR(__xludf.DUMMYFUNCTION("GOOGLEFINANCE(""NSE:NTPCGREEN"",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IFERROR(__xludf.DUMMYFUNCTION("""COMPUTED_VALUE"""),45625.64583333333)</f>
        <v>45625.64583</v>
      </c>
      <c r="B2" s="6">
        <f>IFERROR(__xludf.DUMMYFUNCTION("""COMPUTED_VALUE"""),111.5)</f>
        <v>111.5</v>
      </c>
      <c r="C2" s="6">
        <f>IFERROR(__xludf.DUMMYFUNCTION("""COMPUTED_VALUE"""),132.3)</f>
        <v>132.3</v>
      </c>
      <c r="D2" s="6">
        <f>IFERROR(__xludf.DUMMYFUNCTION("""COMPUTED_VALUE"""),111.5)</f>
        <v>111.5</v>
      </c>
      <c r="E2" s="6">
        <f>IFERROR(__xludf.DUMMYFUNCTION("""COMPUTED_VALUE"""),124.84)</f>
        <v>124.84</v>
      </c>
      <c r="F2" s="6">
        <f>IFERROR(__xludf.DUMMYFUNCTION("""COMPUTED_VALUE"""),5.47912126E8)</f>
        <v>547912126</v>
      </c>
    </row>
    <row r="3">
      <c r="A3" s="7">
        <f>IFERROR(__xludf.DUMMYFUNCTION("""COMPUTED_VALUE"""),45632.64583333333)</f>
        <v>45632.64583</v>
      </c>
      <c r="B3" s="6">
        <f>IFERROR(__xludf.DUMMYFUNCTION("""COMPUTED_VALUE"""),125.8)</f>
        <v>125.8</v>
      </c>
      <c r="C3" s="6">
        <f>IFERROR(__xludf.DUMMYFUNCTION("""COMPUTED_VALUE"""),155.35)</f>
        <v>155.35</v>
      </c>
      <c r="D3" s="6">
        <f>IFERROR(__xludf.DUMMYFUNCTION("""COMPUTED_VALUE"""),124.0)</f>
        <v>124</v>
      </c>
      <c r="E3" s="6">
        <f>IFERROR(__xludf.DUMMYFUNCTION("""COMPUTED_VALUE"""),143.99)</f>
        <v>143.99</v>
      </c>
      <c r="F3" s="6">
        <f>IFERROR(__xludf.DUMMYFUNCTION("""COMPUTED_VALUE"""),2.82777572E8)</f>
        <v>282777572</v>
      </c>
    </row>
    <row r="4">
      <c r="A4" s="7">
        <f>IFERROR(__xludf.DUMMYFUNCTION("""COMPUTED_VALUE"""),45639.64583333333)</f>
        <v>45639.64583</v>
      </c>
      <c r="B4" s="6">
        <f>IFERROR(__xludf.DUMMYFUNCTION("""COMPUTED_VALUE"""),145.0)</f>
        <v>145</v>
      </c>
      <c r="C4" s="6">
        <f>IFERROR(__xludf.DUMMYFUNCTION("""COMPUTED_VALUE"""),154.4)</f>
        <v>154.4</v>
      </c>
      <c r="D4" s="6">
        <f>IFERROR(__xludf.DUMMYFUNCTION("""COMPUTED_VALUE"""),138.15)</f>
        <v>138.15</v>
      </c>
      <c r="E4" s="6">
        <f>IFERROR(__xludf.DUMMYFUNCTION("""COMPUTED_VALUE"""),144.13)</f>
        <v>144.13</v>
      </c>
      <c r="F4" s="6">
        <f>IFERROR(__xludf.DUMMYFUNCTION("""COMPUTED_VALUE"""),1.38440675E8)</f>
        <v>138440675</v>
      </c>
    </row>
    <row r="5">
      <c r="A5" s="7">
        <f>IFERROR(__xludf.DUMMYFUNCTION("""COMPUTED_VALUE"""),45646.64583333333)</f>
        <v>45646.64583</v>
      </c>
      <c r="B5" s="6">
        <f>IFERROR(__xludf.DUMMYFUNCTION("""COMPUTED_VALUE"""),144.12)</f>
        <v>144.12</v>
      </c>
      <c r="C5" s="6">
        <f>IFERROR(__xludf.DUMMYFUNCTION("""COMPUTED_VALUE"""),144.8)</f>
        <v>144.8</v>
      </c>
      <c r="D5" s="6">
        <f>IFERROR(__xludf.DUMMYFUNCTION("""COMPUTED_VALUE"""),130.54)</f>
        <v>130.54</v>
      </c>
      <c r="E5" s="6">
        <f>IFERROR(__xludf.DUMMYFUNCTION("""COMPUTED_VALUE"""),131.67)</f>
        <v>131.67</v>
      </c>
      <c r="F5" s="6">
        <f>IFERROR(__xludf.DUMMYFUNCTION("""COMPUTED_VALUE"""),7.0573008E7)</f>
        <v>70573008</v>
      </c>
    </row>
    <row r="6">
      <c r="A6" s="7">
        <f>IFERROR(__xludf.DUMMYFUNCTION("""COMPUTED_VALUE"""),45653.64583333333)</f>
        <v>45653.64583</v>
      </c>
      <c r="B6" s="6">
        <f>IFERROR(__xludf.DUMMYFUNCTION("""COMPUTED_VALUE"""),136.35)</f>
        <v>136.35</v>
      </c>
      <c r="C6" s="6">
        <f>IFERROR(__xludf.DUMMYFUNCTION("""COMPUTED_VALUE"""),137.09)</f>
        <v>137.09</v>
      </c>
      <c r="D6" s="6">
        <f>IFERROR(__xludf.DUMMYFUNCTION("""COMPUTED_VALUE"""),124.3)</f>
        <v>124.3</v>
      </c>
      <c r="E6" s="6">
        <f>IFERROR(__xludf.DUMMYFUNCTION("""COMPUTED_VALUE"""),129.84)</f>
        <v>129.84</v>
      </c>
      <c r="F6" s="6">
        <f>IFERROR(__xludf.DUMMYFUNCTION("""COMPUTED_VALUE"""),7.9620172E7)</f>
        <v>79620172</v>
      </c>
    </row>
    <row r="7">
      <c r="A7" s="7">
        <f>IFERROR(__xludf.DUMMYFUNCTION("""COMPUTED_VALUE"""),45660.64583333333)</f>
        <v>45660.64583</v>
      </c>
      <c r="B7" s="6">
        <f>IFERROR(__xludf.DUMMYFUNCTION("""COMPUTED_VALUE"""),130.98)</f>
        <v>130.98</v>
      </c>
      <c r="C7" s="6">
        <f>IFERROR(__xludf.DUMMYFUNCTION("""COMPUTED_VALUE"""),133.98)</f>
        <v>133.98</v>
      </c>
      <c r="D7" s="6">
        <f>IFERROR(__xludf.DUMMYFUNCTION("""COMPUTED_VALUE"""),126.65)</f>
        <v>126.65</v>
      </c>
      <c r="E7" s="6">
        <f>IFERROR(__xludf.DUMMYFUNCTION("""COMPUTED_VALUE"""),128.17)</f>
        <v>128.17</v>
      </c>
      <c r="F7" s="6">
        <f>IFERROR(__xludf.DUMMYFUNCTION("""COMPUTED_VALUE"""),4.8626194E7)</f>
        <v>48626194</v>
      </c>
    </row>
    <row r="8">
      <c r="A8" s="7">
        <f>IFERROR(__xludf.DUMMYFUNCTION("""COMPUTED_VALUE"""),45667.64583333333)</f>
        <v>45667.64583</v>
      </c>
      <c r="B8" s="6">
        <f>IFERROR(__xludf.DUMMYFUNCTION("""COMPUTED_VALUE"""),131.6)</f>
        <v>131.6</v>
      </c>
      <c r="C8" s="6">
        <f>IFERROR(__xludf.DUMMYFUNCTION("""COMPUTED_VALUE"""),132.95)</f>
        <v>132.95</v>
      </c>
      <c r="D8" s="6">
        <f>IFERROR(__xludf.DUMMYFUNCTION("""COMPUTED_VALUE"""),115.52)</f>
        <v>115.52</v>
      </c>
      <c r="E8" s="6">
        <f>IFERROR(__xludf.DUMMYFUNCTION("""COMPUTED_VALUE"""),116.32)</f>
        <v>116.32</v>
      </c>
      <c r="F8" s="6">
        <f>IFERROR(__xludf.DUMMYFUNCTION("""COMPUTED_VALUE"""),7.5309095E7)</f>
        <v>75309095</v>
      </c>
    </row>
    <row r="9">
      <c r="A9" s="7">
        <f>IFERROR(__xludf.DUMMYFUNCTION("""COMPUTED_VALUE"""),45674.64583333333)</f>
        <v>45674.64583</v>
      </c>
      <c r="B9" s="6">
        <f>IFERROR(__xludf.DUMMYFUNCTION("""COMPUTED_VALUE"""),114.0)</f>
        <v>114</v>
      </c>
      <c r="C9" s="6">
        <f>IFERROR(__xludf.DUMMYFUNCTION("""COMPUTED_VALUE"""),123.9)</f>
        <v>123.9</v>
      </c>
      <c r="D9" s="6">
        <f>IFERROR(__xludf.DUMMYFUNCTION("""COMPUTED_VALUE"""),109.41)</f>
        <v>109.41</v>
      </c>
      <c r="E9" s="6">
        <f>IFERROR(__xludf.DUMMYFUNCTION("""COMPUTED_VALUE"""),120.99)</f>
        <v>120.99</v>
      </c>
      <c r="F9" s="6">
        <f>IFERROR(__xludf.DUMMYFUNCTION("""COMPUTED_VALUE"""),6.4096527E7)</f>
        <v>64096527</v>
      </c>
    </row>
    <row r="10">
      <c r="A10" s="7">
        <f>IFERROR(__xludf.DUMMYFUNCTION("""COMPUTED_VALUE"""),45681.64583333333)</f>
        <v>45681.64583</v>
      </c>
      <c r="B10" s="6">
        <f>IFERROR(__xludf.DUMMYFUNCTION("""COMPUTED_VALUE"""),121.5)</f>
        <v>121.5</v>
      </c>
      <c r="C10" s="6">
        <f>IFERROR(__xludf.DUMMYFUNCTION("""COMPUTED_VALUE"""),121.7)</f>
        <v>121.7</v>
      </c>
      <c r="D10" s="6">
        <f>IFERROR(__xludf.DUMMYFUNCTION("""COMPUTED_VALUE"""),111.39)</f>
        <v>111.39</v>
      </c>
      <c r="E10" s="6">
        <f>IFERROR(__xludf.DUMMYFUNCTION("""COMPUTED_VALUE"""),112.32)</f>
        <v>112.32</v>
      </c>
      <c r="F10" s="6">
        <f>IFERROR(__xludf.DUMMYFUNCTION("""COMPUTED_VALUE"""),3.3354767E7)</f>
        <v>33354767</v>
      </c>
    </row>
    <row r="11">
      <c r="A11" s="7">
        <f>IFERROR(__xludf.DUMMYFUNCTION("""COMPUTED_VALUE"""),45695.64583333333)</f>
        <v>45695.64583</v>
      </c>
      <c r="B11" s="6">
        <f>IFERROR(__xludf.DUMMYFUNCTION("""COMPUTED_VALUE"""),112.81)</f>
        <v>112.81</v>
      </c>
      <c r="C11" s="6">
        <f>IFERROR(__xludf.DUMMYFUNCTION("""COMPUTED_VALUE"""),115.15)</f>
        <v>115.15</v>
      </c>
      <c r="D11" s="6">
        <f>IFERROR(__xludf.DUMMYFUNCTION("""COMPUTED_VALUE"""),110.11)</f>
        <v>110.11</v>
      </c>
      <c r="E11" s="6">
        <f>IFERROR(__xludf.DUMMYFUNCTION("""COMPUTED_VALUE"""),112.09)</f>
        <v>112.09</v>
      </c>
      <c r="F11" s="6">
        <f>IFERROR(__xludf.DUMMYFUNCTION("""COMPUTED_VALUE"""),3.3380144E7)</f>
        <v>33380144</v>
      </c>
    </row>
    <row r="12">
      <c r="A12" s="7">
        <f>IFERROR(__xludf.DUMMYFUNCTION("""COMPUTED_VALUE"""),45702.64583333333)</f>
        <v>45702.64583</v>
      </c>
      <c r="B12" s="6">
        <f>IFERROR(__xludf.DUMMYFUNCTION("""COMPUTED_VALUE"""),112.16)</f>
        <v>112.16</v>
      </c>
      <c r="C12" s="6">
        <f>IFERROR(__xludf.DUMMYFUNCTION("""COMPUTED_VALUE"""),112.61)</f>
        <v>112.61</v>
      </c>
      <c r="D12" s="6">
        <f>IFERROR(__xludf.DUMMYFUNCTION("""COMPUTED_VALUE"""),104.81)</f>
        <v>104.81</v>
      </c>
      <c r="E12" s="6">
        <f>IFERROR(__xludf.DUMMYFUNCTION("""COMPUTED_VALUE"""),106.85)</f>
        <v>106.85</v>
      </c>
      <c r="F12" s="6">
        <f>IFERROR(__xludf.DUMMYFUNCTION("""COMPUTED_VALUE"""),2.6541469E7)</f>
        <v>26541469</v>
      </c>
    </row>
    <row r="13">
      <c r="A13" s="7">
        <f>IFERROR(__xludf.DUMMYFUNCTION("""COMPUTED_VALUE"""),45709.64583333333)</f>
        <v>45709.64583</v>
      </c>
      <c r="B13" s="6">
        <f>IFERROR(__xludf.DUMMYFUNCTION("""COMPUTED_VALUE"""),105.47)</f>
        <v>105.47</v>
      </c>
      <c r="C13" s="6">
        <f>IFERROR(__xludf.DUMMYFUNCTION("""COMPUTED_VALUE"""),108.4)</f>
        <v>108.4</v>
      </c>
      <c r="D13" s="6">
        <f>IFERROR(__xludf.DUMMYFUNCTION("""COMPUTED_VALUE"""),102.76)</f>
        <v>102.76</v>
      </c>
      <c r="E13" s="6">
        <f>IFERROR(__xludf.DUMMYFUNCTION("""COMPUTED_VALUE"""),105.55)</f>
        <v>105.55</v>
      </c>
      <c r="F13" s="6">
        <f>IFERROR(__xludf.DUMMYFUNCTION("""COMPUTED_VALUE"""),2.7885004E7)</f>
        <v>27885004</v>
      </c>
    </row>
    <row r="14">
      <c r="A14" s="7">
        <f>IFERROR(__xludf.DUMMYFUNCTION("""COMPUTED_VALUE"""),45716.64583333333)</f>
        <v>45716.64583</v>
      </c>
      <c r="B14" s="6">
        <f>IFERROR(__xludf.DUMMYFUNCTION("""COMPUTED_VALUE"""),102.12)</f>
        <v>102.12</v>
      </c>
      <c r="C14" s="6">
        <f>IFERROR(__xludf.DUMMYFUNCTION("""COMPUTED_VALUE"""),103.23)</f>
        <v>103.23</v>
      </c>
      <c r="D14" s="6">
        <f>IFERROR(__xludf.DUMMYFUNCTION("""COMPUTED_VALUE"""),87.02)</f>
        <v>87.02</v>
      </c>
      <c r="E14" s="6">
        <f>IFERROR(__xludf.DUMMYFUNCTION("""COMPUTED_VALUE"""),87.27)</f>
        <v>87.27</v>
      </c>
      <c r="F14" s="6">
        <f>IFERROR(__xludf.DUMMYFUNCTION("""COMPUTED_VALUE"""),1.04033073E8)</f>
        <v>104033073</v>
      </c>
    </row>
    <row r="15">
      <c r="A15" s="7">
        <f>IFERROR(__xludf.DUMMYFUNCTION("""COMPUTED_VALUE"""),45723.64583333333)</f>
        <v>45723.64583</v>
      </c>
      <c r="B15" s="6">
        <f>IFERROR(__xludf.DUMMYFUNCTION("""COMPUTED_VALUE"""),88.44)</f>
        <v>88.44</v>
      </c>
      <c r="C15" s="6">
        <f>IFERROR(__xludf.DUMMYFUNCTION("""COMPUTED_VALUE"""),97.64)</f>
        <v>97.64</v>
      </c>
      <c r="D15" s="6">
        <f>IFERROR(__xludf.DUMMYFUNCTION("""COMPUTED_VALUE"""),84.55)</f>
        <v>84.55</v>
      </c>
      <c r="E15" s="6">
        <f>IFERROR(__xludf.DUMMYFUNCTION("""COMPUTED_VALUE"""),97.24)</f>
        <v>97.24</v>
      </c>
      <c r="F15" s="6">
        <f>IFERROR(__xludf.DUMMYFUNCTION("""COMPUTED_VALUE"""),7.6257592E7)</f>
        <v>76257592</v>
      </c>
    </row>
    <row r="16">
      <c r="A16" s="7">
        <f>IFERROR(__xludf.DUMMYFUNCTION("""COMPUTED_VALUE"""),45729.64583333333)</f>
        <v>45729.64583</v>
      </c>
      <c r="B16" s="6">
        <f>IFERROR(__xludf.DUMMYFUNCTION("""COMPUTED_VALUE"""),97.3)</f>
        <v>97.3</v>
      </c>
      <c r="C16" s="6">
        <f>IFERROR(__xludf.DUMMYFUNCTION("""COMPUTED_VALUE"""),99.89)</f>
        <v>99.89</v>
      </c>
      <c r="D16" s="6">
        <f>IFERROR(__xludf.DUMMYFUNCTION("""COMPUTED_VALUE"""),94.5)</f>
        <v>94.5</v>
      </c>
      <c r="E16" s="6">
        <f>IFERROR(__xludf.DUMMYFUNCTION("""COMPUTED_VALUE"""),96.25)</f>
        <v>96.25</v>
      </c>
      <c r="F16" s="6">
        <f>IFERROR(__xludf.DUMMYFUNCTION("""COMPUTED_VALUE"""),4.2076515E7)</f>
        <v>42076515</v>
      </c>
    </row>
    <row r="17">
      <c r="A17" s="7">
        <f>IFERROR(__xludf.DUMMYFUNCTION("""COMPUTED_VALUE"""),45737.64583333333)</f>
        <v>45737.64583</v>
      </c>
      <c r="B17" s="6">
        <f>IFERROR(__xludf.DUMMYFUNCTION("""COMPUTED_VALUE"""),94.9)</f>
        <v>94.9</v>
      </c>
      <c r="C17" s="6">
        <f>IFERROR(__xludf.DUMMYFUNCTION("""COMPUTED_VALUE"""),102.93)</f>
        <v>102.93</v>
      </c>
      <c r="D17" s="6">
        <f>IFERROR(__xludf.DUMMYFUNCTION("""COMPUTED_VALUE"""),94.27)</f>
        <v>94.27</v>
      </c>
      <c r="E17" s="6">
        <f>IFERROR(__xludf.DUMMYFUNCTION("""COMPUTED_VALUE"""),102.44)</f>
        <v>102.44</v>
      </c>
      <c r="F17" s="6">
        <f>IFERROR(__xludf.DUMMYFUNCTION("""COMPUTED_VALUE"""),4.0120424E7)</f>
        <v>40120424</v>
      </c>
    </row>
    <row r="18">
      <c r="A18" s="7">
        <f>IFERROR(__xludf.DUMMYFUNCTION("""COMPUTED_VALUE"""),45744.64583333333)</f>
        <v>45744.64583</v>
      </c>
      <c r="B18" s="6">
        <f>IFERROR(__xludf.DUMMYFUNCTION("""COMPUTED_VALUE"""),103.0)</f>
        <v>103</v>
      </c>
      <c r="C18" s="6">
        <f>IFERROR(__xludf.DUMMYFUNCTION("""COMPUTED_VALUE"""),104.8)</f>
        <v>104.8</v>
      </c>
      <c r="D18" s="6">
        <f>IFERROR(__xludf.DUMMYFUNCTION("""COMPUTED_VALUE"""),97.54)</f>
        <v>97.54</v>
      </c>
      <c r="E18" s="6">
        <f>IFERROR(__xludf.DUMMYFUNCTION("""COMPUTED_VALUE"""),100.61)</f>
        <v>100.61</v>
      </c>
      <c r="F18" s="6">
        <f>IFERROR(__xludf.DUMMYFUNCTION("""COMPUTED_VALUE"""),4.7943926E7)</f>
        <v>47943926</v>
      </c>
    </row>
    <row r="19">
      <c r="A19" s="7">
        <f>IFERROR(__xludf.DUMMYFUNCTION("""COMPUTED_VALUE"""),45751.64583333333)</f>
        <v>45751.64583</v>
      </c>
      <c r="B19" s="6">
        <f>IFERROR(__xludf.DUMMYFUNCTION("""COMPUTED_VALUE"""),99.0)</f>
        <v>99</v>
      </c>
      <c r="C19" s="6">
        <f>IFERROR(__xludf.DUMMYFUNCTION("""COMPUTED_VALUE"""),101.35)</f>
        <v>101.35</v>
      </c>
      <c r="D19" s="6">
        <f>IFERROR(__xludf.DUMMYFUNCTION("""COMPUTED_VALUE"""),95.92)</f>
        <v>95.92</v>
      </c>
      <c r="E19" s="6">
        <f>IFERROR(__xludf.DUMMYFUNCTION("""COMPUTED_VALUE"""),96.69)</f>
        <v>96.69</v>
      </c>
      <c r="F19" s="6">
        <f>IFERROR(__xludf.DUMMYFUNCTION("""COMPUTED_VALUE"""),2.4472985E7)</f>
        <v>24472985</v>
      </c>
    </row>
    <row r="20">
      <c r="A20" s="7">
        <f>IFERROR(__xludf.DUMMYFUNCTION("""COMPUTED_VALUE"""),45758.64583333333)</f>
        <v>45758.64583</v>
      </c>
      <c r="B20" s="6">
        <f>IFERROR(__xludf.DUMMYFUNCTION("""COMPUTED_VALUE"""),89.45)</f>
        <v>89.45</v>
      </c>
      <c r="C20" s="6">
        <f>IFERROR(__xludf.DUMMYFUNCTION("""COMPUTED_VALUE"""),98.21)</f>
        <v>98.21</v>
      </c>
      <c r="D20" s="6">
        <f>IFERROR(__xludf.DUMMYFUNCTION("""COMPUTED_VALUE"""),88.74)</f>
        <v>88.74</v>
      </c>
      <c r="E20" s="6">
        <f>IFERROR(__xludf.DUMMYFUNCTION("""COMPUTED_VALUE"""),95.79)</f>
        <v>95.79</v>
      </c>
      <c r="F20" s="6">
        <f>IFERROR(__xludf.DUMMYFUNCTION("""COMPUTED_VALUE"""),2.0536931E7)</f>
        <v>20536931</v>
      </c>
    </row>
    <row r="21">
      <c r="A21" s="7">
        <f>IFERROR(__xludf.DUMMYFUNCTION("""COMPUTED_VALUE"""),45764.64583333333)</f>
        <v>45764.64583</v>
      </c>
      <c r="B21" s="6">
        <f>IFERROR(__xludf.DUMMYFUNCTION("""COMPUTED_VALUE"""),97.0)</f>
        <v>97</v>
      </c>
      <c r="C21" s="6">
        <f>IFERROR(__xludf.DUMMYFUNCTION("""COMPUTED_VALUE"""),110.95)</f>
        <v>110.95</v>
      </c>
      <c r="D21" s="6">
        <f>IFERROR(__xludf.DUMMYFUNCTION("""COMPUTED_VALUE"""),96.76)</f>
        <v>96.76</v>
      </c>
      <c r="E21" s="6">
        <f>IFERROR(__xludf.DUMMYFUNCTION("""COMPUTED_VALUE"""),108.25)</f>
        <v>108.25</v>
      </c>
      <c r="F21" s="6">
        <f>IFERROR(__xludf.DUMMYFUNCTION("""COMPUTED_VALUE"""),8.2247959E7)</f>
        <v>82247959</v>
      </c>
    </row>
    <row r="22">
      <c r="A22" s="7">
        <f>IFERROR(__xludf.DUMMYFUNCTION("""COMPUTED_VALUE"""),45772.64583333333)</f>
        <v>45772.64583</v>
      </c>
      <c r="B22" s="6">
        <f>IFERROR(__xludf.DUMMYFUNCTION("""COMPUTED_VALUE"""),109.0)</f>
        <v>109</v>
      </c>
      <c r="C22" s="6">
        <f>IFERROR(__xludf.DUMMYFUNCTION("""COMPUTED_VALUE"""),112.7)</f>
        <v>112.7</v>
      </c>
      <c r="D22" s="6">
        <f>IFERROR(__xludf.DUMMYFUNCTION("""COMPUTED_VALUE"""),102.3)</f>
        <v>102.3</v>
      </c>
      <c r="E22" s="6">
        <f>IFERROR(__xludf.DUMMYFUNCTION("""COMPUTED_VALUE"""),103.38)</f>
        <v>103.38</v>
      </c>
      <c r="F22" s="6">
        <f>IFERROR(__xludf.DUMMYFUNCTION("""COMPUTED_VALUE"""),5.7022876E7)</f>
        <v>57022876</v>
      </c>
    </row>
    <row r="23">
      <c r="A23" s="7">
        <f>IFERROR(__xludf.DUMMYFUNCTION("""COMPUTED_VALUE"""),45779.64583333333)</f>
        <v>45779.64583</v>
      </c>
      <c r="B23" s="6">
        <f>IFERROR(__xludf.DUMMYFUNCTION("""COMPUTED_VALUE"""),102.86)</f>
        <v>102.86</v>
      </c>
      <c r="C23" s="6">
        <f>IFERROR(__xludf.DUMMYFUNCTION("""COMPUTED_VALUE"""),106.73)</f>
        <v>106.73</v>
      </c>
      <c r="D23" s="6">
        <f>IFERROR(__xludf.DUMMYFUNCTION("""COMPUTED_VALUE"""),99.51)</f>
        <v>99.51</v>
      </c>
      <c r="E23" s="6">
        <f>IFERROR(__xludf.DUMMYFUNCTION("""COMPUTED_VALUE"""),101.2)</f>
        <v>101.2</v>
      </c>
      <c r="F23" s="6">
        <f>IFERROR(__xludf.DUMMYFUNCTION("""COMPUTED_VALUE"""),3.0469174E7)</f>
        <v>30469174</v>
      </c>
    </row>
    <row r="24">
      <c r="A24" s="7">
        <f>IFERROR(__xludf.DUMMYFUNCTION("""COMPUTED_VALUE"""),45786.64583333333)</f>
        <v>45786.64583</v>
      </c>
      <c r="B24" s="6">
        <f>IFERROR(__xludf.DUMMYFUNCTION("""COMPUTED_VALUE"""),102.0)</f>
        <v>102</v>
      </c>
      <c r="C24" s="6">
        <f>IFERROR(__xludf.DUMMYFUNCTION("""COMPUTED_VALUE"""),102.5)</f>
        <v>102.5</v>
      </c>
      <c r="D24" s="6">
        <f>IFERROR(__xludf.DUMMYFUNCTION("""COMPUTED_VALUE"""),94.5)</f>
        <v>94.5</v>
      </c>
      <c r="E24" s="6">
        <f>IFERROR(__xludf.DUMMYFUNCTION("""COMPUTED_VALUE"""),97.32)</f>
        <v>97.32</v>
      </c>
      <c r="F24" s="6">
        <f>IFERROR(__xludf.DUMMYFUNCTION("""COMPUTED_VALUE"""),2.9797835E7)</f>
        <v>29797835</v>
      </c>
    </row>
    <row r="25">
      <c r="A25" s="7">
        <f>IFERROR(__xludf.DUMMYFUNCTION("""COMPUTED_VALUE"""),45793.64583333333)</f>
        <v>45793.64583</v>
      </c>
      <c r="B25" s="6">
        <f>IFERROR(__xludf.DUMMYFUNCTION("""COMPUTED_VALUE"""),102.0)</f>
        <v>102</v>
      </c>
      <c r="C25" s="6">
        <f>IFERROR(__xludf.DUMMYFUNCTION("""COMPUTED_VALUE"""),105.69)</f>
        <v>105.69</v>
      </c>
      <c r="D25" s="6">
        <f>IFERROR(__xludf.DUMMYFUNCTION("""COMPUTED_VALUE"""),100.52)</f>
        <v>100.52</v>
      </c>
      <c r="E25" s="6">
        <f>IFERROR(__xludf.DUMMYFUNCTION("""COMPUTED_VALUE"""),104.71)</f>
        <v>104.71</v>
      </c>
      <c r="F25" s="6">
        <f>IFERROR(__xludf.DUMMYFUNCTION("""COMPUTED_VALUE"""),3.7783709E7)</f>
        <v>37783709</v>
      </c>
    </row>
    <row r="26">
      <c r="A26" s="7">
        <f>IFERROR(__xludf.DUMMYFUNCTION("""COMPUTED_VALUE"""),45800.64583333333)</f>
        <v>45800.64583</v>
      </c>
      <c r="B26" s="6">
        <f>IFERROR(__xludf.DUMMYFUNCTION("""COMPUTED_VALUE"""),104.9)</f>
        <v>104.9</v>
      </c>
      <c r="C26" s="6">
        <f>IFERROR(__xludf.DUMMYFUNCTION("""COMPUTED_VALUE"""),117.64)</f>
        <v>117.64</v>
      </c>
      <c r="D26" s="6">
        <f>IFERROR(__xludf.DUMMYFUNCTION("""COMPUTED_VALUE"""),101.8)</f>
        <v>101.8</v>
      </c>
      <c r="E26" s="6">
        <f>IFERROR(__xludf.DUMMYFUNCTION("""COMPUTED_VALUE"""),111.24)</f>
        <v>111.24</v>
      </c>
      <c r="F26" s="6">
        <f>IFERROR(__xludf.DUMMYFUNCTION("""COMPUTED_VALUE"""),1.58914157E8)</f>
        <v>158914157</v>
      </c>
    </row>
    <row r="27">
      <c r="A27" s="7">
        <f>IFERROR(__xludf.DUMMYFUNCTION("""COMPUTED_VALUE"""),45807.64583333333)</f>
        <v>45807.64583</v>
      </c>
      <c r="B27" s="6">
        <f>IFERROR(__xludf.DUMMYFUNCTION("""COMPUTED_VALUE"""),111.5)</f>
        <v>111.5</v>
      </c>
      <c r="C27" s="6">
        <f>IFERROR(__xludf.DUMMYFUNCTION("""COMPUTED_VALUE"""),117.6)</f>
        <v>117.6</v>
      </c>
      <c r="D27" s="6">
        <f>IFERROR(__xludf.DUMMYFUNCTION("""COMPUTED_VALUE"""),110.83)</f>
        <v>110.83</v>
      </c>
      <c r="E27" s="6">
        <f>IFERROR(__xludf.DUMMYFUNCTION("""COMPUTED_VALUE"""),111.26)</f>
        <v>111.26</v>
      </c>
      <c r="F27" s="6">
        <f>IFERROR(__xludf.DUMMYFUNCTION("""COMPUTED_VALUE"""),8.4738034E7)</f>
        <v>84738034</v>
      </c>
    </row>
    <row r="28">
      <c r="A28" s="7">
        <f>IFERROR(__xludf.DUMMYFUNCTION("""COMPUTED_VALUE"""),45814.64583333333)</f>
        <v>45814.64583</v>
      </c>
      <c r="B28" s="6">
        <f>IFERROR(__xludf.DUMMYFUNCTION("""COMPUTED_VALUE"""),111.5)</f>
        <v>111.5</v>
      </c>
      <c r="C28" s="6">
        <f>IFERROR(__xludf.DUMMYFUNCTION("""COMPUTED_VALUE"""),112.05)</f>
        <v>112.05</v>
      </c>
      <c r="D28" s="6">
        <f>IFERROR(__xludf.DUMMYFUNCTION("""COMPUTED_VALUE"""),106.52)</f>
        <v>106.52</v>
      </c>
      <c r="E28" s="6">
        <f>IFERROR(__xludf.DUMMYFUNCTION("""COMPUTED_VALUE"""),108.74)</f>
        <v>108.74</v>
      </c>
      <c r="F28" s="6">
        <f>IFERROR(__xludf.DUMMYFUNCTION("""COMPUTED_VALUE"""),9.6659286E7)</f>
        <v>96659286</v>
      </c>
    </row>
    <row r="29">
      <c r="A29" s="7">
        <f>IFERROR(__xludf.DUMMYFUNCTION("""COMPUTED_VALUE"""),45821.64583333333)</f>
        <v>45821.64583</v>
      </c>
      <c r="B29" s="6">
        <f>IFERROR(__xludf.DUMMYFUNCTION("""COMPUTED_VALUE"""),109.28)</f>
        <v>109.28</v>
      </c>
      <c r="C29" s="6">
        <f>IFERROR(__xludf.DUMMYFUNCTION("""COMPUTED_VALUE"""),113.56)</f>
        <v>113.56</v>
      </c>
      <c r="D29" s="6">
        <f>IFERROR(__xludf.DUMMYFUNCTION("""COMPUTED_VALUE"""),105.6)</f>
        <v>105.6</v>
      </c>
      <c r="E29" s="6">
        <f>IFERROR(__xludf.DUMMYFUNCTION("""COMPUTED_VALUE"""),107.44)</f>
        <v>107.44</v>
      </c>
      <c r="F29" s="6">
        <f>IFERROR(__xludf.DUMMYFUNCTION("""COMPUTED_VALUE"""),5.6827597E7)</f>
        <v>56827597</v>
      </c>
    </row>
    <row r="30">
      <c r="A30" s="7">
        <f>IFERROR(__xludf.DUMMYFUNCTION("""COMPUTED_VALUE"""),45828.64583333333)</f>
        <v>45828.64583</v>
      </c>
      <c r="B30" s="6">
        <f>IFERROR(__xludf.DUMMYFUNCTION("""COMPUTED_VALUE"""),107.44)</f>
        <v>107.44</v>
      </c>
      <c r="C30" s="6">
        <f>IFERROR(__xludf.DUMMYFUNCTION("""COMPUTED_VALUE"""),112.8)</f>
        <v>112.8</v>
      </c>
      <c r="D30" s="6">
        <f>IFERROR(__xludf.DUMMYFUNCTION("""COMPUTED_VALUE"""),103.1)</f>
        <v>103.1</v>
      </c>
      <c r="E30" s="6">
        <f>IFERROR(__xludf.DUMMYFUNCTION("""COMPUTED_VALUE"""),110.26)</f>
        <v>110.26</v>
      </c>
      <c r="F30" s="6">
        <f>IFERROR(__xludf.DUMMYFUNCTION("""COMPUTED_VALUE"""),9.0037059E7)</f>
        <v>90037059</v>
      </c>
    </row>
    <row r="31">
      <c r="A31" s="7">
        <f>IFERROR(__xludf.DUMMYFUNCTION("""COMPUTED_VALUE"""),45835.64583333333)</f>
        <v>45835.64583</v>
      </c>
      <c r="B31" s="6">
        <f>IFERROR(__xludf.DUMMYFUNCTION("""COMPUTED_VALUE"""),108.52)</f>
        <v>108.52</v>
      </c>
      <c r="C31" s="6">
        <f>IFERROR(__xludf.DUMMYFUNCTION("""COMPUTED_VALUE"""),110.45)</f>
        <v>110.45</v>
      </c>
      <c r="D31" s="6">
        <f>IFERROR(__xludf.DUMMYFUNCTION("""COMPUTED_VALUE"""),105.75)</f>
        <v>105.75</v>
      </c>
      <c r="E31" s="6">
        <f>IFERROR(__xludf.DUMMYFUNCTION("""COMPUTED_VALUE"""),105.93)</f>
        <v>105.93</v>
      </c>
      <c r="F31" s="6">
        <f>IFERROR(__xludf.DUMMYFUNCTION("""COMPUTED_VALUE"""),3.7749963E7)</f>
        <v>37749963</v>
      </c>
    </row>
    <row r="32">
      <c r="A32" s="7">
        <f>IFERROR(__xludf.DUMMYFUNCTION("""COMPUTED_VALUE"""),45842.64583333333)</f>
        <v>45842.64583</v>
      </c>
      <c r="B32" s="6">
        <f>IFERROR(__xludf.DUMMYFUNCTION("""COMPUTED_VALUE"""),107.39)</f>
        <v>107.39</v>
      </c>
      <c r="C32" s="6">
        <f>IFERROR(__xludf.DUMMYFUNCTION("""COMPUTED_VALUE"""),108.0)</f>
        <v>108</v>
      </c>
      <c r="D32" s="6">
        <f>IFERROR(__xludf.DUMMYFUNCTION("""COMPUTED_VALUE"""),104.2)</f>
        <v>104.2</v>
      </c>
      <c r="E32" s="6">
        <f>IFERROR(__xludf.DUMMYFUNCTION("""COMPUTED_VALUE"""),106.55)</f>
        <v>106.55</v>
      </c>
      <c r="F32" s="6">
        <f>IFERROR(__xludf.DUMMYFUNCTION("""COMPUTED_VALUE"""),4.3248968E7)</f>
        <v>43248968</v>
      </c>
    </row>
    <row r="33">
      <c r="A33" s="7">
        <f>IFERROR(__xludf.DUMMYFUNCTION("""COMPUTED_VALUE"""),45849.64583333333)</f>
        <v>45849.64583</v>
      </c>
      <c r="B33" s="6">
        <f>IFERROR(__xludf.DUMMYFUNCTION("""COMPUTED_VALUE"""),106.0)</f>
        <v>106</v>
      </c>
      <c r="C33" s="6">
        <f>IFERROR(__xludf.DUMMYFUNCTION("""COMPUTED_VALUE"""),113.13)</f>
        <v>113.13</v>
      </c>
      <c r="D33" s="6">
        <f>IFERROR(__xludf.DUMMYFUNCTION("""COMPUTED_VALUE"""),105.84)</f>
        <v>105.84</v>
      </c>
      <c r="E33" s="6">
        <f>IFERROR(__xludf.DUMMYFUNCTION("""COMPUTED_VALUE"""),112.18)</f>
        <v>112.18</v>
      </c>
      <c r="F33" s="6">
        <f>IFERROR(__xludf.DUMMYFUNCTION("""COMPUTED_VALUE"""),6.6332937E7)</f>
        <v>66332937</v>
      </c>
    </row>
    <row r="34">
      <c r="A34" s="7">
        <f>IFERROR(__xludf.DUMMYFUNCTION("""COMPUTED_VALUE"""),45856.64583333333)</f>
        <v>45856.64583</v>
      </c>
      <c r="B34" s="6">
        <f>IFERROR(__xludf.DUMMYFUNCTION("""COMPUTED_VALUE"""),112.6)</f>
        <v>112.6</v>
      </c>
      <c r="C34" s="6">
        <f>IFERROR(__xludf.DUMMYFUNCTION("""COMPUTED_VALUE"""),114.11)</f>
        <v>114.11</v>
      </c>
      <c r="D34" s="6">
        <f>IFERROR(__xludf.DUMMYFUNCTION("""COMPUTED_VALUE"""),108.8)</f>
        <v>108.8</v>
      </c>
      <c r="E34" s="6">
        <f>IFERROR(__xludf.DUMMYFUNCTION("""COMPUTED_VALUE"""),110.66)</f>
        <v>110.66</v>
      </c>
      <c r="F34" s="6">
        <f>IFERROR(__xludf.DUMMYFUNCTION("""COMPUTED_VALUE"""),4.8744132E7)</f>
        <v>48744132</v>
      </c>
    </row>
    <row r="35">
      <c r="A35" s="7">
        <f>IFERROR(__xludf.DUMMYFUNCTION("""COMPUTED_VALUE"""),45863.64583333333)</f>
        <v>45863.64583</v>
      </c>
      <c r="B35" s="6">
        <f>IFERROR(__xludf.DUMMYFUNCTION("""COMPUTED_VALUE"""),110.59)</f>
        <v>110.59</v>
      </c>
      <c r="C35" s="6">
        <f>IFERROR(__xludf.DUMMYFUNCTION("""COMPUTED_VALUE"""),110.9)</f>
        <v>110.9</v>
      </c>
      <c r="D35" s="6">
        <f>IFERROR(__xludf.DUMMYFUNCTION("""COMPUTED_VALUE"""),105.5)</f>
        <v>105.5</v>
      </c>
      <c r="E35" s="6">
        <f>IFERROR(__xludf.DUMMYFUNCTION("""COMPUTED_VALUE"""),105.78)</f>
        <v>105.78</v>
      </c>
      <c r="F35" s="6">
        <f>IFERROR(__xludf.DUMMYFUNCTION("""COMPUTED_VALUE"""),2.1107804E7)</f>
        <v>21107804</v>
      </c>
    </row>
    <row r="36">
      <c r="A36" s="7">
        <f>IFERROR(__xludf.DUMMYFUNCTION("""COMPUTED_VALUE"""),45870.64583333333)</f>
        <v>45870.64583</v>
      </c>
      <c r="B36" s="6">
        <f>IFERROR(__xludf.DUMMYFUNCTION("""COMPUTED_VALUE"""),106.0)</f>
        <v>106</v>
      </c>
      <c r="C36" s="6">
        <f>IFERROR(__xludf.DUMMYFUNCTION("""COMPUTED_VALUE"""),109.8)</f>
        <v>109.8</v>
      </c>
      <c r="D36" s="6">
        <f>IFERROR(__xludf.DUMMYFUNCTION("""COMPUTED_VALUE"""),103.91)</f>
        <v>103.91</v>
      </c>
      <c r="E36" s="6">
        <f>IFERROR(__xludf.DUMMYFUNCTION("""COMPUTED_VALUE"""),104.53)</f>
        <v>104.53</v>
      </c>
      <c r="F36" s="6">
        <f>IFERROR(__xludf.DUMMYFUNCTION("""COMPUTED_VALUE"""),3.5585119E7)</f>
        <v>35585119</v>
      </c>
    </row>
    <row r="37">
      <c r="A37" s="7">
        <f>IFERROR(__xludf.DUMMYFUNCTION("""COMPUTED_VALUE"""),45877.64583333333)</f>
        <v>45877.64583</v>
      </c>
      <c r="B37" s="6">
        <f>IFERROR(__xludf.DUMMYFUNCTION("""COMPUTED_VALUE"""),104.74)</f>
        <v>104.74</v>
      </c>
      <c r="C37" s="6">
        <f>IFERROR(__xludf.DUMMYFUNCTION("""COMPUTED_VALUE"""),106.29)</f>
        <v>106.29</v>
      </c>
      <c r="D37" s="6">
        <f>IFERROR(__xludf.DUMMYFUNCTION("""COMPUTED_VALUE"""),101.28)</f>
        <v>101.28</v>
      </c>
      <c r="E37" s="6">
        <f>IFERROR(__xludf.DUMMYFUNCTION("""COMPUTED_VALUE"""),101.84)</f>
        <v>101.84</v>
      </c>
      <c r="F37" s="6">
        <f>IFERROR(__xludf.DUMMYFUNCTION("""COMPUTED_VALUE"""),1.7957461E7)</f>
        <v>17957461</v>
      </c>
    </row>
    <row r="38">
      <c r="A38" s="7">
        <f>IFERROR(__xludf.DUMMYFUNCTION("""COMPUTED_VALUE"""),45883.64583333333)</f>
        <v>45883.64583</v>
      </c>
      <c r="B38" s="6">
        <f>IFERROR(__xludf.DUMMYFUNCTION("""COMPUTED_VALUE"""),102.0)</f>
        <v>102</v>
      </c>
      <c r="C38" s="6">
        <f>IFERROR(__xludf.DUMMYFUNCTION("""COMPUTED_VALUE"""),103.99)</f>
        <v>103.99</v>
      </c>
      <c r="D38" s="6">
        <f>IFERROR(__xludf.DUMMYFUNCTION("""COMPUTED_VALUE"""),100.34)</f>
        <v>100.34</v>
      </c>
      <c r="E38" s="6">
        <f>IFERROR(__xludf.DUMMYFUNCTION("""COMPUTED_VALUE"""),100.8)</f>
        <v>100.8</v>
      </c>
      <c r="F38" s="6">
        <f>IFERROR(__xludf.DUMMYFUNCTION("""COMPUTED_VALUE"""),1.2924176E7)</f>
        <v>12924176</v>
      </c>
    </row>
    <row r="39">
      <c r="A39" s="7">
        <f>IFERROR(__xludf.DUMMYFUNCTION("""COMPUTED_VALUE"""),45891.64583333333)</f>
        <v>45891.64583</v>
      </c>
      <c r="B39" s="6">
        <f>IFERROR(__xludf.DUMMYFUNCTION("""COMPUTED_VALUE"""),101.59)</f>
        <v>101.59</v>
      </c>
      <c r="C39" s="6">
        <f>IFERROR(__xludf.DUMMYFUNCTION("""COMPUTED_VALUE"""),105.45)</f>
        <v>105.45</v>
      </c>
      <c r="D39" s="6">
        <f>IFERROR(__xludf.DUMMYFUNCTION("""COMPUTED_VALUE"""),100.7)</f>
        <v>100.7</v>
      </c>
      <c r="E39" s="6">
        <f>IFERROR(__xludf.DUMMYFUNCTION("""COMPUTED_VALUE"""),103.31)</f>
        <v>103.31</v>
      </c>
      <c r="F39" s="6">
        <f>IFERROR(__xludf.DUMMYFUNCTION("""COMPUTED_VALUE"""),2.5117272E7)</f>
        <v>25117272</v>
      </c>
    </row>
    <row r="40">
      <c r="A40" s="7">
        <f>IFERROR(__xludf.DUMMYFUNCTION("""COMPUTED_VALUE"""),45895.64583333333)</f>
        <v>45895.64583</v>
      </c>
      <c r="B40" s="6">
        <f>IFERROR(__xludf.DUMMYFUNCTION("""COMPUTED_VALUE"""),103.77)</f>
        <v>103.77</v>
      </c>
      <c r="C40" s="6">
        <f>IFERROR(__xludf.DUMMYFUNCTION("""COMPUTED_VALUE"""),104.52)</f>
        <v>104.52</v>
      </c>
      <c r="D40" s="6">
        <f>IFERROR(__xludf.DUMMYFUNCTION("""COMPUTED_VALUE"""),100.77)</f>
        <v>100.77</v>
      </c>
      <c r="E40" s="6">
        <f>IFERROR(__xludf.DUMMYFUNCTION("""COMPUTED_VALUE"""),102.65)</f>
        <v>102.65</v>
      </c>
      <c r="F40" s="6">
        <f>IFERROR(__xludf.DUMMYFUNCTION("""COMPUTED_VALUE"""),1.15691281E8)</f>
        <v>115691281</v>
      </c>
    </row>
  </sheetData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IFERROR(__xludf.DUMMYFUNCTION("GOOGLEFINANCE(""NSE:NYKAA"",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IFERROR(__xludf.DUMMYFUNCTION("""COMPUTED_VALUE"""),136.0)</f>
        <v>136</v>
      </c>
      <c r="C2" s="6">
        <f>IFERROR(__xludf.DUMMYFUNCTION("""COMPUTED_VALUE"""),136.95)</f>
        <v>136.95</v>
      </c>
      <c r="D2" s="6">
        <f>IFERROR(__xludf.DUMMYFUNCTION("""COMPUTED_VALUE"""),131.3)</f>
        <v>131.3</v>
      </c>
      <c r="E2" s="6">
        <f>IFERROR(__xludf.DUMMYFUNCTION("""COMPUTED_VALUE"""),135.45)</f>
        <v>135.45</v>
      </c>
      <c r="F2" s="6">
        <f>IFERROR(__xludf.DUMMYFUNCTION("""COMPUTED_VALUE"""),3.1752118E7)</f>
        <v>31752118</v>
      </c>
    </row>
    <row r="3">
      <c r="A3" s="7">
        <f>IFERROR(__xludf.DUMMYFUNCTION("""COMPUTED_VALUE"""),45177.64583333333)</f>
        <v>45177.64583</v>
      </c>
      <c r="B3" s="6">
        <f>IFERROR(__xludf.DUMMYFUNCTION("""COMPUTED_VALUE"""),136.0)</f>
        <v>136</v>
      </c>
      <c r="C3" s="6">
        <f>IFERROR(__xludf.DUMMYFUNCTION("""COMPUTED_VALUE"""),147.9)</f>
        <v>147.9</v>
      </c>
      <c r="D3" s="6">
        <f>IFERROR(__xludf.DUMMYFUNCTION("""COMPUTED_VALUE"""),134.35)</f>
        <v>134.35</v>
      </c>
      <c r="E3" s="6">
        <f>IFERROR(__xludf.DUMMYFUNCTION("""COMPUTED_VALUE"""),146.05)</f>
        <v>146.05</v>
      </c>
      <c r="F3" s="6">
        <f>IFERROR(__xludf.DUMMYFUNCTION("""COMPUTED_VALUE"""),4.4114551E7)</f>
        <v>44114551</v>
      </c>
    </row>
    <row r="4">
      <c r="A4" s="7">
        <f>IFERROR(__xludf.DUMMYFUNCTION("""COMPUTED_VALUE"""),45184.64583333333)</f>
        <v>45184.64583</v>
      </c>
      <c r="B4" s="6">
        <f>IFERROR(__xludf.DUMMYFUNCTION("""COMPUTED_VALUE"""),147.0)</f>
        <v>147</v>
      </c>
      <c r="C4" s="6">
        <f>IFERROR(__xludf.DUMMYFUNCTION("""COMPUTED_VALUE"""),154.8)</f>
        <v>154.8</v>
      </c>
      <c r="D4" s="6">
        <f>IFERROR(__xludf.DUMMYFUNCTION("""COMPUTED_VALUE"""),143.55)</f>
        <v>143.55</v>
      </c>
      <c r="E4" s="6">
        <f>IFERROR(__xludf.DUMMYFUNCTION("""COMPUTED_VALUE"""),153.55)</f>
        <v>153.55</v>
      </c>
      <c r="F4" s="6">
        <f>IFERROR(__xludf.DUMMYFUNCTION("""COMPUTED_VALUE"""),4.0461902E7)</f>
        <v>40461902</v>
      </c>
    </row>
    <row r="5">
      <c r="A5" s="7">
        <f>IFERROR(__xludf.DUMMYFUNCTION("""COMPUTED_VALUE"""),45191.64583333333)</f>
        <v>45191.64583</v>
      </c>
      <c r="B5" s="6">
        <f>IFERROR(__xludf.DUMMYFUNCTION("""COMPUTED_VALUE"""),153.85)</f>
        <v>153.85</v>
      </c>
      <c r="C5" s="6">
        <f>IFERROR(__xludf.DUMMYFUNCTION("""COMPUTED_VALUE"""),154.4)</f>
        <v>154.4</v>
      </c>
      <c r="D5" s="6">
        <f>IFERROR(__xludf.DUMMYFUNCTION("""COMPUTED_VALUE"""),140.8)</f>
        <v>140.8</v>
      </c>
      <c r="E5" s="6">
        <f>IFERROR(__xludf.DUMMYFUNCTION("""COMPUTED_VALUE"""),143.5)</f>
        <v>143.5</v>
      </c>
      <c r="F5" s="6">
        <f>IFERROR(__xludf.DUMMYFUNCTION("""COMPUTED_VALUE"""),2.3979356E7)</f>
        <v>23979356</v>
      </c>
    </row>
    <row r="6">
      <c r="A6" s="7">
        <f>IFERROR(__xludf.DUMMYFUNCTION("""COMPUTED_VALUE"""),45198.64583333333)</f>
        <v>45198.64583</v>
      </c>
      <c r="B6" s="6">
        <f>IFERROR(__xludf.DUMMYFUNCTION("""COMPUTED_VALUE"""),143.5)</f>
        <v>143.5</v>
      </c>
      <c r="C6" s="6">
        <f>IFERROR(__xludf.DUMMYFUNCTION("""COMPUTED_VALUE"""),158.0)</f>
        <v>158</v>
      </c>
      <c r="D6" s="6">
        <f>IFERROR(__xludf.DUMMYFUNCTION("""COMPUTED_VALUE"""),140.7)</f>
        <v>140.7</v>
      </c>
      <c r="E6" s="6">
        <f>IFERROR(__xludf.DUMMYFUNCTION("""COMPUTED_VALUE"""),153.2)</f>
        <v>153.2</v>
      </c>
      <c r="F6" s="6">
        <f>IFERROR(__xludf.DUMMYFUNCTION("""COMPUTED_VALUE"""),4.6034598E7)</f>
        <v>46034598</v>
      </c>
    </row>
    <row r="7">
      <c r="A7" s="7">
        <f>IFERROR(__xludf.DUMMYFUNCTION("""COMPUTED_VALUE"""),45205.64583333333)</f>
        <v>45205.64583</v>
      </c>
      <c r="B7" s="6">
        <f>IFERROR(__xludf.DUMMYFUNCTION("""COMPUTED_VALUE"""),149.5)</f>
        <v>149.5</v>
      </c>
      <c r="C7" s="6">
        <f>IFERROR(__xludf.DUMMYFUNCTION("""COMPUTED_VALUE"""),152.7)</f>
        <v>152.7</v>
      </c>
      <c r="D7" s="6">
        <f>IFERROR(__xludf.DUMMYFUNCTION("""COMPUTED_VALUE"""),144.8)</f>
        <v>144.8</v>
      </c>
      <c r="E7" s="6">
        <f>IFERROR(__xludf.DUMMYFUNCTION("""COMPUTED_VALUE"""),149.45)</f>
        <v>149.45</v>
      </c>
      <c r="F7" s="6">
        <f>IFERROR(__xludf.DUMMYFUNCTION("""COMPUTED_VALUE"""),1.7617588E7)</f>
        <v>17617588</v>
      </c>
    </row>
    <row r="8">
      <c r="A8" s="7">
        <f>IFERROR(__xludf.DUMMYFUNCTION("""COMPUTED_VALUE"""),45212.64583333333)</f>
        <v>45212.64583</v>
      </c>
      <c r="B8" s="6">
        <f>IFERROR(__xludf.DUMMYFUNCTION("""COMPUTED_VALUE"""),149.2)</f>
        <v>149.2</v>
      </c>
      <c r="C8" s="6">
        <f>IFERROR(__xludf.DUMMYFUNCTION("""COMPUTED_VALUE"""),153.6)</f>
        <v>153.6</v>
      </c>
      <c r="D8" s="6">
        <f>IFERROR(__xludf.DUMMYFUNCTION("""COMPUTED_VALUE"""),145.0)</f>
        <v>145</v>
      </c>
      <c r="E8" s="6">
        <f>IFERROR(__xludf.DUMMYFUNCTION("""COMPUTED_VALUE"""),147.0)</f>
        <v>147</v>
      </c>
      <c r="F8" s="6">
        <f>IFERROR(__xludf.DUMMYFUNCTION("""COMPUTED_VALUE"""),1.3966404E7)</f>
        <v>13966404</v>
      </c>
    </row>
    <row r="9">
      <c r="A9" s="7">
        <f>IFERROR(__xludf.DUMMYFUNCTION("""COMPUTED_VALUE"""),45219.64583333333)</f>
        <v>45219.64583</v>
      </c>
      <c r="B9" s="6">
        <f>IFERROR(__xludf.DUMMYFUNCTION("""COMPUTED_VALUE"""),148.0)</f>
        <v>148</v>
      </c>
      <c r="C9" s="6">
        <f>IFERROR(__xludf.DUMMYFUNCTION("""COMPUTED_VALUE"""),148.2)</f>
        <v>148.2</v>
      </c>
      <c r="D9" s="6">
        <f>IFERROR(__xludf.DUMMYFUNCTION("""COMPUTED_VALUE"""),142.65)</f>
        <v>142.65</v>
      </c>
      <c r="E9" s="6">
        <f>IFERROR(__xludf.DUMMYFUNCTION("""COMPUTED_VALUE"""),143.95)</f>
        <v>143.95</v>
      </c>
      <c r="F9" s="6">
        <f>IFERROR(__xludf.DUMMYFUNCTION("""COMPUTED_VALUE"""),1.5002987E7)</f>
        <v>15002987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IFERROR(__xludf.DUMMYFUNCTION("""COMPUTED_VALUE"""),144.15)</f>
        <v>144.15</v>
      </c>
      <c r="C10" s="6">
        <f>IFERROR(__xludf.DUMMYFUNCTION("""COMPUTED_VALUE"""),145.0)</f>
        <v>145</v>
      </c>
      <c r="D10" s="6">
        <f>IFERROR(__xludf.DUMMYFUNCTION("""COMPUTED_VALUE"""),136.5)</f>
        <v>136.5</v>
      </c>
      <c r="E10" s="6">
        <f>IFERROR(__xludf.DUMMYFUNCTION("""COMPUTED_VALUE"""),140.0)</f>
        <v>140</v>
      </c>
      <c r="F10" s="6">
        <f>IFERROR(__xludf.DUMMYFUNCTION("""COMPUTED_VALUE"""),2.113296E7)</f>
        <v>21132960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IFERROR(__xludf.DUMMYFUNCTION("""COMPUTED_VALUE"""),139.9)</f>
        <v>139.9</v>
      </c>
      <c r="C11" s="6">
        <f>IFERROR(__xludf.DUMMYFUNCTION("""COMPUTED_VALUE"""),142.2)</f>
        <v>142.2</v>
      </c>
      <c r="D11" s="6">
        <f>IFERROR(__xludf.DUMMYFUNCTION("""COMPUTED_VALUE"""),138.1)</f>
        <v>138.1</v>
      </c>
      <c r="E11" s="6">
        <f>IFERROR(__xludf.DUMMYFUNCTION("""COMPUTED_VALUE"""),140.35)</f>
        <v>140.35</v>
      </c>
      <c r="F11" s="6">
        <f>IFERROR(__xludf.DUMMYFUNCTION("""COMPUTED_VALUE"""),6063299.0)</f>
        <v>6063299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IFERROR(__xludf.DUMMYFUNCTION("""COMPUTED_VALUE"""),142.1)</f>
        <v>142.1</v>
      </c>
      <c r="C12" s="6">
        <f>IFERROR(__xludf.DUMMYFUNCTION("""COMPUTED_VALUE"""),154.8)</f>
        <v>154.8</v>
      </c>
      <c r="D12" s="6">
        <f>IFERROR(__xludf.DUMMYFUNCTION("""COMPUTED_VALUE"""),141.65)</f>
        <v>141.65</v>
      </c>
      <c r="E12" s="6">
        <f>IFERROR(__xludf.DUMMYFUNCTION("""COMPUTED_VALUE"""),149.9)</f>
        <v>149.9</v>
      </c>
      <c r="F12" s="6">
        <f>IFERROR(__xludf.DUMMYFUNCTION("""COMPUTED_VALUE"""),3.9436852E7)</f>
        <v>39436852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IFERROR(__xludf.DUMMYFUNCTION("""COMPUTED_VALUE"""),150.1)</f>
        <v>150.1</v>
      </c>
      <c r="C13" s="6">
        <f>IFERROR(__xludf.DUMMYFUNCTION("""COMPUTED_VALUE"""),170.0)</f>
        <v>170</v>
      </c>
      <c r="D13" s="6">
        <f>IFERROR(__xludf.DUMMYFUNCTION("""COMPUTED_VALUE"""),146.15)</f>
        <v>146.15</v>
      </c>
      <c r="E13" s="6">
        <f>IFERROR(__xludf.DUMMYFUNCTION("""COMPUTED_VALUE"""),167.65)</f>
        <v>167.65</v>
      </c>
      <c r="F13" s="6">
        <f>IFERROR(__xludf.DUMMYFUNCTION("""COMPUTED_VALUE"""),6.1252185E7)</f>
        <v>61252185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IFERROR(__xludf.DUMMYFUNCTION("""COMPUTED_VALUE"""),168.0)</f>
        <v>168</v>
      </c>
      <c r="C14" s="6">
        <f>IFERROR(__xludf.DUMMYFUNCTION("""COMPUTED_VALUE"""),177.0)</f>
        <v>177</v>
      </c>
      <c r="D14" s="6">
        <f>IFERROR(__xludf.DUMMYFUNCTION("""COMPUTED_VALUE"""),167.7)</f>
        <v>167.7</v>
      </c>
      <c r="E14" s="6">
        <f>IFERROR(__xludf.DUMMYFUNCTION("""COMPUTED_VALUE"""),171.65)</f>
        <v>171.65</v>
      </c>
      <c r="F14" s="6">
        <f>IFERROR(__xludf.DUMMYFUNCTION("""COMPUTED_VALUE"""),7.5368057E7)</f>
        <v>75368057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IFERROR(__xludf.DUMMYFUNCTION("""COMPUTED_VALUE"""),171.65)</f>
        <v>171.65</v>
      </c>
      <c r="C15" s="6">
        <f>IFERROR(__xludf.DUMMYFUNCTION("""COMPUTED_VALUE"""),178.35)</f>
        <v>178.35</v>
      </c>
      <c r="D15" s="6">
        <f>IFERROR(__xludf.DUMMYFUNCTION("""COMPUTED_VALUE"""),165.45)</f>
        <v>165.45</v>
      </c>
      <c r="E15" s="6">
        <f>IFERROR(__xludf.DUMMYFUNCTION("""COMPUTED_VALUE"""),176.65)</f>
        <v>176.65</v>
      </c>
      <c r="F15" s="6">
        <f>IFERROR(__xludf.DUMMYFUNCTION("""COMPUTED_VALUE"""),3.5167258E7)</f>
        <v>35167258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IFERROR(__xludf.DUMMYFUNCTION("""COMPUTED_VALUE"""),179.0)</f>
        <v>179</v>
      </c>
      <c r="C16" s="6">
        <f>IFERROR(__xludf.DUMMYFUNCTION("""COMPUTED_VALUE"""),180.4)</f>
        <v>180.4</v>
      </c>
      <c r="D16" s="6">
        <f>IFERROR(__xludf.DUMMYFUNCTION("""COMPUTED_VALUE"""),168.2)</f>
        <v>168.2</v>
      </c>
      <c r="E16" s="6">
        <f>IFERROR(__xludf.DUMMYFUNCTION("""COMPUTED_VALUE"""),170.6)</f>
        <v>170.6</v>
      </c>
      <c r="F16" s="6">
        <f>IFERROR(__xludf.DUMMYFUNCTION("""COMPUTED_VALUE"""),2.3082137E7)</f>
        <v>23082137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IFERROR(__xludf.DUMMYFUNCTION("""COMPUTED_VALUE"""),170.0)</f>
        <v>170</v>
      </c>
      <c r="C17" s="6">
        <f>IFERROR(__xludf.DUMMYFUNCTION("""COMPUTED_VALUE"""),181.75)</f>
        <v>181.75</v>
      </c>
      <c r="D17" s="6">
        <f>IFERROR(__xludf.DUMMYFUNCTION("""COMPUTED_VALUE"""),162.6)</f>
        <v>162.6</v>
      </c>
      <c r="E17" s="6">
        <f>IFERROR(__xludf.DUMMYFUNCTION("""COMPUTED_VALUE"""),176.85)</f>
        <v>176.85</v>
      </c>
      <c r="F17" s="6">
        <f>IFERROR(__xludf.DUMMYFUNCTION("""COMPUTED_VALUE"""),3.4448944E7)</f>
        <v>34448944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IFERROR(__xludf.DUMMYFUNCTION("""COMPUTED_VALUE"""),176.0)</f>
        <v>176</v>
      </c>
      <c r="C18" s="6">
        <f>IFERROR(__xludf.DUMMYFUNCTION("""COMPUTED_VALUE"""),183.4)</f>
        <v>183.4</v>
      </c>
      <c r="D18" s="6">
        <f>IFERROR(__xludf.DUMMYFUNCTION("""COMPUTED_VALUE"""),157.0)</f>
        <v>157</v>
      </c>
      <c r="E18" s="6">
        <f>IFERROR(__xludf.DUMMYFUNCTION("""COMPUTED_VALUE"""),172.7)</f>
        <v>172.7</v>
      </c>
      <c r="F18" s="6">
        <f>IFERROR(__xludf.DUMMYFUNCTION("""COMPUTED_VALUE"""),2.5522672E7)</f>
        <v>25522672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IFERROR(__xludf.DUMMYFUNCTION("""COMPUTED_VALUE"""),172.7)</f>
        <v>172.7</v>
      </c>
      <c r="C19" s="6">
        <f>IFERROR(__xludf.DUMMYFUNCTION("""COMPUTED_VALUE"""),175.55)</f>
        <v>175.55</v>
      </c>
      <c r="D19" s="6">
        <f>IFERROR(__xludf.DUMMYFUNCTION("""COMPUTED_VALUE"""),169.2)</f>
        <v>169.2</v>
      </c>
      <c r="E19" s="6">
        <f>IFERROR(__xludf.DUMMYFUNCTION("""COMPUTED_VALUE"""),173.95)</f>
        <v>173.95</v>
      </c>
      <c r="F19" s="6">
        <f>IFERROR(__xludf.DUMMYFUNCTION("""COMPUTED_VALUE"""),1.5663302E7)</f>
        <v>15663302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IFERROR(__xludf.DUMMYFUNCTION("""COMPUTED_VALUE"""),173.7)</f>
        <v>173.7</v>
      </c>
      <c r="C20" s="6">
        <f>IFERROR(__xludf.DUMMYFUNCTION("""COMPUTED_VALUE"""),177.0)</f>
        <v>177</v>
      </c>
      <c r="D20" s="6">
        <f>IFERROR(__xludf.DUMMYFUNCTION("""COMPUTED_VALUE"""),167.2)</f>
        <v>167.2</v>
      </c>
      <c r="E20" s="6">
        <f>IFERROR(__xludf.DUMMYFUNCTION("""COMPUTED_VALUE"""),173.4)</f>
        <v>173.4</v>
      </c>
      <c r="F20" s="6">
        <f>IFERROR(__xludf.DUMMYFUNCTION("""COMPUTED_VALUE"""),2.3902341E7)</f>
        <v>23902341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IFERROR(__xludf.DUMMYFUNCTION("""COMPUTED_VALUE"""),176.0)</f>
        <v>176</v>
      </c>
      <c r="C21" s="6">
        <f>IFERROR(__xludf.DUMMYFUNCTION("""COMPUTED_VALUE"""),195.5)</f>
        <v>195.5</v>
      </c>
      <c r="D21" s="6">
        <f>IFERROR(__xludf.DUMMYFUNCTION("""COMPUTED_VALUE"""),175.15)</f>
        <v>175.15</v>
      </c>
      <c r="E21" s="6">
        <f>IFERROR(__xludf.DUMMYFUNCTION("""COMPUTED_VALUE"""),187.6)</f>
        <v>187.6</v>
      </c>
      <c r="F21" s="6">
        <f>IFERROR(__xludf.DUMMYFUNCTION("""COMPUTED_VALUE"""),1.09901848E8)</f>
        <v>109901848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IFERROR(__xludf.DUMMYFUNCTION("""COMPUTED_VALUE"""),172.6)</f>
        <v>172.6</v>
      </c>
      <c r="C22" s="6">
        <f>IFERROR(__xludf.DUMMYFUNCTION("""COMPUTED_VALUE"""),172.6)</f>
        <v>172.6</v>
      </c>
      <c r="D22" s="6">
        <f>IFERROR(__xludf.DUMMYFUNCTION("""COMPUTED_VALUE"""),159.2)</f>
        <v>159.2</v>
      </c>
      <c r="E22" s="6">
        <f>IFERROR(__xludf.DUMMYFUNCTION("""COMPUTED_VALUE"""),161.1)</f>
        <v>161.1</v>
      </c>
      <c r="F22" s="6">
        <f>IFERROR(__xludf.DUMMYFUNCTION("""COMPUTED_VALUE"""),1.9395517E7)</f>
        <v>19395517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IFERROR(__xludf.DUMMYFUNCTION("""COMPUTED_VALUE"""),161.35)</f>
        <v>161.35</v>
      </c>
      <c r="C23" s="6">
        <f>IFERROR(__xludf.DUMMYFUNCTION("""COMPUTED_VALUE"""),168.8)</f>
        <v>168.8</v>
      </c>
      <c r="D23" s="6">
        <f>IFERROR(__xludf.DUMMYFUNCTION("""COMPUTED_VALUE"""),159.65)</f>
        <v>159.65</v>
      </c>
      <c r="E23" s="6">
        <f>IFERROR(__xludf.DUMMYFUNCTION("""COMPUTED_VALUE"""),163.2)</f>
        <v>163.2</v>
      </c>
      <c r="F23" s="6">
        <f>IFERROR(__xludf.DUMMYFUNCTION("""COMPUTED_VALUE"""),2.5038691E7)</f>
        <v>25038691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IFERROR(__xludf.DUMMYFUNCTION("""COMPUTED_VALUE"""),162.95)</f>
        <v>162.95</v>
      </c>
      <c r="C24" s="6">
        <f>IFERROR(__xludf.DUMMYFUNCTION("""COMPUTED_VALUE"""),170.0)</f>
        <v>170</v>
      </c>
      <c r="D24" s="6">
        <f>IFERROR(__xludf.DUMMYFUNCTION("""COMPUTED_VALUE"""),146.75)</f>
        <v>146.75</v>
      </c>
      <c r="E24" s="6">
        <f>IFERROR(__xludf.DUMMYFUNCTION("""COMPUTED_VALUE"""),150.15)</f>
        <v>150.15</v>
      </c>
      <c r="F24" s="6">
        <f>IFERROR(__xludf.DUMMYFUNCTION("""COMPUTED_VALUE"""),6.6655857E7)</f>
        <v>66655857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IFERROR(__xludf.DUMMYFUNCTION("""COMPUTED_VALUE"""),151.45)</f>
        <v>151.45</v>
      </c>
      <c r="C25" s="6">
        <f>IFERROR(__xludf.DUMMYFUNCTION("""COMPUTED_VALUE"""),155.3)</f>
        <v>155.3</v>
      </c>
      <c r="D25" s="6">
        <f>IFERROR(__xludf.DUMMYFUNCTION("""COMPUTED_VALUE"""),139.8)</f>
        <v>139.8</v>
      </c>
      <c r="E25" s="6">
        <f>IFERROR(__xludf.DUMMYFUNCTION("""COMPUTED_VALUE"""),151.25)</f>
        <v>151.25</v>
      </c>
      <c r="F25" s="6">
        <f>IFERROR(__xludf.DUMMYFUNCTION("""COMPUTED_VALUE"""),4.036289E7)</f>
        <v>40362890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IFERROR(__xludf.DUMMYFUNCTION("""COMPUTED_VALUE"""),151.55)</f>
        <v>151.55</v>
      </c>
      <c r="C26" s="6">
        <f>IFERROR(__xludf.DUMMYFUNCTION("""COMPUTED_VALUE"""),155.55)</f>
        <v>155.55</v>
      </c>
      <c r="D26" s="6">
        <f>IFERROR(__xludf.DUMMYFUNCTION("""COMPUTED_VALUE"""),147.5)</f>
        <v>147.5</v>
      </c>
      <c r="E26" s="6">
        <f>IFERROR(__xludf.DUMMYFUNCTION("""COMPUTED_VALUE"""),152.05)</f>
        <v>152.05</v>
      </c>
      <c r="F26" s="6">
        <f>IFERROR(__xludf.DUMMYFUNCTION("""COMPUTED_VALUE"""),1.6781723E7)</f>
        <v>16781723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IFERROR(__xludf.DUMMYFUNCTION("""COMPUTED_VALUE"""),159.85)</f>
        <v>159.85</v>
      </c>
      <c r="C27" s="6">
        <f>IFERROR(__xludf.DUMMYFUNCTION("""COMPUTED_VALUE"""),163.0)</f>
        <v>163</v>
      </c>
      <c r="D27" s="6">
        <f>IFERROR(__xludf.DUMMYFUNCTION("""COMPUTED_VALUE"""),154.15)</f>
        <v>154.15</v>
      </c>
      <c r="E27" s="6">
        <f>IFERROR(__xludf.DUMMYFUNCTION("""COMPUTED_VALUE"""),156.6)</f>
        <v>156.6</v>
      </c>
      <c r="F27" s="6">
        <f>IFERROR(__xludf.DUMMYFUNCTION("""COMPUTED_VALUE"""),1.6180703E7)</f>
        <v>16180703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IFERROR(__xludf.DUMMYFUNCTION("""COMPUTED_VALUE"""),158.8)</f>
        <v>158.8</v>
      </c>
      <c r="C28" s="6">
        <f>IFERROR(__xludf.DUMMYFUNCTION("""COMPUTED_VALUE"""),161.7)</f>
        <v>161.7</v>
      </c>
      <c r="D28" s="6">
        <f>IFERROR(__xludf.DUMMYFUNCTION("""COMPUTED_VALUE"""),145.3)</f>
        <v>145.3</v>
      </c>
      <c r="E28" s="6">
        <f>IFERROR(__xludf.DUMMYFUNCTION("""COMPUTED_VALUE"""),149.95)</f>
        <v>149.95</v>
      </c>
      <c r="F28" s="6">
        <f>IFERROR(__xludf.DUMMYFUNCTION("""COMPUTED_VALUE"""),3.3432828E7)</f>
        <v>33432828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IFERROR(__xludf.DUMMYFUNCTION("""COMPUTED_VALUE"""),150.0)</f>
        <v>150</v>
      </c>
      <c r="C29" s="6">
        <f>IFERROR(__xludf.DUMMYFUNCTION("""COMPUTED_VALUE"""),164.0)</f>
        <v>164</v>
      </c>
      <c r="D29" s="6">
        <f>IFERROR(__xludf.DUMMYFUNCTION("""COMPUTED_VALUE"""),148.6)</f>
        <v>148.6</v>
      </c>
      <c r="E29" s="6">
        <f>IFERROR(__xludf.DUMMYFUNCTION("""COMPUTED_VALUE"""),163.55)</f>
        <v>163.55</v>
      </c>
      <c r="F29" s="6">
        <f>IFERROR(__xludf.DUMMYFUNCTION("""COMPUTED_VALUE"""),1.7853773E7)</f>
        <v>17853773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IFERROR(__xludf.DUMMYFUNCTION("""COMPUTED_VALUE"""),163.55)</f>
        <v>163.55</v>
      </c>
      <c r="C30" s="6">
        <f>IFERROR(__xludf.DUMMYFUNCTION("""COMPUTED_VALUE"""),165.2)</f>
        <v>165.2</v>
      </c>
      <c r="D30" s="6">
        <f>IFERROR(__xludf.DUMMYFUNCTION("""COMPUTED_VALUE"""),160.1)</f>
        <v>160.1</v>
      </c>
      <c r="E30" s="6">
        <f>IFERROR(__xludf.DUMMYFUNCTION("""COMPUTED_VALUE"""),161.95)</f>
        <v>161.95</v>
      </c>
      <c r="F30" s="6">
        <f>IFERROR(__xludf.DUMMYFUNCTION("""COMPUTED_VALUE"""),9824754.0)</f>
        <v>9824754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IFERROR(__xludf.DUMMYFUNCTION("""COMPUTED_VALUE"""),162.1)</f>
        <v>162.1</v>
      </c>
      <c r="C31" s="6">
        <f>IFERROR(__xludf.DUMMYFUNCTION("""COMPUTED_VALUE"""),170.5)</f>
        <v>170.5</v>
      </c>
      <c r="D31" s="6">
        <f>IFERROR(__xludf.DUMMYFUNCTION("""COMPUTED_VALUE"""),160.9)</f>
        <v>160.9</v>
      </c>
      <c r="E31" s="6">
        <f>IFERROR(__xludf.DUMMYFUNCTION("""COMPUTED_VALUE"""),168.45)</f>
        <v>168.45</v>
      </c>
      <c r="F31" s="6">
        <f>IFERROR(__xludf.DUMMYFUNCTION("""COMPUTED_VALUE"""),2.4170947E7)</f>
        <v>24170947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IFERROR(__xludf.DUMMYFUNCTION("""COMPUTED_VALUE"""),174.15)</f>
        <v>174.15</v>
      </c>
      <c r="C32" s="6">
        <f>IFERROR(__xludf.DUMMYFUNCTION("""COMPUTED_VALUE"""),185.8)</f>
        <v>185.8</v>
      </c>
      <c r="D32" s="6">
        <f>IFERROR(__xludf.DUMMYFUNCTION("""COMPUTED_VALUE"""),171.35)</f>
        <v>171.35</v>
      </c>
      <c r="E32" s="6">
        <f>IFERROR(__xludf.DUMMYFUNCTION("""COMPUTED_VALUE"""),178.1)</f>
        <v>178.1</v>
      </c>
      <c r="F32" s="6">
        <f>IFERROR(__xludf.DUMMYFUNCTION("""COMPUTED_VALUE"""),5.3387484E7)</f>
        <v>53387484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IFERROR(__xludf.DUMMYFUNCTION("""COMPUTED_VALUE"""),174.0)</f>
        <v>174</v>
      </c>
      <c r="C33" s="6">
        <f>IFERROR(__xludf.DUMMYFUNCTION("""COMPUTED_VALUE"""),181.5)</f>
        <v>181.5</v>
      </c>
      <c r="D33" s="6">
        <f>IFERROR(__xludf.DUMMYFUNCTION("""COMPUTED_VALUE"""),160.85)</f>
        <v>160.85</v>
      </c>
      <c r="E33" s="6">
        <f>IFERROR(__xludf.DUMMYFUNCTION("""COMPUTED_VALUE"""),168.2)</f>
        <v>168.2</v>
      </c>
      <c r="F33" s="6">
        <f>IFERROR(__xludf.DUMMYFUNCTION("""COMPUTED_VALUE"""),2.3240056E7)</f>
        <v>23240056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IFERROR(__xludf.DUMMYFUNCTION("""COMPUTED_VALUE"""),170.0)</f>
        <v>170</v>
      </c>
      <c r="C34" s="6">
        <f>IFERROR(__xludf.DUMMYFUNCTION("""COMPUTED_VALUE"""),181.5)</f>
        <v>181.5</v>
      </c>
      <c r="D34" s="6">
        <f>IFERROR(__xludf.DUMMYFUNCTION("""COMPUTED_VALUE"""),165.5)</f>
        <v>165.5</v>
      </c>
      <c r="E34" s="6">
        <f>IFERROR(__xludf.DUMMYFUNCTION("""COMPUTED_VALUE"""),177.1)</f>
        <v>177.1</v>
      </c>
      <c r="F34" s="6">
        <f>IFERROR(__xludf.DUMMYFUNCTION("""COMPUTED_VALUE"""),1.6628704E7)</f>
        <v>16628704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IFERROR(__xludf.DUMMYFUNCTION("""COMPUTED_VALUE"""),178.15)</f>
        <v>178.15</v>
      </c>
      <c r="C35" s="6">
        <f>IFERROR(__xludf.DUMMYFUNCTION("""COMPUTED_VALUE"""),180.5)</f>
        <v>180.5</v>
      </c>
      <c r="D35" s="6">
        <f>IFERROR(__xludf.DUMMYFUNCTION("""COMPUTED_VALUE"""),171.5)</f>
        <v>171.5</v>
      </c>
      <c r="E35" s="6">
        <f>IFERROR(__xludf.DUMMYFUNCTION("""COMPUTED_VALUE"""),173.7)</f>
        <v>173.7</v>
      </c>
      <c r="F35" s="6">
        <f>IFERROR(__xludf.DUMMYFUNCTION("""COMPUTED_VALUE"""),1.9005413E7)</f>
        <v>19005413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IFERROR(__xludf.DUMMYFUNCTION("""COMPUTED_VALUE"""),173.9)</f>
        <v>173.9</v>
      </c>
      <c r="C36" s="6">
        <f>IFERROR(__xludf.DUMMYFUNCTION("""COMPUTED_VALUE"""),177.2)</f>
        <v>177.2</v>
      </c>
      <c r="D36" s="6">
        <f>IFERROR(__xludf.DUMMYFUNCTION("""COMPUTED_VALUE"""),165.0)</f>
        <v>165</v>
      </c>
      <c r="E36" s="6">
        <f>IFERROR(__xludf.DUMMYFUNCTION("""COMPUTED_VALUE"""),169.9)</f>
        <v>169.9</v>
      </c>
      <c r="F36" s="6">
        <f>IFERROR(__xludf.DUMMYFUNCTION("""COMPUTED_VALUE"""),1.8971193E7)</f>
        <v>18971193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IFERROR(__xludf.DUMMYFUNCTION("""COMPUTED_VALUE"""),176.55)</f>
        <v>176.55</v>
      </c>
      <c r="C37" s="6">
        <f>IFERROR(__xludf.DUMMYFUNCTION("""COMPUTED_VALUE"""),187.35)</f>
        <v>187.35</v>
      </c>
      <c r="D37" s="6">
        <f>IFERROR(__xludf.DUMMYFUNCTION("""COMPUTED_VALUE"""),167.2)</f>
        <v>167.2</v>
      </c>
      <c r="E37" s="6">
        <f>IFERROR(__xludf.DUMMYFUNCTION("""COMPUTED_VALUE"""),168.1)</f>
        <v>168.1</v>
      </c>
      <c r="F37" s="6">
        <f>IFERROR(__xludf.DUMMYFUNCTION("""COMPUTED_VALUE"""),2.7412746E7)</f>
        <v>27412746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IFERROR(__xludf.DUMMYFUNCTION("""COMPUTED_VALUE"""),169.0)</f>
        <v>169</v>
      </c>
      <c r="C38" s="6">
        <f>IFERROR(__xludf.DUMMYFUNCTION("""COMPUTED_VALUE"""),170.45)</f>
        <v>170.45</v>
      </c>
      <c r="D38" s="6">
        <f>IFERROR(__xludf.DUMMYFUNCTION("""COMPUTED_VALUE"""),159.0)</f>
        <v>159</v>
      </c>
      <c r="E38" s="6">
        <f>IFERROR(__xludf.DUMMYFUNCTION("""COMPUTED_VALUE"""),164.2)</f>
        <v>164.2</v>
      </c>
      <c r="F38" s="6">
        <f>IFERROR(__xludf.DUMMYFUNCTION("""COMPUTED_VALUE"""),2.8632834E7)</f>
        <v>28632834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IFERROR(__xludf.DUMMYFUNCTION("""COMPUTED_VALUE"""),167.5)</f>
        <v>167.5</v>
      </c>
      <c r="C39" s="6">
        <f>IFERROR(__xludf.DUMMYFUNCTION("""COMPUTED_VALUE"""),172.0)</f>
        <v>172</v>
      </c>
      <c r="D39" s="6">
        <f>IFERROR(__xludf.DUMMYFUNCTION("""COMPUTED_VALUE"""),149.75)</f>
        <v>149.75</v>
      </c>
      <c r="E39" s="6">
        <f>IFERROR(__xludf.DUMMYFUNCTION("""COMPUTED_VALUE"""),169.9)</f>
        <v>169.9</v>
      </c>
      <c r="F39" s="6">
        <f>IFERROR(__xludf.DUMMYFUNCTION("""COMPUTED_VALUE"""),2.6160196E7)</f>
        <v>26160196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IFERROR(__xludf.DUMMYFUNCTION("""COMPUTED_VALUE"""),170.05)</f>
        <v>170.05</v>
      </c>
      <c r="C40" s="6">
        <f>IFERROR(__xludf.DUMMYFUNCTION("""COMPUTED_VALUE"""),175.45)</f>
        <v>175.45</v>
      </c>
      <c r="D40" s="6">
        <f>IFERROR(__xludf.DUMMYFUNCTION("""COMPUTED_VALUE"""),163.6)</f>
        <v>163.6</v>
      </c>
      <c r="E40" s="6">
        <f>IFERROR(__xludf.DUMMYFUNCTION("""COMPUTED_VALUE"""),171.06)</f>
        <v>171.06</v>
      </c>
      <c r="F40" s="6">
        <f>IFERROR(__xludf.DUMMYFUNCTION("""COMPUTED_VALUE"""),3.8263253E7)</f>
        <v>38263253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IFERROR(__xludf.DUMMYFUNCTION("""COMPUTED_VALUE"""),172.0)</f>
        <v>172</v>
      </c>
      <c r="C41" s="6">
        <f>IFERROR(__xludf.DUMMYFUNCTION("""COMPUTED_VALUE"""),178.28)</f>
        <v>178.28</v>
      </c>
      <c r="D41" s="6">
        <f>IFERROR(__xludf.DUMMYFUNCTION("""COMPUTED_VALUE"""),171.45)</f>
        <v>171.45</v>
      </c>
      <c r="E41" s="6">
        <f>IFERROR(__xludf.DUMMYFUNCTION("""COMPUTED_VALUE"""),174.64)</f>
        <v>174.64</v>
      </c>
      <c r="F41" s="6">
        <f>IFERROR(__xludf.DUMMYFUNCTION("""COMPUTED_VALUE"""),2.5903004E7)</f>
        <v>25903004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IFERROR(__xludf.DUMMYFUNCTION("""COMPUTED_VALUE"""),173.5)</f>
        <v>173.5</v>
      </c>
      <c r="C42" s="6">
        <f>IFERROR(__xludf.DUMMYFUNCTION("""COMPUTED_VALUE"""),179.04)</f>
        <v>179.04</v>
      </c>
      <c r="D42" s="6">
        <f>IFERROR(__xludf.DUMMYFUNCTION("""COMPUTED_VALUE"""),171.75)</f>
        <v>171.75</v>
      </c>
      <c r="E42" s="6">
        <f>IFERROR(__xludf.DUMMYFUNCTION("""COMPUTED_VALUE"""),176.44)</f>
        <v>176.44</v>
      </c>
      <c r="F42" s="6">
        <f>IFERROR(__xludf.DUMMYFUNCTION("""COMPUTED_VALUE"""),2.7829337E7)</f>
        <v>27829337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IFERROR(__xludf.DUMMYFUNCTION("""COMPUTED_VALUE"""),177.18)</f>
        <v>177.18</v>
      </c>
      <c r="C43" s="6">
        <f>IFERROR(__xludf.DUMMYFUNCTION("""COMPUTED_VALUE"""),178.0)</f>
        <v>178</v>
      </c>
      <c r="D43" s="6">
        <f>IFERROR(__xludf.DUMMYFUNCTION("""COMPUTED_VALUE"""),170.5)</f>
        <v>170.5</v>
      </c>
      <c r="E43" s="6">
        <f>IFERROR(__xludf.DUMMYFUNCTION("""COMPUTED_VALUE"""),177.2)</f>
        <v>177.2</v>
      </c>
      <c r="F43" s="6">
        <f>IFERROR(__xludf.DUMMYFUNCTION("""COMPUTED_VALUE"""),2.9957289E7)</f>
        <v>29957289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IFERROR(__xludf.DUMMYFUNCTION("""COMPUTED_VALUE"""),177.9)</f>
        <v>177.9</v>
      </c>
      <c r="C44" s="6">
        <f>IFERROR(__xludf.DUMMYFUNCTION("""COMPUTED_VALUE"""),182.69)</f>
        <v>182.69</v>
      </c>
      <c r="D44" s="6">
        <f>IFERROR(__xludf.DUMMYFUNCTION("""COMPUTED_VALUE"""),173.2)</f>
        <v>173.2</v>
      </c>
      <c r="E44" s="6">
        <f>IFERROR(__xludf.DUMMYFUNCTION("""COMPUTED_VALUE"""),180.29)</f>
        <v>180.29</v>
      </c>
      <c r="F44" s="6">
        <f>IFERROR(__xludf.DUMMYFUNCTION("""COMPUTED_VALUE"""),3.4279737E7)</f>
        <v>34279737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IFERROR(__xludf.DUMMYFUNCTION("""COMPUTED_VALUE"""),181.35)</f>
        <v>181.35</v>
      </c>
      <c r="C45" s="6">
        <f>IFERROR(__xludf.DUMMYFUNCTION("""COMPUTED_VALUE"""),184.8)</f>
        <v>184.8</v>
      </c>
      <c r="D45" s="6">
        <f>IFERROR(__xludf.DUMMYFUNCTION("""COMPUTED_VALUE"""),175.0)</f>
        <v>175</v>
      </c>
      <c r="E45" s="6">
        <f>IFERROR(__xludf.DUMMYFUNCTION("""COMPUTED_VALUE"""),177.45)</f>
        <v>177.45</v>
      </c>
      <c r="F45" s="6">
        <f>IFERROR(__xludf.DUMMYFUNCTION("""COMPUTED_VALUE"""),2.7402037E7)</f>
        <v>27402037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IFERROR(__xludf.DUMMYFUNCTION("""COMPUTED_VALUE"""),174.98)</f>
        <v>174.98</v>
      </c>
      <c r="C46" s="6">
        <f>IFERROR(__xludf.DUMMYFUNCTION("""COMPUTED_VALUE"""),186.49)</f>
        <v>186.49</v>
      </c>
      <c r="D46" s="6">
        <f>IFERROR(__xludf.DUMMYFUNCTION("""COMPUTED_VALUE"""),172.0)</f>
        <v>172</v>
      </c>
      <c r="E46" s="6">
        <f>IFERROR(__xludf.DUMMYFUNCTION("""COMPUTED_VALUE"""),182.98)</f>
        <v>182.98</v>
      </c>
      <c r="F46" s="6">
        <f>IFERROR(__xludf.DUMMYFUNCTION("""COMPUTED_VALUE"""),1.990034E7)</f>
        <v>19900340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IFERROR(__xludf.DUMMYFUNCTION("""COMPUTED_VALUE"""),183.51)</f>
        <v>183.51</v>
      </c>
      <c r="C47" s="6">
        <f>IFERROR(__xludf.DUMMYFUNCTION("""COMPUTED_VALUE"""),204.44)</f>
        <v>204.44</v>
      </c>
      <c r="D47" s="6">
        <f>IFERROR(__xludf.DUMMYFUNCTION("""COMPUTED_VALUE"""),182.29)</f>
        <v>182.29</v>
      </c>
      <c r="E47" s="6">
        <f>IFERROR(__xludf.DUMMYFUNCTION("""COMPUTED_VALUE"""),200.12)</f>
        <v>200.12</v>
      </c>
      <c r="F47" s="6">
        <f>IFERROR(__xludf.DUMMYFUNCTION("""COMPUTED_VALUE"""),1.17124747E8)</f>
        <v>117124747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IFERROR(__xludf.DUMMYFUNCTION("""COMPUTED_VALUE"""),195.11)</f>
        <v>195.11</v>
      </c>
      <c r="C48" s="6">
        <f>IFERROR(__xludf.DUMMYFUNCTION("""COMPUTED_VALUE"""),196.0)</f>
        <v>196</v>
      </c>
      <c r="D48" s="6">
        <f>IFERROR(__xludf.DUMMYFUNCTION("""COMPUTED_VALUE"""),183.63)</f>
        <v>183.63</v>
      </c>
      <c r="E48" s="6">
        <f>IFERROR(__xludf.DUMMYFUNCTION("""COMPUTED_VALUE"""),192.04)</f>
        <v>192.04</v>
      </c>
      <c r="F48" s="6">
        <f>IFERROR(__xludf.DUMMYFUNCTION("""COMPUTED_VALUE"""),4.0884379E7)</f>
        <v>40884379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IFERROR(__xludf.DUMMYFUNCTION("""COMPUTED_VALUE"""),192.0)</f>
        <v>192</v>
      </c>
      <c r="C49" s="6">
        <f>IFERROR(__xludf.DUMMYFUNCTION("""COMPUTED_VALUE"""),197.45)</f>
        <v>197.45</v>
      </c>
      <c r="D49" s="6">
        <f>IFERROR(__xludf.DUMMYFUNCTION("""COMPUTED_VALUE"""),182.77)</f>
        <v>182.77</v>
      </c>
      <c r="E49" s="6">
        <f>IFERROR(__xludf.DUMMYFUNCTION("""COMPUTED_VALUE"""),193.9)</f>
        <v>193.9</v>
      </c>
      <c r="F49" s="6">
        <f>IFERROR(__xludf.DUMMYFUNCTION("""COMPUTED_VALUE"""),5.1235717E7)</f>
        <v>51235717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IFERROR(__xludf.DUMMYFUNCTION("""COMPUTED_VALUE"""),194.97)</f>
        <v>194.97</v>
      </c>
      <c r="C50" s="6">
        <f>IFERROR(__xludf.DUMMYFUNCTION("""COMPUTED_VALUE"""),229.8)</f>
        <v>229.8</v>
      </c>
      <c r="D50" s="6">
        <f>IFERROR(__xludf.DUMMYFUNCTION("""COMPUTED_VALUE"""),190.62)</f>
        <v>190.62</v>
      </c>
      <c r="E50" s="6">
        <f>IFERROR(__xludf.DUMMYFUNCTION("""COMPUTED_VALUE"""),226.77)</f>
        <v>226.77</v>
      </c>
      <c r="F50" s="6">
        <f>IFERROR(__xludf.DUMMYFUNCTION("""COMPUTED_VALUE"""),2.76490604E8)</f>
        <v>276490604</v>
      </c>
    </row>
    <row r="51">
      <c r="A51" s="7">
        <f>IFERROR(__xludf.DUMMYFUNCTION("""COMPUTED_VALUE"""),45534.64583333333)</f>
        <v>45534.64583</v>
      </c>
      <c r="B51" s="6">
        <f>IFERROR(__xludf.DUMMYFUNCTION("""COMPUTED_VALUE"""),227.5)</f>
        <v>227.5</v>
      </c>
      <c r="C51" s="6">
        <f>IFERROR(__xludf.DUMMYFUNCTION("""COMPUTED_VALUE"""),227.8)</f>
        <v>227.8</v>
      </c>
      <c r="D51" s="6">
        <f>IFERROR(__xludf.DUMMYFUNCTION("""COMPUTED_VALUE"""),206.32)</f>
        <v>206.32</v>
      </c>
      <c r="E51" s="6">
        <f>IFERROR(__xludf.DUMMYFUNCTION("""COMPUTED_VALUE"""),207.7)</f>
        <v>207.7</v>
      </c>
      <c r="F51" s="6">
        <f>IFERROR(__xludf.DUMMYFUNCTION("""COMPUTED_VALUE"""),8.790407E7)</f>
        <v>87904070</v>
      </c>
    </row>
    <row r="52">
      <c r="A52" s="7">
        <f>IFERROR(__xludf.DUMMYFUNCTION("""COMPUTED_VALUE"""),45541.64583333333)</f>
        <v>45541.64583</v>
      </c>
      <c r="B52" s="6">
        <f>IFERROR(__xludf.DUMMYFUNCTION("""COMPUTED_VALUE"""),207.98)</f>
        <v>207.98</v>
      </c>
      <c r="C52" s="6">
        <f>IFERROR(__xludf.DUMMYFUNCTION("""COMPUTED_VALUE"""),220.8)</f>
        <v>220.8</v>
      </c>
      <c r="D52" s="6">
        <f>IFERROR(__xludf.DUMMYFUNCTION("""COMPUTED_VALUE"""),204.24)</f>
        <v>204.24</v>
      </c>
      <c r="E52" s="6">
        <f>IFERROR(__xludf.DUMMYFUNCTION("""COMPUTED_VALUE"""),216.49)</f>
        <v>216.49</v>
      </c>
      <c r="F52" s="6">
        <f>IFERROR(__xludf.DUMMYFUNCTION("""COMPUTED_VALUE"""),5.8571544E7)</f>
        <v>58571544</v>
      </c>
    </row>
    <row r="53">
      <c r="A53" s="7">
        <f>IFERROR(__xludf.DUMMYFUNCTION("""COMPUTED_VALUE"""),45548.64583333333)</f>
        <v>45548.64583</v>
      </c>
      <c r="B53" s="6">
        <f>IFERROR(__xludf.DUMMYFUNCTION("""COMPUTED_VALUE"""),217.15)</f>
        <v>217.15</v>
      </c>
      <c r="C53" s="6">
        <f>IFERROR(__xludf.DUMMYFUNCTION("""COMPUTED_VALUE"""),219.95)</f>
        <v>219.95</v>
      </c>
      <c r="D53" s="6">
        <f>IFERROR(__xludf.DUMMYFUNCTION("""COMPUTED_VALUE"""),205.13)</f>
        <v>205.13</v>
      </c>
      <c r="E53" s="6">
        <f>IFERROR(__xludf.DUMMYFUNCTION("""COMPUTED_VALUE"""),206.14)</f>
        <v>206.14</v>
      </c>
      <c r="F53" s="6">
        <f>IFERROR(__xludf.DUMMYFUNCTION("""COMPUTED_VALUE"""),3.5782365E7)</f>
        <v>35782365</v>
      </c>
    </row>
    <row r="54">
      <c r="A54" s="7">
        <f>IFERROR(__xludf.DUMMYFUNCTION("""COMPUTED_VALUE"""),45555.64583333333)</f>
        <v>45555.64583</v>
      </c>
      <c r="B54" s="6">
        <f>IFERROR(__xludf.DUMMYFUNCTION("""COMPUTED_VALUE"""),206.5)</f>
        <v>206.5</v>
      </c>
      <c r="C54" s="6">
        <f>IFERROR(__xludf.DUMMYFUNCTION("""COMPUTED_VALUE"""),209.34)</f>
        <v>209.34</v>
      </c>
      <c r="D54" s="6">
        <f>IFERROR(__xludf.DUMMYFUNCTION("""COMPUTED_VALUE"""),194.34)</f>
        <v>194.34</v>
      </c>
      <c r="E54" s="6">
        <f>IFERROR(__xludf.DUMMYFUNCTION("""COMPUTED_VALUE"""),199.33)</f>
        <v>199.33</v>
      </c>
      <c r="F54" s="6">
        <f>IFERROR(__xludf.DUMMYFUNCTION("""COMPUTED_VALUE"""),4.8265376E7)</f>
        <v>48265376</v>
      </c>
    </row>
    <row r="55">
      <c r="A55" s="7">
        <f>IFERROR(__xludf.DUMMYFUNCTION("""COMPUTED_VALUE"""),45562.64583333333)</f>
        <v>45562.64583</v>
      </c>
      <c r="B55" s="6">
        <f>IFERROR(__xludf.DUMMYFUNCTION("""COMPUTED_VALUE"""),201.0)</f>
        <v>201</v>
      </c>
      <c r="C55" s="6">
        <f>IFERROR(__xludf.DUMMYFUNCTION("""COMPUTED_VALUE"""),205.39)</f>
        <v>205.39</v>
      </c>
      <c r="D55" s="6">
        <f>IFERROR(__xludf.DUMMYFUNCTION("""COMPUTED_VALUE"""),195.22)</f>
        <v>195.22</v>
      </c>
      <c r="E55" s="6">
        <f>IFERROR(__xludf.DUMMYFUNCTION("""COMPUTED_VALUE"""),200.02)</f>
        <v>200.02</v>
      </c>
      <c r="F55" s="6">
        <f>IFERROR(__xludf.DUMMYFUNCTION("""COMPUTED_VALUE"""),3.2745821E7)</f>
        <v>32745821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IFERROR(__xludf.DUMMYFUNCTION("""COMPUTED_VALUE"""),199.79)</f>
        <v>199.79</v>
      </c>
      <c r="C56" s="6">
        <f>IFERROR(__xludf.DUMMYFUNCTION("""COMPUTED_VALUE"""),199.79)</f>
        <v>199.79</v>
      </c>
      <c r="D56" s="6">
        <f>IFERROR(__xludf.DUMMYFUNCTION("""COMPUTED_VALUE"""),190.1)</f>
        <v>190.1</v>
      </c>
      <c r="E56" s="6">
        <f>IFERROR(__xludf.DUMMYFUNCTION("""COMPUTED_VALUE"""),192.27)</f>
        <v>192.27</v>
      </c>
      <c r="F56" s="6">
        <f>IFERROR(__xludf.DUMMYFUNCTION("""COMPUTED_VALUE"""),1.6846725E7)</f>
        <v>16846725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IFERROR(__xludf.DUMMYFUNCTION("""COMPUTED_VALUE"""),193.0)</f>
        <v>193</v>
      </c>
      <c r="C57" s="6">
        <f>IFERROR(__xludf.DUMMYFUNCTION("""COMPUTED_VALUE"""),200.15)</f>
        <v>200.15</v>
      </c>
      <c r="D57" s="6">
        <f>IFERROR(__xludf.DUMMYFUNCTION("""COMPUTED_VALUE"""),188.6)</f>
        <v>188.6</v>
      </c>
      <c r="E57" s="6">
        <f>IFERROR(__xludf.DUMMYFUNCTION("""COMPUTED_VALUE"""),192.01)</f>
        <v>192.01</v>
      </c>
      <c r="F57" s="6">
        <f>IFERROR(__xludf.DUMMYFUNCTION("""COMPUTED_VALUE"""),4.3654538E7)</f>
        <v>43654538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IFERROR(__xludf.DUMMYFUNCTION("""COMPUTED_VALUE"""),193.0)</f>
        <v>193</v>
      </c>
      <c r="C58" s="6">
        <f>IFERROR(__xludf.DUMMYFUNCTION("""COMPUTED_VALUE"""),195.77)</f>
        <v>195.77</v>
      </c>
      <c r="D58" s="6">
        <f>IFERROR(__xludf.DUMMYFUNCTION("""COMPUTED_VALUE"""),180.5)</f>
        <v>180.5</v>
      </c>
      <c r="E58" s="6">
        <f>IFERROR(__xludf.DUMMYFUNCTION("""COMPUTED_VALUE"""),184.79)</f>
        <v>184.79</v>
      </c>
      <c r="F58" s="6">
        <f>IFERROR(__xludf.DUMMYFUNCTION("""COMPUTED_VALUE"""),2.9392813E7)</f>
        <v>29392813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IFERROR(__xludf.DUMMYFUNCTION("""COMPUTED_VALUE"""),185.0)</f>
        <v>185</v>
      </c>
      <c r="C59" s="6">
        <f>IFERROR(__xludf.DUMMYFUNCTION("""COMPUTED_VALUE"""),186.0)</f>
        <v>186</v>
      </c>
      <c r="D59" s="6">
        <f>IFERROR(__xludf.DUMMYFUNCTION("""COMPUTED_VALUE"""),172.25)</f>
        <v>172.25</v>
      </c>
      <c r="E59" s="6">
        <f>IFERROR(__xludf.DUMMYFUNCTION("""COMPUTED_VALUE"""),177.09)</f>
        <v>177.09</v>
      </c>
      <c r="F59" s="6">
        <f>IFERROR(__xludf.DUMMYFUNCTION("""COMPUTED_VALUE"""),3.0289862E7)</f>
        <v>30289862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IFERROR(__xludf.DUMMYFUNCTION("""COMPUTED_VALUE"""),185.49)</f>
        <v>185.49</v>
      </c>
      <c r="C60" s="6">
        <f>IFERROR(__xludf.DUMMYFUNCTION("""COMPUTED_VALUE"""),194.0)</f>
        <v>194</v>
      </c>
      <c r="D60" s="6">
        <f>IFERROR(__xludf.DUMMYFUNCTION("""COMPUTED_VALUE"""),179.55)</f>
        <v>179.55</v>
      </c>
      <c r="E60" s="6">
        <f>IFERROR(__xludf.DUMMYFUNCTION("""COMPUTED_VALUE"""),184.74)</f>
        <v>184.74</v>
      </c>
      <c r="F60" s="6">
        <f>IFERROR(__xludf.DUMMYFUNCTION("""COMPUTED_VALUE"""),2.5991926E7)</f>
        <v>25991926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IFERROR(__xludf.DUMMYFUNCTION("""COMPUTED_VALUE"""),184.74)</f>
        <v>184.74</v>
      </c>
      <c r="C61" s="6">
        <f>IFERROR(__xludf.DUMMYFUNCTION("""COMPUTED_VALUE"""),189.25)</f>
        <v>189.25</v>
      </c>
      <c r="D61" s="6">
        <f>IFERROR(__xludf.DUMMYFUNCTION("""COMPUTED_VALUE"""),167.89)</f>
        <v>167.89</v>
      </c>
      <c r="E61" s="6">
        <f>IFERROR(__xludf.DUMMYFUNCTION("""COMPUTED_VALUE"""),171.05)</f>
        <v>171.05</v>
      </c>
      <c r="F61" s="6">
        <f>IFERROR(__xludf.DUMMYFUNCTION("""COMPUTED_VALUE"""),4.942371E7)</f>
        <v>49423710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IFERROR(__xludf.DUMMYFUNCTION("""COMPUTED_VALUE"""),171.05)</f>
        <v>171.05</v>
      </c>
      <c r="C62" s="6">
        <f>IFERROR(__xludf.DUMMYFUNCTION("""COMPUTED_VALUE"""),173.75)</f>
        <v>173.75</v>
      </c>
      <c r="D62" s="6">
        <f>IFERROR(__xludf.DUMMYFUNCTION("""COMPUTED_VALUE"""),166.22)</f>
        <v>166.22</v>
      </c>
      <c r="E62" s="6">
        <f>IFERROR(__xludf.DUMMYFUNCTION("""COMPUTED_VALUE"""),169.4)</f>
        <v>169.4</v>
      </c>
      <c r="F62" s="6">
        <f>IFERROR(__xludf.DUMMYFUNCTION("""COMPUTED_VALUE"""),2.1512057E7)</f>
        <v>21512057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IFERROR(__xludf.DUMMYFUNCTION("""COMPUTED_VALUE"""),171.49)</f>
        <v>171.49</v>
      </c>
      <c r="C63" s="6">
        <f>IFERROR(__xludf.DUMMYFUNCTION("""COMPUTED_VALUE"""),176.0)</f>
        <v>176</v>
      </c>
      <c r="D63" s="6">
        <f>IFERROR(__xludf.DUMMYFUNCTION("""COMPUTED_VALUE"""),165.63)</f>
        <v>165.63</v>
      </c>
      <c r="E63" s="6">
        <f>IFERROR(__xludf.DUMMYFUNCTION("""COMPUTED_VALUE"""),172.06)</f>
        <v>172.06</v>
      </c>
      <c r="F63" s="6">
        <f>IFERROR(__xludf.DUMMYFUNCTION("""COMPUTED_VALUE"""),3.231271E7)</f>
        <v>32312710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IFERROR(__xludf.DUMMYFUNCTION("""COMPUTED_VALUE"""),172.0)</f>
        <v>172</v>
      </c>
      <c r="C64" s="6">
        <f>IFERROR(__xludf.DUMMYFUNCTION("""COMPUTED_VALUE"""),175.63)</f>
        <v>175.63</v>
      </c>
      <c r="D64" s="6">
        <f>IFERROR(__xludf.DUMMYFUNCTION("""COMPUTED_VALUE"""),163.8)</f>
        <v>163.8</v>
      </c>
      <c r="E64" s="6">
        <f>IFERROR(__xludf.DUMMYFUNCTION("""COMPUTED_VALUE"""),166.41)</f>
        <v>166.41</v>
      </c>
      <c r="F64" s="6">
        <f>IFERROR(__xludf.DUMMYFUNCTION("""COMPUTED_VALUE"""),4.5206381E7)</f>
        <v>45206381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IFERROR(__xludf.DUMMYFUNCTION("""COMPUTED_VALUE"""),166.6)</f>
        <v>166.6</v>
      </c>
      <c r="C65" s="6">
        <f>IFERROR(__xludf.DUMMYFUNCTION("""COMPUTED_VALUE"""),174.51)</f>
        <v>174.51</v>
      </c>
      <c r="D65" s="6">
        <f>IFERROR(__xludf.DUMMYFUNCTION("""COMPUTED_VALUE"""),164.76)</f>
        <v>164.76</v>
      </c>
      <c r="E65" s="6">
        <f>IFERROR(__xludf.DUMMYFUNCTION("""COMPUTED_VALUE"""),168.18)</f>
        <v>168.18</v>
      </c>
      <c r="F65" s="6">
        <f>IFERROR(__xludf.DUMMYFUNCTION("""COMPUTED_VALUE"""),5.1159036E7)</f>
        <v>51159036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IFERROR(__xludf.DUMMYFUNCTION("""COMPUTED_VALUE"""),169.0)</f>
        <v>169</v>
      </c>
      <c r="C66" s="6">
        <f>IFERROR(__xludf.DUMMYFUNCTION("""COMPUTED_VALUE"""),180.35)</f>
        <v>180.35</v>
      </c>
      <c r="D66" s="6">
        <f>IFERROR(__xludf.DUMMYFUNCTION("""COMPUTED_VALUE"""),166.12)</f>
        <v>166.12</v>
      </c>
      <c r="E66" s="6">
        <f>IFERROR(__xludf.DUMMYFUNCTION("""COMPUTED_VALUE"""),167.33)</f>
        <v>167.33</v>
      </c>
      <c r="F66" s="6">
        <f>IFERROR(__xludf.DUMMYFUNCTION("""COMPUTED_VALUE"""),6.0594389E7)</f>
        <v>60594389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IFERROR(__xludf.DUMMYFUNCTION("""COMPUTED_VALUE"""),167.45)</f>
        <v>167.45</v>
      </c>
      <c r="C67" s="6">
        <f>IFERROR(__xludf.DUMMYFUNCTION("""COMPUTED_VALUE"""),169.67)</f>
        <v>169.67</v>
      </c>
      <c r="D67" s="6">
        <f>IFERROR(__xludf.DUMMYFUNCTION("""COMPUTED_VALUE"""),158.1)</f>
        <v>158.1</v>
      </c>
      <c r="E67" s="6">
        <f>IFERROR(__xludf.DUMMYFUNCTION("""COMPUTED_VALUE"""),159.66)</f>
        <v>159.66</v>
      </c>
      <c r="F67" s="6">
        <f>IFERROR(__xludf.DUMMYFUNCTION("""COMPUTED_VALUE"""),2.6119618E7)</f>
        <v>26119618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IFERROR(__xludf.DUMMYFUNCTION("""COMPUTED_VALUE"""),159.66)</f>
        <v>159.66</v>
      </c>
      <c r="C68" s="6">
        <f>IFERROR(__xludf.DUMMYFUNCTION("""COMPUTED_VALUE"""),169.79)</f>
        <v>169.79</v>
      </c>
      <c r="D68" s="6">
        <f>IFERROR(__xludf.DUMMYFUNCTION("""COMPUTED_VALUE"""),158.31)</f>
        <v>158.31</v>
      </c>
      <c r="E68" s="6">
        <f>IFERROR(__xludf.DUMMYFUNCTION("""COMPUTED_VALUE"""),167.84)</f>
        <v>167.84</v>
      </c>
      <c r="F68" s="6">
        <f>IFERROR(__xludf.DUMMYFUNCTION("""COMPUTED_VALUE"""),2.4731081E7)</f>
        <v>24731081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IFERROR(__xludf.DUMMYFUNCTION("""COMPUTED_VALUE"""),175.09)</f>
        <v>175.09</v>
      </c>
      <c r="C69" s="6">
        <f>IFERROR(__xludf.DUMMYFUNCTION("""COMPUTED_VALUE"""),176.6)</f>
        <v>176.6</v>
      </c>
      <c r="D69" s="6">
        <f>IFERROR(__xludf.DUMMYFUNCTION("""COMPUTED_VALUE"""),168.3)</f>
        <v>168.3</v>
      </c>
      <c r="E69" s="6">
        <f>IFERROR(__xludf.DUMMYFUNCTION("""COMPUTED_VALUE"""),169.7)</f>
        <v>169.7</v>
      </c>
      <c r="F69" s="6">
        <f>IFERROR(__xludf.DUMMYFUNCTION("""COMPUTED_VALUE"""),6.0213663E7)</f>
        <v>60213663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IFERROR(__xludf.DUMMYFUNCTION("""COMPUTED_VALUE"""),167.99)</f>
        <v>167.99</v>
      </c>
      <c r="C70" s="6">
        <f>IFERROR(__xludf.DUMMYFUNCTION("""COMPUTED_VALUE"""),176.85)</f>
        <v>176.85</v>
      </c>
      <c r="D70" s="6">
        <f>IFERROR(__xludf.DUMMYFUNCTION("""COMPUTED_VALUE"""),161.66)</f>
        <v>161.66</v>
      </c>
      <c r="E70" s="6">
        <f>IFERROR(__xludf.DUMMYFUNCTION("""COMPUTED_VALUE"""),172.88)</f>
        <v>172.88</v>
      </c>
      <c r="F70" s="6">
        <f>IFERROR(__xludf.DUMMYFUNCTION("""COMPUTED_VALUE"""),4.529048E7)</f>
        <v>45290480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IFERROR(__xludf.DUMMYFUNCTION("""COMPUTED_VALUE"""),173.44)</f>
        <v>173.44</v>
      </c>
      <c r="C71" s="6">
        <f>IFERROR(__xludf.DUMMYFUNCTION("""COMPUTED_VALUE"""),174.22)</f>
        <v>174.22</v>
      </c>
      <c r="D71" s="6">
        <f>IFERROR(__xludf.DUMMYFUNCTION("""COMPUTED_VALUE"""),162.48)</f>
        <v>162.48</v>
      </c>
      <c r="E71" s="6">
        <f>IFERROR(__xludf.DUMMYFUNCTION("""COMPUTED_VALUE"""),167.37)</f>
        <v>167.37</v>
      </c>
      <c r="F71" s="6">
        <f>IFERROR(__xludf.DUMMYFUNCTION("""COMPUTED_VALUE"""),1.9852206E7)</f>
        <v>19852206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IFERROR(__xludf.DUMMYFUNCTION("""COMPUTED_VALUE"""),176.0)</f>
        <v>176</v>
      </c>
      <c r="C72" s="6">
        <f>IFERROR(__xludf.DUMMYFUNCTION("""COMPUTED_VALUE"""),184.36)</f>
        <v>184.36</v>
      </c>
      <c r="D72" s="6">
        <f>IFERROR(__xludf.DUMMYFUNCTION("""COMPUTED_VALUE"""),170.0)</f>
        <v>170</v>
      </c>
      <c r="E72" s="6">
        <f>IFERROR(__xludf.DUMMYFUNCTION("""COMPUTED_VALUE"""),173.46)</f>
        <v>173.46</v>
      </c>
      <c r="F72" s="6">
        <f>IFERROR(__xludf.DUMMYFUNCTION("""COMPUTED_VALUE"""),4.8838841E7)</f>
        <v>48838841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IFERROR(__xludf.DUMMYFUNCTION("""COMPUTED_VALUE"""),174.7)</f>
        <v>174.7</v>
      </c>
      <c r="C73" s="6">
        <f>IFERROR(__xludf.DUMMYFUNCTION("""COMPUTED_VALUE"""),175.1)</f>
        <v>175.1</v>
      </c>
      <c r="D73" s="6">
        <f>IFERROR(__xludf.DUMMYFUNCTION("""COMPUTED_VALUE"""),164.4)</f>
        <v>164.4</v>
      </c>
      <c r="E73" s="6">
        <f>IFERROR(__xludf.DUMMYFUNCTION("""COMPUTED_VALUE"""),168.66)</f>
        <v>168.66</v>
      </c>
      <c r="F73" s="6">
        <f>IFERROR(__xludf.DUMMYFUNCTION("""COMPUTED_VALUE"""),6.3388099E7)</f>
        <v>63388099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IFERROR(__xludf.DUMMYFUNCTION("""COMPUTED_VALUE"""),167.9)</f>
        <v>167.9</v>
      </c>
      <c r="C74" s="6">
        <f>IFERROR(__xludf.DUMMYFUNCTION("""COMPUTED_VALUE"""),174.56)</f>
        <v>174.56</v>
      </c>
      <c r="D74" s="6">
        <f>IFERROR(__xludf.DUMMYFUNCTION("""COMPUTED_VALUE"""),162.05)</f>
        <v>162.05</v>
      </c>
      <c r="E74" s="6">
        <f>IFERROR(__xludf.DUMMYFUNCTION("""COMPUTED_VALUE"""),164.22)</f>
        <v>164.22</v>
      </c>
      <c r="F74" s="6">
        <f>IFERROR(__xludf.DUMMYFUNCTION("""COMPUTED_VALUE"""),3.4918157E7)</f>
        <v>34918157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IFERROR(__xludf.DUMMYFUNCTION("""COMPUTED_VALUE"""),164.0)</f>
        <v>164</v>
      </c>
      <c r="C75" s="6">
        <f>IFERROR(__xludf.DUMMYFUNCTION("""COMPUTED_VALUE"""),166.4)</f>
        <v>166.4</v>
      </c>
      <c r="D75" s="6">
        <f>IFERROR(__xludf.DUMMYFUNCTION("""COMPUTED_VALUE"""),156.1)</f>
        <v>156.1</v>
      </c>
      <c r="E75" s="6">
        <f>IFERROR(__xludf.DUMMYFUNCTION("""COMPUTED_VALUE"""),158.8)</f>
        <v>158.8</v>
      </c>
      <c r="F75" s="6">
        <f>IFERROR(__xludf.DUMMYFUNCTION("""COMPUTED_VALUE"""),1.8587042E7)</f>
        <v>18587042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IFERROR(__xludf.DUMMYFUNCTION("""COMPUTED_VALUE"""),160.39)</f>
        <v>160.39</v>
      </c>
      <c r="C76" s="6">
        <f>IFERROR(__xludf.DUMMYFUNCTION("""COMPUTED_VALUE"""),172.0)</f>
        <v>172</v>
      </c>
      <c r="D76" s="6">
        <f>IFERROR(__xludf.DUMMYFUNCTION("""COMPUTED_VALUE"""),154.9)</f>
        <v>154.9</v>
      </c>
      <c r="E76" s="6">
        <f>IFERROR(__xludf.DUMMYFUNCTION("""COMPUTED_VALUE"""),164.79)</f>
        <v>164.79</v>
      </c>
      <c r="F76" s="6">
        <f>IFERROR(__xludf.DUMMYFUNCTION("""COMPUTED_VALUE"""),4.0318878E7)</f>
        <v>40318878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IFERROR(__xludf.DUMMYFUNCTION("""COMPUTED_VALUE"""),164.79)</f>
        <v>164.79</v>
      </c>
      <c r="C77" s="6">
        <f>IFERROR(__xludf.DUMMYFUNCTION("""COMPUTED_VALUE"""),167.34)</f>
        <v>167.34</v>
      </c>
      <c r="D77" s="6">
        <f>IFERROR(__xludf.DUMMYFUNCTION("""COMPUTED_VALUE"""),159.76)</f>
        <v>159.76</v>
      </c>
      <c r="E77" s="6">
        <f>IFERROR(__xludf.DUMMYFUNCTION("""COMPUTED_VALUE"""),164.56)</f>
        <v>164.56</v>
      </c>
      <c r="F77" s="6">
        <f>IFERROR(__xludf.DUMMYFUNCTION("""COMPUTED_VALUE"""),2.1469997E7)</f>
        <v>21469997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IFERROR(__xludf.DUMMYFUNCTION("""COMPUTED_VALUE"""),164.97)</f>
        <v>164.97</v>
      </c>
      <c r="C78" s="6">
        <f>IFERROR(__xludf.DUMMYFUNCTION("""COMPUTED_VALUE"""),174.6)</f>
        <v>174.6</v>
      </c>
      <c r="D78" s="6">
        <f>IFERROR(__xludf.DUMMYFUNCTION("""COMPUTED_VALUE"""),163.51)</f>
        <v>163.51</v>
      </c>
      <c r="E78" s="6">
        <f>IFERROR(__xludf.DUMMYFUNCTION("""COMPUTED_VALUE"""),172.52)</f>
        <v>172.52</v>
      </c>
      <c r="F78" s="6">
        <f>IFERROR(__xludf.DUMMYFUNCTION("""COMPUTED_VALUE"""),3.8718237E7)</f>
        <v>38718237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IFERROR(__xludf.DUMMYFUNCTION("""COMPUTED_VALUE"""),173.0)</f>
        <v>173</v>
      </c>
      <c r="C79" s="6">
        <f>IFERROR(__xludf.DUMMYFUNCTION("""COMPUTED_VALUE"""),179.5)</f>
        <v>179.5</v>
      </c>
      <c r="D79" s="6">
        <f>IFERROR(__xludf.DUMMYFUNCTION("""COMPUTED_VALUE"""),168.76)</f>
        <v>168.76</v>
      </c>
      <c r="E79" s="6">
        <f>IFERROR(__xludf.DUMMYFUNCTION("""COMPUTED_VALUE"""),179.08)</f>
        <v>179.08</v>
      </c>
      <c r="F79" s="6">
        <f>IFERROR(__xludf.DUMMYFUNCTION("""COMPUTED_VALUE"""),3.0100442E7)</f>
        <v>30100442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IFERROR(__xludf.DUMMYFUNCTION("""COMPUTED_VALUE"""),179.0)</f>
        <v>179</v>
      </c>
      <c r="C80" s="6">
        <f>IFERROR(__xludf.DUMMYFUNCTION("""COMPUTED_VALUE"""),181.25)</f>
        <v>181.25</v>
      </c>
      <c r="D80" s="6">
        <f>IFERROR(__xludf.DUMMYFUNCTION("""COMPUTED_VALUE"""),175.43)</f>
        <v>175.43</v>
      </c>
      <c r="E80" s="6">
        <f>IFERROR(__xludf.DUMMYFUNCTION("""COMPUTED_VALUE"""),176.78)</f>
        <v>176.78</v>
      </c>
      <c r="F80" s="6">
        <f>IFERROR(__xludf.DUMMYFUNCTION("""COMPUTED_VALUE"""),1.2273488E7)</f>
        <v>12273488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IFERROR(__xludf.DUMMYFUNCTION("""COMPUTED_VALUE"""),165.98)</f>
        <v>165.98</v>
      </c>
      <c r="C81" s="6">
        <f>IFERROR(__xludf.DUMMYFUNCTION("""COMPUTED_VALUE"""),182.49)</f>
        <v>182.49</v>
      </c>
      <c r="D81" s="6">
        <f>IFERROR(__xludf.DUMMYFUNCTION("""COMPUTED_VALUE"""),165.97)</f>
        <v>165.97</v>
      </c>
      <c r="E81" s="6">
        <f>IFERROR(__xludf.DUMMYFUNCTION("""COMPUTED_VALUE"""),179.9)</f>
        <v>179.9</v>
      </c>
      <c r="F81" s="6">
        <f>IFERROR(__xludf.DUMMYFUNCTION("""COMPUTED_VALUE"""),2.4866599E7)</f>
        <v>24866599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IFERROR(__xludf.DUMMYFUNCTION("""COMPUTED_VALUE"""),180.0)</f>
        <v>180</v>
      </c>
      <c r="C82" s="6">
        <f>IFERROR(__xludf.DUMMYFUNCTION("""COMPUTED_VALUE"""),191.97)</f>
        <v>191.97</v>
      </c>
      <c r="D82" s="6">
        <f>IFERROR(__xludf.DUMMYFUNCTION("""COMPUTED_VALUE"""),177.8)</f>
        <v>177.8</v>
      </c>
      <c r="E82" s="6">
        <f>IFERROR(__xludf.DUMMYFUNCTION("""COMPUTED_VALUE"""),189.45)</f>
        <v>189.45</v>
      </c>
      <c r="F82" s="6">
        <f>IFERROR(__xludf.DUMMYFUNCTION("""COMPUTED_VALUE"""),2.996046E7)</f>
        <v>29960460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IFERROR(__xludf.DUMMYFUNCTION("""COMPUTED_VALUE"""),190.0)</f>
        <v>190</v>
      </c>
      <c r="C83" s="6">
        <f>IFERROR(__xludf.DUMMYFUNCTION("""COMPUTED_VALUE"""),196.98)</f>
        <v>196.98</v>
      </c>
      <c r="D83" s="6">
        <f>IFERROR(__xludf.DUMMYFUNCTION("""COMPUTED_VALUE"""),186.84)</f>
        <v>186.84</v>
      </c>
      <c r="E83" s="6">
        <f>IFERROR(__xludf.DUMMYFUNCTION("""COMPUTED_VALUE"""),191.57)</f>
        <v>191.57</v>
      </c>
      <c r="F83" s="6">
        <f>IFERROR(__xludf.DUMMYFUNCTION("""COMPUTED_VALUE"""),3.6842272E7)</f>
        <v>36842272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IFERROR(__xludf.DUMMYFUNCTION("""COMPUTED_VALUE"""),190.99)</f>
        <v>190.99</v>
      </c>
      <c r="C84" s="6">
        <f>IFERROR(__xludf.DUMMYFUNCTION("""COMPUTED_VALUE"""),199.74)</f>
        <v>199.74</v>
      </c>
      <c r="D84" s="6">
        <f>IFERROR(__xludf.DUMMYFUNCTION("""COMPUTED_VALUE"""),190.75)</f>
        <v>190.75</v>
      </c>
      <c r="E84" s="6">
        <f>IFERROR(__xludf.DUMMYFUNCTION("""COMPUTED_VALUE"""),193.47)</f>
        <v>193.47</v>
      </c>
      <c r="F84" s="6">
        <f>IFERROR(__xludf.DUMMYFUNCTION("""COMPUTED_VALUE"""),2.9047168E7)</f>
        <v>29047168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IFERROR(__xludf.DUMMYFUNCTION("""COMPUTED_VALUE"""),193.49)</f>
        <v>193.49</v>
      </c>
      <c r="C85" s="6">
        <f>IFERROR(__xludf.DUMMYFUNCTION("""COMPUTED_VALUE"""),200.7)</f>
        <v>200.7</v>
      </c>
      <c r="D85" s="6">
        <f>IFERROR(__xludf.DUMMYFUNCTION("""COMPUTED_VALUE"""),188.5)</f>
        <v>188.5</v>
      </c>
      <c r="E85" s="6">
        <f>IFERROR(__xludf.DUMMYFUNCTION("""COMPUTED_VALUE"""),193.03)</f>
        <v>193.03</v>
      </c>
      <c r="F85" s="6">
        <f>IFERROR(__xludf.DUMMYFUNCTION("""COMPUTED_VALUE"""),2.9847721E7)</f>
        <v>29847721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IFERROR(__xludf.DUMMYFUNCTION("""COMPUTED_VALUE"""),195.81)</f>
        <v>195.81</v>
      </c>
      <c r="C86" s="6">
        <f>IFERROR(__xludf.DUMMYFUNCTION("""COMPUTED_VALUE"""),204.45)</f>
        <v>204.45</v>
      </c>
      <c r="D86" s="6">
        <f>IFERROR(__xludf.DUMMYFUNCTION("""COMPUTED_VALUE"""),195.11)</f>
        <v>195.11</v>
      </c>
      <c r="E86" s="6">
        <f>IFERROR(__xludf.DUMMYFUNCTION("""COMPUTED_VALUE"""),201.8)</f>
        <v>201.8</v>
      </c>
      <c r="F86" s="6">
        <f>IFERROR(__xludf.DUMMYFUNCTION("""COMPUTED_VALUE"""),4.9752407E7)</f>
        <v>49752407</v>
      </c>
    </row>
    <row r="87">
      <c r="A87" s="7">
        <f>IFERROR(__xludf.DUMMYFUNCTION("""COMPUTED_VALUE"""),45800.64583333333)</f>
        <v>45800.64583</v>
      </c>
      <c r="B87" s="6">
        <f>IFERROR(__xludf.DUMMYFUNCTION("""COMPUTED_VALUE"""),203.0)</f>
        <v>203</v>
      </c>
      <c r="C87" s="6">
        <f>IFERROR(__xludf.DUMMYFUNCTION("""COMPUTED_VALUE"""),205.08)</f>
        <v>205.08</v>
      </c>
      <c r="D87" s="6">
        <f>IFERROR(__xludf.DUMMYFUNCTION("""COMPUTED_VALUE"""),195.56)</f>
        <v>195.56</v>
      </c>
      <c r="E87" s="6">
        <f>IFERROR(__xludf.DUMMYFUNCTION("""COMPUTED_VALUE"""),203.29)</f>
        <v>203.29</v>
      </c>
      <c r="F87" s="6">
        <f>IFERROR(__xludf.DUMMYFUNCTION("""COMPUTED_VALUE"""),5.3341152E7)</f>
        <v>53341152</v>
      </c>
    </row>
    <row r="88">
      <c r="A88" s="7">
        <f>IFERROR(__xludf.DUMMYFUNCTION("""COMPUTED_VALUE"""),45807.64583333333)</f>
        <v>45807.64583</v>
      </c>
      <c r="B88" s="6">
        <f>IFERROR(__xludf.DUMMYFUNCTION("""COMPUTED_VALUE"""),204.49)</f>
        <v>204.49</v>
      </c>
      <c r="C88" s="6">
        <f>IFERROR(__xludf.DUMMYFUNCTION("""COMPUTED_VALUE"""),208.6)</f>
        <v>208.6</v>
      </c>
      <c r="D88" s="6">
        <f>IFERROR(__xludf.DUMMYFUNCTION("""COMPUTED_VALUE"""),199.23)</f>
        <v>199.23</v>
      </c>
      <c r="E88" s="6">
        <f>IFERROR(__xludf.DUMMYFUNCTION("""COMPUTED_VALUE"""),203.26)</f>
        <v>203.26</v>
      </c>
      <c r="F88" s="6">
        <f>IFERROR(__xludf.DUMMYFUNCTION("""COMPUTED_VALUE"""),2.27110273E8)</f>
        <v>227110273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IFERROR(__xludf.DUMMYFUNCTION("""COMPUTED_VALUE"""),199.0)</f>
        <v>199</v>
      </c>
      <c r="C89" s="6">
        <f>IFERROR(__xludf.DUMMYFUNCTION("""COMPUTED_VALUE"""),204.4)</f>
        <v>204.4</v>
      </c>
      <c r="D89" s="6">
        <f>IFERROR(__xludf.DUMMYFUNCTION("""COMPUTED_VALUE"""),192.48)</f>
        <v>192.48</v>
      </c>
      <c r="E89" s="6">
        <f>IFERROR(__xludf.DUMMYFUNCTION("""COMPUTED_VALUE"""),197.2)</f>
        <v>197.2</v>
      </c>
      <c r="F89" s="6">
        <f>IFERROR(__xludf.DUMMYFUNCTION("""COMPUTED_VALUE"""),4.6392208E7)</f>
        <v>46392208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IFERROR(__xludf.DUMMYFUNCTION("""COMPUTED_VALUE"""),197.2)</f>
        <v>197.2</v>
      </c>
      <c r="C90" s="6">
        <f>IFERROR(__xludf.DUMMYFUNCTION("""COMPUTED_VALUE"""),203.96)</f>
        <v>203.96</v>
      </c>
      <c r="D90" s="6">
        <f>IFERROR(__xludf.DUMMYFUNCTION("""COMPUTED_VALUE"""),191.16)</f>
        <v>191.16</v>
      </c>
      <c r="E90" s="6">
        <f>IFERROR(__xludf.DUMMYFUNCTION("""COMPUTED_VALUE"""),194.73)</f>
        <v>194.73</v>
      </c>
      <c r="F90" s="6">
        <f>IFERROR(__xludf.DUMMYFUNCTION("""COMPUTED_VALUE"""),2.1258408E7)</f>
        <v>21258408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IFERROR(__xludf.DUMMYFUNCTION("""COMPUTED_VALUE"""),194.73)</f>
        <v>194.73</v>
      </c>
      <c r="C91" s="6">
        <f>IFERROR(__xludf.DUMMYFUNCTION("""COMPUTED_VALUE"""),198.57)</f>
        <v>198.57</v>
      </c>
      <c r="D91" s="6">
        <f>IFERROR(__xludf.DUMMYFUNCTION("""COMPUTED_VALUE"""),192.2)</f>
        <v>192.2</v>
      </c>
      <c r="E91" s="6">
        <f>IFERROR(__xludf.DUMMYFUNCTION("""COMPUTED_VALUE"""),197.07)</f>
        <v>197.07</v>
      </c>
      <c r="F91" s="6">
        <f>IFERROR(__xludf.DUMMYFUNCTION("""COMPUTED_VALUE"""),3.3725127E7)</f>
        <v>33725127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IFERROR(__xludf.DUMMYFUNCTION("""COMPUTED_VALUE"""),196.01)</f>
        <v>196.01</v>
      </c>
      <c r="C92" s="6">
        <f>IFERROR(__xludf.DUMMYFUNCTION("""COMPUTED_VALUE"""),210.94)</f>
        <v>210.94</v>
      </c>
      <c r="D92" s="6">
        <f>IFERROR(__xludf.DUMMYFUNCTION("""COMPUTED_VALUE"""),194.6)</f>
        <v>194.6</v>
      </c>
      <c r="E92" s="6">
        <f>IFERROR(__xludf.DUMMYFUNCTION("""COMPUTED_VALUE"""),209.86)</f>
        <v>209.86</v>
      </c>
      <c r="F92" s="6">
        <f>IFERROR(__xludf.DUMMYFUNCTION("""COMPUTED_VALUE"""),5.270689E7)</f>
        <v>52706890</v>
      </c>
    </row>
    <row r="93">
      <c r="A93" s="7">
        <f>IFERROR(__xludf.DUMMYFUNCTION("""COMPUTED_VALUE"""),45842.64583333333)</f>
        <v>45842.64583</v>
      </c>
      <c r="B93" s="6">
        <f>IFERROR(__xludf.DUMMYFUNCTION("""COMPUTED_VALUE"""),210.0)</f>
        <v>210</v>
      </c>
      <c r="C93" s="6">
        <f>IFERROR(__xludf.DUMMYFUNCTION("""COMPUTED_VALUE"""),212.25)</f>
        <v>212.25</v>
      </c>
      <c r="D93" s="6">
        <f>IFERROR(__xludf.DUMMYFUNCTION("""COMPUTED_VALUE"""),197.62)</f>
        <v>197.62</v>
      </c>
      <c r="E93" s="6">
        <f>IFERROR(__xludf.DUMMYFUNCTION("""COMPUTED_VALUE"""),198.23)</f>
        <v>198.23</v>
      </c>
      <c r="F93" s="6">
        <f>IFERROR(__xludf.DUMMYFUNCTION("""COMPUTED_VALUE"""),8.3450764E7)</f>
        <v>83450764</v>
      </c>
    </row>
    <row r="94">
      <c r="A94" s="7">
        <f>IFERROR(__xludf.DUMMYFUNCTION("""COMPUTED_VALUE"""),45849.64583333333)</f>
        <v>45849.64583</v>
      </c>
      <c r="B94" s="6">
        <f>IFERROR(__xludf.DUMMYFUNCTION("""COMPUTED_VALUE"""),200.0)</f>
        <v>200</v>
      </c>
      <c r="C94" s="6">
        <f>IFERROR(__xludf.DUMMYFUNCTION("""COMPUTED_VALUE"""),218.7)</f>
        <v>218.7</v>
      </c>
      <c r="D94" s="6">
        <f>IFERROR(__xludf.DUMMYFUNCTION("""COMPUTED_VALUE"""),199.31)</f>
        <v>199.31</v>
      </c>
      <c r="E94" s="6">
        <f>IFERROR(__xludf.DUMMYFUNCTION("""COMPUTED_VALUE"""),217.23)</f>
        <v>217.23</v>
      </c>
      <c r="F94" s="6">
        <f>IFERROR(__xludf.DUMMYFUNCTION("""COMPUTED_VALUE"""),6.5143176E7)</f>
        <v>65143176</v>
      </c>
    </row>
    <row r="95">
      <c r="A95" s="7">
        <f>IFERROR(__xludf.DUMMYFUNCTION("""COMPUTED_VALUE"""),45856.64583333333)</f>
        <v>45856.64583</v>
      </c>
      <c r="B95" s="6">
        <f>IFERROR(__xludf.DUMMYFUNCTION("""COMPUTED_VALUE"""),220.07)</f>
        <v>220.07</v>
      </c>
      <c r="C95" s="6">
        <f>IFERROR(__xludf.DUMMYFUNCTION("""COMPUTED_VALUE"""),220.9)</f>
        <v>220.9</v>
      </c>
      <c r="D95" s="6">
        <f>IFERROR(__xludf.DUMMYFUNCTION("""COMPUTED_VALUE"""),212.05)</f>
        <v>212.05</v>
      </c>
      <c r="E95" s="6">
        <f>IFERROR(__xludf.DUMMYFUNCTION("""COMPUTED_VALUE"""),212.86)</f>
        <v>212.86</v>
      </c>
      <c r="F95" s="6">
        <f>IFERROR(__xludf.DUMMYFUNCTION("""COMPUTED_VALUE"""),2.3301883E7)</f>
        <v>23301883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IFERROR(__xludf.DUMMYFUNCTION("""COMPUTED_VALUE"""),212.86)</f>
        <v>212.86</v>
      </c>
      <c r="C96" s="6">
        <f>IFERROR(__xludf.DUMMYFUNCTION("""COMPUTED_VALUE"""),221.95)</f>
        <v>221.95</v>
      </c>
      <c r="D96" s="6">
        <f>IFERROR(__xludf.DUMMYFUNCTION("""COMPUTED_VALUE"""),210.07)</f>
        <v>210.07</v>
      </c>
      <c r="E96" s="6">
        <f>IFERROR(__xludf.DUMMYFUNCTION("""COMPUTED_VALUE"""),212.23)</f>
        <v>212.23</v>
      </c>
      <c r="F96" s="6">
        <f>IFERROR(__xludf.DUMMYFUNCTION("""COMPUTED_VALUE"""),1.7615568E7)</f>
        <v>17615568</v>
      </c>
    </row>
    <row r="97">
      <c r="A97" s="7">
        <f>IFERROR(__xludf.DUMMYFUNCTION("""COMPUTED_VALUE"""),45870.64583333333)</f>
        <v>45870.64583</v>
      </c>
      <c r="B97" s="6">
        <f>IFERROR(__xludf.DUMMYFUNCTION("""COMPUTED_VALUE"""),211.0)</f>
        <v>211</v>
      </c>
      <c r="C97" s="6">
        <f>IFERROR(__xludf.DUMMYFUNCTION("""COMPUTED_VALUE"""),214.8)</f>
        <v>214.8</v>
      </c>
      <c r="D97" s="6">
        <f>IFERROR(__xludf.DUMMYFUNCTION("""COMPUTED_VALUE"""),206.94)</f>
        <v>206.94</v>
      </c>
      <c r="E97" s="6">
        <f>IFERROR(__xludf.DUMMYFUNCTION("""COMPUTED_VALUE"""),210.06)</f>
        <v>210.06</v>
      </c>
      <c r="F97" s="6">
        <f>IFERROR(__xludf.DUMMYFUNCTION("""COMPUTED_VALUE"""),1.5537049E7)</f>
        <v>15537049</v>
      </c>
    </row>
    <row r="98">
      <c r="A98" s="7">
        <f>IFERROR(__xludf.DUMMYFUNCTION("""COMPUTED_VALUE"""),45877.64583333333)</f>
        <v>45877.64583</v>
      </c>
      <c r="B98" s="6">
        <f>IFERROR(__xludf.DUMMYFUNCTION("""COMPUTED_VALUE"""),209.0)</f>
        <v>209</v>
      </c>
      <c r="C98" s="6">
        <f>IFERROR(__xludf.DUMMYFUNCTION("""COMPUTED_VALUE"""),214.17)</f>
        <v>214.17</v>
      </c>
      <c r="D98" s="6">
        <f>IFERROR(__xludf.DUMMYFUNCTION("""COMPUTED_VALUE"""),200.71)</f>
        <v>200.71</v>
      </c>
      <c r="E98" s="6">
        <f>IFERROR(__xludf.DUMMYFUNCTION("""COMPUTED_VALUE"""),202.13)</f>
        <v>202.13</v>
      </c>
      <c r="F98" s="6">
        <f>IFERROR(__xludf.DUMMYFUNCTION("""COMPUTED_VALUE"""),1.3401494E7)</f>
        <v>13401494</v>
      </c>
    </row>
    <row r="99">
      <c r="A99" s="7">
        <f>IFERROR(__xludf.DUMMYFUNCTION("""COMPUTED_VALUE"""),45883.64583333333)</f>
        <v>45883.64583</v>
      </c>
      <c r="B99" s="6">
        <f>IFERROR(__xludf.DUMMYFUNCTION("""COMPUTED_VALUE"""),202.59)</f>
        <v>202.59</v>
      </c>
      <c r="C99" s="6">
        <f>IFERROR(__xludf.DUMMYFUNCTION("""COMPUTED_VALUE"""),220.77)</f>
        <v>220.77</v>
      </c>
      <c r="D99" s="6">
        <f>IFERROR(__xludf.DUMMYFUNCTION("""COMPUTED_VALUE"""),200.14)</f>
        <v>200.14</v>
      </c>
      <c r="E99" s="6">
        <f>IFERROR(__xludf.DUMMYFUNCTION("""COMPUTED_VALUE"""),215.14)</f>
        <v>215.14</v>
      </c>
      <c r="F99" s="6">
        <f>IFERROR(__xludf.DUMMYFUNCTION("""COMPUTED_VALUE"""),5.6152006E7)</f>
        <v>56152006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IFERROR(__xludf.DUMMYFUNCTION("""COMPUTED_VALUE"""),217.0)</f>
        <v>217</v>
      </c>
      <c r="C100" s="6">
        <f>IFERROR(__xludf.DUMMYFUNCTION("""COMPUTED_VALUE"""),229.15)</f>
        <v>229.15</v>
      </c>
      <c r="D100" s="6">
        <f>IFERROR(__xludf.DUMMYFUNCTION("""COMPUTED_VALUE"""),215.59)</f>
        <v>215.59</v>
      </c>
      <c r="E100" s="6">
        <f>IFERROR(__xludf.DUMMYFUNCTION("""COMPUTED_VALUE"""),224.94)</f>
        <v>224.94</v>
      </c>
      <c r="F100" s="6">
        <f>IFERROR(__xludf.DUMMYFUNCTION("""COMPUTED_VALUE"""),3.0415774E7)</f>
        <v>30415774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IFERROR(__xludf.DUMMYFUNCTION("""COMPUTED_VALUE"""),226.0)</f>
        <v>226</v>
      </c>
      <c r="C101" s="6">
        <f>IFERROR(__xludf.DUMMYFUNCTION("""COMPUTED_VALUE"""),234.28)</f>
        <v>234.28</v>
      </c>
      <c r="D101" s="6">
        <f>IFERROR(__xludf.DUMMYFUNCTION("""COMPUTED_VALUE"""),224.94)</f>
        <v>224.94</v>
      </c>
      <c r="E101" s="6">
        <f>IFERROR(__xludf.DUMMYFUNCTION("""COMPUTED_VALUE"""),231.65)</f>
        <v>231.65</v>
      </c>
      <c r="F101" s="6">
        <f>IFERROR(__xludf.DUMMYFUNCTION("""COMPUTED_VALUE"""),2.29492598E8)</f>
        <v>229492598</v>
      </c>
    </row>
  </sheetData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IFERROR(__xludf.DUMMYFUNCTION("GOOGLEFINANCE(""NSE:OBEROIRLTY"",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IFERROR(__xludf.DUMMYFUNCTION("""COMPUTED_VALUE"""),1085.9)</f>
        <v>1085.9</v>
      </c>
      <c r="C2" s="6">
        <f>IFERROR(__xludf.DUMMYFUNCTION("""COMPUTED_VALUE"""),1138.55)</f>
        <v>1138.55</v>
      </c>
      <c r="D2" s="6">
        <f>IFERROR(__xludf.DUMMYFUNCTION("""COMPUTED_VALUE"""),1075.2)</f>
        <v>1075.2</v>
      </c>
      <c r="E2" s="6">
        <f>IFERROR(__xludf.DUMMYFUNCTION("""COMPUTED_VALUE"""),1127.9)</f>
        <v>1127.9</v>
      </c>
      <c r="F2" s="6">
        <f>IFERROR(__xludf.DUMMYFUNCTION("""COMPUTED_VALUE"""),3837705.0)</f>
        <v>3837705</v>
      </c>
    </row>
    <row r="3">
      <c r="A3" s="7">
        <f>IFERROR(__xludf.DUMMYFUNCTION("""COMPUTED_VALUE"""),45177.64583333333)</f>
        <v>45177.64583</v>
      </c>
      <c r="B3" s="6">
        <f>IFERROR(__xludf.DUMMYFUNCTION("""COMPUTED_VALUE"""),1129.8)</f>
        <v>1129.8</v>
      </c>
      <c r="C3" s="6">
        <f>IFERROR(__xludf.DUMMYFUNCTION("""COMPUTED_VALUE"""),1187.5)</f>
        <v>1187.5</v>
      </c>
      <c r="D3" s="6">
        <f>IFERROR(__xludf.DUMMYFUNCTION("""COMPUTED_VALUE"""),1123.6)</f>
        <v>1123.6</v>
      </c>
      <c r="E3" s="6">
        <f>IFERROR(__xludf.DUMMYFUNCTION("""COMPUTED_VALUE"""),1179.6)</f>
        <v>1179.6</v>
      </c>
      <c r="F3" s="6">
        <f>IFERROR(__xludf.DUMMYFUNCTION("""COMPUTED_VALUE"""),2245545.0)</f>
        <v>2245545</v>
      </c>
    </row>
    <row r="4">
      <c r="A4" s="7">
        <f>IFERROR(__xludf.DUMMYFUNCTION("""COMPUTED_VALUE"""),45184.64583333333)</f>
        <v>45184.64583</v>
      </c>
      <c r="B4" s="6">
        <f>IFERROR(__xludf.DUMMYFUNCTION("""COMPUTED_VALUE"""),1190.0)</f>
        <v>1190</v>
      </c>
      <c r="C4" s="6">
        <f>IFERROR(__xludf.DUMMYFUNCTION("""COMPUTED_VALUE"""),1206.9)</f>
        <v>1206.9</v>
      </c>
      <c r="D4" s="6">
        <f>IFERROR(__xludf.DUMMYFUNCTION("""COMPUTED_VALUE"""),1122.85)</f>
        <v>1122.85</v>
      </c>
      <c r="E4" s="6">
        <f>IFERROR(__xludf.DUMMYFUNCTION("""COMPUTED_VALUE"""),1173.9)</f>
        <v>1173.9</v>
      </c>
      <c r="F4" s="6">
        <f>IFERROR(__xludf.DUMMYFUNCTION("""COMPUTED_VALUE"""),2825490.0)</f>
        <v>2825490</v>
      </c>
    </row>
    <row r="5">
      <c r="A5" s="7">
        <f>IFERROR(__xludf.DUMMYFUNCTION("""COMPUTED_VALUE"""),45191.64583333333)</f>
        <v>45191.64583</v>
      </c>
      <c r="B5" s="6">
        <f>IFERROR(__xludf.DUMMYFUNCTION("""COMPUTED_VALUE"""),1170.2)</f>
        <v>1170.2</v>
      </c>
      <c r="C5" s="6">
        <f>IFERROR(__xludf.DUMMYFUNCTION("""COMPUTED_VALUE"""),1177.85)</f>
        <v>1177.85</v>
      </c>
      <c r="D5" s="6">
        <f>IFERROR(__xludf.DUMMYFUNCTION("""COMPUTED_VALUE"""),1116.55)</f>
        <v>1116.55</v>
      </c>
      <c r="E5" s="6">
        <f>IFERROR(__xludf.DUMMYFUNCTION("""COMPUTED_VALUE"""),1120.85)</f>
        <v>1120.85</v>
      </c>
      <c r="F5" s="6">
        <f>IFERROR(__xludf.DUMMYFUNCTION("""COMPUTED_VALUE"""),1454879.0)</f>
        <v>1454879</v>
      </c>
    </row>
    <row r="6">
      <c r="A6" s="7">
        <f>IFERROR(__xludf.DUMMYFUNCTION("""COMPUTED_VALUE"""),45198.64583333333)</f>
        <v>45198.64583</v>
      </c>
      <c r="B6" s="6">
        <f>IFERROR(__xludf.DUMMYFUNCTION("""COMPUTED_VALUE"""),1120.0)</f>
        <v>1120</v>
      </c>
      <c r="C6" s="6">
        <f>IFERROR(__xludf.DUMMYFUNCTION("""COMPUTED_VALUE"""),1159.8)</f>
        <v>1159.8</v>
      </c>
      <c r="D6" s="6">
        <f>IFERROR(__xludf.DUMMYFUNCTION("""COMPUTED_VALUE"""),1114.55)</f>
        <v>1114.55</v>
      </c>
      <c r="E6" s="6">
        <f>IFERROR(__xludf.DUMMYFUNCTION("""COMPUTED_VALUE"""),1154.35)</f>
        <v>1154.35</v>
      </c>
      <c r="F6" s="6">
        <f>IFERROR(__xludf.DUMMYFUNCTION("""COMPUTED_VALUE"""),2083934.0)</f>
        <v>2083934</v>
      </c>
    </row>
    <row r="7">
      <c r="A7" s="7">
        <f>IFERROR(__xludf.DUMMYFUNCTION("""COMPUTED_VALUE"""),45205.64583333333)</f>
        <v>45205.64583</v>
      </c>
      <c r="B7" s="6">
        <f>IFERROR(__xludf.DUMMYFUNCTION("""COMPUTED_VALUE"""),1152.05)</f>
        <v>1152.05</v>
      </c>
      <c r="C7" s="6">
        <f>IFERROR(__xludf.DUMMYFUNCTION("""COMPUTED_VALUE"""),1161.1)</f>
        <v>1161.1</v>
      </c>
      <c r="D7" s="6">
        <f>IFERROR(__xludf.DUMMYFUNCTION("""COMPUTED_VALUE"""),1073.65)</f>
        <v>1073.65</v>
      </c>
      <c r="E7" s="6">
        <f>IFERROR(__xludf.DUMMYFUNCTION("""COMPUTED_VALUE"""),1111.6)</f>
        <v>1111.6</v>
      </c>
      <c r="F7" s="6">
        <f>IFERROR(__xludf.DUMMYFUNCTION("""COMPUTED_VALUE"""),3780317.0)</f>
        <v>3780317</v>
      </c>
    </row>
    <row r="8">
      <c r="A8" s="7">
        <f>IFERROR(__xludf.DUMMYFUNCTION("""COMPUTED_VALUE"""),45212.64583333333)</f>
        <v>45212.64583</v>
      </c>
      <c r="B8" s="6">
        <f>IFERROR(__xludf.DUMMYFUNCTION("""COMPUTED_VALUE"""),1104.0)</f>
        <v>1104</v>
      </c>
      <c r="C8" s="6">
        <f>IFERROR(__xludf.DUMMYFUNCTION("""COMPUTED_VALUE"""),1169.0)</f>
        <v>1169</v>
      </c>
      <c r="D8" s="6">
        <f>IFERROR(__xludf.DUMMYFUNCTION("""COMPUTED_VALUE"""),1098.15)</f>
        <v>1098.15</v>
      </c>
      <c r="E8" s="6">
        <f>IFERROR(__xludf.DUMMYFUNCTION("""COMPUTED_VALUE"""),1128.75)</f>
        <v>1128.75</v>
      </c>
      <c r="F8" s="6">
        <f>IFERROR(__xludf.DUMMYFUNCTION("""COMPUTED_VALUE"""),2283266.0)</f>
        <v>2283266</v>
      </c>
    </row>
    <row r="9">
      <c r="A9" s="7">
        <f>IFERROR(__xludf.DUMMYFUNCTION("""COMPUTED_VALUE"""),45219.64583333333)</f>
        <v>45219.64583</v>
      </c>
      <c r="B9" s="6">
        <f>IFERROR(__xludf.DUMMYFUNCTION("""COMPUTED_VALUE"""),1127.95)</f>
        <v>1127.95</v>
      </c>
      <c r="C9" s="6">
        <f>IFERROR(__xludf.DUMMYFUNCTION("""COMPUTED_VALUE"""),1146.85)</f>
        <v>1146.85</v>
      </c>
      <c r="D9" s="6">
        <f>IFERROR(__xludf.DUMMYFUNCTION("""COMPUTED_VALUE"""),1093.8)</f>
        <v>1093.8</v>
      </c>
      <c r="E9" s="6">
        <f>IFERROR(__xludf.DUMMYFUNCTION("""COMPUTED_VALUE"""),1099.55)</f>
        <v>1099.55</v>
      </c>
      <c r="F9" s="6">
        <f>IFERROR(__xludf.DUMMYFUNCTION("""COMPUTED_VALUE"""),1146855.0)</f>
        <v>1146855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IFERROR(__xludf.DUMMYFUNCTION("""COMPUTED_VALUE"""),1090.2)</f>
        <v>1090.2</v>
      </c>
      <c r="C10" s="6">
        <f>IFERROR(__xludf.DUMMYFUNCTION("""COMPUTED_VALUE"""),1111.65)</f>
        <v>1111.65</v>
      </c>
      <c r="D10" s="6">
        <f>IFERROR(__xludf.DUMMYFUNCTION("""COMPUTED_VALUE"""),1051.1)</f>
        <v>1051.1</v>
      </c>
      <c r="E10" s="6">
        <f>IFERROR(__xludf.DUMMYFUNCTION("""COMPUTED_VALUE"""),1099.0)</f>
        <v>1099</v>
      </c>
      <c r="F10" s="6">
        <f>IFERROR(__xludf.DUMMYFUNCTION("""COMPUTED_VALUE"""),2027021.0)</f>
        <v>2027021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IFERROR(__xludf.DUMMYFUNCTION("""COMPUTED_VALUE"""),1109.95)</f>
        <v>1109.95</v>
      </c>
      <c r="C11" s="6">
        <f>IFERROR(__xludf.DUMMYFUNCTION("""COMPUTED_VALUE"""),1239.85)</f>
        <v>1239.85</v>
      </c>
      <c r="D11" s="6">
        <f>IFERROR(__xludf.DUMMYFUNCTION("""COMPUTED_VALUE"""),1089.25)</f>
        <v>1089.25</v>
      </c>
      <c r="E11" s="6">
        <f>IFERROR(__xludf.DUMMYFUNCTION("""COMPUTED_VALUE"""),1231.55)</f>
        <v>1231.55</v>
      </c>
      <c r="F11" s="6">
        <f>IFERROR(__xludf.DUMMYFUNCTION("""COMPUTED_VALUE"""),4769795.0)</f>
        <v>4769795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IFERROR(__xludf.DUMMYFUNCTION("""COMPUTED_VALUE"""),1244.2)</f>
        <v>1244.2</v>
      </c>
      <c r="C12" s="6">
        <f>IFERROR(__xludf.DUMMYFUNCTION("""COMPUTED_VALUE"""),1265.7)</f>
        <v>1265.7</v>
      </c>
      <c r="D12" s="6">
        <f>IFERROR(__xludf.DUMMYFUNCTION("""COMPUTED_VALUE"""),1201.0)</f>
        <v>1201</v>
      </c>
      <c r="E12" s="6">
        <f>IFERROR(__xludf.DUMMYFUNCTION("""COMPUTED_VALUE"""),1256.65)</f>
        <v>1256.65</v>
      </c>
      <c r="F12" s="6">
        <f>IFERROR(__xludf.DUMMYFUNCTION("""COMPUTED_VALUE"""),2571866.0)</f>
        <v>2571866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IFERROR(__xludf.DUMMYFUNCTION("""COMPUTED_VALUE"""),1261.0)</f>
        <v>1261</v>
      </c>
      <c r="C13" s="6">
        <f>IFERROR(__xludf.DUMMYFUNCTION("""COMPUTED_VALUE"""),1349.0)</f>
        <v>1349</v>
      </c>
      <c r="D13" s="6">
        <f>IFERROR(__xludf.DUMMYFUNCTION("""COMPUTED_VALUE"""),1217.7)</f>
        <v>1217.7</v>
      </c>
      <c r="E13" s="6">
        <f>IFERROR(__xludf.DUMMYFUNCTION("""COMPUTED_VALUE"""),1340.9)</f>
        <v>1340.9</v>
      </c>
      <c r="F13" s="6">
        <f>IFERROR(__xludf.DUMMYFUNCTION("""COMPUTED_VALUE"""),4881981.0)</f>
        <v>4881981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IFERROR(__xludf.DUMMYFUNCTION("""COMPUTED_VALUE"""),1353.0)</f>
        <v>1353</v>
      </c>
      <c r="C14" s="6">
        <f>IFERROR(__xludf.DUMMYFUNCTION("""COMPUTED_VALUE"""),1415.4)</f>
        <v>1415.4</v>
      </c>
      <c r="D14" s="6">
        <f>IFERROR(__xludf.DUMMYFUNCTION("""COMPUTED_VALUE"""),1344.2)</f>
        <v>1344.2</v>
      </c>
      <c r="E14" s="6">
        <f>IFERROR(__xludf.DUMMYFUNCTION("""COMPUTED_VALUE"""),1389.95)</f>
        <v>1389.95</v>
      </c>
      <c r="F14" s="6">
        <f>IFERROR(__xludf.DUMMYFUNCTION("""COMPUTED_VALUE"""),7711088.0)</f>
        <v>7711088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IFERROR(__xludf.DUMMYFUNCTION("""COMPUTED_VALUE"""),1388.1)</f>
        <v>1388.1</v>
      </c>
      <c r="C15" s="6">
        <f>IFERROR(__xludf.DUMMYFUNCTION("""COMPUTED_VALUE"""),1431.4)</f>
        <v>1431.4</v>
      </c>
      <c r="D15" s="6">
        <f>IFERROR(__xludf.DUMMYFUNCTION("""COMPUTED_VALUE"""),1376.05)</f>
        <v>1376.05</v>
      </c>
      <c r="E15" s="6">
        <f>IFERROR(__xludf.DUMMYFUNCTION("""COMPUTED_VALUE"""),1415.05)</f>
        <v>1415.05</v>
      </c>
      <c r="F15" s="6">
        <f>IFERROR(__xludf.DUMMYFUNCTION("""COMPUTED_VALUE"""),7239900.0)</f>
        <v>7239900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IFERROR(__xludf.DUMMYFUNCTION("""COMPUTED_VALUE"""),1425.05)</f>
        <v>1425.05</v>
      </c>
      <c r="C16" s="6">
        <f>IFERROR(__xludf.DUMMYFUNCTION("""COMPUTED_VALUE"""),1482.6)</f>
        <v>1482.6</v>
      </c>
      <c r="D16" s="6">
        <f>IFERROR(__xludf.DUMMYFUNCTION("""COMPUTED_VALUE"""),1410.0)</f>
        <v>1410</v>
      </c>
      <c r="E16" s="6">
        <f>IFERROR(__xludf.DUMMYFUNCTION("""COMPUTED_VALUE"""),1447.35)</f>
        <v>1447.35</v>
      </c>
      <c r="F16" s="6">
        <f>IFERROR(__xludf.DUMMYFUNCTION("""COMPUTED_VALUE"""),3925975.0)</f>
        <v>3925975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IFERROR(__xludf.DUMMYFUNCTION("""COMPUTED_VALUE"""),1405.0)</f>
        <v>1405</v>
      </c>
      <c r="C17" s="6">
        <f>IFERROR(__xludf.DUMMYFUNCTION("""COMPUTED_VALUE"""),1502.55)</f>
        <v>1502.55</v>
      </c>
      <c r="D17" s="6">
        <f>IFERROR(__xludf.DUMMYFUNCTION("""COMPUTED_VALUE"""),1405.0)</f>
        <v>1405</v>
      </c>
      <c r="E17" s="6">
        <f>IFERROR(__xludf.DUMMYFUNCTION("""COMPUTED_VALUE"""),1476.7)</f>
        <v>1476.7</v>
      </c>
      <c r="F17" s="6">
        <f>IFERROR(__xludf.DUMMYFUNCTION("""COMPUTED_VALUE"""),4362089.0)</f>
        <v>4362089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IFERROR(__xludf.DUMMYFUNCTION("""COMPUTED_VALUE"""),1477.45)</f>
        <v>1477.45</v>
      </c>
      <c r="C18" s="6">
        <f>IFERROR(__xludf.DUMMYFUNCTION("""COMPUTED_VALUE"""),1482.5)</f>
        <v>1482.5</v>
      </c>
      <c r="D18" s="6">
        <f>IFERROR(__xludf.DUMMYFUNCTION("""COMPUTED_VALUE"""),1355.0)</f>
        <v>1355</v>
      </c>
      <c r="E18" s="6">
        <f>IFERROR(__xludf.DUMMYFUNCTION("""COMPUTED_VALUE"""),1407.05)</f>
        <v>1407.05</v>
      </c>
      <c r="F18" s="6">
        <f>IFERROR(__xludf.DUMMYFUNCTION("""COMPUTED_VALUE"""),2543453.0)</f>
        <v>2543453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IFERROR(__xludf.DUMMYFUNCTION("""COMPUTED_VALUE"""),1408.8)</f>
        <v>1408.8</v>
      </c>
      <c r="C19" s="6">
        <f>IFERROR(__xludf.DUMMYFUNCTION("""COMPUTED_VALUE"""),1451.6)</f>
        <v>1451.6</v>
      </c>
      <c r="D19" s="6">
        <f>IFERROR(__xludf.DUMMYFUNCTION("""COMPUTED_VALUE"""),1395.65)</f>
        <v>1395.65</v>
      </c>
      <c r="E19" s="6">
        <f>IFERROR(__xludf.DUMMYFUNCTION("""COMPUTED_VALUE"""),1443.35)</f>
        <v>1443.35</v>
      </c>
      <c r="F19" s="6">
        <f>IFERROR(__xludf.DUMMYFUNCTION("""COMPUTED_VALUE"""),2536930.0)</f>
        <v>2536930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IFERROR(__xludf.DUMMYFUNCTION("""COMPUTED_VALUE"""),1441.0)</f>
        <v>1441</v>
      </c>
      <c r="C20" s="6">
        <f>IFERROR(__xludf.DUMMYFUNCTION("""COMPUTED_VALUE"""),1556.0)</f>
        <v>1556</v>
      </c>
      <c r="D20" s="6">
        <f>IFERROR(__xludf.DUMMYFUNCTION("""COMPUTED_VALUE"""),1430.0)</f>
        <v>1430</v>
      </c>
      <c r="E20" s="6">
        <f>IFERROR(__xludf.DUMMYFUNCTION("""COMPUTED_VALUE"""),1518.65)</f>
        <v>1518.65</v>
      </c>
      <c r="F20" s="6">
        <f>IFERROR(__xludf.DUMMYFUNCTION("""COMPUTED_VALUE"""),4377893.0)</f>
        <v>4377893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IFERROR(__xludf.DUMMYFUNCTION("""COMPUTED_VALUE"""),1513.0)</f>
        <v>1513</v>
      </c>
      <c r="C21" s="6">
        <f>IFERROR(__xludf.DUMMYFUNCTION("""COMPUTED_VALUE"""),1579.5)</f>
        <v>1579.5</v>
      </c>
      <c r="D21" s="6">
        <f>IFERROR(__xludf.DUMMYFUNCTION("""COMPUTED_VALUE"""),1485.05)</f>
        <v>1485.05</v>
      </c>
      <c r="E21" s="6">
        <f>IFERROR(__xludf.DUMMYFUNCTION("""COMPUTED_VALUE"""),1540.8)</f>
        <v>1540.8</v>
      </c>
      <c r="F21" s="6">
        <f>IFERROR(__xludf.DUMMYFUNCTION("""COMPUTED_VALUE"""),4038788.0)</f>
        <v>4038788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IFERROR(__xludf.DUMMYFUNCTION("""COMPUTED_VALUE"""),1445.0)</f>
        <v>1445</v>
      </c>
      <c r="C22" s="6">
        <f>IFERROR(__xludf.DUMMYFUNCTION("""COMPUTED_VALUE"""),1450.0)</f>
        <v>1450</v>
      </c>
      <c r="D22" s="6">
        <f>IFERROR(__xludf.DUMMYFUNCTION("""COMPUTED_VALUE"""),1268.15)</f>
        <v>1268.15</v>
      </c>
      <c r="E22" s="6">
        <f>IFERROR(__xludf.DUMMYFUNCTION("""COMPUTED_VALUE"""),1303.95)</f>
        <v>1303.95</v>
      </c>
      <c r="F22" s="6">
        <f>IFERROR(__xludf.DUMMYFUNCTION("""COMPUTED_VALUE"""),7990192.0)</f>
        <v>7990192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IFERROR(__xludf.DUMMYFUNCTION("""COMPUTED_VALUE"""),1307.0)</f>
        <v>1307</v>
      </c>
      <c r="C23" s="6">
        <f>IFERROR(__xludf.DUMMYFUNCTION("""COMPUTED_VALUE"""),1329.55)</f>
        <v>1329.55</v>
      </c>
      <c r="D23" s="6">
        <f>IFERROR(__xludf.DUMMYFUNCTION("""COMPUTED_VALUE"""),1276.65)</f>
        <v>1276.65</v>
      </c>
      <c r="E23" s="6">
        <f>IFERROR(__xludf.DUMMYFUNCTION("""COMPUTED_VALUE"""),1285.15)</f>
        <v>1285.15</v>
      </c>
      <c r="F23" s="6">
        <f>IFERROR(__xludf.DUMMYFUNCTION("""COMPUTED_VALUE"""),4203211.0)</f>
        <v>4203211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IFERROR(__xludf.DUMMYFUNCTION("""COMPUTED_VALUE"""),1283.0)</f>
        <v>1283</v>
      </c>
      <c r="C24" s="6">
        <f>IFERROR(__xludf.DUMMYFUNCTION("""COMPUTED_VALUE"""),1355.5)</f>
        <v>1355.5</v>
      </c>
      <c r="D24" s="6">
        <f>IFERROR(__xludf.DUMMYFUNCTION("""COMPUTED_VALUE"""),1273.6)</f>
        <v>1273.6</v>
      </c>
      <c r="E24" s="6">
        <f>IFERROR(__xludf.DUMMYFUNCTION("""COMPUTED_VALUE"""),1341.95)</f>
        <v>1341.95</v>
      </c>
      <c r="F24" s="6">
        <f>IFERROR(__xludf.DUMMYFUNCTION("""COMPUTED_VALUE"""),4774739.0)</f>
        <v>4774739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IFERROR(__xludf.DUMMYFUNCTION("""COMPUTED_VALUE"""),1347.9)</f>
        <v>1347.9</v>
      </c>
      <c r="C25" s="6">
        <f>IFERROR(__xludf.DUMMYFUNCTION("""COMPUTED_VALUE"""),1359.5)</f>
        <v>1359.5</v>
      </c>
      <c r="D25" s="6">
        <f>IFERROR(__xludf.DUMMYFUNCTION("""COMPUTED_VALUE"""),1298.0)</f>
        <v>1298</v>
      </c>
      <c r="E25" s="6">
        <f>IFERROR(__xludf.DUMMYFUNCTION("""COMPUTED_VALUE"""),1322.05)</f>
        <v>1322.05</v>
      </c>
      <c r="F25" s="6">
        <f>IFERROR(__xludf.DUMMYFUNCTION("""COMPUTED_VALUE"""),3797774.0)</f>
        <v>3797774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IFERROR(__xludf.DUMMYFUNCTION("""COMPUTED_VALUE"""),1331.95)</f>
        <v>1331.95</v>
      </c>
      <c r="C26" s="6">
        <f>IFERROR(__xludf.DUMMYFUNCTION("""COMPUTED_VALUE"""),1406.55)</f>
        <v>1406.55</v>
      </c>
      <c r="D26" s="6">
        <f>IFERROR(__xludf.DUMMYFUNCTION("""COMPUTED_VALUE"""),1295.1)</f>
        <v>1295.1</v>
      </c>
      <c r="E26" s="6">
        <f>IFERROR(__xludf.DUMMYFUNCTION("""COMPUTED_VALUE"""),1366.1)</f>
        <v>1366.1</v>
      </c>
      <c r="F26" s="6">
        <f>IFERROR(__xludf.DUMMYFUNCTION("""COMPUTED_VALUE"""),4569387.0)</f>
        <v>4569387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IFERROR(__xludf.DUMMYFUNCTION("""COMPUTED_VALUE"""),1378.05)</f>
        <v>1378.05</v>
      </c>
      <c r="C27" s="6">
        <f>IFERROR(__xludf.DUMMYFUNCTION("""COMPUTED_VALUE"""),1398.8)</f>
        <v>1398.8</v>
      </c>
      <c r="D27" s="6">
        <f>IFERROR(__xludf.DUMMYFUNCTION("""COMPUTED_VALUE"""),1334.55)</f>
        <v>1334.55</v>
      </c>
      <c r="E27" s="6">
        <f>IFERROR(__xludf.DUMMYFUNCTION("""COMPUTED_VALUE"""),1377.4)</f>
        <v>1377.4</v>
      </c>
      <c r="F27" s="6">
        <f>IFERROR(__xludf.DUMMYFUNCTION("""COMPUTED_VALUE"""),1341858.0)</f>
        <v>1341858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IFERROR(__xludf.DUMMYFUNCTION("""COMPUTED_VALUE"""),1380.2)</f>
        <v>1380.2</v>
      </c>
      <c r="C28" s="6">
        <f>IFERROR(__xludf.DUMMYFUNCTION("""COMPUTED_VALUE"""),1397.7)</f>
        <v>1397.7</v>
      </c>
      <c r="D28" s="6">
        <f>IFERROR(__xludf.DUMMYFUNCTION("""COMPUTED_VALUE"""),1283.85)</f>
        <v>1283.85</v>
      </c>
      <c r="E28" s="6">
        <f>IFERROR(__xludf.DUMMYFUNCTION("""COMPUTED_VALUE"""),1325.7)</f>
        <v>1325.7</v>
      </c>
      <c r="F28" s="6">
        <f>IFERROR(__xludf.DUMMYFUNCTION("""COMPUTED_VALUE"""),3131776.0)</f>
        <v>3131776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IFERROR(__xludf.DUMMYFUNCTION("""COMPUTED_VALUE"""),1320.45)</f>
        <v>1320.45</v>
      </c>
      <c r="C29" s="6">
        <f>IFERROR(__xludf.DUMMYFUNCTION("""COMPUTED_VALUE"""),1458.65)</f>
        <v>1458.65</v>
      </c>
      <c r="D29" s="6">
        <f>IFERROR(__xludf.DUMMYFUNCTION("""COMPUTED_VALUE"""),1314.2)</f>
        <v>1314.2</v>
      </c>
      <c r="E29" s="6">
        <f>IFERROR(__xludf.DUMMYFUNCTION("""COMPUTED_VALUE"""),1446.85)</f>
        <v>1446.85</v>
      </c>
      <c r="F29" s="6">
        <f>IFERROR(__xludf.DUMMYFUNCTION("""COMPUTED_VALUE"""),4433578.0)</f>
        <v>4433578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IFERROR(__xludf.DUMMYFUNCTION("""COMPUTED_VALUE"""),1457.55)</f>
        <v>1457.55</v>
      </c>
      <c r="C30" s="6">
        <f>IFERROR(__xludf.DUMMYFUNCTION("""COMPUTED_VALUE"""),1530.0)</f>
        <v>1530</v>
      </c>
      <c r="D30" s="6">
        <f>IFERROR(__xludf.DUMMYFUNCTION("""COMPUTED_VALUE"""),1387.9)</f>
        <v>1387.9</v>
      </c>
      <c r="E30" s="6">
        <f>IFERROR(__xludf.DUMMYFUNCTION("""COMPUTED_VALUE"""),1475.85)</f>
        <v>1475.85</v>
      </c>
      <c r="F30" s="6">
        <f>IFERROR(__xludf.DUMMYFUNCTION("""COMPUTED_VALUE"""),4165718.0)</f>
        <v>4165718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IFERROR(__xludf.DUMMYFUNCTION("""COMPUTED_VALUE"""),1475.0)</f>
        <v>1475</v>
      </c>
      <c r="C31" s="6">
        <f>IFERROR(__xludf.DUMMYFUNCTION("""COMPUTED_VALUE"""),1586.8)</f>
        <v>1586.8</v>
      </c>
      <c r="D31" s="6">
        <f>IFERROR(__xludf.DUMMYFUNCTION("""COMPUTED_VALUE"""),1471.15)</f>
        <v>1471.15</v>
      </c>
      <c r="E31" s="6">
        <f>IFERROR(__xludf.DUMMYFUNCTION("""COMPUTED_VALUE"""),1550.8)</f>
        <v>1550.8</v>
      </c>
      <c r="F31" s="6">
        <f>IFERROR(__xludf.DUMMYFUNCTION("""COMPUTED_VALUE"""),4789979.0)</f>
        <v>4789979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IFERROR(__xludf.DUMMYFUNCTION("""COMPUTED_VALUE"""),1563.95)</f>
        <v>1563.95</v>
      </c>
      <c r="C32" s="6">
        <f>IFERROR(__xludf.DUMMYFUNCTION("""COMPUTED_VALUE"""),1584.0)</f>
        <v>1584</v>
      </c>
      <c r="D32" s="6">
        <f>IFERROR(__xludf.DUMMYFUNCTION("""COMPUTED_VALUE"""),1493.0)</f>
        <v>1493</v>
      </c>
      <c r="E32" s="6">
        <f>IFERROR(__xludf.DUMMYFUNCTION("""COMPUTED_VALUE"""),1500.05)</f>
        <v>1500.05</v>
      </c>
      <c r="F32" s="6">
        <f>IFERROR(__xludf.DUMMYFUNCTION("""COMPUTED_VALUE"""),2603238.0)</f>
        <v>2603238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IFERROR(__xludf.DUMMYFUNCTION("""COMPUTED_VALUE"""),1481.1)</f>
        <v>1481.1</v>
      </c>
      <c r="C33" s="6">
        <f>IFERROR(__xludf.DUMMYFUNCTION("""COMPUTED_VALUE"""),1491.6)</f>
        <v>1491.6</v>
      </c>
      <c r="D33" s="6">
        <f>IFERROR(__xludf.DUMMYFUNCTION("""COMPUTED_VALUE"""),1359.25)</f>
        <v>1359.25</v>
      </c>
      <c r="E33" s="6">
        <f>IFERROR(__xludf.DUMMYFUNCTION("""COMPUTED_VALUE"""),1394.65)</f>
        <v>1394.65</v>
      </c>
      <c r="F33" s="6">
        <f>IFERROR(__xludf.DUMMYFUNCTION("""COMPUTED_VALUE"""),2148419.0)</f>
        <v>2148419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IFERROR(__xludf.DUMMYFUNCTION("""COMPUTED_VALUE"""),1397.5)</f>
        <v>1397.5</v>
      </c>
      <c r="C34" s="6">
        <f>IFERROR(__xludf.DUMMYFUNCTION("""COMPUTED_VALUE"""),1512.7)</f>
        <v>1512.7</v>
      </c>
      <c r="D34" s="6">
        <f>IFERROR(__xludf.DUMMYFUNCTION("""COMPUTED_VALUE"""),1395.0)</f>
        <v>1395</v>
      </c>
      <c r="E34" s="6">
        <f>IFERROR(__xludf.DUMMYFUNCTION("""COMPUTED_VALUE"""),1501.85)</f>
        <v>1501.85</v>
      </c>
      <c r="F34" s="6">
        <f>IFERROR(__xludf.DUMMYFUNCTION("""COMPUTED_VALUE"""),2496735.0)</f>
        <v>2496735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IFERROR(__xludf.DUMMYFUNCTION("""COMPUTED_VALUE"""),1508.85)</f>
        <v>1508.85</v>
      </c>
      <c r="C35" s="6">
        <f>IFERROR(__xludf.DUMMYFUNCTION("""COMPUTED_VALUE"""),1545.0)</f>
        <v>1545</v>
      </c>
      <c r="D35" s="6">
        <f>IFERROR(__xludf.DUMMYFUNCTION("""COMPUTED_VALUE"""),1456.3)</f>
        <v>1456.3</v>
      </c>
      <c r="E35" s="6">
        <f>IFERROR(__xludf.DUMMYFUNCTION("""COMPUTED_VALUE"""),1472.45)</f>
        <v>1472.45</v>
      </c>
      <c r="F35" s="6">
        <f>IFERROR(__xludf.DUMMYFUNCTION("""COMPUTED_VALUE"""),1775055.0)</f>
        <v>1775055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IFERROR(__xludf.DUMMYFUNCTION("""COMPUTED_VALUE"""),1482.0)</f>
        <v>1482</v>
      </c>
      <c r="C36" s="6">
        <f>IFERROR(__xludf.DUMMYFUNCTION("""COMPUTED_VALUE"""),1546.35)</f>
        <v>1546.35</v>
      </c>
      <c r="D36" s="6">
        <f>IFERROR(__xludf.DUMMYFUNCTION("""COMPUTED_VALUE"""),1444.4)</f>
        <v>1444.4</v>
      </c>
      <c r="E36" s="6">
        <f>IFERROR(__xludf.DUMMYFUNCTION("""COMPUTED_VALUE"""),1469.65)</f>
        <v>1469.65</v>
      </c>
      <c r="F36" s="6">
        <f>IFERROR(__xludf.DUMMYFUNCTION("""COMPUTED_VALUE"""),2735293.0)</f>
        <v>2735293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IFERROR(__xludf.DUMMYFUNCTION("""COMPUTED_VALUE"""),1750.55)</f>
        <v>1750.55</v>
      </c>
      <c r="C37" s="6">
        <f>IFERROR(__xludf.DUMMYFUNCTION("""COMPUTED_VALUE"""),1818.85)</f>
        <v>1818.85</v>
      </c>
      <c r="D37" s="6">
        <f>IFERROR(__xludf.DUMMYFUNCTION("""COMPUTED_VALUE"""),1707.6)</f>
        <v>1707.6</v>
      </c>
      <c r="E37" s="6">
        <f>IFERROR(__xludf.DUMMYFUNCTION("""COMPUTED_VALUE"""),1800.75)</f>
        <v>1800.75</v>
      </c>
      <c r="F37" s="6">
        <f>IFERROR(__xludf.DUMMYFUNCTION("""COMPUTED_VALUE"""),4994255.0)</f>
        <v>4994255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IFERROR(__xludf.DUMMYFUNCTION("""COMPUTED_VALUE"""),1800.5)</f>
        <v>1800.5</v>
      </c>
      <c r="C38" s="6">
        <f>IFERROR(__xludf.DUMMYFUNCTION("""COMPUTED_VALUE"""),1868.35)</f>
        <v>1868.35</v>
      </c>
      <c r="D38" s="6">
        <f>IFERROR(__xludf.DUMMYFUNCTION("""COMPUTED_VALUE"""),1789.75)</f>
        <v>1789.75</v>
      </c>
      <c r="E38" s="6">
        <f>IFERROR(__xludf.DUMMYFUNCTION("""COMPUTED_VALUE"""),1819.65)</f>
        <v>1819.65</v>
      </c>
      <c r="F38" s="6">
        <f>IFERROR(__xludf.DUMMYFUNCTION("""COMPUTED_VALUE"""),3768763.0)</f>
        <v>3768763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IFERROR(__xludf.DUMMYFUNCTION("""COMPUTED_VALUE"""),1924.95)</f>
        <v>1924.95</v>
      </c>
      <c r="C39" s="6">
        <f>IFERROR(__xludf.DUMMYFUNCTION("""COMPUTED_VALUE"""),1927.95)</f>
        <v>1927.95</v>
      </c>
      <c r="D39" s="6">
        <f>IFERROR(__xludf.DUMMYFUNCTION("""COMPUTED_VALUE"""),1601.35)</f>
        <v>1601.35</v>
      </c>
      <c r="E39" s="6">
        <f>IFERROR(__xludf.DUMMYFUNCTION("""COMPUTED_VALUE"""),1889.5)</f>
        <v>1889.5</v>
      </c>
      <c r="F39" s="6">
        <f>IFERROR(__xludf.DUMMYFUNCTION("""COMPUTED_VALUE"""),4198730.0)</f>
        <v>4198730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IFERROR(__xludf.DUMMYFUNCTION("""COMPUTED_VALUE"""),1900.05)</f>
        <v>1900.05</v>
      </c>
      <c r="C40" s="6">
        <f>IFERROR(__xludf.DUMMYFUNCTION("""COMPUTED_VALUE"""),1953.05)</f>
        <v>1953.05</v>
      </c>
      <c r="D40" s="6">
        <f>IFERROR(__xludf.DUMMYFUNCTION("""COMPUTED_VALUE"""),1841.5)</f>
        <v>1841.5</v>
      </c>
      <c r="E40" s="6">
        <f>IFERROR(__xludf.DUMMYFUNCTION("""COMPUTED_VALUE"""),1907.8)</f>
        <v>1907.8</v>
      </c>
      <c r="F40" s="6">
        <f>IFERROR(__xludf.DUMMYFUNCTION("""COMPUTED_VALUE"""),4929798.0)</f>
        <v>4929798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IFERROR(__xludf.DUMMYFUNCTION("""COMPUTED_VALUE"""),1896.5)</f>
        <v>1896.5</v>
      </c>
      <c r="C41" s="6">
        <f>IFERROR(__xludf.DUMMYFUNCTION("""COMPUTED_VALUE"""),1929.9)</f>
        <v>1929.9</v>
      </c>
      <c r="D41" s="6">
        <f>IFERROR(__xludf.DUMMYFUNCTION("""COMPUTED_VALUE"""),1848.5)</f>
        <v>1848.5</v>
      </c>
      <c r="E41" s="6">
        <f>IFERROR(__xludf.DUMMYFUNCTION("""COMPUTED_VALUE"""),1885.8)</f>
        <v>1885.8</v>
      </c>
      <c r="F41" s="6">
        <f>IFERROR(__xludf.DUMMYFUNCTION("""COMPUTED_VALUE"""),2819494.0)</f>
        <v>2819494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IFERROR(__xludf.DUMMYFUNCTION("""COMPUTED_VALUE"""),1885.8)</f>
        <v>1885.8</v>
      </c>
      <c r="C42" s="6">
        <f>IFERROR(__xludf.DUMMYFUNCTION("""COMPUTED_VALUE"""),1934.0)</f>
        <v>1934</v>
      </c>
      <c r="D42" s="6">
        <f>IFERROR(__xludf.DUMMYFUNCTION("""COMPUTED_VALUE"""),1750.0)</f>
        <v>1750</v>
      </c>
      <c r="E42" s="6">
        <f>IFERROR(__xludf.DUMMYFUNCTION("""COMPUTED_VALUE"""),1765.75)</f>
        <v>1765.75</v>
      </c>
      <c r="F42" s="6">
        <f>IFERROR(__xludf.DUMMYFUNCTION("""COMPUTED_VALUE"""),5680469.0)</f>
        <v>5680469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IFERROR(__xludf.DUMMYFUNCTION("""COMPUTED_VALUE"""),1792.0)</f>
        <v>1792</v>
      </c>
      <c r="C43" s="6">
        <f>IFERROR(__xludf.DUMMYFUNCTION("""COMPUTED_VALUE"""),1819.0)</f>
        <v>1819</v>
      </c>
      <c r="D43" s="6">
        <f>IFERROR(__xludf.DUMMYFUNCTION("""COMPUTED_VALUE"""),1751.0)</f>
        <v>1751</v>
      </c>
      <c r="E43" s="6">
        <f>IFERROR(__xludf.DUMMYFUNCTION("""COMPUTED_VALUE"""),1785.05)</f>
        <v>1785.05</v>
      </c>
      <c r="F43" s="6">
        <f>IFERROR(__xludf.DUMMYFUNCTION("""COMPUTED_VALUE"""),2763596.0)</f>
        <v>2763596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IFERROR(__xludf.DUMMYFUNCTION("""COMPUTED_VALUE"""),1798.0)</f>
        <v>1798</v>
      </c>
      <c r="C44" s="6">
        <f>IFERROR(__xludf.DUMMYFUNCTION("""COMPUTED_VALUE"""),1798.0)</f>
        <v>1798</v>
      </c>
      <c r="D44" s="6">
        <f>IFERROR(__xludf.DUMMYFUNCTION("""COMPUTED_VALUE"""),1686.8)</f>
        <v>1686.8</v>
      </c>
      <c r="E44" s="6">
        <f>IFERROR(__xludf.DUMMYFUNCTION("""COMPUTED_VALUE"""),1697.7)</f>
        <v>1697.7</v>
      </c>
      <c r="F44" s="6">
        <f>IFERROR(__xludf.DUMMYFUNCTION("""COMPUTED_VALUE"""),3203661.0)</f>
        <v>3203661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IFERROR(__xludf.DUMMYFUNCTION("""COMPUTED_VALUE"""),1714.9)</f>
        <v>1714.9</v>
      </c>
      <c r="C45" s="6">
        <f>IFERROR(__xludf.DUMMYFUNCTION("""COMPUTED_VALUE"""),1745.0)</f>
        <v>1745</v>
      </c>
      <c r="D45" s="6">
        <f>IFERROR(__xludf.DUMMYFUNCTION("""COMPUTED_VALUE"""),1644.0)</f>
        <v>1644</v>
      </c>
      <c r="E45" s="6">
        <f>IFERROR(__xludf.DUMMYFUNCTION("""COMPUTED_VALUE"""),1671.3)</f>
        <v>1671.3</v>
      </c>
      <c r="F45" s="6">
        <f>IFERROR(__xludf.DUMMYFUNCTION("""COMPUTED_VALUE"""),3488926.0)</f>
        <v>3488926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IFERROR(__xludf.DUMMYFUNCTION("""COMPUTED_VALUE"""),1684.0)</f>
        <v>1684</v>
      </c>
      <c r="C46" s="6">
        <f>IFERROR(__xludf.DUMMYFUNCTION("""COMPUTED_VALUE"""),1814.7)</f>
        <v>1814.7</v>
      </c>
      <c r="D46" s="6">
        <f>IFERROR(__xludf.DUMMYFUNCTION("""COMPUTED_VALUE"""),1672.05)</f>
        <v>1672.05</v>
      </c>
      <c r="E46" s="6">
        <f>IFERROR(__xludf.DUMMYFUNCTION("""COMPUTED_VALUE"""),1785.0)</f>
        <v>1785</v>
      </c>
      <c r="F46" s="6">
        <f>IFERROR(__xludf.DUMMYFUNCTION("""COMPUTED_VALUE"""),1.0787213E7)</f>
        <v>10787213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IFERROR(__xludf.DUMMYFUNCTION("""COMPUTED_VALUE"""),1792.05)</f>
        <v>1792.05</v>
      </c>
      <c r="C47" s="6">
        <f>IFERROR(__xludf.DUMMYFUNCTION("""COMPUTED_VALUE"""),1879.0)</f>
        <v>1879</v>
      </c>
      <c r="D47" s="6">
        <f>IFERROR(__xludf.DUMMYFUNCTION("""COMPUTED_VALUE"""),1773.3)</f>
        <v>1773.3</v>
      </c>
      <c r="E47" s="6">
        <f>IFERROR(__xludf.DUMMYFUNCTION("""COMPUTED_VALUE"""),1779.35)</f>
        <v>1779.35</v>
      </c>
      <c r="F47" s="6">
        <f>IFERROR(__xludf.DUMMYFUNCTION("""COMPUTED_VALUE"""),4703105.0)</f>
        <v>4703105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IFERROR(__xludf.DUMMYFUNCTION("""COMPUTED_VALUE"""),1750.0)</f>
        <v>1750</v>
      </c>
      <c r="C48" s="6">
        <f>IFERROR(__xludf.DUMMYFUNCTION("""COMPUTED_VALUE"""),1808.85)</f>
        <v>1808.85</v>
      </c>
      <c r="D48" s="6">
        <f>IFERROR(__xludf.DUMMYFUNCTION("""COMPUTED_VALUE"""),1687.0)</f>
        <v>1687</v>
      </c>
      <c r="E48" s="6">
        <f>IFERROR(__xludf.DUMMYFUNCTION("""COMPUTED_VALUE"""),1788.25)</f>
        <v>1788.25</v>
      </c>
      <c r="F48" s="6">
        <f>IFERROR(__xludf.DUMMYFUNCTION("""COMPUTED_VALUE"""),4403107.0)</f>
        <v>4403107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IFERROR(__xludf.DUMMYFUNCTION("""COMPUTED_VALUE"""),1786.5)</f>
        <v>1786.5</v>
      </c>
      <c r="C49" s="6">
        <f>IFERROR(__xludf.DUMMYFUNCTION("""COMPUTED_VALUE"""),1827.75)</f>
        <v>1827.75</v>
      </c>
      <c r="D49" s="6">
        <f>IFERROR(__xludf.DUMMYFUNCTION("""COMPUTED_VALUE"""),1705.0)</f>
        <v>1705</v>
      </c>
      <c r="E49" s="6">
        <f>IFERROR(__xludf.DUMMYFUNCTION("""COMPUTED_VALUE"""),1766.15)</f>
        <v>1766.15</v>
      </c>
      <c r="F49" s="6">
        <f>IFERROR(__xludf.DUMMYFUNCTION("""COMPUTED_VALUE"""),3526799.0)</f>
        <v>3526799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IFERROR(__xludf.DUMMYFUNCTION("""COMPUTED_VALUE"""),1780.0)</f>
        <v>1780</v>
      </c>
      <c r="C50" s="6">
        <f>IFERROR(__xludf.DUMMYFUNCTION("""COMPUTED_VALUE"""),1780.0)</f>
        <v>1780</v>
      </c>
      <c r="D50" s="6">
        <f>IFERROR(__xludf.DUMMYFUNCTION("""COMPUTED_VALUE"""),1695.6)</f>
        <v>1695.6</v>
      </c>
      <c r="E50" s="6">
        <f>IFERROR(__xludf.DUMMYFUNCTION("""COMPUTED_VALUE"""),1703.1)</f>
        <v>1703.1</v>
      </c>
      <c r="F50" s="6">
        <f>IFERROR(__xludf.DUMMYFUNCTION("""COMPUTED_VALUE"""),2606803.0)</f>
        <v>2606803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IFERROR(__xludf.DUMMYFUNCTION("""COMPUTED_VALUE"""),1708.95)</f>
        <v>1708.95</v>
      </c>
      <c r="C51" s="6">
        <f>IFERROR(__xludf.DUMMYFUNCTION("""COMPUTED_VALUE"""),1789.0)</f>
        <v>1789</v>
      </c>
      <c r="D51" s="6">
        <f>IFERROR(__xludf.DUMMYFUNCTION("""COMPUTED_VALUE"""),1691.75)</f>
        <v>1691.75</v>
      </c>
      <c r="E51" s="6">
        <f>IFERROR(__xludf.DUMMYFUNCTION("""COMPUTED_VALUE"""),1772.35)</f>
        <v>1772.35</v>
      </c>
      <c r="F51" s="6">
        <f>IFERROR(__xludf.DUMMYFUNCTION("""COMPUTED_VALUE"""),3179976.0)</f>
        <v>3179976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IFERROR(__xludf.DUMMYFUNCTION("""COMPUTED_VALUE"""),1780.0)</f>
        <v>1780</v>
      </c>
      <c r="C52" s="6">
        <f>IFERROR(__xludf.DUMMYFUNCTION("""COMPUTED_VALUE"""),1797.6)</f>
        <v>1797.6</v>
      </c>
      <c r="D52" s="6">
        <f>IFERROR(__xludf.DUMMYFUNCTION("""COMPUTED_VALUE"""),1719.05)</f>
        <v>1719.05</v>
      </c>
      <c r="E52" s="6">
        <f>IFERROR(__xludf.DUMMYFUNCTION("""COMPUTED_VALUE"""),1747.25)</f>
        <v>1747.25</v>
      </c>
      <c r="F52" s="6">
        <f>IFERROR(__xludf.DUMMYFUNCTION("""COMPUTED_VALUE"""),2726153.0)</f>
        <v>2726153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IFERROR(__xludf.DUMMYFUNCTION("""COMPUTED_VALUE"""),1744.9)</f>
        <v>1744.9</v>
      </c>
      <c r="C53" s="6">
        <f>IFERROR(__xludf.DUMMYFUNCTION("""COMPUTED_VALUE"""),1819.55)</f>
        <v>1819.55</v>
      </c>
      <c r="D53" s="6">
        <f>IFERROR(__xludf.DUMMYFUNCTION("""COMPUTED_VALUE"""),1726.0)</f>
        <v>1726</v>
      </c>
      <c r="E53" s="6">
        <f>IFERROR(__xludf.DUMMYFUNCTION("""COMPUTED_VALUE"""),1814.45)</f>
        <v>1814.45</v>
      </c>
      <c r="F53" s="6">
        <f>IFERROR(__xludf.DUMMYFUNCTION("""COMPUTED_VALUE"""),3098821.0)</f>
        <v>3098821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IFERROR(__xludf.DUMMYFUNCTION("""COMPUTED_VALUE"""),1826.0)</f>
        <v>1826</v>
      </c>
      <c r="C54" s="6">
        <f>IFERROR(__xludf.DUMMYFUNCTION("""COMPUTED_VALUE"""),1872.0)</f>
        <v>1872</v>
      </c>
      <c r="D54" s="6">
        <f>IFERROR(__xludf.DUMMYFUNCTION("""COMPUTED_VALUE"""),1781.1)</f>
        <v>1781.1</v>
      </c>
      <c r="E54" s="6">
        <f>IFERROR(__xludf.DUMMYFUNCTION("""COMPUTED_VALUE"""),1856.85)</f>
        <v>1856.85</v>
      </c>
      <c r="F54" s="6">
        <f>IFERROR(__xludf.DUMMYFUNCTION("""COMPUTED_VALUE"""),3958526.0)</f>
        <v>3958526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IFERROR(__xludf.DUMMYFUNCTION("""COMPUTED_VALUE"""),1864.0)</f>
        <v>1864</v>
      </c>
      <c r="C55" s="6">
        <f>IFERROR(__xludf.DUMMYFUNCTION("""COMPUTED_VALUE"""),1970.0)</f>
        <v>1970</v>
      </c>
      <c r="D55" s="6">
        <f>IFERROR(__xludf.DUMMYFUNCTION("""COMPUTED_VALUE"""),1846.15)</f>
        <v>1846.15</v>
      </c>
      <c r="E55" s="6">
        <f>IFERROR(__xludf.DUMMYFUNCTION("""COMPUTED_VALUE"""),1896.85)</f>
        <v>1896.85</v>
      </c>
      <c r="F55" s="6">
        <f>IFERROR(__xludf.DUMMYFUNCTION("""COMPUTED_VALUE"""),4054179.0)</f>
        <v>4054179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IFERROR(__xludf.DUMMYFUNCTION("""COMPUTED_VALUE"""),1910.0)</f>
        <v>1910</v>
      </c>
      <c r="C56" s="6">
        <f>IFERROR(__xludf.DUMMYFUNCTION("""COMPUTED_VALUE"""),1927.75)</f>
        <v>1927.75</v>
      </c>
      <c r="D56" s="6">
        <f>IFERROR(__xludf.DUMMYFUNCTION("""COMPUTED_VALUE"""),1794.9)</f>
        <v>1794.9</v>
      </c>
      <c r="E56" s="6">
        <f>IFERROR(__xludf.DUMMYFUNCTION("""COMPUTED_VALUE"""),1808.4)</f>
        <v>1808.4</v>
      </c>
      <c r="F56" s="6">
        <f>IFERROR(__xludf.DUMMYFUNCTION("""COMPUTED_VALUE"""),2892239.0)</f>
        <v>2892239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IFERROR(__xludf.DUMMYFUNCTION("""COMPUTED_VALUE"""),1818.6)</f>
        <v>1818.6</v>
      </c>
      <c r="C57" s="6">
        <f>IFERROR(__xludf.DUMMYFUNCTION("""COMPUTED_VALUE"""),1924.8)</f>
        <v>1924.8</v>
      </c>
      <c r="D57" s="6">
        <f>IFERROR(__xludf.DUMMYFUNCTION("""COMPUTED_VALUE"""),1714.05)</f>
        <v>1714.05</v>
      </c>
      <c r="E57" s="6">
        <f>IFERROR(__xludf.DUMMYFUNCTION("""COMPUTED_VALUE"""),1919.15)</f>
        <v>1919.15</v>
      </c>
      <c r="F57" s="6">
        <f>IFERROR(__xludf.DUMMYFUNCTION("""COMPUTED_VALUE"""),4543527.0)</f>
        <v>4543527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IFERROR(__xludf.DUMMYFUNCTION("""COMPUTED_VALUE"""),1925.6)</f>
        <v>1925.6</v>
      </c>
      <c r="C58" s="6">
        <f>IFERROR(__xludf.DUMMYFUNCTION("""COMPUTED_VALUE"""),2065.2)</f>
        <v>2065.2</v>
      </c>
      <c r="D58" s="6">
        <f>IFERROR(__xludf.DUMMYFUNCTION("""COMPUTED_VALUE"""),1884.25)</f>
        <v>1884.25</v>
      </c>
      <c r="E58" s="6">
        <f>IFERROR(__xludf.DUMMYFUNCTION("""COMPUTED_VALUE"""),1931.5)</f>
        <v>1931.5</v>
      </c>
      <c r="F58" s="6">
        <f>IFERROR(__xludf.DUMMYFUNCTION("""COMPUTED_VALUE"""),1.0047118E7)</f>
        <v>10047118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IFERROR(__xludf.DUMMYFUNCTION("""COMPUTED_VALUE"""),1980.05)</f>
        <v>1980.05</v>
      </c>
      <c r="C59" s="6">
        <f>IFERROR(__xludf.DUMMYFUNCTION("""COMPUTED_VALUE"""),2018.45)</f>
        <v>2018.45</v>
      </c>
      <c r="D59" s="6">
        <f>IFERROR(__xludf.DUMMYFUNCTION("""COMPUTED_VALUE"""),1916.45)</f>
        <v>1916.45</v>
      </c>
      <c r="E59" s="6">
        <f>IFERROR(__xludf.DUMMYFUNCTION("""COMPUTED_VALUE"""),1941.75)</f>
        <v>1941.75</v>
      </c>
      <c r="F59" s="6">
        <f>IFERROR(__xludf.DUMMYFUNCTION("""COMPUTED_VALUE"""),7438872.0)</f>
        <v>7438872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IFERROR(__xludf.DUMMYFUNCTION("""COMPUTED_VALUE"""),1972.45)</f>
        <v>1972.45</v>
      </c>
      <c r="C60" s="6">
        <f>IFERROR(__xludf.DUMMYFUNCTION("""COMPUTED_VALUE"""),2089.9)</f>
        <v>2089.9</v>
      </c>
      <c r="D60" s="6">
        <f>IFERROR(__xludf.DUMMYFUNCTION("""COMPUTED_VALUE"""),1913.45)</f>
        <v>1913.45</v>
      </c>
      <c r="E60" s="6">
        <f>IFERROR(__xludf.DUMMYFUNCTION("""COMPUTED_VALUE"""),2016.8)</f>
        <v>2016.8</v>
      </c>
      <c r="F60" s="6">
        <f>IFERROR(__xludf.DUMMYFUNCTION("""COMPUTED_VALUE"""),6306024.0)</f>
        <v>6306024</v>
      </c>
    </row>
    <row r="61">
      <c r="A61" s="7">
        <f>IFERROR(__xludf.DUMMYFUNCTION("""COMPUTED_VALUE"""),45610.64583333333)</f>
        <v>45610.64583</v>
      </c>
      <c r="B61" s="6">
        <f>IFERROR(__xludf.DUMMYFUNCTION("""COMPUTED_VALUE"""),2020.6)</f>
        <v>2020.6</v>
      </c>
      <c r="C61" s="6">
        <f>IFERROR(__xludf.DUMMYFUNCTION("""COMPUTED_VALUE"""),2044.0)</f>
        <v>2044</v>
      </c>
      <c r="D61" s="6">
        <f>IFERROR(__xludf.DUMMYFUNCTION("""COMPUTED_VALUE"""),1911.4)</f>
        <v>1911.4</v>
      </c>
      <c r="E61" s="6">
        <f>IFERROR(__xludf.DUMMYFUNCTION("""COMPUTED_VALUE"""),1980.3)</f>
        <v>1980.3</v>
      </c>
      <c r="F61" s="6">
        <f>IFERROR(__xludf.DUMMYFUNCTION("""COMPUTED_VALUE"""),5589564.0)</f>
        <v>5589564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IFERROR(__xludf.DUMMYFUNCTION("""COMPUTED_VALUE"""),1977.05)</f>
        <v>1977.05</v>
      </c>
      <c r="C62" s="6">
        <f>IFERROR(__xludf.DUMMYFUNCTION("""COMPUTED_VALUE"""),1989.3)</f>
        <v>1989.3</v>
      </c>
      <c r="D62" s="6">
        <f>IFERROR(__xludf.DUMMYFUNCTION("""COMPUTED_VALUE"""),1891.15)</f>
        <v>1891.15</v>
      </c>
      <c r="E62" s="6">
        <f>IFERROR(__xludf.DUMMYFUNCTION("""COMPUTED_VALUE"""),1941.85)</f>
        <v>1941.85</v>
      </c>
      <c r="F62" s="6">
        <f>IFERROR(__xludf.DUMMYFUNCTION("""COMPUTED_VALUE"""),4927609.0)</f>
        <v>4927609</v>
      </c>
    </row>
    <row r="63">
      <c r="A63" s="7">
        <f>IFERROR(__xludf.DUMMYFUNCTION("""COMPUTED_VALUE"""),45625.64583333333)</f>
        <v>45625.64583</v>
      </c>
      <c r="B63" s="6">
        <f>IFERROR(__xludf.DUMMYFUNCTION("""COMPUTED_VALUE"""),2006.7)</f>
        <v>2006.7</v>
      </c>
      <c r="C63" s="6">
        <f>IFERROR(__xludf.DUMMYFUNCTION("""COMPUTED_VALUE"""),2046.75)</f>
        <v>2046.75</v>
      </c>
      <c r="D63" s="6">
        <f>IFERROR(__xludf.DUMMYFUNCTION("""COMPUTED_VALUE"""),1918.2)</f>
        <v>1918.2</v>
      </c>
      <c r="E63" s="6">
        <f>IFERROR(__xludf.DUMMYFUNCTION("""COMPUTED_VALUE"""),2007.35)</f>
        <v>2007.35</v>
      </c>
      <c r="F63" s="6">
        <f>IFERROR(__xludf.DUMMYFUNCTION("""COMPUTED_VALUE"""),2.1261342E7)</f>
        <v>21261342</v>
      </c>
    </row>
    <row r="64">
      <c r="A64" s="7">
        <f>IFERROR(__xludf.DUMMYFUNCTION("""COMPUTED_VALUE"""),45632.64583333333)</f>
        <v>45632.64583</v>
      </c>
      <c r="B64" s="6">
        <f>IFERROR(__xludf.DUMMYFUNCTION("""COMPUTED_VALUE"""),2014.0)</f>
        <v>2014</v>
      </c>
      <c r="C64" s="6">
        <f>IFERROR(__xludf.DUMMYFUNCTION("""COMPUTED_VALUE"""),2192.0)</f>
        <v>2192</v>
      </c>
      <c r="D64" s="6">
        <f>IFERROR(__xludf.DUMMYFUNCTION("""COMPUTED_VALUE"""),1993.9)</f>
        <v>1993.9</v>
      </c>
      <c r="E64" s="6">
        <f>IFERROR(__xludf.DUMMYFUNCTION("""COMPUTED_VALUE"""),2143.3)</f>
        <v>2143.3</v>
      </c>
      <c r="F64" s="6">
        <f>IFERROR(__xludf.DUMMYFUNCTION("""COMPUTED_VALUE"""),6284811.0)</f>
        <v>6284811</v>
      </c>
    </row>
    <row r="65">
      <c r="A65" s="7">
        <f>IFERROR(__xludf.DUMMYFUNCTION("""COMPUTED_VALUE"""),45639.64583333333)</f>
        <v>45639.64583</v>
      </c>
      <c r="B65" s="6">
        <f>IFERROR(__xludf.DUMMYFUNCTION("""COMPUTED_VALUE"""),2147.45)</f>
        <v>2147.45</v>
      </c>
      <c r="C65" s="6">
        <f>IFERROR(__xludf.DUMMYFUNCTION("""COMPUTED_VALUE"""),2177.35)</f>
        <v>2177.35</v>
      </c>
      <c r="D65" s="6">
        <f>IFERROR(__xludf.DUMMYFUNCTION("""COMPUTED_VALUE"""),2073.0)</f>
        <v>2073</v>
      </c>
      <c r="E65" s="6">
        <f>IFERROR(__xludf.DUMMYFUNCTION("""COMPUTED_VALUE"""),2117.7)</f>
        <v>2117.7</v>
      </c>
      <c r="F65" s="6">
        <f>IFERROR(__xludf.DUMMYFUNCTION("""COMPUTED_VALUE"""),2858871.0)</f>
        <v>2858871</v>
      </c>
    </row>
    <row r="66">
      <c r="A66" s="7">
        <f>IFERROR(__xludf.DUMMYFUNCTION("""COMPUTED_VALUE"""),45646.64583333333)</f>
        <v>45646.64583</v>
      </c>
      <c r="B66" s="6">
        <f>IFERROR(__xludf.DUMMYFUNCTION("""COMPUTED_VALUE"""),2135.6)</f>
        <v>2135.6</v>
      </c>
      <c r="C66" s="6">
        <f>IFERROR(__xludf.DUMMYFUNCTION("""COMPUTED_VALUE"""),2341.15)</f>
        <v>2341.15</v>
      </c>
      <c r="D66" s="6">
        <f>IFERROR(__xludf.DUMMYFUNCTION("""COMPUTED_VALUE"""),2135.6)</f>
        <v>2135.6</v>
      </c>
      <c r="E66" s="6">
        <f>IFERROR(__xludf.DUMMYFUNCTION("""COMPUTED_VALUE"""),2247.8)</f>
        <v>2247.8</v>
      </c>
      <c r="F66" s="6">
        <f>IFERROR(__xludf.DUMMYFUNCTION("""COMPUTED_VALUE"""),8819863.0)</f>
        <v>8819863</v>
      </c>
    </row>
    <row r="67">
      <c r="A67" s="7">
        <f>IFERROR(__xludf.DUMMYFUNCTION("""COMPUTED_VALUE"""),45653.64583333333)</f>
        <v>45653.64583</v>
      </c>
      <c r="B67" s="6">
        <f>IFERROR(__xludf.DUMMYFUNCTION("""COMPUTED_VALUE"""),2236.6)</f>
        <v>2236.6</v>
      </c>
      <c r="C67" s="6">
        <f>IFERROR(__xludf.DUMMYFUNCTION("""COMPUTED_VALUE"""),2343.65)</f>
        <v>2343.65</v>
      </c>
      <c r="D67" s="6">
        <f>IFERROR(__xludf.DUMMYFUNCTION("""COMPUTED_VALUE"""),2233.3)</f>
        <v>2233.3</v>
      </c>
      <c r="E67" s="6">
        <f>IFERROR(__xludf.DUMMYFUNCTION("""COMPUTED_VALUE"""),2315.8)</f>
        <v>2315.8</v>
      </c>
      <c r="F67" s="6">
        <f>IFERROR(__xludf.DUMMYFUNCTION("""COMPUTED_VALUE"""),2804230.0)</f>
        <v>2804230</v>
      </c>
    </row>
    <row r="68">
      <c r="A68" s="7">
        <f>IFERROR(__xludf.DUMMYFUNCTION("""COMPUTED_VALUE"""),45660.64583333333)</f>
        <v>45660.64583</v>
      </c>
      <c r="B68" s="6">
        <f>IFERROR(__xludf.DUMMYFUNCTION("""COMPUTED_VALUE"""),2335.0)</f>
        <v>2335</v>
      </c>
      <c r="C68" s="6">
        <f>IFERROR(__xludf.DUMMYFUNCTION("""COMPUTED_VALUE"""),2337.7)</f>
        <v>2337.7</v>
      </c>
      <c r="D68" s="6">
        <f>IFERROR(__xludf.DUMMYFUNCTION("""COMPUTED_VALUE"""),2222.0)</f>
        <v>2222</v>
      </c>
      <c r="E68" s="6">
        <f>IFERROR(__xludf.DUMMYFUNCTION("""COMPUTED_VALUE"""),2255.2)</f>
        <v>2255.2</v>
      </c>
      <c r="F68" s="6">
        <f>IFERROR(__xludf.DUMMYFUNCTION("""COMPUTED_VALUE"""),3264853.0)</f>
        <v>3264853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IFERROR(__xludf.DUMMYFUNCTION("""COMPUTED_VALUE"""),2270.0)</f>
        <v>2270</v>
      </c>
      <c r="C69" s="6">
        <f>IFERROR(__xludf.DUMMYFUNCTION("""COMPUTED_VALUE"""),2297.8)</f>
        <v>2297.8</v>
      </c>
      <c r="D69" s="6">
        <f>IFERROR(__xludf.DUMMYFUNCTION("""COMPUTED_VALUE"""),2125.0)</f>
        <v>2125</v>
      </c>
      <c r="E69" s="6">
        <f>IFERROR(__xludf.DUMMYFUNCTION("""COMPUTED_VALUE"""),2128.3)</f>
        <v>2128.3</v>
      </c>
      <c r="F69" s="6">
        <f>IFERROR(__xludf.DUMMYFUNCTION("""COMPUTED_VALUE"""),4475712.0)</f>
        <v>4475712</v>
      </c>
    </row>
    <row r="70">
      <c r="A70" s="7">
        <f>IFERROR(__xludf.DUMMYFUNCTION("""COMPUTED_VALUE"""),45674.64583333333)</f>
        <v>45674.64583</v>
      </c>
      <c r="B70" s="6">
        <f>IFERROR(__xludf.DUMMYFUNCTION("""COMPUTED_VALUE"""),2123.4)</f>
        <v>2123.4</v>
      </c>
      <c r="C70" s="6">
        <f>IFERROR(__xludf.DUMMYFUNCTION("""COMPUTED_VALUE"""),2124.0)</f>
        <v>2124</v>
      </c>
      <c r="D70" s="6">
        <f>IFERROR(__xludf.DUMMYFUNCTION("""COMPUTED_VALUE"""),1937.4)</f>
        <v>1937.4</v>
      </c>
      <c r="E70" s="6">
        <f>IFERROR(__xludf.DUMMYFUNCTION("""COMPUTED_VALUE"""),1988.9)</f>
        <v>1988.9</v>
      </c>
      <c r="F70" s="6">
        <f>IFERROR(__xludf.DUMMYFUNCTION("""COMPUTED_VALUE"""),3846140.0)</f>
        <v>3846140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IFERROR(__xludf.DUMMYFUNCTION("""COMPUTED_VALUE"""),2002.0)</f>
        <v>2002</v>
      </c>
      <c r="C71" s="6">
        <f>IFERROR(__xludf.DUMMYFUNCTION("""COMPUTED_VALUE"""),2020.0)</f>
        <v>2020</v>
      </c>
      <c r="D71" s="6">
        <f>IFERROR(__xludf.DUMMYFUNCTION("""COMPUTED_VALUE"""),1731.5)</f>
        <v>1731.5</v>
      </c>
      <c r="E71" s="6">
        <f>IFERROR(__xludf.DUMMYFUNCTION("""COMPUTED_VALUE"""),1756.75)</f>
        <v>1756.75</v>
      </c>
      <c r="F71" s="6">
        <f>IFERROR(__xludf.DUMMYFUNCTION("""COMPUTED_VALUE"""),9344599.0)</f>
        <v>9344599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IFERROR(__xludf.DUMMYFUNCTION("""COMPUTED_VALUE"""),1840.0)</f>
        <v>1840</v>
      </c>
      <c r="C72" s="6">
        <f>IFERROR(__xludf.DUMMYFUNCTION("""COMPUTED_VALUE"""),1850.55)</f>
        <v>1850.55</v>
      </c>
      <c r="D72" s="6">
        <f>IFERROR(__xludf.DUMMYFUNCTION("""COMPUTED_VALUE"""),1778.65)</f>
        <v>1778.65</v>
      </c>
      <c r="E72" s="6">
        <f>IFERROR(__xludf.DUMMYFUNCTION("""COMPUTED_VALUE"""),1824.85)</f>
        <v>1824.85</v>
      </c>
      <c r="F72" s="6">
        <f>IFERROR(__xludf.DUMMYFUNCTION("""COMPUTED_VALUE"""),2399974.0)</f>
        <v>2399974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IFERROR(__xludf.DUMMYFUNCTION("""COMPUTED_VALUE"""),1812.1)</f>
        <v>1812.1</v>
      </c>
      <c r="C73" s="6">
        <f>IFERROR(__xludf.DUMMYFUNCTION("""COMPUTED_VALUE"""),1820.0)</f>
        <v>1820</v>
      </c>
      <c r="D73" s="6">
        <f>IFERROR(__xludf.DUMMYFUNCTION("""COMPUTED_VALUE"""),1547.8)</f>
        <v>1547.8</v>
      </c>
      <c r="E73" s="6">
        <f>IFERROR(__xludf.DUMMYFUNCTION("""COMPUTED_VALUE"""),1570.65)</f>
        <v>1570.65</v>
      </c>
      <c r="F73" s="6">
        <f>IFERROR(__xludf.DUMMYFUNCTION("""COMPUTED_VALUE"""),4544815.0)</f>
        <v>4544815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IFERROR(__xludf.DUMMYFUNCTION("""COMPUTED_VALUE"""),1553.1)</f>
        <v>1553.1</v>
      </c>
      <c r="C74" s="6">
        <f>IFERROR(__xludf.DUMMYFUNCTION("""COMPUTED_VALUE"""),1657.0)</f>
        <v>1657</v>
      </c>
      <c r="D74" s="6">
        <f>IFERROR(__xludf.DUMMYFUNCTION("""COMPUTED_VALUE"""),1536.1)</f>
        <v>1536.1</v>
      </c>
      <c r="E74" s="6">
        <f>IFERROR(__xludf.DUMMYFUNCTION("""COMPUTED_VALUE"""),1581.8)</f>
        <v>1581.8</v>
      </c>
      <c r="F74" s="6">
        <f>IFERROR(__xludf.DUMMYFUNCTION("""COMPUTED_VALUE"""),2537206.0)</f>
        <v>2537206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IFERROR(__xludf.DUMMYFUNCTION("""COMPUTED_VALUE"""),1569.05)</f>
        <v>1569.05</v>
      </c>
      <c r="C75" s="6">
        <f>IFERROR(__xludf.DUMMYFUNCTION("""COMPUTED_VALUE"""),1615.5)</f>
        <v>1615.5</v>
      </c>
      <c r="D75" s="6">
        <f>IFERROR(__xludf.DUMMYFUNCTION("""COMPUTED_VALUE"""),1451.95)</f>
        <v>1451.95</v>
      </c>
      <c r="E75" s="6">
        <f>IFERROR(__xludf.DUMMYFUNCTION("""COMPUTED_VALUE"""),1484.5)</f>
        <v>1484.5</v>
      </c>
      <c r="F75" s="6">
        <f>IFERROR(__xludf.DUMMYFUNCTION("""COMPUTED_VALUE"""),4945652.0)</f>
        <v>4945652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IFERROR(__xludf.DUMMYFUNCTION("""COMPUTED_VALUE"""),1486.25)</f>
        <v>1486.25</v>
      </c>
      <c r="C76" s="6">
        <f>IFERROR(__xludf.DUMMYFUNCTION("""COMPUTED_VALUE"""),1593.1)</f>
        <v>1593.1</v>
      </c>
      <c r="D76" s="6">
        <f>IFERROR(__xludf.DUMMYFUNCTION("""COMPUTED_VALUE"""),1454.05)</f>
        <v>1454.05</v>
      </c>
      <c r="E76" s="6">
        <f>IFERROR(__xludf.DUMMYFUNCTION("""COMPUTED_VALUE"""),1543.15)</f>
        <v>1543.15</v>
      </c>
      <c r="F76" s="6">
        <f>IFERROR(__xludf.DUMMYFUNCTION("""COMPUTED_VALUE"""),2554288.0)</f>
        <v>2554288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IFERROR(__xludf.DUMMYFUNCTION("""COMPUTED_VALUE"""),1543.15)</f>
        <v>1543.15</v>
      </c>
      <c r="C77" s="6">
        <f>IFERROR(__xludf.DUMMYFUNCTION("""COMPUTED_VALUE"""),1601.0)</f>
        <v>1601</v>
      </c>
      <c r="D77" s="6">
        <f>IFERROR(__xludf.DUMMYFUNCTION("""COMPUTED_VALUE"""),1497.15)</f>
        <v>1497.15</v>
      </c>
      <c r="E77" s="6">
        <f>IFERROR(__xludf.DUMMYFUNCTION("""COMPUTED_VALUE"""),1533.5)</f>
        <v>1533.5</v>
      </c>
      <c r="F77" s="6">
        <f>IFERROR(__xludf.DUMMYFUNCTION("""COMPUTED_VALUE"""),2034239.0)</f>
        <v>2034239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IFERROR(__xludf.DUMMYFUNCTION("""COMPUTED_VALUE"""),1523.0)</f>
        <v>1523</v>
      </c>
      <c r="C78" s="6">
        <f>IFERROR(__xludf.DUMMYFUNCTION("""COMPUTED_VALUE"""),1704.25)</f>
        <v>1704.25</v>
      </c>
      <c r="D78" s="6">
        <f>IFERROR(__xludf.DUMMYFUNCTION("""COMPUTED_VALUE"""),1523.0)</f>
        <v>1523</v>
      </c>
      <c r="E78" s="6">
        <f>IFERROR(__xludf.DUMMYFUNCTION("""COMPUTED_VALUE"""),1652.5)</f>
        <v>1652.5</v>
      </c>
      <c r="F78" s="6">
        <f>IFERROR(__xludf.DUMMYFUNCTION("""COMPUTED_VALUE"""),3045922.0)</f>
        <v>3045922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IFERROR(__xludf.DUMMYFUNCTION("""COMPUTED_VALUE"""),1674.45)</f>
        <v>1674.45</v>
      </c>
      <c r="C79" s="6">
        <f>IFERROR(__xludf.DUMMYFUNCTION("""COMPUTED_VALUE"""),1699.6)</f>
        <v>1699.6</v>
      </c>
      <c r="D79" s="6">
        <f>IFERROR(__xludf.DUMMYFUNCTION("""COMPUTED_VALUE"""),1608.05)</f>
        <v>1608.05</v>
      </c>
      <c r="E79" s="6">
        <f>IFERROR(__xludf.DUMMYFUNCTION("""COMPUTED_VALUE"""),1637.4)</f>
        <v>1637.4</v>
      </c>
      <c r="F79" s="6">
        <f>IFERROR(__xludf.DUMMYFUNCTION("""COMPUTED_VALUE"""),3031607.0)</f>
        <v>3031607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IFERROR(__xludf.DUMMYFUNCTION("""COMPUTED_VALUE"""),1635.0)</f>
        <v>1635</v>
      </c>
      <c r="C80" s="6">
        <f>IFERROR(__xludf.DUMMYFUNCTION("""COMPUTED_VALUE"""),1635.0)</f>
        <v>1635</v>
      </c>
      <c r="D80" s="6">
        <f>IFERROR(__xludf.DUMMYFUNCTION("""COMPUTED_VALUE"""),1536.0)</f>
        <v>1536</v>
      </c>
      <c r="E80" s="6">
        <f>IFERROR(__xludf.DUMMYFUNCTION("""COMPUTED_VALUE"""),1550.6)</f>
        <v>1550.6</v>
      </c>
      <c r="F80" s="6">
        <f>IFERROR(__xludf.DUMMYFUNCTION("""COMPUTED_VALUE"""),1925158.0)</f>
        <v>1925158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IFERROR(__xludf.DUMMYFUNCTION("""COMPUTED_VALUE"""),1457.0)</f>
        <v>1457</v>
      </c>
      <c r="C81" s="6">
        <f>IFERROR(__xludf.DUMMYFUNCTION("""COMPUTED_VALUE"""),1577.8)</f>
        <v>1577.8</v>
      </c>
      <c r="D81" s="6">
        <f>IFERROR(__xludf.DUMMYFUNCTION("""COMPUTED_VALUE"""),1452.0)</f>
        <v>1452</v>
      </c>
      <c r="E81" s="6">
        <f>IFERROR(__xludf.DUMMYFUNCTION("""COMPUTED_VALUE"""),1547.35)</f>
        <v>1547.35</v>
      </c>
      <c r="F81" s="6">
        <f>IFERROR(__xludf.DUMMYFUNCTION("""COMPUTED_VALUE"""),2274584.0)</f>
        <v>2274584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IFERROR(__xludf.DUMMYFUNCTION("""COMPUTED_VALUE"""),1590.0)</f>
        <v>1590</v>
      </c>
      <c r="C82" s="6">
        <f>IFERROR(__xludf.DUMMYFUNCTION("""COMPUTED_VALUE"""),1656.0)</f>
        <v>1656</v>
      </c>
      <c r="D82" s="6">
        <f>IFERROR(__xludf.DUMMYFUNCTION("""COMPUTED_VALUE"""),1565.7)</f>
        <v>1565.7</v>
      </c>
      <c r="E82" s="6">
        <f>IFERROR(__xludf.DUMMYFUNCTION("""COMPUTED_VALUE"""),1640.7)</f>
        <v>1640.7</v>
      </c>
      <c r="F82" s="6">
        <f>IFERROR(__xludf.DUMMYFUNCTION("""COMPUTED_VALUE"""),1222108.0)</f>
        <v>1222108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IFERROR(__xludf.DUMMYFUNCTION("""COMPUTED_VALUE"""),1617.0)</f>
        <v>1617</v>
      </c>
      <c r="C83" s="6">
        <f>IFERROR(__xludf.DUMMYFUNCTION("""COMPUTED_VALUE"""),1732.0)</f>
        <v>1732</v>
      </c>
      <c r="D83" s="6">
        <f>IFERROR(__xludf.DUMMYFUNCTION("""COMPUTED_VALUE"""),1587.7)</f>
        <v>1587.7</v>
      </c>
      <c r="E83" s="6">
        <f>IFERROR(__xludf.DUMMYFUNCTION("""COMPUTED_VALUE"""),1606.2)</f>
        <v>1606.2</v>
      </c>
      <c r="F83" s="6">
        <f>IFERROR(__xludf.DUMMYFUNCTION("""COMPUTED_VALUE"""),4854824.0)</f>
        <v>4854824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IFERROR(__xludf.DUMMYFUNCTION("""COMPUTED_VALUE"""),1606.4)</f>
        <v>1606.4</v>
      </c>
      <c r="C84" s="6">
        <f>IFERROR(__xludf.DUMMYFUNCTION("""COMPUTED_VALUE"""),1674.7)</f>
        <v>1674.7</v>
      </c>
      <c r="D84" s="6">
        <f>IFERROR(__xludf.DUMMYFUNCTION("""COMPUTED_VALUE"""),1584.0)</f>
        <v>1584</v>
      </c>
      <c r="E84" s="6">
        <f>IFERROR(__xludf.DUMMYFUNCTION("""COMPUTED_VALUE"""),1605.2)</f>
        <v>1605.2</v>
      </c>
      <c r="F84" s="6">
        <f>IFERROR(__xludf.DUMMYFUNCTION("""COMPUTED_VALUE"""),3702590.0)</f>
        <v>3702590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IFERROR(__xludf.DUMMYFUNCTION("""COMPUTED_VALUE"""),1610.0)</f>
        <v>1610</v>
      </c>
      <c r="C85" s="6">
        <f>IFERROR(__xludf.DUMMYFUNCTION("""COMPUTED_VALUE"""),1635.0)</f>
        <v>1635</v>
      </c>
      <c r="D85" s="6">
        <f>IFERROR(__xludf.DUMMYFUNCTION("""COMPUTED_VALUE"""),1510.0)</f>
        <v>1510</v>
      </c>
      <c r="E85" s="6">
        <f>IFERROR(__xludf.DUMMYFUNCTION("""COMPUTED_VALUE"""),1534.2)</f>
        <v>1534.2</v>
      </c>
      <c r="F85" s="6">
        <f>IFERROR(__xludf.DUMMYFUNCTION("""COMPUTED_VALUE"""),2738465.0)</f>
        <v>2738465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IFERROR(__xludf.DUMMYFUNCTION("""COMPUTED_VALUE"""),1614.0)</f>
        <v>1614</v>
      </c>
      <c r="C86" s="6">
        <f>IFERROR(__xludf.DUMMYFUNCTION("""COMPUTED_VALUE"""),1679.0)</f>
        <v>1679</v>
      </c>
      <c r="D86" s="6">
        <f>IFERROR(__xludf.DUMMYFUNCTION("""COMPUTED_VALUE"""),1550.0)</f>
        <v>1550</v>
      </c>
      <c r="E86" s="6">
        <f>IFERROR(__xludf.DUMMYFUNCTION("""COMPUTED_VALUE"""),1676.2)</f>
        <v>1676.2</v>
      </c>
      <c r="F86" s="6">
        <f>IFERROR(__xludf.DUMMYFUNCTION("""COMPUTED_VALUE"""),3341917.0)</f>
        <v>3341917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IFERROR(__xludf.DUMMYFUNCTION("""COMPUTED_VALUE"""),1685.0)</f>
        <v>1685</v>
      </c>
      <c r="C87" s="6">
        <f>IFERROR(__xludf.DUMMYFUNCTION("""COMPUTED_VALUE"""),1761.9)</f>
        <v>1761.9</v>
      </c>
      <c r="D87" s="6">
        <f>IFERROR(__xludf.DUMMYFUNCTION("""COMPUTED_VALUE"""),1670.8)</f>
        <v>1670.8</v>
      </c>
      <c r="E87" s="6">
        <f>IFERROR(__xludf.DUMMYFUNCTION("""COMPUTED_VALUE"""),1738.3)</f>
        <v>1738.3</v>
      </c>
      <c r="F87" s="6">
        <f>IFERROR(__xludf.DUMMYFUNCTION("""COMPUTED_VALUE"""),3442543.0)</f>
        <v>3442543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IFERROR(__xludf.DUMMYFUNCTION("""COMPUTED_VALUE"""),1744.9)</f>
        <v>1744.9</v>
      </c>
      <c r="C88" s="6">
        <f>IFERROR(__xludf.DUMMYFUNCTION("""COMPUTED_VALUE"""),1765.0)</f>
        <v>1765</v>
      </c>
      <c r="D88" s="6">
        <f>IFERROR(__xludf.DUMMYFUNCTION("""COMPUTED_VALUE"""),1694.2)</f>
        <v>1694.2</v>
      </c>
      <c r="E88" s="6">
        <f>IFERROR(__xludf.DUMMYFUNCTION("""COMPUTED_VALUE"""),1746.3)</f>
        <v>1746.3</v>
      </c>
      <c r="F88" s="6">
        <f>IFERROR(__xludf.DUMMYFUNCTION("""COMPUTED_VALUE"""),5070487.0)</f>
        <v>5070487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IFERROR(__xludf.DUMMYFUNCTION("""COMPUTED_VALUE"""),1746.9)</f>
        <v>1746.9</v>
      </c>
      <c r="C89" s="6">
        <f>IFERROR(__xludf.DUMMYFUNCTION("""COMPUTED_VALUE"""),1919.0)</f>
        <v>1919</v>
      </c>
      <c r="D89" s="6">
        <f>IFERROR(__xludf.DUMMYFUNCTION("""COMPUTED_VALUE"""),1721.6)</f>
        <v>1721.6</v>
      </c>
      <c r="E89" s="6">
        <f>IFERROR(__xludf.DUMMYFUNCTION("""COMPUTED_VALUE"""),1908.2)</f>
        <v>1908.2</v>
      </c>
      <c r="F89" s="6">
        <f>IFERROR(__xludf.DUMMYFUNCTION("""COMPUTED_VALUE"""),5480802.0)</f>
        <v>5480802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IFERROR(__xludf.DUMMYFUNCTION("""COMPUTED_VALUE"""),1929.0)</f>
        <v>1929</v>
      </c>
      <c r="C90" s="6">
        <f>IFERROR(__xludf.DUMMYFUNCTION("""COMPUTED_VALUE"""),1942.7)</f>
        <v>1942.7</v>
      </c>
      <c r="D90" s="6">
        <f>IFERROR(__xludf.DUMMYFUNCTION("""COMPUTED_VALUE"""),1850.0)</f>
        <v>1850</v>
      </c>
      <c r="E90" s="6">
        <f>IFERROR(__xludf.DUMMYFUNCTION("""COMPUTED_VALUE"""),1903.1)</f>
        <v>1903.1</v>
      </c>
      <c r="F90" s="6">
        <f>IFERROR(__xludf.DUMMYFUNCTION("""COMPUTED_VALUE"""),3247196.0)</f>
        <v>3247196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IFERROR(__xludf.DUMMYFUNCTION("""COMPUTED_VALUE"""),1905.0)</f>
        <v>1905</v>
      </c>
      <c r="C91" s="6">
        <f>IFERROR(__xludf.DUMMYFUNCTION("""COMPUTED_VALUE"""),1972.0)</f>
        <v>1972</v>
      </c>
      <c r="D91" s="6">
        <f>IFERROR(__xludf.DUMMYFUNCTION("""COMPUTED_VALUE"""),1876.5)</f>
        <v>1876.5</v>
      </c>
      <c r="E91" s="6">
        <f>IFERROR(__xludf.DUMMYFUNCTION("""COMPUTED_VALUE"""),1910.9)</f>
        <v>1910.9</v>
      </c>
      <c r="F91" s="6">
        <f>IFERROR(__xludf.DUMMYFUNCTION("""COMPUTED_VALUE"""),3226502.0)</f>
        <v>3226502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IFERROR(__xludf.DUMMYFUNCTION("""COMPUTED_VALUE"""),1880.0)</f>
        <v>1880</v>
      </c>
      <c r="C92" s="6">
        <f>IFERROR(__xludf.DUMMYFUNCTION("""COMPUTED_VALUE"""),2005.0)</f>
        <v>2005</v>
      </c>
      <c r="D92" s="6">
        <f>IFERROR(__xludf.DUMMYFUNCTION("""COMPUTED_VALUE"""),1875.1)</f>
        <v>1875.1</v>
      </c>
      <c r="E92" s="6">
        <f>IFERROR(__xludf.DUMMYFUNCTION("""COMPUTED_VALUE"""),1918.8)</f>
        <v>1918.8</v>
      </c>
      <c r="F92" s="6">
        <f>IFERROR(__xludf.DUMMYFUNCTION("""COMPUTED_VALUE"""),4482177.0)</f>
        <v>4482177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IFERROR(__xludf.DUMMYFUNCTION("""COMPUTED_VALUE"""),1924.9)</f>
        <v>1924.9</v>
      </c>
      <c r="C93" s="6">
        <f>IFERROR(__xludf.DUMMYFUNCTION("""COMPUTED_VALUE"""),1940.0)</f>
        <v>1940</v>
      </c>
      <c r="D93" s="6">
        <f>IFERROR(__xludf.DUMMYFUNCTION("""COMPUTED_VALUE"""),1855.1)</f>
        <v>1855.1</v>
      </c>
      <c r="E93" s="6">
        <f>IFERROR(__xludf.DUMMYFUNCTION("""COMPUTED_VALUE"""),1869.5)</f>
        <v>1869.5</v>
      </c>
      <c r="F93" s="6">
        <f>IFERROR(__xludf.DUMMYFUNCTION("""COMPUTED_VALUE"""),2170092.0)</f>
        <v>2170092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IFERROR(__xludf.DUMMYFUNCTION("""COMPUTED_VALUE"""),1870.0)</f>
        <v>1870</v>
      </c>
      <c r="C94" s="6">
        <f>IFERROR(__xludf.DUMMYFUNCTION("""COMPUTED_VALUE"""),1876.9)</f>
        <v>1876.9</v>
      </c>
      <c r="D94" s="6">
        <f>IFERROR(__xludf.DUMMYFUNCTION("""COMPUTED_VALUE"""),1810.0)</f>
        <v>1810</v>
      </c>
      <c r="E94" s="6">
        <f>IFERROR(__xludf.DUMMYFUNCTION("""COMPUTED_VALUE"""),1835.5)</f>
        <v>1835.5</v>
      </c>
      <c r="F94" s="6">
        <f>IFERROR(__xludf.DUMMYFUNCTION("""COMPUTED_VALUE"""),1983245.0)</f>
        <v>1983245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IFERROR(__xludf.DUMMYFUNCTION("""COMPUTED_VALUE"""),1846.3)</f>
        <v>1846.3</v>
      </c>
      <c r="C95" s="6">
        <f>IFERROR(__xludf.DUMMYFUNCTION("""COMPUTED_VALUE"""),1857.0)</f>
        <v>1857</v>
      </c>
      <c r="D95" s="6">
        <f>IFERROR(__xludf.DUMMYFUNCTION("""COMPUTED_VALUE"""),1796.6)</f>
        <v>1796.6</v>
      </c>
      <c r="E95" s="6">
        <f>IFERROR(__xludf.DUMMYFUNCTION("""COMPUTED_VALUE"""),1835.0)</f>
        <v>1835</v>
      </c>
      <c r="F95" s="6">
        <f>IFERROR(__xludf.DUMMYFUNCTION("""COMPUTED_VALUE"""),2927750.0)</f>
        <v>2927750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IFERROR(__xludf.DUMMYFUNCTION("""COMPUTED_VALUE"""),1834.9)</f>
        <v>1834.9</v>
      </c>
      <c r="C96" s="6">
        <f>IFERROR(__xludf.DUMMYFUNCTION("""COMPUTED_VALUE"""),1853.5)</f>
        <v>1853.5</v>
      </c>
      <c r="D96" s="6">
        <f>IFERROR(__xludf.DUMMYFUNCTION("""COMPUTED_VALUE"""),1686.7)</f>
        <v>1686.7</v>
      </c>
      <c r="E96" s="6">
        <f>IFERROR(__xludf.DUMMYFUNCTION("""COMPUTED_VALUE"""),1698.2)</f>
        <v>1698.2</v>
      </c>
      <c r="F96" s="6">
        <f>IFERROR(__xludf.DUMMYFUNCTION("""COMPUTED_VALUE"""),6793025.0)</f>
        <v>6793025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IFERROR(__xludf.DUMMYFUNCTION("""COMPUTED_VALUE"""),1681.0)</f>
        <v>1681</v>
      </c>
      <c r="C97" s="6">
        <f>IFERROR(__xludf.DUMMYFUNCTION("""COMPUTED_VALUE"""),1687.8)</f>
        <v>1687.8</v>
      </c>
      <c r="D97" s="6">
        <f>IFERROR(__xludf.DUMMYFUNCTION("""COMPUTED_VALUE"""),1583.5)</f>
        <v>1583.5</v>
      </c>
      <c r="E97" s="6">
        <f>IFERROR(__xludf.DUMMYFUNCTION("""COMPUTED_VALUE"""),1589.4)</f>
        <v>1589.4</v>
      </c>
      <c r="F97" s="6">
        <f>IFERROR(__xludf.DUMMYFUNCTION("""COMPUTED_VALUE"""),4070003.0)</f>
        <v>4070003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IFERROR(__xludf.DUMMYFUNCTION("""COMPUTED_VALUE"""),1596.2)</f>
        <v>1596.2</v>
      </c>
      <c r="C98" s="6">
        <f>IFERROR(__xludf.DUMMYFUNCTION("""COMPUTED_VALUE"""),1617.9)</f>
        <v>1617.9</v>
      </c>
      <c r="D98" s="6">
        <f>IFERROR(__xludf.DUMMYFUNCTION("""COMPUTED_VALUE"""),1563.5)</f>
        <v>1563.5</v>
      </c>
      <c r="E98" s="6">
        <f>IFERROR(__xludf.DUMMYFUNCTION("""COMPUTED_VALUE"""),1571.3)</f>
        <v>1571.3</v>
      </c>
      <c r="F98" s="6">
        <f>IFERROR(__xludf.DUMMYFUNCTION("""COMPUTED_VALUE"""),2477509.0)</f>
        <v>2477509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IFERROR(__xludf.DUMMYFUNCTION("""COMPUTED_VALUE"""),1567.4)</f>
        <v>1567.4</v>
      </c>
      <c r="C99" s="6">
        <f>IFERROR(__xludf.DUMMYFUNCTION("""COMPUTED_VALUE"""),1641.0)</f>
        <v>1641</v>
      </c>
      <c r="D99" s="6">
        <f>IFERROR(__xludf.DUMMYFUNCTION("""COMPUTED_VALUE"""),1564.3)</f>
        <v>1564.3</v>
      </c>
      <c r="E99" s="6">
        <f>IFERROR(__xludf.DUMMYFUNCTION("""COMPUTED_VALUE"""),1619.2)</f>
        <v>1619.2</v>
      </c>
      <c r="F99" s="6">
        <f>IFERROR(__xludf.DUMMYFUNCTION("""COMPUTED_VALUE"""),1248725.0)</f>
        <v>1248725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IFERROR(__xludf.DUMMYFUNCTION("""COMPUTED_VALUE"""),1630.2)</f>
        <v>1630.2</v>
      </c>
      <c r="C100" s="6">
        <f>IFERROR(__xludf.DUMMYFUNCTION("""COMPUTED_VALUE"""),1681.2)</f>
        <v>1681.2</v>
      </c>
      <c r="D100" s="6">
        <f>IFERROR(__xludf.DUMMYFUNCTION("""COMPUTED_VALUE"""),1624.9)</f>
        <v>1624.9</v>
      </c>
      <c r="E100" s="6">
        <f>IFERROR(__xludf.DUMMYFUNCTION("""COMPUTED_VALUE"""),1657.4)</f>
        <v>1657.4</v>
      </c>
      <c r="F100" s="6">
        <f>IFERROR(__xludf.DUMMYFUNCTION("""COMPUTED_VALUE"""),1606553.0)</f>
        <v>1606553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IFERROR(__xludf.DUMMYFUNCTION("""COMPUTED_VALUE"""),1665.4)</f>
        <v>1665.4</v>
      </c>
      <c r="C101" s="6">
        <f>IFERROR(__xludf.DUMMYFUNCTION("""COMPUTED_VALUE"""),1682.5)</f>
        <v>1682.5</v>
      </c>
      <c r="D101" s="6">
        <f>IFERROR(__xludf.DUMMYFUNCTION("""COMPUTED_VALUE"""),1627.5)</f>
        <v>1627.5</v>
      </c>
      <c r="E101" s="6">
        <f>IFERROR(__xludf.DUMMYFUNCTION("""COMPUTED_VALUE"""),1638.2)</f>
        <v>1638.2</v>
      </c>
      <c r="F101" s="6">
        <f>IFERROR(__xludf.DUMMYFUNCTION("""COMPUTED_VALUE"""),5740965.0)</f>
        <v>5740965</v>
      </c>
    </row>
  </sheetData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IFERROR(__xludf.DUMMYFUNCTION("GOOGLEFINANCE(""NSE:OFSS"",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IFERROR(__xludf.DUMMYFUNCTION("""COMPUTED_VALUE"""),3997.8)</f>
        <v>3997.8</v>
      </c>
      <c r="C2" s="6">
        <f>IFERROR(__xludf.DUMMYFUNCTION("""COMPUTED_VALUE"""),4166.8)</f>
        <v>4166.8</v>
      </c>
      <c r="D2" s="6">
        <f>IFERROR(__xludf.DUMMYFUNCTION("""COMPUTED_VALUE"""),3923.25)</f>
        <v>3923.25</v>
      </c>
      <c r="E2" s="6">
        <f>IFERROR(__xludf.DUMMYFUNCTION("""COMPUTED_VALUE"""),4136.25)</f>
        <v>4136.25</v>
      </c>
      <c r="F2" s="6">
        <f>IFERROR(__xludf.DUMMYFUNCTION("""COMPUTED_VALUE"""),302150.0)</f>
        <v>302150</v>
      </c>
    </row>
    <row r="3">
      <c r="A3" s="7">
        <f>IFERROR(__xludf.DUMMYFUNCTION("""COMPUTED_VALUE"""),45177.64583333333)</f>
        <v>45177.64583</v>
      </c>
      <c r="B3" s="6">
        <f>IFERROR(__xludf.DUMMYFUNCTION("""COMPUTED_VALUE"""),4164.0)</f>
        <v>4164</v>
      </c>
      <c r="C3" s="6">
        <f>IFERROR(__xludf.DUMMYFUNCTION("""COMPUTED_VALUE"""),4363.55)</f>
        <v>4363.55</v>
      </c>
      <c r="D3" s="6">
        <f>IFERROR(__xludf.DUMMYFUNCTION("""COMPUTED_VALUE"""),4097.05)</f>
        <v>4097.05</v>
      </c>
      <c r="E3" s="6">
        <f>IFERROR(__xludf.DUMMYFUNCTION("""COMPUTED_VALUE"""),4347.75)</f>
        <v>4347.75</v>
      </c>
      <c r="F3" s="6">
        <f>IFERROR(__xludf.DUMMYFUNCTION("""COMPUTED_VALUE"""),407815.0)</f>
        <v>407815</v>
      </c>
    </row>
    <row r="4">
      <c r="A4" s="7">
        <f>IFERROR(__xludf.DUMMYFUNCTION("""COMPUTED_VALUE"""),45184.64583333333)</f>
        <v>45184.64583</v>
      </c>
      <c r="B4" s="6">
        <f>IFERROR(__xludf.DUMMYFUNCTION("""COMPUTED_VALUE"""),4369.8)</f>
        <v>4369.8</v>
      </c>
      <c r="C4" s="6">
        <f>IFERROR(__xludf.DUMMYFUNCTION("""COMPUTED_VALUE"""),4528.45)</f>
        <v>4528.45</v>
      </c>
      <c r="D4" s="6">
        <f>IFERROR(__xludf.DUMMYFUNCTION("""COMPUTED_VALUE"""),4097.25)</f>
        <v>4097.25</v>
      </c>
      <c r="E4" s="6">
        <f>IFERROR(__xludf.DUMMYFUNCTION("""COMPUTED_VALUE"""),4298.95)</f>
        <v>4298.95</v>
      </c>
      <c r="F4" s="6">
        <f>IFERROR(__xludf.DUMMYFUNCTION("""COMPUTED_VALUE"""),664383.0)</f>
        <v>664383</v>
      </c>
    </row>
    <row r="5">
      <c r="A5" s="7">
        <f>IFERROR(__xludf.DUMMYFUNCTION("""COMPUTED_VALUE"""),45191.64583333333)</f>
        <v>45191.64583</v>
      </c>
      <c r="B5" s="6">
        <f>IFERROR(__xludf.DUMMYFUNCTION("""COMPUTED_VALUE"""),4319.85)</f>
        <v>4319.85</v>
      </c>
      <c r="C5" s="6">
        <f>IFERROR(__xludf.DUMMYFUNCTION("""COMPUTED_VALUE"""),4332.6)</f>
        <v>4332.6</v>
      </c>
      <c r="D5" s="6">
        <f>IFERROR(__xludf.DUMMYFUNCTION("""COMPUTED_VALUE"""),4179.25)</f>
        <v>4179.25</v>
      </c>
      <c r="E5" s="6">
        <f>IFERROR(__xludf.DUMMYFUNCTION("""COMPUTED_VALUE"""),4195.3)</f>
        <v>4195.3</v>
      </c>
      <c r="F5" s="6">
        <f>IFERROR(__xludf.DUMMYFUNCTION("""COMPUTED_VALUE"""),188698.0)</f>
        <v>188698</v>
      </c>
    </row>
    <row r="6">
      <c r="A6" s="7">
        <f>IFERROR(__xludf.DUMMYFUNCTION("""COMPUTED_VALUE"""),45198.64583333333)</f>
        <v>45198.64583</v>
      </c>
      <c r="B6" s="6">
        <f>IFERROR(__xludf.DUMMYFUNCTION("""COMPUTED_VALUE"""),4195.35)</f>
        <v>4195.35</v>
      </c>
      <c r="C6" s="6">
        <f>IFERROR(__xludf.DUMMYFUNCTION("""COMPUTED_VALUE"""),4218.85)</f>
        <v>4218.85</v>
      </c>
      <c r="D6" s="6">
        <f>IFERROR(__xludf.DUMMYFUNCTION("""COMPUTED_VALUE"""),4059.25)</f>
        <v>4059.25</v>
      </c>
      <c r="E6" s="6">
        <f>IFERROR(__xludf.DUMMYFUNCTION("""COMPUTED_VALUE"""),4110.85)</f>
        <v>4110.85</v>
      </c>
      <c r="F6" s="6">
        <f>IFERROR(__xludf.DUMMYFUNCTION("""COMPUTED_VALUE"""),258756.0)</f>
        <v>258756</v>
      </c>
    </row>
    <row r="7">
      <c r="A7" s="7">
        <f>IFERROR(__xludf.DUMMYFUNCTION("""COMPUTED_VALUE"""),45205.64583333333)</f>
        <v>45205.64583</v>
      </c>
      <c r="B7" s="6">
        <f>IFERROR(__xludf.DUMMYFUNCTION("""COMPUTED_VALUE"""),4120.0)</f>
        <v>4120</v>
      </c>
      <c r="C7" s="6">
        <f>IFERROR(__xludf.DUMMYFUNCTION("""COMPUTED_VALUE"""),4158.0)</f>
        <v>4158</v>
      </c>
      <c r="D7" s="6">
        <f>IFERROR(__xludf.DUMMYFUNCTION("""COMPUTED_VALUE"""),4001.0)</f>
        <v>4001</v>
      </c>
      <c r="E7" s="6">
        <f>IFERROR(__xludf.DUMMYFUNCTION("""COMPUTED_VALUE"""),4102.2)</f>
        <v>4102.2</v>
      </c>
      <c r="F7" s="6">
        <f>IFERROR(__xludf.DUMMYFUNCTION("""COMPUTED_VALUE"""),305912.0)</f>
        <v>305912</v>
      </c>
    </row>
    <row r="8">
      <c r="A8" s="7">
        <f>IFERROR(__xludf.DUMMYFUNCTION("""COMPUTED_VALUE"""),45212.64583333333)</f>
        <v>45212.64583</v>
      </c>
      <c r="B8" s="6">
        <f>IFERROR(__xludf.DUMMYFUNCTION("""COMPUTED_VALUE"""),4094.0)</f>
        <v>4094</v>
      </c>
      <c r="C8" s="6">
        <f>IFERROR(__xludf.DUMMYFUNCTION("""COMPUTED_VALUE"""),4263.6)</f>
        <v>4263.6</v>
      </c>
      <c r="D8" s="6">
        <f>IFERROR(__xludf.DUMMYFUNCTION("""COMPUTED_VALUE"""),4063.25)</f>
        <v>4063.25</v>
      </c>
      <c r="E8" s="6">
        <f>IFERROR(__xludf.DUMMYFUNCTION("""COMPUTED_VALUE"""),4100.15)</f>
        <v>4100.15</v>
      </c>
      <c r="F8" s="6">
        <f>IFERROR(__xludf.DUMMYFUNCTION("""COMPUTED_VALUE"""),284820.0)</f>
        <v>284820</v>
      </c>
    </row>
    <row r="9">
      <c r="A9" s="7">
        <f>IFERROR(__xludf.DUMMYFUNCTION("""COMPUTED_VALUE"""),45219.64583333333)</f>
        <v>45219.64583</v>
      </c>
      <c r="B9" s="6">
        <f>IFERROR(__xludf.DUMMYFUNCTION("""COMPUTED_VALUE"""),4115.0)</f>
        <v>4115</v>
      </c>
      <c r="C9" s="6">
        <f>IFERROR(__xludf.DUMMYFUNCTION("""COMPUTED_VALUE"""),4204.9)</f>
        <v>4204.9</v>
      </c>
      <c r="D9" s="6">
        <f>IFERROR(__xludf.DUMMYFUNCTION("""COMPUTED_VALUE"""),3897.0)</f>
        <v>3897</v>
      </c>
      <c r="E9" s="6">
        <f>IFERROR(__xludf.DUMMYFUNCTION("""COMPUTED_VALUE"""),3926.8)</f>
        <v>3926.8</v>
      </c>
      <c r="F9" s="6">
        <f>IFERROR(__xludf.DUMMYFUNCTION("""COMPUTED_VALUE"""),380199.0)</f>
        <v>380199</v>
      </c>
    </row>
    <row r="10">
      <c r="A10" s="7">
        <f>IFERROR(__xludf.DUMMYFUNCTION("""COMPUTED_VALUE"""),45226.64583333333)</f>
        <v>45226.64583</v>
      </c>
      <c r="B10" s="6">
        <f>IFERROR(__xludf.DUMMYFUNCTION("""COMPUTED_VALUE"""),3925.0)</f>
        <v>3925</v>
      </c>
      <c r="C10" s="6">
        <f>IFERROR(__xludf.DUMMYFUNCTION("""COMPUTED_VALUE"""),3985.0)</f>
        <v>3985</v>
      </c>
      <c r="D10" s="6">
        <f>IFERROR(__xludf.DUMMYFUNCTION("""COMPUTED_VALUE"""),3868.8)</f>
        <v>3868.8</v>
      </c>
      <c r="E10" s="6">
        <f>IFERROR(__xludf.DUMMYFUNCTION("""COMPUTED_VALUE"""),3932.55)</f>
        <v>3932.55</v>
      </c>
      <c r="F10" s="6">
        <f>IFERROR(__xludf.DUMMYFUNCTION("""COMPUTED_VALUE"""),287418.0)</f>
        <v>287418</v>
      </c>
    </row>
    <row r="11">
      <c r="A11" s="7">
        <f>IFERROR(__xludf.DUMMYFUNCTION("""COMPUTED_VALUE"""),45233.64583333333)</f>
        <v>45233.64583</v>
      </c>
      <c r="B11" s="6">
        <f>IFERROR(__xludf.DUMMYFUNCTION("""COMPUTED_VALUE"""),3949.0)</f>
        <v>3949</v>
      </c>
      <c r="C11" s="6">
        <f>IFERROR(__xludf.DUMMYFUNCTION("""COMPUTED_VALUE"""),3987.35)</f>
        <v>3987.35</v>
      </c>
      <c r="D11" s="6">
        <f>IFERROR(__xludf.DUMMYFUNCTION("""COMPUTED_VALUE"""),3869.25)</f>
        <v>3869.25</v>
      </c>
      <c r="E11" s="6">
        <f>IFERROR(__xludf.DUMMYFUNCTION("""COMPUTED_VALUE"""),3933.9)</f>
        <v>3933.9</v>
      </c>
      <c r="F11" s="6">
        <f>IFERROR(__xludf.DUMMYFUNCTION("""COMPUTED_VALUE"""),210079.0)</f>
        <v>210079</v>
      </c>
    </row>
    <row r="12">
      <c r="A12" s="7">
        <f>IFERROR(__xludf.DUMMYFUNCTION("""COMPUTED_VALUE"""),45240.64583333333)</f>
        <v>45240.64583</v>
      </c>
      <c r="B12" s="6">
        <f>IFERROR(__xludf.DUMMYFUNCTION("""COMPUTED_VALUE"""),3967.95)</f>
        <v>3967.95</v>
      </c>
      <c r="C12" s="6">
        <f>IFERROR(__xludf.DUMMYFUNCTION("""COMPUTED_VALUE"""),4110.0)</f>
        <v>4110</v>
      </c>
      <c r="D12" s="6">
        <f>IFERROR(__xludf.DUMMYFUNCTION("""COMPUTED_VALUE"""),3930.0)</f>
        <v>3930</v>
      </c>
      <c r="E12" s="6">
        <f>IFERROR(__xludf.DUMMYFUNCTION("""COMPUTED_VALUE"""),4019.15)</f>
        <v>4019.15</v>
      </c>
      <c r="F12" s="6">
        <f>IFERROR(__xludf.DUMMYFUNCTION("""COMPUTED_VALUE"""),287472.0)</f>
        <v>287472</v>
      </c>
    </row>
    <row r="13">
      <c r="A13" s="7">
        <f>IFERROR(__xludf.DUMMYFUNCTION("""COMPUTED_VALUE"""),45247.64583333333)</f>
        <v>45247.64583</v>
      </c>
      <c r="B13" s="6">
        <f>IFERROR(__xludf.DUMMYFUNCTION("""COMPUTED_VALUE"""),4019.0)</f>
        <v>4019</v>
      </c>
      <c r="C13" s="6">
        <f>IFERROR(__xludf.DUMMYFUNCTION("""COMPUTED_VALUE"""),4253.85)</f>
        <v>4253.85</v>
      </c>
      <c r="D13" s="6">
        <f>IFERROR(__xludf.DUMMYFUNCTION("""COMPUTED_VALUE"""),3987.05)</f>
        <v>3987.05</v>
      </c>
      <c r="E13" s="6">
        <f>IFERROR(__xludf.DUMMYFUNCTION("""COMPUTED_VALUE"""),4180.0)</f>
        <v>4180</v>
      </c>
      <c r="F13" s="6">
        <f>IFERROR(__xludf.DUMMYFUNCTION("""COMPUTED_VALUE"""),271025.0)</f>
        <v>271025</v>
      </c>
    </row>
    <row r="14">
      <c r="A14" s="7">
        <f>IFERROR(__xludf.DUMMYFUNCTION("""COMPUTED_VALUE"""),45254.64583333333)</f>
        <v>45254.64583</v>
      </c>
      <c r="B14" s="6">
        <f>IFERROR(__xludf.DUMMYFUNCTION("""COMPUTED_VALUE"""),4180.05)</f>
        <v>4180.05</v>
      </c>
      <c r="C14" s="6">
        <f>IFERROR(__xludf.DUMMYFUNCTION("""COMPUTED_VALUE"""),4252.75)</f>
        <v>4252.75</v>
      </c>
      <c r="D14" s="6">
        <f>IFERROR(__xludf.DUMMYFUNCTION("""COMPUTED_VALUE"""),4019.5)</f>
        <v>4019.5</v>
      </c>
      <c r="E14" s="6">
        <f>IFERROR(__xludf.DUMMYFUNCTION("""COMPUTED_VALUE"""),4031.15)</f>
        <v>4031.15</v>
      </c>
      <c r="F14" s="6">
        <f>IFERROR(__xludf.DUMMYFUNCTION("""COMPUTED_VALUE"""),259260.0)</f>
        <v>259260</v>
      </c>
    </row>
    <row r="15">
      <c r="A15" s="7">
        <f>IFERROR(__xludf.DUMMYFUNCTION("""COMPUTED_VALUE"""),45261.64583333333)</f>
        <v>45261.64583</v>
      </c>
      <c r="B15" s="6">
        <f>IFERROR(__xludf.DUMMYFUNCTION("""COMPUTED_VALUE"""),4049.9)</f>
        <v>4049.9</v>
      </c>
      <c r="C15" s="6">
        <f>IFERROR(__xludf.DUMMYFUNCTION("""COMPUTED_VALUE"""),4133.0)</f>
        <v>4133</v>
      </c>
      <c r="D15" s="6">
        <f>IFERROR(__xludf.DUMMYFUNCTION("""COMPUTED_VALUE"""),3957.75)</f>
        <v>3957.75</v>
      </c>
      <c r="E15" s="6">
        <f>IFERROR(__xludf.DUMMYFUNCTION("""COMPUTED_VALUE"""),4043.3)</f>
        <v>4043.3</v>
      </c>
      <c r="F15" s="6">
        <f>IFERROR(__xludf.DUMMYFUNCTION("""COMPUTED_VALUE"""),1063398.0)</f>
        <v>1063398</v>
      </c>
    </row>
    <row r="16">
      <c r="A16" s="7">
        <f>IFERROR(__xludf.DUMMYFUNCTION("""COMPUTED_VALUE"""),45268.64583333333)</f>
        <v>45268.64583</v>
      </c>
      <c r="B16" s="6">
        <f>IFERROR(__xludf.DUMMYFUNCTION("""COMPUTED_VALUE"""),4075.0)</f>
        <v>4075</v>
      </c>
      <c r="C16" s="6">
        <f>IFERROR(__xludf.DUMMYFUNCTION("""COMPUTED_VALUE"""),4180.0)</f>
        <v>4180</v>
      </c>
      <c r="D16" s="6">
        <f>IFERROR(__xludf.DUMMYFUNCTION("""COMPUTED_VALUE"""),3968.0)</f>
        <v>3968</v>
      </c>
      <c r="E16" s="6">
        <f>IFERROR(__xludf.DUMMYFUNCTION("""COMPUTED_VALUE"""),4131.35)</f>
        <v>4131.35</v>
      </c>
      <c r="F16" s="6">
        <f>IFERROR(__xludf.DUMMYFUNCTION("""COMPUTED_VALUE"""),635517.0)</f>
        <v>635517</v>
      </c>
    </row>
    <row r="17">
      <c r="A17" s="7">
        <f>IFERROR(__xludf.DUMMYFUNCTION("""COMPUTED_VALUE"""),45275.64583333333)</f>
        <v>45275.64583</v>
      </c>
      <c r="B17" s="6">
        <f>IFERROR(__xludf.DUMMYFUNCTION("""COMPUTED_VALUE"""),4115.0)</f>
        <v>4115</v>
      </c>
      <c r="C17" s="6">
        <f>IFERROR(__xludf.DUMMYFUNCTION("""COMPUTED_VALUE"""),4374.95)</f>
        <v>4374.95</v>
      </c>
      <c r="D17" s="6">
        <f>IFERROR(__xludf.DUMMYFUNCTION("""COMPUTED_VALUE"""),4044.35)</f>
        <v>4044.35</v>
      </c>
      <c r="E17" s="6">
        <f>IFERROR(__xludf.DUMMYFUNCTION("""COMPUTED_VALUE"""),4360.75)</f>
        <v>4360.75</v>
      </c>
      <c r="F17" s="6">
        <f>IFERROR(__xludf.DUMMYFUNCTION("""COMPUTED_VALUE"""),1002476.0)</f>
        <v>1002476</v>
      </c>
    </row>
    <row r="18">
      <c r="A18" s="7">
        <f>IFERROR(__xludf.DUMMYFUNCTION("""COMPUTED_VALUE"""),45282.64583333333)</f>
        <v>45282.64583</v>
      </c>
      <c r="B18" s="6">
        <f>IFERROR(__xludf.DUMMYFUNCTION("""COMPUTED_VALUE"""),4379.85)</f>
        <v>4379.85</v>
      </c>
      <c r="C18" s="6">
        <f>IFERROR(__xludf.DUMMYFUNCTION("""COMPUTED_VALUE"""),4397.55)</f>
        <v>4397.55</v>
      </c>
      <c r="D18" s="6">
        <f>IFERROR(__xludf.DUMMYFUNCTION("""COMPUTED_VALUE"""),4120.0)</f>
        <v>4120</v>
      </c>
      <c r="E18" s="6">
        <f>IFERROR(__xludf.DUMMYFUNCTION("""COMPUTED_VALUE"""),4212.15)</f>
        <v>4212.15</v>
      </c>
      <c r="F18" s="6">
        <f>IFERROR(__xludf.DUMMYFUNCTION("""COMPUTED_VALUE"""),571904.0)</f>
        <v>571904</v>
      </c>
    </row>
    <row r="19">
      <c r="A19" s="7">
        <f>IFERROR(__xludf.DUMMYFUNCTION("""COMPUTED_VALUE"""),45289.64583333333)</f>
        <v>45289.64583</v>
      </c>
      <c r="B19" s="6">
        <f>IFERROR(__xludf.DUMMYFUNCTION("""COMPUTED_VALUE"""),4239.9)</f>
        <v>4239.9</v>
      </c>
      <c r="C19" s="6">
        <f>IFERROR(__xludf.DUMMYFUNCTION("""COMPUTED_VALUE"""),4257.45)</f>
        <v>4257.45</v>
      </c>
      <c r="D19" s="6">
        <f>IFERROR(__xludf.DUMMYFUNCTION("""COMPUTED_VALUE"""),4149.6)</f>
        <v>4149.6</v>
      </c>
      <c r="E19" s="6">
        <f>IFERROR(__xludf.DUMMYFUNCTION("""COMPUTED_VALUE"""),4212.8)</f>
        <v>4212.8</v>
      </c>
      <c r="F19" s="6">
        <f>IFERROR(__xludf.DUMMYFUNCTION("""COMPUTED_VALUE"""),501552.0)</f>
        <v>501552</v>
      </c>
    </row>
    <row r="20">
      <c r="A20" s="7">
        <f>IFERROR(__xludf.DUMMYFUNCTION("""COMPUTED_VALUE"""),45296.64583333333)</f>
        <v>45296.64583</v>
      </c>
      <c r="B20" s="6">
        <f>IFERROR(__xludf.DUMMYFUNCTION("""COMPUTED_VALUE"""),4300.0)</f>
        <v>4300</v>
      </c>
      <c r="C20" s="6">
        <f>IFERROR(__xludf.DUMMYFUNCTION("""COMPUTED_VALUE"""),4566.55)</f>
        <v>4566.55</v>
      </c>
      <c r="D20" s="6">
        <f>IFERROR(__xludf.DUMMYFUNCTION("""COMPUTED_VALUE"""),4280.0)</f>
        <v>4280</v>
      </c>
      <c r="E20" s="6">
        <f>IFERROR(__xludf.DUMMYFUNCTION("""COMPUTED_VALUE"""),4457.65)</f>
        <v>4457.65</v>
      </c>
      <c r="F20" s="6">
        <f>IFERROR(__xludf.DUMMYFUNCTION("""COMPUTED_VALUE"""),1492951.0)</f>
        <v>1492951</v>
      </c>
    </row>
    <row r="21">
      <c r="A21" s="7">
        <f>IFERROR(__xludf.DUMMYFUNCTION("""COMPUTED_VALUE"""),45303.64583333333)</f>
        <v>45303.64583</v>
      </c>
      <c r="B21" s="6">
        <f>IFERROR(__xludf.DUMMYFUNCTION("""COMPUTED_VALUE"""),4488.0)</f>
        <v>4488</v>
      </c>
      <c r="C21" s="6">
        <f>IFERROR(__xludf.DUMMYFUNCTION("""COMPUTED_VALUE"""),4700.0)</f>
        <v>4700</v>
      </c>
      <c r="D21" s="6">
        <f>IFERROR(__xludf.DUMMYFUNCTION("""COMPUTED_VALUE"""),4291.0)</f>
        <v>4291</v>
      </c>
      <c r="E21" s="6">
        <f>IFERROR(__xludf.DUMMYFUNCTION("""COMPUTED_VALUE"""),4656.75)</f>
        <v>4656.75</v>
      </c>
      <c r="F21" s="6">
        <f>IFERROR(__xludf.DUMMYFUNCTION("""COMPUTED_VALUE"""),1023207.0)</f>
        <v>1023207</v>
      </c>
    </row>
    <row r="22">
      <c r="A22" s="7">
        <f>IFERROR(__xludf.DUMMYFUNCTION("""COMPUTED_VALUE"""),45316.64583333333)</f>
        <v>45316.64583</v>
      </c>
      <c r="B22" s="6">
        <f>IFERROR(__xludf.DUMMYFUNCTION("""COMPUTED_VALUE"""),6690.0)</f>
        <v>6690</v>
      </c>
      <c r="C22" s="6">
        <f>IFERROR(__xludf.DUMMYFUNCTION("""COMPUTED_VALUE"""),7059.0)</f>
        <v>7059</v>
      </c>
      <c r="D22" s="6">
        <f>IFERROR(__xludf.DUMMYFUNCTION("""COMPUTED_VALUE"""),6411.0)</f>
        <v>6411</v>
      </c>
      <c r="E22" s="6">
        <f>IFERROR(__xludf.DUMMYFUNCTION("""COMPUTED_VALUE"""),6707.3)</f>
        <v>6707.3</v>
      </c>
      <c r="F22" s="6">
        <f>IFERROR(__xludf.DUMMYFUNCTION("""COMPUTED_VALUE"""),1741701.0)</f>
        <v>1741701</v>
      </c>
    </row>
    <row r="23">
      <c r="A23" s="7">
        <f>IFERROR(__xludf.DUMMYFUNCTION("""COMPUTED_VALUE"""),45324.64583333333)</f>
        <v>45324.64583</v>
      </c>
      <c r="B23" s="6">
        <f>IFERROR(__xludf.DUMMYFUNCTION("""COMPUTED_VALUE"""),6722.2)</f>
        <v>6722.2</v>
      </c>
      <c r="C23" s="6">
        <f>IFERROR(__xludf.DUMMYFUNCTION("""COMPUTED_VALUE"""),6757.85)</f>
        <v>6757.85</v>
      </c>
      <c r="D23" s="6">
        <f>IFERROR(__xludf.DUMMYFUNCTION("""COMPUTED_VALUE"""),6381.0)</f>
        <v>6381</v>
      </c>
      <c r="E23" s="6">
        <f>IFERROR(__xludf.DUMMYFUNCTION("""COMPUTED_VALUE"""),6564.1)</f>
        <v>6564.1</v>
      </c>
      <c r="F23" s="6">
        <f>IFERROR(__xludf.DUMMYFUNCTION("""COMPUTED_VALUE"""),877577.0)</f>
        <v>877577</v>
      </c>
    </row>
    <row r="24">
      <c r="A24" s="7">
        <f>IFERROR(__xludf.DUMMYFUNCTION("""COMPUTED_VALUE"""),45331.64583333333)</f>
        <v>45331.64583</v>
      </c>
      <c r="B24" s="6">
        <f>IFERROR(__xludf.DUMMYFUNCTION("""COMPUTED_VALUE"""),6586.0)</f>
        <v>6586</v>
      </c>
      <c r="C24" s="6">
        <f>IFERROR(__xludf.DUMMYFUNCTION("""COMPUTED_VALUE"""),7590.0)</f>
        <v>7590</v>
      </c>
      <c r="D24" s="6">
        <f>IFERROR(__xludf.DUMMYFUNCTION("""COMPUTED_VALUE"""),6567.75)</f>
        <v>6567.75</v>
      </c>
      <c r="E24" s="6">
        <f>IFERROR(__xludf.DUMMYFUNCTION("""COMPUTED_VALUE"""),7525.75)</f>
        <v>7525.75</v>
      </c>
      <c r="F24" s="6">
        <f>IFERROR(__xludf.DUMMYFUNCTION("""COMPUTED_VALUE"""),1747001.0)</f>
        <v>1747001</v>
      </c>
    </row>
    <row r="25">
      <c r="A25" s="7">
        <f>IFERROR(__xludf.DUMMYFUNCTION("""COMPUTED_VALUE"""),45338.64583333333)</f>
        <v>45338.64583</v>
      </c>
      <c r="B25" s="6">
        <f>IFERROR(__xludf.DUMMYFUNCTION("""COMPUTED_VALUE"""),7525.0)</f>
        <v>7525</v>
      </c>
      <c r="C25" s="6">
        <f>IFERROR(__xludf.DUMMYFUNCTION("""COMPUTED_VALUE"""),8130.0)</f>
        <v>8130</v>
      </c>
      <c r="D25" s="6">
        <f>IFERROR(__xludf.DUMMYFUNCTION("""COMPUTED_VALUE"""),7136.1)</f>
        <v>7136.1</v>
      </c>
      <c r="E25" s="6">
        <f>IFERROR(__xludf.DUMMYFUNCTION("""COMPUTED_VALUE"""),7917.5)</f>
        <v>7917.5</v>
      </c>
      <c r="F25" s="6">
        <f>IFERROR(__xludf.DUMMYFUNCTION("""COMPUTED_VALUE"""),1680520.0)</f>
        <v>1680520</v>
      </c>
    </row>
    <row r="26">
      <c r="A26" s="7">
        <f>IFERROR(__xludf.DUMMYFUNCTION("""COMPUTED_VALUE"""),45345.64583333333)</f>
        <v>45345.64583</v>
      </c>
      <c r="B26" s="6">
        <f>IFERROR(__xludf.DUMMYFUNCTION("""COMPUTED_VALUE"""),7919.95)</f>
        <v>7919.95</v>
      </c>
      <c r="C26" s="6">
        <f>IFERROR(__xludf.DUMMYFUNCTION("""COMPUTED_VALUE"""),8189.45)</f>
        <v>8189.45</v>
      </c>
      <c r="D26" s="6">
        <f>IFERROR(__xludf.DUMMYFUNCTION("""COMPUTED_VALUE"""),7634.0)</f>
        <v>7634</v>
      </c>
      <c r="E26" s="6">
        <f>IFERROR(__xludf.DUMMYFUNCTION("""COMPUTED_VALUE"""),7890.3)</f>
        <v>7890.3</v>
      </c>
      <c r="F26" s="6">
        <f>IFERROR(__xludf.DUMMYFUNCTION("""COMPUTED_VALUE"""),1014609.0)</f>
        <v>1014609</v>
      </c>
    </row>
    <row r="27">
      <c r="A27" s="7">
        <f>IFERROR(__xludf.DUMMYFUNCTION("""COMPUTED_VALUE"""),45358.64583333333)</f>
        <v>45358.64583</v>
      </c>
      <c r="B27" s="6">
        <f>IFERROR(__xludf.DUMMYFUNCTION("""COMPUTED_VALUE"""),7776.95)</f>
        <v>7776.95</v>
      </c>
      <c r="C27" s="6">
        <f>IFERROR(__xludf.DUMMYFUNCTION("""COMPUTED_VALUE"""),8385.0)</f>
        <v>8385</v>
      </c>
      <c r="D27" s="6">
        <f>IFERROR(__xludf.DUMMYFUNCTION("""COMPUTED_VALUE"""),7602.55)</f>
        <v>7602.55</v>
      </c>
      <c r="E27" s="6">
        <f>IFERROR(__xludf.DUMMYFUNCTION("""COMPUTED_VALUE"""),8301.8)</f>
        <v>8301.8</v>
      </c>
      <c r="F27" s="6">
        <f>IFERROR(__xludf.DUMMYFUNCTION("""COMPUTED_VALUE"""),884296.0)</f>
        <v>884296</v>
      </c>
    </row>
    <row r="28">
      <c r="A28" s="7">
        <f>IFERROR(__xludf.DUMMYFUNCTION("""COMPUTED_VALUE"""),45366.64583333333)</f>
        <v>45366.64583</v>
      </c>
      <c r="B28" s="6">
        <f>IFERROR(__xludf.DUMMYFUNCTION("""COMPUTED_VALUE"""),8472.35)</f>
        <v>8472.35</v>
      </c>
      <c r="C28" s="6">
        <f>IFERROR(__xludf.DUMMYFUNCTION("""COMPUTED_VALUE"""),8619.2)</f>
        <v>8619.2</v>
      </c>
      <c r="D28" s="6">
        <f>IFERROR(__xludf.DUMMYFUNCTION("""COMPUTED_VALUE"""),7905.0)</f>
        <v>7905</v>
      </c>
      <c r="E28" s="6">
        <f>IFERROR(__xludf.DUMMYFUNCTION("""COMPUTED_VALUE"""),8453.3)</f>
        <v>8453.3</v>
      </c>
      <c r="F28" s="6">
        <f>IFERROR(__xludf.DUMMYFUNCTION("""COMPUTED_VALUE"""),2812517.0)</f>
        <v>2812517</v>
      </c>
    </row>
    <row r="29">
      <c r="A29" s="7">
        <f>IFERROR(__xludf.DUMMYFUNCTION("""COMPUTED_VALUE"""),45373.64583333333)</f>
        <v>45373.64583</v>
      </c>
      <c r="B29" s="6">
        <f>IFERROR(__xludf.DUMMYFUNCTION("""COMPUTED_VALUE"""),8480.0)</f>
        <v>8480</v>
      </c>
      <c r="C29" s="6">
        <f>IFERROR(__xludf.DUMMYFUNCTION("""COMPUTED_VALUE"""),8698.0)</f>
        <v>8698</v>
      </c>
      <c r="D29" s="6">
        <f>IFERROR(__xludf.DUMMYFUNCTION("""COMPUTED_VALUE"""),8128.75)</f>
        <v>8128.75</v>
      </c>
      <c r="E29" s="6">
        <f>IFERROR(__xludf.DUMMYFUNCTION("""COMPUTED_VALUE"""),8378.95)</f>
        <v>8378.95</v>
      </c>
      <c r="F29" s="6">
        <f>IFERROR(__xludf.DUMMYFUNCTION("""COMPUTED_VALUE"""),1668767.0)</f>
        <v>1668767</v>
      </c>
    </row>
    <row r="30">
      <c r="A30" s="7">
        <f>IFERROR(__xludf.DUMMYFUNCTION("""COMPUTED_VALUE"""),45379.64583333333)</f>
        <v>45379.64583</v>
      </c>
      <c r="B30" s="6">
        <f>IFERROR(__xludf.DUMMYFUNCTION("""COMPUTED_VALUE"""),8350.0)</f>
        <v>8350</v>
      </c>
      <c r="C30" s="6">
        <f>IFERROR(__xludf.DUMMYFUNCTION("""COMPUTED_VALUE"""),8894.0)</f>
        <v>8894</v>
      </c>
      <c r="D30" s="6">
        <f>IFERROR(__xludf.DUMMYFUNCTION("""COMPUTED_VALUE"""),8300.0)</f>
        <v>8300</v>
      </c>
      <c r="E30" s="6">
        <f>IFERROR(__xludf.DUMMYFUNCTION("""COMPUTED_VALUE"""),8774.1)</f>
        <v>8774.1</v>
      </c>
      <c r="F30" s="6">
        <f>IFERROR(__xludf.DUMMYFUNCTION("""COMPUTED_VALUE"""),1053113.0)</f>
        <v>1053113</v>
      </c>
    </row>
    <row r="31">
      <c r="A31" s="7">
        <f>IFERROR(__xludf.DUMMYFUNCTION("""COMPUTED_VALUE"""),45387.64583333333)</f>
        <v>45387.64583</v>
      </c>
      <c r="B31" s="6">
        <f>IFERROR(__xludf.DUMMYFUNCTION("""COMPUTED_VALUE"""),8799.0)</f>
        <v>8799</v>
      </c>
      <c r="C31" s="6">
        <f>IFERROR(__xludf.DUMMYFUNCTION("""COMPUTED_VALUE"""),9023.0)</f>
        <v>9023</v>
      </c>
      <c r="D31" s="6">
        <f>IFERROR(__xludf.DUMMYFUNCTION("""COMPUTED_VALUE"""),8702.0)</f>
        <v>8702</v>
      </c>
      <c r="E31" s="6">
        <f>IFERROR(__xludf.DUMMYFUNCTION("""COMPUTED_VALUE"""),8775.45)</f>
        <v>8775.45</v>
      </c>
      <c r="F31" s="6">
        <f>IFERROR(__xludf.DUMMYFUNCTION("""COMPUTED_VALUE"""),847405.0)</f>
        <v>847405</v>
      </c>
    </row>
    <row r="32">
      <c r="A32" s="7">
        <f>IFERROR(__xludf.DUMMYFUNCTION("""COMPUTED_VALUE"""),45394.64583333333)</f>
        <v>45394.64583</v>
      </c>
      <c r="B32" s="6">
        <f>IFERROR(__xludf.DUMMYFUNCTION("""COMPUTED_VALUE"""),8850.0)</f>
        <v>8850</v>
      </c>
      <c r="C32" s="6">
        <f>IFERROR(__xludf.DUMMYFUNCTION("""COMPUTED_VALUE"""),8864.0)</f>
        <v>8864</v>
      </c>
      <c r="D32" s="6">
        <f>IFERROR(__xludf.DUMMYFUNCTION("""COMPUTED_VALUE"""),8190.0)</f>
        <v>8190</v>
      </c>
      <c r="E32" s="6">
        <f>IFERROR(__xludf.DUMMYFUNCTION("""COMPUTED_VALUE"""),8204.2)</f>
        <v>8204.2</v>
      </c>
      <c r="F32" s="6">
        <f>IFERROR(__xludf.DUMMYFUNCTION("""COMPUTED_VALUE"""),897178.0)</f>
        <v>897178</v>
      </c>
    </row>
    <row r="33">
      <c r="A33" s="7">
        <f>IFERROR(__xludf.DUMMYFUNCTION("""COMPUTED_VALUE"""),45401.64583333333)</f>
        <v>45401.64583</v>
      </c>
      <c r="B33" s="6">
        <f>IFERROR(__xludf.DUMMYFUNCTION("""COMPUTED_VALUE"""),8200.0)</f>
        <v>8200</v>
      </c>
      <c r="C33" s="6">
        <f>IFERROR(__xludf.DUMMYFUNCTION("""COMPUTED_VALUE"""),8216.75)</f>
        <v>8216.75</v>
      </c>
      <c r="D33" s="6">
        <f>IFERROR(__xludf.DUMMYFUNCTION("""COMPUTED_VALUE"""),7526.25)</f>
        <v>7526.25</v>
      </c>
      <c r="E33" s="6">
        <f>IFERROR(__xludf.DUMMYFUNCTION("""COMPUTED_VALUE"""),7602.75)</f>
        <v>7602.75</v>
      </c>
      <c r="F33" s="6">
        <f>IFERROR(__xludf.DUMMYFUNCTION("""COMPUTED_VALUE"""),1038940.0)</f>
        <v>1038940</v>
      </c>
    </row>
    <row r="34">
      <c r="A34" s="7">
        <f>IFERROR(__xludf.DUMMYFUNCTION("""COMPUTED_VALUE"""),45408.64583333333)</f>
        <v>45408.64583</v>
      </c>
      <c r="B34" s="6">
        <f>IFERROR(__xludf.DUMMYFUNCTION("""COMPUTED_VALUE"""),7660.0)</f>
        <v>7660</v>
      </c>
      <c r="C34" s="6">
        <f>IFERROR(__xludf.DUMMYFUNCTION("""COMPUTED_VALUE"""),7680.85)</f>
        <v>7680.85</v>
      </c>
      <c r="D34" s="6">
        <f>IFERROR(__xludf.DUMMYFUNCTION("""COMPUTED_VALUE"""),7111.0)</f>
        <v>7111</v>
      </c>
      <c r="E34" s="6">
        <f>IFERROR(__xludf.DUMMYFUNCTION("""COMPUTED_VALUE"""),7490.6)</f>
        <v>7490.6</v>
      </c>
      <c r="F34" s="6">
        <f>IFERROR(__xludf.DUMMYFUNCTION("""COMPUTED_VALUE"""),3007680.0)</f>
        <v>3007680</v>
      </c>
    </row>
    <row r="35">
      <c r="A35" s="7">
        <f>IFERROR(__xludf.DUMMYFUNCTION("""COMPUTED_VALUE"""),45415.64583333333)</f>
        <v>45415.64583</v>
      </c>
      <c r="B35" s="6">
        <f>IFERROR(__xludf.DUMMYFUNCTION("""COMPUTED_VALUE"""),7590.0)</f>
        <v>7590</v>
      </c>
      <c r="C35" s="6">
        <f>IFERROR(__xludf.DUMMYFUNCTION("""COMPUTED_VALUE"""),7844.0)</f>
        <v>7844</v>
      </c>
      <c r="D35" s="6">
        <f>IFERROR(__xludf.DUMMYFUNCTION("""COMPUTED_VALUE"""),7380.0)</f>
        <v>7380</v>
      </c>
      <c r="E35" s="6">
        <f>IFERROR(__xludf.DUMMYFUNCTION("""COMPUTED_VALUE"""),7780.7)</f>
        <v>7780.7</v>
      </c>
      <c r="F35" s="6">
        <f>IFERROR(__xludf.DUMMYFUNCTION("""COMPUTED_VALUE"""),1318745.0)</f>
        <v>1318745</v>
      </c>
    </row>
    <row r="36">
      <c r="A36" s="7">
        <f>IFERROR(__xludf.DUMMYFUNCTION("""COMPUTED_VALUE"""),45422.64583333333)</f>
        <v>45422.64583</v>
      </c>
      <c r="B36" s="6">
        <f>IFERROR(__xludf.DUMMYFUNCTION("""COMPUTED_VALUE"""),7870.0)</f>
        <v>7870</v>
      </c>
      <c r="C36" s="6">
        <f>IFERROR(__xludf.DUMMYFUNCTION("""COMPUTED_VALUE"""),7907.0)</f>
        <v>7907</v>
      </c>
      <c r="D36" s="6">
        <f>IFERROR(__xludf.DUMMYFUNCTION("""COMPUTED_VALUE"""),7434.0)</f>
        <v>7434</v>
      </c>
      <c r="E36" s="6">
        <f>IFERROR(__xludf.DUMMYFUNCTION("""COMPUTED_VALUE"""),7580.75)</f>
        <v>7580.75</v>
      </c>
      <c r="F36" s="6">
        <f>IFERROR(__xludf.DUMMYFUNCTION("""COMPUTED_VALUE"""),1095094.0)</f>
        <v>1095094</v>
      </c>
    </row>
    <row r="37">
      <c r="A37" s="7">
        <f>IFERROR(__xludf.DUMMYFUNCTION("""COMPUTED_VALUE"""),45436.64583333333)</f>
        <v>45436.64583</v>
      </c>
      <c r="B37" s="6">
        <f>IFERROR(__xludf.DUMMYFUNCTION("""COMPUTED_VALUE"""),7825.0)</f>
        <v>7825</v>
      </c>
      <c r="C37" s="6">
        <f>IFERROR(__xludf.DUMMYFUNCTION("""COMPUTED_VALUE"""),7827.0)</f>
        <v>7827</v>
      </c>
      <c r="D37" s="6">
        <f>IFERROR(__xludf.DUMMYFUNCTION("""COMPUTED_VALUE"""),7531.0)</f>
        <v>7531</v>
      </c>
      <c r="E37" s="6">
        <f>IFERROR(__xludf.DUMMYFUNCTION("""COMPUTED_VALUE"""),7542.4)</f>
        <v>7542.4</v>
      </c>
      <c r="F37" s="6">
        <f>IFERROR(__xludf.DUMMYFUNCTION("""COMPUTED_VALUE"""),325282.0)</f>
        <v>325282</v>
      </c>
    </row>
    <row r="38">
      <c r="A38" s="7">
        <f>IFERROR(__xludf.DUMMYFUNCTION("""COMPUTED_VALUE"""),45443.64583333333)</f>
        <v>45443.64583</v>
      </c>
      <c r="B38" s="6">
        <f>IFERROR(__xludf.DUMMYFUNCTION("""COMPUTED_VALUE"""),7584.65)</f>
        <v>7584.65</v>
      </c>
      <c r="C38" s="6">
        <f>IFERROR(__xludf.DUMMYFUNCTION("""COMPUTED_VALUE"""),7690.0)</f>
        <v>7690</v>
      </c>
      <c r="D38" s="6">
        <f>IFERROR(__xludf.DUMMYFUNCTION("""COMPUTED_VALUE"""),7368.05)</f>
        <v>7368.05</v>
      </c>
      <c r="E38" s="6">
        <f>IFERROR(__xludf.DUMMYFUNCTION("""COMPUTED_VALUE"""),7454.95)</f>
        <v>7454.95</v>
      </c>
      <c r="F38" s="6">
        <f>IFERROR(__xludf.DUMMYFUNCTION("""COMPUTED_VALUE"""),675502.0)</f>
        <v>675502</v>
      </c>
    </row>
    <row r="39">
      <c r="A39" s="7">
        <f>IFERROR(__xludf.DUMMYFUNCTION("""COMPUTED_VALUE"""),45450.64583333333)</f>
        <v>45450.64583</v>
      </c>
      <c r="B39" s="6">
        <f>IFERROR(__xludf.DUMMYFUNCTION("""COMPUTED_VALUE"""),7526.0)</f>
        <v>7526</v>
      </c>
      <c r="C39" s="6">
        <f>IFERROR(__xludf.DUMMYFUNCTION("""COMPUTED_VALUE"""),8507.65)</f>
        <v>8507.65</v>
      </c>
      <c r="D39" s="6">
        <f>IFERROR(__xludf.DUMMYFUNCTION("""COMPUTED_VALUE"""),7022.55)</f>
        <v>7022.55</v>
      </c>
      <c r="E39" s="6">
        <f>IFERROR(__xludf.DUMMYFUNCTION("""COMPUTED_VALUE"""),8406.3)</f>
        <v>8406.3</v>
      </c>
      <c r="F39" s="6">
        <f>IFERROR(__xludf.DUMMYFUNCTION("""COMPUTED_VALUE"""),1165336.0)</f>
        <v>1165336</v>
      </c>
    </row>
    <row r="40">
      <c r="A40" s="7">
        <f>IFERROR(__xludf.DUMMYFUNCTION("""COMPUTED_VALUE"""),45457.64583333333)</f>
        <v>45457.64583</v>
      </c>
      <c r="B40" s="6">
        <f>IFERROR(__xludf.DUMMYFUNCTION("""COMPUTED_VALUE"""),8310.1)</f>
        <v>8310.1</v>
      </c>
      <c r="C40" s="6">
        <f>IFERROR(__xludf.DUMMYFUNCTION("""COMPUTED_VALUE"""),9793.5)</f>
        <v>9793.5</v>
      </c>
      <c r="D40" s="6">
        <f>IFERROR(__xludf.DUMMYFUNCTION("""COMPUTED_VALUE"""),8137.0)</f>
        <v>8137</v>
      </c>
      <c r="E40" s="6">
        <f>IFERROR(__xludf.DUMMYFUNCTION("""COMPUTED_VALUE"""),9510.7)</f>
        <v>9510.7</v>
      </c>
      <c r="F40" s="6">
        <f>IFERROR(__xludf.DUMMYFUNCTION("""COMPUTED_VALUE"""),4087588.0)</f>
        <v>4087588</v>
      </c>
    </row>
    <row r="41">
      <c r="A41" s="7">
        <f>IFERROR(__xludf.DUMMYFUNCTION("""COMPUTED_VALUE"""),45464.64583333333)</f>
        <v>45464.64583</v>
      </c>
      <c r="B41" s="6">
        <f>IFERROR(__xludf.DUMMYFUNCTION("""COMPUTED_VALUE"""),9550.0)</f>
        <v>9550</v>
      </c>
      <c r="C41" s="6">
        <f>IFERROR(__xludf.DUMMYFUNCTION("""COMPUTED_VALUE"""),9975.0)</f>
        <v>9975</v>
      </c>
      <c r="D41" s="6">
        <f>IFERROR(__xludf.DUMMYFUNCTION("""COMPUTED_VALUE"""),9522.25)</f>
        <v>9522.25</v>
      </c>
      <c r="E41" s="6">
        <f>IFERROR(__xludf.DUMMYFUNCTION("""COMPUTED_VALUE"""),9738.9)</f>
        <v>9738.9</v>
      </c>
      <c r="F41" s="6">
        <f>IFERROR(__xludf.DUMMYFUNCTION("""COMPUTED_VALUE"""),1766432.0)</f>
        <v>1766432</v>
      </c>
    </row>
    <row r="42">
      <c r="A42" s="7">
        <f>IFERROR(__xludf.DUMMYFUNCTION("""COMPUTED_VALUE"""),45471.64583333333)</f>
        <v>45471.64583</v>
      </c>
      <c r="B42" s="6">
        <f>IFERROR(__xludf.DUMMYFUNCTION("""COMPUTED_VALUE"""),9660.05)</f>
        <v>9660.05</v>
      </c>
      <c r="C42" s="6">
        <f>IFERROR(__xludf.DUMMYFUNCTION("""COMPUTED_VALUE"""),10050.0)</f>
        <v>10050</v>
      </c>
      <c r="D42" s="6">
        <f>IFERROR(__xludf.DUMMYFUNCTION("""COMPUTED_VALUE"""),9449.0)</f>
        <v>9449</v>
      </c>
      <c r="E42" s="6">
        <f>IFERROR(__xludf.DUMMYFUNCTION("""COMPUTED_VALUE"""),9882.25)</f>
        <v>9882.25</v>
      </c>
      <c r="F42" s="6">
        <f>IFERROR(__xludf.DUMMYFUNCTION("""COMPUTED_VALUE"""),1477443.0)</f>
        <v>1477443</v>
      </c>
    </row>
    <row r="43">
      <c r="A43" s="7">
        <f>IFERROR(__xludf.DUMMYFUNCTION("""COMPUTED_VALUE"""),45478.64583333333)</f>
        <v>45478.64583</v>
      </c>
      <c r="B43" s="6">
        <f>IFERROR(__xludf.DUMMYFUNCTION("""COMPUTED_VALUE"""),9905.2)</f>
        <v>9905.2</v>
      </c>
      <c r="C43" s="6">
        <f>IFERROR(__xludf.DUMMYFUNCTION("""COMPUTED_VALUE"""),10529.95)</f>
        <v>10529.95</v>
      </c>
      <c r="D43" s="6">
        <f>IFERROR(__xludf.DUMMYFUNCTION("""COMPUTED_VALUE"""),9890.15)</f>
        <v>9890.15</v>
      </c>
      <c r="E43" s="6">
        <f>IFERROR(__xludf.DUMMYFUNCTION("""COMPUTED_VALUE"""),10425.45)</f>
        <v>10425.45</v>
      </c>
      <c r="F43" s="6">
        <f>IFERROR(__xludf.DUMMYFUNCTION("""COMPUTED_VALUE"""),1646250.0)</f>
        <v>1646250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IFERROR(__xludf.DUMMYFUNCTION("""COMPUTED_VALUE"""),10478.9)</f>
        <v>10478.9</v>
      </c>
      <c r="C44" s="6">
        <f>IFERROR(__xludf.DUMMYFUNCTION("""COMPUTED_VALUE"""),10709.95)</f>
        <v>10709.95</v>
      </c>
      <c r="D44" s="6">
        <f>IFERROR(__xludf.DUMMYFUNCTION("""COMPUTED_VALUE"""),10032.35)</f>
        <v>10032.35</v>
      </c>
      <c r="E44" s="6">
        <f>IFERROR(__xludf.DUMMYFUNCTION("""COMPUTED_VALUE"""),10556.85)</f>
        <v>10556.85</v>
      </c>
      <c r="F44" s="6">
        <f>IFERROR(__xludf.DUMMYFUNCTION("""COMPUTED_VALUE"""),998111.0)</f>
        <v>998111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IFERROR(__xludf.DUMMYFUNCTION("""COMPUTED_VALUE"""),10691.95)</f>
        <v>10691.95</v>
      </c>
      <c r="C45" s="6">
        <f>IFERROR(__xludf.DUMMYFUNCTION("""COMPUTED_VALUE"""),11240.0)</f>
        <v>11240</v>
      </c>
      <c r="D45" s="6">
        <f>IFERROR(__xludf.DUMMYFUNCTION("""COMPUTED_VALUE"""),10582.5)</f>
        <v>10582.5</v>
      </c>
      <c r="E45" s="6">
        <f>IFERROR(__xludf.DUMMYFUNCTION("""COMPUTED_VALUE"""),10822.3)</f>
        <v>10822.3</v>
      </c>
      <c r="F45" s="6">
        <f>IFERROR(__xludf.DUMMYFUNCTION("""COMPUTED_VALUE"""),2357670.0)</f>
        <v>2357670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IFERROR(__xludf.DUMMYFUNCTION("""COMPUTED_VALUE"""),10700.0)</f>
        <v>10700</v>
      </c>
      <c r="C46" s="6">
        <f>IFERROR(__xludf.DUMMYFUNCTION("""COMPUTED_VALUE"""),11395.95)</f>
        <v>11395.95</v>
      </c>
      <c r="D46" s="6">
        <f>IFERROR(__xludf.DUMMYFUNCTION("""COMPUTED_VALUE"""),10370.0)</f>
        <v>10370</v>
      </c>
      <c r="E46" s="6">
        <f>IFERROR(__xludf.DUMMYFUNCTION("""COMPUTED_VALUE"""),11093.65)</f>
        <v>11093.65</v>
      </c>
      <c r="F46" s="6">
        <f>IFERROR(__xludf.DUMMYFUNCTION("""COMPUTED_VALUE"""),2210219.0)</f>
        <v>2210219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IFERROR(__xludf.DUMMYFUNCTION("""COMPUTED_VALUE"""),11203.65)</f>
        <v>11203.65</v>
      </c>
      <c r="C47" s="6">
        <f>IFERROR(__xludf.DUMMYFUNCTION("""COMPUTED_VALUE"""),11443.6)</f>
        <v>11443.6</v>
      </c>
      <c r="D47" s="6">
        <f>IFERROR(__xludf.DUMMYFUNCTION("""COMPUTED_VALUE"""),10328.3)</f>
        <v>10328.3</v>
      </c>
      <c r="E47" s="6">
        <f>IFERROR(__xludf.DUMMYFUNCTION("""COMPUTED_VALUE"""),10389.6)</f>
        <v>10389.6</v>
      </c>
      <c r="F47" s="6">
        <f>IFERROR(__xludf.DUMMYFUNCTION("""COMPUTED_VALUE"""),1231799.0)</f>
        <v>1231799</v>
      </c>
    </row>
    <row r="48">
      <c r="A48" s="7">
        <f>IFERROR(__xludf.DUMMYFUNCTION("""COMPUTED_VALUE"""),45513.64583333333)</f>
        <v>45513.64583</v>
      </c>
      <c r="B48" s="6">
        <f>IFERROR(__xludf.DUMMYFUNCTION("""COMPUTED_VALUE"""),9910.65)</f>
        <v>9910.65</v>
      </c>
      <c r="C48" s="6">
        <f>IFERROR(__xludf.DUMMYFUNCTION("""COMPUTED_VALUE"""),10590.0)</f>
        <v>10590</v>
      </c>
      <c r="D48" s="6">
        <f>IFERROR(__xludf.DUMMYFUNCTION("""COMPUTED_VALUE"""),9605.05)</f>
        <v>9605.05</v>
      </c>
      <c r="E48" s="6">
        <f>IFERROR(__xludf.DUMMYFUNCTION("""COMPUTED_VALUE"""),10564.1)</f>
        <v>10564.1</v>
      </c>
      <c r="F48" s="6">
        <f>IFERROR(__xludf.DUMMYFUNCTION("""COMPUTED_VALUE"""),1224860.0)</f>
        <v>1224860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IFERROR(__xludf.DUMMYFUNCTION("""COMPUTED_VALUE"""),10605.2)</f>
        <v>10605.2</v>
      </c>
      <c r="C49" s="6">
        <f>IFERROR(__xludf.DUMMYFUNCTION("""COMPUTED_VALUE"""),11007.0)</f>
        <v>11007</v>
      </c>
      <c r="D49" s="6">
        <f>IFERROR(__xludf.DUMMYFUNCTION("""COMPUTED_VALUE"""),10455.05)</f>
        <v>10455.05</v>
      </c>
      <c r="E49" s="6">
        <f>IFERROR(__xludf.DUMMYFUNCTION("""COMPUTED_VALUE"""),10898.45)</f>
        <v>10898.45</v>
      </c>
      <c r="F49" s="6">
        <f>IFERROR(__xludf.DUMMYFUNCTION("""COMPUTED_VALUE"""),1610718.0)</f>
        <v>1610718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IFERROR(__xludf.DUMMYFUNCTION("""COMPUTED_VALUE"""),10969.3)</f>
        <v>10969.3</v>
      </c>
      <c r="C50" s="6">
        <f>IFERROR(__xludf.DUMMYFUNCTION("""COMPUTED_VALUE"""),11307.0)</f>
        <v>11307</v>
      </c>
      <c r="D50" s="6">
        <f>IFERROR(__xludf.DUMMYFUNCTION("""COMPUTED_VALUE"""),10900.0)</f>
        <v>10900</v>
      </c>
      <c r="E50" s="6">
        <f>IFERROR(__xludf.DUMMYFUNCTION("""COMPUTED_VALUE"""),10931.5)</f>
        <v>10931.5</v>
      </c>
      <c r="F50" s="6">
        <f>IFERROR(__xludf.DUMMYFUNCTION("""COMPUTED_VALUE"""),1103404.0)</f>
        <v>1103404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IFERROR(__xludf.DUMMYFUNCTION("""COMPUTED_VALUE"""),11049.0)</f>
        <v>11049</v>
      </c>
      <c r="C51" s="6">
        <f>IFERROR(__xludf.DUMMYFUNCTION("""COMPUTED_VALUE"""),11266.95)</f>
        <v>11266.95</v>
      </c>
      <c r="D51" s="6">
        <f>IFERROR(__xludf.DUMMYFUNCTION("""COMPUTED_VALUE"""),10727.8)</f>
        <v>10727.8</v>
      </c>
      <c r="E51" s="6">
        <f>IFERROR(__xludf.DUMMYFUNCTION("""COMPUTED_VALUE"""),10988.7)</f>
        <v>10988.7</v>
      </c>
      <c r="F51" s="6">
        <f>IFERROR(__xludf.DUMMYFUNCTION("""COMPUTED_VALUE"""),4138570.0)</f>
        <v>4138570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IFERROR(__xludf.DUMMYFUNCTION("""COMPUTED_VALUE"""),10874.05)</f>
        <v>10874.05</v>
      </c>
      <c r="C52" s="6">
        <f>IFERROR(__xludf.DUMMYFUNCTION("""COMPUTED_VALUE"""),11575.0)</f>
        <v>11575</v>
      </c>
      <c r="D52" s="6">
        <f>IFERROR(__xludf.DUMMYFUNCTION("""COMPUTED_VALUE"""),10720.75)</f>
        <v>10720.75</v>
      </c>
      <c r="E52" s="6">
        <f>IFERROR(__xludf.DUMMYFUNCTION("""COMPUTED_VALUE"""),10847.8)</f>
        <v>10847.8</v>
      </c>
      <c r="F52" s="6">
        <f>IFERROR(__xludf.DUMMYFUNCTION("""COMPUTED_VALUE"""),1253870.0)</f>
        <v>1253870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IFERROR(__xludf.DUMMYFUNCTION("""COMPUTED_VALUE"""),10850.0)</f>
        <v>10850</v>
      </c>
      <c r="C53" s="6">
        <f>IFERROR(__xludf.DUMMYFUNCTION("""COMPUTED_VALUE"""),12313.55)</f>
        <v>12313.55</v>
      </c>
      <c r="D53" s="6">
        <f>IFERROR(__xludf.DUMMYFUNCTION("""COMPUTED_VALUE"""),10759.4)</f>
        <v>10759.4</v>
      </c>
      <c r="E53" s="6">
        <f>IFERROR(__xludf.DUMMYFUNCTION("""COMPUTED_VALUE"""),12261.9)</f>
        <v>12261.9</v>
      </c>
      <c r="F53" s="6">
        <f>IFERROR(__xludf.DUMMYFUNCTION("""COMPUTED_VALUE"""),1826178.0)</f>
        <v>1826178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IFERROR(__xludf.DUMMYFUNCTION("""COMPUTED_VALUE"""),12250.0)</f>
        <v>12250</v>
      </c>
      <c r="C54" s="6">
        <f>IFERROR(__xludf.DUMMYFUNCTION("""COMPUTED_VALUE"""),12619.0)</f>
        <v>12619</v>
      </c>
      <c r="D54" s="6">
        <f>IFERROR(__xludf.DUMMYFUNCTION("""COMPUTED_VALUE"""),10651.25)</f>
        <v>10651.25</v>
      </c>
      <c r="E54" s="6">
        <f>IFERROR(__xludf.DUMMYFUNCTION("""COMPUTED_VALUE"""),11371.6)</f>
        <v>11371.6</v>
      </c>
      <c r="F54" s="6">
        <f>IFERROR(__xludf.DUMMYFUNCTION("""COMPUTED_VALUE"""),3133413.0)</f>
        <v>3133413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IFERROR(__xludf.DUMMYFUNCTION("""COMPUTED_VALUE"""),11395.0)</f>
        <v>11395</v>
      </c>
      <c r="C55" s="6">
        <f>IFERROR(__xludf.DUMMYFUNCTION("""COMPUTED_VALUE"""),11673.0)</f>
        <v>11673</v>
      </c>
      <c r="D55" s="6">
        <f>IFERROR(__xludf.DUMMYFUNCTION("""COMPUTED_VALUE"""),11091.05)</f>
        <v>11091.05</v>
      </c>
      <c r="E55" s="6">
        <f>IFERROR(__xludf.DUMMYFUNCTION("""COMPUTED_VALUE"""),11392.8)</f>
        <v>11392.8</v>
      </c>
      <c r="F55" s="6">
        <f>IFERROR(__xludf.DUMMYFUNCTION("""COMPUTED_VALUE"""),1313020.0)</f>
        <v>1313020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IFERROR(__xludf.DUMMYFUNCTION("""COMPUTED_VALUE"""),11392.0)</f>
        <v>11392</v>
      </c>
      <c r="C56" s="6">
        <f>IFERROR(__xludf.DUMMYFUNCTION("""COMPUTED_VALUE"""),11497.0)</f>
        <v>11497</v>
      </c>
      <c r="D56" s="6">
        <f>IFERROR(__xludf.DUMMYFUNCTION("""COMPUTED_VALUE"""),10901.0)</f>
        <v>10901</v>
      </c>
      <c r="E56" s="6">
        <f>IFERROR(__xludf.DUMMYFUNCTION("""COMPUTED_VALUE"""),10951.2)</f>
        <v>10951.2</v>
      </c>
      <c r="F56" s="6">
        <f>IFERROR(__xludf.DUMMYFUNCTION("""COMPUTED_VALUE"""),500525.0)</f>
        <v>500525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IFERROR(__xludf.DUMMYFUNCTION("""COMPUTED_VALUE"""),11050.0)</f>
        <v>11050</v>
      </c>
      <c r="C57" s="6">
        <f>IFERROR(__xludf.DUMMYFUNCTION("""COMPUTED_VALUE"""),11845.0)</f>
        <v>11845</v>
      </c>
      <c r="D57" s="6">
        <f>IFERROR(__xludf.DUMMYFUNCTION("""COMPUTED_VALUE"""),10723.0)</f>
        <v>10723</v>
      </c>
      <c r="E57" s="6">
        <f>IFERROR(__xludf.DUMMYFUNCTION("""COMPUTED_VALUE"""),11556.4)</f>
        <v>11556.4</v>
      </c>
      <c r="F57" s="6">
        <f>IFERROR(__xludf.DUMMYFUNCTION("""COMPUTED_VALUE"""),833243.0)</f>
        <v>833243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IFERROR(__xludf.DUMMYFUNCTION("""COMPUTED_VALUE"""),11584.95)</f>
        <v>11584.95</v>
      </c>
      <c r="C58" s="6">
        <f>IFERROR(__xludf.DUMMYFUNCTION("""COMPUTED_VALUE"""),11881.85)</f>
        <v>11881.85</v>
      </c>
      <c r="D58" s="6">
        <f>IFERROR(__xludf.DUMMYFUNCTION("""COMPUTED_VALUE"""),11301.05)</f>
        <v>11301.05</v>
      </c>
      <c r="E58" s="6">
        <f>IFERROR(__xludf.DUMMYFUNCTION("""COMPUTED_VALUE"""),11583.6)</f>
        <v>11583.6</v>
      </c>
      <c r="F58" s="6">
        <f>IFERROR(__xludf.DUMMYFUNCTION("""COMPUTED_VALUE"""),578510.0)</f>
        <v>578510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IFERROR(__xludf.DUMMYFUNCTION("""COMPUTED_VALUE"""),11627.0)</f>
        <v>11627</v>
      </c>
      <c r="C59" s="6">
        <f>IFERROR(__xludf.DUMMYFUNCTION("""COMPUTED_VALUE"""),11659.0)</f>
        <v>11659</v>
      </c>
      <c r="D59" s="6">
        <f>IFERROR(__xludf.DUMMYFUNCTION("""COMPUTED_VALUE"""),10428.85)</f>
        <v>10428.85</v>
      </c>
      <c r="E59" s="6">
        <f>IFERROR(__xludf.DUMMYFUNCTION("""COMPUTED_VALUE"""),10888.05)</f>
        <v>10888.05</v>
      </c>
      <c r="F59" s="6">
        <f>IFERROR(__xludf.DUMMYFUNCTION("""COMPUTED_VALUE"""),1093905.0)</f>
        <v>1093905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IFERROR(__xludf.DUMMYFUNCTION("""COMPUTED_VALUE"""),10823.25)</f>
        <v>10823.25</v>
      </c>
      <c r="C60" s="6">
        <f>IFERROR(__xludf.DUMMYFUNCTION("""COMPUTED_VALUE"""),11749.95)</f>
        <v>11749.95</v>
      </c>
      <c r="D60" s="6">
        <f>IFERROR(__xludf.DUMMYFUNCTION("""COMPUTED_VALUE"""),10725.15)</f>
        <v>10725.15</v>
      </c>
      <c r="E60" s="6">
        <f>IFERROR(__xludf.DUMMYFUNCTION("""COMPUTED_VALUE"""),11518.15)</f>
        <v>11518.15</v>
      </c>
      <c r="F60" s="6">
        <f>IFERROR(__xludf.DUMMYFUNCTION("""COMPUTED_VALUE"""),495021.0)</f>
        <v>495021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IFERROR(__xludf.DUMMYFUNCTION("""COMPUTED_VALUE"""),11500.0)</f>
        <v>11500</v>
      </c>
      <c r="C61" s="6">
        <f>IFERROR(__xludf.DUMMYFUNCTION("""COMPUTED_VALUE"""),12141.95)</f>
        <v>12141.95</v>
      </c>
      <c r="D61" s="6">
        <f>IFERROR(__xludf.DUMMYFUNCTION("""COMPUTED_VALUE"""),11397.85)</f>
        <v>11397.85</v>
      </c>
      <c r="E61" s="6">
        <f>IFERROR(__xludf.DUMMYFUNCTION("""COMPUTED_VALUE"""),11768.55)</f>
        <v>11768.55</v>
      </c>
      <c r="F61" s="6">
        <f>IFERROR(__xludf.DUMMYFUNCTION("""COMPUTED_VALUE"""),513900.0)</f>
        <v>513900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IFERROR(__xludf.DUMMYFUNCTION("""COMPUTED_VALUE"""),11800.45)</f>
        <v>11800.45</v>
      </c>
      <c r="C62" s="6">
        <f>IFERROR(__xludf.DUMMYFUNCTION("""COMPUTED_VALUE"""),11844.9)</f>
        <v>11844.9</v>
      </c>
      <c r="D62" s="6">
        <f>IFERROR(__xludf.DUMMYFUNCTION("""COMPUTED_VALUE"""),11009.4)</f>
        <v>11009.4</v>
      </c>
      <c r="E62" s="6">
        <f>IFERROR(__xludf.DUMMYFUNCTION("""COMPUTED_VALUE"""),11516.4)</f>
        <v>11516.4</v>
      </c>
      <c r="F62" s="6">
        <f>IFERROR(__xludf.DUMMYFUNCTION("""COMPUTED_VALUE"""),540679.0)</f>
        <v>540679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IFERROR(__xludf.DUMMYFUNCTION("""COMPUTED_VALUE"""),11780.0)</f>
        <v>11780</v>
      </c>
      <c r="C63" s="6">
        <f>IFERROR(__xludf.DUMMYFUNCTION("""COMPUTED_VALUE"""),12022.0)</f>
        <v>12022</v>
      </c>
      <c r="D63" s="6">
        <f>IFERROR(__xludf.DUMMYFUNCTION("""COMPUTED_VALUE"""),11471.35)</f>
        <v>11471.35</v>
      </c>
      <c r="E63" s="6">
        <f>IFERROR(__xludf.DUMMYFUNCTION("""COMPUTED_VALUE"""),11696.45)</f>
        <v>11696.45</v>
      </c>
      <c r="F63" s="6">
        <f>IFERROR(__xludf.DUMMYFUNCTION("""COMPUTED_VALUE"""),559744.0)</f>
        <v>559744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IFERROR(__xludf.DUMMYFUNCTION("""COMPUTED_VALUE"""),11695.0)</f>
        <v>11695</v>
      </c>
      <c r="C64" s="6">
        <f>IFERROR(__xludf.DUMMYFUNCTION("""COMPUTED_VALUE"""),12849.95)</f>
        <v>12849.95</v>
      </c>
      <c r="D64" s="6">
        <f>IFERROR(__xludf.DUMMYFUNCTION("""COMPUTED_VALUE"""),11670.9)</f>
        <v>11670.9</v>
      </c>
      <c r="E64" s="6">
        <f>IFERROR(__xludf.DUMMYFUNCTION("""COMPUTED_VALUE"""),12579.5)</f>
        <v>12579.5</v>
      </c>
      <c r="F64" s="6">
        <f>IFERROR(__xludf.DUMMYFUNCTION("""COMPUTED_VALUE"""),582639.0)</f>
        <v>582639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IFERROR(__xludf.DUMMYFUNCTION("""COMPUTED_VALUE"""),12640.0)</f>
        <v>12640</v>
      </c>
      <c r="C65" s="6">
        <f>IFERROR(__xludf.DUMMYFUNCTION("""COMPUTED_VALUE"""),12715.8)</f>
        <v>12715.8</v>
      </c>
      <c r="D65" s="6">
        <f>IFERROR(__xludf.DUMMYFUNCTION("""COMPUTED_VALUE"""),11874.65)</f>
        <v>11874.65</v>
      </c>
      <c r="E65" s="6">
        <f>IFERROR(__xludf.DUMMYFUNCTION("""COMPUTED_VALUE"""),12283.8)</f>
        <v>12283.8</v>
      </c>
      <c r="F65" s="6">
        <f>IFERROR(__xludf.DUMMYFUNCTION("""COMPUTED_VALUE"""),584710.0)</f>
        <v>584710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IFERROR(__xludf.DUMMYFUNCTION("""COMPUTED_VALUE"""),12300.25)</f>
        <v>12300.25</v>
      </c>
      <c r="C66" s="6">
        <f>IFERROR(__xludf.DUMMYFUNCTION("""COMPUTED_VALUE"""),12983.55)</f>
        <v>12983.55</v>
      </c>
      <c r="D66" s="6">
        <f>IFERROR(__xludf.DUMMYFUNCTION("""COMPUTED_VALUE"""),11995.0)</f>
        <v>11995</v>
      </c>
      <c r="E66" s="6">
        <f>IFERROR(__xludf.DUMMYFUNCTION("""COMPUTED_VALUE"""),12247.55)</f>
        <v>12247.55</v>
      </c>
      <c r="F66" s="6">
        <f>IFERROR(__xludf.DUMMYFUNCTION("""COMPUTED_VALUE"""),945074.0)</f>
        <v>945074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IFERROR(__xludf.DUMMYFUNCTION("""COMPUTED_VALUE"""),12398.9)</f>
        <v>12398.9</v>
      </c>
      <c r="C67" s="6">
        <f>IFERROR(__xludf.DUMMYFUNCTION("""COMPUTED_VALUE"""),12784.75)</f>
        <v>12784.75</v>
      </c>
      <c r="D67" s="6">
        <f>IFERROR(__xludf.DUMMYFUNCTION("""COMPUTED_VALUE"""),12070.05)</f>
        <v>12070.05</v>
      </c>
      <c r="E67" s="6">
        <f>IFERROR(__xludf.DUMMYFUNCTION("""COMPUTED_VALUE"""),12646.6)</f>
        <v>12646.6</v>
      </c>
      <c r="F67" s="6">
        <f>IFERROR(__xludf.DUMMYFUNCTION("""COMPUTED_VALUE"""),762500.0)</f>
        <v>762500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IFERROR(__xludf.DUMMYFUNCTION("""COMPUTED_VALUE"""),12659.95)</f>
        <v>12659.95</v>
      </c>
      <c r="C68" s="6">
        <f>IFERROR(__xludf.DUMMYFUNCTION("""COMPUTED_VALUE"""),13220.0)</f>
        <v>13220</v>
      </c>
      <c r="D68" s="6">
        <f>IFERROR(__xludf.DUMMYFUNCTION("""COMPUTED_VALUE"""),12330.05)</f>
        <v>12330.05</v>
      </c>
      <c r="E68" s="6">
        <f>IFERROR(__xludf.DUMMYFUNCTION("""COMPUTED_VALUE"""),12518.05)</f>
        <v>12518.05</v>
      </c>
      <c r="F68" s="6">
        <f>IFERROR(__xludf.DUMMYFUNCTION("""COMPUTED_VALUE"""),800594.0)</f>
        <v>800594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IFERROR(__xludf.DUMMYFUNCTION("""COMPUTED_VALUE"""),12444.0)</f>
        <v>12444</v>
      </c>
      <c r="C69" s="6">
        <f>IFERROR(__xludf.DUMMYFUNCTION("""COMPUTED_VALUE"""),12560.0)</f>
        <v>12560</v>
      </c>
      <c r="D69" s="6">
        <f>IFERROR(__xludf.DUMMYFUNCTION("""COMPUTED_VALUE"""),11402.2)</f>
        <v>11402.2</v>
      </c>
      <c r="E69" s="6">
        <f>IFERROR(__xludf.DUMMYFUNCTION("""COMPUTED_VALUE"""),11451.35)</f>
        <v>11451.35</v>
      </c>
      <c r="F69" s="6">
        <f>IFERROR(__xludf.DUMMYFUNCTION("""COMPUTED_VALUE"""),566240.0)</f>
        <v>566240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IFERROR(__xludf.DUMMYFUNCTION("""COMPUTED_VALUE"""),11339.75)</f>
        <v>11339.75</v>
      </c>
      <c r="C70" s="6">
        <f>IFERROR(__xludf.DUMMYFUNCTION("""COMPUTED_VALUE"""),11399.95)</f>
        <v>11399.95</v>
      </c>
      <c r="D70" s="6">
        <f>IFERROR(__xludf.DUMMYFUNCTION("""COMPUTED_VALUE"""),9880.0)</f>
        <v>9880</v>
      </c>
      <c r="E70" s="6">
        <f>IFERROR(__xludf.DUMMYFUNCTION("""COMPUTED_VALUE"""),10027.15)</f>
        <v>10027.15</v>
      </c>
      <c r="F70" s="6">
        <f>IFERROR(__xludf.DUMMYFUNCTION("""COMPUTED_VALUE"""),1577444.0)</f>
        <v>1577444</v>
      </c>
    </row>
    <row r="71">
      <c r="A71" s="7">
        <f>IFERROR(__xludf.DUMMYFUNCTION("""COMPUTED_VALUE"""),45681.64583333333)</f>
        <v>45681.64583</v>
      </c>
      <c r="B71" s="6">
        <f>IFERROR(__xludf.DUMMYFUNCTION("""COMPUTED_VALUE"""),9999.05)</f>
        <v>9999.05</v>
      </c>
      <c r="C71" s="6">
        <f>IFERROR(__xludf.DUMMYFUNCTION("""COMPUTED_VALUE"""),10265.0)</f>
        <v>10265</v>
      </c>
      <c r="D71" s="6">
        <f>IFERROR(__xludf.DUMMYFUNCTION("""COMPUTED_VALUE"""),9480.0)</f>
        <v>9480</v>
      </c>
      <c r="E71" s="6">
        <f>IFERROR(__xludf.DUMMYFUNCTION("""COMPUTED_VALUE"""),9805.65)</f>
        <v>9805.65</v>
      </c>
      <c r="F71" s="6">
        <f>IFERROR(__xludf.DUMMYFUNCTION("""COMPUTED_VALUE"""),1085049.0)</f>
        <v>1085049</v>
      </c>
    </row>
    <row r="72">
      <c r="A72" s="7">
        <f>IFERROR(__xludf.DUMMYFUNCTION("""COMPUTED_VALUE"""),45695.64583333333)</f>
        <v>45695.64583</v>
      </c>
      <c r="B72" s="6">
        <f>IFERROR(__xludf.DUMMYFUNCTION("""COMPUTED_VALUE"""),8838.1)</f>
        <v>8838.1</v>
      </c>
      <c r="C72" s="6">
        <f>IFERROR(__xludf.DUMMYFUNCTION("""COMPUTED_VALUE"""),9514.9)</f>
        <v>9514.9</v>
      </c>
      <c r="D72" s="6">
        <f>IFERROR(__xludf.DUMMYFUNCTION("""COMPUTED_VALUE"""),8630.1)</f>
        <v>8630.1</v>
      </c>
      <c r="E72" s="6">
        <f>IFERROR(__xludf.DUMMYFUNCTION("""COMPUTED_VALUE"""),9452.7)</f>
        <v>9452.7</v>
      </c>
      <c r="F72" s="6">
        <f>IFERROR(__xludf.DUMMYFUNCTION("""COMPUTED_VALUE"""),585448.0)</f>
        <v>585448</v>
      </c>
    </row>
    <row r="73">
      <c r="A73" s="7">
        <f>IFERROR(__xludf.DUMMYFUNCTION("""COMPUTED_VALUE"""),45702.64583333333)</f>
        <v>45702.64583</v>
      </c>
      <c r="B73" s="6">
        <f>IFERROR(__xludf.DUMMYFUNCTION("""COMPUTED_VALUE"""),9430.1)</f>
        <v>9430.1</v>
      </c>
      <c r="C73" s="6">
        <f>IFERROR(__xludf.DUMMYFUNCTION("""COMPUTED_VALUE"""),9471.7)</f>
        <v>9471.7</v>
      </c>
      <c r="D73" s="6">
        <f>IFERROR(__xludf.DUMMYFUNCTION("""COMPUTED_VALUE"""),8810.0)</f>
        <v>8810</v>
      </c>
      <c r="E73" s="6">
        <f>IFERROR(__xludf.DUMMYFUNCTION("""COMPUTED_VALUE"""),8962.95)</f>
        <v>8962.95</v>
      </c>
      <c r="F73" s="6">
        <f>IFERROR(__xludf.DUMMYFUNCTION("""COMPUTED_VALUE"""),399248.0)</f>
        <v>399248</v>
      </c>
    </row>
    <row r="74">
      <c r="A74" s="7">
        <f>IFERROR(__xludf.DUMMYFUNCTION("""COMPUTED_VALUE"""),45709.64583333333)</f>
        <v>45709.64583</v>
      </c>
      <c r="B74" s="6">
        <f>IFERROR(__xludf.DUMMYFUNCTION("""COMPUTED_VALUE"""),8910.0)</f>
        <v>8910</v>
      </c>
      <c r="C74" s="6">
        <f>IFERROR(__xludf.DUMMYFUNCTION("""COMPUTED_VALUE"""),8962.0)</f>
        <v>8962</v>
      </c>
      <c r="D74" s="6">
        <f>IFERROR(__xludf.DUMMYFUNCTION("""COMPUTED_VALUE"""),8282.0)</f>
        <v>8282</v>
      </c>
      <c r="E74" s="6">
        <f>IFERROR(__xludf.DUMMYFUNCTION("""COMPUTED_VALUE"""),8405.0)</f>
        <v>8405</v>
      </c>
      <c r="F74" s="6">
        <f>IFERROR(__xludf.DUMMYFUNCTION("""COMPUTED_VALUE"""),598768.0)</f>
        <v>598768</v>
      </c>
    </row>
    <row r="75">
      <c r="A75" s="7">
        <f>IFERROR(__xludf.DUMMYFUNCTION("""COMPUTED_VALUE"""),45716.64583333333)</f>
        <v>45716.64583</v>
      </c>
      <c r="B75" s="6">
        <f>IFERROR(__xludf.DUMMYFUNCTION("""COMPUTED_VALUE"""),8348.55)</f>
        <v>8348.55</v>
      </c>
      <c r="C75" s="6">
        <f>IFERROR(__xludf.DUMMYFUNCTION("""COMPUTED_VALUE"""),8379.0)</f>
        <v>8379</v>
      </c>
      <c r="D75" s="6">
        <f>IFERROR(__xludf.DUMMYFUNCTION("""COMPUTED_VALUE"""),7545.0)</f>
        <v>7545</v>
      </c>
      <c r="E75" s="6">
        <f>IFERROR(__xludf.DUMMYFUNCTION("""COMPUTED_VALUE"""),7763.9)</f>
        <v>7763.9</v>
      </c>
      <c r="F75" s="6">
        <f>IFERROR(__xludf.DUMMYFUNCTION("""COMPUTED_VALUE"""),531919.0)</f>
        <v>531919</v>
      </c>
    </row>
    <row r="76">
      <c r="A76" s="7">
        <f>IFERROR(__xludf.DUMMYFUNCTION("""COMPUTED_VALUE"""),45723.64583333333)</f>
        <v>45723.64583</v>
      </c>
      <c r="B76" s="6">
        <f>IFERROR(__xludf.DUMMYFUNCTION("""COMPUTED_VALUE"""),7801.75)</f>
        <v>7801.75</v>
      </c>
      <c r="C76" s="6">
        <f>IFERROR(__xludf.DUMMYFUNCTION("""COMPUTED_VALUE"""),8080.0)</f>
        <v>8080</v>
      </c>
      <c r="D76" s="6">
        <f>IFERROR(__xludf.DUMMYFUNCTION("""COMPUTED_VALUE"""),7527.0)</f>
        <v>7527</v>
      </c>
      <c r="E76" s="6">
        <f>IFERROR(__xludf.DUMMYFUNCTION("""COMPUTED_VALUE"""),7569.1)</f>
        <v>7569.1</v>
      </c>
      <c r="F76" s="6">
        <f>IFERROR(__xludf.DUMMYFUNCTION("""COMPUTED_VALUE"""),947556.0)</f>
        <v>947556</v>
      </c>
    </row>
    <row r="77">
      <c r="A77" s="7">
        <f>IFERROR(__xludf.DUMMYFUNCTION("""COMPUTED_VALUE"""),45729.64583333333)</f>
        <v>45729.64583</v>
      </c>
      <c r="B77" s="6">
        <f>IFERROR(__xludf.DUMMYFUNCTION("""COMPUTED_VALUE"""),7566.75)</f>
        <v>7566.75</v>
      </c>
      <c r="C77" s="6">
        <f>IFERROR(__xludf.DUMMYFUNCTION("""COMPUTED_VALUE"""),7606.6)</f>
        <v>7606.6</v>
      </c>
      <c r="D77" s="6">
        <f>IFERROR(__xludf.DUMMYFUNCTION("""COMPUTED_VALUE"""),7131.9)</f>
        <v>7131.9</v>
      </c>
      <c r="E77" s="6">
        <f>IFERROR(__xludf.DUMMYFUNCTION("""COMPUTED_VALUE"""),7328.0)</f>
        <v>7328</v>
      </c>
      <c r="F77" s="6">
        <f>IFERROR(__xludf.DUMMYFUNCTION("""COMPUTED_VALUE"""),753070.0)</f>
        <v>753070</v>
      </c>
    </row>
    <row r="78">
      <c r="A78" s="7">
        <f>IFERROR(__xludf.DUMMYFUNCTION("""COMPUTED_VALUE"""),45737.64583333333)</f>
        <v>45737.64583</v>
      </c>
      <c r="B78" s="6">
        <f>IFERROR(__xludf.DUMMYFUNCTION("""COMPUTED_VALUE"""),7343.0)</f>
        <v>7343</v>
      </c>
      <c r="C78" s="6">
        <f>IFERROR(__xludf.DUMMYFUNCTION("""COMPUTED_VALUE"""),7838.0)</f>
        <v>7838</v>
      </c>
      <c r="D78" s="6">
        <f>IFERROR(__xludf.DUMMYFUNCTION("""COMPUTED_VALUE"""),7340.5)</f>
        <v>7340.5</v>
      </c>
      <c r="E78" s="6">
        <f>IFERROR(__xludf.DUMMYFUNCTION("""COMPUTED_VALUE"""),7644.4)</f>
        <v>7644.4</v>
      </c>
      <c r="F78" s="6">
        <f>IFERROR(__xludf.DUMMYFUNCTION("""COMPUTED_VALUE"""),1025929.0)</f>
        <v>1025929</v>
      </c>
    </row>
    <row r="79">
      <c r="A79" s="7">
        <f>IFERROR(__xludf.DUMMYFUNCTION("""COMPUTED_VALUE"""),45744.64583333333)</f>
        <v>45744.64583</v>
      </c>
      <c r="B79" s="6">
        <f>IFERROR(__xludf.DUMMYFUNCTION("""COMPUTED_VALUE"""),7770.0)</f>
        <v>7770</v>
      </c>
      <c r="C79" s="6">
        <f>IFERROR(__xludf.DUMMYFUNCTION("""COMPUTED_VALUE"""),8151.0)</f>
        <v>8151</v>
      </c>
      <c r="D79" s="6">
        <f>IFERROR(__xludf.DUMMYFUNCTION("""COMPUTED_VALUE"""),7610.0)</f>
        <v>7610</v>
      </c>
      <c r="E79" s="6">
        <f>IFERROR(__xludf.DUMMYFUNCTION("""COMPUTED_VALUE"""),7850.9)</f>
        <v>7850.9</v>
      </c>
      <c r="F79" s="6">
        <f>IFERROR(__xludf.DUMMYFUNCTION("""COMPUTED_VALUE"""),1053234.0)</f>
        <v>1053234</v>
      </c>
    </row>
    <row r="80">
      <c r="A80" s="7">
        <f>IFERROR(__xludf.DUMMYFUNCTION("""COMPUTED_VALUE"""),45751.64583333333)</f>
        <v>45751.64583</v>
      </c>
      <c r="B80" s="6">
        <f>IFERROR(__xludf.DUMMYFUNCTION("""COMPUTED_VALUE"""),7709.0)</f>
        <v>7709</v>
      </c>
      <c r="C80" s="6">
        <f>IFERROR(__xludf.DUMMYFUNCTION("""COMPUTED_VALUE"""),7800.0)</f>
        <v>7800</v>
      </c>
      <c r="D80" s="6">
        <f>IFERROR(__xludf.DUMMYFUNCTION("""COMPUTED_VALUE"""),7451.15)</f>
        <v>7451.15</v>
      </c>
      <c r="E80" s="6">
        <f>IFERROR(__xludf.DUMMYFUNCTION("""COMPUTED_VALUE"""),7521.55)</f>
        <v>7521.55</v>
      </c>
      <c r="F80" s="6">
        <f>IFERROR(__xludf.DUMMYFUNCTION("""COMPUTED_VALUE"""),651612.0)</f>
        <v>651612</v>
      </c>
    </row>
    <row r="81">
      <c r="A81" s="7">
        <f>IFERROR(__xludf.DUMMYFUNCTION("""COMPUTED_VALUE"""),45758.64583333333)</f>
        <v>45758.64583</v>
      </c>
      <c r="B81" s="6">
        <f>IFERROR(__xludf.DUMMYFUNCTION("""COMPUTED_VALUE"""),7235.0)</f>
        <v>7235</v>
      </c>
      <c r="C81" s="6">
        <f>IFERROR(__xludf.DUMMYFUNCTION("""COMPUTED_VALUE"""),7649.95)</f>
        <v>7649.95</v>
      </c>
      <c r="D81" s="6">
        <f>IFERROR(__xludf.DUMMYFUNCTION("""COMPUTED_VALUE"""),7038.0)</f>
        <v>7038</v>
      </c>
      <c r="E81" s="6">
        <f>IFERROR(__xludf.DUMMYFUNCTION("""COMPUTED_VALUE"""),7579.85)</f>
        <v>7579.85</v>
      </c>
      <c r="F81" s="6">
        <f>IFERROR(__xludf.DUMMYFUNCTION("""COMPUTED_VALUE"""),558564.0)</f>
        <v>558564</v>
      </c>
    </row>
    <row r="82">
      <c r="A82" s="7">
        <f>IFERROR(__xludf.DUMMYFUNCTION("""COMPUTED_VALUE"""),45764.64583333333)</f>
        <v>45764.64583</v>
      </c>
      <c r="B82" s="6">
        <f>IFERROR(__xludf.DUMMYFUNCTION("""COMPUTED_VALUE"""),7652.0)</f>
        <v>7652</v>
      </c>
      <c r="C82" s="6">
        <f>IFERROR(__xludf.DUMMYFUNCTION("""COMPUTED_VALUE"""),7998.0)</f>
        <v>7998</v>
      </c>
      <c r="D82" s="6">
        <f>IFERROR(__xludf.DUMMYFUNCTION("""COMPUTED_VALUE"""),7621.0)</f>
        <v>7621</v>
      </c>
      <c r="E82" s="6">
        <f>IFERROR(__xludf.DUMMYFUNCTION("""COMPUTED_VALUE"""),7950.0)</f>
        <v>7950</v>
      </c>
      <c r="F82" s="6">
        <f>IFERROR(__xludf.DUMMYFUNCTION("""COMPUTED_VALUE"""),428355.0)</f>
        <v>428355</v>
      </c>
    </row>
    <row r="83">
      <c r="A83" s="7">
        <f>IFERROR(__xludf.DUMMYFUNCTION("""COMPUTED_VALUE"""),45772.64583333333)</f>
        <v>45772.64583</v>
      </c>
      <c r="B83" s="6">
        <f>IFERROR(__xludf.DUMMYFUNCTION("""COMPUTED_VALUE"""),7969.5)</f>
        <v>7969.5</v>
      </c>
      <c r="C83" s="6">
        <f>IFERROR(__xludf.DUMMYFUNCTION("""COMPUTED_VALUE"""),8865.0)</f>
        <v>8865</v>
      </c>
      <c r="D83" s="6">
        <f>IFERROR(__xludf.DUMMYFUNCTION("""COMPUTED_VALUE"""),7960.5)</f>
        <v>7960.5</v>
      </c>
      <c r="E83" s="6">
        <f>IFERROR(__xludf.DUMMYFUNCTION("""COMPUTED_VALUE"""),8604.0)</f>
        <v>8604</v>
      </c>
      <c r="F83" s="6">
        <f>IFERROR(__xludf.DUMMYFUNCTION("""COMPUTED_VALUE"""),1426712.0)</f>
        <v>1426712</v>
      </c>
    </row>
    <row r="84">
      <c r="A84" s="7">
        <f>IFERROR(__xludf.DUMMYFUNCTION("""COMPUTED_VALUE"""),45779.64583333333)</f>
        <v>45779.64583</v>
      </c>
      <c r="B84" s="6">
        <f>IFERROR(__xludf.DUMMYFUNCTION("""COMPUTED_VALUE"""),8770.0)</f>
        <v>8770</v>
      </c>
      <c r="C84" s="6">
        <f>IFERROR(__xludf.DUMMYFUNCTION("""COMPUTED_VALUE"""),8899.5)</f>
        <v>8899.5</v>
      </c>
      <c r="D84" s="6">
        <f>IFERROR(__xludf.DUMMYFUNCTION("""COMPUTED_VALUE"""),8480.0)</f>
        <v>8480</v>
      </c>
      <c r="E84" s="6">
        <f>IFERROR(__xludf.DUMMYFUNCTION("""COMPUTED_VALUE"""),8693.5)</f>
        <v>8693.5</v>
      </c>
      <c r="F84" s="6">
        <f>IFERROR(__xludf.DUMMYFUNCTION("""COMPUTED_VALUE"""),698863.0)</f>
        <v>698863</v>
      </c>
    </row>
    <row r="85">
      <c r="A85" s="7">
        <f>IFERROR(__xludf.DUMMYFUNCTION("""COMPUTED_VALUE"""),45786.64583333333)</f>
        <v>45786.64583</v>
      </c>
      <c r="B85" s="6">
        <f>IFERROR(__xludf.DUMMYFUNCTION("""COMPUTED_VALUE"""),8800.0)</f>
        <v>8800</v>
      </c>
      <c r="C85" s="6">
        <f>IFERROR(__xludf.DUMMYFUNCTION("""COMPUTED_VALUE"""),8801.0)</f>
        <v>8801</v>
      </c>
      <c r="D85" s="6">
        <f>IFERROR(__xludf.DUMMYFUNCTION("""COMPUTED_VALUE"""),7933.5)</f>
        <v>7933.5</v>
      </c>
      <c r="E85" s="6">
        <f>IFERROR(__xludf.DUMMYFUNCTION("""COMPUTED_VALUE"""),7993.5)</f>
        <v>7993.5</v>
      </c>
      <c r="F85" s="6">
        <f>IFERROR(__xludf.DUMMYFUNCTION("""COMPUTED_VALUE"""),796287.0)</f>
        <v>796287</v>
      </c>
    </row>
    <row r="86">
      <c r="A86" s="7">
        <f>IFERROR(__xludf.DUMMYFUNCTION("""COMPUTED_VALUE"""),45793.64583333333)</f>
        <v>45793.64583</v>
      </c>
      <c r="B86" s="6">
        <f>IFERROR(__xludf.DUMMYFUNCTION("""COMPUTED_VALUE"""),8239.5)</f>
        <v>8239.5</v>
      </c>
      <c r="C86" s="6">
        <f>IFERROR(__xludf.DUMMYFUNCTION("""COMPUTED_VALUE"""),8744.5)</f>
        <v>8744.5</v>
      </c>
      <c r="D86" s="6">
        <f>IFERROR(__xludf.DUMMYFUNCTION("""COMPUTED_VALUE"""),8179.0)</f>
        <v>8179</v>
      </c>
      <c r="E86" s="6">
        <f>IFERROR(__xludf.DUMMYFUNCTION("""COMPUTED_VALUE"""),8696.5)</f>
        <v>8696.5</v>
      </c>
      <c r="F86" s="6">
        <f>IFERROR(__xludf.DUMMYFUNCTION("""COMPUTED_VALUE"""),722076.0)</f>
        <v>722076</v>
      </c>
    </row>
    <row r="87">
      <c r="A87" s="7">
        <f>IFERROR(__xludf.DUMMYFUNCTION("""COMPUTED_VALUE"""),45800.64583333333)</f>
        <v>45800.64583</v>
      </c>
      <c r="B87" s="6">
        <f>IFERROR(__xludf.DUMMYFUNCTION("""COMPUTED_VALUE"""),8745.0)</f>
        <v>8745</v>
      </c>
      <c r="C87" s="6">
        <f>IFERROR(__xludf.DUMMYFUNCTION("""COMPUTED_VALUE"""),8745.0)</f>
        <v>8745</v>
      </c>
      <c r="D87" s="6">
        <f>IFERROR(__xludf.DUMMYFUNCTION("""COMPUTED_VALUE"""),8196.5)</f>
        <v>8196.5</v>
      </c>
      <c r="E87" s="6">
        <f>IFERROR(__xludf.DUMMYFUNCTION("""COMPUTED_VALUE"""),8366.5)</f>
        <v>8366.5</v>
      </c>
      <c r="F87" s="6">
        <f>IFERROR(__xludf.DUMMYFUNCTION("""COMPUTED_VALUE"""),525082.0)</f>
        <v>525082</v>
      </c>
    </row>
    <row r="88">
      <c r="A88" s="7">
        <f>IFERROR(__xludf.DUMMYFUNCTION("""COMPUTED_VALUE"""),45807.64583333333)</f>
        <v>45807.64583</v>
      </c>
      <c r="B88" s="6">
        <f>IFERROR(__xludf.DUMMYFUNCTION("""COMPUTED_VALUE"""),8370.0)</f>
        <v>8370</v>
      </c>
      <c r="C88" s="6">
        <f>IFERROR(__xludf.DUMMYFUNCTION("""COMPUTED_VALUE"""),8661.0)</f>
        <v>8661</v>
      </c>
      <c r="D88" s="6">
        <f>IFERROR(__xludf.DUMMYFUNCTION("""COMPUTED_VALUE"""),8365.0)</f>
        <v>8365</v>
      </c>
      <c r="E88" s="6">
        <f>IFERROR(__xludf.DUMMYFUNCTION("""COMPUTED_VALUE"""),8462.5)</f>
        <v>8462.5</v>
      </c>
      <c r="F88" s="6">
        <f>IFERROR(__xludf.DUMMYFUNCTION("""COMPUTED_VALUE"""),572420.0)</f>
        <v>572420</v>
      </c>
    </row>
    <row r="89">
      <c r="A89" s="7">
        <f>IFERROR(__xludf.DUMMYFUNCTION("""COMPUTED_VALUE"""),45814.64583333333)</f>
        <v>45814.64583</v>
      </c>
      <c r="B89" s="6">
        <f>IFERROR(__xludf.DUMMYFUNCTION("""COMPUTED_VALUE"""),8449.0)</f>
        <v>8449</v>
      </c>
      <c r="C89" s="6">
        <f>IFERROR(__xludf.DUMMYFUNCTION("""COMPUTED_VALUE"""),8885.0)</f>
        <v>8885</v>
      </c>
      <c r="D89" s="6">
        <f>IFERROR(__xludf.DUMMYFUNCTION("""COMPUTED_VALUE"""),8267.0)</f>
        <v>8267</v>
      </c>
      <c r="E89" s="6">
        <f>IFERROR(__xludf.DUMMYFUNCTION("""COMPUTED_VALUE"""),8786.0)</f>
        <v>8786</v>
      </c>
      <c r="F89" s="6">
        <f>IFERROR(__xludf.DUMMYFUNCTION("""COMPUTED_VALUE"""),828572.0)</f>
        <v>828572</v>
      </c>
    </row>
    <row r="90">
      <c r="A90" s="7">
        <f>IFERROR(__xludf.DUMMYFUNCTION("""COMPUTED_VALUE"""),45821.64583333333)</f>
        <v>45821.64583</v>
      </c>
      <c r="B90" s="6">
        <f>IFERROR(__xludf.DUMMYFUNCTION("""COMPUTED_VALUE"""),8849.5)</f>
        <v>8849.5</v>
      </c>
      <c r="C90" s="6">
        <f>IFERROR(__xludf.DUMMYFUNCTION("""COMPUTED_VALUE"""),9685.0)</f>
        <v>9685</v>
      </c>
      <c r="D90" s="6">
        <f>IFERROR(__xludf.DUMMYFUNCTION("""COMPUTED_VALUE"""),8829.5)</f>
        <v>8829.5</v>
      </c>
      <c r="E90" s="6">
        <f>IFERROR(__xludf.DUMMYFUNCTION("""COMPUTED_VALUE"""),9478.5)</f>
        <v>9478.5</v>
      </c>
      <c r="F90" s="6">
        <f>IFERROR(__xludf.DUMMYFUNCTION("""COMPUTED_VALUE"""),1500088.0)</f>
        <v>1500088</v>
      </c>
    </row>
    <row r="91">
      <c r="A91" s="7">
        <f>IFERROR(__xludf.DUMMYFUNCTION("""COMPUTED_VALUE"""),45828.64583333333)</f>
        <v>45828.64583</v>
      </c>
      <c r="B91" s="6">
        <f>IFERROR(__xludf.DUMMYFUNCTION("""COMPUTED_VALUE"""),9504.5)</f>
        <v>9504.5</v>
      </c>
      <c r="C91" s="6">
        <f>IFERROR(__xludf.DUMMYFUNCTION("""COMPUTED_VALUE"""),9775.0)</f>
        <v>9775</v>
      </c>
      <c r="D91" s="6">
        <f>IFERROR(__xludf.DUMMYFUNCTION("""COMPUTED_VALUE"""),9298.0)</f>
        <v>9298</v>
      </c>
      <c r="E91" s="6">
        <f>IFERROR(__xludf.DUMMYFUNCTION("""COMPUTED_VALUE"""),9395.5)</f>
        <v>9395.5</v>
      </c>
      <c r="F91" s="6">
        <f>IFERROR(__xludf.DUMMYFUNCTION("""COMPUTED_VALUE"""),825670.0)</f>
        <v>825670</v>
      </c>
    </row>
    <row r="92">
      <c r="A92" s="7">
        <f>IFERROR(__xludf.DUMMYFUNCTION("""COMPUTED_VALUE"""),45835.64583333333)</f>
        <v>45835.64583</v>
      </c>
      <c r="B92" s="6">
        <f>IFERROR(__xludf.DUMMYFUNCTION("""COMPUTED_VALUE"""),9349.5)</f>
        <v>9349.5</v>
      </c>
      <c r="C92" s="6">
        <f>IFERROR(__xludf.DUMMYFUNCTION("""COMPUTED_VALUE"""),9349.5)</f>
        <v>9349.5</v>
      </c>
      <c r="D92" s="6">
        <f>IFERROR(__xludf.DUMMYFUNCTION("""COMPUTED_VALUE"""),8941.0)</f>
        <v>8941</v>
      </c>
      <c r="E92" s="6">
        <f>IFERROR(__xludf.DUMMYFUNCTION("""COMPUTED_VALUE"""),8991.0)</f>
        <v>8991</v>
      </c>
      <c r="F92" s="6">
        <f>IFERROR(__xludf.DUMMYFUNCTION("""COMPUTED_VALUE"""),1136934.0)</f>
        <v>1136934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IFERROR(__xludf.DUMMYFUNCTION("""COMPUTED_VALUE"""),9089.5)</f>
        <v>9089.5</v>
      </c>
      <c r="C93" s="6">
        <f>IFERROR(__xludf.DUMMYFUNCTION("""COMPUTED_VALUE"""),9148.0)</f>
        <v>9148</v>
      </c>
      <c r="D93" s="6">
        <f>IFERROR(__xludf.DUMMYFUNCTION("""COMPUTED_VALUE"""),8850.0)</f>
        <v>8850</v>
      </c>
      <c r="E93" s="6">
        <f>IFERROR(__xludf.DUMMYFUNCTION("""COMPUTED_VALUE"""),9109.0)</f>
        <v>9109</v>
      </c>
      <c r="F93" s="6">
        <f>IFERROR(__xludf.DUMMYFUNCTION("""COMPUTED_VALUE"""),644971.0)</f>
        <v>644971</v>
      </c>
    </row>
    <row r="94">
      <c r="A94" s="7">
        <f>IFERROR(__xludf.DUMMYFUNCTION("""COMPUTED_VALUE"""),45849.64583333333)</f>
        <v>45849.64583</v>
      </c>
      <c r="B94" s="6">
        <f>IFERROR(__xludf.DUMMYFUNCTION("""COMPUTED_VALUE"""),9099.5)</f>
        <v>9099.5</v>
      </c>
      <c r="C94" s="6">
        <f>IFERROR(__xludf.DUMMYFUNCTION("""COMPUTED_VALUE"""),9099.5)</f>
        <v>9099.5</v>
      </c>
      <c r="D94" s="6">
        <f>IFERROR(__xludf.DUMMYFUNCTION("""COMPUTED_VALUE"""),8531.5)</f>
        <v>8531.5</v>
      </c>
      <c r="E94" s="6">
        <f>IFERROR(__xludf.DUMMYFUNCTION("""COMPUTED_VALUE"""),8636.0)</f>
        <v>8636</v>
      </c>
      <c r="F94" s="6">
        <f>IFERROR(__xludf.DUMMYFUNCTION("""COMPUTED_VALUE"""),535021.0)</f>
        <v>535021</v>
      </c>
    </row>
    <row r="95">
      <c r="A95" s="7">
        <f>IFERROR(__xludf.DUMMYFUNCTION("""COMPUTED_VALUE"""),45856.64583333333)</f>
        <v>45856.64583</v>
      </c>
      <c r="B95" s="6">
        <f>IFERROR(__xludf.DUMMYFUNCTION("""COMPUTED_VALUE"""),8640.0)</f>
        <v>8640</v>
      </c>
      <c r="C95" s="6">
        <f>IFERROR(__xludf.DUMMYFUNCTION("""COMPUTED_VALUE"""),8893.0)</f>
        <v>8893</v>
      </c>
      <c r="D95" s="6">
        <f>IFERROR(__xludf.DUMMYFUNCTION("""COMPUTED_VALUE"""),8505.5)</f>
        <v>8505.5</v>
      </c>
      <c r="E95" s="6">
        <f>IFERROR(__xludf.DUMMYFUNCTION("""COMPUTED_VALUE"""),8790.5)</f>
        <v>8790.5</v>
      </c>
      <c r="F95" s="6">
        <f>IFERROR(__xludf.DUMMYFUNCTION("""COMPUTED_VALUE"""),427005.0)</f>
        <v>427005</v>
      </c>
    </row>
    <row r="96">
      <c r="A96" s="7">
        <f>IFERROR(__xludf.DUMMYFUNCTION("""COMPUTED_VALUE"""),45863.64583333333)</f>
        <v>45863.64583</v>
      </c>
      <c r="B96" s="6">
        <f>IFERROR(__xludf.DUMMYFUNCTION("""COMPUTED_VALUE"""),8790.0)</f>
        <v>8790</v>
      </c>
      <c r="C96" s="6">
        <f>IFERROR(__xludf.DUMMYFUNCTION("""COMPUTED_VALUE"""),9034.5)</f>
        <v>9034.5</v>
      </c>
      <c r="D96" s="6">
        <f>IFERROR(__xludf.DUMMYFUNCTION("""COMPUTED_VALUE"""),8575.0)</f>
        <v>8575</v>
      </c>
      <c r="E96" s="6">
        <f>IFERROR(__xludf.DUMMYFUNCTION("""COMPUTED_VALUE"""),8609.0)</f>
        <v>8609</v>
      </c>
      <c r="F96" s="6">
        <f>IFERROR(__xludf.DUMMYFUNCTION("""COMPUTED_VALUE"""),860764.0)</f>
        <v>860764</v>
      </c>
    </row>
    <row r="97">
      <c r="A97" s="7">
        <f>IFERROR(__xludf.DUMMYFUNCTION("""COMPUTED_VALUE"""),45870.64583333333)</f>
        <v>45870.64583</v>
      </c>
      <c r="B97" s="6">
        <f>IFERROR(__xludf.DUMMYFUNCTION("""COMPUTED_VALUE"""),8645.0)</f>
        <v>8645</v>
      </c>
      <c r="C97" s="6">
        <f>IFERROR(__xludf.DUMMYFUNCTION("""COMPUTED_VALUE"""),8769.5)</f>
        <v>8769.5</v>
      </c>
      <c r="D97" s="6">
        <f>IFERROR(__xludf.DUMMYFUNCTION("""COMPUTED_VALUE"""),8340.0)</f>
        <v>8340</v>
      </c>
      <c r="E97" s="6">
        <f>IFERROR(__xludf.DUMMYFUNCTION("""COMPUTED_VALUE"""),8378.5)</f>
        <v>8378.5</v>
      </c>
      <c r="F97" s="6">
        <f>IFERROR(__xludf.DUMMYFUNCTION("""COMPUTED_VALUE"""),562467.0)</f>
        <v>562467</v>
      </c>
    </row>
    <row r="98">
      <c r="A98" s="7">
        <f>IFERROR(__xludf.DUMMYFUNCTION("""COMPUTED_VALUE"""),45877.64583333333)</f>
        <v>45877.64583</v>
      </c>
      <c r="B98" s="6">
        <f>IFERROR(__xludf.DUMMYFUNCTION("""COMPUTED_VALUE"""),8355.5)</f>
        <v>8355.5</v>
      </c>
      <c r="C98" s="6">
        <f>IFERROR(__xludf.DUMMYFUNCTION("""COMPUTED_VALUE"""),8627.5)</f>
        <v>8627.5</v>
      </c>
      <c r="D98" s="6">
        <f>IFERROR(__xludf.DUMMYFUNCTION("""COMPUTED_VALUE"""),8319.5)</f>
        <v>8319.5</v>
      </c>
      <c r="E98" s="6">
        <f>IFERROR(__xludf.DUMMYFUNCTION("""COMPUTED_VALUE"""),8424.0)</f>
        <v>8424</v>
      </c>
      <c r="F98" s="6">
        <f>IFERROR(__xludf.DUMMYFUNCTION("""COMPUTED_VALUE"""),322637.0)</f>
        <v>322637</v>
      </c>
    </row>
    <row r="99">
      <c r="A99" s="7">
        <f>IFERROR(__xludf.DUMMYFUNCTION("""COMPUTED_VALUE"""),45883.64583333333)</f>
        <v>45883.64583</v>
      </c>
      <c r="B99" s="6">
        <f>IFERROR(__xludf.DUMMYFUNCTION("""COMPUTED_VALUE"""),8409.0)</f>
        <v>8409</v>
      </c>
      <c r="C99" s="6">
        <f>IFERROR(__xludf.DUMMYFUNCTION("""COMPUTED_VALUE"""),8718.5)</f>
        <v>8718.5</v>
      </c>
      <c r="D99" s="6">
        <f>IFERROR(__xludf.DUMMYFUNCTION("""COMPUTED_VALUE"""),8363.0)</f>
        <v>8363</v>
      </c>
      <c r="E99" s="6">
        <f>IFERROR(__xludf.DUMMYFUNCTION("""COMPUTED_VALUE"""),8586.5)</f>
        <v>8586.5</v>
      </c>
      <c r="F99" s="6">
        <f>IFERROR(__xludf.DUMMYFUNCTION("""COMPUTED_VALUE"""),285046.0)</f>
        <v>285046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IFERROR(__xludf.DUMMYFUNCTION("""COMPUTED_VALUE"""),8660.0)</f>
        <v>8660</v>
      </c>
      <c r="C100" s="6">
        <f>IFERROR(__xludf.DUMMYFUNCTION("""COMPUTED_VALUE"""),8860.0)</f>
        <v>8860</v>
      </c>
      <c r="D100" s="6">
        <f>IFERROR(__xludf.DUMMYFUNCTION("""COMPUTED_VALUE"""),8491.0)</f>
        <v>8491</v>
      </c>
      <c r="E100" s="6">
        <f>IFERROR(__xludf.DUMMYFUNCTION("""COMPUTED_VALUE"""),8624.0)</f>
        <v>8624</v>
      </c>
      <c r="F100" s="6">
        <f>IFERROR(__xludf.DUMMYFUNCTION("""COMPUTED_VALUE"""),374296.0)</f>
        <v>374296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IFERROR(__xludf.DUMMYFUNCTION("""COMPUTED_VALUE"""),8670.5)</f>
        <v>8670.5</v>
      </c>
      <c r="C101" s="6">
        <f>IFERROR(__xludf.DUMMYFUNCTION("""COMPUTED_VALUE"""),8932.0)</f>
        <v>8932</v>
      </c>
      <c r="D101" s="6">
        <f>IFERROR(__xludf.DUMMYFUNCTION("""COMPUTED_VALUE"""),8505.0)</f>
        <v>8505</v>
      </c>
      <c r="E101" s="6">
        <f>IFERROR(__xludf.DUMMYFUNCTION("""COMPUTED_VALUE"""),8530.5)</f>
        <v>8530.5</v>
      </c>
      <c r="F101" s="6">
        <f>IFERROR(__xludf.DUMMYFUNCTION("""COMPUTED_VALUE"""),2768583.0)</f>
        <v>2768583</v>
      </c>
    </row>
  </sheetData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IFERROR(__xludf.DUMMYFUNCTION("GOOGLEFINANCE(""NSE:OIL"",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IFERROR(__xludf.DUMMYFUNCTION("""COMPUTED_VALUE"""),186.67)</f>
        <v>186.67</v>
      </c>
      <c r="C2" s="6">
        <f>IFERROR(__xludf.DUMMYFUNCTION("""COMPUTED_VALUE"""),189.7)</f>
        <v>189.7</v>
      </c>
      <c r="D2" s="6">
        <f>IFERROR(__xludf.DUMMYFUNCTION("""COMPUTED_VALUE"""),181.47)</f>
        <v>181.47</v>
      </c>
      <c r="E2" s="6">
        <f>IFERROR(__xludf.DUMMYFUNCTION("""COMPUTED_VALUE"""),182.03)</f>
        <v>182.03</v>
      </c>
      <c r="F2" s="6">
        <f>IFERROR(__xludf.DUMMYFUNCTION("""COMPUTED_VALUE"""),5897285.0)</f>
        <v>5897285</v>
      </c>
    </row>
    <row r="3">
      <c r="A3" s="7">
        <f>IFERROR(__xludf.DUMMYFUNCTION("""COMPUTED_VALUE"""),45177.64583333333)</f>
        <v>45177.64583</v>
      </c>
      <c r="B3" s="6">
        <f>IFERROR(__xludf.DUMMYFUNCTION("""COMPUTED_VALUE"""),183.87)</f>
        <v>183.87</v>
      </c>
      <c r="C3" s="6">
        <f>IFERROR(__xludf.DUMMYFUNCTION("""COMPUTED_VALUE"""),192.27)</f>
        <v>192.27</v>
      </c>
      <c r="D3" s="6">
        <f>IFERROR(__xludf.DUMMYFUNCTION("""COMPUTED_VALUE"""),183.4)</f>
        <v>183.4</v>
      </c>
      <c r="E3" s="6">
        <f>IFERROR(__xludf.DUMMYFUNCTION("""COMPUTED_VALUE"""),187.57)</f>
        <v>187.57</v>
      </c>
      <c r="F3" s="6">
        <f>IFERROR(__xludf.DUMMYFUNCTION("""COMPUTED_VALUE"""),7710672.0)</f>
        <v>7710672</v>
      </c>
    </row>
    <row r="4">
      <c r="A4" s="7">
        <f>IFERROR(__xludf.DUMMYFUNCTION("""COMPUTED_VALUE"""),45184.64583333333)</f>
        <v>45184.64583</v>
      </c>
      <c r="B4" s="6">
        <f>IFERROR(__xludf.DUMMYFUNCTION("""COMPUTED_VALUE"""),189.33)</f>
        <v>189.33</v>
      </c>
      <c r="C4" s="6">
        <f>IFERROR(__xludf.DUMMYFUNCTION("""COMPUTED_VALUE"""),196.43)</f>
        <v>196.43</v>
      </c>
      <c r="D4" s="6">
        <f>IFERROR(__xludf.DUMMYFUNCTION("""COMPUTED_VALUE"""),180.33)</f>
        <v>180.33</v>
      </c>
      <c r="E4" s="6">
        <f>IFERROR(__xludf.DUMMYFUNCTION("""COMPUTED_VALUE"""),189.6)</f>
        <v>189.6</v>
      </c>
      <c r="F4" s="6">
        <f>IFERROR(__xludf.DUMMYFUNCTION("""COMPUTED_VALUE"""),1.5178053E7)</f>
        <v>15178053</v>
      </c>
    </row>
    <row r="5">
      <c r="A5" s="7">
        <f>IFERROR(__xludf.DUMMYFUNCTION("""COMPUTED_VALUE"""),45191.64583333333)</f>
        <v>45191.64583</v>
      </c>
      <c r="B5" s="6">
        <f>IFERROR(__xludf.DUMMYFUNCTION("""COMPUTED_VALUE"""),190.33)</f>
        <v>190.33</v>
      </c>
      <c r="C5" s="6">
        <f>IFERROR(__xludf.DUMMYFUNCTION("""COMPUTED_VALUE"""),193.63)</f>
        <v>193.63</v>
      </c>
      <c r="D5" s="6">
        <f>IFERROR(__xludf.DUMMYFUNCTION("""COMPUTED_VALUE"""),182.27)</f>
        <v>182.27</v>
      </c>
      <c r="E5" s="6">
        <f>IFERROR(__xludf.DUMMYFUNCTION("""COMPUTED_VALUE"""),185.17)</f>
        <v>185.17</v>
      </c>
      <c r="F5" s="6">
        <f>IFERROR(__xludf.DUMMYFUNCTION("""COMPUTED_VALUE"""),5327045.0)</f>
        <v>5327045</v>
      </c>
    </row>
    <row r="6">
      <c r="A6" s="7">
        <f>IFERROR(__xludf.DUMMYFUNCTION("""COMPUTED_VALUE"""),45198.64583333333)</f>
        <v>45198.64583</v>
      </c>
      <c r="B6" s="6">
        <f>IFERROR(__xludf.DUMMYFUNCTION("""COMPUTED_VALUE"""),186.67)</f>
        <v>186.67</v>
      </c>
      <c r="C6" s="6">
        <f>IFERROR(__xludf.DUMMYFUNCTION("""COMPUTED_VALUE"""),203.63)</f>
        <v>203.63</v>
      </c>
      <c r="D6" s="6">
        <f>IFERROR(__xludf.DUMMYFUNCTION("""COMPUTED_VALUE"""),184.0)</f>
        <v>184</v>
      </c>
      <c r="E6" s="6">
        <f>IFERROR(__xludf.DUMMYFUNCTION("""COMPUTED_VALUE"""),199.23)</f>
        <v>199.23</v>
      </c>
      <c r="F6" s="6">
        <f>IFERROR(__xludf.DUMMYFUNCTION("""COMPUTED_VALUE"""),1.585653E7)</f>
        <v>15856530</v>
      </c>
    </row>
    <row r="7">
      <c r="A7" s="7">
        <f>IFERROR(__xludf.DUMMYFUNCTION("""COMPUTED_VALUE"""),45205.64583333333)</f>
        <v>45205.64583</v>
      </c>
      <c r="B7" s="6">
        <f>IFERROR(__xludf.DUMMYFUNCTION("""COMPUTED_VALUE"""),196.67)</f>
        <v>196.67</v>
      </c>
      <c r="C7" s="6">
        <f>IFERROR(__xludf.DUMMYFUNCTION("""COMPUTED_VALUE"""),198.07)</f>
        <v>198.07</v>
      </c>
      <c r="D7" s="6">
        <f>IFERROR(__xludf.DUMMYFUNCTION("""COMPUTED_VALUE"""),192.93)</f>
        <v>192.93</v>
      </c>
      <c r="E7" s="6">
        <f>IFERROR(__xludf.DUMMYFUNCTION("""COMPUTED_VALUE"""),197.17)</f>
        <v>197.17</v>
      </c>
      <c r="F7" s="6">
        <f>IFERROR(__xludf.DUMMYFUNCTION("""COMPUTED_VALUE"""),6141680.0)</f>
        <v>6141680</v>
      </c>
    </row>
    <row r="8">
      <c r="A8" s="7">
        <f>IFERROR(__xludf.DUMMYFUNCTION("""COMPUTED_VALUE"""),45212.64583333333)</f>
        <v>45212.64583</v>
      </c>
      <c r="B8" s="6">
        <f>IFERROR(__xludf.DUMMYFUNCTION("""COMPUTED_VALUE"""),199.2)</f>
        <v>199.2</v>
      </c>
      <c r="C8" s="6">
        <f>IFERROR(__xludf.DUMMYFUNCTION("""COMPUTED_VALUE"""),215.13)</f>
        <v>215.13</v>
      </c>
      <c r="D8" s="6">
        <f>IFERROR(__xludf.DUMMYFUNCTION("""COMPUTED_VALUE"""),198.4)</f>
        <v>198.4</v>
      </c>
      <c r="E8" s="6">
        <f>IFERROR(__xludf.DUMMYFUNCTION("""COMPUTED_VALUE"""),210.13)</f>
        <v>210.13</v>
      </c>
      <c r="F8" s="6">
        <f>IFERROR(__xludf.DUMMYFUNCTION("""COMPUTED_VALUE"""),3.0973402E7)</f>
        <v>30973402</v>
      </c>
    </row>
    <row r="9">
      <c r="A9" s="7">
        <f>IFERROR(__xludf.DUMMYFUNCTION("""COMPUTED_VALUE"""),45219.64583333333)</f>
        <v>45219.64583</v>
      </c>
      <c r="B9" s="6">
        <f>IFERROR(__xludf.DUMMYFUNCTION("""COMPUTED_VALUE"""),213.2)</f>
        <v>213.2</v>
      </c>
      <c r="C9" s="6">
        <f>IFERROR(__xludf.DUMMYFUNCTION("""COMPUTED_VALUE"""),226.27)</f>
        <v>226.27</v>
      </c>
      <c r="D9" s="6">
        <f>IFERROR(__xludf.DUMMYFUNCTION("""COMPUTED_VALUE"""),212.23)</f>
        <v>212.23</v>
      </c>
      <c r="E9" s="6">
        <f>IFERROR(__xludf.DUMMYFUNCTION("""COMPUTED_VALUE"""),215.03)</f>
        <v>215.03</v>
      </c>
      <c r="F9" s="6">
        <f>IFERROR(__xludf.DUMMYFUNCTION("""COMPUTED_VALUE"""),1.777866E7)</f>
        <v>17778660</v>
      </c>
    </row>
    <row r="10">
      <c r="A10" s="7">
        <f>IFERROR(__xludf.DUMMYFUNCTION("""COMPUTED_VALUE"""),45226.64583333333)</f>
        <v>45226.64583</v>
      </c>
      <c r="B10" s="6">
        <f>IFERROR(__xludf.DUMMYFUNCTION("""COMPUTED_VALUE"""),215.03)</f>
        <v>215.03</v>
      </c>
      <c r="C10" s="6">
        <f>IFERROR(__xludf.DUMMYFUNCTION("""COMPUTED_VALUE"""),215.33)</f>
        <v>215.33</v>
      </c>
      <c r="D10" s="6">
        <f>IFERROR(__xludf.DUMMYFUNCTION("""COMPUTED_VALUE"""),196.37)</f>
        <v>196.37</v>
      </c>
      <c r="E10" s="6">
        <f>IFERROR(__xludf.DUMMYFUNCTION("""COMPUTED_VALUE"""),201.27)</f>
        <v>201.27</v>
      </c>
      <c r="F10" s="6">
        <f>IFERROR(__xludf.DUMMYFUNCTION("""COMPUTED_VALUE"""),5784665.0)</f>
        <v>5784665</v>
      </c>
    </row>
    <row r="11">
      <c r="A11" s="7">
        <f>IFERROR(__xludf.DUMMYFUNCTION("""COMPUTED_VALUE"""),45233.64583333333)</f>
        <v>45233.64583</v>
      </c>
      <c r="B11" s="6">
        <f>IFERROR(__xludf.DUMMYFUNCTION("""COMPUTED_VALUE"""),203.33)</f>
        <v>203.33</v>
      </c>
      <c r="C11" s="6">
        <f>IFERROR(__xludf.DUMMYFUNCTION("""COMPUTED_VALUE"""),205.67)</f>
        <v>205.67</v>
      </c>
      <c r="D11" s="6">
        <f>IFERROR(__xludf.DUMMYFUNCTION("""COMPUTED_VALUE"""),197.77)</f>
        <v>197.77</v>
      </c>
      <c r="E11" s="6">
        <f>IFERROR(__xludf.DUMMYFUNCTION("""COMPUTED_VALUE"""),202.27)</f>
        <v>202.27</v>
      </c>
      <c r="F11" s="6">
        <f>IFERROR(__xludf.DUMMYFUNCTION("""COMPUTED_VALUE"""),5676319.0)</f>
        <v>5676319</v>
      </c>
    </row>
    <row r="12">
      <c r="A12" s="7">
        <f>IFERROR(__xludf.DUMMYFUNCTION("""COMPUTED_VALUE"""),45240.64583333333)</f>
        <v>45240.64583</v>
      </c>
      <c r="B12" s="6">
        <f>IFERROR(__xludf.DUMMYFUNCTION("""COMPUTED_VALUE"""),203.33)</f>
        <v>203.33</v>
      </c>
      <c r="C12" s="6">
        <f>IFERROR(__xludf.DUMMYFUNCTION("""COMPUTED_VALUE"""),211.73)</f>
        <v>211.73</v>
      </c>
      <c r="D12" s="6">
        <f>IFERROR(__xludf.DUMMYFUNCTION("""COMPUTED_VALUE"""),198.2)</f>
        <v>198.2</v>
      </c>
      <c r="E12" s="6">
        <f>IFERROR(__xludf.DUMMYFUNCTION("""COMPUTED_VALUE"""),203.83)</f>
        <v>203.83</v>
      </c>
      <c r="F12" s="6">
        <f>IFERROR(__xludf.DUMMYFUNCTION("""COMPUTED_VALUE"""),1.269116E7)</f>
        <v>12691160</v>
      </c>
    </row>
    <row r="13">
      <c r="A13" s="7">
        <f>IFERROR(__xludf.DUMMYFUNCTION("""COMPUTED_VALUE"""),45247.64583333333)</f>
        <v>45247.64583</v>
      </c>
      <c r="B13" s="6">
        <f>IFERROR(__xludf.DUMMYFUNCTION("""COMPUTED_VALUE"""),205.3)</f>
        <v>205.3</v>
      </c>
      <c r="C13" s="6">
        <f>IFERROR(__xludf.DUMMYFUNCTION("""COMPUTED_VALUE"""),216.77)</f>
        <v>216.77</v>
      </c>
      <c r="D13" s="6">
        <f>IFERROR(__xludf.DUMMYFUNCTION("""COMPUTED_VALUE"""),204.2)</f>
        <v>204.2</v>
      </c>
      <c r="E13" s="6">
        <f>IFERROR(__xludf.DUMMYFUNCTION("""COMPUTED_VALUE"""),210.17)</f>
        <v>210.17</v>
      </c>
      <c r="F13" s="6">
        <f>IFERROR(__xludf.DUMMYFUNCTION("""COMPUTED_VALUE"""),6725593.0)</f>
        <v>6725593</v>
      </c>
    </row>
    <row r="14">
      <c r="A14" s="7">
        <f>IFERROR(__xludf.DUMMYFUNCTION("""COMPUTED_VALUE"""),45254.64583333333)</f>
        <v>45254.64583</v>
      </c>
      <c r="B14" s="6">
        <f>IFERROR(__xludf.DUMMYFUNCTION("""COMPUTED_VALUE"""),211.93)</f>
        <v>211.93</v>
      </c>
      <c r="C14" s="6">
        <f>IFERROR(__xludf.DUMMYFUNCTION("""COMPUTED_VALUE"""),218.87)</f>
        <v>218.87</v>
      </c>
      <c r="D14" s="6">
        <f>IFERROR(__xludf.DUMMYFUNCTION("""COMPUTED_VALUE"""),196.83)</f>
        <v>196.83</v>
      </c>
      <c r="E14" s="6">
        <f>IFERROR(__xludf.DUMMYFUNCTION("""COMPUTED_VALUE"""),199.27)</f>
        <v>199.27</v>
      </c>
      <c r="F14" s="6">
        <f>IFERROR(__xludf.DUMMYFUNCTION("""COMPUTED_VALUE"""),6720639.0)</f>
        <v>6720639</v>
      </c>
    </row>
    <row r="15">
      <c r="A15" s="7">
        <f>IFERROR(__xludf.DUMMYFUNCTION("""COMPUTED_VALUE"""),45261.64583333333)</f>
        <v>45261.64583</v>
      </c>
      <c r="B15" s="6">
        <f>IFERROR(__xludf.DUMMYFUNCTION("""COMPUTED_VALUE"""),200.6)</f>
        <v>200.6</v>
      </c>
      <c r="C15" s="6">
        <f>IFERROR(__xludf.DUMMYFUNCTION("""COMPUTED_VALUE"""),209.67)</f>
        <v>209.67</v>
      </c>
      <c r="D15" s="6">
        <f>IFERROR(__xludf.DUMMYFUNCTION("""COMPUTED_VALUE"""),195.47)</f>
        <v>195.47</v>
      </c>
      <c r="E15" s="6">
        <f>IFERROR(__xludf.DUMMYFUNCTION("""COMPUTED_VALUE"""),206.6)</f>
        <v>206.6</v>
      </c>
      <c r="F15" s="6">
        <f>IFERROR(__xludf.DUMMYFUNCTION("""COMPUTED_VALUE"""),1.5968021E7)</f>
        <v>15968021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IFERROR(__xludf.DUMMYFUNCTION("""COMPUTED_VALUE"""),210.33)</f>
        <v>210.33</v>
      </c>
      <c r="C16" s="6">
        <f>IFERROR(__xludf.DUMMYFUNCTION("""COMPUTED_VALUE"""),223.67)</f>
        <v>223.67</v>
      </c>
      <c r="D16" s="6">
        <f>IFERROR(__xludf.DUMMYFUNCTION("""COMPUTED_VALUE"""),205.73)</f>
        <v>205.73</v>
      </c>
      <c r="E16" s="6">
        <f>IFERROR(__xludf.DUMMYFUNCTION("""COMPUTED_VALUE"""),213.27)</f>
        <v>213.27</v>
      </c>
      <c r="F16" s="6">
        <f>IFERROR(__xludf.DUMMYFUNCTION("""COMPUTED_VALUE"""),2.7131084E7)</f>
        <v>27131084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IFERROR(__xludf.DUMMYFUNCTION("""COMPUTED_VALUE"""),214.67)</f>
        <v>214.67</v>
      </c>
      <c r="C17" s="6">
        <f>IFERROR(__xludf.DUMMYFUNCTION("""COMPUTED_VALUE"""),220.33)</f>
        <v>220.33</v>
      </c>
      <c r="D17" s="6">
        <f>IFERROR(__xludf.DUMMYFUNCTION("""COMPUTED_VALUE"""),205.8)</f>
        <v>205.8</v>
      </c>
      <c r="E17" s="6">
        <f>IFERROR(__xludf.DUMMYFUNCTION("""COMPUTED_VALUE"""),215.57)</f>
        <v>215.57</v>
      </c>
      <c r="F17" s="6">
        <f>IFERROR(__xludf.DUMMYFUNCTION("""COMPUTED_VALUE"""),1.3574791E7)</f>
        <v>13574791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IFERROR(__xludf.DUMMYFUNCTION("""COMPUTED_VALUE"""),215.3)</f>
        <v>215.3</v>
      </c>
      <c r="C18" s="6">
        <f>IFERROR(__xludf.DUMMYFUNCTION("""COMPUTED_VALUE"""),270.93)</f>
        <v>270.93</v>
      </c>
      <c r="D18" s="6">
        <f>IFERROR(__xludf.DUMMYFUNCTION("""COMPUTED_VALUE"""),213.13)</f>
        <v>213.13</v>
      </c>
      <c r="E18" s="6">
        <f>IFERROR(__xludf.DUMMYFUNCTION("""COMPUTED_VALUE"""),248.83)</f>
        <v>248.83</v>
      </c>
      <c r="F18" s="6">
        <f>IFERROR(__xludf.DUMMYFUNCTION("""COMPUTED_VALUE"""),8.3675212E7)</f>
        <v>83675212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IFERROR(__xludf.DUMMYFUNCTION("""COMPUTED_VALUE"""),251.27)</f>
        <v>251.27</v>
      </c>
      <c r="C19" s="6">
        <f>IFERROR(__xludf.DUMMYFUNCTION("""COMPUTED_VALUE"""),262.6)</f>
        <v>262.6</v>
      </c>
      <c r="D19" s="6">
        <f>IFERROR(__xludf.DUMMYFUNCTION("""COMPUTED_VALUE"""),246.43)</f>
        <v>246.43</v>
      </c>
      <c r="E19" s="6">
        <f>IFERROR(__xludf.DUMMYFUNCTION("""COMPUTED_VALUE"""),248.1)</f>
        <v>248.1</v>
      </c>
      <c r="F19" s="6">
        <f>IFERROR(__xludf.DUMMYFUNCTION("""COMPUTED_VALUE"""),2.3307078E7)</f>
        <v>23307078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IFERROR(__xludf.DUMMYFUNCTION("""COMPUTED_VALUE"""),249.0)</f>
        <v>249</v>
      </c>
      <c r="C20" s="6">
        <f>IFERROR(__xludf.DUMMYFUNCTION("""COMPUTED_VALUE"""),261.23)</f>
        <v>261.23</v>
      </c>
      <c r="D20" s="6">
        <f>IFERROR(__xludf.DUMMYFUNCTION("""COMPUTED_VALUE"""),247.57)</f>
        <v>247.57</v>
      </c>
      <c r="E20" s="6">
        <f>IFERROR(__xludf.DUMMYFUNCTION("""COMPUTED_VALUE"""),253.6)</f>
        <v>253.6</v>
      </c>
      <c r="F20" s="6">
        <f>IFERROR(__xludf.DUMMYFUNCTION("""COMPUTED_VALUE"""),1.406908E7)</f>
        <v>14069080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IFERROR(__xludf.DUMMYFUNCTION("""COMPUTED_VALUE"""),253.3)</f>
        <v>253.3</v>
      </c>
      <c r="C21" s="6">
        <f>IFERROR(__xludf.DUMMYFUNCTION("""COMPUTED_VALUE"""),254.63)</f>
        <v>254.63</v>
      </c>
      <c r="D21" s="6">
        <f>IFERROR(__xludf.DUMMYFUNCTION("""COMPUTED_VALUE"""),241.6)</f>
        <v>241.6</v>
      </c>
      <c r="E21" s="6">
        <f>IFERROR(__xludf.DUMMYFUNCTION("""COMPUTED_VALUE"""),250.0)</f>
        <v>250</v>
      </c>
      <c r="F21" s="6">
        <f>IFERROR(__xludf.DUMMYFUNCTION("""COMPUTED_VALUE"""),1.6505187E7)</f>
        <v>16505187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IFERROR(__xludf.DUMMYFUNCTION("""COMPUTED_VALUE"""),281.37)</f>
        <v>281.37</v>
      </c>
      <c r="C22" s="6">
        <f>IFERROR(__xludf.DUMMYFUNCTION("""COMPUTED_VALUE"""),281.47)</f>
        <v>281.47</v>
      </c>
      <c r="D22" s="6">
        <f>IFERROR(__xludf.DUMMYFUNCTION("""COMPUTED_VALUE"""),261.33)</f>
        <v>261.33</v>
      </c>
      <c r="E22" s="6">
        <f>IFERROR(__xludf.DUMMYFUNCTION("""COMPUTED_VALUE"""),268.73)</f>
        <v>268.73</v>
      </c>
      <c r="F22" s="6">
        <f>IFERROR(__xludf.DUMMYFUNCTION("""COMPUTED_VALUE"""),7482410.0)</f>
        <v>7482410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IFERROR(__xludf.DUMMYFUNCTION("""COMPUTED_VALUE"""),272.0)</f>
        <v>272</v>
      </c>
      <c r="C23" s="6">
        <f>IFERROR(__xludf.DUMMYFUNCTION("""COMPUTED_VALUE"""),299.87)</f>
        <v>299.87</v>
      </c>
      <c r="D23" s="6">
        <f>IFERROR(__xludf.DUMMYFUNCTION("""COMPUTED_VALUE"""),269.53)</f>
        <v>269.53</v>
      </c>
      <c r="E23" s="6">
        <f>IFERROR(__xludf.DUMMYFUNCTION("""COMPUTED_VALUE"""),297.93)</f>
        <v>297.93</v>
      </c>
      <c r="F23" s="6">
        <f>IFERROR(__xludf.DUMMYFUNCTION("""COMPUTED_VALUE"""),2.6306737E7)</f>
        <v>26306737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IFERROR(__xludf.DUMMYFUNCTION("""COMPUTED_VALUE"""),297.63)</f>
        <v>297.63</v>
      </c>
      <c r="C24" s="6">
        <f>IFERROR(__xludf.DUMMYFUNCTION("""COMPUTED_VALUE"""),349.6)</f>
        <v>349.6</v>
      </c>
      <c r="D24" s="6">
        <f>IFERROR(__xludf.DUMMYFUNCTION("""COMPUTED_VALUE"""),293.37)</f>
        <v>293.37</v>
      </c>
      <c r="E24" s="6">
        <f>IFERROR(__xludf.DUMMYFUNCTION("""COMPUTED_VALUE"""),344.1)</f>
        <v>344.1</v>
      </c>
      <c r="F24" s="6">
        <f>IFERROR(__xludf.DUMMYFUNCTION("""COMPUTED_VALUE"""),4.5612907E7)</f>
        <v>45612907</v>
      </c>
    </row>
    <row r="25">
      <c r="A25" s="7">
        <f>IFERROR(__xludf.DUMMYFUNCTION("""COMPUTED_VALUE"""),45338.64583333333)</f>
        <v>45338.64583</v>
      </c>
      <c r="B25" s="6">
        <f>IFERROR(__xludf.DUMMYFUNCTION("""COMPUTED_VALUE"""),346.53)</f>
        <v>346.53</v>
      </c>
      <c r="C25" s="6">
        <f>IFERROR(__xludf.DUMMYFUNCTION("""COMPUTED_VALUE"""),411.33)</f>
        <v>411.33</v>
      </c>
      <c r="D25" s="6">
        <f>IFERROR(__xludf.DUMMYFUNCTION("""COMPUTED_VALUE"""),295.7)</f>
        <v>295.7</v>
      </c>
      <c r="E25" s="6">
        <f>IFERROR(__xludf.DUMMYFUNCTION("""COMPUTED_VALUE"""),382.43)</f>
        <v>382.43</v>
      </c>
      <c r="F25" s="6">
        <f>IFERROR(__xludf.DUMMYFUNCTION("""COMPUTED_VALUE"""),7.0499057E7)</f>
        <v>70499057</v>
      </c>
    </row>
    <row r="26">
      <c r="A26" s="7">
        <f>IFERROR(__xludf.DUMMYFUNCTION("""COMPUTED_VALUE"""),45345.64583333333)</f>
        <v>45345.64583</v>
      </c>
      <c r="B26" s="6">
        <f>IFERROR(__xludf.DUMMYFUNCTION("""COMPUTED_VALUE"""),384.0)</f>
        <v>384</v>
      </c>
      <c r="C26" s="6">
        <f>IFERROR(__xludf.DUMMYFUNCTION("""COMPUTED_VALUE"""),420.0)</f>
        <v>420</v>
      </c>
      <c r="D26" s="6">
        <f>IFERROR(__xludf.DUMMYFUNCTION("""COMPUTED_VALUE"""),381.9)</f>
        <v>381.9</v>
      </c>
      <c r="E26" s="6">
        <f>IFERROR(__xludf.DUMMYFUNCTION("""COMPUTED_VALUE"""),394.4)</f>
        <v>394.4</v>
      </c>
      <c r="F26" s="6">
        <f>IFERROR(__xludf.DUMMYFUNCTION("""COMPUTED_VALUE"""),4.5146824E7)</f>
        <v>45146824</v>
      </c>
    </row>
    <row r="27">
      <c r="A27" s="7">
        <f>IFERROR(__xludf.DUMMYFUNCTION("""COMPUTED_VALUE"""),45358.64583333333)</f>
        <v>45358.64583</v>
      </c>
      <c r="B27" s="6">
        <f>IFERROR(__xludf.DUMMYFUNCTION("""COMPUTED_VALUE"""),396.0)</f>
        <v>396</v>
      </c>
      <c r="C27" s="6">
        <f>IFERROR(__xludf.DUMMYFUNCTION("""COMPUTED_VALUE"""),431.33)</f>
        <v>431.33</v>
      </c>
      <c r="D27" s="6">
        <f>IFERROR(__xludf.DUMMYFUNCTION("""COMPUTED_VALUE"""),395.93)</f>
        <v>395.93</v>
      </c>
      <c r="E27" s="6">
        <f>IFERROR(__xludf.DUMMYFUNCTION("""COMPUTED_VALUE"""),420.07)</f>
        <v>420.07</v>
      </c>
      <c r="F27" s="6">
        <f>IFERROR(__xludf.DUMMYFUNCTION("""COMPUTED_VALUE"""),3.3506423E7)</f>
        <v>33506423</v>
      </c>
    </row>
    <row r="28">
      <c r="A28" s="7">
        <f>IFERROR(__xludf.DUMMYFUNCTION("""COMPUTED_VALUE"""),45366.64583333333)</f>
        <v>45366.64583</v>
      </c>
      <c r="B28" s="6">
        <f>IFERROR(__xludf.DUMMYFUNCTION("""COMPUTED_VALUE"""),421.93)</f>
        <v>421.93</v>
      </c>
      <c r="C28" s="6">
        <f>IFERROR(__xludf.DUMMYFUNCTION("""COMPUTED_VALUE"""),428.67)</f>
        <v>428.67</v>
      </c>
      <c r="D28" s="6">
        <f>IFERROR(__xludf.DUMMYFUNCTION("""COMPUTED_VALUE"""),342.0)</f>
        <v>342</v>
      </c>
      <c r="E28" s="6">
        <f>IFERROR(__xludf.DUMMYFUNCTION("""COMPUTED_VALUE"""),370.43)</f>
        <v>370.43</v>
      </c>
      <c r="F28" s="6">
        <f>IFERROR(__xludf.DUMMYFUNCTION("""COMPUTED_VALUE"""),3.6693474E7)</f>
        <v>36693474</v>
      </c>
    </row>
    <row r="29">
      <c r="A29" s="7">
        <f>IFERROR(__xludf.DUMMYFUNCTION("""COMPUTED_VALUE"""),45373.64583333333)</f>
        <v>45373.64583</v>
      </c>
      <c r="B29" s="6">
        <f>IFERROR(__xludf.DUMMYFUNCTION("""COMPUTED_VALUE"""),365.67)</f>
        <v>365.67</v>
      </c>
      <c r="C29" s="6">
        <f>IFERROR(__xludf.DUMMYFUNCTION("""COMPUTED_VALUE"""),397.73)</f>
        <v>397.73</v>
      </c>
      <c r="D29" s="6">
        <f>IFERROR(__xludf.DUMMYFUNCTION("""COMPUTED_VALUE"""),355.57)</f>
        <v>355.57</v>
      </c>
      <c r="E29" s="6">
        <f>IFERROR(__xludf.DUMMYFUNCTION("""COMPUTED_VALUE"""),387.83)</f>
        <v>387.83</v>
      </c>
      <c r="F29" s="6">
        <f>IFERROR(__xludf.DUMMYFUNCTION("""COMPUTED_VALUE"""),1.9058281E7)</f>
        <v>19058281</v>
      </c>
    </row>
    <row r="30">
      <c r="A30" s="7">
        <f>IFERROR(__xludf.DUMMYFUNCTION("""COMPUTED_VALUE"""),45379.64583333333)</f>
        <v>45379.64583</v>
      </c>
      <c r="B30" s="6">
        <f>IFERROR(__xludf.DUMMYFUNCTION("""COMPUTED_VALUE"""),389.6)</f>
        <v>389.6</v>
      </c>
      <c r="C30" s="6">
        <f>IFERROR(__xludf.DUMMYFUNCTION("""COMPUTED_VALUE"""),419.87)</f>
        <v>419.87</v>
      </c>
      <c r="D30" s="6">
        <f>IFERROR(__xludf.DUMMYFUNCTION("""COMPUTED_VALUE"""),385.83)</f>
        <v>385.83</v>
      </c>
      <c r="E30" s="6">
        <f>IFERROR(__xludf.DUMMYFUNCTION("""COMPUTED_VALUE"""),400.17)</f>
        <v>400.17</v>
      </c>
      <c r="F30" s="6">
        <f>IFERROR(__xludf.DUMMYFUNCTION("""COMPUTED_VALUE"""),1.487958E7)</f>
        <v>14879580</v>
      </c>
    </row>
    <row r="31">
      <c r="A31" s="7">
        <f>IFERROR(__xludf.DUMMYFUNCTION("""COMPUTED_VALUE"""),45387.64583333333)</f>
        <v>45387.64583</v>
      </c>
      <c r="B31" s="6">
        <f>IFERROR(__xludf.DUMMYFUNCTION("""COMPUTED_VALUE"""),404.2)</f>
        <v>404.2</v>
      </c>
      <c r="C31" s="6">
        <f>IFERROR(__xludf.DUMMYFUNCTION("""COMPUTED_VALUE"""),446.33)</f>
        <v>446.33</v>
      </c>
      <c r="D31" s="6">
        <f>IFERROR(__xludf.DUMMYFUNCTION("""COMPUTED_VALUE"""),388.33)</f>
        <v>388.33</v>
      </c>
      <c r="E31" s="6">
        <f>IFERROR(__xludf.DUMMYFUNCTION("""COMPUTED_VALUE"""),418.93)</f>
        <v>418.93</v>
      </c>
      <c r="F31" s="6">
        <f>IFERROR(__xludf.DUMMYFUNCTION("""COMPUTED_VALUE"""),3.556734E7)</f>
        <v>35567340</v>
      </c>
    </row>
    <row r="32">
      <c r="A32" s="7">
        <f>IFERROR(__xludf.DUMMYFUNCTION("""COMPUTED_VALUE"""),45394.64583333333)</f>
        <v>45394.64583</v>
      </c>
      <c r="B32" s="6">
        <f>IFERROR(__xludf.DUMMYFUNCTION("""COMPUTED_VALUE"""),423.0)</f>
        <v>423</v>
      </c>
      <c r="C32" s="6">
        <f>IFERROR(__xludf.DUMMYFUNCTION("""COMPUTED_VALUE"""),432.0)</f>
        <v>432</v>
      </c>
      <c r="D32" s="6">
        <f>IFERROR(__xludf.DUMMYFUNCTION("""COMPUTED_VALUE"""),405.2)</f>
        <v>405.2</v>
      </c>
      <c r="E32" s="6">
        <f>IFERROR(__xludf.DUMMYFUNCTION("""COMPUTED_VALUE"""),407.37)</f>
        <v>407.37</v>
      </c>
      <c r="F32" s="6">
        <f>IFERROR(__xludf.DUMMYFUNCTION("""COMPUTED_VALUE"""),2.0907287E7)</f>
        <v>20907287</v>
      </c>
    </row>
    <row r="33">
      <c r="A33" s="7">
        <f>IFERROR(__xludf.DUMMYFUNCTION("""COMPUTED_VALUE"""),45401.64583333333)</f>
        <v>45401.64583</v>
      </c>
      <c r="B33" s="6">
        <f>IFERROR(__xludf.DUMMYFUNCTION("""COMPUTED_VALUE"""),407.37)</f>
        <v>407.37</v>
      </c>
      <c r="C33" s="6">
        <f>IFERROR(__xludf.DUMMYFUNCTION("""COMPUTED_VALUE"""),424.3)</f>
        <v>424.3</v>
      </c>
      <c r="D33" s="6">
        <f>IFERROR(__xludf.DUMMYFUNCTION("""COMPUTED_VALUE"""),397.0)</f>
        <v>397</v>
      </c>
      <c r="E33" s="6">
        <f>IFERROR(__xludf.DUMMYFUNCTION("""COMPUTED_VALUE"""),399.9)</f>
        <v>399.9</v>
      </c>
      <c r="F33" s="6">
        <f>IFERROR(__xludf.DUMMYFUNCTION("""COMPUTED_VALUE"""),2.2863796E7)</f>
        <v>22863796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IFERROR(__xludf.DUMMYFUNCTION("""COMPUTED_VALUE"""),404.0)</f>
        <v>404</v>
      </c>
      <c r="C34" s="6">
        <f>IFERROR(__xludf.DUMMYFUNCTION("""COMPUTED_VALUE"""),424.6)</f>
        <v>424.6</v>
      </c>
      <c r="D34" s="6">
        <f>IFERROR(__xludf.DUMMYFUNCTION("""COMPUTED_VALUE"""),392.43)</f>
        <v>392.43</v>
      </c>
      <c r="E34" s="6">
        <f>IFERROR(__xludf.DUMMYFUNCTION("""COMPUTED_VALUE"""),418.9)</f>
        <v>418.9</v>
      </c>
      <c r="F34" s="6">
        <f>IFERROR(__xludf.DUMMYFUNCTION("""COMPUTED_VALUE"""),1.7759421E7)</f>
        <v>17759421</v>
      </c>
    </row>
    <row r="35">
      <c r="A35" s="7">
        <f>IFERROR(__xludf.DUMMYFUNCTION("""COMPUTED_VALUE"""),45415.64583333333)</f>
        <v>45415.64583</v>
      </c>
      <c r="B35" s="6">
        <f>IFERROR(__xludf.DUMMYFUNCTION("""COMPUTED_VALUE"""),422.93)</f>
        <v>422.93</v>
      </c>
      <c r="C35" s="6">
        <f>IFERROR(__xludf.DUMMYFUNCTION("""COMPUTED_VALUE"""),428.67)</f>
        <v>428.67</v>
      </c>
      <c r="D35" s="6">
        <f>IFERROR(__xludf.DUMMYFUNCTION("""COMPUTED_VALUE"""),403.33)</f>
        <v>403.33</v>
      </c>
      <c r="E35" s="6">
        <f>IFERROR(__xludf.DUMMYFUNCTION("""COMPUTED_VALUE"""),420.43)</f>
        <v>420.43</v>
      </c>
      <c r="F35" s="6">
        <f>IFERROR(__xludf.DUMMYFUNCTION("""COMPUTED_VALUE"""),1.6022415E7)</f>
        <v>16022415</v>
      </c>
    </row>
    <row r="36">
      <c r="A36" s="7">
        <f>IFERROR(__xludf.DUMMYFUNCTION("""COMPUTED_VALUE"""),45422.64583333333)</f>
        <v>45422.64583</v>
      </c>
      <c r="B36" s="6">
        <f>IFERROR(__xludf.DUMMYFUNCTION("""COMPUTED_VALUE"""),424.6)</f>
        <v>424.6</v>
      </c>
      <c r="C36" s="6">
        <f>IFERROR(__xludf.DUMMYFUNCTION("""COMPUTED_VALUE"""),434.67)</f>
        <v>434.67</v>
      </c>
      <c r="D36" s="6">
        <f>IFERROR(__xludf.DUMMYFUNCTION("""COMPUTED_VALUE"""),398.43)</f>
        <v>398.43</v>
      </c>
      <c r="E36" s="6">
        <f>IFERROR(__xludf.DUMMYFUNCTION("""COMPUTED_VALUE"""),412.73)</f>
        <v>412.73</v>
      </c>
      <c r="F36" s="6">
        <f>IFERROR(__xludf.DUMMYFUNCTION("""COMPUTED_VALUE"""),2.1739437E7)</f>
        <v>21739437</v>
      </c>
    </row>
    <row r="37">
      <c r="A37" s="7">
        <f>IFERROR(__xludf.DUMMYFUNCTION("""COMPUTED_VALUE"""),45436.64583333333)</f>
        <v>45436.64583</v>
      </c>
      <c r="B37" s="6">
        <f>IFERROR(__xludf.DUMMYFUNCTION("""COMPUTED_VALUE"""),437.33)</f>
        <v>437.33</v>
      </c>
      <c r="C37" s="6">
        <f>IFERROR(__xludf.DUMMYFUNCTION("""COMPUTED_VALUE"""),449.3)</f>
        <v>449.3</v>
      </c>
      <c r="D37" s="6">
        <f>IFERROR(__xludf.DUMMYFUNCTION("""COMPUTED_VALUE"""),427.03)</f>
        <v>427.03</v>
      </c>
      <c r="E37" s="6">
        <f>IFERROR(__xludf.DUMMYFUNCTION("""COMPUTED_VALUE"""),441.27)</f>
        <v>441.27</v>
      </c>
      <c r="F37" s="6">
        <f>IFERROR(__xludf.DUMMYFUNCTION("""COMPUTED_VALUE"""),1.7468476E7)</f>
        <v>17468476</v>
      </c>
    </row>
    <row r="38">
      <c r="A38" s="7">
        <f>IFERROR(__xludf.DUMMYFUNCTION("""COMPUTED_VALUE"""),45443.64583333333)</f>
        <v>45443.64583</v>
      </c>
      <c r="B38" s="6">
        <f>IFERROR(__xludf.DUMMYFUNCTION("""COMPUTED_VALUE"""),442.87)</f>
        <v>442.87</v>
      </c>
      <c r="C38" s="6">
        <f>IFERROR(__xludf.DUMMYFUNCTION("""COMPUTED_VALUE"""),450.0)</f>
        <v>450</v>
      </c>
      <c r="D38" s="6">
        <f>IFERROR(__xludf.DUMMYFUNCTION("""COMPUTED_VALUE"""),412.07)</f>
        <v>412.07</v>
      </c>
      <c r="E38" s="6">
        <f>IFERROR(__xludf.DUMMYFUNCTION("""COMPUTED_VALUE"""),423.8)</f>
        <v>423.8</v>
      </c>
      <c r="F38" s="6">
        <f>IFERROR(__xludf.DUMMYFUNCTION("""COMPUTED_VALUE"""),1.1458287E7)</f>
        <v>11458287</v>
      </c>
    </row>
    <row r="39">
      <c r="A39" s="7">
        <f>IFERROR(__xludf.DUMMYFUNCTION("""COMPUTED_VALUE"""),45450.64583333333)</f>
        <v>45450.64583</v>
      </c>
      <c r="B39" s="6">
        <f>IFERROR(__xludf.DUMMYFUNCTION("""COMPUTED_VALUE"""),459.9)</f>
        <v>459.9</v>
      </c>
      <c r="C39" s="6">
        <f>IFERROR(__xludf.DUMMYFUNCTION("""COMPUTED_VALUE"""),459.9)</f>
        <v>459.9</v>
      </c>
      <c r="D39" s="6">
        <f>IFERROR(__xludf.DUMMYFUNCTION("""COMPUTED_VALUE"""),363.33)</f>
        <v>363.33</v>
      </c>
      <c r="E39" s="6">
        <f>IFERROR(__xludf.DUMMYFUNCTION("""COMPUTED_VALUE"""),410.1)</f>
        <v>410.1</v>
      </c>
      <c r="F39" s="6">
        <f>IFERROR(__xludf.DUMMYFUNCTION("""COMPUTED_VALUE"""),2.5503289E7)</f>
        <v>25503289</v>
      </c>
    </row>
    <row r="40">
      <c r="A40" s="7">
        <f>IFERROR(__xludf.DUMMYFUNCTION("""COMPUTED_VALUE"""),45457.64583333333)</f>
        <v>45457.64583</v>
      </c>
      <c r="B40" s="6">
        <f>IFERROR(__xludf.DUMMYFUNCTION("""COMPUTED_VALUE"""),413.17)</f>
        <v>413.17</v>
      </c>
      <c r="C40" s="6">
        <f>IFERROR(__xludf.DUMMYFUNCTION("""COMPUTED_VALUE"""),472.67)</f>
        <v>472.67</v>
      </c>
      <c r="D40" s="6">
        <f>IFERROR(__xludf.DUMMYFUNCTION("""COMPUTED_VALUE"""),403.33)</f>
        <v>403.33</v>
      </c>
      <c r="E40" s="6">
        <f>IFERROR(__xludf.DUMMYFUNCTION("""COMPUTED_VALUE"""),466.3)</f>
        <v>466.3</v>
      </c>
      <c r="F40" s="6">
        <f>IFERROR(__xludf.DUMMYFUNCTION("""COMPUTED_VALUE"""),2.4983753E7)</f>
        <v>24983753</v>
      </c>
    </row>
    <row r="41">
      <c r="A41" s="7">
        <f>IFERROR(__xludf.DUMMYFUNCTION("""COMPUTED_VALUE"""),45464.64583333333)</f>
        <v>45464.64583</v>
      </c>
      <c r="B41" s="6">
        <f>IFERROR(__xludf.DUMMYFUNCTION("""COMPUTED_VALUE"""),468.6)</f>
        <v>468.6</v>
      </c>
      <c r="C41" s="6">
        <f>IFERROR(__xludf.DUMMYFUNCTION("""COMPUTED_VALUE"""),469.67)</f>
        <v>469.67</v>
      </c>
      <c r="D41" s="6">
        <f>IFERROR(__xludf.DUMMYFUNCTION("""COMPUTED_VALUE"""),448.1)</f>
        <v>448.1</v>
      </c>
      <c r="E41" s="6">
        <f>IFERROR(__xludf.DUMMYFUNCTION("""COMPUTED_VALUE"""),466.53)</f>
        <v>466.53</v>
      </c>
      <c r="F41" s="6">
        <f>IFERROR(__xludf.DUMMYFUNCTION("""COMPUTED_VALUE"""),1.7581586E7)</f>
        <v>17581586</v>
      </c>
    </row>
    <row r="42">
      <c r="A42" s="7">
        <f>IFERROR(__xludf.DUMMYFUNCTION("""COMPUTED_VALUE"""),45471.64583333333)</f>
        <v>45471.64583</v>
      </c>
      <c r="B42" s="6">
        <f>IFERROR(__xludf.DUMMYFUNCTION("""COMPUTED_VALUE"""),469.97)</f>
        <v>469.97</v>
      </c>
      <c r="C42" s="6">
        <f>IFERROR(__xludf.DUMMYFUNCTION("""COMPUTED_VALUE"""),495.73)</f>
        <v>495.73</v>
      </c>
      <c r="D42" s="6">
        <f>IFERROR(__xludf.DUMMYFUNCTION("""COMPUTED_VALUE"""),461.07)</f>
        <v>461.07</v>
      </c>
      <c r="E42" s="6">
        <f>IFERROR(__xludf.DUMMYFUNCTION("""COMPUTED_VALUE"""),482.03)</f>
        <v>482.03</v>
      </c>
      <c r="F42" s="6">
        <f>IFERROR(__xludf.DUMMYFUNCTION("""COMPUTED_VALUE"""),1.8036476E7)</f>
        <v>18036476</v>
      </c>
    </row>
    <row r="43">
      <c r="A43" s="7">
        <f>IFERROR(__xludf.DUMMYFUNCTION("""COMPUTED_VALUE"""),45478.64583333333)</f>
        <v>45478.64583</v>
      </c>
      <c r="B43" s="6">
        <f>IFERROR(__xludf.DUMMYFUNCTION("""COMPUTED_VALUE"""),488.97)</f>
        <v>488.97</v>
      </c>
      <c r="C43" s="6">
        <f>IFERROR(__xludf.DUMMYFUNCTION("""COMPUTED_VALUE"""),512.0)</f>
        <v>512</v>
      </c>
      <c r="D43" s="6">
        <f>IFERROR(__xludf.DUMMYFUNCTION("""COMPUTED_VALUE"""),470.03)</f>
        <v>470.03</v>
      </c>
      <c r="E43" s="6">
        <f>IFERROR(__xludf.DUMMYFUNCTION("""COMPUTED_VALUE"""),489.5)</f>
        <v>489.5</v>
      </c>
      <c r="F43" s="6">
        <f>IFERROR(__xludf.DUMMYFUNCTION("""COMPUTED_VALUE"""),2.4267972E7)</f>
        <v>24267972</v>
      </c>
    </row>
    <row r="44">
      <c r="A44" s="7">
        <f>IFERROR(__xludf.DUMMYFUNCTION("""COMPUTED_VALUE"""),45485.64583333333)</f>
        <v>45485.64583</v>
      </c>
      <c r="B44" s="6">
        <f>IFERROR(__xludf.DUMMYFUNCTION("""COMPUTED_VALUE"""),492.9)</f>
        <v>492.9</v>
      </c>
      <c r="C44" s="6">
        <f>IFERROR(__xludf.DUMMYFUNCTION("""COMPUTED_VALUE"""),653.0)</f>
        <v>653</v>
      </c>
      <c r="D44" s="6">
        <f>IFERROR(__xludf.DUMMYFUNCTION("""COMPUTED_VALUE"""),490.05)</f>
        <v>490.05</v>
      </c>
      <c r="E44" s="6">
        <f>IFERROR(__xludf.DUMMYFUNCTION("""COMPUTED_VALUE"""),614.45)</f>
        <v>614.45</v>
      </c>
      <c r="F44" s="6">
        <f>IFERROR(__xludf.DUMMYFUNCTION("""COMPUTED_VALUE"""),4.9537621E7)</f>
        <v>49537621</v>
      </c>
    </row>
    <row r="45">
      <c r="A45" s="7">
        <f>IFERROR(__xludf.DUMMYFUNCTION("""COMPUTED_VALUE"""),45492.64583333333)</f>
        <v>45492.64583</v>
      </c>
      <c r="B45" s="6">
        <f>IFERROR(__xludf.DUMMYFUNCTION("""COMPUTED_VALUE"""),598.0)</f>
        <v>598</v>
      </c>
      <c r="C45" s="6">
        <f>IFERROR(__xludf.DUMMYFUNCTION("""COMPUTED_VALUE"""),644.5)</f>
        <v>644.5</v>
      </c>
      <c r="D45" s="6">
        <f>IFERROR(__xludf.DUMMYFUNCTION("""COMPUTED_VALUE"""),556.65)</f>
        <v>556.65</v>
      </c>
      <c r="E45" s="6">
        <f>IFERROR(__xludf.DUMMYFUNCTION("""COMPUTED_VALUE"""),571.1)</f>
        <v>571.1</v>
      </c>
      <c r="F45" s="6">
        <f>IFERROR(__xludf.DUMMYFUNCTION("""COMPUTED_VALUE"""),4.8607399E7)</f>
        <v>48607399</v>
      </c>
    </row>
    <row r="46">
      <c r="A46" s="7">
        <f>IFERROR(__xludf.DUMMYFUNCTION("""COMPUTED_VALUE"""),45499.64583333333)</f>
        <v>45499.64583</v>
      </c>
      <c r="B46" s="6">
        <f>IFERROR(__xludf.DUMMYFUNCTION("""COMPUTED_VALUE"""),562.0)</f>
        <v>562</v>
      </c>
      <c r="C46" s="6">
        <f>IFERROR(__xludf.DUMMYFUNCTION("""COMPUTED_VALUE"""),594.5)</f>
        <v>594.5</v>
      </c>
      <c r="D46" s="6">
        <f>IFERROR(__xludf.DUMMYFUNCTION("""COMPUTED_VALUE"""),512.0)</f>
        <v>512</v>
      </c>
      <c r="E46" s="6">
        <f>IFERROR(__xludf.DUMMYFUNCTION("""COMPUTED_VALUE"""),560.65)</f>
        <v>560.65</v>
      </c>
      <c r="F46" s="6">
        <f>IFERROR(__xludf.DUMMYFUNCTION("""COMPUTED_VALUE"""),5.7898338E7)</f>
        <v>57898338</v>
      </c>
    </row>
    <row r="47">
      <c r="A47" s="7">
        <f>IFERROR(__xludf.DUMMYFUNCTION("""COMPUTED_VALUE"""),45506.64583333333)</f>
        <v>45506.64583</v>
      </c>
      <c r="B47" s="6">
        <f>IFERROR(__xludf.DUMMYFUNCTION("""COMPUTED_VALUE"""),565.7)</f>
        <v>565.7</v>
      </c>
      <c r="C47" s="6">
        <f>IFERROR(__xludf.DUMMYFUNCTION("""COMPUTED_VALUE"""),615.0)</f>
        <v>615</v>
      </c>
      <c r="D47" s="6">
        <f>IFERROR(__xludf.DUMMYFUNCTION("""COMPUTED_VALUE"""),556.7)</f>
        <v>556.7</v>
      </c>
      <c r="E47" s="6">
        <f>IFERROR(__xludf.DUMMYFUNCTION("""COMPUTED_VALUE"""),606.0)</f>
        <v>606</v>
      </c>
      <c r="F47" s="6">
        <f>IFERROR(__xludf.DUMMYFUNCTION("""COMPUTED_VALUE"""),5.3511177E7)</f>
        <v>53511177</v>
      </c>
    </row>
    <row r="48">
      <c r="A48" s="7">
        <f>IFERROR(__xludf.DUMMYFUNCTION("""COMPUTED_VALUE"""),45513.64583333333)</f>
        <v>45513.64583</v>
      </c>
      <c r="B48" s="6">
        <f>IFERROR(__xludf.DUMMYFUNCTION("""COMPUTED_VALUE"""),590.9)</f>
        <v>590.9</v>
      </c>
      <c r="C48" s="6">
        <f>IFERROR(__xludf.DUMMYFUNCTION("""COMPUTED_VALUE"""),655.9)</f>
        <v>655.9</v>
      </c>
      <c r="D48" s="6">
        <f>IFERROR(__xludf.DUMMYFUNCTION("""COMPUTED_VALUE"""),568.3)</f>
        <v>568.3</v>
      </c>
      <c r="E48" s="6">
        <f>IFERROR(__xludf.DUMMYFUNCTION("""COMPUTED_VALUE"""),643.95)</f>
        <v>643.95</v>
      </c>
      <c r="F48" s="6">
        <f>IFERROR(__xludf.DUMMYFUNCTION("""COMPUTED_VALUE"""),6.2591849E7)</f>
        <v>62591849</v>
      </c>
    </row>
    <row r="49">
      <c r="A49" s="7">
        <f>IFERROR(__xludf.DUMMYFUNCTION("""COMPUTED_VALUE"""),45520.64583333333)</f>
        <v>45520.64583</v>
      </c>
      <c r="B49" s="6">
        <f>IFERROR(__xludf.DUMMYFUNCTION("""COMPUTED_VALUE"""),642.5)</f>
        <v>642.5</v>
      </c>
      <c r="C49" s="6">
        <f>IFERROR(__xludf.DUMMYFUNCTION("""COMPUTED_VALUE"""),714.3)</f>
        <v>714.3</v>
      </c>
      <c r="D49" s="6">
        <f>IFERROR(__xludf.DUMMYFUNCTION("""COMPUTED_VALUE"""),630.55)</f>
        <v>630.55</v>
      </c>
      <c r="E49" s="6">
        <f>IFERROR(__xludf.DUMMYFUNCTION("""COMPUTED_VALUE"""),677.7)</f>
        <v>677.7</v>
      </c>
      <c r="F49" s="6">
        <f>IFERROR(__xludf.DUMMYFUNCTION("""COMPUTED_VALUE"""),5.4862695E7)</f>
        <v>54862695</v>
      </c>
    </row>
    <row r="50">
      <c r="A50" s="7">
        <f>IFERROR(__xludf.DUMMYFUNCTION("""COMPUTED_VALUE"""),45527.64583333333)</f>
        <v>45527.64583</v>
      </c>
      <c r="B50" s="6">
        <f>IFERROR(__xludf.DUMMYFUNCTION("""COMPUTED_VALUE"""),690.0)</f>
        <v>690</v>
      </c>
      <c r="C50" s="6">
        <f>IFERROR(__xludf.DUMMYFUNCTION("""COMPUTED_VALUE"""),702.3)</f>
        <v>702.3</v>
      </c>
      <c r="D50" s="6">
        <f>IFERROR(__xludf.DUMMYFUNCTION("""COMPUTED_VALUE"""),670.05)</f>
        <v>670.05</v>
      </c>
      <c r="E50" s="6">
        <f>IFERROR(__xludf.DUMMYFUNCTION("""COMPUTED_VALUE"""),681.75)</f>
        <v>681.75</v>
      </c>
      <c r="F50" s="6">
        <f>IFERROR(__xludf.DUMMYFUNCTION("""COMPUTED_VALUE"""),2.0748302E7)</f>
        <v>20748302</v>
      </c>
    </row>
    <row r="51">
      <c r="A51" s="7">
        <f>IFERROR(__xludf.DUMMYFUNCTION("""COMPUTED_VALUE"""),45534.64583333333)</f>
        <v>45534.64583</v>
      </c>
      <c r="B51" s="6">
        <f>IFERROR(__xludf.DUMMYFUNCTION("""COMPUTED_VALUE"""),687.0)</f>
        <v>687</v>
      </c>
      <c r="C51" s="6">
        <f>IFERROR(__xludf.DUMMYFUNCTION("""COMPUTED_VALUE"""),767.9)</f>
        <v>767.9</v>
      </c>
      <c r="D51" s="6">
        <f>IFERROR(__xludf.DUMMYFUNCTION("""COMPUTED_VALUE"""),686.45)</f>
        <v>686.45</v>
      </c>
      <c r="E51" s="6">
        <f>IFERROR(__xludf.DUMMYFUNCTION("""COMPUTED_VALUE"""),741.0)</f>
        <v>741</v>
      </c>
      <c r="F51" s="6">
        <f>IFERROR(__xludf.DUMMYFUNCTION("""COMPUTED_VALUE"""),1.08339719E8)</f>
        <v>108339719</v>
      </c>
    </row>
    <row r="52">
      <c r="A52" s="7">
        <f>IFERROR(__xludf.DUMMYFUNCTION("""COMPUTED_VALUE"""),45541.64583333333)</f>
        <v>45541.64583</v>
      </c>
      <c r="B52" s="6">
        <f>IFERROR(__xludf.DUMMYFUNCTION("""COMPUTED_VALUE"""),725.35)</f>
        <v>725.35</v>
      </c>
      <c r="C52" s="6">
        <f>IFERROR(__xludf.DUMMYFUNCTION("""COMPUTED_VALUE"""),734.7)</f>
        <v>734.7</v>
      </c>
      <c r="D52" s="6">
        <f>IFERROR(__xludf.DUMMYFUNCTION("""COMPUTED_VALUE"""),625.5)</f>
        <v>625.5</v>
      </c>
      <c r="E52" s="6">
        <f>IFERROR(__xludf.DUMMYFUNCTION("""COMPUTED_VALUE"""),626.95)</f>
        <v>626.95</v>
      </c>
      <c r="F52" s="6">
        <f>IFERROR(__xludf.DUMMYFUNCTION("""COMPUTED_VALUE"""),3.4665802E7)</f>
        <v>34665802</v>
      </c>
    </row>
    <row r="53">
      <c r="A53" s="7">
        <f>IFERROR(__xludf.DUMMYFUNCTION("""COMPUTED_VALUE"""),45548.64583333333)</f>
        <v>45548.64583</v>
      </c>
      <c r="B53" s="6">
        <f>IFERROR(__xludf.DUMMYFUNCTION("""COMPUTED_VALUE"""),626.1)</f>
        <v>626.1</v>
      </c>
      <c r="C53" s="6">
        <f>IFERROR(__xludf.DUMMYFUNCTION("""COMPUTED_VALUE"""),645.0)</f>
        <v>645</v>
      </c>
      <c r="D53" s="6">
        <f>IFERROR(__xludf.DUMMYFUNCTION("""COMPUTED_VALUE"""),565.3)</f>
        <v>565.3</v>
      </c>
      <c r="E53" s="6">
        <f>IFERROR(__xludf.DUMMYFUNCTION("""COMPUTED_VALUE"""),585.6)</f>
        <v>585.6</v>
      </c>
      <c r="F53" s="6">
        <f>IFERROR(__xludf.DUMMYFUNCTION("""COMPUTED_VALUE"""),4.0721097E7)</f>
        <v>40721097</v>
      </c>
    </row>
    <row r="54">
      <c r="A54" s="7">
        <f>IFERROR(__xludf.DUMMYFUNCTION("""COMPUTED_VALUE"""),45555.64583333333)</f>
        <v>45555.64583</v>
      </c>
      <c r="B54" s="6">
        <f>IFERROR(__xludf.DUMMYFUNCTION("""COMPUTED_VALUE"""),585.0)</f>
        <v>585</v>
      </c>
      <c r="C54" s="6">
        <f>IFERROR(__xludf.DUMMYFUNCTION("""COMPUTED_VALUE"""),627.9)</f>
        <v>627.9</v>
      </c>
      <c r="D54" s="6">
        <f>IFERROR(__xludf.DUMMYFUNCTION("""COMPUTED_VALUE"""),553.85)</f>
        <v>553.85</v>
      </c>
      <c r="E54" s="6">
        <f>IFERROR(__xludf.DUMMYFUNCTION("""COMPUTED_VALUE"""),562.8)</f>
        <v>562.8</v>
      </c>
      <c r="F54" s="6">
        <f>IFERROR(__xludf.DUMMYFUNCTION("""COMPUTED_VALUE"""),4.1661358E7)</f>
        <v>41661358</v>
      </c>
    </row>
    <row r="55">
      <c r="A55" s="7">
        <f>IFERROR(__xludf.DUMMYFUNCTION("""COMPUTED_VALUE"""),45562.64583333333)</f>
        <v>45562.64583</v>
      </c>
      <c r="B55" s="6">
        <f>IFERROR(__xludf.DUMMYFUNCTION("""COMPUTED_VALUE"""),565.0)</f>
        <v>565</v>
      </c>
      <c r="C55" s="6">
        <f>IFERROR(__xludf.DUMMYFUNCTION("""COMPUTED_VALUE"""),605.0)</f>
        <v>605</v>
      </c>
      <c r="D55" s="6">
        <f>IFERROR(__xludf.DUMMYFUNCTION("""COMPUTED_VALUE"""),554.8)</f>
        <v>554.8</v>
      </c>
      <c r="E55" s="6">
        <f>IFERROR(__xludf.DUMMYFUNCTION("""COMPUTED_VALUE"""),586.75)</f>
        <v>586.75</v>
      </c>
      <c r="F55" s="6">
        <f>IFERROR(__xludf.DUMMYFUNCTION("""COMPUTED_VALUE"""),2.4432856E7)</f>
        <v>24432856</v>
      </c>
    </row>
    <row r="56">
      <c r="A56" s="7">
        <f>IFERROR(__xludf.DUMMYFUNCTION("""COMPUTED_VALUE"""),45569.64583333333)</f>
        <v>45569.64583</v>
      </c>
      <c r="B56" s="6">
        <f>IFERROR(__xludf.DUMMYFUNCTION("""COMPUTED_VALUE"""),586.95)</f>
        <v>586.95</v>
      </c>
      <c r="C56" s="6">
        <f>IFERROR(__xludf.DUMMYFUNCTION("""COMPUTED_VALUE"""),590.0)</f>
        <v>590</v>
      </c>
      <c r="D56" s="6">
        <f>IFERROR(__xludf.DUMMYFUNCTION("""COMPUTED_VALUE"""),534.9)</f>
        <v>534.9</v>
      </c>
      <c r="E56" s="6">
        <f>IFERROR(__xludf.DUMMYFUNCTION("""COMPUTED_VALUE"""),572.75)</f>
        <v>572.75</v>
      </c>
      <c r="F56" s="6">
        <f>IFERROR(__xludf.DUMMYFUNCTION("""COMPUTED_VALUE"""),2.4362544E7)</f>
        <v>24362544</v>
      </c>
    </row>
    <row r="57">
      <c r="A57" s="7">
        <f>IFERROR(__xludf.DUMMYFUNCTION("""COMPUTED_VALUE"""),45576.64583333333)</f>
        <v>45576.64583</v>
      </c>
      <c r="B57" s="6">
        <f>IFERROR(__xludf.DUMMYFUNCTION("""COMPUTED_VALUE"""),570.0)</f>
        <v>570</v>
      </c>
      <c r="C57" s="6">
        <f>IFERROR(__xludf.DUMMYFUNCTION("""COMPUTED_VALUE"""),594.0)</f>
        <v>594</v>
      </c>
      <c r="D57" s="6">
        <f>IFERROR(__xludf.DUMMYFUNCTION("""COMPUTED_VALUE"""),540.9)</f>
        <v>540.9</v>
      </c>
      <c r="E57" s="6">
        <f>IFERROR(__xludf.DUMMYFUNCTION("""COMPUTED_VALUE"""),584.55)</f>
        <v>584.55</v>
      </c>
      <c r="F57" s="6">
        <f>IFERROR(__xludf.DUMMYFUNCTION("""COMPUTED_VALUE"""),1.6731987E7)</f>
        <v>16731987</v>
      </c>
    </row>
    <row r="58">
      <c r="A58" s="7">
        <f>IFERROR(__xludf.DUMMYFUNCTION("""COMPUTED_VALUE"""),45583.64583333333)</f>
        <v>45583.64583</v>
      </c>
      <c r="B58" s="6">
        <f>IFERROR(__xludf.DUMMYFUNCTION("""COMPUTED_VALUE"""),588.0)</f>
        <v>588</v>
      </c>
      <c r="C58" s="6">
        <f>IFERROR(__xludf.DUMMYFUNCTION("""COMPUTED_VALUE"""),590.95)</f>
        <v>590.95</v>
      </c>
      <c r="D58" s="6">
        <f>IFERROR(__xludf.DUMMYFUNCTION("""COMPUTED_VALUE"""),518.0)</f>
        <v>518</v>
      </c>
      <c r="E58" s="6">
        <f>IFERROR(__xludf.DUMMYFUNCTION("""COMPUTED_VALUE"""),533.4)</f>
        <v>533.4</v>
      </c>
      <c r="F58" s="6">
        <f>IFERROR(__xludf.DUMMYFUNCTION("""COMPUTED_VALUE"""),2.7785148E7)</f>
        <v>27785148</v>
      </c>
    </row>
    <row r="59">
      <c r="A59" s="7">
        <f>IFERROR(__xludf.DUMMYFUNCTION("""COMPUTED_VALUE"""),45590.64583333333)</f>
        <v>45590.64583</v>
      </c>
      <c r="B59" s="6">
        <f>IFERROR(__xludf.DUMMYFUNCTION("""COMPUTED_VALUE"""),533.4)</f>
        <v>533.4</v>
      </c>
      <c r="C59" s="6">
        <f>IFERROR(__xludf.DUMMYFUNCTION("""COMPUTED_VALUE"""),534.65)</f>
        <v>534.65</v>
      </c>
      <c r="D59" s="6">
        <f>IFERROR(__xludf.DUMMYFUNCTION("""COMPUTED_VALUE"""),481.95)</f>
        <v>481.95</v>
      </c>
      <c r="E59" s="6">
        <f>IFERROR(__xludf.DUMMYFUNCTION("""COMPUTED_VALUE"""),485.35)</f>
        <v>485.35</v>
      </c>
      <c r="F59" s="6">
        <f>IFERROR(__xludf.DUMMYFUNCTION("""COMPUTED_VALUE"""),1.4096907E7)</f>
        <v>14096907</v>
      </c>
    </row>
    <row r="60">
      <c r="A60" s="7">
        <f>IFERROR(__xludf.DUMMYFUNCTION("""COMPUTED_VALUE"""),45604.64583333333)</f>
        <v>45604.64583</v>
      </c>
      <c r="B60" s="6">
        <f>IFERROR(__xludf.DUMMYFUNCTION("""COMPUTED_VALUE"""),473.65)</f>
        <v>473.65</v>
      </c>
      <c r="C60" s="6">
        <f>IFERROR(__xludf.DUMMYFUNCTION("""COMPUTED_VALUE"""),535.85)</f>
        <v>535.85</v>
      </c>
      <c r="D60" s="6">
        <f>IFERROR(__xludf.DUMMYFUNCTION("""COMPUTED_VALUE"""),459.05)</f>
        <v>459.05</v>
      </c>
      <c r="E60" s="6">
        <f>IFERROR(__xludf.DUMMYFUNCTION("""COMPUTED_VALUE"""),508.55)</f>
        <v>508.55</v>
      </c>
      <c r="F60" s="6">
        <f>IFERROR(__xludf.DUMMYFUNCTION("""COMPUTED_VALUE"""),1.8906458E7)</f>
        <v>18906458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IFERROR(__xludf.DUMMYFUNCTION("""COMPUTED_VALUE"""),505.0)</f>
        <v>505</v>
      </c>
      <c r="C61" s="6">
        <f>IFERROR(__xludf.DUMMYFUNCTION("""COMPUTED_VALUE"""),511.85)</f>
        <v>511.85</v>
      </c>
      <c r="D61" s="6">
        <f>IFERROR(__xludf.DUMMYFUNCTION("""COMPUTED_VALUE"""),464.35)</f>
        <v>464.35</v>
      </c>
      <c r="E61" s="6">
        <f>IFERROR(__xludf.DUMMYFUNCTION("""COMPUTED_VALUE"""),475.45)</f>
        <v>475.45</v>
      </c>
      <c r="F61" s="6">
        <f>IFERROR(__xludf.DUMMYFUNCTION("""COMPUTED_VALUE"""),6713343.0)</f>
        <v>6713343</v>
      </c>
    </row>
    <row r="62">
      <c r="A62" s="7">
        <f>IFERROR(__xludf.DUMMYFUNCTION("""COMPUTED_VALUE"""),45618.64583333333)</f>
        <v>45618.64583</v>
      </c>
      <c r="B62" s="6">
        <f>IFERROR(__xludf.DUMMYFUNCTION("""COMPUTED_VALUE"""),475.45)</f>
        <v>475.45</v>
      </c>
      <c r="C62" s="6">
        <f>IFERROR(__xludf.DUMMYFUNCTION("""COMPUTED_VALUE"""),509.55)</f>
        <v>509.55</v>
      </c>
      <c r="D62" s="6">
        <f>IFERROR(__xludf.DUMMYFUNCTION("""COMPUTED_VALUE"""),464.0)</f>
        <v>464</v>
      </c>
      <c r="E62" s="6">
        <f>IFERROR(__xludf.DUMMYFUNCTION("""COMPUTED_VALUE"""),507.15)</f>
        <v>507.15</v>
      </c>
      <c r="F62" s="6">
        <f>IFERROR(__xludf.DUMMYFUNCTION("""COMPUTED_VALUE"""),5436165.0)</f>
        <v>5436165</v>
      </c>
    </row>
    <row r="63">
      <c r="A63" s="7">
        <f>IFERROR(__xludf.DUMMYFUNCTION("""COMPUTED_VALUE"""),45625.64583333333)</f>
        <v>45625.64583</v>
      </c>
      <c r="B63" s="6">
        <f>IFERROR(__xludf.DUMMYFUNCTION("""COMPUTED_VALUE"""),518.45)</f>
        <v>518.45</v>
      </c>
      <c r="C63" s="6">
        <f>IFERROR(__xludf.DUMMYFUNCTION("""COMPUTED_VALUE"""),529.0)</f>
        <v>529</v>
      </c>
      <c r="D63" s="6">
        <f>IFERROR(__xludf.DUMMYFUNCTION("""COMPUTED_VALUE"""),488.3)</f>
        <v>488.3</v>
      </c>
      <c r="E63" s="6">
        <f>IFERROR(__xludf.DUMMYFUNCTION("""COMPUTED_VALUE"""),490.6)</f>
        <v>490.6</v>
      </c>
      <c r="F63" s="6">
        <f>IFERROR(__xludf.DUMMYFUNCTION("""COMPUTED_VALUE"""),1.3587541E7)</f>
        <v>13587541</v>
      </c>
    </row>
    <row r="64">
      <c r="A64" s="7">
        <f>IFERROR(__xludf.DUMMYFUNCTION("""COMPUTED_VALUE"""),45632.64583333333)</f>
        <v>45632.64583</v>
      </c>
      <c r="B64" s="6">
        <f>IFERROR(__xludf.DUMMYFUNCTION("""COMPUTED_VALUE"""),485.2)</f>
        <v>485.2</v>
      </c>
      <c r="C64" s="6">
        <f>IFERROR(__xludf.DUMMYFUNCTION("""COMPUTED_VALUE"""),502.95)</f>
        <v>502.95</v>
      </c>
      <c r="D64" s="6">
        <f>IFERROR(__xludf.DUMMYFUNCTION("""COMPUTED_VALUE"""),470.05)</f>
        <v>470.05</v>
      </c>
      <c r="E64" s="6">
        <f>IFERROR(__xludf.DUMMYFUNCTION("""COMPUTED_VALUE"""),474.9)</f>
        <v>474.9</v>
      </c>
      <c r="F64" s="6">
        <f>IFERROR(__xludf.DUMMYFUNCTION("""COMPUTED_VALUE"""),1.5406148E7)</f>
        <v>15406148</v>
      </c>
    </row>
    <row r="65">
      <c r="A65" s="7">
        <f>IFERROR(__xludf.DUMMYFUNCTION("""COMPUTED_VALUE"""),45639.64583333333)</f>
        <v>45639.64583</v>
      </c>
      <c r="B65" s="6">
        <f>IFERROR(__xludf.DUMMYFUNCTION("""COMPUTED_VALUE"""),475.1)</f>
        <v>475.1</v>
      </c>
      <c r="C65" s="6">
        <f>IFERROR(__xludf.DUMMYFUNCTION("""COMPUTED_VALUE"""),476.6)</f>
        <v>476.6</v>
      </c>
      <c r="D65" s="6">
        <f>IFERROR(__xludf.DUMMYFUNCTION("""COMPUTED_VALUE"""),451.1)</f>
        <v>451.1</v>
      </c>
      <c r="E65" s="6">
        <f>IFERROR(__xludf.DUMMYFUNCTION("""COMPUTED_VALUE"""),454.35)</f>
        <v>454.35</v>
      </c>
      <c r="F65" s="6">
        <f>IFERROR(__xludf.DUMMYFUNCTION("""COMPUTED_VALUE"""),9094122.0)</f>
        <v>9094122</v>
      </c>
    </row>
    <row r="66">
      <c r="A66" s="7">
        <f>IFERROR(__xludf.DUMMYFUNCTION("""COMPUTED_VALUE"""),45646.64583333333)</f>
        <v>45646.64583</v>
      </c>
      <c r="B66" s="6">
        <f>IFERROR(__xludf.DUMMYFUNCTION("""COMPUTED_VALUE"""),455.0)</f>
        <v>455</v>
      </c>
      <c r="C66" s="6">
        <f>IFERROR(__xludf.DUMMYFUNCTION("""COMPUTED_VALUE"""),462.65)</f>
        <v>462.65</v>
      </c>
      <c r="D66" s="6">
        <f>IFERROR(__xludf.DUMMYFUNCTION("""COMPUTED_VALUE"""),417.0)</f>
        <v>417</v>
      </c>
      <c r="E66" s="6">
        <f>IFERROR(__xludf.DUMMYFUNCTION("""COMPUTED_VALUE"""),421.8)</f>
        <v>421.8</v>
      </c>
      <c r="F66" s="6">
        <f>IFERROR(__xludf.DUMMYFUNCTION("""COMPUTED_VALUE"""),1.2817323E7)</f>
        <v>12817323</v>
      </c>
    </row>
    <row r="67">
      <c r="A67" s="7">
        <f>IFERROR(__xludf.DUMMYFUNCTION("""COMPUTED_VALUE"""),45653.64583333333)</f>
        <v>45653.64583</v>
      </c>
      <c r="B67" s="6">
        <f>IFERROR(__xludf.DUMMYFUNCTION("""COMPUTED_VALUE"""),422.05)</f>
        <v>422.05</v>
      </c>
      <c r="C67" s="6">
        <f>IFERROR(__xludf.DUMMYFUNCTION("""COMPUTED_VALUE"""),429.55)</f>
        <v>429.55</v>
      </c>
      <c r="D67" s="6">
        <f>IFERROR(__xludf.DUMMYFUNCTION("""COMPUTED_VALUE"""),414.0)</f>
        <v>414</v>
      </c>
      <c r="E67" s="6">
        <f>IFERROR(__xludf.DUMMYFUNCTION("""COMPUTED_VALUE"""),425.15)</f>
        <v>425.15</v>
      </c>
      <c r="F67" s="6">
        <f>IFERROR(__xludf.DUMMYFUNCTION("""COMPUTED_VALUE"""),6297962.0)</f>
        <v>6297962</v>
      </c>
    </row>
    <row r="68">
      <c r="A68" s="7">
        <f>IFERROR(__xludf.DUMMYFUNCTION("""COMPUTED_VALUE"""),45660.64583333333)</f>
        <v>45660.64583</v>
      </c>
      <c r="B68" s="6">
        <f>IFERROR(__xludf.DUMMYFUNCTION("""COMPUTED_VALUE"""),425.8)</f>
        <v>425.8</v>
      </c>
      <c r="C68" s="6">
        <f>IFERROR(__xludf.DUMMYFUNCTION("""COMPUTED_VALUE"""),491.25)</f>
        <v>491.25</v>
      </c>
      <c r="D68" s="6">
        <f>IFERROR(__xludf.DUMMYFUNCTION("""COMPUTED_VALUE"""),415.2)</f>
        <v>415.2</v>
      </c>
      <c r="E68" s="6">
        <f>IFERROR(__xludf.DUMMYFUNCTION("""COMPUTED_VALUE"""),481.1)</f>
        <v>481.1</v>
      </c>
      <c r="F68" s="6">
        <f>IFERROR(__xludf.DUMMYFUNCTION("""COMPUTED_VALUE"""),3.1895257E7)</f>
        <v>31895257</v>
      </c>
    </row>
    <row r="69">
      <c r="A69" s="7">
        <f>IFERROR(__xludf.DUMMYFUNCTION("""COMPUTED_VALUE"""),45667.64583333333)</f>
        <v>45667.64583</v>
      </c>
      <c r="B69" s="6">
        <f>IFERROR(__xludf.DUMMYFUNCTION("""COMPUTED_VALUE"""),484.05)</f>
        <v>484.05</v>
      </c>
      <c r="C69" s="6">
        <f>IFERROR(__xludf.DUMMYFUNCTION("""COMPUTED_VALUE"""),494.55)</f>
        <v>494.55</v>
      </c>
      <c r="D69" s="6">
        <f>IFERROR(__xludf.DUMMYFUNCTION("""COMPUTED_VALUE"""),454.0)</f>
        <v>454</v>
      </c>
      <c r="E69" s="6">
        <f>IFERROR(__xludf.DUMMYFUNCTION("""COMPUTED_VALUE"""),455.85)</f>
        <v>455.85</v>
      </c>
      <c r="F69" s="6">
        <f>IFERROR(__xludf.DUMMYFUNCTION("""COMPUTED_VALUE"""),2.8443969E7)</f>
        <v>28443969</v>
      </c>
    </row>
    <row r="70">
      <c r="A70" s="7">
        <f>IFERROR(__xludf.DUMMYFUNCTION("""COMPUTED_VALUE"""),45674.64583333333)</f>
        <v>45674.64583</v>
      </c>
      <c r="B70" s="6">
        <f>IFERROR(__xludf.DUMMYFUNCTION("""COMPUTED_VALUE"""),465.0)</f>
        <v>465</v>
      </c>
      <c r="C70" s="6">
        <f>IFERROR(__xludf.DUMMYFUNCTION("""COMPUTED_VALUE"""),484.4)</f>
        <v>484.4</v>
      </c>
      <c r="D70" s="6">
        <f>IFERROR(__xludf.DUMMYFUNCTION("""COMPUTED_VALUE"""),448.85)</f>
        <v>448.85</v>
      </c>
      <c r="E70" s="6">
        <f>IFERROR(__xludf.DUMMYFUNCTION("""COMPUTED_VALUE"""),474.8)</f>
        <v>474.8</v>
      </c>
      <c r="F70" s="6">
        <f>IFERROR(__xludf.DUMMYFUNCTION("""COMPUTED_VALUE"""),1.8726179E7)</f>
        <v>18726179</v>
      </c>
    </row>
    <row r="71">
      <c r="A71" s="7">
        <f>IFERROR(__xludf.DUMMYFUNCTION("""COMPUTED_VALUE"""),45681.64583333333)</f>
        <v>45681.64583</v>
      </c>
      <c r="B71" s="6">
        <f>IFERROR(__xludf.DUMMYFUNCTION("""COMPUTED_VALUE"""),474.8)</f>
        <v>474.8</v>
      </c>
      <c r="C71" s="6">
        <f>IFERROR(__xludf.DUMMYFUNCTION("""COMPUTED_VALUE"""),489.9)</f>
        <v>489.9</v>
      </c>
      <c r="D71" s="6">
        <f>IFERROR(__xludf.DUMMYFUNCTION("""COMPUTED_VALUE"""),423.05)</f>
        <v>423.05</v>
      </c>
      <c r="E71" s="6">
        <f>IFERROR(__xludf.DUMMYFUNCTION("""COMPUTED_VALUE"""),424.5)</f>
        <v>424.5</v>
      </c>
      <c r="F71" s="6">
        <f>IFERROR(__xludf.DUMMYFUNCTION("""COMPUTED_VALUE"""),1.6863147E7)</f>
        <v>16863147</v>
      </c>
    </row>
    <row r="72">
      <c r="A72" s="7">
        <f>IFERROR(__xludf.DUMMYFUNCTION("""COMPUTED_VALUE"""),45695.64583333333)</f>
        <v>45695.64583</v>
      </c>
      <c r="B72" s="6">
        <f>IFERROR(__xludf.DUMMYFUNCTION("""COMPUTED_VALUE"""),410.55)</f>
        <v>410.55</v>
      </c>
      <c r="C72" s="6">
        <f>IFERROR(__xludf.DUMMYFUNCTION("""COMPUTED_VALUE"""),436.5)</f>
        <v>436.5</v>
      </c>
      <c r="D72" s="6">
        <f>IFERROR(__xludf.DUMMYFUNCTION("""COMPUTED_VALUE"""),389.35)</f>
        <v>389.35</v>
      </c>
      <c r="E72" s="6">
        <f>IFERROR(__xludf.DUMMYFUNCTION("""COMPUTED_VALUE"""),424.8)</f>
        <v>424.8</v>
      </c>
      <c r="F72" s="6">
        <f>IFERROR(__xludf.DUMMYFUNCTION("""COMPUTED_VALUE"""),1.3429354E7)</f>
        <v>13429354</v>
      </c>
    </row>
    <row r="73">
      <c r="A73" s="7">
        <f>IFERROR(__xludf.DUMMYFUNCTION("""COMPUTED_VALUE"""),45702.64583333333)</f>
        <v>45702.64583</v>
      </c>
      <c r="B73" s="6">
        <f>IFERROR(__xludf.DUMMYFUNCTION("""COMPUTED_VALUE"""),414.8)</f>
        <v>414.8</v>
      </c>
      <c r="C73" s="6">
        <f>IFERROR(__xludf.DUMMYFUNCTION("""COMPUTED_VALUE"""),421.1)</f>
        <v>421.1</v>
      </c>
      <c r="D73" s="6">
        <f>IFERROR(__xludf.DUMMYFUNCTION("""COMPUTED_VALUE"""),390.1)</f>
        <v>390.1</v>
      </c>
      <c r="E73" s="6">
        <f>IFERROR(__xludf.DUMMYFUNCTION("""COMPUTED_VALUE"""),396.35)</f>
        <v>396.35</v>
      </c>
      <c r="F73" s="6">
        <f>IFERROR(__xludf.DUMMYFUNCTION("""COMPUTED_VALUE"""),2.1020712E7)</f>
        <v>21020712</v>
      </c>
    </row>
    <row r="74">
      <c r="A74" s="7">
        <f>IFERROR(__xludf.DUMMYFUNCTION("""COMPUTED_VALUE"""),45709.64583333333)</f>
        <v>45709.64583</v>
      </c>
      <c r="B74" s="6">
        <f>IFERROR(__xludf.DUMMYFUNCTION("""COMPUTED_VALUE"""),384.95)</f>
        <v>384.95</v>
      </c>
      <c r="C74" s="6">
        <f>IFERROR(__xludf.DUMMYFUNCTION("""COMPUTED_VALUE"""),412.35)</f>
        <v>412.35</v>
      </c>
      <c r="D74" s="6">
        <f>IFERROR(__xludf.DUMMYFUNCTION("""COMPUTED_VALUE"""),375.0)</f>
        <v>375</v>
      </c>
      <c r="E74" s="6">
        <f>IFERROR(__xludf.DUMMYFUNCTION("""COMPUTED_VALUE"""),392.4)</f>
        <v>392.4</v>
      </c>
      <c r="F74" s="6">
        <f>IFERROR(__xludf.DUMMYFUNCTION("""COMPUTED_VALUE"""),1.3567015E7)</f>
        <v>13567015</v>
      </c>
    </row>
    <row r="75">
      <c r="A75" s="7">
        <f>IFERROR(__xludf.DUMMYFUNCTION("""COMPUTED_VALUE"""),45716.64583333333)</f>
        <v>45716.64583</v>
      </c>
      <c r="B75" s="6">
        <f>IFERROR(__xludf.DUMMYFUNCTION("""COMPUTED_VALUE"""),392.4)</f>
        <v>392.4</v>
      </c>
      <c r="C75" s="6">
        <f>IFERROR(__xludf.DUMMYFUNCTION("""COMPUTED_VALUE"""),393.45)</f>
        <v>393.45</v>
      </c>
      <c r="D75" s="6">
        <f>IFERROR(__xludf.DUMMYFUNCTION("""COMPUTED_VALUE"""),340.95)</f>
        <v>340.95</v>
      </c>
      <c r="E75" s="6">
        <f>IFERROR(__xludf.DUMMYFUNCTION("""COMPUTED_VALUE"""),342.7)</f>
        <v>342.7</v>
      </c>
      <c r="F75" s="6">
        <f>IFERROR(__xludf.DUMMYFUNCTION("""COMPUTED_VALUE"""),1.3508529E7)</f>
        <v>13508529</v>
      </c>
    </row>
    <row r="76">
      <c r="A76" s="7">
        <f>IFERROR(__xludf.DUMMYFUNCTION("""COMPUTED_VALUE"""),45723.64583333333)</f>
        <v>45723.64583</v>
      </c>
      <c r="B76" s="6">
        <f>IFERROR(__xludf.DUMMYFUNCTION("""COMPUTED_VALUE"""),345.1)</f>
        <v>345.1</v>
      </c>
      <c r="C76" s="6">
        <f>IFERROR(__xludf.DUMMYFUNCTION("""COMPUTED_VALUE"""),376.5)</f>
        <v>376.5</v>
      </c>
      <c r="D76" s="6">
        <f>IFERROR(__xludf.DUMMYFUNCTION("""COMPUTED_VALUE"""),328.15)</f>
        <v>328.15</v>
      </c>
      <c r="E76" s="6">
        <f>IFERROR(__xludf.DUMMYFUNCTION("""COMPUTED_VALUE"""),369.75)</f>
        <v>369.75</v>
      </c>
      <c r="F76" s="6">
        <f>IFERROR(__xludf.DUMMYFUNCTION("""COMPUTED_VALUE"""),1.8038458E7)</f>
        <v>18038458</v>
      </c>
    </row>
    <row r="77">
      <c r="A77" s="7">
        <f>IFERROR(__xludf.DUMMYFUNCTION("""COMPUTED_VALUE"""),45729.64583333333)</f>
        <v>45729.64583</v>
      </c>
      <c r="B77" s="6">
        <f>IFERROR(__xludf.DUMMYFUNCTION("""COMPUTED_VALUE"""),371.0)</f>
        <v>371</v>
      </c>
      <c r="C77" s="6">
        <f>IFERROR(__xludf.DUMMYFUNCTION("""COMPUTED_VALUE"""),382.0)</f>
        <v>382</v>
      </c>
      <c r="D77" s="6">
        <f>IFERROR(__xludf.DUMMYFUNCTION("""COMPUTED_VALUE"""),353.75)</f>
        <v>353.75</v>
      </c>
      <c r="E77" s="6">
        <f>IFERROR(__xludf.DUMMYFUNCTION("""COMPUTED_VALUE"""),375.5)</f>
        <v>375.5</v>
      </c>
      <c r="F77" s="6">
        <f>IFERROR(__xludf.DUMMYFUNCTION("""COMPUTED_VALUE"""),1.1181067E7)</f>
        <v>11181067</v>
      </c>
    </row>
    <row r="78">
      <c r="A78" s="7">
        <f>IFERROR(__xludf.DUMMYFUNCTION("""COMPUTED_VALUE"""),45737.64583333333)</f>
        <v>45737.64583</v>
      </c>
      <c r="B78" s="6">
        <f>IFERROR(__xludf.DUMMYFUNCTION("""COMPUTED_VALUE"""),380.3)</f>
        <v>380.3</v>
      </c>
      <c r="C78" s="6">
        <f>IFERROR(__xludf.DUMMYFUNCTION("""COMPUTED_VALUE"""),400.5)</f>
        <v>400.5</v>
      </c>
      <c r="D78" s="6">
        <f>IFERROR(__xludf.DUMMYFUNCTION("""COMPUTED_VALUE"""),375.75)</f>
        <v>375.75</v>
      </c>
      <c r="E78" s="6">
        <f>IFERROR(__xludf.DUMMYFUNCTION("""COMPUTED_VALUE"""),393.6)</f>
        <v>393.6</v>
      </c>
      <c r="F78" s="6">
        <f>IFERROR(__xludf.DUMMYFUNCTION("""COMPUTED_VALUE"""),1.0354963E7)</f>
        <v>10354963</v>
      </c>
    </row>
    <row r="79">
      <c r="A79" s="7">
        <f>IFERROR(__xludf.DUMMYFUNCTION("""COMPUTED_VALUE"""),45744.64583333333)</f>
        <v>45744.64583</v>
      </c>
      <c r="B79" s="6">
        <f>IFERROR(__xludf.DUMMYFUNCTION("""COMPUTED_VALUE"""),398.0)</f>
        <v>398</v>
      </c>
      <c r="C79" s="6">
        <f>IFERROR(__xludf.DUMMYFUNCTION("""COMPUTED_VALUE"""),404.4)</f>
        <v>404.4</v>
      </c>
      <c r="D79" s="6">
        <f>IFERROR(__xludf.DUMMYFUNCTION("""COMPUTED_VALUE"""),379.15)</f>
        <v>379.15</v>
      </c>
      <c r="E79" s="6">
        <f>IFERROR(__xludf.DUMMYFUNCTION("""COMPUTED_VALUE"""),386.75)</f>
        <v>386.75</v>
      </c>
      <c r="F79" s="6">
        <f>IFERROR(__xludf.DUMMYFUNCTION("""COMPUTED_VALUE"""),1.7373842E7)</f>
        <v>17373842</v>
      </c>
    </row>
    <row r="80">
      <c r="A80" s="7">
        <f>IFERROR(__xludf.DUMMYFUNCTION("""COMPUTED_VALUE"""),45751.64583333333)</f>
        <v>45751.64583</v>
      </c>
      <c r="B80" s="6">
        <f>IFERROR(__xludf.DUMMYFUNCTION("""COMPUTED_VALUE"""),386.75)</f>
        <v>386.75</v>
      </c>
      <c r="C80" s="6">
        <f>IFERROR(__xludf.DUMMYFUNCTION("""COMPUTED_VALUE"""),394.85)</f>
        <v>394.85</v>
      </c>
      <c r="D80" s="6">
        <f>IFERROR(__xludf.DUMMYFUNCTION("""COMPUTED_VALUE"""),354.6)</f>
        <v>354.6</v>
      </c>
      <c r="E80" s="6">
        <f>IFERROR(__xludf.DUMMYFUNCTION("""COMPUTED_VALUE"""),357.75)</f>
        <v>357.75</v>
      </c>
      <c r="F80" s="6">
        <f>IFERROR(__xludf.DUMMYFUNCTION("""COMPUTED_VALUE"""),1.1346683E7)</f>
        <v>11346683</v>
      </c>
    </row>
    <row r="81">
      <c r="A81" s="7">
        <f>IFERROR(__xludf.DUMMYFUNCTION("""COMPUTED_VALUE"""),45758.64583333333)</f>
        <v>45758.64583</v>
      </c>
      <c r="B81" s="6">
        <f>IFERROR(__xludf.DUMMYFUNCTION("""COMPUTED_VALUE"""),327.85)</f>
        <v>327.85</v>
      </c>
      <c r="C81" s="6">
        <f>IFERROR(__xludf.DUMMYFUNCTION("""COMPUTED_VALUE"""),361.1)</f>
        <v>361.1</v>
      </c>
      <c r="D81" s="6">
        <f>IFERROR(__xludf.DUMMYFUNCTION("""COMPUTED_VALUE"""),325.0)</f>
        <v>325</v>
      </c>
      <c r="E81" s="6">
        <f>IFERROR(__xludf.DUMMYFUNCTION("""COMPUTED_VALUE"""),358.9)</f>
        <v>358.9</v>
      </c>
      <c r="F81" s="6">
        <f>IFERROR(__xludf.DUMMYFUNCTION("""COMPUTED_VALUE"""),1.26578E7)</f>
        <v>12657800</v>
      </c>
    </row>
    <row r="82">
      <c r="A82" s="7">
        <f>IFERROR(__xludf.DUMMYFUNCTION("""COMPUTED_VALUE"""),45764.64583333333)</f>
        <v>45764.64583</v>
      </c>
      <c r="B82" s="6">
        <f>IFERROR(__xludf.DUMMYFUNCTION("""COMPUTED_VALUE"""),367.0)</f>
        <v>367</v>
      </c>
      <c r="C82" s="6">
        <f>IFERROR(__xludf.DUMMYFUNCTION("""COMPUTED_VALUE"""),386.7)</f>
        <v>386.7</v>
      </c>
      <c r="D82" s="6">
        <f>IFERROR(__xludf.DUMMYFUNCTION("""COMPUTED_VALUE"""),361.3)</f>
        <v>361.3</v>
      </c>
      <c r="E82" s="6">
        <f>IFERROR(__xludf.DUMMYFUNCTION("""COMPUTED_VALUE"""),384.4)</f>
        <v>384.4</v>
      </c>
      <c r="F82" s="6">
        <f>IFERROR(__xludf.DUMMYFUNCTION("""COMPUTED_VALUE"""),7239205.0)</f>
        <v>7239205</v>
      </c>
    </row>
    <row r="83">
      <c r="A83" s="7">
        <f>IFERROR(__xludf.DUMMYFUNCTION("""COMPUTED_VALUE"""),45772.64583333333)</f>
        <v>45772.64583</v>
      </c>
      <c r="B83" s="6">
        <f>IFERROR(__xludf.DUMMYFUNCTION("""COMPUTED_VALUE"""),386.1)</f>
        <v>386.1</v>
      </c>
      <c r="C83" s="6">
        <f>IFERROR(__xludf.DUMMYFUNCTION("""COMPUTED_VALUE"""),412.8)</f>
        <v>412.8</v>
      </c>
      <c r="D83" s="6">
        <f>IFERROR(__xludf.DUMMYFUNCTION("""COMPUTED_VALUE"""),381.35)</f>
        <v>381.35</v>
      </c>
      <c r="E83" s="6">
        <f>IFERROR(__xludf.DUMMYFUNCTION("""COMPUTED_VALUE"""),399.35)</f>
        <v>399.35</v>
      </c>
      <c r="F83" s="6">
        <f>IFERROR(__xludf.DUMMYFUNCTION("""COMPUTED_VALUE"""),1.3997726E7)</f>
        <v>13997726</v>
      </c>
    </row>
    <row r="84">
      <c r="A84" s="7">
        <f>IFERROR(__xludf.DUMMYFUNCTION("""COMPUTED_VALUE"""),45779.64583333333)</f>
        <v>45779.64583</v>
      </c>
      <c r="B84" s="6">
        <f>IFERROR(__xludf.DUMMYFUNCTION("""COMPUTED_VALUE"""),397.75)</f>
        <v>397.75</v>
      </c>
      <c r="C84" s="6">
        <f>IFERROR(__xludf.DUMMYFUNCTION("""COMPUTED_VALUE"""),416.5)</f>
        <v>416.5</v>
      </c>
      <c r="D84" s="6">
        <f>IFERROR(__xludf.DUMMYFUNCTION("""COMPUTED_VALUE"""),393.5)</f>
        <v>393.5</v>
      </c>
      <c r="E84" s="6">
        <f>IFERROR(__xludf.DUMMYFUNCTION("""COMPUTED_VALUE"""),404.9)</f>
        <v>404.9</v>
      </c>
      <c r="F84" s="6">
        <f>IFERROR(__xludf.DUMMYFUNCTION("""COMPUTED_VALUE"""),1.0611376E7)</f>
        <v>10611376</v>
      </c>
    </row>
    <row r="85">
      <c r="A85" s="7">
        <f>IFERROR(__xludf.DUMMYFUNCTION("""COMPUTED_VALUE"""),45786.64583333333)</f>
        <v>45786.64583</v>
      </c>
      <c r="B85" s="6">
        <f>IFERROR(__xludf.DUMMYFUNCTION("""COMPUTED_VALUE"""),400.0)</f>
        <v>400</v>
      </c>
      <c r="C85" s="6">
        <f>IFERROR(__xludf.DUMMYFUNCTION("""COMPUTED_VALUE"""),415.0)</f>
        <v>415</v>
      </c>
      <c r="D85" s="6">
        <f>IFERROR(__xludf.DUMMYFUNCTION("""COMPUTED_VALUE"""),388.7)</f>
        <v>388.7</v>
      </c>
      <c r="E85" s="6">
        <f>IFERROR(__xludf.DUMMYFUNCTION("""COMPUTED_VALUE"""),403.3)</f>
        <v>403.3</v>
      </c>
      <c r="F85" s="6">
        <f>IFERROR(__xludf.DUMMYFUNCTION("""COMPUTED_VALUE"""),1.1649199E7)</f>
        <v>11649199</v>
      </c>
    </row>
    <row r="86">
      <c r="A86" s="7">
        <f>IFERROR(__xludf.DUMMYFUNCTION("""COMPUTED_VALUE"""),45793.64583333333)</f>
        <v>45793.64583</v>
      </c>
      <c r="B86" s="6">
        <f>IFERROR(__xludf.DUMMYFUNCTION("""COMPUTED_VALUE"""),409.5)</f>
        <v>409.5</v>
      </c>
      <c r="C86" s="6">
        <f>IFERROR(__xludf.DUMMYFUNCTION("""COMPUTED_VALUE"""),428.85)</f>
        <v>428.85</v>
      </c>
      <c r="D86" s="6">
        <f>IFERROR(__xludf.DUMMYFUNCTION("""COMPUTED_VALUE"""),406.55)</f>
        <v>406.55</v>
      </c>
      <c r="E86" s="6">
        <f>IFERROR(__xludf.DUMMYFUNCTION("""COMPUTED_VALUE"""),423.9)</f>
        <v>423.9</v>
      </c>
      <c r="F86" s="6">
        <f>IFERROR(__xludf.DUMMYFUNCTION("""COMPUTED_VALUE"""),1.2670178E7)</f>
        <v>12670178</v>
      </c>
    </row>
    <row r="87">
      <c r="A87" s="7">
        <f>IFERROR(__xludf.DUMMYFUNCTION("""COMPUTED_VALUE"""),45800.64583333333)</f>
        <v>45800.64583</v>
      </c>
      <c r="B87" s="6">
        <f>IFERROR(__xludf.DUMMYFUNCTION("""COMPUTED_VALUE"""),426.05)</f>
        <v>426.05</v>
      </c>
      <c r="C87" s="6">
        <f>IFERROR(__xludf.DUMMYFUNCTION("""COMPUTED_VALUE"""),434.0)</f>
        <v>434</v>
      </c>
      <c r="D87" s="6">
        <f>IFERROR(__xludf.DUMMYFUNCTION("""COMPUTED_VALUE"""),404.1)</f>
        <v>404.1</v>
      </c>
      <c r="E87" s="6">
        <f>IFERROR(__xludf.DUMMYFUNCTION("""COMPUTED_VALUE"""),425.95)</f>
        <v>425.95</v>
      </c>
      <c r="F87" s="6">
        <f>IFERROR(__xludf.DUMMYFUNCTION("""COMPUTED_VALUE"""),1.5474996E7)</f>
        <v>15474996</v>
      </c>
    </row>
    <row r="88">
      <c r="A88" s="7">
        <f>IFERROR(__xludf.DUMMYFUNCTION("""COMPUTED_VALUE"""),45807.64583333333)</f>
        <v>45807.64583</v>
      </c>
      <c r="B88" s="6">
        <f>IFERROR(__xludf.DUMMYFUNCTION("""COMPUTED_VALUE"""),428.05)</f>
        <v>428.05</v>
      </c>
      <c r="C88" s="6">
        <f>IFERROR(__xludf.DUMMYFUNCTION("""COMPUTED_VALUE"""),448.25)</f>
        <v>448.25</v>
      </c>
      <c r="D88" s="6">
        <f>IFERROR(__xludf.DUMMYFUNCTION("""COMPUTED_VALUE"""),424.3)</f>
        <v>424.3</v>
      </c>
      <c r="E88" s="6">
        <f>IFERROR(__xludf.DUMMYFUNCTION("""COMPUTED_VALUE"""),426.8)</f>
        <v>426.8</v>
      </c>
      <c r="F88" s="6">
        <f>IFERROR(__xludf.DUMMYFUNCTION("""COMPUTED_VALUE"""),1.381415E7)</f>
        <v>13814150</v>
      </c>
    </row>
    <row r="89">
      <c r="A89" s="7">
        <f>IFERROR(__xludf.DUMMYFUNCTION("""COMPUTED_VALUE"""),45814.64583333333)</f>
        <v>45814.64583</v>
      </c>
      <c r="B89" s="6">
        <f>IFERROR(__xludf.DUMMYFUNCTION("""COMPUTED_VALUE"""),428.0)</f>
        <v>428</v>
      </c>
      <c r="C89" s="6">
        <f>IFERROR(__xludf.DUMMYFUNCTION("""COMPUTED_VALUE"""),429.7)</f>
        <v>429.7</v>
      </c>
      <c r="D89" s="6">
        <f>IFERROR(__xludf.DUMMYFUNCTION("""COMPUTED_VALUE"""),414.3)</f>
        <v>414.3</v>
      </c>
      <c r="E89" s="6">
        <f>IFERROR(__xludf.DUMMYFUNCTION("""COMPUTED_VALUE"""),424.45)</f>
        <v>424.45</v>
      </c>
      <c r="F89" s="6">
        <f>IFERROR(__xludf.DUMMYFUNCTION("""COMPUTED_VALUE"""),9285542.0)</f>
        <v>9285542</v>
      </c>
    </row>
    <row r="90">
      <c r="A90" s="7">
        <f>IFERROR(__xludf.DUMMYFUNCTION("""COMPUTED_VALUE"""),45821.64583333333)</f>
        <v>45821.64583</v>
      </c>
      <c r="B90" s="6">
        <f>IFERROR(__xludf.DUMMYFUNCTION("""COMPUTED_VALUE"""),425.95)</f>
        <v>425.95</v>
      </c>
      <c r="C90" s="6">
        <f>IFERROR(__xludf.DUMMYFUNCTION("""COMPUTED_VALUE"""),489.0)</f>
        <v>489</v>
      </c>
      <c r="D90" s="6">
        <f>IFERROR(__xludf.DUMMYFUNCTION("""COMPUTED_VALUE"""),424.5)</f>
        <v>424.5</v>
      </c>
      <c r="E90" s="6">
        <f>IFERROR(__xludf.DUMMYFUNCTION("""COMPUTED_VALUE"""),477.75)</f>
        <v>477.75</v>
      </c>
      <c r="F90" s="6">
        <f>IFERROR(__xludf.DUMMYFUNCTION("""COMPUTED_VALUE"""),5.8178912E7)</f>
        <v>58178912</v>
      </c>
    </row>
    <row r="91">
      <c r="A91" s="7">
        <f>IFERROR(__xludf.DUMMYFUNCTION("""COMPUTED_VALUE"""),45828.64583333333)</f>
        <v>45828.64583</v>
      </c>
      <c r="B91" s="6">
        <f>IFERROR(__xludf.DUMMYFUNCTION("""COMPUTED_VALUE"""),484.95)</f>
        <v>484.95</v>
      </c>
      <c r="C91" s="6">
        <f>IFERROR(__xludf.DUMMYFUNCTION("""COMPUTED_VALUE"""),491.5)</f>
        <v>491.5</v>
      </c>
      <c r="D91" s="6">
        <f>IFERROR(__xludf.DUMMYFUNCTION("""COMPUTED_VALUE"""),461.15)</f>
        <v>461.15</v>
      </c>
      <c r="E91" s="6">
        <f>IFERROR(__xludf.DUMMYFUNCTION("""COMPUTED_VALUE"""),464.9)</f>
        <v>464.9</v>
      </c>
      <c r="F91" s="6">
        <f>IFERROR(__xludf.DUMMYFUNCTION("""COMPUTED_VALUE"""),2.7415208E7)</f>
        <v>27415208</v>
      </c>
    </row>
    <row r="92">
      <c r="A92" s="7">
        <f>IFERROR(__xludf.DUMMYFUNCTION("""COMPUTED_VALUE"""),45835.64583333333)</f>
        <v>45835.64583</v>
      </c>
      <c r="B92" s="6">
        <f>IFERROR(__xludf.DUMMYFUNCTION("""COMPUTED_VALUE"""),472.0)</f>
        <v>472</v>
      </c>
      <c r="C92" s="6">
        <f>IFERROR(__xludf.DUMMYFUNCTION("""COMPUTED_VALUE"""),476.95)</f>
        <v>476.95</v>
      </c>
      <c r="D92" s="6">
        <f>IFERROR(__xludf.DUMMYFUNCTION("""COMPUTED_VALUE"""),431.0)</f>
        <v>431</v>
      </c>
      <c r="E92" s="6">
        <f>IFERROR(__xludf.DUMMYFUNCTION("""COMPUTED_VALUE"""),433.4)</f>
        <v>433.4</v>
      </c>
      <c r="F92" s="6">
        <f>IFERROR(__xludf.DUMMYFUNCTION("""COMPUTED_VALUE"""),3.6171403E7)</f>
        <v>36171403</v>
      </c>
    </row>
    <row r="93">
      <c r="A93" s="7">
        <f>IFERROR(__xludf.DUMMYFUNCTION("""COMPUTED_VALUE"""),45842.64583333333)</f>
        <v>45842.64583</v>
      </c>
      <c r="B93" s="6">
        <f>IFERROR(__xludf.DUMMYFUNCTION("""COMPUTED_VALUE"""),435.5)</f>
        <v>435.5</v>
      </c>
      <c r="C93" s="6">
        <f>IFERROR(__xludf.DUMMYFUNCTION("""COMPUTED_VALUE"""),454.35)</f>
        <v>454.35</v>
      </c>
      <c r="D93" s="6">
        <f>IFERROR(__xludf.DUMMYFUNCTION("""COMPUTED_VALUE"""),430.3)</f>
        <v>430.3</v>
      </c>
      <c r="E93" s="6">
        <f>IFERROR(__xludf.DUMMYFUNCTION("""COMPUTED_VALUE"""),445.75)</f>
        <v>445.75</v>
      </c>
      <c r="F93" s="6">
        <f>IFERROR(__xludf.DUMMYFUNCTION("""COMPUTED_VALUE"""),2.0226328E7)</f>
        <v>20226328</v>
      </c>
    </row>
    <row r="94">
      <c r="A94" s="7">
        <f>IFERROR(__xludf.DUMMYFUNCTION("""COMPUTED_VALUE"""),45849.64583333333)</f>
        <v>45849.64583</v>
      </c>
      <c r="B94" s="6">
        <f>IFERROR(__xludf.DUMMYFUNCTION("""COMPUTED_VALUE"""),445.75)</f>
        <v>445.75</v>
      </c>
      <c r="C94" s="6">
        <f>IFERROR(__xludf.DUMMYFUNCTION("""COMPUTED_VALUE"""),449.8)</f>
        <v>449.8</v>
      </c>
      <c r="D94" s="6">
        <f>IFERROR(__xludf.DUMMYFUNCTION("""COMPUTED_VALUE"""),427.0)</f>
        <v>427</v>
      </c>
      <c r="E94" s="6">
        <f>IFERROR(__xludf.DUMMYFUNCTION("""COMPUTED_VALUE"""),432.3)</f>
        <v>432.3</v>
      </c>
      <c r="F94" s="6">
        <f>IFERROR(__xludf.DUMMYFUNCTION("""COMPUTED_VALUE"""),9546681.0)</f>
        <v>9546681</v>
      </c>
    </row>
    <row r="95">
      <c r="A95" s="7">
        <f>IFERROR(__xludf.DUMMYFUNCTION("""COMPUTED_VALUE"""),45856.64583333333)</f>
        <v>45856.64583</v>
      </c>
      <c r="B95" s="6">
        <f>IFERROR(__xludf.DUMMYFUNCTION("""COMPUTED_VALUE"""),433.0)</f>
        <v>433</v>
      </c>
      <c r="C95" s="6">
        <f>IFERROR(__xludf.DUMMYFUNCTION("""COMPUTED_VALUE"""),452.3)</f>
        <v>452.3</v>
      </c>
      <c r="D95" s="6">
        <f>IFERROR(__xludf.DUMMYFUNCTION("""COMPUTED_VALUE"""),430.9)</f>
        <v>430.9</v>
      </c>
      <c r="E95" s="6">
        <f>IFERROR(__xludf.DUMMYFUNCTION("""COMPUTED_VALUE"""),447.9)</f>
        <v>447.9</v>
      </c>
      <c r="F95" s="6">
        <f>IFERROR(__xludf.DUMMYFUNCTION("""COMPUTED_VALUE"""),8851982.0)</f>
        <v>8851982</v>
      </c>
    </row>
    <row r="96">
      <c r="A96" s="7">
        <f>IFERROR(__xludf.DUMMYFUNCTION("""COMPUTED_VALUE"""),45863.64583333333)</f>
        <v>45863.64583</v>
      </c>
      <c r="B96" s="6">
        <f>IFERROR(__xludf.DUMMYFUNCTION("""COMPUTED_VALUE"""),447.0)</f>
        <v>447</v>
      </c>
      <c r="C96" s="6">
        <f>IFERROR(__xludf.DUMMYFUNCTION("""COMPUTED_VALUE"""),456.0)</f>
        <v>456</v>
      </c>
      <c r="D96" s="6">
        <f>IFERROR(__xludf.DUMMYFUNCTION("""COMPUTED_VALUE"""),433.05)</f>
        <v>433.05</v>
      </c>
      <c r="E96" s="6">
        <f>IFERROR(__xludf.DUMMYFUNCTION("""COMPUTED_VALUE"""),434.75)</f>
        <v>434.75</v>
      </c>
      <c r="F96" s="6">
        <f>IFERROR(__xludf.DUMMYFUNCTION("""COMPUTED_VALUE"""),8467116.0)</f>
        <v>8467116</v>
      </c>
    </row>
    <row r="97">
      <c r="A97" s="7">
        <f>IFERROR(__xludf.DUMMYFUNCTION("""COMPUTED_VALUE"""),45870.64583333333)</f>
        <v>45870.64583</v>
      </c>
      <c r="B97" s="6">
        <f>IFERROR(__xludf.DUMMYFUNCTION("""COMPUTED_VALUE"""),436.8)</f>
        <v>436.8</v>
      </c>
      <c r="C97" s="6">
        <f>IFERROR(__xludf.DUMMYFUNCTION("""COMPUTED_VALUE"""),449.5)</f>
        <v>449.5</v>
      </c>
      <c r="D97" s="6">
        <f>IFERROR(__xludf.DUMMYFUNCTION("""COMPUTED_VALUE"""),425.0)</f>
        <v>425</v>
      </c>
      <c r="E97" s="6">
        <f>IFERROR(__xludf.DUMMYFUNCTION("""COMPUTED_VALUE"""),434.05)</f>
        <v>434.05</v>
      </c>
      <c r="F97" s="6">
        <f>IFERROR(__xludf.DUMMYFUNCTION("""COMPUTED_VALUE"""),8190761.0)</f>
        <v>8190761</v>
      </c>
    </row>
    <row r="98">
      <c r="A98" s="7">
        <f>IFERROR(__xludf.DUMMYFUNCTION("""COMPUTED_VALUE"""),45877.64583333333)</f>
        <v>45877.64583</v>
      </c>
      <c r="B98" s="6">
        <f>IFERROR(__xludf.DUMMYFUNCTION("""COMPUTED_VALUE"""),437.0)</f>
        <v>437</v>
      </c>
      <c r="C98" s="6">
        <f>IFERROR(__xludf.DUMMYFUNCTION("""COMPUTED_VALUE"""),437.4)</f>
        <v>437.4</v>
      </c>
      <c r="D98" s="6">
        <f>IFERROR(__xludf.DUMMYFUNCTION("""COMPUTED_VALUE"""),419.7)</f>
        <v>419.7</v>
      </c>
      <c r="E98" s="6">
        <f>IFERROR(__xludf.DUMMYFUNCTION("""COMPUTED_VALUE"""),432.4)</f>
        <v>432.4</v>
      </c>
      <c r="F98" s="6">
        <f>IFERROR(__xludf.DUMMYFUNCTION("""COMPUTED_VALUE"""),8771061.0)</f>
        <v>8771061</v>
      </c>
    </row>
    <row r="99">
      <c r="A99" s="7">
        <f>IFERROR(__xludf.DUMMYFUNCTION("""COMPUTED_VALUE"""),45883.64583333333)</f>
        <v>45883.64583</v>
      </c>
      <c r="B99" s="6">
        <f>IFERROR(__xludf.DUMMYFUNCTION("""COMPUTED_VALUE"""),432.0)</f>
        <v>432</v>
      </c>
      <c r="C99" s="6">
        <f>IFERROR(__xludf.DUMMYFUNCTION("""COMPUTED_VALUE"""),433.3)</f>
        <v>433.3</v>
      </c>
      <c r="D99" s="6">
        <f>IFERROR(__xludf.DUMMYFUNCTION("""COMPUTED_VALUE"""),396.5)</f>
        <v>396.5</v>
      </c>
      <c r="E99" s="6">
        <f>IFERROR(__xludf.DUMMYFUNCTION("""COMPUTED_VALUE"""),400.75)</f>
        <v>400.75</v>
      </c>
      <c r="F99" s="6">
        <f>IFERROR(__xludf.DUMMYFUNCTION("""COMPUTED_VALUE"""),1.3976826E7)</f>
        <v>13976826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IFERROR(__xludf.DUMMYFUNCTION("""COMPUTED_VALUE"""),406.0)</f>
        <v>406</v>
      </c>
      <c r="C100" s="6">
        <f>IFERROR(__xludf.DUMMYFUNCTION("""COMPUTED_VALUE"""),413.9)</f>
        <v>413.9</v>
      </c>
      <c r="D100" s="6">
        <f>IFERROR(__xludf.DUMMYFUNCTION("""COMPUTED_VALUE"""),396.7)</f>
        <v>396.7</v>
      </c>
      <c r="E100" s="6">
        <f>IFERROR(__xludf.DUMMYFUNCTION("""COMPUTED_VALUE"""),409.4)</f>
        <v>409.4</v>
      </c>
      <c r="F100" s="6">
        <f>IFERROR(__xludf.DUMMYFUNCTION("""COMPUTED_VALUE"""),8534182.0)</f>
        <v>8534182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IFERROR(__xludf.DUMMYFUNCTION("""COMPUTED_VALUE"""),409.4)</f>
        <v>409.4</v>
      </c>
      <c r="C101" s="6">
        <f>IFERROR(__xludf.DUMMYFUNCTION("""COMPUTED_VALUE"""),410.8)</f>
        <v>410.8</v>
      </c>
      <c r="D101" s="6">
        <f>IFERROR(__xludf.DUMMYFUNCTION("""COMPUTED_VALUE"""),396.7)</f>
        <v>396.7</v>
      </c>
      <c r="E101" s="6">
        <f>IFERROR(__xludf.DUMMYFUNCTION("""COMPUTED_VALUE"""),398.9)</f>
        <v>398.9</v>
      </c>
      <c r="F101" s="6">
        <f>IFERROR(__xludf.DUMMYFUNCTION("""COMPUTED_VALUE"""),2.1843847E7)</f>
        <v>21843847</v>
      </c>
    </row>
  </sheetData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IFERROR(__xludf.DUMMYFUNCTION("GOOGLEFINANCE(""NSE:OLAELEC"",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IFERROR(__xludf.DUMMYFUNCTION("""COMPUTED_VALUE"""),45513.64583333333)</f>
        <v>45513.64583</v>
      </c>
      <c r="B2" s="6">
        <f>IFERROR(__xludf.DUMMYFUNCTION("""COMPUTED_VALUE"""),76.0)</f>
        <v>76</v>
      </c>
      <c r="C2" s="6">
        <f>IFERROR(__xludf.DUMMYFUNCTION("""COMPUTED_VALUE"""),91.2)</f>
        <v>91.2</v>
      </c>
      <c r="D2" s="6">
        <f>IFERROR(__xludf.DUMMYFUNCTION("""COMPUTED_VALUE"""),76.0)</f>
        <v>76</v>
      </c>
      <c r="E2" s="6">
        <f>IFERROR(__xludf.DUMMYFUNCTION("""COMPUTED_VALUE"""),91.2)</f>
        <v>91.2</v>
      </c>
      <c r="F2" s="6">
        <f>IFERROR(__xludf.DUMMYFUNCTION("""COMPUTED_VALUE"""),5.25179173E8)</f>
        <v>525179173</v>
      </c>
    </row>
    <row r="3">
      <c r="A3" s="7">
        <f>IFERROR(__xludf.DUMMYFUNCTION("""COMPUTED_VALUE"""),45520.64583333333)</f>
        <v>45520.64583</v>
      </c>
      <c r="B3" s="6">
        <f>IFERROR(__xludf.DUMMYFUNCTION("""COMPUTED_VALUE"""),97.0)</f>
        <v>97</v>
      </c>
      <c r="C3" s="6">
        <f>IFERROR(__xludf.DUMMYFUNCTION("""COMPUTED_VALUE"""),133.08)</f>
        <v>133.08</v>
      </c>
      <c r="D3" s="6">
        <f>IFERROR(__xludf.DUMMYFUNCTION("""COMPUTED_VALUE"""),95.0)</f>
        <v>95</v>
      </c>
      <c r="E3" s="6">
        <f>IFERROR(__xludf.DUMMYFUNCTION("""COMPUTED_VALUE"""),133.08)</f>
        <v>133.08</v>
      </c>
      <c r="F3" s="6">
        <f>IFERROR(__xludf.DUMMYFUNCTION("""COMPUTED_VALUE"""),1.074642553E9)</f>
        <v>1074642553</v>
      </c>
    </row>
    <row r="4">
      <c r="A4" s="7">
        <f>IFERROR(__xludf.DUMMYFUNCTION("""COMPUTED_VALUE"""),45527.64583333333)</f>
        <v>45527.64583</v>
      </c>
      <c r="B4" s="6">
        <f>IFERROR(__xludf.DUMMYFUNCTION("""COMPUTED_VALUE"""),139.39)</f>
        <v>139.39</v>
      </c>
      <c r="C4" s="6">
        <f>IFERROR(__xludf.DUMMYFUNCTION("""COMPUTED_VALUE"""),157.4)</f>
        <v>157.4</v>
      </c>
      <c r="D4" s="6">
        <f>IFERROR(__xludf.DUMMYFUNCTION("""COMPUTED_VALUE"""),125.55)</f>
        <v>125.55</v>
      </c>
      <c r="E4" s="6">
        <f>IFERROR(__xludf.DUMMYFUNCTION("""COMPUTED_VALUE"""),126.26)</f>
        <v>126.26</v>
      </c>
      <c r="F4" s="6">
        <f>IFERROR(__xludf.DUMMYFUNCTION("""COMPUTED_VALUE"""),7.80667123E8)</f>
        <v>780667123</v>
      </c>
    </row>
    <row r="5">
      <c r="A5" s="7">
        <f>IFERROR(__xludf.DUMMYFUNCTION("""COMPUTED_VALUE"""),45534.64583333333)</f>
        <v>45534.64583</v>
      </c>
      <c r="B5" s="6">
        <f>IFERROR(__xludf.DUMMYFUNCTION("""COMPUTED_VALUE"""),123.43)</f>
        <v>123.43</v>
      </c>
      <c r="C5" s="6">
        <f>IFERROR(__xludf.DUMMYFUNCTION("""COMPUTED_VALUE"""),132.7)</f>
        <v>132.7</v>
      </c>
      <c r="D5" s="6">
        <f>IFERROR(__xludf.DUMMYFUNCTION("""COMPUTED_VALUE"""),117.11)</f>
        <v>117.11</v>
      </c>
      <c r="E5" s="6">
        <f>IFERROR(__xludf.DUMMYFUNCTION("""COMPUTED_VALUE"""),117.93)</f>
        <v>117.93</v>
      </c>
      <c r="F5" s="6">
        <f>IFERROR(__xludf.DUMMYFUNCTION("""COMPUTED_VALUE"""),3.33048991E8)</f>
        <v>333048991</v>
      </c>
    </row>
    <row r="6">
      <c r="A6" s="7">
        <f>IFERROR(__xludf.DUMMYFUNCTION("""COMPUTED_VALUE"""),45541.64583333333)</f>
        <v>45541.64583</v>
      </c>
      <c r="B6" s="6">
        <f>IFERROR(__xludf.DUMMYFUNCTION("""COMPUTED_VALUE"""),118.5)</f>
        <v>118.5</v>
      </c>
      <c r="C6" s="6">
        <f>IFERROR(__xludf.DUMMYFUNCTION("""COMPUTED_VALUE"""),119.95)</f>
        <v>119.95</v>
      </c>
      <c r="D6" s="6">
        <f>IFERROR(__xludf.DUMMYFUNCTION("""COMPUTED_VALUE"""),109.0)</f>
        <v>109</v>
      </c>
      <c r="E6" s="6">
        <f>IFERROR(__xludf.DUMMYFUNCTION("""COMPUTED_VALUE"""),109.57)</f>
        <v>109.57</v>
      </c>
      <c r="F6" s="6">
        <f>IFERROR(__xludf.DUMMYFUNCTION("""COMPUTED_VALUE"""),2.43530312E8)</f>
        <v>243530312</v>
      </c>
    </row>
    <row r="7">
      <c r="A7" s="7">
        <f>IFERROR(__xludf.DUMMYFUNCTION("""COMPUTED_VALUE"""),45548.64583333333)</f>
        <v>45548.64583</v>
      </c>
      <c r="B7" s="6">
        <f>IFERROR(__xludf.DUMMYFUNCTION("""COMPUTED_VALUE"""),110.0)</f>
        <v>110</v>
      </c>
      <c r="C7" s="6">
        <f>IFERROR(__xludf.DUMMYFUNCTION("""COMPUTED_VALUE"""),119.0)</f>
        <v>119</v>
      </c>
      <c r="D7" s="6">
        <f>IFERROR(__xludf.DUMMYFUNCTION("""COMPUTED_VALUE"""),103.5)</f>
        <v>103.5</v>
      </c>
      <c r="E7" s="6">
        <f>IFERROR(__xludf.DUMMYFUNCTION("""COMPUTED_VALUE"""),111.58)</f>
        <v>111.58</v>
      </c>
      <c r="F7" s="6">
        <f>IFERROR(__xludf.DUMMYFUNCTION("""COMPUTED_VALUE"""),2.4150977E8)</f>
        <v>241509770</v>
      </c>
    </row>
    <row r="8">
      <c r="A8" s="7">
        <f>IFERROR(__xludf.DUMMYFUNCTION("""COMPUTED_VALUE"""),45555.64583333333)</f>
        <v>45555.64583</v>
      </c>
      <c r="B8" s="6">
        <f>IFERROR(__xludf.DUMMYFUNCTION("""COMPUTED_VALUE"""),112.0)</f>
        <v>112</v>
      </c>
      <c r="C8" s="6">
        <f>IFERROR(__xludf.DUMMYFUNCTION("""COMPUTED_VALUE"""),123.9)</f>
        <v>123.9</v>
      </c>
      <c r="D8" s="6">
        <f>IFERROR(__xludf.DUMMYFUNCTION("""COMPUTED_VALUE"""),106.9)</f>
        <v>106.9</v>
      </c>
      <c r="E8" s="6">
        <f>IFERROR(__xludf.DUMMYFUNCTION("""COMPUTED_VALUE"""),110.99)</f>
        <v>110.99</v>
      </c>
      <c r="F8" s="6">
        <f>IFERROR(__xludf.DUMMYFUNCTION("""COMPUTED_VALUE"""),3.97356474E8)</f>
        <v>397356474</v>
      </c>
    </row>
    <row r="9">
      <c r="A9" s="7">
        <f>IFERROR(__xludf.DUMMYFUNCTION("""COMPUTED_VALUE"""),45562.64583333333)</f>
        <v>45562.64583</v>
      </c>
      <c r="B9" s="6">
        <f>IFERROR(__xludf.DUMMYFUNCTION("""COMPUTED_VALUE"""),112.0)</f>
        <v>112</v>
      </c>
      <c r="C9" s="6">
        <f>IFERROR(__xludf.DUMMYFUNCTION("""COMPUTED_VALUE"""),112.4)</f>
        <v>112.4</v>
      </c>
      <c r="D9" s="6">
        <f>IFERROR(__xludf.DUMMYFUNCTION("""COMPUTED_VALUE"""),101.0)</f>
        <v>101</v>
      </c>
      <c r="E9" s="6">
        <f>IFERROR(__xludf.DUMMYFUNCTION("""COMPUTED_VALUE"""),102.18)</f>
        <v>102.18</v>
      </c>
      <c r="F9" s="6">
        <f>IFERROR(__xludf.DUMMYFUNCTION("""COMPUTED_VALUE"""),2.05527805E8)</f>
        <v>205527805</v>
      </c>
    </row>
    <row r="10">
      <c r="A10" s="7">
        <f>IFERROR(__xludf.DUMMYFUNCTION("""COMPUTED_VALUE"""),45569.64583333333)</f>
        <v>45569.64583</v>
      </c>
      <c r="B10" s="6">
        <f>IFERROR(__xludf.DUMMYFUNCTION("""COMPUTED_VALUE"""),101.71)</f>
        <v>101.71</v>
      </c>
      <c r="C10" s="6">
        <f>IFERROR(__xludf.DUMMYFUNCTION("""COMPUTED_VALUE"""),103.49)</f>
        <v>103.49</v>
      </c>
      <c r="D10" s="6">
        <f>IFERROR(__xludf.DUMMYFUNCTION("""COMPUTED_VALUE"""),95.39)</f>
        <v>95.39</v>
      </c>
      <c r="E10" s="6">
        <f>IFERROR(__xludf.DUMMYFUNCTION("""COMPUTED_VALUE"""),99.05)</f>
        <v>99.05</v>
      </c>
      <c r="F10" s="6">
        <f>IFERROR(__xludf.DUMMYFUNCTION("""COMPUTED_VALUE"""),1.84748015E8)</f>
        <v>184748015</v>
      </c>
    </row>
    <row r="11">
      <c r="A11" s="7">
        <f>IFERROR(__xludf.DUMMYFUNCTION("""COMPUTED_VALUE"""),45576.64583333333)</f>
        <v>45576.64583</v>
      </c>
      <c r="B11" s="6">
        <f>IFERROR(__xludf.DUMMYFUNCTION("""COMPUTED_VALUE"""),99.9)</f>
        <v>99.9</v>
      </c>
      <c r="C11" s="6">
        <f>IFERROR(__xludf.DUMMYFUNCTION("""COMPUTED_VALUE"""),100.0)</f>
        <v>100</v>
      </c>
      <c r="D11" s="6">
        <f>IFERROR(__xludf.DUMMYFUNCTION("""COMPUTED_VALUE"""),86.0)</f>
        <v>86</v>
      </c>
      <c r="E11" s="6">
        <f>IFERROR(__xludf.DUMMYFUNCTION("""COMPUTED_VALUE"""),90.2)</f>
        <v>90.2</v>
      </c>
      <c r="F11" s="6">
        <f>IFERROR(__xludf.DUMMYFUNCTION("""COMPUTED_VALUE"""),3.44080337E8)</f>
        <v>344080337</v>
      </c>
    </row>
    <row r="12">
      <c r="A12" s="7">
        <f>IFERROR(__xludf.DUMMYFUNCTION("""COMPUTED_VALUE"""),45583.64583333333)</f>
        <v>45583.64583</v>
      </c>
      <c r="B12" s="6">
        <f>IFERROR(__xludf.DUMMYFUNCTION("""COMPUTED_VALUE"""),90.0)</f>
        <v>90</v>
      </c>
      <c r="C12" s="6">
        <f>IFERROR(__xludf.DUMMYFUNCTION("""COMPUTED_VALUE"""),91.87)</f>
        <v>91.87</v>
      </c>
      <c r="D12" s="6">
        <f>IFERROR(__xludf.DUMMYFUNCTION("""COMPUTED_VALUE"""),85.02)</f>
        <v>85.02</v>
      </c>
      <c r="E12" s="6">
        <f>IFERROR(__xludf.DUMMYFUNCTION("""COMPUTED_VALUE"""),86.95)</f>
        <v>86.95</v>
      </c>
      <c r="F12" s="6">
        <f>IFERROR(__xludf.DUMMYFUNCTION("""COMPUTED_VALUE"""),1.55289285E8)</f>
        <v>155289285</v>
      </c>
    </row>
    <row r="13">
      <c r="A13" s="7">
        <f>IFERROR(__xludf.DUMMYFUNCTION("""COMPUTED_VALUE"""),45590.64583333333)</f>
        <v>45590.64583</v>
      </c>
      <c r="B13" s="6">
        <f>IFERROR(__xludf.DUMMYFUNCTION("""COMPUTED_VALUE"""),87.19)</f>
        <v>87.19</v>
      </c>
      <c r="C13" s="6">
        <f>IFERROR(__xludf.DUMMYFUNCTION("""COMPUTED_VALUE"""),87.48)</f>
        <v>87.48</v>
      </c>
      <c r="D13" s="6">
        <f>IFERROR(__xludf.DUMMYFUNCTION("""COMPUTED_VALUE"""),76.73)</f>
        <v>76.73</v>
      </c>
      <c r="E13" s="6">
        <f>IFERROR(__xludf.DUMMYFUNCTION("""COMPUTED_VALUE"""),77.29)</f>
        <v>77.29</v>
      </c>
      <c r="F13" s="6">
        <f>IFERROR(__xludf.DUMMYFUNCTION("""COMPUTED_VALUE"""),1.50085511E8)</f>
        <v>150085511</v>
      </c>
    </row>
    <row r="14">
      <c r="A14" s="7">
        <f>IFERROR(__xludf.DUMMYFUNCTION("""COMPUTED_VALUE"""),45604.64583333333)</f>
        <v>45604.64583</v>
      </c>
      <c r="B14" s="6">
        <f>IFERROR(__xludf.DUMMYFUNCTION("""COMPUTED_VALUE"""),84.45)</f>
        <v>84.45</v>
      </c>
      <c r="C14" s="6">
        <f>IFERROR(__xludf.DUMMYFUNCTION("""COMPUTED_VALUE"""),84.8)</f>
        <v>84.8</v>
      </c>
      <c r="D14" s="6">
        <f>IFERROR(__xludf.DUMMYFUNCTION("""COMPUTED_VALUE"""),72.6)</f>
        <v>72.6</v>
      </c>
      <c r="E14" s="6">
        <f>IFERROR(__xludf.DUMMYFUNCTION("""COMPUTED_VALUE"""),72.72)</f>
        <v>72.72</v>
      </c>
      <c r="F14" s="6">
        <f>IFERROR(__xludf.DUMMYFUNCTION("""COMPUTED_VALUE"""),2.58032549E8)</f>
        <v>258032549</v>
      </c>
    </row>
    <row r="15">
      <c r="A15" s="7">
        <f>IFERROR(__xludf.DUMMYFUNCTION("""COMPUTED_VALUE"""),45610.64583333333)</f>
        <v>45610.64583</v>
      </c>
      <c r="B15" s="6">
        <f>IFERROR(__xludf.DUMMYFUNCTION("""COMPUTED_VALUE"""),72.72)</f>
        <v>72.72</v>
      </c>
      <c r="C15" s="6">
        <f>IFERROR(__xludf.DUMMYFUNCTION("""COMPUTED_VALUE"""),77.6)</f>
        <v>77.6</v>
      </c>
      <c r="D15" s="6">
        <f>IFERROR(__xludf.DUMMYFUNCTION("""COMPUTED_VALUE"""),69.54)</f>
        <v>69.54</v>
      </c>
      <c r="E15" s="6">
        <f>IFERROR(__xludf.DUMMYFUNCTION("""COMPUTED_VALUE"""),70.12)</f>
        <v>70.12</v>
      </c>
      <c r="F15" s="6">
        <f>IFERROR(__xludf.DUMMYFUNCTION("""COMPUTED_VALUE"""),1.9990301E8)</f>
        <v>199903010</v>
      </c>
    </row>
    <row r="16">
      <c r="A16" s="7">
        <f>IFERROR(__xludf.DUMMYFUNCTION("""COMPUTED_VALUE"""),45618.64583333333)</f>
        <v>45618.64583</v>
      </c>
      <c r="B16" s="6">
        <f>IFERROR(__xludf.DUMMYFUNCTION("""COMPUTED_VALUE"""),70.0)</f>
        <v>70</v>
      </c>
      <c r="C16" s="6">
        <f>IFERROR(__xludf.DUMMYFUNCTION("""COMPUTED_VALUE"""),71.18)</f>
        <v>71.18</v>
      </c>
      <c r="D16" s="6">
        <f>IFERROR(__xludf.DUMMYFUNCTION("""COMPUTED_VALUE"""),66.66)</f>
        <v>66.66</v>
      </c>
      <c r="E16" s="6">
        <f>IFERROR(__xludf.DUMMYFUNCTION("""COMPUTED_VALUE"""),69.14)</f>
        <v>69.14</v>
      </c>
      <c r="F16" s="6">
        <f>IFERROR(__xludf.DUMMYFUNCTION("""COMPUTED_VALUE"""),1.18855787E8)</f>
        <v>118855787</v>
      </c>
    </row>
    <row r="17">
      <c r="A17" s="7">
        <f>IFERROR(__xludf.DUMMYFUNCTION("""COMPUTED_VALUE"""),45625.64583333333)</f>
        <v>45625.64583</v>
      </c>
      <c r="B17" s="6">
        <f>IFERROR(__xludf.DUMMYFUNCTION("""COMPUTED_VALUE"""),70.55)</f>
        <v>70.55</v>
      </c>
      <c r="C17" s="6">
        <f>IFERROR(__xludf.DUMMYFUNCTION("""COMPUTED_VALUE"""),94.5)</f>
        <v>94.5</v>
      </c>
      <c r="D17" s="6">
        <f>IFERROR(__xludf.DUMMYFUNCTION("""COMPUTED_VALUE"""),69.3)</f>
        <v>69.3</v>
      </c>
      <c r="E17" s="6">
        <f>IFERROR(__xludf.DUMMYFUNCTION("""COMPUTED_VALUE"""),87.41)</f>
        <v>87.41</v>
      </c>
      <c r="F17" s="6">
        <f>IFERROR(__xludf.DUMMYFUNCTION("""COMPUTED_VALUE"""),5.86259583E8)</f>
        <v>586259583</v>
      </c>
    </row>
    <row r="18">
      <c r="A18" s="7">
        <f>IFERROR(__xludf.DUMMYFUNCTION("""COMPUTED_VALUE"""),45632.64583333333)</f>
        <v>45632.64583</v>
      </c>
      <c r="B18" s="6">
        <f>IFERROR(__xludf.DUMMYFUNCTION("""COMPUTED_VALUE"""),84.11)</f>
        <v>84.11</v>
      </c>
      <c r="C18" s="6">
        <f>IFERROR(__xludf.DUMMYFUNCTION("""COMPUTED_VALUE"""),102.5)</f>
        <v>102.5</v>
      </c>
      <c r="D18" s="6">
        <f>IFERROR(__xludf.DUMMYFUNCTION("""COMPUTED_VALUE"""),81.2)</f>
        <v>81.2</v>
      </c>
      <c r="E18" s="6">
        <f>IFERROR(__xludf.DUMMYFUNCTION("""COMPUTED_VALUE"""),95.91)</f>
        <v>95.91</v>
      </c>
      <c r="F18" s="6">
        <f>IFERROR(__xludf.DUMMYFUNCTION("""COMPUTED_VALUE"""),6.64224135E8)</f>
        <v>664224135</v>
      </c>
    </row>
    <row r="19">
      <c r="A19" s="7">
        <f>IFERROR(__xludf.DUMMYFUNCTION("""COMPUTED_VALUE"""),45639.64583333333)</f>
        <v>45639.64583</v>
      </c>
      <c r="B19" s="6">
        <f>IFERROR(__xludf.DUMMYFUNCTION("""COMPUTED_VALUE"""),96.4)</f>
        <v>96.4</v>
      </c>
      <c r="C19" s="6">
        <f>IFERROR(__xludf.DUMMYFUNCTION("""COMPUTED_VALUE"""),98.13)</f>
        <v>98.13</v>
      </c>
      <c r="D19" s="6">
        <f>IFERROR(__xludf.DUMMYFUNCTION("""COMPUTED_VALUE"""),91.5)</f>
        <v>91.5</v>
      </c>
      <c r="E19" s="6">
        <f>IFERROR(__xludf.DUMMYFUNCTION("""COMPUTED_VALUE"""),93.81)</f>
        <v>93.81</v>
      </c>
      <c r="F19" s="6">
        <f>IFERROR(__xludf.DUMMYFUNCTION("""COMPUTED_VALUE"""),2.12458216E8)</f>
        <v>212458216</v>
      </c>
    </row>
    <row r="20">
      <c r="A20" s="7">
        <f>IFERROR(__xludf.DUMMYFUNCTION("""COMPUTED_VALUE"""),45646.64583333333)</f>
        <v>45646.64583</v>
      </c>
      <c r="B20" s="6">
        <f>IFERROR(__xludf.DUMMYFUNCTION("""COMPUTED_VALUE"""),93.81)</f>
        <v>93.81</v>
      </c>
      <c r="C20" s="6">
        <f>IFERROR(__xludf.DUMMYFUNCTION("""COMPUTED_VALUE"""),100.4)</f>
        <v>100.4</v>
      </c>
      <c r="D20" s="6">
        <f>IFERROR(__xludf.DUMMYFUNCTION("""COMPUTED_VALUE"""),92.13)</f>
        <v>92.13</v>
      </c>
      <c r="E20" s="6">
        <f>IFERROR(__xludf.DUMMYFUNCTION("""COMPUTED_VALUE"""),93.67)</f>
        <v>93.67</v>
      </c>
      <c r="F20" s="6">
        <f>IFERROR(__xludf.DUMMYFUNCTION("""COMPUTED_VALUE"""),2.17140811E8)</f>
        <v>217140811</v>
      </c>
    </row>
    <row r="21">
      <c r="A21" s="7">
        <f>IFERROR(__xludf.DUMMYFUNCTION("""COMPUTED_VALUE"""),45653.64583333333)</f>
        <v>45653.64583</v>
      </c>
      <c r="B21" s="6">
        <f>IFERROR(__xludf.DUMMYFUNCTION("""COMPUTED_VALUE"""),93.97)</f>
        <v>93.97</v>
      </c>
      <c r="C21" s="6">
        <f>IFERROR(__xludf.DUMMYFUNCTION("""COMPUTED_VALUE"""),99.95)</f>
        <v>99.95</v>
      </c>
      <c r="D21" s="6">
        <f>IFERROR(__xludf.DUMMYFUNCTION("""COMPUTED_VALUE"""),88.51)</f>
        <v>88.51</v>
      </c>
      <c r="E21" s="6">
        <f>IFERROR(__xludf.DUMMYFUNCTION("""COMPUTED_VALUE"""),89.93)</f>
        <v>89.93</v>
      </c>
      <c r="F21" s="6">
        <f>IFERROR(__xludf.DUMMYFUNCTION("""COMPUTED_VALUE"""),1.60153289E8)</f>
        <v>160153289</v>
      </c>
    </row>
    <row r="22">
      <c r="A22" s="7">
        <f>IFERROR(__xludf.DUMMYFUNCTION("""COMPUTED_VALUE"""),45660.64583333333)</f>
        <v>45660.64583</v>
      </c>
      <c r="B22" s="6">
        <f>IFERROR(__xludf.DUMMYFUNCTION("""COMPUTED_VALUE"""),87.1)</f>
        <v>87.1</v>
      </c>
      <c r="C22" s="6">
        <f>IFERROR(__xludf.DUMMYFUNCTION("""COMPUTED_VALUE"""),88.59)</f>
        <v>88.59</v>
      </c>
      <c r="D22" s="6">
        <f>IFERROR(__xludf.DUMMYFUNCTION("""COMPUTED_VALUE"""),82.26)</f>
        <v>82.26</v>
      </c>
      <c r="E22" s="6">
        <f>IFERROR(__xludf.DUMMYFUNCTION("""COMPUTED_VALUE"""),82.71)</f>
        <v>82.71</v>
      </c>
      <c r="F22" s="6">
        <f>IFERROR(__xludf.DUMMYFUNCTION("""COMPUTED_VALUE"""),1.52007763E8)</f>
        <v>152007763</v>
      </c>
    </row>
    <row r="23">
      <c r="A23" s="7">
        <f>IFERROR(__xludf.DUMMYFUNCTION("""COMPUTED_VALUE"""),45667.64583333333)</f>
        <v>45667.64583</v>
      </c>
      <c r="B23" s="6">
        <f>IFERROR(__xludf.DUMMYFUNCTION("""COMPUTED_VALUE"""),82.8)</f>
        <v>82.8</v>
      </c>
      <c r="C23" s="6">
        <f>IFERROR(__xludf.DUMMYFUNCTION("""COMPUTED_VALUE"""),83.1)</f>
        <v>83.1</v>
      </c>
      <c r="D23" s="6">
        <f>IFERROR(__xludf.DUMMYFUNCTION("""COMPUTED_VALUE"""),72.7)</f>
        <v>72.7</v>
      </c>
      <c r="E23" s="6">
        <f>IFERROR(__xludf.DUMMYFUNCTION("""COMPUTED_VALUE"""),73.39)</f>
        <v>73.39</v>
      </c>
      <c r="F23" s="6">
        <f>IFERROR(__xludf.DUMMYFUNCTION("""COMPUTED_VALUE"""),1.89348828E8)</f>
        <v>189348828</v>
      </c>
    </row>
    <row r="24">
      <c r="A24" s="7">
        <f>IFERROR(__xludf.DUMMYFUNCTION("""COMPUTED_VALUE"""),45674.64583333333)</f>
        <v>45674.64583</v>
      </c>
      <c r="B24" s="6">
        <f>IFERROR(__xludf.DUMMYFUNCTION("""COMPUTED_VALUE"""),71.0)</f>
        <v>71</v>
      </c>
      <c r="C24" s="6">
        <f>IFERROR(__xludf.DUMMYFUNCTION("""COMPUTED_VALUE"""),75.6)</f>
        <v>75.6</v>
      </c>
      <c r="D24" s="6">
        <f>IFERROR(__xludf.DUMMYFUNCTION("""COMPUTED_VALUE"""),70.0)</f>
        <v>70</v>
      </c>
      <c r="E24" s="6">
        <f>IFERROR(__xludf.DUMMYFUNCTION("""COMPUTED_VALUE"""),74.41)</f>
        <v>74.41</v>
      </c>
      <c r="F24" s="6">
        <f>IFERROR(__xludf.DUMMYFUNCTION("""COMPUTED_VALUE"""),1.2555638E8)</f>
        <v>125556380</v>
      </c>
    </row>
    <row r="25">
      <c r="A25" s="7">
        <f>IFERROR(__xludf.DUMMYFUNCTION("""COMPUTED_VALUE"""),45681.64583333333)</f>
        <v>45681.64583</v>
      </c>
      <c r="B25" s="6">
        <f>IFERROR(__xludf.DUMMYFUNCTION("""COMPUTED_VALUE"""),75.0)</f>
        <v>75</v>
      </c>
      <c r="C25" s="6">
        <f>IFERROR(__xludf.DUMMYFUNCTION("""COMPUTED_VALUE"""),78.78)</f>
        <v>78.78</v>
      </c>
      <c r="D25" s="6">
        <f>IFERROR(__xludf.DUMMYFUNCTION("""COMPUTED_VALUE"""),71.0)</f>
        <v>71</v>
      </c>
      <c r="E25" s="6">
        <f>IFERROR(__xludf.DUMMYFUNCTION("""COMPUTED_VALUE"""),71.34)</f>
        <v>71.34</v>
      </c>
      <c r="F25" s="6">
        <f>IFERROR(__xludf.DUMMYFUNCTION("""COMPUTED_VALUE"""),8.3977659E7)</f>
        <v>83977659</v>
      </c>
    </row>
    <row r="26">
      <c r="A26" s="7">
        <f>IFERROR(__xludf.DUMMYFUNCTION("""COMPUTED_VALUE"""),45695.64583333333)</f>
        <v>45695.64583</v>
      </c>
      <c r="B26" s="6">
        <f>IFERROR(__xludf.DUMMYFUNCTION("""COMPUTED_VALUE"""),74.51)</f>
        <v>74.51</v>
      </c>
      <c r="C26" s="6">
        <f>IFERROR(__xludf.DUMMYFUNCTION("""COMPUTED_VALUE"""),77.0)</f>
        <v>77</v>
      </c>
      <c r="D26" s="6">
        <f>IFERROR(__xludf.DUMMYFUNCTION("""COMPUTED_VALUE"""),68.3)</f>
        <v>68.3</v>
      </c>
      <c r="E26" s="6">
        <f>IFERROR(__xludf.DUMMYFUNCTION("""COMPUTED_VALUE"""),69.97)</f>
        <v>69.97</v>
      </c>
      <c r="F26" s="6">
        <f>IFERROR(__xludf.DUMMYFUNCTION("""COMPUTED_VALUE"""),1.51036163E8)</f>
        <v>151036163</v>
      </c>
    </row>
    <row r="27">
      <c r="A27" s="7">
        <f>IFERROR(__xludf.DUMMYFUNCTION("""COMPUTED_VALUE"""),45702.64583333333)</f>
        <v>45702.64583</v>
      </c>
      <c r="B27" s="6">
        <f>IFERROR(__xludf.DUMMYFUNCTION("""COMPUTED_VALUE"""),68.91)</f>
        <v>68.91</v>
      </c>
      <c r="C27" s="6">
        <f>IFERROR(__xludf.DUMMYFUNCTION("""COMPUTED_VALUE"""),68.97)</f>
        <v>68.97</v>
      </c>
      <c r="D27" s="6">
        <f>IFERROR(__xludf.DUMMYFUNCTION("""COMPUTED_VALUE"""),60.15)</f>
        <v>60.15</v>
      </c>
      <c r="E27" s="6">
        <f>IFERROR(__xludf.DUMMYFUNCTION("""COMPUTED_VALUE"""),60.87)</f>
        <v>60.87</v>
      </c>
      <c r="F27" s="6">
        <f>IFERROR(__xludf.DUMMYFUNCTION("""COMPUTED_VALUE"""),1.5344688E8)</f>
        <v>153446880</v>
      </c>
    </row>
    <row r="28">
      <c r="A28" s="7">
        <f>IFERROR(__xludf.DUMMYFUNCTION("""COMPUTED_VALUE"""),45709.64583333333)</f>
        <v>45709.64583</v>
      </c>
      <c r="B28" s="6">
        <f>IFERROR(__xludf.DUMMYFUNCTION("""COMPUTED_VALUE"""),60.95)</f>
        <v>60.95</v>
      </c>
      <c r="C28" s="6">
        <f>IFERROR(__xludf.DUMMYFUNCTION("""COMPUTED_VALUE"""),63.1)</f>
        <v>63.1</v>
      </c>
      <c r="D28" s="6">
        <f>IFERROR(__xludf.DUMMYFUNCTION("""COMPUTED_VALUE"""),58.58)</f>
        <v>58.58</v>
      </c>
      <c r="E28" s="6">
        <f>IFERROR(__xludf.DUMMYFUNCTION("""COMPUTED_VALUE"""),60.9)</f>
        <v>60.9</v>
      </c>
      <c r="F28" s="6">
        <f>IFERROR(__xludf.DUMMYFUNCTION("""COMPUTED_VALUE"""),1.34643347E8)</f>
        <v>134643347</v>
      </c>
    </row>
    <row r="29">
      <c r="A29" s="7">
        <f>IFERROR(__xludf.DUMMYFUNCTION("""COMPUTED_VALUE"""),45716.64583333333)</f>
        <v>45716.64583</v>
      </c>
      <c r="B29" s="6">
        <f>IFERROR(__xludf.DUMMYFUNCTION("""COMPUTED_VALUE"""),60.0)</f>
        <v>60</v>
      </c>
      <c r="C29" s="6">
        <f>IFERROR(__xludf.DUMMYFUNCTION("""COMPUTED_VALUE"""),60.6)</f>
        <v>60.6</v>
      </c>
      <c r="D29" s="6">
        <f>IFERROR(__xludf.DUMMYFUNCTION("""COMPUTED_VALUE"""),55.68)</f>
        <v>55.68</v>
      </c>
      <c r="E29" s="6">
        <f>IFERROR(__xludf.DUMMYFUNCTION("""COMPUTED_VALUE"""),56.83)</f>
        <v>56.83</v>
      </c>
      <c r="F29" s="6">
        <f>IFERROR(__xludf.DUMMYFUNCTION("""COMPUTED_VALUE"""),1.06337895E8)</f>
        <v>106337895</v>
      </c>
    </row>
    <row r="30">
      <c r="A30" s="7">
        <f>IFERROR(__xludf.DUMMYFUNCTION("""COMPUTED_VALUE"""),45723.64583333333)</f>
        <v>45723.64583</v>
      </c>
      <c r="B30" s="6">
        <f>IFERROR(__xludf.DUMMYFUNCTION("""COMPUTED_VALUE"""),58.0)</f>
        <v>58</v>
      </c>
      <c r="C30" s="6">
        <f>IFERROR(__xludf.DUMMYFUNCTION("""COMPUTED_VALUE"""),58.95)</f>
        <v>58.95</v>
      </c>
      <c r="D30" s="6">
        <f>IFERROR(__xludf.DUMMYFUNCTION("""COMPUTED_VALUE"""),53.62)</f>
        <v>53.62</v>
      </c>
      <c r="E30" s="6">
        <f>IFERROR(__xludf.DUMMYFUNCTION("""COMPUTED_VALUE"""),56.53)</f>
        <v>56.53</v>
      </c>
      <c r="F30" s="6">
        <f>IFERROR(__xludf.DUMMYFUNCTION("""COMPUTED_VALUE"""),1.31557452E8)</f>
        <v>131557452</v>
      </c>
    </row>
    <row r="31">
      <c r="A31" s="7">
        <f>IFERROR(__xludf.DUMMYFUNCTION("""COMPUTED_VALUE"""),45729.64583333333)</f>
        <v>45729.64583</v>
      </c>
      <c r="B31" s="6">
        <f>IFERROR(__xludf.DUMMYFUNCTION("""COMPUTED_VALUE"""),56.36)</f>
        <v>56.36</v>
      </c>
      <c r="C31" s="6">
        <f>IFERROR(__xludf.DUMMYFUNCTION("""COMPUTED_VALUE"""),56.73)</f>
        <v>56.73</v>
      </c>
      <c r="D31" s="6">
        <f>IFERROR(__xludf.DUMMYFUNCTION("""COMPUTED_VALUE"""),50.3)</f>
        <v>50.3</v>
      </c>
      <c r="E31" s="6">
        <f>IFERROR(__xludf.DUMMYFUNCTION("""COMPUTED_VALUE"""),50.51)</f>
        <v>50.51</v>
      </c>
      <c r="F31" s="6">
        <f>IFERROR(__xludf.DUMMYFUNCTION("""COMPUTED_VALUE"""),1.1275228E8)</f>
        <v>112752280</v>
      </c>
    </row>
    <row r="32">
      <c r="A32" s="7">
        <f>IFERROR(__xludf.DUMMYFUNCTION("""COMPUTED_VALUE"""),45737.64583333333)</f>
        <v>45737.64583</v>
      </c>
      <c r="B32" s="6">
        <f>IFERROR(__xludf.DUMMYFUNCTION("""COMPUTED_VALUE"""),49.98)</f>
        <v>49.98</v>
      </c>
      <c r="C32" s="6">
        <f>IFERROR(__xludf.DUMMYFUNCTION("""COMPUTED_VALUE"""),56.87)</f>
        <v>56.87</v>
      </c>
      <c r="D32" s="6">
        <f>IFERROR(__xludf.DUMMYFUNCTION("""COMPUTED_VALUE"""),0.0)</f>
        <v>0</v>
      </c>
      <c r="E32" s="6">
        <f>IFERROR(__xludf.DUMMYFUNCTION("""COMPUTED_VALUE"""),56.07)</f>
        <v>56.07</v>
      </c>
      <c r="F32" s="6">
        <f>IFERROR(__xludf.DUMMYFUNCTION("""COMPUTED_VALUE"""),5.60360266E8)</f>
        <v>560360266</v>
      </c>
    </row>
    <row r="33">
      <c r="A33" s="7">
        <f>IFERROR(__xludf.DUMMYFUNCTION("""COMPUTED_VALUE"""),45744.64583333333)</f>
        <v>45744.64583</v>
      </c>
      <c r="B33" s="6">
        <f>IFERROR(__xludf.DUMMYFUNCTION("""COMPUTED_VALUE"""),57.56)</f>
        <v>57.56</v>
      </c>
      <c r="C33" s="6">
        <f>IFERROR(__xludf.DUMMYFUNCTION("""COMPUTED_VALUE"""),58.43)</f>
        <v>58.43</v>
      </c>
      <c r="D33" s="6">
        <f>IFERROR(__xludf.DUMMYFUNCTION("""COMPUTED_VALUE"""),51.35)</f>
        <v>51.35</v>
      </c>
      <c r="E33" s="6">
        <f>IFERROR(__xludf.DUMMYFUNCTION("""COMPUTED_VALUE"""),53.05)</f>
        <v>53.05</v>
      </c>
      <c r="F33" s="6">
        <f>IFERROR(__xludf.DUMMYFUNCTION("""COMPUTED_VALUE"""),2.93254222E8)</f>
        <v>293254222</v>
      </c>
    </row>
    <row r="34">
      <c r="A34" s="7">
        <f>IFERROR(__xludf.DUMMYFUNCTION("""COMPUTED_VALUE"""),45751.64583333333)</f>
        <v>45751.64583</v>
      </c>
      <c r="B34" s="6">
        <f>IFERROR(__xludf.DUMMYFUNCTION("""COMPUTED_VALUE"""),52.81)</f>
        <v>52.81</v>
      </c>
      <c r="C34" s="6">
        <f>IFERROR(__xludf.DUMMYFUNCTION("""COMPUTED_VALUE"""),54.48)</f>
        <v>54.48</v>
      </c>
      <c r="D34" s="6">
        <f>IFERROR(__xludf.DUMMYFUNCTION("""COMPUTED_VALUE"""),51.56)</f>
        <v>51.56</v>
      </c>
      <c r="E34" s="6">
        <f>IFERROR(__xludf.DUMMYFUNCTION("""COMPUTED_VALUE"""),52.48)</f>
        <v>52.48</v>
      </c>
      <c r="F34" s="6">
        <f>IFERROR(__xludf.DUMMYFUNCTION("""COMPUTED_VALUE"""),1.12415029E8)</f>
        <v>112415029</v>
      </c>
    </row>
    <row r="35">
      <c r="A35" s="7">
        <f>IFERROR(__xludf.DUMMYFUNCTION("""COMPUTED_VALUE"""),45758.64583333333)</f>
        <v>45758.64583</v>
      </c>
      <c r="B35" s="6">
        <f>IFERROR(__xludf.DUMMYFUNCTION("""COMPUTED_VALUE"""),45.35)</f>
        <v>45.35</v>
      </c>
      <c r="C35" s="6">
        <f>IFERROR(__xludf.DUMMYFUNCTION("""COMPUTED_VALUE"""),52.87)</f>
        <v>52.87</v>
      </c>
      <c r="D35" s="6">
        <f>IFERROR(__xludf.DUMMYFUNCTION("""COMPUTED_VALUE"""),45.35)</f>
        <v>45.35</v>
      </c>
      <c r="E35" s="6">
        <f>IFERROR(__xludf.DUMMYFUNCTION("""COMPUTED_VALUE"""),50.2)</f>
        <v>50.2</v>
      </c>
      <c r="F35" s="6">
        <f>IFERROR(__xludf.DUMMYFUNCTION("""COMPUTED_VALUE"""),1.17605883E8)</f>
        <v>117605883</v>
      </c>
    </row>
    <row r="36">
      <c r="A36" s="7">
        <f>IFERROR(__xludf.DUMMYFUNCTION("""COMPUTED_VALUE"""),45764.64583333333)</f>
        <v>45764.64583</v>
      </c>
      <c r="B36" s="6">
        <f>IFERROR(__xludf.DUMMYFUNCTION("""COMPUTED_VALUE"""),51.25)</f>
        <v>51.25</v>
      </c>
      <c r="C36" s="6">
        <f>IFERROR(__xludf.DUMMYFUNCTION("""COMPUTED_VALUE"""),52.78)</f>
        <v>52.78</v>
      </c>
      <c r="D36" s="6">
        <f>IFERROR(__xludf.DUMMYFUNCTION("""COMPUTED_VALUE"""),50.0)</f>
        <v>50</v>
      </c>
      <c r="E36" s="6">
        <f>IFERROR(__xludf.DUMMYFUNCTION("""COMPUTED_VALUE"""),50.22)</f>
        <v>50.22</v>
      </c>
      <c r="F36" s="6">
        <f>IFERROR(__xludf.DUMMYFUNCTION("""COMPUTED_VALUE"""),1.12612751E8)</f>
        <v>112612751</v>
      </c>
    </row>
    <row r="37">
      <c r="A37" s="7">
        <f>IFERROR(__xludf.DUMMYFUNCTION("""COMPUTED_VALUE"""),45772.64583333333)</f>
        <v>45772.64583</v>
      </c>
      <c r="B37" s="6">
        <f>IFERROR(__xludf.DUMMYFUNCTION("""COMPUTED_VALUE"""),50.57)</f>
        <v>50.57</v>
      </c>
      <c r="C37" s="6">
        <f>IFERROR(__xludf.DUMMYFUNCTION("""COMPUTED_VALUE"""),54.44)</f>
        <v>54.44</v>
      </c>
      <c r="D37" s="6">
        <f>IFERROR(__xludf.DUMMYFUNCTION("""COMPUTED_VALUE"""),49.56)</f>
        <v>49.56</v>
      </c>
      <c r="E37" s="6">
        <f>IFERROR(__xludf.DUMMYFUNCTION("""COMPUTED_VALUE"""),49.86)</f>
        <v>49.86</v>
      </c>
      <c r="F37" s="6">
        <f>IFERROR(__xludf.DUMMYFUNCTION("""COMPUTED_VALUE"""),2.49422363E8)</f>
        <v>249422363</v>
      </c>
    </row>
    <row r="38">
      <c r="A38" s="7">
        <f>IFERROR(__xludf.DUMMYFUNCTION("""COMPUTED_VALUE"""),45779.64583333333)</f>
        <v>45779.64583</v>
      </c>
      <c r="B38" s="6">
        <f>IFERROR(__xludf.DUMMYFUNCTION("""COMPUTED_VALUE"""),49.7)</f>
        <v>49.7</v>
      </c>
      <c r="C38" s="6">
        <f>IFERROR(__xludf.DUMMYFUNCTION("""COMPUTED_VALUE"""),50.79)</f>
        <v>50.79</v>
      </c>
      <c r="D38" s="6">
        <f>IFERROR(__xludf.DUMMYFUNCTION("""COMPUTED_VALUE"""),48.01)</f>
        <v>48.01</v>
      </c>
      <c r="E38" s="6">
        <f>IFERROR(__xludf.DUMMYFUNCTION("""COMPUTED_VALUE"""),48.57)</f>
        <v>48.57</v>
      </c>
      <c r="F38" s="6">
        <f>IFERROR(__xludf.DUMMYFUNCTION("""COMPUTED_VALUE"""),9.0926708E7)</f>
        <v>90926708</v>
      </c>
    </row>
    <row r="39">
      <c r="A39" s="7">
        <f>IFERROR(__xludf.DUMMYFUNCTION("""COMPUTED_VALUE"""),45786.64583333333)</f>
        <v>45786.64583</v>
      </c>
      <c r="B39" s="6">
        <f>IFERROR(__xludf.DUMMYFUNCTION("""COMPUTED_VALUE"""),48.89)</f>
        <v>48.89</v>
      </c>
      <c r="C39" s="6">
        <f>IFERROR(__xludf.DUMMYFUNCTION("""COMPUTED_VALUE"""),49.84)</f>
        <v>49.84</v>
      </c>
      <c r="D39" s="6">
        <f>IFERROR(__xludf.DUMMYFUNCTION("""COMPUTED_VALUE"""),45.89)</f>
        <v>45.89</v>
      </c>
      <c r="E39" s="6">
        <f>IFERROR(__xludf.DUMMYFUNCTION("""COMPUTED_VALUE"""),46.67)</f>
        <v>46.67</v>
      </c>
      <c r="F39" s="6">
        <f>IFERROR(__xludf.DUMMYFUNCTION("""COMPUTED_VALUE"""),8.3349117E7)</f>
        <v>83349117</v>
      </c>
    </row>
    <row r="40">
      <c r="A40" s="7">
        <f>IFERROR(__xludf.DUMMYFUNCTION("""COMPUTED_VALUE"""),45793.64583333333)</f>
        <v>45793.64583</v>
      </c>
      <c r="B40" s="6">
        <f>IFERROR(__xludf.DUMMYFUNCTION("""COMPUTED_VALUE"""),49.0)</f>
        <v>49</v>
      </c>
      <c r="C40" s="6">
        <f>IFERROR(__xludf.DUMMYFUNCTION("""COMPUTED_VALUE"""),53.67)</f>
        <v>53.67</v>
      </c>
      <c r="D40" s="6">
        <f>IFERROR(__xludf.DUMMYFUNCTION("""COMPUTED_VALUE"""),48.5)</f>
        <v>48.5</v>
      </c>
      <c r="E40" s="6">
        <f>IFERROR(__xludf.DUMMYFUNCTION("""COMPUTED_VALUE"""),52.12)</f>
        <v>52.12</v>
      </c>
      <c r="F40" s="6">
        <f>IFERROR(__xludf.DUMMYFUNCTION("""COMPUTED_VALUE"""),1.12272432E8)</f>
        <v>112272432</v>
      </c>
    </row>
    <row r="41">
      <c r="A41" s="7">
        <f>IFERROR(__xludf.DUMMYFUNCTION("""COMPUTED_VALUE"""),45800.64583333333)</f>
        <v>45800.64583</v>
      </c>
      <c r="B41" s="6">
        <f>IFERROR(__xludf.DUMMYFUNCTION("""COMPUTED_VALUE"""),52.21)</f>
        <v>52.21</v>
      </c>
      <c r="C41" s="6">
        <f>IFERROR(__xludf.DUMMYFUNCTION("""COMPUTED_VALUE"""),55.28)</f>
        <v>55.28</v>
      </c>
      <c r="D41" s="6">
        <f>IFERROR(__xludf.DUMMYFUNCTION("""COMPUTED_VALUE"""),50.75)</f>
        <v>50.75</v>
      </c>
      <c r="E41" s="6">
        <f>IFERROR(__xludf.DUMMYFUNCTION("""COMPUTED_VALUE"""),52.91)</f>
        <v>52.91</v>
      </c>
      <c r="F41" s="6">
        <f>IFERROR(__xludf.DUMMYFUNCTION("""COMPUTED_VALUE"""),1.37235325E8)</f>
        <v>137235325</v>
      </c>
    </row>
    <row r="42">
      <c r="A42" s="7">
        <f>IFERROR(__xludf.DUMMYFUNCTION("""COMPUTED_VALUE"""),45807.64583333333)</f>
        <v>45807.64583</v>
      </c>
      <c r="B42" s="6">
        <f>IFERROR(__xludf.DUMMYFUNCTION("""COMPUTED_VALUE"""),52.9)</f>
        <v>52.9</v>
      </c>
      <c r="C42" s="6">
        <f>IFERROR(__xludf.DUMMYFUNCTION("""COMPUTED_VALUE"""),53.68)</f>
        <v>53.68</v>
      </c>
      <c r="D42" s="6">
        <f>IFERROR(__xludf.DUMMYFUNCTION("""COMPUTED_VALUE"""),48.06)</f>
        <v>48.06</v>
      </c>
      <c r="E42" s="6">
        <f>IFERROR(__xludf.DUMMYFUNCTION("""COMPUTED_VALUE"""),50.96)</f>
        <v>50.96</v>
      </c>
      <c r="F42" s="6">
        <f>IFERROR(__xludf.DUMMYFUNCTION("""COMPUTED_VALUE"""),1.47186052E8)</f>
        <v>147186052</v>
      </c>
    </row>
    <row r="43">
      <c r="A43" s="7">
        <f>IFERROR(__xludf.DUMMYFUNCTION("""COMPUTED_VALUE"""),45814.64583333333)</f>
        <v>45814.64583</v>
      </c>
      <c r="B43" s="6">
        <f>IFERROR(__xludf.DUMMYFUNCTION("""COMPUTED_VALUE"""),50.5)</f>
        <v>50.5</v>
      </c>
      <c r="C43" s="6">
        <f>IFERROR(__xludf.DUMMYFUNCTION("""COMPUTED_VALUE"""),54.4)</f>
        <v>54.4</v>
      </c>
      <c r="D43" s="6">
        <f>IFERROR(__xludf.DUMMYFUNCTION("""COMPUTED_VALUE"""),48.57)</f>
        <v>48.57</v>
      </c>
      <c r="E43" s="6">
        <f>IFERROR(__xludf.DUMMYFUNCTION("""COMPUTED_VALUE"""),48.67)</f>
        <v>48.67</v>
      </c>
      <c r="F43" s="6">
        <f>IFERROR(__xludf.DUMMYFUNCTION("""COMPUTED_VALUE"""),4.54483599E8)</f>
        <v>454483599</v>
      </c>
    </row>
    <row r="44">
      <c r="A44" s="7">
        <f>IFERROR(__xludf.DUMMYFUNCTION("""COMPUTED_VALUE"""),45821.64583333333)</f>
        <v>45821.64583</v>
      </c>
      <c r="B44" s="6">
        <f>IFERROR(__xludf.DUMMYFUNCTION("""COMPUTED_VALUE"""),48.92)</f>
        <v>48.92</v>
      </c>
      <c r="C44" s="6">
        <f>IFERROR(__xludf.DUMMYFUNCTION("""COMPUTED_VALUE"""),50.07)</f>
        <v>50.07</v>
      </c>
      <c r="D44" s="6">
        <f>IFERROR(__xludf.DUMMYFUNCTION("""COMPUTED_VALUE"""),46.32)</f>
        <v>46.32</v>
      </c>
      <c r="E44" s="6">
        <f>IFERROR(__xludf.DUMMYFUNCTION("""COMPUTED_VALUE"""),46.97)</f>
        <v>46.97</v>
      </c>
      <c r="F44" s="6">
        <f>IFERROR(__xludf.DUMMYFUNCTION("""COMPUTED_VALUE"""),9.9589497E7)</f>
        <v>99589497</v>
      </c>
    </row>
    <row r="45">
      <c r="A45" s="7">
        <f>IFERROR(__xludf.DUMMYFUNCTION("""COMPUTED_VALUE"""),45828.64583333333)</f>
        <v>45828.64583</v>
      </c>
      <c r="B45" s="6">
        <f>IFERROR(__xludf.DUMMYFUNCTION("""COMPUTED_VALUE"""),47.07)</f>
        <v>47.07</v>
      </c>
      <c r="C45" s="6">
        <f>IFERROR(__xludf.DUMMYFUNCTION("""COMPUTED_VALUE"""),47.56)</f>
        <v>47.56</v>
      </c>
      <c r="D45" s="6">
        <f>IFERROR(__xludf.DUMMYFUNCTION("""COMPUTED_VALUE"""),45.05)</f>
        <v>45.05</v>
      </c>
      <c r="E45" s="6">
        <f>IFERROR(__xludf.DUMMYFUNCTION("""COMPUTED_VALUE"""),46.08)</f>
        <v>46.08</v>
      </c>
      <c r="F45" s="6">
        <f>IFERROR(__xludf.DUMMYFUNCTION("""COMPUTED_VALUE"""),7.6976869E7)</f>
        <v>76976869</v>
      </c>
    </row>
    <row r="46">
      <c r="A46" s="7">
        <f>IFERROR(__xludf.DUMMYFUNCTION("""COMPUTED_VALUE"""),45835.64583333333)</f>
        <v>45835.64583</v>
      </c>
      <c r="B46" s="6">
        <f>IFERROR(__xludf.DUMMYFUNCTION("""COMPUTED_VALUE"""),45.85)</f>
        <v>45.85</v>
      </c>
      <c r="C46" s="6">
        <f>IFERROR(__xludf.DUMMYFUNCTION("""COMPUTED_VALUE"""),45.85)</f>
        <v>45.85</v>
      </c>
      <c r="D46" s="6">
        <f>IFERROR(__xludf.DUMMYFUNCTION("""COMPUTED_VALUE"""),43.0)</f>
        <v>43</v>
      </c>
      <c r="E46" s="6">
        <f>IFERROR(__xludf.DUMMYFUNCTION("""COMPUTED_VALUE"""),43.09)</f>
        <v>43.09</v>
      </c>
      <c r="F46" s="6">
        <f>IFERROR(__xludf.DUMMYFUNCTION("""COMPUTED_VALUE"""),2.14827171E8)</f>
        <v>214827171</v>
      </c>
    </row>
    <row r="47">
      <c r="A47" s="7">
        <f>IFERROR(__xludf.DUMMYFUNCTION("""COMPUTED_VALUE"""),45842.64583333333)</f>
        <v>45842.64583</v>
      </c>
      <c r="B47" s="6">
        <f>IFERROR(__xludf.DUMMYFUNCTION("""COMPUTED_VALUE"""),43.3)</f>
        <v>43.3</v>
      </c>
      <c r="C47" s="6">
        <f>IFERROR(__xludf.DUMMYFUNCTION("""COMPUTED_VALUE"""),44.1)</f>
        <v>44.1</v>
      </c>
      <c r="D47" s="6">
        <f>IFERROR(__xludf.DUMMYFUNCTION("""COMPUTED_VALUE"""),40.4)</f>
        <v>40.4</v>
      </c>
      <c r="E47" s="6">
        <f>IFERROR(__xludf.DUMMYFUNCTION("""COMPUTED_VALUE"""),41.73)</f>
        <v>41.73</v>
      </c>
      <c r="F47" s="6">
        <f>IFERROR(__xludf.DUMMYFUNCTION("""COMPUTED_VALUE"""),2.42067551E8)</f>
        <v>242067551</v>
      </c>
    </row>
    <row r="48">
      <c r="A48" s="7">
        <f>IFERROR(__xludf.DUMMYFUNCTION("""COMPUTED_VALUE"""),45849.64583333333)</f>
        <v>45849.64583</v>
      </c>
      <c r="B48" s="6">
        <f>IFERROR(__xludf.DUMMYFUNCTION("""COMPUTED_VALUE"""),41.86)</f>
        <v>41.86</v>
      </c>
      <c r="C48" s="6">
        <f>IFERROR(__xludf.DUMMYFUNCTION("""COMPUTED_VALUE"""),41.96)</f>
        <v>41.96</v>
      </c>
      <c r="D48" s="6">
        <f>IFERROR(__xludf.DUMMYFUNCTION("""COMPUTED_VALUE"""),39.62)</f>
        <v>39.62</v>
      </c>
      <c r="E48" s="6">
        <f>IFERROR(__xludf.DUMMYFUNCTION("""COMPUTED_VALUE"""),39.8)</f>
        <v>39.8</v>
      </c>
      <c r="F48" s="6">
        <f>IFERROR(__xludf.DUMMYFUNCTION("""COMPUTED_VALUE"""),1.21363418E8)</f>
        <v>121363418</v>
      </c>
    </row>
    <row r="49">
      <c r="A49" s="7">
        <f>IFERROR(__xludf.DUMMYFUNCTION("""COMPUTED_VALUE"""),45856.64583333333)</f>
        <v>45856.64583</v>
      </c>
      <c r="B49" s="6">
        <f>IFERROR(__xludf.DUMMYFUNCTION("""COMPUTED_VALUE"""),39.92)</f>
        <v>39.92</v>
      </c>
      <c r="C49" s="6">
        <f>IFERROR(__xludf.DUMMYFUNCTION("""COMPUTED_VALUE"""),48.9)</f>
        <v>48.9</v>
      </c>
      <c r="D49" s="6">
        <f>IFERROR(__xludf.DUMMYFUNCTION("""COMPUTED_VALUE"""),39.6)</f>
        <v>39.6</v>
      </c>
      <c r="E49" s="6">
        <f>IFERROR(__xludf.DUMMYFUNCTION("""COMPUTED_VALUE"""),41.31)</f>
        <v>41.31</v>
      </c>
      <c r="F49" s="6">
        <f>IFERROR(__xludf.DUMMYFUNCTION("""COMPUTED_VALUE"""),1.41931306E9)</f>
        <v>1419313060</v>
      </c>
    </row>
    <row r="50">
      <c r="A50" s="7">
        <f>IFERROR(__xludf.DUMMYFUNCTION("""COMPUTED_VALUE"""),45863.64583333333)</f>
        <v>45863.64583</v>
      </c>
      <c r="B50" s="6">
        <f>IFERROR(__xludf.DUMMYFUNCTION("""COMPUTED_VALUE"""),41.31)</f>
        <v>41.31</v>
      </c>
      <c r="C50" s="6">
        <f>IFERROR(__xludf.DUMMYFUNCTION("""COMPUTED_VALUE"""),44.35)</f>
        <v>44.35</v>
      </c>
      <c r="D50" s="6">
        <f>IFERROR(__xludf.DUMMYFUNCTION("""COMPUTED_VALUE"""),39.9)</f>
        <v>39.9</v>
      </c>
      <c r="E50" s="6">
        <f>IFERROR(__xludf.DUMMYFUNCTION("""COMPUTED_VALUE"""),41.23)</f>
        <v>41.23</v>
      </c>
      <c r="F50" s="6">
        <f>IFERROR(__xludf.DUMMYFUNCTION("""COMPUTED_VALUE"""),5.21139661E8)</f>
        <v>521139661</v>
      </c>
    </row>
    <row r="51">
      <c r="A51" s="7">
        <f>IFERROR(__xludf.DUMMYFUNCTION("""COMPUTED_VALUE"""),45870.64583333333)</f>
        <v>45870.64583</v>
      </c>
      <c r="B51" s="6">
        <f>IFERROR(__xludf.DUMMYFUNCTION("""COMPUTED_VALUE"""),41.13)</f>
        <v>41.13</v>
      </c>
      <c r="C51" s="6">
        <f>IFERROR(__xludf.DUMMYFUNCTION("""COMPUTED_VALUE"""),43.35)</f>
        <v>43.35</v>
      </c>
      <c r="D51" s="6">
        <f>IFERROR(__xludf.DUMMYFUNCTION("""COMPUTED_VALUE"""),40.02)</f>
        <v>40.02</v>
      </c>
      <c r="E51" s="6">
        <f>IFERROR(__xludf.DUMMYFUNCTION("""COMPUTED_VALUE"""),40.55)</f>
        <v>40.55</v>
      </c>
      <c r="F51" s="6">
        <f>IFERROR(__xludf.DUMMYFUNCTION("""COMPUTED_VALUE"""),3.3623509E8)</f>
        <v>336235090</v>
      </c>
    </row>
    <row r="52">
      <c r="A52" s="7">
        <f>IFERROR(__xludf.DUMMYFUNCTION("""COMPUTED_VALUE"""),45877.64583333333)</f>
        <v>45877.64583</v>
      </c>
      <c r="B52" s="6">
        <f>IFERROR(__xludf.DUMMYFUNCTION("""COMPUTED_VALUE"""),40.64)</f>
        <v>40.64</v>
      </c>
      <c r="C52" s="6">
        <f>IFERROR(__xludf.DUMMYFUNCTION("""COMPUTED_VALUE"""),41.93)</f>
        <v>41.93</v>
      </c>
      <c r="D52" s="6">
        <f>IFERROR(__xludf.DUMMYFUNCTION("""COMPUTED_VALUE"""),39.75)</f>
        <v>39.75</v>
      </c>
      <c r="E52" s="6">
        <f>IFERROR(__xludf.DUMMYFUNCTION("""COMPUTED_VALUE"""),40.13)</f>
        <v>40.13</v>
      </c>
      <c r="F52" s="6">
        <f>IFERROR(__xludf.DUMMYFUNCTION("""COMPUTED_VALUE"""),1.3614476E8)</f>
        <v>136144760</v>
      </c>
    </row>
    <row r="53">
      <c r="A53" s="7">
        <f>IFERROR(__xludf.DUMMYFUNCTION("""COMPUTED_VALUE"""),45883.64583333333)</f>
        <v>45883.64583</v>
      </c>
      <c r="B53" s="6">
        <f>IFERROR(__xludf.DUMMYFUNCTION("""COMPUTED_VALUE"""),40.34)</f>
        <v>40.34</v>
      </c>
      <c r="C53" s="6">
        <f>IFERROR(__xludf.DUMMYFUNCTION("""COMPUTED_VALUE"""),43.0)</f>
        <v>43</v>
      </c>
      <c r="D53" s="6">
        <f>IFERROR(__xludf.DUMMYFUNCTION("""COMPUTED_VALUE"""),39.7)</f>
        <v>39.7</v>
      </c>
      <c r="E53" s="6">
        <f>IFERROR(__xludf.DUMMYFUNCTION("""COMPUTED_VALUE"""),41.31)</f>
        <v>41.31</v>
      </c>
      <c r="F53" s="6">
        <f>IFERROR(__xludf.DUMMYFUNCTION("""COMPUTED_VALUE"""),3.36243228E8)</f>
        <v>336243228</v>
      </c>
    </row>
    <row r="54">
      <c r="A54" s="7">
        <f>IFERROR(__xludf.DUMMYFUNCTION("""COMPUTED_VALUE"""),45891.64583333333)</f>
        <v>45891.64583</v>
      </c>
      <c r="B54" s="6">
        <f>IFERROR(__xludf.DUMMYFUNCTION("""COMPUTED_VALUE"""),43.0)</f>
        <v>43</v>
      </c>
      <c r="C54" s="6">
        <f>IFERROR(__xludf.DUMMYFUNCTION("""COMPUTED_VALUE"""),54.6)</f>
        <v>54.6</v>
      </c>
      <c r="D54" s="6">
        <f>IFERROR(__xludf.DUMMYFUNCTION("""COMPUTED_VALUE"""),40.83)</f>
        <v>40.83</v>
      </c>
      <c r="E54" s="6">
        <f>IFERROR(__xludf.DUMMYFUNCTION("""COMPUTED_VALUE"""),47.19)</f>
        <v>47.19</v>
      </c>
      <c r="F54" s="6">
        <f>IFERROR(__xludf.DUMMYFUNCTION("""COMPUTED_VALUE"""),1.544860837E9)</f>
        <v>1544860837</v>
      </c>
    </row>
    <row r="55">
      <c r="A55" s="7">
        <f>IFERROR(__xludf.DUMMYFUNCTION("""COMPUTED_VALUE"""),45895.64583333333)</f>
        <v>45895.64583</v>
      </c>
      <c r="B55" s="6">
        <f>IFERROR(__xludf.DUMMYFUNCTION("""COMPUTED_VALUE"""),47.49)</f>
        <v>47.49</v>
      </c>
      <c r="C55" s="6">
        <f>IFERROR(__xludf.DUMMYFUNCTION("""COMPUTED_VALUE"""),51.8)</f>
        <v>51.8</v>
      </c>
      <c r="D55" s="6">
        <f>IFERROR(__xludf.DUMMYFUNCTION("""COMPUTED_VALUE"""),46.65)</f>
        <v>46.65</v>
      </c>
      <c r="E55" s="6">
        <f>IFERROR(__xludf.DUMMYFUNCTION("""COMPUTED_VALUE"""),50.82)</f>
        <v>50.82</v>
      </c>
      <c r="F55" s="6">
        <f>IFERROR(__xludf.DUMMYFUNCTION("""COMPUTED_VALUE"""),5.028789911E9)</f>
        <v>5028789911</v>
      </c>
    </row>
  </sheetData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IFERROR(__xludf.DUMMYFUNCTION("GOOGLEFINANCE(""NSE:ONGC"",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IFERROR(__xludf.DUMMYFUNCTION("""COMPUTED_VALUE"""),175.1)</f>
        <v>175.1</v>
      </c>
      <c r="C2" s="6">
        <f>IFERROR(__xludf.DUMMYFUNCTION("""COMPUTED_VALUE"""),184.75)</f>
        <v>184.75</v>
      </c>
      <c r="D2" s="6">
        <f>IFERROR(__xludf.DUMMYFUNCTION("""COMPUTED_VALUE"""),173.05)</f>
        <v>173.05</v>
      </c>
      <c r="E2" s="6">
        <f>IFERROR(__xludf.DUMMYFUNCTION("""COMPUTED_VALUE"""),181.75)</f>
        <v>181.75</v>
      </c>
      <c r="F2" s="6">
        <f>IFERROR(__xludf.DUMMYFUNCTION("""COMPUTED_VALUE"""),5.3173056E7)</f>
        <v>53173056</v>
      </c>
    </row>
    <row r="3">
      <c r="A3" s="7">
        <f>IFERROR(__xludf.DUMMYFUNCTION("""COMPUTED_VALUE"""),45177.64583333333)</f>
        <v>45177.64583</v>
      </c>
      <c r="B3" s="6">
        <f>IFERROR(__xludf.DUMMYFUNCTION("""COMPUTED_VALUE"""),183.85)</f>
        <v>183.85</v>
      </c>
      <c r="C3" s="6">
        <f>IFERROR(__xludf.DUMMYFUNCTION("""COMPUTED_VALUE"""),186.75)</f>
        <v>186.75</v>
      </c>
      <c r="D3" s="6">
        <f>IFERROR(__xludf.DUMMYFUNCTION("""COMPUTED_VALUE"""),181.0)</f>
        <v>181</v>
      </c>
      <c r="E3" s="6">
        <f>IFERROR(__xludf.DUMMYFUNCTION("""COMPUTED_VALUE"""),184.45)</f>
        <v>184.45</v>
      </c>
      <c r="F3" s="6">
        <f>IFERROR(__xludf.DUMMYFUNCTION("""COMPUTED_VALUE"""),5.7334121E7)</f>
        <v>57334121</v>
      </c>
    </row>
    <row r="4">
      <c r="A4" s="7">
        <f>IFERROR(__xludf.DUMMYFUNCTION("""COMPUTED_VALUE"""),45184.64583333333)</f>
        <v>45184.64583</v>
      </c>
      <c r="B4" s="6">
        <f>IFERROR(__xludf.DUMMYFUNCTION("""COMPUTED_VALUE"""),185.45)</f>
        <v>185.45</v>
      </c>
      <c r="C4" s="6">
        <f>IFERROR(__xludf.DUMMYFUNCTION("""COMPUTED_VALUE"""),191.7)</f>
        <v>191.7</v>
      </c>
      <c r="D4" s="6">
        <f>IFERROR(__xludf.DUMMYFUNCTION("""COMPUTED_VALUE"""),180.2)</f>
        <v>180.2</v>
      </c>
      <c r="E4" s="6">
        <f>IFERROR(__xludf.DUMMYFUNCTION("""COMPUTED_VALUE"""),186.65)</f>
        <v>186.65</v>
      </c>
      <c r="F4" s="6">
        <f>IFERROR(__xludf.DUMMYFUNCTION("""COMPUTED_VALUE"""),7.462036E7)</f>
        <v>74620360</v>
      </c>
    </row>
    <row r="5">
      <c r="A5" s="7">
        <f>IFERROR(__xludf.DUMMYFUNCTION("""COMPUTED_VALUE"""),45191.64583333333)</f>
        <v>45191.64583</v>
      </c>
      <c r="B5" s="6">
        <f>IFERROR(__xludf.DUMMYFUNCTION("""COMPUTED_VALUE"""),185.8)</f>
        <v>185.8</v>
      </c>
      <c r="C5" s="6">
        <f>IFERROR(__xludf.DUMMYFUNCTION("""COMPUTED_VALUE"""),189.5)</f>
        <v>189.5</v>
      </c>
      <c r="D5" s="6">
        <f>IFERROR(__xludf.DUMMYFUNCTION("""COMPUTED_VALUE"""),185.0)</f>
        <v>185</v>
      </c>
      <c r="E5" s="6">
        <f>IFERROR(__xludf.DUMMYFUNCTION("""COMPUTED_VALUE"""),185.1)</f>
        <v>185.1</v>
      </c>
      <c r="F5" s="6">
        <f>IFERROR(__xludf.DUMMYFUNCTION("""COMPUTED_VALUE"""),3.3338984E7)</f>
        <v>33338984</v>
      </c>
    </row>
    <row r="6">
      <c r="A6" s="7">
        <f>IFERROR(__xludf.DUMMYFUNCTION("""COMPUTED_VALUE"""),45198.64583333333)</f>
        <v>45198.64583</v>
      </c>
      <c r="B6" s="6">
        <f>IFERROR(__xludf.DUMMYFUNCTION("""COMPUTED_VALUE"""),186.0)</f>
        <v>186</v>
      </c>
      <c r="C6" s="6">
        <f>IFERROR(__xludf.DUMMYFUNCTION("""COMPUTED_VALUE"""),192.25)</f>
        <v>192.25</v>
      </c>
      <c r="D6" s="6">
        <f>IFERROR(__xludf.DUMMYFUNCTION("""COMPUTED_VALUE"""),185.25)</f>
        <v>185.25</v>
      </c>
      <c r="E6" s="6">
        <f>IFERROR(__xludf.DUMMYFUNCTION("""COMPUTED_VALUE"""),191.85)</f>
        <v>191.85</v>
      </c>
      <c r="F6" s="6">
        <f>IFERROR(__xludf.DUMMYFUNCTION("""COMPUTED_VALUE"""),4.8594032E7)</f>
        <v>48594032</v>
      </c>
    </row>
    <row r="7">
      <c r="A7" s="7">
        <f>IFERROR(__xludf.DUMMYFUNCTION("""COMPUTED_VALUE"""),45205.64583333333)</f>
        <v>45205.64583</v>
      </c>
      <c r="B7" s="6">
        <f>IFERROR(__xludf.DUMMYFUNCTION("""COMPUTED_VALUE"""),189.3)</f>
        <v>189.3</v>
      </c>
      <c r="C7" s="6">
        <f>IFERROR(__xludf.DUMMYFUNCTION("""COMPUTED_VALUE"""),189.3)</f>
        <v>189.3</v>
      </c>
      <c r="D7" s="6">
        <f>IFERROR(__xludf.DUMMYFUNCTION("""COMPUTED_VALUE"""),180.6)</f>
        <v>180.6</v>
      </c>
      <c r="E7" s="6">
        <f>IFERROR(__xludf.DUMMYFUNCTION("""COMPUTED_VALUE"""),181.45)</f>
        <v>181.45</v>
      </c>
      <c r="F7" s="6">
        <f>IFERROR(__xludf.DUMMYFUNCTION("""COMPUTED_VALUE"""),4.8366802E7)</f>
        <v>48366802</v>
      </c>
    </row>
    <row r="8">
      <c r="A8" s="7">
        <f>IFERROR(__xludf.DUMMYFUNCTION("""COMPUTED_VALUE"""),45212.64583333333)</f>
        <v>45212.64583</v>
      </c>
      <c r="B8" s="6">
        <f>IFERROR(__xludf.DUMMYFUNCTION("""COMPUTED_VALUE"""),182.9)</f>
        <v>182.9</v>
      </c>
      <c r="C8" s="6">
        <f>IFERROR(__xludf.DUMMYFUNCTION("""COMPUTED_VALUE"""),186.25)</f>
        <v>186.25</v>
      </c>
      <c r="D8" s="6">
        <f>IFERROR(__xludf.DUMMYFUNCTION("""COMPUTED_VALUE"""),181.25)</f>
        <v>181.25</v>
      </c>
      <c r="E8" s="6">
        <f>IFERROR(__xludf.DUMMYFUNCTION("""COMPUTED_VALUE"""),184.9)</f>
        <v>184.9</v>
      </c>
      <c r="F8" s="6">
        <f>IFERROR(__xludf.DUMMYFUNCTION("""COMPUTED_VALUE"""),5.1055802E7)</f>
        <v>51055802</v>
      </c>
    </row>
    <row r="9">
      <c r="A9" s="7">
        <f>IFERROR(__xludf.DUMMYFUNCTION("""COMPUTED_VALUE"""),45219.64583333333)</f>
        <v>45219.64583</v>
      </c>
      <c r="B9" s="6">
        <f>IFERROR(__xludf.DUMMYFUNCTION("""COMPUTED_VALUE"""),187.95)</f>
        <v>187.95</v>
      </c>
      <c r="C9" s="6">
        <f>IFERROR(__xludf.DUMMYFUNCTION("""COMPUTED_VALUE"""),188.2)</f>
        <v>188.2</v>
      </c>
      <c r="D9" s="6">
        <f>IFERROR(__xludf.DUMMYFUNCTION("""COMPUTED_VALUE"""),185.05)</f>
        <v>185.05</v>
      </c>
      <c r="E9" s="6">
        <f>IFERROR(__xludf.DUMMYFUNCTION("""COMPUTED_VALUE"""),186.2)</f>
        <v>186.2</v>
      </c>
      <c r="F9" s="6">
        <f>IFERROR(__xludf.DUMMYFUNCTION("""COMPUTED_VALUE"""),4.3999067E7)</f>
        <v>43999067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IFERROR(__xludf.DUMMYFUNCTION("""COMPUTED_VALUE"""),185.95)</f>
        <v>185.95</v>
      </c>
      <c r="C10" s="6">
        <f>IFERROR(__xludf.DUMMYFUNCTION("""COMPUTED_VALUE"""),185.95)</f>
        <v>185.95</v>
      </c>
      <c r="D10" s="6">
        <f>IFERROR(__xludf.DUMMYFUNCTION("""COMPUTED_VALUE"""),179.9)</f>
        <v>179.9</v>
      </c>
      <c r="E10" s="6">
        <f>IFERROR(__xludf.DUMMYFUNCTION("""COMPUTED_VALUE"""),184.75)</f>
        <v>184.75</v>
      </c>
      <c r="F10" s="6">
        <f>IFERROR(__xludf.DUMMYFUNCTION("""COMPUTED_VALUE"""),2.6432084E7)</f>
        <v>26432084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IFERROR(__xludf.DUMMYFUNCTION("""COMPUTED_VALUE"""),185.0)</f>
        <v>185</v>
      </c>
      <c r="C11" s="6">
        <f>IFERROR(__xludf.DUMMYFUNCTION("""COMPUTED_VALUE"""),190.65)</f>
        <v>190.65</v>
      </c>
      <c r="D11" s="6">
        <f>IFERROR(__xludf.DUMMYFUNCTION("""COMPUTED_VALUE"""),184.2)</f>
        <v>184.2</v>
      </c>
      <c r="E11" s="6">
        <f>IFERROR(__xludf.DUMMYFUNCTION("""COMPUTED_VALUE"""),190.0)</f>
        <v>190</v>
      </c>
      <c r="F11" s="6">
        <f>IFERROR(__xludf.DUMMYFUNCTION("""COMPUTED_VALUE"""),4.4861303E7)</f>
        <v>44861303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IFERROR(__xludf.DUMMYFUNCTION("""COMPUTED_VALUE"""),190.2)</f>
        <v>190.2</v>
      </c>
      <c r="C12" s="6">
        <f>IFERROR(__xludf.DUMMYFUNCTION("""COMPUTED_VALUE"""),198.0)</f>
        <v>198</v>
      </c>
      <c r="D12" s="6">
        <f>IFERROR(__xludf.DUMMYFUNCTION("""COMPUTED_VALUE"""),189.55)</f>
        <v>189.55</v>
      </c>
      <c r="E12" s="6">
        <f>IFERROR(__xludf.DUMMYFUNCTION("""COMPUTED_VALUE"""),195.9)</f>
        <v>195.9</v>
      </c>
      <c r="F12" s="6">
        <f>IFERROR(__xludf.DUMMYFUNCTION("""COMPUTED_VALUE"""),4.4400648E7)</f>
        <v>44400648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IFERROR(__xludf.DUMMYFUNCTION("""COMPUTED_VALUE"""),198.8)</f>
        <v>198.8</v>
      </c>
      <c r="C13" s="6">
        <f>IFERROR(__xludf.DUMMYFUNCTION("""COMPUTED_VALUE"""),203.4)</f>
        <v>203.4</v>
      </c>
      <c r="D13" s="6">
        <f>IFERROR(__xludf.DUMMYFUNCTION("""COMPUTED_VALUE"""),194.1)</f>
        <v>194.1</v>
      </c>
      <c r="E13" s="6">
        <f>IFERROR(__xludf.DUMMYFUNCTION("""COMPUTED_VALUE"""),196.35)</f>
        <v>196.35</v>
      </c>
      <c r="F13" s="6">
        <f>IFERROR(__xludf.DUMMYFUNCTION("""COMPUTED_VALUE"""),6.576825E7)</f>
        <v>65768250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IFERROR(__xludf.DUMMYFUNCTION("""COMPUTED_VALUE"""),198.0)</f>
        <v>198</v>
      </c>
      <c r="C14" s="6">
        <f>IFERROR(__xludf.DUMMYFUNCTION("""COMPUTED_VALUE"""),198.5)</f>
        <v>198.5</v>
      </c>
      <c r="D14" s="6">
        <f>IFERROR(__xludf.DUMMYFUNCTION("""COMPUTED_VALUE"""),188.15)</f>
        <v>188.15</v>
      </c>
      <c r="E14" s="6">
        <f>IFERROR(__xludf.DUMMYFUNCTION("""COMPUTED_VALUE"""),188.85)</f>
        <v>188.85</v>
      </c>
      <c r="F14" s="6">
        <f>IFERROR(__xludf.DUMMYFUNCTION("""COMPUTED_VALUE"""),3.6975391E7)</f>
        <v>36975391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IFERROR(__xludf.DUMMYFUNCTION("""COMPUTED_VALUE"""),188.85)</f>
        <v>188.85</v>
      </c>
      <c r="C15" s="6">
        <f>IFERROR(__xludf.DUMMYFUNCTION("""COMPUTED_VALUE"""),198.25)</f>
        <v>198.25</v>
      </c>
      <c r="D15" s="6">
        <f>IFERROR(__xludf.DUMMYFUNCTION("""COMPUTED_VALUE"""),188.4)</f>
        <v>188.4</v>
      </c>
      <c r="E15" s="6">
        <f>IFERROR(__xludf.DUMMYFUNCTION("""COMPUTED_VALUE"""),194.55)</f>
        <v>194.55</v>
      </c>
      <c r="F15" s="6">
        <f>IFERROR(__xludf.DUMMYFUNCTION("""COMPUTED_VALUE"""),4.297024E7)</f>
        <v>42970240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IFERROR(__xludf.DUMMYFUNCTION("""COMPUTED_VALUE"""),196.5)</f>
        <v>196.5</v>
      </c>
      <c r="C16" s="6">
        <f>IFERROR(__xludf.DUMMYFUNCTION("""COMPUTED_VALUE"""),205.9)</f>
        <v>205.9</v>
      </c>
      <c r="D16" s="6">
        <f>IFERROR(__xludf.DUMMYFUNCTION("""COMPUTED_VALUE"""),194.1)</f>
        <v>194.1</v>
      </c>
      <c r="E16" s="6">
        <f>IFERROR(__xludf.DUMMYFUNCTION("""COMPUTED_VALUE"""),195.95)</f>
        <v>195.95</v>
      </c>
      <c r="F16" s="6">
        <f>IFERROR(__xludf.DUMMYFUNCTION("""COMPUTED_VALUE"""),8.2675516E7)</f>
        <v>82675516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IFERROR(__xludf.DUMMYFUNCTION("""COMPUTED_VALUE"""),197.05)</f>
        <v>197.05</v>
      </c>
      <c r="C17" s="6">
        <f>IFERROR(__xludf.DUMMYFUNCTION("""COMPUTED_VALUE"""),201.95)</f>
        <v>201.95</v>
      </c>
      <c r="D17" s="6">
        <f>IFERROR(__xludf.DUMMYFUNCTION("""COMPUTED_VALUE"""),192.05)</f>
        <v>192.05</v>
      </c>
      <c r="E17" s="6">
        <f>IFERROR(__xludf.DUMMYFUNCTION("""COMPUTED_VALUE"""),201.05)</f>
        <v>201.05</v>
      </c>
      <c r="F17" s="6">
        <f>IFERROR(__xludf.DUMMYFUNCTION("""COMPUTED_VALUE"""),6.9841574E7)</f>
        <v>69841574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IFERROR(__xludf.DUMMYFUNCTION("""COMPUTED_VALUE"""),201.05)</f>
        <v>201.05</v>
      </c>
      <c r="C18" s="6">
        <f>IFERROR(__xludf.DUMMYFUNCTION("""COMPUTED_VALUE"""),212.0)</f>
        <v>212</v>
      </c>
      <c r="D18" s="6">
        <f>IFERROR(__xludf.DUMMYFUNCTION("""COMPUTED_VALUE"""),197.35)</f>
        <v>197.35</v>
      </c>
      <c r="E18" s="6">
        <f>IFERROR(__xludf.DUMMYFUNCTION("""COMPUTED_VALUE"""),203.95)</f>
        <v>203.95</v>
      </c>
      <c r="F18" s="6">
        <f>IFERROR(__xludf.DUMMYFUNCTION("""COMPUTED_VALUE"""),1.15297959E8)</f>
        <v>115297959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IFERROR(__xludf.DUMMYFUNCTION("""COMPUTED_VALUE"""),204.5)</f>
        <v>204.5</v>
      </c>
      <c r="C19" s="6">
        <f>IFERROR(__xludf.DUMMYFUNCTION("""COMPUTED_VALUE"""),209.9)</f>
        <v>209.9</v>
      </c>
      <c r="D19" s="6">
        <f>IFERROR(__xludf.DUMMYFUNCTION("""COMPUTED_VALUE"""),203.65)</f>
        <v>203.65</v>
      </c>
      <c r="E19" s="6">
        <f>IFERROR(__xludf.DUMMYFUNCTION("""COMPUTED_VALUE"""),205.05)</f>
        <v>205.05</v>
      </c>
      <c r="F19" s="6">
        <f>IFERROR(__xludf.DUMMYFUNCTION("""COMPUTED_VALUE"""),7.1596807E7)</f>
        <v>71596807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IFERROR(__xludf.DUMMYFUNCTION("""COMPUTED_VALUE"""),206.0)</f>
        <v>206</v>
      </c>
      <c r="C20" s="6">
        <f>IFERROR(__xludf.DUMMYFUNCTION("""COMPUTED_VALUE"""),217.5)</f>
        <v>217.5</v>
      </c>
      <c r="D20" s="6">
        <f>IFERROR(__xludf.DUMMYFUNCTION("""COMPUTED_VALUE"""),203.65)</f>
        <v>203.65</v>
      </c>
      <c r="E20" s="6">
        <f>IFERROR(__xludf.DUMMYFUNCTION("""COMPUTED_VALUE"""),216.45)</f>
        <v>216.45</v>
      </c>
      <c r="F20" s="6">
        <f>IFERROR(__xludf.DUMMYFUNCTION("""COMPUTED_VALUE"""),8.9410519E7)</f>
        <v>89410519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IFERROR(__xludf.DUMMYFUNCTION("""COMPUTED_VALUE"""),218.0)</f>
        <v>218</v>
      </c>
      <c r="C21" s="6">
        <f>IFERROR(__xludf.DUMMYFUNCTION("""COMPUTED_VALUE"""),224.75)</f>
        <v>224.75</v>
      </c>
      <c r="D21" s="6">
        <f>IFERROR(__xludf.DUMMYFUNCTION("""COMPUTED_VALUE"""),209.7)</f>
        <v>209.7</v>
      </c>
      <c r="E21" s="6">
        <f>IFERROR(__xludf.DUMMYFUNCTION("""COMPUTED_VALUE"""),223.4)</f>
        <v>223.4</v>
      </c>
      <c r="F21" s="6">
        <f>IFERROR(__xludf.DUMMYFUNCTION("""COMPUTED_VALUE"""),9.9577323E7)</f>
        <v>99577323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IFERROR(__xludf.DUMMYFUNCTION("""COMPUTED_VALUE"""),245.0)</f>
        <v>245</v>
      </c>
      <c r="C22" s="6">
        <f>IFERROR(__xludf.DUMMYFUNCTION("""COMPUTED_VALUE"""),245.65)</f>
        <v>245.65</v>
      </c>
      <c r="D22" s="6">
        <f>IFERROR(__xludf.DUMMYFUNCTION("""COMPUTED_VALUE"""),228.0)</f>
        <v>228</v>
      </c>
      <c r="E22" s="6">
        <f>IFERROR(__xludf.DUMMYFUNCTION("""COMPUTED_VALUE"""),234.05)</f>
        <v>234.05</v>
      </c>
      <c r="F22" s="6">
        <f>IFERROR(__xludf.DUMMYFUNCTION("""COMPUTED_VALUE"""),5.3033175E7)</f>
        <v>53033175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IFERROR(__xludf.DUMMYFUNCTION("""COMPUTED_VALUE"""),241.0)</f>
        <v>241</v>
      </c>
      <c r="C23" s="6">
        <f>IFERROR(__xludf.DUMMYFUNCTION("""COMPUTED_VALUE"""),263.3)</f>
        <v>263.3</v>
      </c>
      <c r="D23" s="6">
        <f>IFERROR(__xludf.DUMMYFUNCTION("""COMPUTED_VALUE"""),239.1)</f>
        <v>239.1</v>
      </c>
      <c r="E23" s="6">
        <f>IFERROR(__xludf.DUMMYFUNCTION("""COMPUTED_VALUE"""),257.25)</f>
        <v>257.25</v>
      </c>
      <c r="F23" s="6">
        <f>IFERROR(__xludf.DUMMYFUNCTION("""COMPUTED_VALUE"""),1.99153026E8)</f>
        <v>199153026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IFERROR(__xludf.DUMMYFUNCTION("""COMPUTED_VALUE"""),260.05)</f>
        <v>260.05</v>
      </c>
      <c r="C24" s="6">
        <f>IFERROR(__xludf.DUMMYFUNCTION("""COMPUTED_VALUE"""),275.65)</f>
        <v>275.65</v>
      </c>
      <c r="D24" s="6">
        <f>IFERROR(__xludf.DUMMYFUNCTION("""COMPUTED_VALUE"""),255.1)</f>
        <v>255.1</v>
      </c>
      <c r="E24" s="6">
        <f>IFERROR(__xludf.DUMMYFUNCTION("""COMPUTED_VALUE"""),267.55)</f>
        <v>267.55</v>
      </c>
      <c r="F24" s="6">
        <f>IFERROR(__xludf.DUMMYFUNCTION("""COMPUTED_VALUE"""),1.46464488E8)</f>
        <v>146464488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IFERROR(__xludf.DUMMYFUNCTION("""COMPUTED_VALUE"""),261.95)</f>
        <v>261.95</v>
      </c>
      <c r="C25" s="6">
        <f>IFERROR(__xludf.DUMMYFUNCTION("""COMPUTED_VALUE"""),279.85)</f>
        <v>279.85</v>
      </c>
      <c r="D25" s="6">
        <f>IFERROR(__xludf.DUMMYFUNCTION("""COMPUTED_VALUE"""),254.7)</f>
        <v>254.7</v>
      </c>
      <c r="E25" s="6">
        <f>IFERROR(__xludf.DUMMYFUNCTION("""COMPUTED_VALUE"""),274.7)</f>
        <v>274.7</v>
      </c>
      <c r="F25" s="6">
        <f>IFERROR(__xludf.DUMMYFUNCTION("""COMPUTED_VALUE"""),1.47663408E8)</f>
        <v>147663408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IFERROR(__xludf.DUMMYFUNCTION("""COMPUTED_VALUE"""),274.7)</f>
        <v>274.7</v>
      </c>
      <c r="C26" s="6">
        <f>IFERROR(__xludf.DUMMYFUNCTION("""COMPUTED_VALUE"""),281.15)</f>
        <v>281.15</v>
      </c>
      <c r="D26" s="6">
        <f>IFERROR(__xludf.DUMMYFUNCTION("""COMPUTED_VALUE"""),268.5)</f>
        <v>268.5</v>
      </c>
      <c r="E26" s="6">
        <f>IFERROR(__xludf.DUMMYFUNCTION("""COMPUTED_VALUE"""),272.2)</f>
        <v>272.2</v>
      </c>
      <c r="F26" s="6">
        <f>IFERROR(__xludf.DUMMYFUNCTION("""COMPUTED_VALUE"""),7.6888427E7)</f>
        <v>76888427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IFERROR(__xludf.DUMMYFUNCTION("""COMPUTED_VALUE"""),272.75)</f>
        <v>272.75</v>
      </c>
      <c r="C27" s="6">
        <f>IFERROR(__xludf.DUMMYFUNCTION("""COMPUTED_VALUE"""),284.95)</f>
        <v>284.95</v>
      </c>
      <c r="D27" s="6">
        <f>IFERROR(__xludf.DUMMYFUNCTION("""COMPUTED_VALUE"""),272.5)</f>
        <v>272.5</v>
      </c>
      <c r="E27" s="6">
        <f>IFERROR(__xludf.DUMMYFUNCTION("""COMPUTED_VALUE"""),278.1)</f>
        <v>278.1</v>
      </c>
      <c r="F27" s="6">
        <f>IFERROR(__xludf.DUMMYFUNCTION("""COMPUTED_VALUE"""),6.9018949E7)</f>
        <v>69018949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IFERROR(__xludf.DUMMYFUNCTION("""COMPUTED_VALUE"""),278.1)</f>
        <v>278.1</v>
      </c>
      <c r="C28" s="6">
        <f>IFERROR(__xludf.DUMMYFUNCTION("""COMPUTED_VALUE"""),280.5)</f>
        <v>280.5</v>
      </c>
      <c r="D28" s="6">
        <f>IFERROR(__xludf.DUMMYFUNCTION("""COMPUTED_VALUE"""),248.9)</f>
        <v>248.9</v>
      </c>
      <c r="E28" s="6">
        <f>IFERROR(__xludf.DUMMYFUNCTION("""COMPUTED_VALUE"""),258.75)</f>
        <v>258.75</v>
      </c>
      <c r="F28" s="6">
        <f>IFERROR(__xludf.DUMMYFUNCTION("""COMPUTED_VALUE"""),1.00909405E8)</f>
        <v>100909405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IFERROR(__xludf.DUMMYFUNCTION("""COMPUTED_VALUE"""),258.95)</f>
        <v>258.95</v>
      </c>
      <c r="C29" s="6">
        <f>IFERROR(__xludf.DUMMYFUNCTION("""COMPUTED_VALUE"""),266.95)</f>
        <v>266.95</v>
      </c>
      <c r="D29" s="6">
        <f>IFERROR(__xludf.DUMMYFUNCTION("""COMPUTED_VALUE"""),256.65)</f>
        <v>256.65</v>
      </c>
      <c r="E29" s="6">
        <f>IFERROR(__xludf.DUMMYFUNCTION("""COMPUTED_VALUE"""),263.25)</f>
        <v>263.25</v>
      </c>
      <c r="F29" s="6">
        <f>IFERROR(__xludf.DUMMYFUNCTION("""COMPUTED_VALUE"""),5.3677588E7)</f>
        <v>53677588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IFERROR(__xludf.DUMMYFUNCTION("""COMPUTED_VALUE"""),261.65)</f>
        <v>261.65</v>
      </c>
      <c r="C30" s="6">
        <f>IFERROR(__xludf.DUMMYFUNCTION("""COMPUTED_VALUE"""),271.0)</f>
        <v>271</v>
      </c>
      <c r="D30" s="6">
        <f>IFERROR(__xludf.DUMMYFUNCTION("""COMPUTED_VALUE"""),259.3)</f>
        <v>259.3</v>
      </c>
      <c r="E30" s="6">
        <f>IFERROR(__xludf.DUMMYFUNCTION("""COMPUTED_VALUE"""),268.05)</f>
        <v>268.05</v>
      </c>
      <c r="F30" s="6">
        <f>IFERROR(__xludf.DUMMYFUNCTION("""COMPUTED_VALUE"""),5.8282869E7)</f>
        <v>58282869</v>
      </c>
    </row>
    <row r="31">
      <c r="A31" s="7">
        <f>IFERROR(__xludf.DUMMYFUNCTION("""COMPUTED_VALUE"""),45387.64583333333)</f>
        <v>45387.64583</v>
      </c>
      <c r="B31" s="6">
        <f>IFERROR(__xludf.DUMMYFUNCTION("""COMPUTED_VALUE"""),268.05)</f>
        <v>268.05</v>
      </c>
      <c r="C31" s="6">
        <f>IFERROR(__xludf.DUMMYFUNCTION("""COMPUTED_VALUE"""),279.0)</f>
        <v>279</v>
      </c>
      <c r="D31" s="6">
        <f>IFERROR(__xludf.DUMMYFUNCTION("""COMPUTED_VALUE"""),265.35)</f>
        <v>265.35</v>
      </c>
      <c r="E31" s="6">
        <f>IFERROR(__xludf.DUMMYFUNCTION("""COMPUTED_VALUE"""),267.95)</f>
        <v>267.95</v>
      </c>
      <c r="F31" s="6">
        <f>IFERROR(__xludf.DUMMYFUNCTION("""COMPUTED_VALUE"""),8.1134737E7)</f>
        <v>81134737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IFERROR(__xludf.DUMMYFUNCTION("""COMPUTED_VALUE"""),267.55)</f>
        <v>267.55</v>
      </c>
      <c r="C32" s="6">
        <f>IFERROR(__xludf.DUMMYFUNCTION("""COMPUTED_VALUE"""),273.2)</f>
        <v>273.2</v>
      </c>
      <c r="D32" s="6">
        <f>IFERROR(__xludf.DUMMYFUNCTION("""COMPUTED_VALUE"""),265.0)</f>
        <v>265</v>
      </c>
      <c r="E32" s="6">
        <f>IFERROR(__xludf.DUMMYFUNCTION("""COMPUTED_VALUE"""),265.7)</f>
        <v>265.7</v>
      </c>
      <c r="F32" s="6">
        <f>IFERROR(__xludf.DUMMYFUNCTION("""COMPUTED_VALUE"""),5.9217012E7)</f>
        <v>59217012</v>
      </c>
    </row>
    <row r="33">
      <c r="A33" s="7">
        <f>IFERROR(__xludf.DUMMYFUNCTION("""COMPUTED_VALUE"""),45401.64583333333)</f>
        <v>45401.64583</v>
      </c>
      <c r="B33" s="6">
        <f>IFERROR(__xludf.DUMMYFUNCTION("""COMPUTED_VALUE"""),269.1)</f>
        <v>269.1</v>
      </c>
      <c r="C33" s="6">
        <f>IFERROR(__xludf.DUMMYFUNCTION("""COMPUTED_VALUE"""),292.55)</f>
        <v>292.55</v>
      </c>
      <c r="D33" s="6">
        <f>IFERROR(__xludf.DUMMYFUNCTION("""COMPUTED_VALUE"""),267.1)</f>
        <v>267.1</v>
      </c>
      <c r="E33" s="6">
        <f>IFERROR(__xludf.DUMMYFUNCTION("""COMPUTED_VALUE"""),275.25)</f>
        <v>275.25</v>
      </c>
      <c r="F33" s="6">
        <f>IFERROR(__xludf.DUMMYFUNCTION("""COMPUTED_VALUE"""),2.20941578E8)</f>
        <v>220941578</v>
      </c>
    </row>
    <row r="34">
      <c r="A34" s="7">
        <f>IFERROR(__xludf.DUMMYFUNCTION("""COMPUTED_VALUE"""),45408.64583333333)</f>
        <v>45408.64583</v>
      </c>
      <c r="B34" s="6">
        <f>IFERROR(__xludf.DUMMYFUNCTION("""COMPUTED_VALUE"""),277.3)</f>
        <v>277.3</v>
      </c>
      <c r="C34" s="6">
        <f>IFERROR(__xludf.DUMMYFUNCTION("""COMPUTED_VALUE"""),286.15)</f>
        <v>286.15</v>
      </c>
      <c r="D34" s="6">
        <f>IFERROR(__xludf.DUMMYFUNCTION("""COMPUTED_VALUE"""),273.75)</f>
        <v>273.75</v>
      </c>
      <c r="E34" s="6">
        <f>IFERROR(__xludf.DUMMYFUNCTION("""COMPUTED_VALUE"""),282.9)</f>
        <v>282.9</v>
      </c>
      <c r="F34" s="6">
        <f>IFERROR(__xludf.DUMMYFUNCTION("""COMPUTED_VALUE"""),6.0357998E7)</f>
        <v>60357998</v>
      </c>
    </row>
    <row r="35">
      <c r="A35" s="7">
        <f>IFERROR(__xludf.DUMMYFUNCTION("""COMPUTED_VALUE"""),45415.64583333333)</f>
        <v>45415.64583</v>
      </c>
      <c r="B35" s="6">
        <f>IFERROR(__xludf.DUMMYFUNCTION("""COMPUTED_VALUE"""),283.95)</f>
        <v>283.95</v>
      </c>
      <c r="C35" s="6">
        <f>IFERROR(__xludf.DUMMYFUNCTION("""COMPUTED_VALUE"""),292.95)</f>
        <v>292.95</v>
      </c>
      <c r="D35" s="6">
        <f>IFERROR(__xludf.DUMMYFUNCTION("""COMPUTED_VALUE"""),279.05)</f>
        <v>279.05</v>
      </c>
      <c r="E35" s="6">
        <f>IFERROR(__xludf.DUMMYFUNCTION("""COMPUTED_VALUE"""),286.1)</f>
        <v>286.1</v>
      </c>
      <c r="F35" s="6">
        <f>IFERROR(__xludf.DUMMYFUNCTION("""COMPUTED_VALUE"""),6.4201678E7)</f>
        <v>64201678</v>
      </c>
    </row>
    <row r="36">
      <c r="A36" s="7">
        <f>IFERROR(__xludf.DUMMYFUNCTION("""COMPUTED_VALUE"""),45422.64583333333)</f>
        <v>45422.64583</v>
      </c>
      <c r="B36" s="6">
        <f>IFERROR(__xludf.DUMMYFUNCTION("""COMPUTED_VALUE"""),288.7)</f>
        <v>288.7</v>
      </c>
      <c r="C36" s="6">
        <f>IFERROR(__xludf.DUMMYFUNCTION("""COMPUTED_VALUE"""),288.75)</f>
        <v>288.75</v>
      </c>
      <c r="D36" s="6">
        <f>IFERROR(__xludf.DUMMYFUNCTION("""COMPUTED_VALUE"""),263.2)</f>
        <v>263.2</v>
      </c>
      <c r="E36" s="6">
        <f>IFERROR(__xludf.DUMMYFUNCTION("""COMPUTED_VALUE"""),270.25)</f>
        <v>270.25</v>
      </c>
      <c r="F36" s="6">
        <f>IFERROR(__xludf.DUMMYFUNCTION("""COMPUTED_VALUE"""),6.5868512E7)</f>
        <v>65868512</v>
      </c>
    </row>
    <row r="37">
      <c r="A37" s="7">
        <f>IFERROR(__xludf.DUMMYFUNCTION("""COMPUTED_VALUE"""),45436.64583333333)</f>
        <v>45436.64583</v>
      </c>
      <c r="B37" s="6">
        <f>IFERROR(__xludf.DUMMYFUNCTION("""COMPUTED_VALUE"""),281.1)</f>
        <v>281.1</v>
      </c>
      <c r="C37" s="6">
        <f>IFERROR(__xludf.DUMMYFUNCTION("""COMPUTED_VALUE"""),285.95)</f>
        <v>285.95</v>
      </c>
      <c r="D37" s="6">
        <f>IFERROR(__xludf.DUMMYFUNCTION("""COMPUTED_VALUE"""),276.9)</f>
        <v>276.9</v>
      </c>
      <c r="E37" s="6">
        <f>IFERROR(__xludf.DUMMYFUNCTION("""COMPUTED_VALUE"""),283.25)</f>
        <v>283.25</v>
      </c>
      <c r="F37" s="6">
        <f>IFERROR(__xludf.DUMMYFUNCTION("""COMPUTED_VALUE"""),6.4256105E7)</f>
        <v>64256105</v>
      </c>
    </row>
    <row r="38">
      <c r="A38" s="7">
        <f>IFERROR(__xludf.DUMMYFUNCTION("""COMPUTED_VALUE"""),45443.64583333333)</f>
        <v>45443.64583</v>
      </c>
      <c r="B38" s="6">
        <f>IFERROR(__xludf.DUMMYFUNCTION("""COMPUTED_VALUE"""),284.0)</f>
        <v>284</v>
      </c>
      <c r="C38" s="6">
        <f>IFERROR(__xludf.DUMMYFUNCTION("""COMPUTED_VALUE"""),284.2)</f>
        <v>284.2</v>
      </c>
      <c r="D38" s="6">
        <f>IFERROR(__xludf.DUMMYFUNCTION("""COMPUTED_VALUE"""),263.0)</f>
        <v>263</v>
      </c>
      <c r="E38" s="6">
        <f>IFERROR(__xludf.DUMMYFUNCTION("""COMPUTED_VALUE"""),264.35)</f>
        <v>264.35</v>
      </c>
      <c r="F38" s="6">
        <f>IFERROR(__xludf.DUMMYFUNCTION("""COMPUTED_VALUE"""),6.8532717E7)</f>
        <v>68532717</v>
      </c>
    </row>
    <row r="39">
      <c r="A39" s="7">
        <f>IFERROR(__xludf.DUMMYFUNCTION("""COMPUTED_VALUE"""),45450.64583333333)</f>
        <v>45450.64583</v>
      </c>
      <c r="B39" s="6">
        <f>IFERROR(__xludf.DUMMYFUNCTION("""COMPUTED_VALUE"""),277.95)</f>
        <v>277.95</v>
      </c>
      <c r="C39" s="6">
        <f>IFERROR(__xludf.DUMMYFUNCTION("""COMPUTED_VALUE"""),286.55)</f>
        <v>286.55</v>
      </c>
      <c r="D39" s="6">
        <f>IFERROR(__xludf.DUMMYFUNCTION("""COMPUTED_VALUE"""),223.0)</f>
        <v>223</v>
      </c>
      <c r="E39" s="6">
        <f>IFERROR(__xludf.DUMMYFUNCTION("""COMPUTED_VALUE"""),260.4)</f>
        <v>260.4</v>
      </c>
      <c r="F39" s="6">
        <f>IFERROR(__xludf.DUMMYFUNCTION("""COMPUTED_VALUE"""),1.92945769E8)</f>
        <v>192945769</v>
      </c>
    </row>
    <row r="40">
      <c r="A40" s="7">
        <f>IFERROR(__xludf.DUMMYFUNCTION("""COMPUTED_VALUE"""),45457.64583333333)</f>
        <v>45457.64583</v>
      </c>
      <c r="B40" s="6">
        <f>IFERROR(__xludf.DUMMYFUNCTION("""COMPUTED_VALUE"""),264.0)</f>
        <v>264</v>
      </c>
      <c r="C40" s="6">
        <f>IFERROR(__xludf.DUMMYFUNCTION("""COMPUTED_VALUE"""),279.1)</f>
        <v>279.1</v>
      </c>
      <c r="D40" s="6">
        <f>IFERROR(__xludf.DUMMYFUNCTION("""COMPUTED_VALUE"""),258.05)</f>
        <v>258.05</v>
      </c>
      <c r="E40" s="6">
        <f>IFERROR(__xludf.DUMMYFUNCTION("""COMPUTED_VALUE"""),275.4)</f>
        <v>275.4</v>
      </c>
      <c r="F40" s="6">
        <f>IFERROR(__xludf.DUMMYFUNCTION("""COMPUTED_VALUE"""),1.08625426E8)</f>
        <v>108625426</v>
      </c>
    </row>
    <row r="41">
      <c r="A41" s="7">
        <f>IFERROR(__xludf.DUMMYFUNCTION("""COMPUTED_VALUE"""),45464.64583333333)</f>
        <v>45464.64583</v>
      </c>
      <c r="B41" s="6">
        <f>IFERROR(__xludf.DUMMYFUNCTION("""COMPUTED_VALUE"""),278.95)</f>
        <v>278.95</v>
      </c>
      <c r="C41" s="6">
        <f>IFERROR(__xludf.DUMMYFUNCTION("""COMPUTED_VALUE"""),279.0)</f>
        <v>279</v>
      </c>
      <c r="D41" s="6">
        <f>IFERROR(__xludf.DUMMYFUNCTION("""COMPUTED_VALUE"""),268.9)</f>
        <v>268.9</v>
      </c>
      <c r="E41" s="6">
        <f>IFERROR(__xludf.DUMMYFUNCTION("""COMPUTED_VALUE"""),269.65)</f>
        <v>269.65</v>
      </c>
      <c r="F41" s="6">
        <f>IFERROR(__xludf.DUMMYFUNCTION("""COMPUTED_VALUE"""),6.0639301E7)</f>
        <v>60639301</v>
      </c>
    </row>
    <row r="42">
      <c r="A42" s="7">
        <f>IFERROR(__xludf.DUMMYFUNCTION("""COMPUTED_VALUE"""),45471.64583333333)</f>
        <v>45471.64583</v>
      </c>
      <c r="B42" s="6">
        <f>IFERROR(__xludf.DUMMYFUNCTION("""COMPUTED_VALUE"""),269.65)</f>
        <v>269.65</v>
      </c>
      <c r="C42" s="6">
        <f>IFERROR(__xludf.DUMMYFUNCTION("""COMPUTED_VALUE"""),275.45)</f>
        <v>275.45</v>
      </c>
      <c r="D42" s="6">
        <f>IFERROR(__xludf.DUMMYFUNCTION("""COMPUTED_VALUE"""),263.5)</f>
        <v>263.5</v>
      </c>
      <c r="E42" s="6">
        <f>IFERROR(__xludf.DUMMYFUNCTION("""COMPUTED_VALUE"""),274.2)</f>
        <v>274.2</v>
      </c>
      <c r="F42" s="6">
        <f>IFERROR(__xludf.DUMMYFUNCTION("""COMPUTED_VALUE"""),7.4722533E7)</f>
        <v>74722533</v>
      </c>
    </row>
    <row r="43">
      <c r="A43" s="7">
        <f>IFERROR(__xludf.DUMMYFUNCTION("""COMPUTED_VALUE"""),45478.64583333333)</f>
        <v>45478.64583</v>
      </c>
      <c r="B43" s="6">
        <f>IFERROR(__xludf.DUMMYFUNCTION("""COMPUTED_VALUE"""),275.0)</f>
        <v>275</v>
      </c>
      <c r="C43" s="6">
        <f>IFERROR(__xludf.DUMMYFUNCTION("""COMPUTED_VALUE"""),289.3)</f>
        <v>289.3</v>
      </c>
      <c r="D43" s="6">
        <f>IFERROR(__xludf.DUMMYFUNCTION("""COMPUTED_VALUE"""),271.5)</f>
        <v>271.5</v>
      </c>
      <c r="E43" s="6">
        <f>IFERROR(__xludf.DUMMYFUNCTION("""COMPUTED_VALUE"""),288.2)</f>
        <v>288.2</v>
      </c>
      <c r="F43" s="6">
        <f>IFERROR(__xludf.DUMMYFUNCTION("""COMPUTED_VALUE"""),9.8573521E7)</f>
        <v>98573521</v>
      </c>
    </row>
    <row r="44">
      <c r="A44" s="7">
        <f>IFERROR(__xludf.DUMMYFUNCTION("""COMPUTED_VALUE"""),45485.64583333333)</f>
        <v>45485.64583</v>
      </c>
      <c r="B44" s="6">
        <f>IFERROR(__xludf.DUMMYFUNCTION("""COMPUTED_VALUE"""),290.0)</f>
        <v>290</v>
      </c>
      <c r="C44" s="6">
        <f>IFERROR(__xludf.DUMMYFUNCTION("""COMPUTED_VALUE"""),311.75)</f>
        <v>311.75</v>
      </c>
      <c r="D44" s="6">
        <f>IFERROR(__xludf.DUMMYFUNCTION("""COMPUTED_VALUE"""),287.35)</f>
        <v>287.35</v>
      </c>
      <c r="E44" s="6">
        <f>IFERROR(__xludf.DUMMYFUNCTION("""COMPUTED_VALUE"""),307.1)</f>
        <v>307.1</v>
      </c>
      <c r="F44" s="6">
        <f>IFERROR(__xludf.DUMMYFUNCTION("""COMPUTED_VALUE"""),1.58909858E8)</f>
        <v>158909858</v>
      </c>
    </row>
    <row r="45">
      <c r="A45" s="7">
        <f>IFERROR(__xludf.DUMMYFUNCTION("""COMPUTED_VALUE"""),45492.64583333333)</f>
        <v>45492.64583</v>
      </c>
      <c r="B45" s="6">
        <f>IFERROR(__xludf.DUMMYFUNCTION("""COMPUTED_VALUE"""),311.8)</f>
        <v>311.8</v>
      </c>
      <c r="C45" s="6">
        <f>IFERROR(__xludf.DUMMYFUNCTION("""COMPUTED_VALUE"""),333.3)</f>
        <v>333.3</v>
      </c>
      <c r="D45" s="6">
        <f>IFERROR(__xludf.DUMMYFUNCTION("""COMPUTED_VALUE"""),308.65)</f>
        <v>308.65</v>
      </c>
      <c r="E45" s="6">
        <f>IFERROR(__xludf.DUMMYFUNCTION("""COMPUTED_VALUE"""),319.65)</f>
        <v>319.65</v>
      </c>
      <c r="F45" s="6">
        <f>IFERROR(__xludf.DUMMYFUNCTION("""COMPUTED_VALUE"""),1.6367324E8)</f>
        <v>163673240</v>
      </c>
    </row>
    <row r="46">
      <c r="A46" s="7">
        <f>IFERROR(__xludf.DUMMYFUNCTION("""COMPUTED_VALUE"""),45499.64583333333)</f>
        <v>45499.64583</v>
      </c>
      <c r="B46" s="6">
        <f>IFERROR(__xludf.DUMMYFUNCTION("""COMPUTED_VALUE"""),320.0)</f>
        <v>320</v>
      </c>
      <c r="C46" s="6">
        <f>IFERROR(__xludf.DUMMYFUNCTION("""COMPUTED_VALUE"""),338.5)</f>
        <v>338.5</v>
      </c>
      <c r="D46" s="6">
        <f>IFERROR(__xludf.DUMMYFUNCTION("""COMPUTED_VALUE"""),297.4)</f>
        <v>297.4</v>
      </c>
      <c r="E46" s="6">
        <f>IFERROR(__xludf.DUMMYFUNCTION("""COMPUTED_VALUE"""),331.6)</f>
        <v>331.6</v>
      </c>
      <c r="F46" s="6">
        <f>IFERROR(__xludf.DUMMYFUNCTION("""COMPUTED_VALUE"""),1.56123569E8)</f>
        <v>156123569</v>
      </c>
    </row>
    <row r="47">
      <c r="A47" s="7">
        <f>IFERROR(__xludf.DUMMYFUNCTION("""COMPUTED_VALUE"""),45506.64583333333)</f>
        <v>45506.64583</v>
      </c>
      <c r="B47" s="6">
        <f>IFERROR(__xludf.DUMMYFUNCTION("""COMPUTED_VALUE"""),333.8)</f>
        <v>333.8</v>
      </c>
      <c r="C47" s="6">
        <f>IFERROR(__xludf.DUMMYFUNCTION("""COMPUTED_VALUE"""),344.7)</f>
        <v>344.7</v>
      </c>
      <c r="D47" s="6">
        <f>IFERROR(__xludf.DUMMYFUNCTION("""COMPUTED_VALUE"""),328.65)</f>
        <v>328.65</v>
      </c>
      <c r="E47" s="6">
        <f>IFERROR(__xludf.DUMMYFUNCTION("""COMPUTED_VALUE"""),330.1)</f>
        <v>330.1</v>
      </c>
      <c r="F47" s="6">
        <f>IFERROR(__xludf.DUMMYFUNCTION("""COMPUTED_VALUE"""),1.26891741E8)</f>
        <v>126891741</v>
      </c>
    </row>
    <row r="48">
      <c r="A48" s="7">
        <f>IFERROR(__xludf.DUMMYFUNCTION("""COMPUTED_VALUE"""),45513.64583333333)</f>
        <v>45513.64583</v>
      </c>
      <c r="B48" s="6">
        <f>IFERROR(__xludf.DUMMYFUNCTION("""COMPUTED_VALUE"""),320.35)</f>
        <v>320.35</v>
      </c>
      <c r="C48" s="6">
        <f>IFERROR(__xludf.DUMMYFUNCTION("""COMPUTED_VALUE"""),335.85)</f>
        <v>335.85</v>
      </c>
      <c r="D48" s="6">
        <f>IFERROR(__xludf.DUMMYFUNCTION("""COMPUTED_VALUE"""),305.15)</f>
        <v>305.15</v>
      </c>
      <c r="E48" s="6">
        <f>IFERROR(__xludf.DUMMYFUNCTION("""COMPUTED_VALUE"""),332.55)</f>
        <v>332.55</v>
      </c>
      <c r="F48" s="6">
        <f>IFERROR(__xludf.DUMMYFUNCTION("""COMPUTED_VALUE"""),1.85776073E8)</f>
        <v>185776073</v>
      </c>
    </row>
    <row r="49">
      <c r="A49" s="7">
        <f>IFERROR(__xludf.DUMMYFUNCTION("""COMPUTED_VALUE"""),45520.64583333333)</f>
        <v>45520.64583</v>
      </c>
      <c r="B49" s="6">
        <f>IFERROR(__xludf.DUMMYFUNCTION("""COMPUTED_VALUE"""),332.75)</f>
        <v>332.75</v>
      </c>
      <c r="C49" s="6">
        <f>IFERROR(__xludf.DUMMYFUNCTION("""COMPUTED_VALUE"""),345.0)</f>
        <v>345</v>
      </c>
      <c r="D49" s="6">
        <f>IFERROR(__xludf.DUMMYFUNCTION("""COMPUTED_VALUE"""),326.8)</f>
        <v>326.8</v>
      </c>
      <c r="E49" s="6">
        <f>IFERROR(__xludf.DUMMYFUNCTION("""COMPUTED_VALUE"""),329.6)</f>
        <v>329.6</v>
      </c>
      <c r="F49" s="6">
        <f>IFERROR(__xludf.DUMMYFUNCTION("""COMPUTED_VALUE"""),9.809514E7)</f>
        <v>98095140</v>
      </c>
    </row>
    <row r="50">
      <c r="A50" s="7">
        <f>IFERROR(__xludf.DUMMYFUNCTION("""COMPUTED_VALUE"""),45527.64583333333)</f>
        <v>45527.64583</v>
      </c>
      <c r="B50" s="6">
        <f>IFERROR(__xludf.DUMMYFUNCTION("""COMPUTED_VALUE"""),335.0)</f>
        <v>335</v>
      </c>
      <c r="C50" s="6">
        <f>IFERROR(__xludf.DUMMYFUNCTION("""COMPUTED_VALUE"""),338.75)</f>
        <v>338.75</v>
      </c>
      <c r="D50" s="6">
        <f>IFERROR(__xludf.DUMMYFUNCTION("""COMPUTED_VALUE"""),317.55)</f>
        <v>317.55</v>
      </c>
      <c r="E50" s="6">
        <f>IFERROR(__xludf.DUMMYFUNCTION("""COMPUTED_VALUE"""),318.9)</f>
        <v>318.9</v>
      </c>
      <c r="F50" s="6">
        <f>IFERROR(__xludf.DUMMYFUNCTION("""COMPUTED_VALUE"""),7.3061806E7)</f>
        <v>73061806</v>
      </c>
    </row>
    <row r="51">
      <c r="A51" s="7">
        <f>IFERROR(__xludf.DUMMYFUNCTION("""COMPUTED_VALUE"""),45534.64583333333)</f>
        <v>45534.64583</v>
      </c>
      <c r="B51" s="6">
        <f>IFERROR(__xludf.DUMMYFUNCTION("""COMPUTED_VALUE"""),323.5)</f>
        <v>323.5</v>
      </c>
      <c r="C51" s="6">
        <f>IFERROR(__xludf.DUMMYFUNCTION("""COMPUTED_VALUE"""),334.4)</f>
        <v>334.4</v>
      </c>
      <c r="D51" s="6">
        <f>IFERROR(__xludf.DUMMYFUNCTION("""COMPUTED_VALUE"""),322.8)</f>
        <v>322.8</v>
      </c>
      <c r="E51" s="6">
        <f>IFERROR(__xludf.DUMMYFUNCTION("""COMPUTED_VALUE"""),330.75)</f>
        <v>330.75</v>
      </c>
      <c r="F51" s="6">
        <f>IFERROR(__xludf.DUMMYFUNCTION("""COMPUTED_VALUE"""),8.742535E7)</f>
        <v>87425350</v>
      </c>
    </row>
    <row r="52">
      <c r="A52" s="7">
        <f>IFERROR(__xludf.DUMMYFUNCTION("""COMPUTED_VALUE"""),45541.64583333333)</f>
        <v>45541.64583</v>
      </c>
      <c r="B52" s="6">
        <f>IFERROR(__xludf.DUMMYFUNCTION("""COMPUTED_VALUE"""),330.0)</f>
        <v>330</v>
      </c>
      <c r="C52" s="6">
        <f>IFERROR(__xludf.DUMMYFUNCTION("""COMPUTED_VALUE"""),331.95)</f>
        <v>331.95</v>
      </c>
      <c r="D52" s="6">
        <f>IFERROR(__xludf.DUMMYFUNCTION("""COMPUTED_VALUE"""),303.7)</f>
        <v>303.7</v>
      </c>
      <c r="E52" s="6">
        <f>IFERROR(__xludf.DUMMYFUNCTION("""COMPUTED_VALUE"""),308.8)</f>
        <v>308.8</v>
      </c>
      <c r="F52" s="6">
        <f>IFERROR(__xludf.DUMMYFUNCTION("""COMPUTED_VALUE"""),8.8211957E7)</f>
        <v>88211957</v>
      </c>
    </row>
    <row r="53">
      <c r="A53" s="7">
        <f>IFERROR(__xludf.DUMMYFUNCTION("""COMPUTED_VALUE"""),45548.64583333333)</f>
        <v>45548.64583</v>
      </c>
      <c r="B53" s="6">
        <f>IFERROR(__xludf.DUMMYFUNCTION("""COMPUTED_VALUE"""),308.7)</f>
        <v>308.7</v>
      </c>
      <c r="C53" s="6">
        <f>IFERROR(__xludf.DUMMYFUNCTION("""COMPUTED_VALUE"""),308.7)</f>
        <v>308.7</v>
      </c>
      <c r="D53" s="6">
        <f>IFERROR(__xludf.DUMMYFUNCTION("""COMPUTED_VALUE"""),283.25)</f>
        <v>283.25</v>
      </c>
      <c r="E53" s="6">
        <f>IFERROR(__xludf.DUMMYFUNCTION("""COMPUTED_VALUE"""),291.45)</f>
        <v>291.45</v>
      </c>
      <c r="F53" s="6">
        <f>IFERROR(__xludf.DUMMYFUNCTION("""COMPUTED_VALUE"""),1.2645124E8)</f>
        <v>126451240</v>
      </c>
    </row>
    <row r="54">
      <c r="A54" s="7">
        <f>IFERROR(__xludf.DUMMYFUNCTION("""COMPUTED_VALUE"""),45555.64583333333)</f>
        <v>45555.64583</v>
      </c>
      <c r="B54" s="6">
        <f>IFERROR(__xludf.DUMMYFUNCTION("""COMPUTED_VALUE"""),294.8)</f>
        <v>294.8</v>
      </c>
      <c r="C54" s="6">
        <f>IFERROR(__xludf.DUMMYFUNCTION("""COMPUTED_VALUE"""),297.8)</f>
        <v>297.8</v>
      </c>
      <c r="D54" s="6">
        <f>IFERROR(__xludf.DUMMYFUNCTION("""COMPUTED_VALUE"""),282.5)</f>
        <v>282.5</v>
      </c>
      <c r="E54" s="6">
        <f>IFERROR(__xludf.DUMMYFUNCTION("""COMPUTED_VALUE"""),286.25)</f>
        <v>286.25</v>
      </c>
      <c r="F54" s="6">
        <f>IFERROR(__xludf.DUMMYFUNCTION("""COMPUTED_VALUE"""),6.9919147E7)</f>
        <v>69919147</v>
      </c>
    </row>
    <row r="55">
      <c r="A55" s="7">
        <f>IFERROR(__xludf.DUMMYFUNCTION("""COMPUTED_VALUE"""),45562.64583333333)</f>
        <v>45562.64583</v>
      </c>
      <c r="B55" s="6">
        <f>IFERROR(__xludf.DUMMYFUNCTION("""COMPUTED_VALUE"""),288.4)</f>
        <v>288.4</v>
      </c>
      <c r="C55" s="6">
        <f>IFERROR(__xludf.DUMMYFUNCTION("""COMPUTED_VALUE"""),302.0)</f>
        <v>302</v>
      </c>
      <c r="D55" s="6">
        <f>IFERROR(__xludf.DUMMYFUNCTION("""COMPUTED_VALUE"""),287.55)</f>
        <v>287.55</v>
      </c>
      <c r="E55" s="6">
        <f>IFERROR(__xludf.DUMMYFUNCTION("""COMPUTED_VALUE"""),297.2)</f>
        <v>297.2</v>
      </c>
      <c r="F55" s="6">
        <f>IFERROR(__xludf.DUMMYFUNCTION("""COMPUTED_VALUE"""),1.05736144E8)</f>
        <v>105736144</v>
      </c>
    </row>
    <row r="56">
      <c r="A56" s="7">
        <f>IFERROR(__xludf.DUMMYFUNCTION("""COMPUTED_VALUE"""),45569.64583333333)</f>
        <v>45569.64583</v>
      </c>
      <c r="B56" s="6">
        <f>IFERROR(__xludf.DUMMYFUNCTION("""COMPUTED_VALUE"""),297.0)</f>
        <v>297</v>
      </c>
      <c r="C56" s="6">
        <f>IFERROR(__xludf.DUMMYFUNCTION("""COMPUTED_VALUE"""),301.8)</f>
        <v>301.8</v>
      </c>
      <c r="D56" s="6">
        <f>IFERROR(__xludf.DUMMYFUNCTION("""COMPUTED_VALUE"""),290.55)</f>
        <v>290.55</v>
      </c>
      <c r="E56" s="6">
        <f>IFERROR(__xludf.DUMMYFUNCTION("""COMPUTED_VALUE"""),295.25)</f>
        <v>295.25</v>
      </c>
      <c r="F56" s="6">
        <f>IFERROR(__xludf.DUMMYFUNCTION("""COMPUTED_VALUE"""),7.8443033E7)</f>
        <v>78443033</v>
      </c>
    </row>
    <row r="57">
      <c r="A57" s="7">
        <f>IFERROR(__xludf.DUMMYFUNCTION("""COMPUTED_VALUE"""),45576.64583333333)</f>
        <v>45576.64583</v>
      </c>
      <c r="B57" s="6">
        <f>IFERROR(__xludf.DUMMYFUNCTION("""COMPUTED_VALUE"""),296.0)</f>
        <v>296</v>
      </c>
      <c r="C57" s="6">
        <f>IFERROR(__xludf.DUMMYFUNCTION("""COMPUTED_VALUE"""),296.3)</f>
        <v>296.3</v>
      </c>
      <c r="D57" s="6">
        <f>IFERROR(__xludf.DUMMYFUNCTION("""COMPUTED_VALUE"""),280.55)</f>
        <v>280.55</v>
      </c>
      <c r="E57" s="6">
        <f>IFERROR(__xludf.DUMMYFUNCTION("""COMPUTED_VALUE"""),292.55)</f>
        <v>292.55</v>
      </c>
      <c r="F57" s="6">
        <f>IFERROR(__xludf.DUMMYFUNCTION("""COMPUTED_VALUE"""),5.8886713E7)</f>
        <v>58886713</v>
      </c>
    </row>
    <row r="58">
      <c r="A58" s="7">
        <f>IFERROR(__xludf.DUMMYFUNCTION("""COMPUTED_VALUE"""),45583.64583333333)</f>
        <v>45583.64583</v>
      </c>
      <c r="B58" s="6">
        <f>IFERROR(__xludf.DUMMYFUNCTION("""COMPUTED_VALUE"""),292.7)</f>
        <v>292.7</v>
      </c>
      <c r="C58" s="6">
        <f>IFERROR(__xludf.DUMMYFUNCTION("""COMPUTED_VALUE"""),292.9)</f>
        <v>292.9</v>
      </c>
      <c r="D58" s="6">
        <f>IFERROR(__xludf.DUMMYFUNCTION("""COMPUTED_VALUE"""),279.2)</f>
        <v>279.2</v>
      </c>
      <c r="E58" s="6">
        <f>IFERROR(__xludf.DUMMYFUNCTION("""COMPUTED_VALUE"""),283.3)</f>
        <v>283.3</v>
      </c>
      <c r="F58" s="6">
        <f>IFERROR(__xludf.DUMMYFUNCTION("""COMPUTED_VALUE"""),7.3338692E7)</f>
        <v>73338692</v>
      </c>
    </row>
    <row r="59">
      <c r="A59" s="7">
        <f>IFERROR(__xludf.DUMMYFUNCTION("""COMPUTED_VALUE"""),45590.64583333333)</f>
        <v>45590.64583</v>
      </c>
      <c r="B59" s="6">
        <f>IFERROR(__xludf.DUMMYFUNCTION("""COMPUTED_VALUE"""),281.15)</f>
        <v>281.15</v>
      </c>
      <c r="C59" s="6">
        <f>IFERROR(__xludf.DUMMYFUNCTION("""COMPUTED_VALUE"""),284.0)</f>
        <v>284</v>
      </c>
      <c r="D59" s="6">
        <f>IFERROR(__xludf.DUMMYFUNCTION("""COMPUTED_VALUE"""),261.6)</f>
        <v>261.6</v>
      </c>
      <c r="E59" s="6">
        <f>IFERROR(__xludf.DUMMYFUNCTION("""COMPUTED_VALUE"""),264.05)</f>
        <v>264.05</v>
      </c>
      <c r="F59" s="6">
        <f>IFERROR(__xludf.DUMMYFUNCTION("""COMPUTED_VALUE"""),5.9601307E7)</f>
        <v>59601307</v>
      </c>
    </row>
    <row r="60">
      <c r="A60" s="7">
        <f>IFERROR(__xludf.DUMMYFUNCTION("""COMPUTED_VALUE"""),45604.64583333333)</f>
        <v>45604.64583</v>
      </c>
      <c r="B60" s="6">
        <f>IFERROR(__xludf.DUMMYFUNCTION("""COMPUTED_VALUE"""),274.0)</f>
        <v>274</v>
      </c>
      <c r="C60" s="6">
        <f>IFERROR(__xludf.DUMMYFUNCTION("""COMPUTED_VALUE"""),274.35)</f>
        <v>274.35</v>
      </c>
      <c r="D60" s="6">
        <f>IFERROR(__xludf.DUMMYFUNCTION("""COMPUTED_VALUE"""),259.65)</f>
        <v>259.65</v>
      </c>
      <c r="E60" s="6">
        <f>IFERROR(__xludf.DUMMYFUNCTION("""COMPUTED_VALUE"""),262.55)</f>
        <v>262.55</v>
      </c>
      <c r="F60" s="6">
        <f>IFERROR(__xludf.DUMMYFUNCTION("""COMPUTED_VALUE"""),5.9879277E7)</f>
        <v>59879277</v>
      </c>
    </row>
    <row r="61">
      <c r="A61" s="7">
        <f>IFERROR(__xludf.DUMMYFUNCTION("""COMPUTED_VALUE"""),45610.64583333333)</f>
        <v>45610.64583</v>
      </c>
      <c r="B61" s="6">
        <f>IFERROR(__xludf.DUMMYFUNCTION("""COMPUTED_VALUE"""),262.35)</f>
        <v>262.35</v>
      </c>
      <c r="C61" s="6">
        <f>IFERROR(__xludf.DUMMYFUNCTION("""COMPUTED_VALUE"""),263.2)</f>
        <v>263.2</v>
      </c>
      <c r="D61" s="6">
        <f>IFERROR(__xludf.DUMMYFUNCTION("""COMPUTED_VALUE"""),249.0)</f>
        <v>249</v>
      </c>
      <c r="E61" s="6">
        <f>IFERROR(__xludf.DUMMYFUNCTION("""COMPUTED_VALUE"""),250.8)</f>
        <v>250.8</v>
      </c>
      <c r="F61" s="6">
        <f>IFERROR(__xludf.DUMMYFUNCTION("""COMPUTED_VALUE"""),6.0833929E7)</f>
        <v>60833929</v>
      </c>
    </row>
    <row r="62">
      <c r="A62" s="7">
        <f>IFERROR(__xludf.DUMMYFUNCTION("""COMPUTED_VALUE"""),45618.64583333333)</f>
        <v>45618.64583</v>
      </c>
      <c r="B62" s="6">
        <f>IFERROR(__xludf.DUMMYFUNCTION("""COMPUTED_VALUE"""),251.1)</f>
        <v>251.1</v>
      </c>
      <c r="C62" s="6">
        <f>IFERROR(__xludf.DUMMYFUNCTION("""COMPUTED_VALUE"""),255.4)</f>
        <v>255.4</v>
      </c>
      <c r="D62" s="6">
        <f>IFERROR(__xludf.DUMMYFUNCTION("""COMPUTED_VALUE"""),240.8)</f>
        <v>240.8</v>
      </c>
      <c r="E62" s="6">
        <f>IFERROR(__xludf.DUMMYFUNCTION("""COMPUTED_VALUE"""),245.6)</f>
        <v>245.6</v>
      </c>
      <c r="F62" s="6">
        <f>IFERROR(__xludf.DUMMYFUNCTION("""COMPUTED_VALUE"""),5.7861121E7)</f>
        <v>57861121</v>
      </c>
    </row>
    <row r="63">
      <c r="A63" s="7">
        <f>IFERROR(__xludf.DUMMYFUNCTION("""COMPUTED_VALUE"""),45625.64583333333)</f>
        <v>45625.64583</v>
      </c>
      <c r="B63" s="6">
        <f>IFERROR(__xludf.DUMMYFUNCTION("""COMPUTED_VALUE"""),248.5)</f>
        <v>248.5</v>
      </c>
      <c r="C63" s="6">
        <f>IFERROR(__xludf.DUMMYFUNCTION("""COMPUTED_VALUE"""),260.5)</f>
        <v>260.5</v>
      </c>
      <c r="D63" s="6">
        <f>IFERROR(__xludf.DUMMYFUNCTION("""COMPUTED_VALUE"""),247.95)</f>
        <v>247.95</v>
      </c>
      <c r="E63" s="6">
        <f>IFERROR(__xludf.DUMMYFUNCTION("""COMPUTED_VALUE"""),256.7)</f>
        <v>256.7</v>
      </c>
      <c r="F63" s="6">
        <f>IFERROR(__xludf.DUMMYFUNCTION("""COMPUTED_VALUE"""),7.8585302E7)</f>
        <v>78585302</v>
      </c>
    </row>
    <row r="64">
      <c r="A64" s="7">
        <f>IFERROR(__xludf.DUMMYFUNCTION("""COMPUTED_VALUE"""),45632.64583333333)</f>
        <v>45632.64583</v>
      </c>
      <c r="B64" s="6">
        <f>IFERROR(__xludf.DUMMYFUNCTION("""COMPUTED_VALUE"""),255.5)</f>
        <v>255.5</v>
      </c>
      <c r="C64" s="6">
        <f>IFERROR(__xludf.DUMMYFUNCTION("""COMPUTED_VALUE"""),264.7)</f>
        <v>264.7</v>
      </c>
      <c r="D64" s="6">
        <f>IFERROR(__xludf.DUMMYFUNCTION("""COMPUTED_VALUE"""),252.7)</f>
        <v>252.7</v>
      </c>
      <c r="E64" s="6">
        <f>IFERROR(__xludf.DUMMYFUNCTION("""COMPUTED_VALUE"""),260.05)</f>
        <v>260.05</v>
      </c>
      <c r="F64" s="6">
        <f>IFERROR(__xludf.DUMMYFUNCTION("""COMPUTED_VALUE"""),6.1417252E7)</f>
        <v>61417252</v>
      </c>
    </row>
    <row r="65">
      <c r="A65" s="7">
        <f>IFERROR(__xludf.DUMMYFUNCTION("""COMPUTED_VALUE"""),45639.64583333333)</f>
        <v>45639.64583</v>
      </c>
      <c r="B65" s="6">
        <f>IFERROR(__xludf.DUMMYFUNCTION("""COMPUTED_VALUE"""),260.05)</f>
        <v>260.05</v>
      </c>
      <c r="C65" s="6">
        <f>IFERROR(__xludf.DUMMYFUNCTION("""COMPUTED_VALUE"""),261.35)</f>
        <v>261.35</v>
      </c>
      <c r="D65" s="6">
        <f>IFERROR(__xludf.DUMMYFUNCTION("""COMPUTED_VALUE"""),249.5)</f>
        <v>249.5</v>
      </c>
      <c r="E65" s="6">
        <f>IFERROR(__xludf.DUMMYFUNCTION("""COMPUTED_VALUE"""),254.25)</f>
        <v>254.25</v>
      </c>
      <c r="F65" s="6">
        <f>IFERROR(__xludf.DUMMYFUNCTION("""COMPUTED_VALUE"""),4.1739675E7)</f>
        <v>41739675</v>
      </c>
    </row>
    <row r="66">
      <c r="A66" s="7">
        <f>IFERROR(__xludf.DUMMYFUNCTION("""COMPUTED_VALUE"""),45646.64583333333)</f>
        <v>45646.64583</v>
      </c>
      <c r="B66" s="6">
        <f>IFERROR(__xludf.DUMMYFUNCTION("""COMPUTED_VALUE"""),254.0)</f>
        <v>254</v>
      </c>
      <c r="C66" s="6">
        <f>IFERROR(__xludf.DUMMYFUNCTION("""COMPUTED_VALUE"""),256.3)</f>
        <v>256.3</v>
      </c>
      <c r="D66" s="6">
        <f>IFERROR(__xludf.DUMMYFUNCTION("""COMPUTED_VALUE"""),235.3)</f>
        <v>235.3</v>
      </c>
      <c r="E66" s="6">
        <f>IFERROR(__xludf.DUMMYFUNCTION("""COMPUTED_VALUE"""),237.1)</f>
        <v>237.1</v>
      </c>
      <c r="F66" s="6">
        <f>IFERROR(__xludf.DUMMYFUNCTION("""COMPUTED_VALUE"""),5.0856756E7)</f>
        <v>50856756</v>
      </c>
    </row>
    <row r="67">
      <c r="A67" s="7">
        <f>IFERROR(__xludf.DUMMYFUNCTION("""COMPUTED_VALUE"""),45653.64583333333)</f>
        <v>45653.64583</v>
      </c>
      <c r="B67" s="6">
        <f>IFERROR(__xludf.DUMMYFUNCTION("""COMPUTED_VALUE"""),238.25)</f>
        <v>238.25</v>
      </c>
      <c r="C67" s="6">
        <f>IFERROR(__xludf.DUMMYFUNCTION("""COMPUTED_VALUE"""),243.25)</f>
        <v>243.25</v>
      </c>
      <c r="D67" s="6">
        <f>IFERROR(__xludf.DUMMYFUNCTION("""COMPUTED_VALUE"""),236.3)</f>
        <v>236.3</v>
      </c>
      <c r="E67" s="6">
        <f>IFERROR(__xludf.DUMMYFUNCTION("""COMPUTED_VALUE"""),236.9)</f>
        <v>236.9</v>
      </c>
      <c r="F67" s="6">
        <f>IFERROR(__xludf.DUMMYFUNCTION("""COMPUTED_VALUE"""),2.4118195E7)</f>
        <v>24118195</v>
      </c>
    </row>
    <row r="68">
      <c r="A68" s="7">
        <f>IFERROR(__xludf.DUMMYFUNCTION("""COMPUTED_VALUE"""),45660.64583333333)</f>
        <v>45660.64583</v>
      </c>
      <c r="B68" s="6">
        <f>IFERROR(__xludf.DUMMYFUNCTION("""COMPUTED_VALUE"""),236.05)</f>
        <v>236.05</v>
      </c>
      <c r="C68" s="6">
        <f>IFERROR(__xludf.DUMMYFUNCTION("""COMPUTED_VALUE"""),262.75)</f>
        <v>262.75</v>
      </c>
      <c r="D68" s="6">
        <f>IFERROR(__xludf.DUMMYFUNCTION("""COMPUTED_VALUE"""),231.15)</f>
        <v>231.15</v>
      </c>
      <c r="E68" s="6">
        <f>IFERROR(__xludf.DUMMYFUNCTION("""COMPUTED_VALUE"""),258.89)</f>
        <v>258.89</v>
      </c>
      <c r="F68" s="6">
        <f>IFERROR(__xludf.DUMMYFUNCTION("""COMPUTED_VALUE"""),1.1033063E8)</f>
        <v>110330630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IFERROR(__xludf.DUMMYFUNCTION("""COMPUTED_VALUE"""),259.11)</f>
        <v>259.11</v>
      </c>
      <c r="C69" s="6">
        <f>IFERROR(__xludf.DUMMYFUNCTION("""COMPUTED_VALUE"""),273.5)</f>
        <v>273.5</v>
      </c>
      <c r="D69" s="6">
        <f>IFERROR(__xludf.DUMMYFUNCTION("""COMPUTED_VALUE"""),251.45)</f>
        <v>251.45</v>
      </c>
      <c r="E69" s="6">
        <f>IFERROR(__xludf.DUMMYFUNCTION("""COMPUTED_VALUE"""),263.02)</f>
        <v>263.02</v>
      </c>
      <c r="F69" s="6">
        <f>IFERROR(__xludf.DUMMYFUNCTION("""COMPUTED_VALUE"""),1.42220468E8)</f>
        <v>142220468</v>
      </c>
    </row>
    <row r="70">
      <c r="A70" s="7">
        <f>IFERROR(__xludf.DUMMYFUNCTION("""COMPUTED_VALUE"""),45674.64583333333)</f>
        <v>45674.64583</v>
      </c>
      <c r="B70" s="6">
        <f>IFERROR(__xludf.DUMMYFUNCTION("""COMPUTED_VALUE"""),266.03)</f>
        <v>266.03</v>
      </c>
      <c r="C70" s="6">
        <f>IFERROR(__xludf.DUMMYFUNCTION("""COMPUTED_VALUE"""),268.6)</f>
        <v>268.6</v>
      </c>
      <c r="D70" s="6">
        <f>IFERROR(__xludf.DUMMYFUNCTION("""COMPUTED_VALUE"""),254.61)</f>
        <v>254.61</v>
      </c>
      <c r="E70" s="6">
        <f>IFERROR(__xludf.DUMMYFUNCTION("""COMPUTED_VALUE"""),266.57)</f>
        <v>266.57</v>
      </c>
      <c r="F70" s="6">
        <f>IFERROR(__xludf.DUMMYFUNCTION("""COMPUTED_VALUE"""),6.4574844E7)</f>
        <v>64574844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IFERROR(__xludf.DUMMYFUNCTION("""COMPUTED_VALUE"""),268.1)</f>
        <v>268.1</v>
      </c>
      <c r="C71" s="6">
        <f>IFERROR(__xludf.DUMMYFUNCTION("""COMPUTED_VALUE"""),270.47)</f>
        <v>270.47</v>
      </c>
      <c r="D71" s="6">
        <f>IFERROR(__xludf.DUMMYFUNCTION("""COMPUTED_VALUE"""),255.75)</f>
        <v>255.75</v>
      </c>
      <c r="E71" s="6">
        <f>IFERROR(__xludf.DUMMYFUNCTION("""COMPUTED_VALUE"""),256.51)</f>
        <v>256.51</v>
      </c>
      <c r="F71" s="6">
        <f>IFERROR(__xludf.DUMMYFUNCTION("""COMPUTED_VALUE"""),3.791812E7)</f>
        <v>37918120</v>
      </c>
    </row>
    <row r="72">
      <c r="A72" s="7">
        <f>IFERROR(__xludf.DUMMYFUNCTION("""COMPUTED_VALUE"""),45695.64583333333)</f>
        <v>45695.64583</v>
      </c>
      <c r="B72" s="6">
        <f>IFERROR(__xludf.DUMMYFUNCTION("""COMPUTED_VALUE"""),255.6)</f>
        <v>255.6</v>
      </c>
      <c r="C72" s="6">
        <f>IFERROR(__xludf.DUMMYFUNCTION("""COMPUTED_VALUE"""),263.0)</f>
        <v>263</v>
      </c>
      <c r="D72" s="6">
        <f>IFERROR(__xludf.DUMMYFUNCTION("""COMPUTED_VALUE"""),244.85)</f>
        <v>244.85</v>
      </c>
      <c r="E72" s="6">
        <f>IFERROR(__xludf.DUMMYFUNCTION("""COMPUTED_VALUE"""),248.9)</f>
        <v>248.9</v>
      </c>
      <c r="F72" s="6">
        <f>IFERROR(__xludf.DUMMYFUNCTION("""COMPUTED_VALUE"""),6.8139251E7)</f>
        <v>68139251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IFERROR(__xludf.DUMMYFUNCTION("""COMPUTED_VALUE"""),248.95)</f>
        <v>248.95</v>
      </c>
      <c r="C73" s="6">
        <f>IFERROR(__xludf.DUMMYFUNCTION("""COMPUTED_VALUE"""),249.6)</f>
        <v>249.6</v>
      </c>
      <c r="D73" s="6">
        <f>IFERROR(__xludf.DUMMYFUNCTION("""COMPUTED_VALUE"""),226.75)</f>
        <v>226.75</v>
      </c>
      <c r="E73" s="6">
        <f>IFERROR(__xludf.DUMMYFUNCTION("""COMPUTED_VALUE"""),230.5)</f>
        <v>230.5</v>
      </c>
      <c r="F73" s="6">
        <f>IFERROR(__xludf.DUMMYFUNCTION("""COMPUTED_VALUE"""),3.8424684E7)</f>
        <v>38424684</v>
      </c>
    </row>
    <row r="74">
      <c r="A74" s="7">
        <f>IFERROR(__xludf.DUMMYFUNCTION("""COMPUTED_VALUE"""),45709.64583333333)</f>
        <v>45709.64583</v>
      </c>
      <c r="B74" s="6">
        <f>IFERROR(__xludf.DUMMYFUNCTION("""COMPUTED_VALUE"""),230.2)</f>
        <v>230.2</v>
      </c>
      <c r="C74" s="6">
        <f>IFERROR(__xludf.DUMMYFUNCTION("""COMPUTED_VALUE"""),243.05)</f>
        <v>243.05</v>
      </c>
      <c r="D74" s="6">
        <f>IFERROR(__xludf.DUMMYFUNCTION("""COMPUTED_VALUE"""),225.05)</f>
        <v>225.05</v>
      </c>
      <c r="E74" s="6">
        <f>IFERROR(__xludf.DUMMYFUNCTION("""COMPUTED_VALUE"""),239.9)</f>
        <v>239.9</v>
      </c>
      <c r="F74" s="6">
        <f>IFERROR(__xludf.DUMMYFUNCTION("""COMPUTED_VALUE"""),3.365918E7)</f>
        <v>33659180</v>
      </c>
    </row>
    <row r="75">
      <c r="A75" s="7">
        <f>IFERROR(__xludf.DUMMYFUNCTION("""COMPUTED_VALUE"""),45716.64583333333)</f>
        <v>45716.64583</v>
      </c>
      <c r="B75" s="6">
        <f>IFERROR(__xludf.DUMMYFUNCTION("""COMPUTED_VALUE"""),236.3)</f>
        <v>236.3</v>
      </c>
      <c r="C75" s="6">
        <f>IFERROR(__xludf.DUMMYFUNCTION("""COMPUTED_VALUE"""),237.95)</f>
        <v>237.95</v>
      </c>
      <c r="D75" s="6">
        <f>IFERROR(__xludf.DUMMYFUNCTION("""COMPUTED_VALUE"""),223.15)</f>
        <v>223.15</v>
      </c>
      <c r="E75" s="6">
        <f>IFERROR(__xludf.DUMMYFUNCTION("""COMPUTED_VALUE"""),225.25)</f>
        <v>225.25</v>
      </c>
      <c r="F75" s="6">
        <f>IFERROR(__xludf.DUMMYFUNCTION("""COMPUTED_VALUE"""),3.9303487E7)</f>
        <v>39303487</v>
      </c>
    </row>
    <row r="76">
      <c r="A76" s="7">
        <f>IFERROR(__xludf.DUMMYFUNCTION("""COMPUTED_VALUE"""),45723.64583333333)</f>
        <v>45723.64583</v>
      </c>
      <c r="B76" s="6">
        <f>IFERROR(__xludf.DUMMYFUNCTION("""COMPUTED_VALUE"""),224.75)</f>
        <v>224.75</v>
      </c>
      <c r="C76" s="6">
        <f>IFERROR(__xludf.DUMMYFUNCTION("""COMPUTED_VALUE"""),236.47)</f>
        <v>236.47</v>
      </c>
      <c r="D76" s="6">
        <f>IFERROR(__xludf.DUMMYFUNCTION("""COMPUTED_VALUE"""),215.48)</f>
        <v>215.48</v>
      </c>
      <c r="E76" s="6">
        <f>IFERROR(__xludf.DUMMYFUNCTION("""COMPUTED_VALUE"""),232.89)</f>
        <v>232.89</v>
      </c>
      <c r="F76" s="6">
        <f>IFERROR(__xludf.DUMMYFUNCTION("""COMPUTED_VALUE"""),5.134178E7)</f>
        <v>51341780</v>
      </c>
    </row>
    <row r="77">
      <c r="A77" s="7">
        <f>IFERROR(__xludf.DUMMYFUNCTION("""COMPUTED_VALUE"""),45729.64583333333)</f>
        <v>45729.64583</v>
      </c>
      <c r="B77" s="6">
        <f>IFERROR(__xludf.DUMMYFUNCTION("""COMPUTED_VALUE"""),232.89)</f>
        <v>232.89</v>
      </c>
      <c r="C77" s="6">
        <f>IFERROR(__xludf.DUMMYFUNCTION("""COMPUTED_VALUE"""),235.0)</f>
        <v>235</v>
      </c>
      <c r="D77" s="6">
        <f>IFERROR(__xludf.DUMMYFUNCTION("""COMPUTED_VALUE"""),220.1)</f>
        <v>220.1</v>
      </c>
      <c r="E77" s="6">
        <f>IFERROR(__xludf.DUMMYFUNCTION("""COMPUTED_VALUE"""),225.43)</f>
        <v>225.43</v>
      </c>
      <c r="F77" s="6">
        <f>IFERROR(__xludf.DUMMYFUNCTION("""COMPUTED_VALUE"""),5.053015E7)</f>
        <v>50530150</v>
      </c>
    </row>
    <row r="78">
      <c r="A78" s="7">
        <f>IFERROR(__xludf.DUMMYFUNCTION("""COMPUTED_VALUE"""),45737.64583333333)</f>
        <v>45737.64583</v>
      </c>
      <c r="B78" s="6">
        <f>IFERROR(__xludf.DUMMYFUNCTION("""COMPUTED_VALUE"""),226.52)</f>
        <v>226.52</v>
      </c>
      <c r="C78" s="6">
        <f>IFERROR(__xludf.DUMMYFUNCTION("""COMPUTED_VALUE"""),248.0)</f>
        <v>248</v>
      </c>
      <c r="D78" s="6">
        <f>IFERROR(__xludf.DUMMYFUNCTION("""COMPUTED_VALUE"""),226.24)</f>
        <v>226.24</v>
      </c>
      <c r="E78" s="6">
        <f>IFERROR(__xludf.DUMMYFUNCTION("""COMPUTED_VALUE"""),242.42)</f>
        <v>242.42</v>
      </c>
      <c r="F78" s="6">
        <f>IFERROR(__xludf.DUMMYFUNCTION("""COMPUTED_VALUE"""),7.5304313E7)</f>
        <v>75304313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IFERROR(__xludf.DUMMYFUNCTION("""COMPUTED_VALUE"""),244.19)</f>
        <v>244.19</v>
      </c>
      <c r="C79" s="6">
        <f>IFERROR(__xludf.DUMMYFUNCTION("""COMPUTED_VALUE"""),254.9)</f>
        <v>254.9</v>
      </c>
      <c r="D79" s="6">
        <f>IFERROR(__xludf.DUMMYFUNCTION("""COMPUTED_VALUE"""),238.65)</f>
        <v>238.65</v>
      </c>
      <c r="E79" s="6">
        <f>IFERROR(__xludf.DUMMYFUNCTION("""COMPUTED_VALUE"""),246.38)</f>
        <v>246.38</v>
      </c>
      <c r="F79" s="6">
        <f>IFERROR(__xludf.DUMMYFUNCTION("""COMPUTED_VALUE"""),6.9867079E7)</f>
        <v>69867079</v>
      </c>
    </row>
    <row r="80">
      <c r="A80" s="7">
        <f>IFERROR(__xludf.DUMMYFUNCTION("""COMPUTED_VALUE"""),45751.64583333333)</f>
        <v>45751.64583</v>
      </c>
      <c r="B80" s="6">
        <f>IFERROR(__xludf.DUMMYFUNCTION("""COMPUTED_VALUE"""),247.0)</f>
        <v>247</v>
      </c>
      <c r="C80" s="6">
        <f>IFERROR(__xludf.DUMMYFUNCTION("""COMPUTED_VALUE"""),252.2)</f>
        <v>252.2</v>
      </c>
      <c r="D80" s="6">
        <f>IFERROR(__xludf.DUMMYFUNCTION("""COMPUTED_VALUE"""),224.2)</f>
        <v>224.2</v>
      </c>
      <c r="E80" s="6">
        <f>IFERROR(__xludf.DUMMYFUNCTION("""COMPUTED_VALUE"""),226.01)</f>
        <v>226.01</v>
      </c>
      <c r="F80" s="6">
        <f>IFERROR(__xludf.DUMMYFUNCTION("""COMPUTED_VALUE"""),7.6074427E7)</f>
        <v>76074427</v>
      </c>
    </row>
    <row r="81">
      <c r="A81" s="7">
        <f>IFERROR(__xludf.DUMMYFUNCTION("""COMPUTED_VALUE"""),45758.64583333333)</f>
        <v>45758.64583</v>
      </c>
      <c r="B81" s="6">
        <f>IFERROR(__xludf.DUMMYFUNCTION("""COMPUTED_VALUE"""),208.0)</f>
        <v>208</v>
      </c>
      <c r="C81" s="6">
        <f>IFERROR(__xludf.DUMMYFUNCTION("""COMPUTED_VALUE"""),231.4)</f>
        <v>231.4</v>
      </c>
      <c r="D81" s="6">
        <f>IFERROR(__xludf.DUMMYFUNCTION("""COMPUTED_VALUE"""),205.0)</f>
        <v>205</v>
      </c>
      <c r="E81" s="6">
        <f>IFERROR(__xludf.DUMMYFUNCTION("""COMPUTED_VALUE"""),230.37)</f>
        <v>230.37</v>
      </c>
      <c r="F81" s="6">
        <f>IFERROR(__xludf.DUMMYFUNCTION("""COMPUTED_VALUE"""),6.9109242E7)</f>
        <v>69109242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IFERROR(__xludf.DUMMYFUNCTION("""COMPUTED_VALUE"""),234.0)</f>
        <v>234</v>
      </c>
      <c r="C82" s="6">
        <f>IFERROR(__xludf.DUMMYFUNCTION("""COMPUTED_VALUE"""),244.61)</f>
        <v>244.61</v>
      </c>
      <c r="D82" s="6">
        <f>IFERROR(__xludf.DUMMYFUNCTION("""COMPUTED_VALUE"""),230.1)</f>
        <v>230.1</v>
      </c>
      <c r="E82" s="6">
        <f>IFERROR(__xludf.DUMMYFUNCTION("""COMPUTED_VALUE"""),243.49)</f>
        <v>243.49</v>
      </c>
      <c r="F82" s="6">
        <f>IFERROR(__xludf.DUMMYFUNCTION("""COMPUTED_VALUE"""),4.3743004E7)</f>
        <v>43743004</v>
      </c>
    </row>
    <row r="83">
      <c r="A83" s="7">
        <f>IFERROR(__xludf.DUMMYFUNCTION("""COMPUTED_VALUE"""),45772.64583333333)</f>
        <v>45772.64583</v>
      </c>
      <c r="B83" s="6">
        <f>IFERROR(__xludf.DUMMYFUNCTION("""COMPUTED_VALUE"""),244.01)</f>
        <v>244.01</v>
      </c>
      <c r="C83" s="6">
        <f>IFERROR(__xludf.DUMMYFUNCTION("""COMPUTED_VALUE"""),252.75)</f>
        <v>252.75</v>
      </c>
      <c r="D83" s="6">
        <f>IFERROR(__xludf.DUMMYFUNCTION("""COMPUTED_VALUE"""),241.75)</f>
        <v>241.75</v>
      </c>
      <c r="E83" s="6">
        <f>IFERROR(__xludf.DUMMYFUNCTION("""COMPUTED_VALUE"""),246.33)</f>
        <v>246.33</v>
      </c>
      <c r="F83" s="6">
        <f>IFERROR(__xludf.DUMMYFUNCTION("""COMPUTED_VALUE"""),6.0305753E7)</f>
        <v>60305753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IFERROR(__xludf.DUMMYFUNCTION("""COMPUTED_VALUE"""),246.0)</f>
        <v>246</v>
      </c>
      <c r="C84" s="6">
        <f>IFERROR(__xludf.DUMMYFUNCTION("""COMPUTED_VALUE"""),252.1)</f>
        <v>252.1</v>
      </c>
      <c r="D84" s="6">
        <f>IFERROR(__xludf.DUMMYFUNCTION("""COMPUTED_VALUE"""),239.0)</f>
        <v>239</v>
      </c>
      <c r="E84" s="6">
        <f>IFERROR(__xludf.DUMMYFUNCTION("""COMPUTED_VALUE"""),243.42)</f>
        <v>243.42</v>
      </c>
      <c r="F84" s="6">
        <f>IFERROR(__xludf.DUMMYFUNCTION("""COMPUTED_VALUE"""),3.5726208E7)</f>
        <v>35726208</v>
      </c>
    </row>
    <row r="85">
      <c r="A85" s="7">
        <f>IFERROR(__xludf.DUMMYFUNCTION("""COMPUTED_VALUE"""),45786.64583333333)</f>
        <v>45786.64583</v>
      </c>
      <c r="B85" s="6">
        <f>IFERROR(__xludf.DUMMYFUNCTION("""COMPUTED_VALUE"""),240.0)</f>
        <v>240</v>
      </c>
      <c r="C85" s="6">
        <f>IFERROR(__xludf.DUMMYFUNCTION("""COMPUTED_VALUE"""),242.99)</f>
        <v>242.99</v>
      </c>
      <c r="D85" s="6">
        <f>IFERROR(__xludf.DUMMYFUNCTION("""COMPUTED_VALUE"""),228.45)</f>
        <v>228.45</v>
      </c>
      <c r="E85" s="6">
        <f>IFERROR(__xludf.DUMMYFUNCTION("""COMPUTED_VALUE"""),234.96)</f>
        <v>234.96</v>
      </c>
      <c r="F85" s="6">
        <f>IFERROR(__xludf.DUMMYFUNCTION("""COMPUTED_VALUE"""),7.433705E7)</f>
        <v>74337050</v>
      </c>
    </row>
    <row r="86">
      <c r="A86" s="7">
        <f>IFERROR(__xludf.DUMMYFUNCTION("""COMPUTED_VALUE"""),45793.64583333333)</f>
        <v>45793.64583</v>
      </c>
      <c r="B86" s="6">
        <f>IFERROR(__xludf.DUMMYFUNCTION("""COMPUTED_VALUE"""),239.0)</f>
        <v>239</v>
      </c>
      <c r="C86" s="6">
        <f>IFERROR(__xludf.DUMMYFUNCTION("""COMPUTED_VALUE"""),249.39)</f>
        <v>249.39</v>
      </c>
      <c r="D86" s="6">
        <f>IFERROR(__xludf.DUMMYFUNCTION("""COMPUTED_VALUE"""),238.11)</f>
        <v>238.11</v>
      </c>
      <c r="E86" s="6">
        <f>IFERROR(__xludf.DUMMYFUNCTION("""COMPUTED_VALUE"""),247.27)</f>
        <v>247.27</v>
      </c>
      <c r="F86" s="6">
        <f>IFERROR(__xludf.DUMMYFUNCTION("""COMPUTED_VALUE"""),5.3788101E7)</f>
        <v>53788101</v>
      </c>
    </row>
    <row r="87">
      <c r="A87" s="7">
        <f>IFERROR(__xludf.DUMMYFUNCTION("""COMPUTED_VALUE"""),45800.64583333333)</f>
        <v>45800.64583</v>
      </c>
      <c r="B87" s="6">
        <f>IFERROR(__xludf.DUMMYFUNCTION("""COMPUTED_VALUE"""),248.0)</f>
        <v>248</v>
      </c>
      <c r="C87" s="6">
        <f>IFERROR(__xludf.DUMMYFUNCTION("""COMPUTED_VALUE"""),252.7)</f>
        <v>252.7</v>
      </c>
      <c r="D87" s="6">
        <f>IFERROR(__xludf.DUMMYFUNCTION("""COMPUTED_VALUE"""),239.61)</f>
        <v>239.61</v>
      </c>
      <c r="E87" s="6">
        <f>IFERROR(__xludf.DUMMYFUNCTION("""COMPUTED_VALUE"""),244.24)</f>
        <v>244.24</v>
      </c>
      <c r="F87" s="6">
        <f>IFERROR(__xludf.DUMMYFUNCTION("""COMPUTED_VALUE"""),5.5612089E7)</f>
        <v>55612089</v>
      </c>
    </row>
    <row r="88">
      <c r="A88" s="7">
        <f>IFERROR(__xludf.DUMMYFUNCTION("""COMPUTED_VALUE"""),45807.64583333333)</f>
        <v>45807.64583</v>
      </c>
      <c r="B88" s="6">
        <f>IFERROR(__xludf.DUMMYFUNCTION("""COMPUTED_VALUE"""),245.3)</f>
        <v>245.3</v>
      </c>
      <c r="C88" s="6">
        <f>IFERROR(__xludf.DUMMYFUNCTION("""COMPUTED_VALUE"""),247.13)</f>
        <v>247.13</v>
      </c>
      <c r="D88" s="6">
        <f>IFERROR(__xludf.DUMMYFUNCTION("""COMPUTED_VALUE"""),238.89)</f>
        <v>238.89</v>
      </c>
      <c r="E88" s="6">
        <f>IFERROR(__xludf.DUMMYFUNCTION("""COMPUTED_VALUE"""),239.4)</f>
        <v>239.4</v>
      </c>
      <c r="F88" s="6">
        <f>IFERROR(__xludf.DUMMYFUNCTION("""COMPUTED_VALUE"""),4.7304574E7)</f>
        <v>47304574</v>
      </c>
    </row>
    <row r="89">
      <c r="A89" s="7">
        <f>IFERROR(__xludf.DUMMYFUNCTION("""COMPUTED_VALUE"""),45814.64583333333)</f>
        <v>45814.64583</v>
      </c>
      <c r="B89" s="6">
        <f>IFERROR(__xludf.DUMMYFUNCTION("""COMPUTED_VALUE"""),239.0)</f>
        <v>239</v>
      </c>
      <c r="C89" s="6">
        <f>IFERROR(__xludf.DUMMYFUNCTION("""COMPUTED_VALUE"""),241.05)</f>
        <v>241.05</v>
      </c>
      <c r="D89" s="6">
        <f>IFERROR(__xludf.DUMMYFUNCTION("""COMPUTED_VALUE"""),235.5)</f>
        <v>235.5</v>
      </c>
      <c r="E89" s="6">
        <f>IFERROR(__xludf.DUMMYFUNCTION("""COMPUTED_VALUE"""),240.06)</f>
        <v>240.06</v>
      </c>
      <c r="F89" s="6">
        <f>IFERROR(__xludf.DUMMYFUNCTION("""COMPUTED_VALUE"""),3.7454797E7)</f>
        <v>37454797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IFERROR(__xludf.DUMMYFUNCTION("""COMPUTED_VALUE"""),241.78)</f>
        <v>241.78</v>
      </c>
      <c r="C90" s="6">
        <f>IFERROR(__xludf.DUMMYFUNCTION("""COMPUTED_VALUE"""),255.95)</f>
        <v>255.95</v>
      </c>
      <c r="D90" s="6">
        <f>IFERROR(__xludf.DUMMYFUNCTION("""COMPUTED_VALUE"""),240.5)</f>
        <v>240.5</v>
      </c>
      <c r="E90" s="6">
        <f>IFERROR(__xludf.DUMMYFUNCTION("""COMPUTED_VALUE"""),251.51)</f>
        <v>251.51</v>
      </c>
      <c r="F90" s="6">
        <f>IFERROR(__xludf.DUMMYFUNCTION("""COMPUTED_VALUE"""),1.11155247E8)</f>
        <v>111155247</v>
      </c>
    </row>
    <row r="91">
      <c r="A91" s="7">
        <f>IFERROR(__xludf.DUMMYFUNCTION("""COMPUTED_VALUE"""),45828.64583333333)</f>
        <v>45828.64583</v>
      </c>
      <c r="B91" s="6">
        <f>IFERROR(__xludf.DUMMYFUNCTION("""COMPUTED_VALUE"""),253.99)</f>
        <v>253.99</v>
      </c>
      <c r="C91" s="6">
        <f>IFERROR(__xludf.DUMMYFUNCTION("""COMPUTED_VALUE"""),257.5)</f>
        <v>257.5</v>
      </c>
      <c r="D91" s="6">
        <f>IFERROR(__xludf.DUMMYFUNCTION("""COMPUTED_VALUE"""),248.2)</f>
        <v>248.2</v>
      </c>
      <c r="E91" s="6">
        <f>IFERROR(__xludf.DUMMYFUNCTION("""COMPUTED_VALUE"""),251.89)</f>
        <v>251.89</v>
      </c>
      <c r="F91" s="6">
        <f>IFERROR(__xludf.DUMMYFUNCTION("""COMPUTED_VALUE"""),9.9615794E7)</f>
        <v>99615794</v>
      </c>
    </row>
    <row r="92">
      <c r="A92" s="7">
        <f>IFERROR(__xludf.DUMMYFUNCTION("""COMPUTED_VALUE"""),45835.64583333333)</f>
        <v>45835.64583</v>
      </c>
      <c r="B92" s="6">
        <f>IFERROR(__xludf.DUMMYFUNCTION("""COMPUTED_VALUE"""),253.01)</f>
        <v>253.01</v>
      </c>
      <c r="C92" s="6">
        <f>IFERROR(__xludf.DUMMYFUNCTION("""COMPUTED_VALUE"""),255.49)</f>
        <v>255.49</v>
      </c>
      <c r="D92" s="6">
        <f>IFERROR(__xludf.DUMMYFUNCTION("""COMPUTED_VALUE"""),241.5)</f>
        <v>241.5</v>
      </c>
      <c r="E92" s="6">
        <f>IFERROR(__xludf.DUMMYFUNCTION("""COMPUTED_VALUE"""),242.83)</f>
        <v>242.83</v>
      </c>
      <c r="F92" s="6">
        <f>IFERROR(__xludf.DUMMYFUNCTION("""COMPUTED_VALUE"""),8.9509146E7)</f>
        <v>89509146</v>
      </c>
    </row>
    <row r="93">
      <c r="A93" s="7">
        <f>IFERROR(__xludf.DUMMYFUNCTION("""COMPUTED_VALUE"""),45842.64583333333)</f>
        <v>45842.64583</v>
      </c>
      <c r="B93" s="6">
        <f>IFERROR(__xludf.DUMMYFUNCTION("""COMPUTED_VALUE"""),244.0)</f>
        <v>244</v>
      </c>
      <c r="C93" s="6">
        <f>IFERROR(__xludf.DUMMYFUNCTION("""COMPUTED_VALUE"""),246.2)</f>
        <v>246.2</v>
      </c>
      <c r="D93" s="6">
        <f>IFERROR(__xludf.DUMMYFUNCTION("""COMPUTED_VALUE"""),240.2)</f>
        <v>240.2</v>
      </c>
      <c r="E93" s="6">
        <f>IFERROR(__xludf.DUMMYFUNCTION("""COMPUTED_VALUE"""),245.24)</f>
        <v>245.24</v>
      </c>
      <c r="F93" s="6">
        <f>IFERROR(__xludf.DUMMYFUNCTION("""COMPUTED_VALUE"""),4.9281854E7)</f>
        <v>49281854</v>
      </c>
    </row>
    <row r="94">
      <c r="A94" s="7">
        <f>IFERROR(__xludf.DUMMYFUNCTION("""COMPUTED_VALUE"""),45849.64583333333)</f>
        <v>45849.64583</v>
      </c>
      <c r="B94" s="6">
        <f>IFERROR(__xludf.DUMMYFUNCTION("""COMPUTED_VALUE"""),245.5)</f>
        <v>245.5</v>
      </c>
      <c r="C94" s="6">
        <f>IFERROR(__xludf.DUMMYFUNCTION("""COMPUTED_VALUE"""),245.5)</f>
        <v>245.5</v>
      </c>
      <c r="D94" s="6">
        <f>IFERROR(__xludf.DUMMYFUNCTION("""COMPUTED_VALUE"""),240.65)</f>
        <v>240.65</v>
      </c>
      <c r="E94" s="6">
        <f>IFERROR(__xludf.DUMMYFUNCTION("""COMPUTED_VALUE"""),241.76)</f>
        <v>241.76</v>
      </c>
      <c r="F94" s="6">
        <f>IFERROR(__xludf.DUMMYFUNCTION("""COMPUTED_VALUE"""),3.9970593E7)</f>
        <v>39970593</v>
      </c>
    </row>
    <row r="95">
      <c r="A95" s="7">
        <f>IFERROR(__xludf.DUMMYFUNCTION("""COMPUTED_VALUE"""),45856.64583333333)</f>
        <v>45856.64583</v>
      </c>
      <c r="B95" s="6">
        <f>IFERROR(__xludf.DUMMYFUNCTION("""COMPUTED_VALUE"""),242.9)</f>
        <v>242.9</v>
      </c>
      <c r="C95" s="6">
        <f>IFERROR(__xludf.DUMMYFUNCTION("""COMPUTED_VALUE"""),247.35)</f>
        <v>247.35</v>
      </c>
      <c r="D95" s="6">
        <f>IFERROR(__xludf.DUMMYFUNCTION("""COMPUTED_VALUE"""),241.14)</f>
        <v>241.14</v>
      </c>
      <c r="E95" s="6">
        <f>IFERROR(__xludf.DUMMYFUNCTION("""COMPUTED_VALUE"""),246.31)</f>
        <v>246.31</v>
      </c>
      <c r="F95" s="6">
        <f>IFERROR(__xludf.DUMMYFUNCTION("""COMPUTED_VALUE"""),3.8369066E7)</f>
        <v>38369066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IFERROR(__xludf.DUMMYFUNCTION("""COMPUTED_VALUE"""),246.0)</f>
        <v>246</v>
      </c>
      <c r="C96" s="6">
        <f>IFERROR(__xludf.DUMMYFUNCTION("""COMPUTED_VALUE"""),247.2)</f>
        <v>247.2</v>
      </c>
      <c r="D96" s="6">
        <f>IFERROR(__xludf.DUMMYFUNCTION("""COMPUTED_VALUE"""),239.25)</f>
        <v>239.25</v>
      </c>
      <c r="E96" s="6">
        <f>IFERROR(__xludf.DUMMYFUNCTION("""COMPUTED_VALUE"""),240.29)</f>
        <v>240.29</v>
      </c>
      <c r="F96" s="6">
        <f>IFERROR(__xludf.DUMMYFUNCTION("""COMPUTED_VALUE"""),3.0670896E7)</f>
        <v>30670896</v>
      </c>
    </row>
    <row r="97">
      <c r="A97" s="7">
        <f>IFERROR(__xludf.DUMMYFUNCTION("""COMPUTED_VALUE"""),45870.64583333333)</f>
        <v>45870.64583</v>
      </c>
      <c r="B97" s="6">
        <f>IFERROR(__xludf.DUMMYFUNCTION("""COMPUTED_VALUE"""),240.29)</f>
        <v>240.29</v>
      </c>
      <c r="C97" s="6">
        <f>IFERROR(__xludf.DUMMYFUNCTION("""COMPUTED_VALUE"""),243.71)</f>
        <v>243.71</v>
      </c>
      <c r="D97" s="6">
        <f>IFERROR(__xludf.DUMMYFUNCTION("""COMPUTED_VALUE"""),234.05)</f>
        <v>234.05</v>
      </c>
      <c r="E97" s="6">
        <f>IFERROR(__xludf.DUMMYFUNCTION("""COMPUTED_VALUE"""),236.79)</f>
        <v>236.79</v>
      </c>
      <c r="F97" s="6">
        <f>IFERROR(__xludf.DUMMYFUNCTION("""COMPUTED_VALUE"""),4.4674942E7)</f>
        <v>44674942</v>
      </c>
    </row>
    <row r="98">
      <c r="A98" s="7">
        <f>IFERROR(__xludf.DUMMYFUNCTION("""COMPUTED_VALUE"""),45877.64583333333)</f>
        <v>45877.64583</v>
      </c>
      <c r="B98" s="6">
        <f>IFERROR(__xludf.DUMMYFUNCTION("""COMPUTED_VALUE"""),236.5)</f>
        <v>236.5</v>
      </c>
      <c r="C98" s="6">
        <f>IFERROR(__xludf.DUMMYFUNCTION("""COMPUTED_VALUE"""),238.39)</f>
        <v>238.39</v>
      </c>
      <c r="D98" s="6">
        <f>IFERROR(__xludf.DUMMYFUNCTION("""COMPUTED_VALUE"""),231.31)</f>
        <v>231.31</v>
      </c>
      <c r="E98" s="6">
        <f>IFERROR(__xludf.DUMMYFUNCTION("""COMPUTED_VALUE"""),233.44)</f>
        <v>233.44</v>
      </c>
      <c r="F98" s="6">
        <f>IFERROR(__xludf.DUMMYFUNCTION("""COMPUTED_VALUE"""),4.4116596E7)</f>
        <v>44116596</v>
      </c>
    </row>
    <row r="99">
      <c r="A99" s="7">
        <f>IFERROR(__xludf.DUMMYFUNCTION("""COMPUTED_VALUE"""),45883.64583333333)</f>
        <v>45883.64583</v>
      </c>
      <c r="B99" s="6">
        <f>IFERROR(__xludf.DUMMYFUNCTION("""COMPUTED_VALUE"""),233.44)</f>
        <v>233.44</v>
      </c>
      <c r="C99" s="6">
        <f>IFERROR(__xludf.DUMMYFUNCTION("""COMPUTED_VALUE"""),239.95)</f>
        <v>239.95</v>
      </c>
      <c r="D99" s="6">
        <f>IFERROR(__xludf.DUMMYFUNCTION("""COMPUTED_VALUE"""),231.58)</f>
        <v>231.58</v>
      </c>
      <c r="E99" s="6">
        <f>IFERROR(__xludf.DUMMYFUNCTION("""COMPUTED_VALUE"""),236.94)</f>
        <v>236.94</v>
      </c>
      <c r="F99" s="6">
        <f>IFERROR(__xludf.DUMMYFUNCTION("""COMPUTED_VALUE"""),2.7496877E7)</f>
        <v>27496877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IFERROR(__xludf.DUMMYFUNCTION("""COMPUTED_VALUE"""),237.25)</f>
        <v>237.25</v>
      </c>
      <c r="C100" s="6">
        <f>IFERROR(__xludf.DUMMYFUNCTION("""COMPUTED_VALUE"""),240.99)</f>
        <v>240.99</v>
      </c>
      <c r="D100" s="6">
        <f>IFERROR(__xludf.DUMMYFUNCTION("""COMPUTED_VALUE"""),235.5)</f>
        <v>235.5</v>
      </c>
      <c r="E100" s="6">
        <f>IFERROR(__xludf.DUMMYFUNCTION("""COMPUTED_VALUE"""),236.29)</f>
        <v>236.29</v>
      </c>
      <c r="F100" s="6">
        <f>IFERROR(__xludf.DUMMYFUNCTION("""COMPUTED_VALUE"""),3.5013281E7)</f>
        <v>35013281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IFERROR(__xludf.DUMMYFUNCTION("""COMPUTED_VALUE"""),236.3)</f>
        <v>236.3</v>
      </c>
      <c r="C101" s="6">
        <f>IFERROR(__xludf.DUMMYFUNCTION("""COMPUTED_VALUE"""),237.49)</f>
        <v>237.49</v>
      </c>
      <c r="D101" s="6">
        <f>IFERROR(__xludf.DUMMYFUNCTION("""COMPUTED_VALUE"""),233.8)</f>
        <v>233.8</v>
      </c>
      <c r="E101" s="6">
        <f>IFERROR(__xludf.DUMMYFUNCTION("""COMPUTED_VALUE"""),234.19)</f>
        <v>234.19</v>
      </c>
      <c r="F101" s="6">
        <f>IFERROR(__xludf.DUMMYFUNCTION("""COMPUTED_VALUE"""),1.6493865E8)</f>
        <v>164938650</v>
      </c>
    </row>
  </sheetData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IFERROR(__xludf.DUMMYFUNCTION("GOOGLEFINANCE(""NSE:PAGEIND"",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IFERROR(__xludf.DUMMYFUNCTION("""COMPUTED_VALUE"""),39298.0)</f>
        <v>39298</v>
      </c>
      <c r="C2" s="6">
        <f>IFERROR(__xludf.DUMMYFUNCTION("""COMPUTED_VALUE"""),40700.0)</f>
        <v>40700</v>
      </c>
      <c r="D2" s="6">
        <f>IFERROR(__xludf.DUMMYFUNCTION("""COMPUTED_VALUE"""),39000.0)</f>
        <v>39000</v>
      </c>
      <c r="E2" s="6">
        <f>IFERROR(__xludf.DUMMYFUNCTION("""COMPUTED_VALUE"""),39822.0)</f>
        <v>39822</v>
      </c>
      <c r="F2" s="6">
        <f>IFERROR(__xludf.DUMMYFUNCTION("""COMPUTED_VALUE"""),71249.0)</f>
        <v>71249</v>
      </c>
    </row>
    <row r="3">
      <c r="A3" s="7">
        <f>IFERROR(__xludf.DUMMYFUNCTION("""COMPUTED_VALUE"""),45177.64583333333)</f>
        <v>45177.64583</v>
      </c>
      <c r="B3" s="6">
        <f>IFERROR(__xludf.DUMMYFUNCTION("""COMPUTED_VALUE"""),39990.0)</f>
        <v>39990</v>
      </c>
      <c r="C3" s="6">
        <f>IFERROR(__xludf.DUMMYFUNCTION("""COMPUTED_VALUE"""),42885.0)</f>
        <v>42885</v>
      </c>
      <c r="D3" s="6">
        <f>IFERROR(__xludf.DUMMYFUNCTION("""COMPUTED_VALUE"""),39375.0)</f>
        <v>39375</v>
      </c>
      <c r="E3" s="6">
        <f>IFERROR(__xludf.DUMMYFUNCTION("""COMPUTED_VALUE"""),41858.0)</f>
        <v>41858</v>
      </c>
      <c r="F3" s="6">
        <f>IFERROR(__xludf.DUMMYFUNCTION("""COMPUTED_VALUE"""),134919.0)</f>
        <v>134919</v>
      </c>
    </row>
    <row r="4">
      <c r="A4" s="7">
        <f>IFERROR(__xludf.DUMMYFUNCTION("""COMPUTED_VALUE"""),45184.64583333333)</f>
        <v>45184.64583</v>
      </c>
      <c r="B4" s="6">
        <f>IFERROR(__xludf.DUMMYFUNCTION("""COMPUTED_VALUE"""),42000.0)</f>
        <v>42000</v>
      </c>
      <c r="C4" s="6">
        <f>IFERROR(__xludf.DUMMYFUNCTION("""COMPUTED_VALUE"""),42190.0)</f>
        <v>42190</v>
      </c>
      <c r="D4" s="6">
        <f>IFERROR(__xludf.DUMMYFUNCTION("""COMPUTED_VALUE"""),39825.75)</f>
        <v>39825.75</v>
      </c>
      <c r="E4" s="6">
        <f>IFERROR(__xludf.DUMMYFUNCTION("""COMPUTED_VALUE"""),40605.15)</f>
        <v>40605.15</v>
      </c>
      <c r="F4" s="6">
        <f>IFERROR(__xludf.DUMMYFUNCTION("""COMPUTED_VALUE"""),179537.0)</f>
        <v>179537</v>
      </c>
    </row>
    <row r="5">
      <c r="A5" s="7">
        <f>IFERROR(__xludf.DUMMYFUNCTION("""COMPUTED_VALUE"""),45191.64583333333)</f>
        <v>45191.64583</v>
      </c>
      <c r="B5" s="6">
        <f>IFERROR(__xludf.DUMMYFUNCTION("""COMPUTED_VALUE"""),40600.0)</f>
        <v>40600</v>
      </c>
      <c r="C5" s="6">
        <f>IFERROR(__xludf.DUMMYFUNCTION("""COMPUTED_VALUE"""),41374.1)</f>
        <v>41374.1</v>
      </c>
      <c r="D5" s="6">
        <f>IFERROR(__xludf.DUMMYFUNCTION("""COMPUTED_VALUE"""),39225.0)</f>
        <v>39225</v>
      </c>
      <c r="E5" s="6">
        <f>IFERROR(__xludf.DUMMYFUNCTION("""COMPUTED_VALUE"""),39395.2)</f>
        <v>39395.2</v>
      </c>
      <c r="F5" s="6">
        <f>IFERROR(__xludf.DUMMYFUNCTION("""COMPUTED_VALUE"""),105977.0)</f>
        <v>105977</v>
      </c>
    </row>
    <row r="6">
      <c r="A6" s="7">
        <f>IFERROR(__xludf.DUMMYFUNCTION("""COMPUTED_VALUE"""),45198.64583333333)</f>
        <v>45198.64583</v>
      </c>
      <c r="B6" s="6">
        <f>IFERROR(__xludf.DUMMYFUNCTION("""COMPUTED_VALUE"""),39500.95)</f>
        <v>39500.95</v>
      </c>
      <c r="C6" s="6">
        <f>IFERROR(__xludf.DUMMYFUNCTION("""COMPUTED_VALUE"""),39765.0)</f>
        <v>39765</v>
      </c>
      <c r="D6" s="6">
        <f>IFERROR(__xludf.DUMMYFUNCTION("""COMPUTED_VALUE"""),38256.9)</f>
        <v>38256.9</v>
      </c>
      <c r="E6" s="6">
        <f>IFERROR(__xludf.DUMMYFUNCTION("""COMPUTED_VALUE"""),38978.65)</f>
        <v>38978.65</v>
      </c>
      <c r="F6" s="6">
        <f>IFERROR(__xludf.DUMMYFUNCTION("""COMPUTED_VALUE"""),198133.0)</f>
        <v>198133</v>
      </c>
    </row>
    <row r="7">
      <c r="A7" s="7">
        <f>IFERROR(__xludf.DUMMYFUNCTION("""COMPUTED_VALUE"""),45205.64583333333)</f>
        <v>45205.64583</v>
      </c>
      <c r="B7" s="6">
        <f>IFERROR(__xludf.DUMMYFUNCTION("""COMPUTED_VALUE"""),39000.05)</f>
        <v>39000.05</v>
      </c>
      <c r="C7" s="6">
        <f>IFERROR(__xludf.DUMMYFUNCTION("""COMPUTED_VALUE"""),39565.05)</f>
        <v>39565.05</v>
      </c>
      <c r="D7" s="6">
        <f>IFERROR(__xludf.DUMMYFUNCTION("""COMPUTED_VALUE"""),38655.0)</f>
        <v>38655</v>
      </c>
      <c r="E7" s="6">
        <f>IFERROR(__xludf.DUMMYFUNCTION("""COMPUTED_VALUE"""),39413.85)</f>
        <v>39413.85</v>
      </c>
      <c r="F7" s="6">
        <f>IFERROR(__xludf.DUMMYFUNCTION("""COMPUTED_VALUE"""),88840.0)</f>
        <v>88840</v>
      </c>
    </row>
    <row r="8">
      <c r="A8" s="7">
        <f>IFERROR(__xludf.DUMMYFUNCTION("""COMPUTED_VALUE"""),45212.64583333333)</f>
        <v>45212.64583</v>
      </c>
      <c r="B8" s="6">
        <f>IFERROR(__xludf.DUMMYFUNCTION("""COMPUTED_VALUE"""),39380.0)</f>
        <v>39380</v>
      </c>
      <c r="C8" s="6">
        <f>IFERROR(__xludf.DUMMYFUNCTION("""COMPUTED_VALUE"""),39843.7)</f>
        <v>39843.7</v>
      </c>
      <c r="D8" s="6">
        <f>IFERROR(__xludf.DUMMYFUNCTION("""COMPUTED_VALUE"""),38900.0)</f>
        <v>38900</v>
      </c>
      <c r="E8" s="6">
        <f>IFERROR(__xludf.DUMMYFUNCTION("""COMPUTED_VALUE"""),39296.2)</f>
        <v>39296.2</v>
      </c>
      <c r="F8" s="6">
        <f>IFERROR(__xludf.DUMMYFUNCTION("""COMPUTED_VALUE"""),81440.0)</f>
        <v>81440</v>
      </c>
    </row>
    <row r="9">
      <c r="A9" s="7">
        <f>IFERROR(__xludf.DUMMYFUNCTION("""COMPUTED_VALUE"""),45219.64583333333)</f>
        <v>45219.64583</v>
      </c>
      <c r="B9" s="6">
        <f>IFERROR(__xludf.DUMMYFUNCTION("""COMPUTED_VALUE"""),39296.2)</f>
        <v>39296.2</v>
      </c>
      <c r="C9" s="6">
        <f>IFERROR(__xludf.DUMMYFUNCTION("""COMPUTED_VALUE"""),39584.45)</f>
        <v>39584.45</v>
      </c>
      <c r="D9" s="6">
        <f>IFERROR(__xludf.DUMMYFUNCTION("""COMPUTED_VALUE"""),37500.0)</f>
        <v>37500</v>
      </c>
      <c r="E9" s="6">
        <f>IFERROR(__xludf.DUMMYFUNCTION("""COMPUTED_VALUE"""),37671.65)</f>
        <v>37671.65</v>
      </c>
      <c r="F9" s="6">
        <f>IFERROR(__xludf.DUMMYFUNCTION("""COMPUTED_VALUE"""),79804.0)</f>
        <v>79804</v>
      </c>
    </row>
    <row r="10">
      <c r="A10" s="7">
        <f>IFERROR(__xludf.DUMMYFUNCTION("""COMPUTED_VALUE"""),45226.64583333333)</f>
        <v>45226.64583</v>
      </c>
      <c r="B10" s="6">
        <f>IFERROR(__xludf.DUMMYFUNCTION("""COMPUTED_VALUE"""),37700.0)</f>
        <v>37700</v>
      </c>
      <c r="C10" s="6">
        <f>IFERROR(__xludf.DUMMYFUNCTION("""COMPUTED_VALUE"""),37899.95)</f>
        <v>37899.95</v>
      </c>
      <c r="D10" s="6">
        <f>IFERROR(__xludf.DUMMYFUNCTION("""COMPUTED_VALUE"""),36416.65)</f>
        <v>36416.65</v>
      </c>
      <c r="E10" s="6">
        <f>IFERROR(__xludf.DUMMYFUNCTION("""COMPUTED_VALUE"""),37545.35)</f>
        <v>37545.35</v>
      </c>
      <c r="F10" s="6">
        <f>IFERROR(__xludf.DUMMYFUNCTION("""COMPUTED_VALUE"""),133694.0)</f>
        <v>133694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IFERROR(__xludf.DUMMYFUNCTION("""COMPUTED_VALUE"""),37500.0)</f>
        <v>37500</v>
      </c>
      <c r="C11" s="6">
        <f>IFERROR(__xludf.DUMMYFUNCTION("""COMPUTED_VALUE"""),38196.25)</f>
        <v>38196.25</v>
      </c>
      <c r="D11" s="6">
        <f>IFERROR(__xludf.DUMMYFUNCTION("""COMPUTED_VALUE"""),37011.0)</f>
        <v>37011</v>
      </c>
      <c r="E11" s="6">
        <f>IFERROR(__xludf.DUMMYFUNCTION("""COMPUTED_VALUE"""),37420.0)</f>
        <v>37420</v>
      </c>
      <c r="F11" s="6">
        <f>IFERROR(__xludf.DUMMYFUNCTION("""COMPUTED_VALUE"""),96978.0)</f>
        <v>96978</v>
      </c>
    </row>
    <row r="12">
      <c r="A12" s="7">
        <f>IFERROR(__xludf.DUMMYFUNCTION("""COMPUTED_VALUE"""),45240.64583333333)</f>
        <v>45240.64583</v>
      </c>
      <c r="B12" s="6">
        <f>IFERROR(__xludf.DUMMYFUNCTION("""COMPUTED_VALUE"""),37594.0)</f>
        <v>37594</v>
      </c>
      <c r="C12" s="6">
        <f>IFERROR(__xludf.DUMMYFUNCTION("""COMPUTED_VALUE"""),38766.75)</f>
        <v>38766.75</v>
      </c>
      <c r="D12" s="6">
        <f>IFERROR(__xludf.DUMMYFUNCTION("""COMPUTED_VALUE"""),37170.05)</f>
        <v>37170.05</v>
      </c>
      <c r="E12" s="6">
        <f>IFERROR(__xludf.DUMMYFUNCTION("""COMPUTED_VALUE"""),38360.65)</f>
        <v>38360.65</v>
      </c>
      <c r="F12" s="6">
        <f>IFERROR(__xludf.DUMMYFUNCTION("""COMPUTED_VALUE"""),115269.0)</f>
        <v>115269</v>
      </c>
    </row>
    <row r="13">
      <c r="A13" s="7">
        <f>IFERROR(__xludf.DUMMYFUNCTION("""COMPUTED_VALUE"""),45247.64583333333)</f>
        <v>45247.64583</v>
      </c>
      <c r="B13" s="6">
        <f>IFERROR(__xludf.DUMMYFUNCTION("""COMPUTED_VALUE"""),38361.0)</f>
        <v>38361</v>
      </c>
      <c r="C13" s="6">
        <f>IFERROR(__xludf.DUMMYFUNCTION("""COMPUTED_VALUE"""),38474.85)</f>
        <v>38474.85</v>
      </c>
      <c r="D13" s="6">
        <f>IFERROR(__xludf.DUMMYFUNCTION("""COMPUTED_VALUE"""),36810.0)</f>
        <v>36810</v>
      </c>
      <c r="E13" s="6">
        <f>IFERROR(__xludf.DUMMYFUNCTION("""COMPUTED_VALUE"""),37495.6)</f>
        <v>37495.6</v>
      </c>
      <c r="F13" s="6">
        <f>IFERROR(__xludf.DUMMYFUNCTION("""COMPUTED_VALUE"""),99333.0)</f>
        <v>99333</v>
      </c>
    </row>
    <row r="14">
      <c r="A14" s="7">
        <f>IFERROR(__xludf.DUMMYFUNCTION("""COMPUTED_VALUE"""),45254.64583333333)</f>
        <v>45254.64583</v>
      </c>
      <c r="B14" s="6">
        <f>IFERROR(__xludf.DUMMYFUNCTION("""COMPUTED_VALUE"""),37495.6)</f>
        <v>37495.6</v>
      </c>
      <c r="C14" s="6">
        <f>IFERROR(__xludf.DUMMYFUNCTION("""COMPUTED_VALUE"""),38285.0)</f>
        <v>38285</v>
      </c>
      <c r="D14" s="6">
        <f>IFERROR(__xludf.DUMMYFUNCTION("""COMPUTED_VALUE"""),37323.05)</f>
        <v>37323.05</v>
      </c>
      <c r="E14" s="6">
        <f>IFERROR(__xludf.DUMMYFUNCTION("""COMPUTED_VALUE"""),37504.0)</f>
        <v>37504</v>
      </c>
      <c r="F14" s="6">
        <f>IFERROR(__xludf.DUMMYFUNCTION("""COMPUTED_VALUE"""),62592.0)</f>
        <v>62592</v>
      </c>
    </row>
    <row r="15">
      <c r="A15" s="7">
        <f>IFERROR(__xludf.DUMMYFUNCTION("""COMPUTED_VALUE"""),45261.64583333333)</f>
        <v>45261.64583</v>
      </c>
      <c r="B15" s="6">
        <f>IFERROR(__xludf.DUMMYFUNCTION("""COMPUTED_VALUE"""),37580.0)</f>
        <v>37580</v>
      </c>
      <c r="C15" s="6">
        <f>IFERROR(__xludf.DUMMYFUNCTION("""COMPUTED_VALUE"""),37973.0)</f>
        <v>37973</v>
      </c>
      <c r="D15" s="6">
        <f>IFERROR(__xludf.DUMMYFUNCTION("""COMPUTED_VALUE"""),37056.0)</f>
        <v>37056</v>
      </c>
      <c r="E15" s="6">
        <f>IFERROR(__xludf.DUMMYFUNCTION("""COMPUTED_VALUE"""),37790.65)</f>
        <v>37790.65</v>
      </c>
      <c r="F15" s="6">
        <f>IFERROR(__xludf.DUMMYFUNCTION("""COMPUTED_VALUE"""),90568.0)</f>
        <v>90568</v>
      </c>
    </row>
    <row r="16">
      <c r="A16" s="7">
        <f>IFERROR(__xludf.DUMMYFUNCTION("""COMPUTED_VALUE"""),45268.64583333333)</f>
        <v>45268.64583</v>
      </c>
      <c r="B16" s="6">
        <f>IFERROR(__xludf.DUMMYFUNCTION("""COMPUTED_VALUE"""),37850.2)</f>
        <v>37850.2</v>
      </c>
      <c r="C16" s="6">
        <f>IFERROR(__xludf.DUMMYFUNCTION("""COMPUTED_VALUE"""),38240.0)</f>
        <v>38240</v>
      </c>
      <c r="D16" s="6">
        <f>IFERROR(__xludf.DUMMYFUNCTION("""COMPUTED_VALUE"""),36529.55)</f>
        <v>36529.55</v>
      </c>
      <c r="E16" s="6">
        <f>IFERROR(__xludf.DUMMYFUNCTION("""COMPUTED_VALUE"""),37335.5)</f>
        <v>37335.5</v>
      </c>
      <c r="F16" s="6">
        <f>IFERROR(__xludf.DUMMYFUNCTION("""COMPUTED_VALUE"""),244026.0)</f>
        <v>244026</v>
      </c>
    </row>
    <row r="17">
      <c r="A17" s="7">
        <f>IFERROR(__xludf.DUMMYFUNCTION("""COMPUTED_VALUE"""),45275.64583333333)</f>
        <v>45275.64583</v>
      </c>
      <c r="B17" s="6">
        <f>IFERROR(__xludf.DUMMYFUNCTION("""COMPUTED_VALUE"""),37489.95)</f>
        <v>37489.95</v>
      </c>
      <c r="C17" s="6">
        <f>IFERROR(__xludf.DUMMYFUNCTION("""COMPUTED_VALUE"""),38086.0)</f>
        <v>38086</v>
      </c>
      <c r="D17" s="6">
        <f>IFERROR(__xludf.DUMMYFUNCTION("""COMPUTED_VALUE"""),36905.0)</f>
        <v>36905</v>
      </c>
      <c r="E17" s="6">
        <f>IFERROR(__xludf.DUMMYFUNCTION("""COMPUTED_VALUE"""),37852.3)</f>
        <v>37852.3</v>
      </c>
      <c r="F17" s="6">
        <f>IFERROR(__xludf.DUMMYFUNCTION("""COMPUTED_VALUE"""),131983.0)</f>
        <v>131983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IFERROR(__xludf.DUMMYFUNCTION("""COMPUTED_VALUE"""),37852.3)</f>
        <v>37852.3</v>
      </c>
      <c r="C18" s="6">
        <f>IFERROR(__xludf.DUMMYFUNCTION("""COMPUTED_VALUE"""),38565.3)</f>
        <v>38565.3</v>
      </c>
      <c r="D18" s="6">
        <f>IFERROR(__xludf.DUMMYFUNCTION("""COMPUTED_VALUE"""),36746.1)</f>
        <v>36746.1</v>
      </c>
      <c r="E18" s="6">
        <f>IFERROR(__xludf.DUMMYFUNCTION("""COMPUTED_VALUE"""),37612.25)</f>
        <v>37612.25</v>
      </c>
      <c r="F18" s="6">
        <f>IFERROR(__xludf.DUMMYFUNCTION("""COMPUTED_VALUE"""),106301.0)</f>
        <v>106301</v>
      </c>
    </row>
    <row r="19">
      <c r="A19" s="7">
        <f>IFERROR(__xludf.DUMMYFUNCTION("""COMPUTED_VALUE"""),45289.64583333333)</f>
        <v>45289.64583</v>
      </c>
      <c r="B19" s="6">
        <f>IFERROR(__xludf.DUMMYFUNCTION("""COMPUTED_VALUE"""),37870.0)</f>
        <v>37870</v>
      </c>
      <c r="C19" s="6">
        <f>IFERROR(__xludf.DUMMYFUNCTION("""COMPUTED_VALUE"""),38889.2)</f>
        <v>38889.2</v>
      </c>
      <c r="D19" s="6">
        <f>IFERROR(__xludf.DUMMYFUNCTION("""COMPUTED_VALUE"""),37364.8)</f>
        <v>37364.8</v>
      </c>
      <c r="E19" s="6">
        <f>IFERROR(__xludf.DUMMYFUNCTION("""COMPUTED_VALUE"""),38512.75)</f>
        <v>38512.75</v>
      </c>
      <c r="F19" s="6">
        <f>IFERROR(__xludf.DUMMYFUNCTION("""COMPUTED_VALUE"""),88637.0)</f>
        <v>88637</v>
      </c>
    </row>
    <row r="20">
      <c r="A20" s="7">
        <f>IFERROR(__xludf.DUMMYFUNCTION("""COMPUTED_VALUE"""),45296.64583333333)</f>
        <v>45296.64583</v>
      </c>
      <c r="B20" s="6">
        <f>IFERROR(__xludf.DUMMYFUNCTION("""COMPUTED_VALUE"""),38516.0)</f>
        <v>38516</v>
      </c>
      <c r="C20" s="6">
        <f>IFERROR(__xludf.DUMMYFUNCTION("""COMPUTED_VALUE"""),39374.0)</f>
        <v>39374</v>
      </c>
      <c r="D20" s="6">
        <f>IFERROR(__xludf.DUMMYFUNCTION("""COMPUTED_VALUE"""),38111.0)</f>
        <v>38111</v>
      </c>
      <c r="E20" s="6">
        <f>IFERROR(__xludf.DUMMYFUNCTION("""COMPUTED_VALUE"""),38908.35)</f>
        <v>38908.35</v>
      </c>
      <c r="F20" s="6">
        <f>IFERROR(__xludf.DUMMYFUNCTION("""COMPUTED_VALUE"""),93315.0)</f>
        <v>93315</v>
      </c>
    </row>
    <row r="21">
      <c r="A21" s="7">
        <f>IFERROR(__xludf.DUMMYFUNCTION("""COMPUTED_VALUE"""),45303.64583333333)</f>
        <v>45303.64583</v>
      </c>
      <c r="B21" s="6">
        <f>IFERROR(__xludf.DUMMYFUNCTION("""COMPUTED_VALUE"""),38853.0)</f>
        <v>38853</v>
      </c>
      <c r="C21" s="6">
        <f>IFERROR(__xludf.DUMMYFUNCTION("""COMPUTED_VALUE"""),38907.0)</f>
        <v>38907</v>
      </c>
      <c r="D21" s="6">
        <f>IFERROR(__xludf.DUMMYFUNCTION("""COMPUTED_VALUE"""),35600.0)</f>
        <v>35600</v>
      </c>
      <c r="E21" s="6">
        <f>IFERROR(__xludf.DUMMYFUNCTION("""COMPUTED_VALUE"""),36859.15)</f>
        <v>36859.15</v>
      </c>
      <c r="F21" s="6">
        <f>IFERROR(__xludf.DUMMYFUNCTION("""COMPUTED_VALUE"""),210534.0)</f>
        <v>210534</v>
      </c>
    </row>
    <row r="22">
      <c r="A22" s="7">
        <f>IFERROR(__xludf.DUMMYFUNCTION("""COMPUTED_VALUE"""),45316.64583333333)</f>
        <v>45316.64583</v>
      </c>
      <c r="B22" s="6">
        <f>IFERROR(__xludf.DUMMYFUNCTION("""COMPUTED_VALUE"""),37683.0)</f>
        <v>37683</v>
      </c>
      <c r="C22" s="6">
        <f>IFERROR(__xludf.DUMMYFUNCTION("""COMPUTED_VALUE"""),37746.6)</f>
        <v>37746.6</v>
      </c>
      <c r="D22" s="6">
        <f>IFERROR(__xludf.DUMMYFUNCTION("""COMPUTED_VALUE"""),36195.9)</f>
        <v>36195.9</v>
      </c>
      <c r="E22" s="6">
        <f>IFERROR(__xludf.DUMMYFUNCTION("""COMPUTED_VALUE"""),36711.1)</f>
        <v>36711.1</v>
      </c>
      <c r="F22" s="6">
        <f>IFERROR(__xludf.DUMMYFUNCTION("""COMPUTED_VALUE"""),60711.0)</f>
        <v>60711</v>
      </c>
    </row>
    <row r="23">
      <c r="A23" s="7">
        <f>IFERROR(__xludf.DUMMYFUNCTION("""COMPUTED_VALUE"""),45324.64583333333)</f>
        <v>45324.64583</v>
      </c>
      <c r="B23" s="6">
        <f>IFERROR(__xludf.DUMMYFUNCTION("""COMPUTED_VALUE"""),36711.1)</f>
        <v>36711.1</v>
      </c>
      <c r="C23" s="6">
        <f>IFERROR(__xludf.DUMMYFUNCTION("""COMPUTED_VALUE"""),37911.0)</f>
        <v>37911</v>
      </c>
      <c r="D23" s="6">
        <f>IFERROR(__xludf.DUMMYFUNCTION("""COMPUTED_VALUE"""),36425.75)</f>
        <v>36425.75</v>
      </c>
      <c r="E23" s="6">
        <f>IFERROR(__xludf.DUMMYFUNCTION("""COMPUTED_VALUE"""),36979.6)</f>
        <v>36979.6</v>
      </c>
      <c r="F23" s="6">
        <f>IFERROR(__xludf.DUMMYFUNCTION("""COMPUTED_VALUE"""),86843.0)</f>
        <v>86843</v>
      </c>
    </row>
    <row r="24">
      <c r="A24" s="7">
        <f>IFERROR(__xludf.DUMMYFUNCTION("""COMPUTED_VALUE"""),45331.64583333333)</f>
        <v>45331.64583</v>
      </c>
      <c r="B24" s="6">
        <f>IFERROR(__xludf.DUMMYFUNCTION("""COMPUTED_VALUE"""),36999.95)</f>
        <v>36999.95</v>
      </c>
      <c r="C24" s="6">
        <f>IFERROR(__xludf.DUMMYFUNCTION("""COMPUTED_VALUE"""),37373.95)</f>
        <v>37373.95</v>
      </c>
      <c r="D24" s="6">
        <f>IFERROR(__xludf.DUMMYFUNCTION("""COMPUTED_VALUE"""),35860.7)</f>
        <v>35860.7</v>
      </c>
      <c r="E24" s="6">
        <f>IFERROR(__xludf.DUMMYFUNCTION("""COMPUTED_VALUE"""),36304.15)</f>
        <v>36304.15</v>
      </c>
      <c r="F24" s="6">
        <f>IFERROR(__xludf.DUMMYFUNCTION("""COMPUTED_VALUE"""),126482.0)</f>
        <v>126482</v>
      </c>
    </row>
    <row r="25">
      <c r="A25" s="7">
        <f>IFERROR(__xludf.DUMMYFUNCTION("""COMPUTED_VALUE"""),45338.64583333333)</f>
        <v>45338.64583</v>
      </c>
      <c r="B25" s="6">
        <f>IFERROR(__xludf.DUMMYFUNCTION("""COMPUTED_VALUE"""),36500.0)</f>
        <v>36500</v>
      </c>
      <c r="C25" s="6">
        <f>IFERROR(__xludf.DUMMYFUNCTION("""COMPUTED_VALUE"""),36520.0)</f>
        <v>36520</v>
      </c>
      <c r="D25" s="6">
        <f>IFERROR(__xludf.DUMMYFUNCTION("""COMPUTED_VALUE"""),35691.9)</f>
        <v>35691.9</v>
      </c>
      <c r="E25" s="6">
        <f>IFERROR(__xludf.DUMMYFUNCTION("""COMPUTED_VALUE"""),36341.75)</f>
        <v>36341.75</v>
      </c>
      <c r="F25" s="6">
        <f>IFERROR(__xludf.DUMMYFUNCTION("""COMPUTED_VALUE"""),109405.0)</f>
        <v>109405</v>
      </c>
    </row>
    <row r="26">
      <c r="A26" s="7">
        <f>IFERROR(__xludf.DUMMYFUNCTION("""COMPUTED_VALUE"""),45345.64583333333)</f>
        <v>45345.64583</v>
      </c>
      <c r="B26" s="6">
        <f>IFERROR(__xludf.DUMMYFUNCTION("""COMPUTED_VALUE"""),36350.0)</f>
        <v>36350</v>
      </c>
      <c r="C26" s="6">
        <f>IFERROR(__xludf.DUMMYFUNCTION("""COMPUTED_VALUE"""),36932.8)</f>
        <v>36932.8</v>
      </c>
      <c r="D26" s="6">
        <f>IFERROR(__xludf.DUMMYFUNCTION("""COMPUTED_VALUE"""),35886.5)</f>
        <v>35886.5</v>
      </c>
      <c r="E26" s="6">
        <f>IFERROR(__xludf.DUMMYFUNCTION("""COMPUTED_VALUE"""),36100.95)</f>
        <v>36100.95</v>
      </c>
      <c r="F26" s="6">
        <f>IFERROR(__xludf.DUMMYFUNCTION("""COMPUTED_VALUE"""),88455.0)</f>
        <v>88455</v>
      </c>
    </row>
    <row r="27">
      <c r="A27" s="7">
        <f>IFERROR(__xludf.DUMMYFUNCTION("""COMPUTED_VALUE"""),45358.64583333333)</f>
        <v>45358.64583</v>
      </c>
      <c r="B27" s="6">
        <f>IFERROR(__xludf.DUMMYFUNCTION("""COMPUTED_VALUE"""),35700.0)</f>
        <v>35700</v>
      </c>
      <c r="C27" s="6">
        <f>IFERROR(__xludf.DUMMYFUNCTION("""COMPUTED_VALUE"""),35908.4)</f>
        <v>35908.4</v>
      </c>
      <c r="D27" s="6">
        <f>IFERROR(__xludf.DUMMYFUNCTION("""COMPUTED_VALUE"""),35125.05)</f>
        <v>35125.05</v>
      </c>
      <c r="E27" s="6">
        <f>IFERROR(__xludf.DUMMYFUNCTION("""COMPUTED_VALUE"""),35870.65)</f>
        <v>35870.65</v>
      </c>
      <c r="F27" s="6">
        <f>IFERROR(__xludf.DUMMYFUNCTION("""COMPUTED_VALUE"""),88440.0)</f>
        <v>88440</v>
      </c>
    </row>
    <row r="28">
      <c r="A28" s="7">
        <f>IFERROR(__xludf.DUMMYFUNCTION("""COMPUTED_VALUE"""),45366.64583333333)</f>
        <v>45366.64583</v>
      </c>
      <c r="B28" s="6">
        <f>IFERROR(__xludf.DUMMYFUNCTION("""COMPUTED_VALUE"""),36000.0)</f>
        <v>36000</v>
      </c>
      <c r="C28" s="6">
        <f>IFERROR(__xludf.DUMMYFUNCTION("""COMPUTED_VALUE"""),36122.0)</f>
        <v>36122</v>
      </c>
      <c r="D28" s="6">
        <f>IFERROR(__xludf.DUMMYFUNCTION("""COMPUTED_VALUE"""),33609.9)</f>
        <v>33609.9</v>
      </c>
      <c r="E28" s="6">
        <f>IFERROR(__xludf.DUMMYFUNCTION("""COMPUTED_VALUE"""),34661.3)</f>
        <v>34661.3</v>
      </c>
      <c r="F28" s="6">
        <f>IFERROR(__xludf.DUMMYFUNCTION("""COMPUTED_VALUE"""),180748.0)</f>
        <v>180748</v>
      </c>
    </row>
    <row r="29">
      <c r="A29" s="7">
        <f>IFERROR(__xludf.DUMMYFUNCTION("""COMPUTED_VALUE"""),45373.64583333333)</f>
        <v>45373.64583</v>
      </c>
      <c r="B29" s="6">
        <f>IFERROR(__xludf.DUMMYFUNCTION("""COMPUTED_VALUE"""),35000.0)</f>
        <v>35000</v>
      </c>
      <c r="C29" s="6">
        <f>IFERROR(__xludf.DUMMYFUNCTION("""COMPUTED_VALUE"""),35999.0)</f>
        <v>35999</v>
      </c>
      <c r="D29" s="6">
        <f>IFERROR(__xludf.DUMMYFUNCTION("""COMPUTED_VALUE"""),33070.05)</f>
        <v>33070.05</v>
      </c>
      <c r="E29" s="6">
        <f>IFERROR(__xludf.DUMMYFUNCTION("""COMPUTED_VALUE"""),34449.85)</f>
        <v>34449.85</v>
      </c>
      <c r="F29" s="6">
        <f>IFERROR(__xludf.DUMMYFUNCTION("""COMPUTED_VALUE"""),132040.0)</f>
        <v>132040</v>
      </c>
    </row>
    <row r="30">
      <c r="A30" s="7">
        <f>IFERROR(__xludf.DUMMYFUNCTION("""COMPUTED_VALUE"""),45379.64583333333)</f>
        <v>45379.64583</v>
      </c>
      <c r="B30" s="6">
        <f>IFERROR(__xludf.DUMMYFUNCTION("""COMPUTED_VALUE"""),34201.1)</f>
        <v>34201.1</v>
      </c>
      <c r="C30" s="6">
        <f>IFERROR(__xludf.DUMMYFUNCTION("""COMPUTED_VALUE"""),34766.15)</f>
        <v>34766.15</v>
      </c>
      <c r="D30" s="6">
        <f>IFERROR(__xludf.DUMMYFUNCTION("""COMPUTED_VALUE"""),34100.0)</f>
        <v>34100</v>
      </c>
      <c r="E30" s="6">
        <f>IFERROR(__xludf.DUMMYFUNCTION("""COMPUTED_VALUE"""),34450.95)</f>
        <v>34450.95</v>
      </c>
      <c r="F30" s="6">
        <f>IFERROR(__xludf.DUMMYFUNCTION("""COMPUTED_VALUE"""),83862.0)</f>
        <v>83862</v>
      </c>
    </row>
    <row r="31">
      <c r="A31" s="7">
        <f>IFERROR(__xludf.DUMMYFUNCTION("""COMPUTED_VALUE"""),45387.64583333333)</f>
        <v>45387.64583</v>
      </c>
      <c r="B31" s="6">
        <f>IFERROR(__xludf.DUMMYFUNCTION("""COMPUTED_VALUE"""),34580.0)</f>
        <v>34580</v>
      </c>
      <c r="C31" s="6">
        <f>IFERROR(__xludf.DUMMYFUNCTION("""COMPUTED_VALUE"""),35332.1)</f>
        <v>35332.1</v>
      </c>
      <c r="D31" s="6">
        <f>IFERROR(__xludf.DUMMYFUNCTION("""COMPUTED_VALUE"""),34075.0)</f>
        <v>34075</v>
      </c>
      <c r="E31" s="6">
        <f>IFERROR(__xludf.DUMMYFUNCTION("""COMPUTED_VALUE"""),34168.2)</f>
        <v>34168.2</v>
      </c>
      <c r="F31" s="6">
        <f>IFERROR(__xludf.DUMMYFUNCTION("""COMPUTED_VALUE"""),93008.0)</f>
        <v>93008</v>
      </c>
    </row>
    <row r="32">
      <c r="A32" s="7">
        <f>IFERROR(__xludf.DUMMYFUNCTION("""COMPUTED_VALUE"""),45394.64583333333)</f>
        <v>45394.64583</v>
      </c>
      <c r="B32" s="6">
        <f>IFERROR(__xludf.DUMMYFUNCTION("""COMPUTED_VALUE"""),34371.95)</f>
        <v>34371.95</v>
      </c>
      <c r="C32" s="6">
        <f>IFERROR(__xludf.DUMMYFUNCTION("""COMPUTED_VALUE"""),37550.1)</f>
        <v>37550.1</v>
      </c>
      <c r="D32" s="6">
        <f>IFERROR(__xludf.DUMMYFUNCTION("""COMPUTED_VALUE"""),33814.85)</f>
        <v>33814.85</v>
      </c>
      <c r="E32" s="6">
        <f>IFERROR(__xludf.DUMMYFUNCTION("""COMPUTED_VALUE"""),35803.55)</f>
        <v>35803.55</v>
      </c>
      <c r="F32" s="6">
        <f>IFERROR(__xludf.DUMMYFUNCTION("""COMPUTED_VALUE"""),234381.0)</f>
        <v>234381</v>
      </c>
    </row>
    <row r="33">
      <c r="A33" s="7">
        <f>IFERROR(__xludf.DUMMYFUNCTION("""COMPUTED_VALUE"""),45401.64583333333)</f>
        <v>45401.64583</v>
      </c>
      <c r="B33" s="6">
        <f>IFERROR(__xludf.DUMMYFUNCTION("""COMPUTED_VALUE"""),35800.1)</f>
        <v>35800.1</v>
      </c>
      <c r="C33" s="6">
        <f>IFERROR(__xludf.DUMMYFUNCTION("""COMPUTED_VALUE"""),35966.0)</f>
        <v>35966</v>
      </c>
      <c r="D33" s="6">
        <f>IFERROR(__xludf.DUMMYFUNCTION("""COMPUTED_VALUE"""),34803.6)</f>
        <v>34803.6</v>
      </c>
      <c r="E33" s="6">
        <f>IFERROR(__xludf.DUMMYFUNCTION("""COMPUTED_VALUE"""),35391.4)</f>
        <v>35391.4</v>
      </c>
      <c r="F33" s="6">
        <f>IFERROR(__xludf.DUMMYFUNCTION("""COMPUTED_VALUE"""),143471.0)</f>
        <v>143471</v>
      </c>
    </row>
    <row r="34">
      <c r="A34" s="7">
        <f>IFERROR(__xludf.DUMMYFUNCTION("""COMPUTED_VALUE"""),45408.64583333333)</f>
        <v>45408.64583</v>
      </c>
      <c r="B34" s="6">
        <f>IFERROR(__xludf.DUMMYFUNCTION("""COMPUTED_VALUE"""),35405.5)</f>
        <v>35405.5</v>
      </c>
      <c r="C34" s="6">
        <f>IFERROR(__xludf.DUMMYFUNCTION("""COMPUTED_VALUE"""),36438.65)</f>
        <v>36438.65</v>
      </c>
      <c r="D34" s="6">
        <f>IFERROR(__xludf.DUMMYFUNCTION("""COMPUTED_VALUE"""),35150.0)</f>
        <v>35150</v>
      </c>
      <c r="E34" s="6">
        <f>IFERROR(__xludf.DUMMYFUNCTION("""COMPUTED_VALUE"""),35183.05)</f>
        <v>35183.05</v>
      </c>
      <c r="F34" s="6">
        <f>IFERROR(__xludf.DUMMYFUNCTION("""COMPUTED_VALUE"""),119960.0)</f>
        <v>119960</v>
      </c>
    </row>
    <row r="35">
      <c r="A35" s="7">
        <f>IFERROR(__xludf.DUMMYFUNCTION("""COMPUTED_VALUE"""),45415.64583333333)</f>
        <v>45415.64583</v>
      </c>
      <c r="B35" s="6">
        <f>IFERROR(__xludf.DUMMYFUNCTION("""COMPUTED_VALUE"""),35345.05)</f>
        <v>35345.05</v>
      </c>
      <c r="C35" s="6">
        <f>IFERROR(__xludf.DUMMYFUNCTION("""COMPUTED_VALUE"""),35590.45)</f>
        <v>35590.45</v>
      </c>
      <c r="D35" s="6">
        <f>IFERROR(__xludf.DUMMYFUNCTION("""COMPUTED_VALUE"""),34524.05)</f>
        <v>34524.05</v>
      </c>
      <c r="E35" s="6">
        <f>IFERROR(__xludf.DUMMYFUNCTION("""COMPUTED_VALUE"""),34792.9)</f>
        <v>34792.9</v>
      </c>
      <c r="F35" s="6">
        <f>IFERROR(__xludf.DUMMYFUNCTION("""COMPUTED_VALUE"""),124455.0)</f>
        <v>124455</v>
      </c>
    </row>
    <row r="36">
      <c r="A36" s="7">
        <f>IFERROR(__xludf.DUMMYFUNCTION("""COMPUTED_VALUE"""),45422.64583333333)</f>
        <v>45422.64583</v>
      </c>
      <c r="B36" s="6">
        <f>IFERROR(__xludf.DUMMYFUNCTION("""COMPUTED_VALUE"""),34985.0)</f>
        <v>34985</v>
      </c>
      <c r="C36" s="6">
        <f>IFERROR(__xludf.DUMMYFUNCTION("""COMPUTED_VALUE"""),35142.8)</f>
        <v>35142.8</v>
      </c>
      <c r="D36" s="6">
        <f>IFERROR(__xludf.DUMMYFUNCTION("""COMPUTED_VALUE"""),33870.0)</f>
        <v>33870</v>
      </c>
      <c r="E36" s="6">
        <f>IFERROR(__xludf.DUMMYFUNCTION("""COMPUTED_VALUE"""),34524.55)</f>
        <v>34524.55</v>
      </c>
      <c r="F36" s="6">
        <f>IFERROR(__xludf.DUMMYFUNCTION("""COMPUTED_VALUE"""),110435.0)</f>
        <v>110435</v>
      </c>
    </row>
    <row r="37">
      <c r="A37" s="7">
        <f>IFERROR(__xludf.DUMMYFUNCTION("""COMPUTED_VALUE"""),45436.64583333333)</f>
        <v>45436.64583</v>
      </c>
      <c r="B37" s="6">
        <f>IFERROR(__xludf.DUMMYFUNCTION("""COMPUTED_VALUE"""),35555.55)</f>
        <v>35555.55</v>
      </c>
      <c r="C37" s="6">
        <f>IFERROR(__xludf.DUMMYFUNCTION("""COMPUTED_VALUE"""),36690.0)</f>
        <v>36690</v>
      </c>
      <c r="D37" s="6">
        <f>IFERROR(__xludf.DUMMYFUNCTION("""COMPUTED_VALUE"""),34525.0)</f>
        <v>34525</v>
      </c>
      <c r="E37" s="6">
        <f>IFERROR(__xludf.DUMMYFUNCTION("""COMPUTED_VALUE"""),35554.9)</f>
        <v>35554.9</v>
      </c>
      <c r="F37" s="6">
        <f>IFERROR(__xludf.DUMMYFUNCTION("""COMPUTED_VALUE"""),209740.0)</f>
        <v>209740</v>
      </c>
    </row>
    <row r="38">
      <c r="A38" s="7">
        <f>IFERROR(__xludf.DUMMYFUNCTION("""COMPUTED_VALUE"""),45443.64583333333)</f>
        <v>45443.64583</v>
      </c>
      <c r="B38" s="6">
        <f>IFERROR(__xludf.DUMMYFUNCTION("""COMPUTED_VALUE"""),35600.0)</f>
        <v>35600</v>
      </c>
      <c r="C38" s="6">
        <f>IFERROR(__xludf.DUMMYFUNCTION("""COMPUTED_VALUE"""),38443.95)</f>
        <v>38443.95</v>
      </c>
      <c r="D38" s="6">
        <f>IFERROR(__xludf.DUMMYFUNCTION("""COMPUTED_VALUE"""),35206.5)</f>
        <v>35206.5</v>
      </c>
      <c r="E38" s="6">
        <f>IFERROR(__xludf.DUMMYFUNCTION("""COMPUTED_VALUE"""),35954.7)</f>
        <v>35954.7</v>
      </c>
      <c r="F38" s="6">
        <f>IFERROR(__xludf.DUMMYFUNCTION("""COMPUTED_VALUE"""),241979.0)</f>
        <v>241979</v>
      </c>
    </row>
    <row r="39">
      <c r="A39" s="7">
        <f>IFERROR(__xludf.DUMMYFUNCTION("""COMPUTED_VALUE"""),45450.64583333333)</f>
        <v>45450.64583</v>
      </c>
      <c r="B39" s="6">
        <f>IFERROR(__xludf.DUMMYFUNCTION("""COMPUTED_VALUE"""),36499.9)</f>
        <v>36499.9</v>
      </c>
      <c r="C39" s="6">
        <f>IFERROR(__xludf.DUMMYFUNCTION("""COMPUTED_VALUE"""),38911.2)</f>
        <v>38911.2</v>
      </c>
      <c r="D39" s="6">
        <f>IFERROR(__xludf.DUMMYFUNCTION("""COMPUTED_VALUE"""),35800.65)</f>
        <v>35800.65</v>
      </c>
      <c r="E39" s="6">
        <f>IFERROR(__xludf.DUMMYFUNCTION("""COMPUTED_VALUE"""),38349.45)</f>
        <v>38349.45</v>
      </c>
      <c r="F39" s="6">
        <f>IFERROR(__xludf.DUMMYFUNCTION("""COMPUTED_VALUE"""),164470.0)</f>
        <v>164470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IFERROR(__xludf.DUMMYFUNCTION("""COMPUTED_VALUE"""),38390.0)</f>
        <v>38390</v>
      </c>
      <c r="C40" s="6">
        <f>IFERROR(__xludf.DUMMYFUNCTION("""COMPUTED_VALUE"""),39249.95)</f>
        <v>39249.95</v>
      </c>
      <c r="D40" s="6">
        <f>IFERROR(__xludf.DUMMYFUNCTION("""COMPUTED_VALUE"""),37893.6)</f>
        <v>37893.6</v>
      </c>
      <c r="E40" s="6">
        <f>IFERROR(__xludf.DUMMYFUNCTION("""COMPUTED_VALUE"""),38512.7)</f>
        <v>38512.7</v>
      </c>
      <c r="F40" s="6">
        <f>IFERROR(__xludf.DUMMYFUNCTION("""COMPUTED_VALUE"""),130533.0)</f>
        <v>130533</v>
      </c>
    </row>
    <row r="41">
      <c r="A41" s="7">
        <f>IFERROR(__xludf.DUMMYFUNCTION("""COMPUTED_VALUE"""),45464.64583333333)</f>
        <v>45464.64583</v>
      </c>
      <c r="B41" s="6">
        <f>IFERROR(__xludf.DUMMYFUNCTION("""COMPUTED_VALUE"""),38400.1)</f>
        <v>38400.1</v>
      </c>
      <c r="C41" s="6">
        <f>IFERROR(__xludf.DUMMYFUNCTION("""COMPUTED_VALUE"""),39969.4)</f>
        <v>39969.4</v>
      </c>
      <c r="D41" s="6">
        <f>IFERROR(__xludf.DUMMYFUNCTION("""COMPUTED_VALUE"""),38266.0)</f>
        <v>38266</v>
      </c>
      <c r="E41" s="6">
        <f>IFERROR(__xludf.DUMMYFUNCTION("""COMPUTED_VALUE"""),39808.4)</f>
        <v>39808.4</v>
      </c>
      <c r="F41" s="6">
        <f>IFERROR(__xludf.DUMMYFUNCTION("""COMPUTED_VALUE"""),77939.0)</f>
        <v>77939</v>
      </c>
    </row>
    <row r="42">
      <c r="A42" s="7">
        <f>IFERROR(__xludf.DUMMYFUNCTION("""COMPUTED_VALUE"""),45471.64583333333)</f>
        <v>45471.64583</v>
      </c>
      <c r="B42" s="6">
        <f>IFERROR(__xludf.DUMMYFUNCTION("""COMPUTED_VALUE"""),39808.0)</f>
        <v>39808</v>
      </c>
      <c r="C42" s="6">
        <f>IFERROR(__xludf.DUMMYFUNCTION("""COMPUTED_VALUE"""),40793.1)</f>
        <v>40793.1</v>
      </c>
      <c r="D42" s="6">
        <f>IFERROR(__xludf.DUMMYFUNCTION("""COMPUTED_VALUE"""),38900.0)</f>
        <v>38900</v>
      </c>
      <c r="E42" s="6">
        <f>IFERROR(__xludf.DUMMYFUNCTION("""COMPUTED_VALUE"""),39099.35)</f>
        <v>39099.35</v>
      </c>
      <c r="F42" s="6">
        <f>IFERROR(__xludf.DUMMYFUNCTION("""COMPUTED_VALUE"""),120908.0)</f>
        <v>120908</v>
      </c>
    </row>
    <row r="43">
      <c r="A43" s="7">
        <f>IFERROR(__xludf.DUMMYFUNCTION("""COMPUTED_VALUE"""),45478.64583333333)</f>
        <v>45478.64583</v>
      </c>
      <c r="B43" s="6">
        <f>IFERROR(__xludf.DUMMYFUNCTION("""COMPUTED_VALUE"""),38952.05)</f>
        <v>38952.05</v>
      </c>
      <c r="C43" s="6">
        <f>IFERROR(__xludf.DUMMYFUNCTION("""COMPUTED_VALUE"""),39605.95)</f>
        <v>39605.95</v>
      </c>
      <c r="D43" s="6">
        <f>IFERROR(__xludf.DUMMYFUNCTION("""COMPUTED_VALUE"""),38300.0)</f>
        <v>38300</v>
      </c>
      <c r="E43" s="6">
        <f>IFERROR(__xludf.DUMMYFUNCTION("""COMPUTED_VALUE"""),39410.35)</f>
        <v>39410.35</v>
      </c>
      <c r="F43" s="6">
        <f>IFERROR(__xludf.DUMMYFUNCTION("""COMPUTED_VALUE"""),77951.0)</f>
        <v>77951</v>
      </c>
    </row>
    <row r="44">
      <c r="A44" s="7">
        <f>IFERROR(__xludf.DUMMYFUNCTION("""COMPUTED_VALUE"""),45485.64583333333)</f>
        <v>45485.64583</v>
      </c>
      <c r="B44" s="6">
        <f>IFERROR(__xludf.DUMMYFUNCTION("""COMPUTED_VALUE"""),39590.0)</f>
        <v>39590</v>
      </c>
      <c r="C44" s="6">
        <f>IFERROR(__xludf.DUMMYFUNCTION("""COMPUTED_VALUE"""),39960.0)</f>
        <v>39960</v>
      </c>
      <c r="D44" s="6">
        <f>IFERROR(__xludf.DUMMYFUNCTION("""COMPUTED_VALUE"""),38850.0)</f>
        <v>38850</v>
      </c>
      <c r="E44" s="6">
        <f>IFERROR(__xludf.DUMMYFUNCTION("""COMPUTED_VALUE"""),39754.6)</f>
        <v>39754.6</v>
      </c>
      <c r="F44" s="6">
        <f>IFERROR(__xludf.DUMMYFUNCTION("""COMPUTED_VALUE"""),78419.0)</f>
        <v>78419</v>
      </c>
    </row>
    <row r="45">
      <c r="A45" s="7">
        <f>IFERROR(__xludf.DUMMYFUNCTION("""COMPUTED_VALUE"""),45492.64583333333)</f>
        <v>45492.64583</v>
      </c>
      <c r="B45" s="6">
        <f>IFERROR(__xludf.DUMMYFUNCTION("""COMPUTED_VALUE"""),39654.6)</f>
        <v>39654.6</v>
      </c>
      <c r="C45" s="6">
        <f>IFERROR(__xludf.DUMMYFUNCTION("""COMPUTED_VALUE"""),41350.0)</f>
        <v>41350</v>
      </c>
      <c r="D45" s="6">
        <f>IFERROR(__xludf.DUMMYFUNCTION("""COMPUTED_VALUE"""),39132.1)</f>
        <v>39132.1</v>
      </c>
      <c r="E45" s="6">
        <f>IFERROR(__xludf.DUMMYFUNCTION("""COMPUTED_VALUE"""),40505.1)</f>
        <v>40505.1</v>
      </c>
      <c r="F45" s="6">
        <f>IFERROR(__xludf.DUMMYFUNCTION("""COMPUTED_VALUE"""),139181.0)</f>
        <v>139181</v>
      </c>
    </row>
    <row r="46">
      <c r="A46" s="7">
        <f>IFERROR(__xludf.DUMMYFUNCTION("""COMPUTED_VALUE"""),45499.64583333333)</f>
        <v>45499.64583</v>
      </c>
      <c r="B46" s="6">
        <f>IFERROR(__xludf.DUMMYFUNCTION("""COMPUTED_VALUE"""),40050.25)</f>
        <v>40050.25</v>
      </c>
      <c r="C46" s="6">
        <f>IFERROR(__xludf.DUMMYFUNCTION("""COMPUTED_VALUE"""),41620.0)</f>
        <v>41620</v>
      </c>
      <c r="D46" s="6">
        <f>IFERROR(__xludf.DUMMYFUNCTION("""COMPUTED_VALUE"""),39538.95)</f>
        <v>39538.95</v>
      </c>
      <c r="E46" s="6">
        <f>IFERROR(__xludf.DUMMYFUNCTION("""COMPUTED_VALUE"""),41443.95)</f>
        <v>41443.95</v>
      </c>
      <c r="F46" s="6">
        <f>IFERROR(__xludf.DUMMYFUNCTION("""COMPUTED_VALUE"""),104803.0)</f>
        <v>104803</v>
      </c>
    </row>
    <row r="47">
      <c r="A47" s="7">
        <f>IFERROR(__xludf.DUMMYFUNCTION("""COMPUTED_VALUE"""),45506.64583333333)</f>
        <v>45506.64583</v>
      </c>
      <c r="B47" s="6">
        <f>IFERROR(__xludf.DUMMYFUNCTION("""COMPUTED_VALUE"""),41443.0)</f>
        <v>41443</v>
      </c>
      <c r="C47" s="6">
        <f>IFERROR(__xludf.DUMMYFUNCTION("""COMPUTED_VALUE"""),42922.0)</f>
        <v>42922</v>
      </c>
      <c r="D47" s="6">
        <f>IFERROR(__xludf.DUMMYFUNCTION("""COMPUTED_VALUE"""),40920.0)</f>
        <v>40920</v>
      </c>
      <c r="E47" s="6">
        <f>IFERROR(__xludf.DUMMYFUNCTION("""COMPUTED_VALUE"""),42802.0)</f>
        <v>42802</v>
      </c>
      <c r="F47" s="6">
        <f>IFERROR(__xludf.DUMMYFUNCTION("""COMPUTED_VALUE"""),111474.0)</f>
        <v>111474</v>
      </c>
    </row>
    <row r="48">
      <c r="A48" s="7">
        <f>IFERROR(__xludf.DUMMYFUNCTION("""COMPUTED_VALUE"""),45513.64583333333)</f>
        <v>45513.64583</v>
      </c>
      <c r="B48" s="6">
        <f>IFERROR(__xludf.DUMMYFUNCTION("""COMPUTED_VALUE"""),42205.15)</f>
        <v>42205.15</v>
      </c>
      <c r="C48" s="6">
        <f>IFERROR(__xludf.DUMMYFUNCTION("""COMPUTED_VALUE"""),42386.85)</f>
        <v>42386.85</v>
      </c>
      <c r="D48" s="6">
        <f>IFERROR(__xludf.DUMMYFUNCTION("""COMPUTED_VALUE"""),39586.5)</f>
        <v>39586.5</v>
      </c>
      <c r="E48" s="6">
        <f>IFERROR(__xludf.DUMMYFUNCTION("""COMPUTED_VALUE"""),40205.85)</f>
        <v>40205.85</v>
      </c>
      <c r="F48" s="6">
        <f>IFERROR(__xludf.DUMMYFUNCTION("""COMPUTED_VALUE"""),148367.0)</f>
        <v>148367</v>
      </c>
    </row>
    <row r="49">
      <c r="A49" s="7">
        <f>IFERROR(__xludf.DUMMYFUNCTION("""COMPUTED_VALUE"""),45520.64583333333)</f>
        <v>45520.64583</v>
      </c>
      <c r="B49" s="6">
        <f>IFERROR(__xludf.DUMMYFUNCTION("""COMPUTED_VALUE"""),40169.0)</f>
        <v>40169</v>
      </c>
      <c r="C49" s="6">
        <f>IFERROR(__xludf.DUMMYFUNCTION("""COMPUTED_VALUE"""),41527.95)</f>
        <v>41527.95</v>
      </c>
      <c r="D49" s="6">
        <f>IFERROR(__xludf.DUMMYFUNCTION("""COMPUTED_VALUE"""),39588.65)</f>
        <v>39588.65</v>
      </c>
      <c r="E49" s="6">
        <f>IFERROR(__xludf.DUMMYFUNCTION("""COMPUTED_VALUE"""),40947.5)</f>
        <v>40947.5</v>
      </c>
      <c r="F49" s="6">
        <f>IFERROR(__xludf.DUMMYFUNCTION("""COMPUTED_VALUE"""),51328.0)</f>
        <v>51328</v>
      </c>
    </row>
    <row r="50">
      <c r="A50" s="7">
        <f>IFERROR(__xludf.DUMMYFUNCTION("""COMPUTED_VALUE"""),45527.64583333333)</f>
        <v>45527.64583</v>
      </c>
      <c r="B50" s="6">
        <f>IFERROR(__xludf.DUMMYFUNCTION("""COMPUTED_VALUE"""),40966.05)</f>
        <v>40966.05</v>
      </c>
      <c r="C50" s="6">
        <f>IFERROR(__xludf.DUMMYFUNCTION("""COMPUTED_VALUE"""),42462.45)</f>
        <v>42462.45</v>
      </c>
      <c r="D50" s="6">
        <f>IFERROR(__xludf.DUMMYFUNCTION("""COMPUTED_VALUE"""),40552.1)</f>
        <v>40552.1</v>
      </c>
      <c r="E50" s="6">
        <f>IFERROR(__xludf.DUMMYFUNCTION("""COMPUTED_VALUE"""),41512.6)</f>
        <v>41512.6</v>
      </c>
      <c r="F50" s="6">
        <f>IFERROR(__xludf.DUMMYFUNCTION("""COMPUTED_VALUE"""),74205.0)</f>
        <v>74205</v>
      </c>
    </row>
    <row r="51">
      <c r="A51" s="7">
        <f>IFERROR(__xludf.DUMMYFUNCTION("""COMPUTED_VALUE"""),45534.64583333333)</f>
        <v>45534.64583</v>
      </c>
      <c r="B51" s="6">
        <f>IFERROR(__xludf.DUMMYFUNCTION("""COMPUTED_VALUE"""),41819.95)</f>
        <v>41819.95</v>
      </c>
      <c r="C51" s="6">
        <f>IFERROR(__xludf.DUMMYFUNCTION("""COMPUTED_VALUE"""),42891.15)</f>
        <v>42891.15</v>
      </c>
      <c r="D51" s="6">
        <f>IFERROR(__xludf.DUMMYFUNCTION("""COMPUTED_VALUE"""),41108.35)</f>
        <v>41108.35</v>
      </c>
      <c r="E51" s="6">
        <f>IFERROR(__xludf.DUMMYFUNCTION("""COMPUTED_VALUE"""),42520.55)</f>
        <v>42520.55</v>
      </c>
      <c r="F51" s="6">
        <f>IFERROR(__xludf.DUMMYFUNCTION("""COMPUTED_VALUE"""),77198.0)</f>
        <v>77198</v>
      </c>
    </row>
    <row r="52">
      <c r="A52" s="7">
        <f>IFERROR(__xludf.DUMMYFUNCTION("""COMPUTED_VALUE"""),45541.64583333333)</f>
        <v>45541.64583</v>
      </c>
      <c r="B52" s="6">
        <f>IFERROR(__xludf.DUMMYFUNCTION("""COMPUTED_VALUE"""),42520.55)</f>
        <v>42520.55</v>
      </c>
      <c r="C52" s="6">
        <f>IFERROR(__xludf.DUMMYFUNCTION("""COMPUTED_VALUE"""),42615.55)</f>
        <v>42615.55</v>
      </c>
      <c r="D52" s="6">
        <f>IFERROR(__xludf.DUMMYFUNCTION("""COMPUTED_VALUE"""),40262.6)</f>
        <v>40262.6</v>
      </c>
      <c r="E52" s="6">
        <f>IFERROR(__xludf.DUMMYFUNCTION("""COMPUTED_VALUE"""),40360.4)</f>
        <v>40360.4</v>
      </c>
      <c r="F52" s="6">
        <f>IFERROR(__xludf.DUMMYFUNCTION("""COMPUTED_VALUE"""),69360.0)</f>
        <v>69360</v>
      </c>
    </row>
    <row r="53">
      <c r="A53" s="7">
        <f>IFERROR(__xludf.DUMMYFUNCTION("""COMPUTED_VALUE"""),45548.64583333333)</f>
        <v>45548.64583</v>
      </c>
      <c r="B53" s="6">
        <f>IFERROR(__xludf.DUMMYFUNCTION("""COMPUTED_VALUE"""),40550.0)</f>
        <v>40550</v>
      </c>
      <c r="C53" s="6">
        <f>IFERROR(__xludf.DUMMYFUNCTION("""COMPUTED_VALUE"""),43744.25)</f>
        <v>43744.25</v>
      </c>
      <c r="D53" s="6">
        <f>IFERROR(__xludf.DUMMYFUNCTION("""COMPUTED_VALUE"""),40040.0)</f>
        <v>40040</v>
      </c>
      <c r="E53" s="6">
        <f>IFERROR(__xludf.DUMMYFUNCTION("""COMPUTED_VALUE"""),43363.55)</f>
        <v>43363.55</v>
      </c>
      <c r="F53" s="6">
        <f>IFERROR(__xludf.DUMMYFUNCTION("""COMPUTED_VALUE"""),155732.0)</f>
        <v>155732</v>
      </c>
    </row>
    <row r="54">
      <c r="A54" s="7">
        <f>IFERROR(__xludf.DUMMYFUNCTION("""COMPUTED_VALUE"""),45555.64583333333)</f>
        <v>45555.64583</v>
      </c>
      <c r="B54" s="6">
        <f>IFERROR(__xludf.DUMMYFUNCTION("""COMPUTED_VALUE"""),43740.0)</f>
        <v>43740</v>
      </c>
      <c r="C54" s="6">
        <f>IFERROR(__xludf.DUMMYFUNCTION("""COMPUTED_VALUE"""),44100.0)</f>
        <v>44100</v>
      </c>
      <c r="D54" s="6">
        <f>IFERROR(__xludf.DUMMYFUNCTION("""COMPUTED_VALUE"""),42457.7)</f>
        <v>42457.7</v>
      </c>
      <c r="E54" s="6">
        <f>IFERROR(__xludf.DUMMYFUNCTION("""COMPUTED_VALUE"""),43053.0)</f>
        <v>43053</v>
      </c>
      <c r="F54" s="6">
        <f>IFERROR(__xludf.DUMMYFUNCTION("""COMPUTED_VALUE"""),138857.0)</f>
        <v>138857</v>
      </c>
    </row>
    <row r="55">
      <c r="A55" s="7">
        <f>IFERROR(__xludf.DUMMYFUNCTION("""COMPUTED_VALUE"""),45562.64583333333)</f>
        <v>45562.64583</v>
      </c>
      <c r="B55" s="6">
        <f>IFERROR(__xludf.DUMMYFUNCTION("""COMPUTED_VALUE"""),43094.6)</f>
        <v>43094.6</v>
      </c>
      <c r="C55" s="6">
        <f>IFERROR(__xludf.DUMMYFUNCTION("""COMPUTED_VALUE"""),43437.35)</f>
        <v>43437.35</v>
      </c>
      <c r="D55" s="6">
        <f>IFERROR(__xludf.DUMMYFUNCTION("""COMPUTED_VALUE"""),41220.0)</f>
        <v>41220</v>
      </c>
      <c r="E55" s="6">
        <f>IFERROR(__xludf.DUMMYFUNCTION("""COMPUTED_VALUE"""),42034.05)</f>
        <v>42034.05</v>
      </c>
      <c r="F55" s="6">
        <f>IFERROR(__xludf.DUMMYFUNCTION("""COMPUTED_VALUE"""),144762.0)</f>
        <v>144762</v>
      </c>
    </row>
    <row r="56">
      <c r="A56" s="7">
        <f>IFERROR(__xludf.DUMMYFUNCTION("""COMPUTED_VALUE"""),45569.64583333333)</f>
        <v>45569.64583</v>
      </c>
      <c r="B56" s="6">
        <f>IFERROR(__xludf.DUMMYFUNCTION("""COMPUTED_VALUE"""),42025.0)</f>
        <v>42025</v>
      </c>
      <c r="C56" s="6">
        <f>IFERROR(__xludf.DUMMYFUNCTION("""COMPUTED_VALUE"""),42961.6)</f>
        <v>42961.6</v>
      </c>
      <c r="D56" s="6">
        <f>IFERROR(__xludf.DUMMYFUNCTION("""COMPUTED_VALUE"""),41116.45)</f>
        <v>41116.45</v>
      </c>
      <c r="E56" s="6">
        <f>IFERROR(__xludf.DUMMYFUNCTION("""COMPUTED_VALUE"""),41389.55)</f>
        <v>41389.55</v>
      </c>
      <c r="F56" s="6">
        <f>IFERROR(__xludf.DUMMYFUNCTION("""COMPUTED_VALUE"""),83381.0)</f>
        <v>83381</v>
      </c>
    </row>
    <row r="57">
      <c r="A57" s="7">
        <f>IFERROR(__xludf.DUMMYFUNCTION("""COMPUTED_VALUE"""),45576.64583333333)</f>
        <v>45576.64583</v>
      </c>
      <c r="B57" s="6">
        <f>IFERROR(__xludf.DUMMYFUNCTION("""COMPUTED_VALUE"""),42006.45)</f>
        <v>42006.45</v>
      </c>
      <c r="C57" s="6">
        <f>IFERROR(__xludf.DUMMYFUNCTION("""COMPUTED_VALUE"""),46100.0)</f>
        <v>46100</v>
      </c>
      <c r="D57" s="6">
        <f>IFERROR(__xludf.DUMMYFUNCTION("""COMPUTED_VALUE"""),40805.0)</f>
        <v>40805</v>
      </c>
      <c r="E57" s="6">
        <f>IFERROR(__xludf.DUMMYFUNCTION("""COMPUTED_VALUE"""),45370.15)</f>
        <v>45370.15</v>
      </c>
      <c r="F57" s="6">
        <f>IFERROR(__xludf.DUMMYFUNCTION("""COMPUTED_VALUE"""),175038.0)</f>
        <v>175038</v>
      </c>
    </row>
    <row r="58">
      <c r="A58" s="7">
        <f>IFERROR(__xludf.DUMMYFUNCTION("""COMPUTED_VALUE"""),45583.64583333333)</f>
        <v>45583.64583</v>
      </c>
      <c r="B58" s="6">
        <f>IFERROR(__xludf.DUMMYFUNCTION("""COMPUTED_VALUE"""),44800.0)</f>
        <v>44800</v>
      </c>
      <c r="C58" s="6">
        <f>IFERROR(__xludf.DUMMYFUNCTION("""COMPUTED_VALUE"""),46810.4)</f>
        <v>46810.4</v>
      </c>
      <c r="D58" s="6">
        <f>IFERROR(__xludf.DUMMYFUNCTION("""COMPUTED_VALUE"""),44800.0)</f>
        <v>44800</v>
      </c>
      <c r="E58" s="6">
        <f>IFERROR(__xludf.DUMMYFUNCTION("""COMPUTED_VALUE"""),45570.65)</f>
        <v>45570.65</v>
      </c>
      <c r="F58" s="6">
        <f>IFERROR(__xludf.DUMMYFUNCTION("""COMPUTED_VALUE"""),146457.0)</f>
        <v>146457</v>
      </c>
    </row>
    <row r="59">
      <c r="A59" s="7">
        <f>IFERROR(__xludf.DUMMYFUNCTION("""COMPUTED_VALUE"""),45590.64583333333)</f>
        <v>45590.64583</v>
      </c>
      <c r="B59" s="6">
        <f>IFERROR(__xludf.DUMMYFUNCTION("""COMPUTED_VALUE"""),45451.0)</f>
        <v>45451</v>
      </c>
      <c r="C59" s="6">
        <f>IFERROR(__xludf.DUMMYFUNCTION("""COMPUTED_VALUE"""),45900.0)</f>
        <v>45900</v>
      </c>
      <c r="D59" s="6">
        <f>IFERROR(__xludf.DUMMYFUNCTION("""COMPUTED_VALUE"""),42639.0)</f>
        <v>42639</v>
      </c>
      <c r="E59" s="6">
        <f>IFERROR(__xludf.DUMMYFUNCTION("""COMPUTED_VALUE"""),43038.6)</f>
        <v>43038.6</v>
      </c>
      <c r="F59" s="6">
        <f>IFERROR(__xludf.DUMMYFUNCTION("""COMPUTED_VALUE"""),79587.0)</f>
        <v>79587</v>
      </c>
    </row>
    <row r="60">
      <c r="A60" s="7">
        <f>IFERROR(__xludf.DUMMYFUNCTION("""COMPUTED_VALUE"""),45604.64583333333)</f>
        <v>45604.64583</v>
      </c>
      <c r="B60" s="6">
        <f>IFERROR(__xludf.DUMMYFUNCTION("""COMPUTED_VALUE"""),43500.0)</f>
        <v>43500</v>
      </c>
      <c r="C60" s="6">
        <f>IFERROR(__xludf.DUMMYFUNCTION("""COMPUTED_VALUE"""),48333.0)</f>
        <v>48333</v>
      </c>
      <c r="D60" s="6">
        <f>IFERROR(__xludf.DUMMYFUNCTION("""COMPUTED_VALUE"""),42621.05)</f>
        <v>42621.05</v>
      </c>
      <c r="E60" s="6">
        <f>IFERROR(__xludf.DUMMYFUNCTION("""COMPUTED_VALUE"""),48002.9)</f>
        <v>48002.9</v>
      </c>
      <c r="F60" s="6">
        <f>IFERROR(__xludf.DUMMYFUNCTION("""COMPUTED_VALUE"""),273248.0)</f>
        <v>273248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IFERROR(__xludf.DUMMYFUNCTION("""COMPUTED_VALUE"""),47800.0)</f>
        <v>47800</v>
      </c>
      <c r="C61" s="6">
        <f>IFERROR(__xludf.DUMMYFUNCTION("""COMPUTED_VALUE"""),48393.7)</f>
        <v>48393.7</v>
      </c>
      <c r="D61" s="6">
        <f>IFERROR(__xludf.DUMMYFUNCTION("""COMPUTED_VALUE"""),45213.4)</f>
        <v>45213.4</v>
      </c>
      <c r="E61" s="6">
        <f>IFERROR(__xludf.DUMMYFUNCTION("""COMPUTED_VALUE"""),45377.25)</f>
        <v>45377.25</v>
      </c>
      <c r="F61" s="6">
        <f>IFERROR(__xludf.DUMMYFUNCTION("""COMPUTED_VALUE"""),123330.0)</f>
        <v>123330</v>
      </c>
    </row>
    <row r="62">
      <c r="A62" s="7">
        <f>IFERROR(__xludf.DUMMYFUNCTION("""COMPUTED_VALUE"""),45618.64583333333)</f>
        <v>45618.64583</v>
      </c>
      <c r="B62" s="6">
        <f>IFERROR(__xludf.DUMMYFUNCTION("""COMPUTED_VALUE"""),45450.0)</f>
        <v>45450</v>
      </c>
      <c r="C62" s="6">
        <f>IFERROR(__xludf.DUMMYFUNCTION("""COMPUTED_VALUE"""),45646.15)</f>
        <v>45646.15</v>
      </c>
      <c r="D62" s="6">
        <f>IFERROR(__xludf.DUMMYFUNCTION("""COMPUTED_VALUE"""),43969.55)</f>
        <v>43969.55</v>
      </c>
      <c r="E62" s="6">
        <f>IFERROR(__xludf.DUMMYFUNCTION("""COMPUTED_VALUE"""),44765.45)</f>
        <v>44765.45</v>
      </c>
      <c r="F62" s="6">
        <f>IFERROR(__xludf.DUMMYFUNCTION("""COMPUTED_VALUE"""),173122.0)</f>
        <v>173122</v>
      </c>
    </row>
    <row r="63">
      <c r="A63" s="7">
        <f>IFERROR(__xludf.DUMMYFUNCTION("""COMPUTED_VALUE"""),45625.64583333333)</f>
        <v>45625.64583</v>
      </c>
      <c r="B63" s="6">
        <f>IFERROR(__xludf.DUMMYFUNCTION("""COMPUTED_VALUE"""),45101.0)</f>
        <v>45101</v>
      </c>
      <c r="C63" s="6">
        <f>IFERROR(__xludf.DUMMYFUNCTION("""COMPUTED_VALUE"""),46189.5)</f>
        <v>46189.5</v>
      </c>
      <c r="D63" s="6">
        <f>IFERROR(__xludf.DUMMYFUNCTION("""COMPUTED_VALUE"""),44483.95)</f>
        <v>44483.95</v>
      </c>
      <c r="E63" s="6">
        <f>IFERROR(__xludf.DUMMYFUNCTION("""COMPUTED_VALUE"""),44644.9)</f>
        <v>44644.9</v>
      </c>
      <c r="F63" s="6">
        <f>IFERROR(__xludf.DUMMYFUNCTION("""COMPUTED_VALUE"""),172023.0)</f>
        <v>172023</v>
      </c>
    </row>
    <row r="64">
      <c r="A64" s="7">
        <f>IFERROR(__xludf.DUMMYFUNCTION("""COMPUTED_VALUE"""),45632.64583333333)</f>
        <v>45632.64583</v>
      </c>
      <c r="B64" s="6">
        <f>IFERROR(__xludf.DUMMYFUNCTION("""COMPUTED_VALUE"""),44750.0)</f>
        <v>44750</v>
      </c>
      <c r="C64" s="6">
        <f>IFERROR(__xludf.DUMMYFUNCTION("""COMPUTED_VALUE"""),46799.95)</f>
        <v>46799.95</v>
      </c>
      <c r="D64" s="6">
        <f>IFERROR(__xludf.DUMMYFUNCTION("""COMPUTED_VALUE"""),44600.05)</f>
        <v>44600.05</v>
      </c>
      <c r="E64" s="6">
        <f>IFERROR(__xludf.DUMMYFUNCTION("""COMPUTED_VALUE"""),46106.75)</f>
        <v>46106.75</v>
      </c>
      <c r="F64" s="6">
        <f>IFERROR(__xludf.DUMMYFUNCTION("""COMPUTED_VALUE"""),278285.0)</f>
        <v>278285</v>
      </c>
    </row>
    <row r="65">
      <c r="A65" s="7">
        <f>IFERROR(__xludf.DUMMYFUNCTION("""COMPUTED_VALUE"""),45639.64583333333)</f>
        <v>45639.64583</v>
      </c>
      <c r="B65" s="6">
        <f>IFERROR(__xludf.DUMMYFUNCTION("""COMPUTED_VALUE"""),46240.0)</f>
        <v>46240</v>
      </c>
      <c r="C65" s="6">
        <f>IFERROR(__xludf.DUMMYFUNCTION("""COMPUTED_VALUE"""),48811.8)</f>
        <v>48811.8</v>
      </c>
      <c r="D65" s="6">
        <f>IFERROR(__xludf.DUMMYFUNCTION("""COMPUTED_VALUE"""),45899.9)</f>
        <v>45899.9</v>
      </c>
      <c r="E65" s="6">
        <f>IFERROR(__xludf.DUMMYFUNCTION("""COMPUTED_VALUE"""),48742.25)</f>
        <v>48742.25</v>
      </c>
      <c r="F65" s="6">
        <f>IFERROR(__xludf.DUMMYFUNCTION("""COMPUTED_VALUE"""),210193.0)</f>
        <v>210193</v>
      </c>
    </row>
    <row r="66">
      <c r="A66" s="7">
        <f>IFERROR(__xludf.DUMMYFUNCTION("""COMPUTED_VALUE"""),45646.64583333333)</f>
        <v>45646.64583</v>
      </c>
      <c r="B66" s="6">
        <f>IFERROR(__xludf.DUMMYFUNCTION("""COMPUTED_VALUE"""),48745.0)</f>
        <v>48745</v>
      </c>
      <c r="C66" s="6">
        <f>IFERROR(__xludf.DUMMYFUNCTION("""COMPUTED_VALUE"""),49849.95)</f>
        <v>49849.95</v>
      </c>
      <c r="D66" s="6">
        <f>IFERROR(__xludf.DUMMYFUNCTION("""COMPUTED_VALUE"""),48549.7)</f>
        <v>48549.7</v>
      </c>
      <c r="E66" s="6">
        <f>IFERROR(__xludf.DUMMYFUNCTION("""COMPUTED_VALUE"""),48856.35)</f>
        <v>48856.35</v>
      </c>
      <c r="F66" s="6">
        <f>IFERROR(__xludf.DUMMYFUNCTION("""COMPUTED_VALUE"""),204319.0)</f>
        <v>204319</v>
      </c>
    </row>
    <row r="67">
      <c r="A67" s="7">
        <f>IFERROR(__xludf.DUMMYFUNCTION("""COMPUTED_VALUE"""),45653.64583333333)</f>
        <v>45653.64583</v>
      </c>
      <c r="B67" s="6">
        <f>IFERROR(__xludf.DUMMYFUNCTION("""COMPUTED_VALUE"""),48855.55)</f>
        <v>48855.55</v>
      </c>
      <c r="C67" s="6">
        <f>IFERROR(__xludf.DUMMYFUNCTION("""COMPUTED_VALUE"""),49150.0)</f>
        <v>49150</v>
      </c>
      <c r="D67" s="6">
        <f>IFERROR(__xludf.DUMMYFUNCTION("""COMPUTED_VALUE"""),46490.1)</f>
        <v>46490.1</v>
      </c>
      <c r="E67" s="6">
        <f>IFERROR(__xludf.DUMMYFUNCTION("""COMPUTED_VALUE"""),46933.55)</f>
        <v>46933.55</v>
      </c>
      <c r="F67" s="6">
        <f>IFERROR(__xludf.DUMMYFUNCTION("""COMPUTED_VALUE"""),67246.0)</f>
        <v>67246</v>
      </c>
    </row>
    <row r="68">
      <c r="A68" s="7">
        <f>IFERROR(__xludf.DUMMYFUNCTION("""COMPUTED_VALUE"""),45660.64583333333)</f>
        <v>45660.64583</v>
      </c>
      <c r="B68" s="6">
        <f>IFERROR(__xludf.DUMMYFUNCTION("""COMPUTED_VALUE"""),47220.0)</f>
        <v>47220</v>
      </c>
      <c r="C68" s="6">
        <f>IFERROR(__xludf.DUMMYFUNCTION("""COMPUTED_VALUE"""),48594.95)</f>
        <v>48594.95</v>
      </c>
      <c r="D68" s="6">
        <f>IFERROR(__xludf.DUMMYFUNCTION("""COMPUTED_VALUE"""),46493.15)</f>
        <v>46493.15</v>
      </c>
      <c r="E68" s="6">
        <f>IFERROR(__xludf.DUMMYFUNCTION("""COMPUTED_VALUE"""),47941.2)</f>
        <v>47941.2</v>
      </c>
      <c r="F68" s="6">
        <f>IFERROR(__xludf.DUMMYFUNCTION("""COMPUTED_VALUE"""),127359.0)</f>
        <v>127359</v>
      </c>
    </row>
    <row r="69">
      <c r="A69" s="7">
        <f>IFERROR(__xludf.DUMMYFUNCTION("""COMPUTED_VALUE"""),45667.64583333333)</f>
        <v>45667.64583</v>
      </c>
      <c r="B69" s="6">
        <f>IFERROR(__xludf.DUMMYFUNCTION("""COMPUTED_VALUE"""),47941.25)</f>
        <v>47941.25</v>
      </c>
      <c r="C69" s="6">
        <f>IFERROR(__xludf.DUMMYFUNCTION("""COMPUTED_VALUE"""),49254.7)</f>
        <v>49254.7</v>
      </c>
      <c r="D69" s="6">
        <f>IFERROR(__xludf.DUMMYFUNCTION("""COMPUTED_VALUE"""),46525.0)</f>
        <v>46525</v>
      </c>
      <c r="E69" s="6">
        <f>IFERROR(__xludf.DUMMYFUNCTION("""COMPUTED_VALUE"""),46745.55)</f>
        <v>46745.55</v>
      </c>
      <c r="F69" s="6">
        <f>IFERROR(__xludf.DUMMYFUNCTION("""COMPUTED_VALUE"""),140936.0)</f>
        <v>140936</v>
      </c>
    </row>
    <row r="70">
      <c r="A70" s="7">
        <f>IFERROR(__xludf.DUMMYFUNCTION("""COMPUTED_VALUE"""),45674.64583333333)</f>
        <v>45674.64583</v>
      </c>
      <c r="B70" s="6">
        <f>IFERROR(__xludf.DUMMYFUNCTION("""COMPUTED_VALUE"""),46600.0)</f>
        <v>46600</v>
      </c>
      <c r="C70" s="6">
        <f>IFERROR(__xludf.DUMMYFUNCTION("""COMPUTED_VALUE"""),47237.35)</f>
        <v>47237.35</v>
      </c>
      <c r="D70" s="6">
        <f>IFERROR(__xludf.DUMMYFUNCTION("""COMPUTED_VALUE"""),45069.5)</f>
        <v>45069.5</v>
      </c>
      <c r="E70" s="6">
        <f>IFERROR(__xludf.DUMMYFUNCTION("""COMPUTED_VALUE"""),46097.55)</f>
        <v>46097.55</v>
      </c>
      <c r="F70" s="6">
        <f>IFERROR(__xludf.DUMMYFUNCTION("""COMPUTED_VALUE"""),193446.0)</f>
        <v>193446</v>
      </c>
    </row>
    <row r="71">
      <c r="A71" s="7">
        <f>IFERROR(__xludf.DUMMYFUNCTION("""COMPUTED_VALUE"""),45681.64583333333)</f>
        <v>45681.64583</v>
      </c>
      <c r="B71" s="6">
        <f>IFERROR(__xludf.DUMMYFUNCTION("""COMPUTED_VALUE"""),46100.0)</f>
        <v>46100</v>
      </c>
      <c r="C71" s="6">
        <f>IFERROR(__xludf.DUMMYFUNCTION("""COMPUTED_VALUE"""),47149.55)</f>
        <v>47149.55</v>
      </c>
      <c r="D71" s="6">
        <f>IFERROR(__xludf.DUMMYFUNCTION("""COMPUTED_VALUE"""),45360.0)</f>
        <v>45360</v>
      </c>
      <c r="E71" s="6">
        <f>IFERROR(__xludf.DUMMYFUNCTION("""COMPUTED_VALUE"""),46395.25)</f>
        <v>46395.25</v>
      </c>
      <c r="F71" s="6">
        <f>IFERROR(__xludf.DUMMYFUNCTION("""COMPUTED_VALUE"""),127769.0)</f>
        <v>127769</v>
      </c>
    </row>
    <row r="72">
      <c r="A72" s="7">
        <f>IFERROR(__xludf.DUMMYFUNCTION("""COMPUTED_VALUE"""),45695.64583333333)</f>
        <v>45695.64583</v>
      </c>
      <c r="B72" s="6">
        <f>IFERROR(__xludf.DUMMYFUNCTION("""COMPUTED_VALUE"""),46542.85)</f>
        <v>46542.85</v>
      </c>
      <c r="C72" s="6">
        <f>IFERROR(__xludf.DUMMYFUNCTION("""COMPUTED_VALUE"""),48400.0)</f>
        <v>48400</v>
      </c>
      <c r="D72" s="6">
        <f>IFERROR(__xludf.DUMMYFUNCTION("""COMPUTED_VALUE"""),42700.0)</f>
        <v>42700</v>
      </c>
      <c r="E72" s="6">
        <f>IFERROR(__xludf.DUMMYFUNCTION("""COMPUTED_VALUE"""),42983.05)</f>
        <v>42983.05</v>
      </c>
      <c r="F72" s="6">
        <f>IFERROR(__xludf.DUMMYFUNCTION("""COMPUTED_VALUE"""),313922.0)</f>
        <v>313922</v>
      </c>
    </row>
    <row r="73">
      <c r="A73" s="7">
        <f>IFERROR(__xludf.DUMMYFUNCTION("""COMPUTED_VALUE"""),45702.64583333333)</f>
        <v>45702.64583</v>
      </c>
      <c r="B73" s="6">
        <f>IFERROR(__xludf.DUMMYFUNCTION("""COMPUTED_VALUE"""),42983.05)</f>
        <v>42983.05</v>
      </c>
      <c r="C73" s="6">
        <f>IFERROR(__xludf.DUMMYFUNCTION("""COMPUTED_VALUE"""),43941.15)</f>
        <v>43941.15</v>
      </c>
      <c r="D73" s="6">
        <f>IFERROR(__xludf.DUMMYFUNCTION("""COMPUTED_VALUE"""),40600.0)</f>
        <v>40600</v>
      </c>
      <c r="E73" s="6">
        <f>IFERROR(__xludf.DUMMYFUNCTION("""COMPUTED_VALUE"""),41068.35)</f>
        <v>41068.35</v>
      </c>
      <c r="F73" s="6">
        <f>IFERROR(__xludf.DUMMYFUNCTION("""COMPUTED_VALUE"""),154165.0)</f>
        <v>154165</v>
      </c>
    </row>
    <row r="74">
      <c r="A74" s="7">
        <f>IFERROR(__xludf.DUMMYFUNCTION("""COMPUTED_VALUE"""),45709.64583333333)</f>
        <v>45709.64583</v>
      </c>
      <c r="B74" s="6">
        <f>IFERROR(__xludf.DUMMYFUNCTION("""COMPUTED_VALUE"""),40800.0)</f>
        <v>40800</v>
      </c>
      <c r="C74" s="6">
        <f>IFERROR(__xludf.DUMMYFUNCTION("""COMPUTED_VALUE"""),42350.0)</f>
        <v>42350</v>
      </c>
      <c r="D74" s="6">
        <f>IFERROR(__xludf.DUMMYFUNCTION("""COMPUTED_VALUE"""),40067.05)</f>
        <v>40067.05</v>
      </c>
      <c r="E74" s="6">
        <f>IFERROR(__xludf.DUMMYFUNCTION("""COMPUTED_VALUE"""),41132.3)</f>
        <v>41132.3</v>
      </c>
      <c r="F74" s="6">
        <f>IFERROR(__xludf.DUMMYFUNCTION("""COMPUTED_VALUE"""),122610.0)</f>
        <v>122610</v>
      </c>
    </row>
    <row r="75">
      <c r="A75" s="7">
        <f>IFERROR(__xludf.DUMMYFUNCTION("""COMPUTED_VALUE"""),45716.64583333333)</f>
        <v>45716.64583</v>
      </c>
      <c r="B75" s="6">
        <f>IFERROR(__xludf.DUMMYFUNCTION("""COMPUTED_VALUE"""),40990.0)</f>
        <v>40990</v>
      </c>
      <c r="C75" s="6">
        <f>IFERROR(__xludf.DUMMYFUNCTION("""COMPUTED_VALUE"""),42240.0)</f>
        <v>42240</v>
      </c>
      <c r="D75" s="6">
        <f>IFERROR(__xludf.DUMMYFUNCTION("""COMPUTED_VALUE"""),40000.0)</f>
        <v>40000</v>
      </c>
      <c r="E75" s="6">
        <f>IFERROR(__xludf.DUMMYFUNCTION("""COMPUTED_VALUE"""),40515.95)</f>
        <v>40515.95</v>
      </c>
      <c r="F75" s="6">
        <f>IFERROR(__xludf.DUMMYFUNCTION("""COMPUTED_VALUE"""),150590.0)</f>
        <v>150590</v>
      </c>
    </row>
    <row r="76">
      <c r="A76" s="7">
        <f>IFERROR(__xludf.DUMMYFUNCTION("""COMPUTED_VALUE"""),45723.64583333333)</f>
        <v>45723.64583</v>
      </c>
      <c r="B76" s="6">
        <f>IFERROR(__xludf.DUMMYFUNCTION("""COMPUTED_VALUE"""),40550.0)</f>
        <v>40550</v>
      </c>
      <c r="C76" s="6">
        <f>IFERROR(__xludf.DUMMYFUNCTION("""COMPUTED_VALUE"""),41490.0)</f>
        <v>41490</v>
      </c>
      <c r="D76" s="6">
        <f>IFERROR(__xludf.DUMMYFUNCTION("""COMPUTED_VALUE"""),39445.0)</f>
        <v>39445</v>
      </c>
      <c r="E76" s="6">
        <f>IFERROR(__xludf.DUMMYFUNCTION("""COMPUTED_VALUE"""),40067.15)</f>
        <v>40067.15</v>
      </c>
      <c r="F76" s="6">
        <f>IFERROR(__xludf.DUMMYFUNCTION("""COMPUTED_VALUE"""),109738.0)</f>
        <v>109738</v>
      </c>
    </row>
    <row r="77">
      <c r="A77" s="7">
        <f>IFERROR(__xludf.DUMMYFUNCTION("""COMPUTED_VALUE"""),45729.64583333333)</f>
        <v>45729.64583</v>
      </c>
      <c r="B77" s="6">
        <f>IFERROR(__xludf.DUMMYFUNCTION("""COMPUTED_VALUE"""),40200.0)</f>
        <v>40200</v>
      </c>
      <c r="C77" s="6">
        <f>IFERROR(__xludf.DUMMYFUNCTION("""COMPUTED_VALUE"""),40388.65)</f>
        <v>40388.65</v>
      </c>
      <c r="D77" s="6">
        <f>IFERROR(__xludf.DUMMYFUNCTION("""COMPUTED_VALUE"""),38850.0)</f>
        <v>38850</v>
      </c>
      <c r="E77" s="6">
        <f>IFERROR(__xludf.DUMMYFUNCTION("""COMPUTED_VALUE"""),40099.25)</f>
        <v>40099.25</v>
      </c>
      <c r="F77" s="6">
        <f>IFERROR(__xludf.DUMMYFUNCTION("""COMPUTED_VALUE"""),44986.0)</f>
        <v>44986</v>
      </c>
    </row>
    <row r="78">
      <c r="A78" s="7">
        <f>IFERROR(__xludf.DUMMYFUNCTION("""COMPUTED_VALUE"""),45737.64583333333)</f>
        <v>45737.64583</v>
      </c>
      <c r="B78" s="6">
        <f>IFERROR(__xludf.DUMMYFUNCTION("""COMPUTED_VALUE"""),40200.0)</f>
        <v>40200</v>
      </c>
      <c r="C78" s="6">
        <f>IFERROR(__xludf.DUMMYFUNCTION("""COMPUTED_VALUE"""),42455.0)</f>
        <v>42455</v>
      </c>
      <c r="D78" s="6">
        <f>IFERROR(__xludf.DUMMYFUNCTION("""COMPUTED_VALUE"""),40020.1)</f>
        <v>40020.1</v>
      </c>
      <c r="E78" s="6">
        <f>IFERROR(__xludf.DUMMYFUNCTION("""COMPUTED_VALUE"""),42127.95)</f>
        <v>42127.95</v>
      </c>
      <c r="F78" s="6">
        <f>IFERROR(__xludf.DUMMYFUNCTION("""COMPUTED_VALUE"""),104146.0)</f>
        <v>104146</v>
      </c>
    </row>
    <row r="79">
      <c r="A79" s="7">
        <f>IFERROR(__xludf.DUMMYFUNCTION("""COMPUTED_VALUE"""),45744.64583333333)</f>
        <v>45744.64583</v>
      </c>
      <c r="B79" s="6">
        <f>IFERROR(__xludf.DUMMYFUNCTION("""COMPUTED_VALUE"""),42473.0)</f>
        <v>42473</v>
      </c>
      <c r="C79" s="6">
        <f>IFERROR(__xludf.DUMMYFUNCTION("""COMPUTED_VALUE"""),44300.0)</f>
        <v>44300</v>
      </c>
      <c r="D79" s="6">
        <f>IFERROR(__xludf.DUMMYFUNCTION("""COMPUTED_VALUE"""),41000.0)</f>
        <v>41000</v>
      </c>
      <c r="E79" s="6">
        <f>IFERROR(__xludf.DUMMYFUNCTION("""COMPUTED_VALUE"""),42693.75)</f>
        <v>42693.75</v>
      </c>
      <c r="F79" s="6">
        <f>IFERROR(__xludf.DUMMYFUNCTION("""COMPUTED_VALUE"""),104706.0)</f>
        <v>104706</v>
      </c>
    </row>
    <row r="80">
      <c r="A80" s="7">
        <f>IFERROR(__xludf.DUMMYFUNCTION("""COMPUTED_VALUE"""),45751.64583333333)</f>
        <v>45751.64583</v>
      </c>
      <c r="B80" s="6">
        <f>IFERROR(__xludf.DUMMYFUNCTION("""COMPUTED_VALUE"""),42693.75)</f>
        <v>42693.75</v>
      </c>
      <c r="C80" s="6">
        <f>IFERROR(__xludf.DUMMYFUNCTION("""COMPUTED_VALUE"""),43638.8)</f>
        <v>43638.8</v>
      </c>
      <c r="D80" s="6">
        <f>IFERROR(__xludf.DUMMYFUNCTION("""COMPUTED_VALUE"""),41926.65)</f>
        <v>41926.65</v>
      </c>
      <c r="E80" s="6">
        <f>IFERROR(__xludf.DUMMYFUNCTION("""COMPUTED_VALUE"""),42309.8)</f>
        <v>42309.8</v>
      </c>
      <c r="F80" s="6">
        <f>IFERROR(__xludf.DUMMYFUNCTION("""COMPUTED_VALUE"""),62508.0)</f>
        <v>62508</v>
      </c>
    </row>
    <row r="81">
      <c r="A81" s="7">
        <f>IFERROR(__xludf.DUMMYFUNCTION("""COMPUTED_VALUE"""),45758.64583333333)</f>
        <v>45758.64583</v>
      </c>
      <c r="B81" s="6">
        <f>IFERROR(__xludf.DUMMYFUNCTION("""COMPUTED_VALUE"""),41509.8)</f>
        <v>41509.8</v>
      </c>
      <c r="C81" s="6">
        <f>IFERROR(__xludf.DUMMYFUNCTION("""COMPUTED_VALUE"""),44750.0)</f>
        <v>44750</v>
      </c>
      <c r="D81" s="6">
        <f>IFERROR(__xludf.DUMMYFUNCTION("""COMPUTED_VALUE"""),40572.2)</f>
        <v>40572.2</v>
      </c>
      <c r="E81" s="6">
        <f>IFERROR(__xludf.DUMMYFUNCTION("""COMPUTED_VALUE"""),44481.4)</f>
        <v>44481.4</v>
      </c>
      <c r="F81" s="6">
        <f>IFERROR(__xludf.DUMMYFUNCTION("""COMPUTED_VALUE"""),125666.0)</f>
        <v>125666</v>
      </c>
    </row>
    <row r="82">
      <c r="A82" s="7">
        <f>IFERROR(__xludf.DUMMYFUNCTION("""COMPUTED_VALUE"""),45764.64583333333)</f>
        <v>45764.64583</v>
      </c>
      <c r="B82" s="6">
        <f>IFERROR(__xludf.DUMMYFUNCTION("""COMPUTED_VALUE"""),44650.0)</f>
        <v>44650</v>
      </c>
      <c r="C82" s="6">
        <f>IFERROR(__xludf.DUMMYFUNCTION("""COMPUTED_VALUE"""),45475.0)</f>
        <v>45475</v>
      </c>
      <c r="D82" s="6">
        <f>IFERROR(__xludf.DUMMYFUNCTION("""COMPUTED_VALUE"""),44430.0)</f>
        <v>44430</v>
      </c>
      <c r="E82" s="6">
        <f>IFERROR(__xludf.DUMMYFUNCTION("""COMPUTED_VALUE"""),44855.0)</f>
        <v>44855</v>
      </c>
      <c r="F82" s="6">
        <f>IFERROR(__xludf.DUMMYFUNCTION("""COMPUTED_VALUE"""),79054.0)</f>
        <v>79054</v>
      </c>
    </row>
    <row r="83">
      <c r="A83" s="7">
        <f>IFERROR(__xludf.DUMMYFUNCTION("""COMPUTED_VALUE"""),45772.64583333333)</f>
        <v>45772.64583</v>
      </c>
      <c r="B83" s="6">
        <f>IFERROR(__xludf.DUMMYFUNCTION("""COMPUTED_VALUE"""),44995.0)</f>
        <v>44995</v>
      </c>
      <c r="C83" s="6">
        <f>IFERROR(__xludf.DUMMYFUNCTION("""COMPUTED_VALUE"""),46360.0)</f>
        <v>46360</v>
      </c>
      <c r="D83" s="6">
        <f>IFERROR(__xludf.DUMMYFUNCTION("""COMPUTED_VALUE"""),43900.0)</f>
        <v>43900</v>
      </c>
      <c r="E83" s="6">
        <f>IFERROR(__xludf.DUMMYFUNCTION("""COMPUTED_VALUE"""),44605.0)</f>
        <v>44605</v>
      </c>
      <c r="F83" s="6">
        <f>IFERROR(__xludf.DUMMYFUNCTION("""COMPUTED_VALUE"""),99716.0)</f>
        <v>99716</v>
      </c>
    </row>
    <row r="84">
      <c r="A84" s="7">
        <f>IFERROR(__xludf.DUMMYFUNCTION("""COMPUTED_VALUE"""),45779.64583333333)</f>
        <v>45779.64583</v>
      </c>
      <c r="B84" s="6">
        <f>IFERROR(__xludf.DUMMYFUNCTION("""COMPUTED_VALUE"""),44525.0)</f>
        <v>44525</v>
      </c>
      <c r="C84" s="6">
        <f>IFERROR(__xludf.DUMMYFUNCTION("""COMPUTED_VALUE"""),45875.0)</f>
        <v>45875</v>
      </c>
      <c r="D84" s="6">
        <f>IFERROR(__xludf.DUMMYFUNCTION("""COMPUTED_VALUE"""),44460.0)</f>
        <v>44460</v>
      </c>
      <c r="E84" s="6">
        <f>IFERROR(__xludf.DUMMYFUNCTION("""COMPUTED_VALUE"""),45225.0)</f>
        <v>45225</v>
      </c>
      <c r="F84" s="6">
        <f>IFERROR(__xludf.DUMMYFUNCTION("""COMPUTED_VALUE"""),95057.0)</f>
        <v>95057</v>
      </c>
    </row>
    <row r="85">
      <c r="A85" s="7">
        <f>IFERROR(__xludf.DUMMYFUNCTION("""COMPUTED_VALUE"""),45786.64583333333)</f>
        <v>45786.64583</v>
      </c>
      <c r="B85" s="6">
        <f>IFERROR(__xludf.DUMMYFUNCTION("""COMPUTED_VALUE"""),45225.0)</f>
        <v>45225</v>
      </c>
      <c r="C85" s="6">
        <f>IFERROR(__xludf.DUMMYFUNCTION("""COMPUTED_VALUE"""),47130.0)</f>
        <v>47130</v>
      </c>
      <c r="D85" s="6">
        <f>IFERROR(__xludf.DUMMYFUNCTION("""COMPUTED_VALUE"""),44535.0)</f>
        <v>44535</v>
      </c>
      <c r="E85" s="6">
        <f>IFERROR(__xludf.DUMMYFUNCTION("""COMPUTED_VALUE"""),45470.0)</f>
        <v>45470</v>
      </c>
      <c r="F85" s="6">
        <f>IFERROR(__xludf.DUMMYFUNCTION("""COMPUTED_VALUE"""),95267.0)</f>
        <v>95267</v>
      </c>
    </row>
    <row r="86">
      <c r="A86" s="7">
        <f>IFERROR(__xludf.DUMMYFUNCTION("""COMPUTED_VALUE"""),45793.64583333333)</f>
        <v>45793.64583</v>
      </c>
      <c r="B86" s="6">
        <f>IFERROR(__xludf.DUMMYFUNCTION("""COMPUTED_VALUE"""),45820.0)</f>
        <v>45820</v>
      </c>
      <c r="C86" s="6">
        <f>IFERROR(__xludf.DUMMYFUNCTION("""COMPUTED_VALUE"""),48455.0)</f>
        <v>48455</v>
      </c>
      <c r="D86" s="6">
        <f>IFERROR(__xludf.DUMMYFUNCTION("""COMPUTED_VALUE"""),45820.0)</f>
        <v>45820</v>
      </c>
      <c r="E86" s="6">
        <f>IFERROR(__xludf.DUMMYFUNCTION("""COMPUTED_VALUE"""),47830.0)</f>
        <v>47830</v>
      </c>
      <c r="F86" s="6">
        <f>IFERROR(__xludf.DUMMYFUNCTION("""COMPUTED_VALUE"""),157049.0)</f>
        <v>157049</v>
      </c>
    </row>
    <row r="87">
      <c r="A87" s="7">
        <f>IFERROR(__xludf.DUMMYFUNCTION("""COMPUTED_VALUE"""),45800.64583333333)</f>
        <v>45800.64583</v>
      </c>
      <c r="B87" s="6">
        <f>IFERROR(__xludf.DUMMYFUNCTION("""COMPUTED_VALUE"""),47850.0)</f>
        <v>47850</v>
      </c>
      <c r="C87" s="6">
        <f>IFERROR(__xludf.DUMMYFUNCTION("""COMPUTED_VALUE"""),48800.0)</f>
        <v>48800</v>
      </c>
      <c r="D87" s="6">
        <f>IFERROR(__xludf.DUMMYFUNCTION("""COMPUTED_VALUE"""),47050.0)</f>
        <v>47050</v>
      </c>
      <c r="E87" s="6">
        <f>IFERROR(__xludf.DUMMYFUNCTION("""COMPUTED_VALUE"""),47495.0)</f>
        <v>47495</v>
      </c>
      <c r="F87" s="6">
        <f>IFERROR(__xludf.DUMMYFUNCTION("""COMPUTED_VALUE"""),93818.0)</f>
        <v>93818</v>
      </c>
    </row>
    <row r="88">
      <c r="A88" s="7">
        <f>IFERROR(__xludf.DUMMYFUNCTION("""COMPUTED_VALUE"""),45807.64583333333)</f>
        <v>45807.64583</v>
      </c>
      <c r="B88" s="6">
        <f>IFERROR(__xludf.DUMMYFUNCTION("""COMPUTED_VALUE"""),47730.0)</f>
        <v>47730</v>
      </c>
      <c r="C88" s="6">
        <f>IFERROR(__xludf.DUMMYFUNCTION("""COMPUTED_VALUE"""),47760.0)</f>
        <v>47760</v>
      </c>
      <c r="D88" s="6">
        <f>IFERROR(__xludf.DUMMYFUNCTION("""COMPUTED_VALUE"""),45705.0)</f>
        <v>45705</v>
      </c>
      <c r="E88" s="6">
        <f>IFERROR(__xludf.DUMMYFUNCTION("""COMPUTED_VALUE"""),46380.0)</f>
        <v>46380</v>
      </c>
      <c r="F88" s="6">
        <f>IFERROR(__xludf.DUMMYFUNCTION("""COMPUTED_VALUE"""),102275.0)</f>
        <v>102275</v>
      </c>
    </row>
    <row r="89">
      <c r="A89" s="7">
        <f>IFERROR(__xludf.DUMMYFUNCTION("""COMPUTED_VALUE"""),45814.64583333333)</f>
        <v>45814.64583</v>
      </c>
      <c r="B89" s="6">
        <f>IFERROR(__xludf.DUMMYFUNCTION("""COMPUTED_VALUE"""),46600.0)</f>
        <v>46600</v>
      </c>
      <c r="C89" s="6">
        <f>IFERROR(__xludf.DUMMYFUNCTION("""COMPUTED_VALUE"""),46805.0)</f>
        <v>46805</v>
      </c>
      <c r="D89" s="6">
        <f>IFERROR(__xludf.DUMMYFUNCTION("""COMPUTED_VALUE"""),45580.0)</f>
        <v>45580</v>
      </c>
      <c r="E89" s="6">
        <f>IFERROR(__xludf.DUMMYFUNCTION("""COMPUTED_VALUE"""),46100.0)</f>
        <v>46100</v>
      </c>
      <c r="F89" s="6">
        <f>IFERROR(__xludf.DUMMYFUNCTION("""COMPUTED_VALUE"""),106901.0)</f>
        <v>106901</v>
      </c>
    </row>
    <row r="90">
      <c r="A90" s="7">
        <f>IFERROR(__xludf.DUMMYFUNCTION("""COMPUTED_VALUE"""),45821.64583333333)</f>
        <v>45821.64583</v>
      </c>
      <c r="B90" s="6">
        <f>IFERROR(__xludf.DUMMYFUNCTION("""COMPUTED_VALUE"""),46450.0)</f>
        <v>46450</v>
      </c>
      <c r="C90" s="6">
        <f>IFERROR(__xludf.DUMMYFUNCTION("""COMPUTED_VALUE"""),47485.0)</f>
        <v>47485</v>
      </c>
      <c r="D90" s="6">
        <f>IFERROR(__xludf.DUMMYFUNCTION("""COMPUTED_VALUE"""),45505.0)</f>
        <v>45505</v>
      </c>
      <c r="E90" s="6">
        <f>IFERROR(__xludf.DUMMYFUNCTION("""COMPUTED_VALUE"""),46165.0)</f>
        <v>46165</v>
      </c>
      <c r="F90" s="6">
        <f>IFERROR(__xludf.DUMMYFUNCTION("""COMPUTED_VALUE"""),104693.0)</f>
        <v>104693</v>
      </c>
    </row>
    <row r="91">
      <c r="A91" s="7">
        <f>IFERROR(__xludf.DUMMYFUNCTION("""COMPUTED_VALUE"""),45828.64583333333)</f>
        <v>45828.64583</v>
      </c>
      <c r="B91" s="6">
        <f>IFERROR(__xludf.DUMMYFUNCTION("""COMPUTED_VALUE"""),46275.0)</f>
        <v>46275</v>
      </c>
      <c r="C91" s="6">
        <f>IFERROR(__xludf.DUMMYFUNCTION("""COMPUTED_VALUE"""),46405.0)</f>
        <v>46405</v>
      </c>
      <c r="D91" s="6">
        <f>IFERROR(__xludf.DUMMYFUNCTION("""COMPUTED_VALUE"""),44200.0)</f>
        <v>44200</v>
      </c>
      <c r="E91" s="6">
        <f>IFERROR(__xludf.DUMMYFUNCTION("""COMPUTED_VALUE"""),44925.0)</f>
        <v>44925</v>
      </c>
      <c r="F91" s="6">
        <f>IFERROR(__xludf.DUMMYFUNCTION("""COMPUTED_VALUE"""),130408.0)</f>
        <v>130408</v>
      </c>
    </row>
    <row r="92">
      <c r="A92" s="7">
        <f>IFERROR(__xludf.DUMMYFUNCTION("""COMPUTED_VALUE"""),45835.64583333333)</f>
        <v>45835.64583</v>
      </c>
      <c r="B92" s="6">
        <f>IFERROR(__xludf.DUMMYFUNCTION("""COMPUTED_VALUE"""),44900.0)</f>
        <v>44900</v>
      </c>
      <c r="C92" s="6">
        <f>IFERROR(__xludf.DUMMYFUNCTION("""COMPUTED_VALUE"""),50590.0)</f>
        <v>50590</v>
      </c>
      <c r="D92" s="6">
        <f>IFERROR(__xludf.DUMMYFUNCTION("""COMPUTED_VALUE"""),44640.0)</f>
        <v>44640</v>
      </c>
      <c r="E92" s="6">
        <f>IFERROR(__xludf.DUMMYFUNCTION("""COMPUTED_VALUE"""),49440.0)</f>
        <v>49440</v>
      </c>
      <c r="F92" s="6">
        <f>IFERROR(__xludf.DUMMYFUNCTION("""COMPUTED_VALUE"""),226445.0)</f>
        <v>226445</v>
      </c>
    </row>
    <row r="93">
      <c r="A93" s="7">
        <f>IFERROR(__xludf.DUMMYFUNCTION("""COMPUTED_VALUE"""),45842.64583333333)</f>
        <v>45842.64583</v>
      </c>
      <c r="B93" s="6">
        <f>IFERROR(__xludf.DUMMYFUNCTION("""COMPUTED_VALUE"""),48800.0)</f>
        <v>48800</v>
      </c>
      <c r="C93" s="6">
        <f>IFERROR(__xludf.DUMMYFUNCTION("""COMPUTED_VALUE"""),49700.0)</f>
        <v>49700</v>
      </c>
      <c r="D93" s="6">
        <f>IFERROR(__xludf.DUMMYFUNCTION("""COMPUTED_VALUE"""),47130.0)</f>
        <v>47130</v>
      </c>
      <c r="E93" s="6">
        <f>IFERROR(__xludf.DUMMYFUNCTION("""COMPUTED_VALUE"""),48710.0)</f>
        <v>48710</v>
      </c>
      <c r="F93" s="6">
        <f>IFERROR(__xludf.DUMMYFUNCTION("""COMPUTED_VALUE"""),146206.0)</f>
        <v>146206</v>
      </c>
    </row>
    <row r="94">
      <c r="A94" s="7">
        <f>IFERROR(__xludf.DUMMYFUNCTION("""COMPUTED_VALUE"""),45849.64583333333)</f>
        <v>45849.64583</v>
      </c>
      <c r="B94" s="6">
        <f>IFERROR(__xludf.DUMMYFUNCTION("""COMPUTED_VALUE"""),48800.0)</f>
        <v>48800</v>
      </c>
      <c r="C94" s="6">
        <f>IFERROR(__xludf.DUMMYFUNCTION("""COMPUTED_VALUE"""),49195.0)</f>
        <v>49195</v>
      </c>
      <c r="D94" s="6">
        <f>IFERROR(__xludf.DUMMYFUNCTION("""COMPUTED_VALUE"""),47650.0)</f>
        <v>47650</v>
      </c>
      <c r="E94" s="6">
        <f>IFERROR(__xludf.DUMMYFUNCTION("""COMPUTED_VALUE"""),47930.0)</f>
        <v>47930</v>
      </c>
      <c r="F94" s="6">
        <f>IFERROR(__xludf.DUMMYFUNCTION("""COMPUTED_VALUE"""),68707.0)</f>
        <v>68707</v>
      </c>
    </row>
    <row r="95">
      <c r="A95" s="7">
        <f>IFERROR(__xludf.DUMMYFUNCTION("""COMPUTED_VALUE"""),45856.64583333333)</f>
        <v>45856.64583</v>
      </c>
      <c r="B95" s="6">
        <f>IFERROR(__xludf.DUMMYFUNCTION("""COMPUTED_VALUE"""),47880.0)</f>
        <v>47880</v>
      </c>
      <c r="C95" s="6">
        <f>IFERROR(__xludf.DUMMYFUNCTION("""COMPUTED_VALUE"""),49380.0)</f>
        <v>49380</v>
      </c>
      <c r="D95" s="6">
        <f>IFERROR(__xludf.DUMMYFUNCTION("""COMPUTED_VALUE"""),46390.0)</f>
        <v>46390</v>
      </c>
      <c r="E95" s="6">
        <f>IFERROR(__xludf.DUMMYFUNCTION("""COMPUTED_VALUE"""),46740.0)</f>
        <v>46740</v>
      </c>
      <c r="F95" s="6">
        <f>IFERROR(__xludf.DUMMYFUNCTION("""COMPUTED_VALUE"""),96275.0)</f>
        <v>96275</v>
      </c>
    </row>
    <row r="96">
      <c r="A96" s="7">
        <f>IFERROR(__xludf.DUMMYFUNCTION("""COMPUTED_VALUE"""),45863.64583333333)</f>
        <v>45863.64583</v>
      </c>
      <c r="B96" s="6">
        <f>IFERROR(__xludf.DUMMYFUNCTION("""COMPUTED_VALUE"""),46905.0)</f>
        <v>46905</v>
      </c>
      <c r="C96" s="6">
        <f>IFERROR(__xludf.DUMMYFUNCTION("""COMPUTED_VALUE"""),47790.0)</f>
        <v>47790</v>
      </c>
      <c r="D96" s="6">
        <f>IFERROR(__xludf.DUMMYFUNCTION("""COMPUTED_VALUE"""),46130.0)</f>
        <v>46130</v>
      </c>
      <c r="E96" s="6">
        <f>IFERROR(__xludf.DUMMYFUNCTION("""COMPUTED_VALUE"""),46270.0)</f>
        <v>46270</v>
      </c>
      <c r="F96" s="6">
        <f>IFERROR(__xludf.DUMMYFUNCTION("""COMPUTED_VALUE"""),79103.0)</f>
        <v>79103</v>
      </c>
    </row>
    <row r="97">
      <c r="A97" s="7">
        <f>IFERROR(__xludf.DUMMYFUNCTION("""COMPUTED_VALUE"""),45870.64583333333)</f>
        <v>45870.64583</v>
      </c>
      <c r="B97" s="6">
        <f>IFERROR(__xludf.DUMMYFUNCTION("""COMPUTED_VALUE"""),46260.0)</f>
        <v>46260</v>
      </c>
      <c r="C97" s="6">
        <f>IFERROR(__xludf.DUMMYFUNCTION("""COMPUTED_VALUE"""),49090.0)</f>
        <v>49090</v>
      </c>
      <c r="D97" s="6">
        <f>IFERROR(__xludf.DUMMYFUNCTION("""COMPUTED_VALUE"""),46205.0)</f>
        <v>46205</v>
      </c>
      <c r="E97" s="6">
        <f>IFERROR(__xludf.DUMMYFUNCTION("""COMPUTED_VALUE"""),46810.0)</f>
        <v>46810</v>
      </c>
      <c r="F97" s="6">
        <f>IFERROR(__xludf.DUMMYFUNCTION("""COMPUTED_VALUE"""),148405.0)</f>
        <v>148405</v>
      </c>
    </row>
    <row r="98">
      <c r="A98" s="7">
        <f>IFERROR(__xludf.DUMMYFUNCTION("""COMPUTED_VALUE"""),45877.64583333333)</f>
        <v>45877.64583</v>
      </c>
      <c r="B98" s="6">
        <f>IFERROR(__xludf.DUMMYFUNCTION("""COMPUTED_VALUE"""),47140.0)</f>
        <v>47140</v>
      </c>
      <c r="C98" s="6">
        <f>IFERROR(__xludf.DUMMYFUNCTION("""COMPUTED_VALUE"""),47180.0)</f>
        <v>47180</v>
      </c>
      <c r="D98" s="6">
        <f>IFERROR(__xludf.DUMMYFUNCTION("""COMPUTED_VALUE"""),43820.0)</f>
        <v>43820</v>
      </c>
      <c r="E98" s="6">
        <f>IFERROR(__xludf.DUMMYFUNCTION("""COMPUTED_VALUE"""),44865.0)</f>
        <v>44865</v>
      </c>
      <c r="F98" s="6">
        <f>IFERROR(__xludf.DUMMYFUNCTION("""COMPUTED_VALUE"""),123722.0)</f>
        <v>123722</v>
      </c>
    </row>
    <row r="99">
      <c r="A99" s="7">
        <f>IFERROR(__xludf.DUMMYFUNCTION("""COMPUTED_VALUE"""),45883.64583333333)</f>
        <v>45883.64583</v>
      </c>
      <c r="B99" s="6">
        <f>IFERROR(__xludf.DUMMYFUNCTION("""COMPUTED_VALUE"""),44800.0)</f>
        <v>44800</v>
      </c>
      <c r="C99" s="6">
        <f>IFERROR(__xludf.DUMMYFUNCTION("""COMPUTED_VALUE"""),45330.0)</f>
        <v>45330</v>
      </c>
      <c r="D99" s="6">
        <f>IFERROR(__xludf.DUMMYFUNCTION("""COMPUTED_VALUE"""),43365.0)</f>
        <v>43365</v>
      </c>
      <c r="E99" s="6">
        <f>IFERROR(__xludf.DUMMYFUNCTION("""COMPUTED_VALUE"""),43515.0)</f>
        <v>43515</v>
      </c>
      <c r="F99" s="6">
        <f>IFERROR(__xludf.DUMMYFUNCTION("""COMPUTED_VALUE"""),106131.0)</f>
        <v>106131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IFERROR(__xludf.DUMMYFUNCTION("""COMPUTED_VALUE"""),43985.0)</f>
        <v>43985</v>
      </c>
      <c r="C100" s="6">
        <f>IFERROR(__xludf.DUMMYFUNCTION("""COMPUTED_VALUE"""),46710.0)</f>
        <v>46710</v>
      </c>
      <c r="D100" s="6">
        <f>IFERROR(__xludf.DUMMYFUNCTION("""COMPUTED_VALUE"""),43980.0)</f>
        <v>43980</v>
      </c>
      <c r="E100" s="6">
        <f>IFERROR(__xludf.DUMMYFUNCTION("""COMPUTED_VALUE"""),45655.0)</f>
        <v>45655</v>
      </c>
      <c r="F100" s="6">
        <f>IFERROR(__xludf.DUMMYFUNCTION("""COMPUTED_VALUE"""),105853.0)</f>
        <v>105853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IFERROR(__xludf.DUMMYFUNCTION("""COMPUTED_VALUE"""),45485.0)</f>
        <v>45485</v>
      </c>
      <c r="C101" s="6">
        <f>IFERROR(__xludf.DUMMYFUNCTION("""COMPUTED_VALUE"""),47310.0)</f>
        <v>47310</v>
      </c>
      <c r="D101" s="6">
        <f>IFERROR(__xludf.DUMMYFUNCTION("""COMPUTED_VALUE"""),45220.0)</f>
        <v>45220</v>
      </c>
      <c r="E101" s="6">
        <f>IFERROR(__xludf.DUMMYFUNCTION("""COMPUTED_VALUE"""),45505.0)</f>
        <v>45505</v>
      </c>
      <c r="F101" s="6">
        <f>IFERROR(__xludf.DUMMYFUNCTION("""COMPUTED_VALUE"""),578028.0)</f>
        <v>578028</v>
      </c>
    </row>
  </sheetData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IFERROR(__xludf.DUMMYFUNCTION("GOOGLEFINANCE(""NSE:PATANJALI"",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IFERROR(__xludf.DUMMYFUNCTION("""COMPUTED_VALUE"""),1256.0)</f>
        <v>1256</v>
      </c>
      <c r="C2" s="6">
        <f>IFERROR(__xludf.DUMMYFUNCTION("""COMPUTED_VALUE"""),1277.95)</f>
        <v>1277.95</v>
      </c>
      <c r="D2" s="6">
        <f>IFERROR(__xludf.DUMMYFUNCTION("""COMPUTED_VALUE"""),1197.0)</f>
        <v>1197</v>
      </c>
      <c r="E2" s="6">
        <f>IFERROR(__xludf.DUMMYFUNCTION("""COMPUTED_VALUE"""),1247.2)</f>
        <v>1247.2</v>
      </c>
      <c r="F2" s="6">
        <f>IFERROR(__xludf.DUMMYFUNCTION("""COMPUTED_VALUE"""),1026464.0)</f>
        <v>1026464</v>
      </c>
    </row>
    <row r="3">
      <c r="A3" s="7">
        <f>IFERROR(__xludf.DUMMYFUNCTION("""COMPUTED_VALUE"""),45177.64583333333)</f>
        <v>45177.64583</v>
      </c>
      <c r="B3" s="6">
        <f>IFERROR(__xludf.DUMMYFUNCTION("""COMPUTED_VALUE"""),1249.0)</f>
        <v>1249</v>
      </c>
      <c r="C3" s="6">
        <f>IFERROR(__xludf.DUMMYFUNCTION("""COMPUTED_VALUE"""),1308.7)</f>
        <v>1308.7</v>
      </c>
      <c r="D3" s="6">
        <f>IFERROR(__xludf.DUMMYFUNCTION("""COMPUTED_VALUE"""),1231.4)</f>
        <v>1231.4</v>
      </c>
      <c r="E3" s="6">
        <f>IFERROR(__xludf.DUMMYFUNCTION("""COMPUTED_VALUE"""),1291.1)</f>
        <v>1291.1</v>
      </c>
      <c r="F3" s="6">
        <f>IFERROR(__xludf.DUMMYFUNCTION("""COMPUTED_VALUE"""),821591.0)</f>
        <v>821591</v>
      </c>
    </row>
    <row r="4">
      <c r="A4" s="7">
        <f>IFERROR(__xludf.DUMMYFUNCTION("""COMPUTED_VALUE"""),45184.64583333333)</f>
        <v>45184.64583</v>
      </c>
      <c r="B4" s="6">
        <f>IFERROR(__xludf.DUMMYFUNCTION("""COMPUTED_VALUE"""),1297.0)</f>
        <v>1297</v>
      </c>
      <c r="C4" s="6">
        <f>IFERROR(__xludf.DUMMYFUNCTION("""COMPUTED_VALUE"""),1325.0)</f>
        <v>1325</v>
      </c>
      <c r="D4" s="6">
        <f>IFERROR(__xludf.DUMMYFUNCTION("""COMPUTED_VALUE"""),1255.55)</f>
        <v>1255.55</v>
      </c>
      <c r="E4" s="6">
        <f>IFERROR(__xludf.DUMMYFUNCTION("""COMPUTED_VALUE"""),1308.45)</f>
        <v>1308.45</v>
      </c>
      <c r="F4" s="6">
        <f>IFERROR(__xludf.DUMMYFUNCTION("""COMPUTED_VALUE"""),1899371.0)</f>
        <v>1899371</v>
      </c>
    </row>
    <row r="5">
      <c r="A5" s="7">
        <f>IFERROR(__xludf.DUMMYFUNCTION("""COMPUTED_VALUE"""),45191.64583333333)</f>
        <v>45191.64583</v>
      </c>
      <c r="B5" s="6">
        <f>IFERROR(__xludf.DUMMYFUNCTION("""COMPUTED_VALUE"""),1295.15)</f>
        <v>1295.15</v>
      </c>
      <c r="C5" s="6">
        <f>IFERROR(__xludf.DUMMYFUNCTION("""COMPUTED_VALUE"""),1308.5)</f>
        <v>1308.5</v>
      </c>
      <c r="D5" s="6">
        <f>IFERROR(__xludf.DUMMYFUNCTION("""COMPUTED_VALUE"""),1267.05)</f>
        <v>1267.05</v>
      </c>
      <c r="E5" s="6">
        <f>IFERROR(__xludf.DUMMYFUNCTION("""COMPUTED_VALUE"""),1283.9)</f>
        <v>1283.9</v>
      </c>
      <c r="F5" s="6">
        <f>IFERROR(__xludf.DUMMYFUNCTION("""COMPUTED_VALUE"""),764395.0)</f>
        <v>764395</v>
      </c>
    </row>
    <row r="6">
      <c r="A6" s="7">
        <f>IFERROR(__xludf.DUMMYFUNCTION("""COMPUTED_VALUE"""),45198.64583333333)</f>
        <v>45198.64583</v>
      </c>
      <c r="B6" s="6">
        <f>IFERROR(__xludf.DUMMYFUNCTION("""COMPUTED_VALUE"""),1289.95)</f>
        <v>1289.95</v>
      </c>
      <c r="C6" s="6">
        <f>IFERROR(__xludf.DUMMYFUNCTION("""COMPUTED_VALUE"""),1294.95)</f>
        <v>1294.95</v>
      </c>
      <c r="D6" s="6">
        <f>IFERROR(__xludf.DUMMYFUNCTION("""COMPUTED_VALUE"""),1217.0)</f>
        <v>1217</v>
      </c>
      <c r="E6" s="6">
        <f>IFERROR(__xludf.DUMMYFUNCTION("""COMPUTED_VALUE"""),1239.15)</f>
        <v>1239.15</v>
      </c>
      <c r="F6" s="6">
        <f>IFERROR(__xludf.DUMMYFUNCTION("""COMPUTED_VALUE"""),668927.0)</f>
        <v>668927</v>
      </c>
    </row>
    <row r="7">
      <c r="A7" s="7">
        <f>IFERROR(__xludf.DUMMYFUNCTION("""COMPUTED_VALUE"""),45205.64583333333)</f>
        <v>45205.64583</v>
      </c>
      <c r="B7" s="6">
        <f>IFERROR(__xludf.DUMMYFUNCTION("""COMPUTED_VALUE"""),1235.0)</f>
        <v>1235</v>
      </c>
      <c r="C7" s="6">
        <f>IFERROR(__xludf.DUMMYFUNCTION("""COMPUTED_VALUE"""),1262.75)</f>
        <v>1262.75</v>
      </c>
      <c r="D7" s="6">
        <f>IFERROR(__xludf.DUMMYFUNCTION("""COMPUTED_VALUE"""),1215.05)</f>
        <v>1215.05</v>
      </c>
      <c r="E7" s="6">
        <f>IFERROR(__xludf.DUMMYFUNCTION("""COMPUTED_VALUE"""),1253.45)</f>
        <v>1253.45</v>
      </c>
      <c r="F7" s="6">
        <f>IFERROR(__xludf.DUMMYFUNCTION("""COMPUTED_VALUE"""),404459.0)</f>
        <v>404459</v>
      </c>
    </row>
    <row r="8">
      <c r="A8" s="7">
        <f>IFERROR(__xludf.DUMMYFUNCTION("""COMPUTED_VALUE"""),45212.64583333333)</f>
        <v>45212.64583</v>
      </c>
      <c r="B8" s="6">
        <f>IFERROR(__xludf.DUMMYFUNCTION("""COMPUTED_VALUE"""),1232.0)</f>
        <v>1232</v>
      </c>
      <c r="C8" s="6">
        <f>IFERROR(__xludf.DUMMYFUNCTION("""COMPUTED_VALUE"""),1359.9)</f>
        <v>1359.9</v>
      </c>
      <c r="D8" s="6">
        <f>IFERROR(__xludf.DUMMYFUNCTION("""COMPUTED_VALUE"""),1219.9)</f>
        <v>1219.9</v>
      </c>
      <c r="E8" s="6">
        <f>IFERROR(__xludf.DUMMYFUNCTION("""COMPUTED_VALUE"""),1351.6)</f>
        <v>1351.6</v>
      </c>
      <c r="F8" s="6">
        <f>IFERROR(__xludf.DUMMYFUNCTION("""COMPUTED_VALUE"""),1664897.0)</f>
        <v>1664897</v>
      </c>
    </row>
    <row r="9">
      <c r="A9" s="7">
        <f>IFERROR(__xludf.DUMMYFUNCTION("""COMPUTED_VALUE"""),45219.64583333333)</f>
        <v>45219.64583</v>
      </c>
      <c r="B9" s="6">
        <f>IFERROR(__xludf.DUMMYFUNCTION("""COMPUTED_VALUE"""),1345.0)</f>
        <v>1345</v>
      </c>
      <c r="C9" s="6">
        <f>IFERROR(__xludf.DUMMYFUNCTION("""COMPUTED_VALUE"""),1347.0)</f>
        <v>1347</v>
      </c>
      <c r="D9" s="6">
        <f>IFERROR(__xludf.DUMMYFUNCTION("""COMPUTED_VALUE"""),1292.0)</f>
        <v>1292</v>
      </c>
      <c r="E9" s="6">
        <f>IFERROR(__xludf.DUMMYFUNCTION("""COMPUTED_VALUE"""),1313.75)</f>
        <v>1313.75</v>
      </c>
      <c r="F9" s="6">
        <f>IFERROR(__xludf.DUMMYFUNCTION("""COMPUTED_VALUE"""),1108238.0)</f>
        <v>1108238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IFERROR(__xludf.DUMMYFUNCTION("""COMPUTED_VALUE"""),1318.0)</f>
        <v>1318</v>
      </c>
      <c r="C10" s="6">
        <f>IFERROR(__xludf.DUMMYFUNCTION("""COMPUTED_VALUE"""),1319.9)</f>
        <v>1319.9</v>
      </c>
      <c r="D10" s="6">
        <f>IFERROR(__xludf.DUMMYFUNCTION("""COMPUTED_VALUE"""),1192.75)</f>
        <v>1192.75</v>
      </c>
      <c r="E10" s="6">
        <f>IFERROR(__xludf.DUMMYFUNCTION("""COMPUTED_VALUE"""),1275.8)</f>
        <v>1275.8</v>
      </c>
      <c r="F10" s="6">
        <f>IFERROR(__xludf.DUMMYFUNCTION("""COMPUTED_VALUE"""),1176656.0)</f>
        <v>1176656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IFERROR(__xludf.DUMMYFUNCTION("""COMPUTED_VALUE"""),1275.6)</f>
        <v>1275.6</v>
      </c>
      <c r="C11" s="6">
        <f>IFERROR(__xludf.DUMMYFUNCTION("""COMPUTED_VALUE"""),1436.25)</f>
        <v>1436.25</v>
      </c>
      <c r="D11" s="6">
        <f>IFERROR(__xludf.DUMMYFUNCTION("""COMPUTED_VALUE"""),1273.15)</f>
        <v>1273.15</v>
      </c>
      <c r="E11" s="6">
        <f>IFERROR(__xludf.DUMMYFUNCTION("""COMPUTED_VALUE"""),1375.05)</f>
        <v>1375.05</v>
      </c>
      <c r="F11" s="6">
        <f>IFERROR(__xludf.DUMMYFUNCTION("""COMPUTED_VALUE"""),3955852.0)</f>
        <v>3955852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IFERROR(__xludf.DUMMYFUNCTION("""COMPUTED_VALUE"""),1395.0)</f>
        <v>1395</v>
      </c>
      <c r="C12" s="6">
        <f>IFERROR(__xludf.DUMMYFUNCTION("""COMPUTED_VALUE"""),1479.8)</f>
        <v>1479.8</v>
      </c>
      <c r="D12" s="6">
        <f>IFERROR(__xludf.DUMMYFUNCTION("""COMPUTED_VALUE"""),1385.05)</f>
        <v>1385.05</v>
      </c>
      <c r="E12" s="6">
        <f>IFERROR(__xludf.DUMMYFUNCTION("""COMPUTED_VALUE"""),1447.05)</f>
        <v>1447.05</v>
      </c>
      <c r="F12" s="6">
        <f>IFERROR(__xludf.DUMMYFUNCTION("""COMPUTED_VALUE"""),3845291.0)</f>
        <v>3845291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IFERROR(__xludf.DUMMYFUNCTION("""COMPUTED_VALUE"""),1453.0)</f>
        <v>1453</v>
      </c>
      <c r="C13" s="6">
        <f>IFERROR(__xludf.DUMMYFUNCTION("""COMPUTED_VALUE"""),1469.0)</f>
        <v>1469</v>
      </c>
      <c r="D13" s="6">
        <f>IFERROR(__xludf.DUMMYFUNCTION("""COMPUTED_VALUE"""),1404.0)</f>
        <v>1404</v>
      </c>
      <c r="E13" s="6">
        <f>IFERROR(__xludf.DUMMYFUNCTION("""COMPUTED_VALUE"""),1411.5)</f>
        <v>1411.5</v>
      </c>
      <c r="F13" s="6">
        <f>IFERROR(__xludf.DUMMYFUNCTION("""COMPUTED_VALUE"""),1101572.0)</f>
        <v>1101572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IFERROR(__xludf.DUMMYFUNCTION("""COMPUTED_VALUE"""),1410.0)</f>
        <v>1410</v>
      </c>
      <c r="C14" s="6">
        <f>IFERROR(__xludf.DUMMYFUNCTION("""COMPUTED_VALUE"""),1417.3)</f>
        <v>1417.3</v>
      </c>
      <c r="D14" s="6">
        <f>IFERROR(__xludf.DUMMYFUNCTION("""COMPUTED_VALUE"""),1313.0)</f>
        <v>1313</v>
      </c>
      <c r="E14" s="6">
        <f>IFERROR(__xludf.DUMMYFUNCTION("""COMPUTED_VALUE"""),1330.35)</f>
        <v>1330.35</v>
      </c>
      <c r="F14" s="6">
        <f>IFERROR(__xludf.DUMMYFUNCTION("""COMPUTED_VALUE"""),1870075.0)</f>
        <v>1870075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IFERROR(__xludf.DUMMYFUNCTION("""COMPUTED_VALUE"""),1320.1)</f>
        <v>1320.1</v>
      </c>
      <c r="C15" s="6">
        <f>IFERROR(__xludf.DUMMYFUNCTION("""COMPUTED_VALUE"""),1439.5)</f>
        <v>1439.5</v>
      </c>
      <c r="D15" s="6">
        <f>IFERROR(__xludf.DUMMYFUNCTION("""COMPUTED_VALUE"""),1320.1)</f>
        <v>1320.1</v>
      </c>
      <c r="E15" s="6">
        <f>IFERROR(__xludf.DUMMYFUNCTION("""COMPUTED_VALUE"""),1378.0)</f>
        <v>1378</v>
      </c>
      <c r="F15" s="6">
        <f>IFERROR(__xludf.DUMMYFUNCTION("""COMPUTED_VALUE"""),2015992.0)</f>
        <v>2015992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IFERROR(__xludf.DUMMYFUNCTION("""COMPUTED_VALUE"""),1408.0)</f>
        <v>1408</v>
      </c>
      <c r="C16" s="6">
        <f>IFERROR(__xludf.DUMMYFUNCTION("""COMPUTED_VALUE"""),1665.0)</f>
        <v>1665</v>
      </c>
      <c r="D16" s="6">
        <f>IFERROR(__xludf.DUMMYFUNCTION("""COMPUTED_VALUE"""),1381.2)</f>
        <v>1381.2</v>
      </c>
      <c r="E16" s="6">
        <f>IFERROR(__xludf.DUMMYFUNCTION("""COMPUTED_VALUE"""),1602.95)</f>
        <v>1602.95</v>
      </c>
      <c r="F16" s="6">
        <f>IFERROR(__xludf.DUMMYFUNCTION("""COMPUTED_VALUE"""),9228743.0)</f>
        <v>9228743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IFERROR(__xludf.DUMMYFUNCTION("""COMPUTED_VALUE"""),1625.05)</f>
        <v>1625.05</v>
      </c>
      <c r="C17" s="6">
        <f>IFERROR(__xludf.DUMMYFUNCTION("""COMPUTED_VALUE"""),1638.0)</f>
        <v>1638</v>
      </c>
      <c r="D17" s="6">
        <f>IFERROR(__xludf.DUMMYFUNCTION("""COMPUTED_VALUE"""),1500.0)</f>
        <v>1500</v>
      </c>
      <c r="E17" s="6">
        <f>IFERROR(__xludf.DUMMYFUNCTION("""COMPUTED_VALUE"""),1568.4)</f>
        <v>1568.4</v>
      </c>
      <c r="F17" s="6">
        <f>IFERROR(__xludf.DUMMYFUNCTION("""COMPUTED_VALUE"""),2821782.0)</f>
        <v>2821782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IFERROR(__xludf.DUMMYFUNCTION("""COMPUTED_VALUE"""),1564.5)</f>
        <v>1564.5</v>
      </c>
      <c r="C18" s="6">
        <f>IFERROR(__xludf.DUMMYFUNCTION("""COMPUTED_VALUE"""),1629.7)</f>
        <v>1629.7</v>
      </c>
      <c r="D18" s="6">
        <f>IFERROR(__xludf.DUMMYFUNCTION("""COMPUTED_VALUE"""),1501.0)</f>
        <v>1501</v>
      </c>
      <c r="E18" s="6">
        <f>IFERROR(__xludf.DUMMYFUNCTION("""COMPUTED_VALUE"""),1621.65)</f>
        <v>1621.65</v>
      </c>
      <c r="F18" s="6">
        <f>IFERROR(__xludf.DUMMYFUNCTION("""COMPUTED_VALUE"""),4233178.0)</f>
        <v>4233178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IFERROR(__xludf.DUMMYFUNCTION("""COMPUTED_VALUE"""),1643.0)</f>
        <v>1643</v>
      </c>
      <c r="C19" s="6">
        <f>IFERROR(__xludf.DUMMYFUNCTION("""COMPUTED_VALUE"""),1643.0)</f>
        <v>1643</v>
      </c>
      <c r="D19" s="6">
        <f>IFERROR(__xludf.DUMMYFUNCTION("""COMPUTED_VALUE"""),1529.05)</f>
        <v>1529.05</v>
      </c>
      <c r="E19" s="6">
        <f>IFERROR(__xludf.DUMMYFUNCTION("""COMPUTED_VALUE"""),1575.0)</f>
        <v>1575</v>
      </c>
      <c r="F19" s="6">
        <f>IFERROR(__xludf.DUMMYFUNCTION("""COMPUTED_VALUE"""),2250398.0)</f>
        <v>2250398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IFERROR(__xludf.DUMMYFUNCTION("""COMPUTED_VALUE"""),1574.0)</f>
        <v>1574</v>
      </c>
      <c r="C20" s="6">
        <f>IFERROR(__xludf.DUMMYFUNCTION("""COMPUTED_VALUE"""),1628.0)</f>
        <v>1628</v>
      </c>
      <c r="D20" s="6">
        <f>IFERROR(__xludf.DUMMYFUNCTION("""COMPUTED_VALUE"""),1535.0)</f>
        <v>1535</v>
      </c>
      <c r="E20" s="6">
        <f>IFERROR(__xludf.DUMMYFUNCTION("""COMPUTED_VALUE"""),1587.3)</f>
        <v>1587.3</v>
      </c>
      <c r="F20" s="6">
        <f>IFERROR(__xludf.DUMMYFUNCTION("""COMPUTED_VALUE"""),3047921.0)</f>
        <v>3047921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IFERROR(__xludf.DUMMYFUNCTION("""COMPUTED_VALUE"""),1600.0)</f>
        <v>1600</v>
      </c>
      <c r="C21" s="6">
        <f>IFERROR(__xludf.DUMMYFUNCTION("""COMPUTED_VALUE"""),1713.8)</f>
        <v>1713.8</v>
      </c>
      <c r="D21" s="6">
        <f>IFERROR(__xludf.DUMMYFUNCTION("""COMPUTED_VALUE"""),1574.0)</f>
        <v>1574</v>
      </c>
      <c r="E21" s="6">
        <f>IFERROR(__xludf.DUMMYFUNCTION("""COMPUTED_VALUE"""),1640.35)</f>
        <v>1640.35</v>
      </c>
      <c r="F21" s="6">
        <f>IFERROR(__xludf.DUMMYFUNCTION("""COMPUTED_VALUE"""),4107615.0)</f>
        <v>4107615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IFERROR(__xludf.DUMMYFUNCTION("""COMPUTED_VALUE"""),1559.95)</f>
        <v>1559.95</v>
      </c>
      <c r="C22" s="6">
        <f>IFERROR(__xludf.DUMMYFUNCTION("""COMPUTED_VALUE"""),1609.95)</f>
        <v>1609.95</v>
      </c>
      <c r="D22" s="6">
        <f>IFERROR(__xludf.DUMMYFUNCTION("""COMPUTED_VALUE"""),1522.0)</f>
        <v>1522</v>
      </c>
      <c r="E22" s="6">
        <f>IFERROR(__xludf.DUMMYFUNCTION("""COMPUTED_VALUE"""),1581.45)</f>
        <v>1581.45</v>
      </c>
      <c r="F22" s="6">
        <f>IFERROR(__xludf.DUMMYFUNCTION("""COMPUTED_VALUE"""),1264197.0)</f>
        <v>1264197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IFERROR(__xludf.DUMMYFUNCTION("""COMPUTED_VALUE"""),1588.0)</f>
        <v>1588</v>
      </c>
      <c r="C23" s="6">
        <f>IFERROR(__xludf.DUMMYFUNCTION("""COMPUTED_VALUE"""),1592.95)</f>
        <v>1592.95</v>
      </c>
      <c r="D23" s="6">
        <f>IFERROR(__xludf.DUMMYFUNCTION("""COMPUTED_VALUE"""),1538.05)</f>
        <v>1538.05</v>
      </c>
      <c r="E23" s="6">
        <f>IFERROR(__xludf.DUMMYFUNCTION("""COMPUTED_VALUE"""),1561.4)</f>
        <v>1561.4</v>
      </c>
      <c r="F23" s="6">
        <f>IFERROR(__xludf.DUMMYFUNCTION("""COMPUTED_VALUE"""),1698731.0)</f>
        <v>1698731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IFERROR(__xludf.DUMMYFUNCTION("""COMPUTED_VALUE"""),1555.0)</f>
        <v>1555</v>
      </c>
      <c r="C24" s="6">
        <f>IFERROR(__xludf.DUMMYFUNCTION("""COMPUTED_VALUE"""),1712.5)</f>
        <v>1712.5</v>
      </c>
      <c r="D24" s="6">
        <f>IFERROR(__xludf.DUMMYFUNCTION("""COMPUTED_VALUE"""),1515.0)</f>
        <v>1515</v>
      </c>
      <c r="E24" s="6">
        <f>IFERROR(__xludf.DUMMYFUNCTION("""COMPUTED_VALUE"""),1603.8)</f>
        <v>1603.8</v>
      </c>
      <c r="F24" s="6">
        <f>IFERROR(__xludf.DUMMYFUNCTION("""COMPUTED_VALUE"""),4338024.0)</f>
        <v>4338024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IFERROR(__xludf.DUMMYFUNCTION("""COMPUTED_VALUE"""),1600.0)</f>
        <v>1600</v>
      </c>
      <c r="C25" s="6">
        <f>IFERROR(__xludf.DUMMYFUNCTION("""COMPUTED_VALUE"""),1635.0)</f>
        <v>1635</v>
      </c>
      <c r="D25" s="6">
        <f>IFERROR(__xludf.DUMMYFUNCTION("""COMPUTED_VALUE"""),1510.0)</f>
        <v>1510</v>
      </c>
      <c r="E25" s="6">
        <f>IFERROR(__xludf.DUMMYFUNCTION("""COMPUTED_VALUE"""),1621.65)</f>
        <v>1621.65</v>
      </c>
      <c r="F25" s="6">
        <f>IFERROR(__xludf.DUMMYFUNCTION("""COMPUTED_VALUE"""),2327159.0)</f>
        <v>2327159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IFERROR(__xludf.DUMMYFUNCTION("""COMPUTED_VALUE"""),1639.9)</f>
        <v>1639.9</v>
      </c>
      <c r="C26" s="6">
        <f>IFERROR(__xludf.DUMMYFUNCTION("""COMPUTED_VALUE"""),1687.0)</f>
        <v>1687</v>
      </c>
      <c r="D26" s="6">
        <f>IFERROR(__xludf.DUMMYFUNCTION("""COMPUTED_VALUE"""),1602.0)</f>
        <v>1602</v>
      </c>
      <c r="E26" s="6">
        <f>IFERROR(__xludf.DUMMYFUNCTION("""COMPUTED_VALUE"""),1647.45)</f>
        <v>1647.45</v>
      </c>
      <c r="F26" s="6">
        <f>IFERROR(__xludf.DUMMYFUNCTION("""COMPUTED_VALUE"""),2658654.0)</f>
        <v>2658654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IFERROR(__xludf.DUMMYFUNCTION("""COMPUTED_VALUE"""),1621.95)</f>
        <v>1621.95</v>
      </c>
      <c r="C27" s="6">
        <f>IFERROR(__xludf.DUMMYFUNCTION("""COMPUTED_VALUE"""),1641.0)</f>
        <v>1641</v>
      </c>
      <c r="D27" s="6">
        <f>IFERROR(__xludf.DUMMYFUNCTION("""COMPUTED_VALUE"""),1517.05)</f>
        <v>1517.05</v>
      </c>
      <c r="E27" s="6">
        <f>IFERROR(__xludf.DUMMYFUNCTION("""COMPUTED_VALUE"""),1526.5)</f>
        <v>1526.5</v>
      </c>
      <c r="F27" s="6">
        <f>IFERROR(__xludf.DUMMYFUNCTION("""COMPUTED_VALUE"""),1302722.0)</f>
        <v>1302722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IFERROR(__xludf.DUMMYFUNCTION("""COMPUTED_VALUE"""),1540.0)</f>
        <v>1540</v>
      </c>
      <c r="C28" s="6">
        <f>IFERROR(__xludf.DUMMYFUNCTION("""COMPUTED_VALUE"""),1542.0)</f>
        <v>1542</v>
      </c>
      <c r="D28" s="6">
        <f>IFERROR(__xludf.DUMMYFUNCTION("""COMPUTED_VALUE"""),1281.0)</f>
        <v>1281</v>
      </c>
      <c r="E28" s="6">
        <f>IFERROR(__xludf.DUMMYFUNCTION("""COMPUTED_VALUE"""),1400.75)</f>
        <v>1400.75</v>
      </c>
      <c r="F28" s="6">
        <f>IFERROR(__xludf.DUMMYFUNCTION("""COMPUTED_VALUE"""),4249051.0)</f>
        <v>4249051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IFERROR(__xludf.DUMMYFUNCTION("""COMPUTED_VALUE"""),1412.0)</f>
        <v>1412</v>
      </c>
      <c r="C29" s="6">
        <f>IFERROR(__xludf.DUMMYFUNCTION("""COMPUTED_VALUE"""),1433.0)</f>
        <v>1433</v>
      </c>
      <c r="D29" s="6">
        <f>IFERROR(__xludf.DUMMYFUNCTION("""COMPUTED_VALUE"""),1330.0)</f>
        <v>1330</v>
      </c>
      <c r="E29" s="6">
        <f>IFERROR(__xludf.DUMMYFUNCTION("""COMPUTED_VALUE"""),1380.6)</f>
        <v>1380.6</v>
      </c>
      <c r="F29" s="6">
        <f>IFERROR(__xludf.DUMMYFUNCTION("""COMPUTED_VALUE"""),3096327.0)</f>
        <v>3096327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IFERROR(__xludf.DUMMYFUNCTION("""COMPUTED_VALUE"""),1385.0)</f>
        <v>1385</v>
      </c>
      <c r="C30" s="6">
        <f>IFERROR(__xludf.DUMMYFUNCTION("""COMPUTED_VALUE"""),1389.95)</f>
        <v>1389.95</v>
      </c>
      <c r="D30" s="6">
        <f>IFERROR(__xludf.DUMMYFUNCTION("""COMPUTED_VALUE"""),1321.05)</f>
        <v>1321.05</v>
      </c>
      <c r="E30" s="6">
        <f>IFERROR(__xludf.DUMMYFUNCTION("""COMPUTED_VALUE"""),1338.4)</f>
        <v>1338.4</v>
      </c>
      <c r="F30" s="6">
        <f>IFERROR(__xludf.DUMMYFUNCTION("""COMPUTED_VALUE"""),1283496.0)</f>
        <v>1283496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IFERROR(__xludf.DUMMYFUNCTION("""COMPUTED_VALUE"""),1360.0)</f>
        <v>1360</v>
      </c>
      <c r="C31" s="6">
        <f>IFERROR(__xludf.DUMMYFUNCTION("""COMPUTED_VALUE"""),1422.0)</f>
        <v>1422</v>
      </c>
      <c r="D31" s="6">
        <f>IFERROR(__xludf.DUMMYFUNCTION("""COMPUTED_VALUE"""),1348.0)</f>
        <v>1348</v>
      </c>
      <c r="E31" s="6">
        <f>IFERROR(__xludf.DUMMYFUNCTION("""COMPUTED_VALUE"""),1387.85)</f>
        <v>1387.85</v>
      </c>
      <c r="F31" s="6">
        <f>IFERROR(__xludf.DUMMYFUNCTION("""COMPUTED_VALUE"""),1702156.0)</f>
        <v>1702156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IFERROR(__xludf.DUMMYFUNCTION("""COMPUTED_VALUE"""),1363.6)</f>
        <v>1363.6</v>
      </c>
      <c r="C32" s="6">
        <f>IFERROR(__xludf.DUMMYFUNCTION("""COMPUTED_VALUE"""),1383.4)</f>
        <v>1383.4</v>
      </c>
      <c r="D32" s="6">
        <f>IFERROR(__xludf.DUMMYFUNCTION("""COMPUTED_VALUE"""),1309.45)</f>
        <v>1309.45</v>
      </c>
      <c r="E32" s="6">
        <f>IFERROR(__xludf.DUMMYFUNCTION("""COMPUTED_VALUE"""),1342.45)</f>
        <v>1342.45</v>
      </c>
      <c r="F32" s="6">
        <f>IFERROR(__xludf.DUMMYFUNCTION("""COMPUTED_VALUE"""),2457668.0)</f>
        <v>2457668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IFERROR(__xludf.DUMMYFUNCTION("""COMPUTED_VALUE"""),1316.8)</f>
        <v>1316.8</v>
      </c>
      <c r="C33" s="6">
        <f>IFERROR(__xludf.DUMMYFUNCTION("""COMPUTED_VALUE"""),1424.0)</f>
        <v>1424</v>
      </c>
      <c r="D33" s="6">
        <f>IFERROR(__xludf.DUMMYFUNCTION("""COMPUTED_VALUE"""),1293.85)</f>
        <v>1293.85</v>
      </c>
      <c r="E33" s="6">
        <f>IFERROR(__xludf.DUMMYFUNCTION("""COMPUTED_VALUE"""),1402.5)</f>
        <v>1402.5</v>
      </c>
      <c r="F33" s="6">
        <f>IFERROR(__xludf.DUMMYFUNCTION("""COMPUTED_VALUE"""),4023750.0)</f>
        <v>4023750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IFERROR(__xludf.DUMMYFUNCTION("""COMPUTED_VALUE"""),1405.0)</f>
        <v>1405</v>
      </c>
      <c r="C34" s="6">
        <f>IFERROR(__xludf.DUMMYFUNCTION("""COMPUTED_VALUE"""),1605.0)</f>
        <v>1605</v>
      </c>
      <c r="D34" s="6">
        <f>IFERROR(__xludf.DUMMYFUNCTION("""COMPUTED_VALUE"""),1405.0)</f>
        <v>1405</v>
      </c>
      <c r="E34" s="6">
        <f>IFERROR(__xludf.DUMMYFUNCTION("""COMPUTED_VALUE"""),1583.75)</f>
        <v>1583.75</v>
      </c>
      <c r="F34" s="6">
        <f>IFERROR(__xludf.DUMMYFUNCTION("""COMPUTED_VALUE"""),5003471.0)</f>
        <v>5003471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IFERROR(__xludf.DUMMYFUNCTION("""COMPUTED_VALUE"""),1600.0)</f>
        <v>1600</v>
      </c>
      <c r="C35" s="6">
        <f>IFERROR(__xludf.DUMMYFUNCTION("""COMPUTED_VALUE"""),1609.0)</f>
        <v>1609</v>
      </c>
      <c r="D35" s="6">
        <f>IFERROR(__xludf.DUMMYFUNCTION("""COMPUTED_VALUE"""),1424.0)</f>
        <v>1424</v>
      </c>
      <c r="E35" s="6">
        <f>IFERROR(__xludf.DUMMYFUNCTION("""COMPUTED_VALUE"""),1447.4)</f>
        <v>1447.4</v>
      </c>
      <c r="F35" s="6">
        <f>IFERROR(__xludf.DUMMYFUNCTION("""COMPUTED_VALUE"""),3612097.0)</f>
        <v>3612097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IFERROR(__xludf.DUMMYFUNCTION("""COMPUTED_VALUE"""),1447.4)</f>
        <v>1447.4</v>
      </c>
      <c r="C36" s="6">
        <f>IFERROR(__xludf.DUMMYFUNCTION("""COMPUTED_VALUE"""),1468.0)</f>
        <v>1468</v>
      </c>
      <c r="D36" s="6">
        <f>IFERROR(__xludf.DUMMYFUNCTION("""COMPUTED_VALUE"""),1340.15)</f>
        <v>1340.15</v>
      </c>
      <c r="E36" s="6">
        <f>IFERROR(__xludf.DUMMYFUNCTION("""COMPUTED_VALUE"""),1361.4)</f>
        <v>1361.4</v>
      </c>
      <c r="F36" s="6">
        <f>IFERROR(__xludf.DUMMYFUNCTION("""COMPUTED_VALUE"""),1888049.0)</f>
        <v>1888049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IFERROR(__xludf.DUMMYFUNCTION("""COMPUTED_VALUE"""),1416.0)</f>
        <v>1416</v>
      </c>
      <c r="C37" s="6">
        <f>IFERROR(__xludf.DUMMYFUNCTION("""COMPUTED_VALUE"""),1444.0)</f>
        <v>1444</v>
      </c>
      <c r="D37" s="6">
        <f>IFERROR(__xludf.DUMMYFUNCTION("""COMPUTED_VALUE"""),1395.4)</f>
        <v>1395.4</v>
      </c>
      <c r="E37" s="6">
        <f>IFERROR(__xludf.DUMMYFUNCTION("""COMPUTED_VALUE"""),1430.7)</f>
        <v>1430.7</v>
      </c>
      <c r="F37" s="6">
        <f>IFERROR(__xludf.DUMMYFUNCTION("""COMPUTED_VALUE"""),1342392.0)</f>
        <v>1342392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IFERROR(__xludf.DUMMYFUNCTION("""COMPUTED_VALUE"""),1429.15)</f>
        <v>1429.15</v>
      </c>
      <c r="C38" s="6">
        <f>IFERROR(__xludf.DUMMYFUNCTION("""COMPUTED_VALUE"""),1515.0)</f>
        <v>1515</v>
      </c>
      <c r="D38" s="6">
        <f>IFERROR(__xludf.DUMMYFUNCTION("""COMPUTED_VALUE"""),1409.0)</f>
        <v>1409</v>
      </c>
      <c r="E38" s="6">
        <f>IFERROR(__xludf.DUMMYFUNCTION("""COMPUTED_VALUE"""),1430.1)</f>
        <v>1430.1</v>
      </c>
      <c r="F38" s="6">
        <f>IFERROR(__xludf.DUMMYFUNCTION("""COMPUTED_VALUE"""),2763591.0)</f>
        <v>2763591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IFERROR(__xludf.DUMMYFUNCTION("""COMPUTED_VALUE"""),1460.0)</f>
        <v>1460</v>
      </c>
      <c r="C39" s="6">
        <f>IFERROR(__xludf.DUMMYFUNCTION("""COMPUTED_VALUE"""),1488.0)</f>
        <v>1488</v>
      </c>
      <c r="D39" s="6">
        <f>IFERROR(__xludf.DUMMYFUNCTION("""COMPUTED_VALUE"""),1169.95)</f>
        <v>1169.95</v>
      </c>
      <c r="E39" s="6">
        <f>IFERROR(__xludf.DUMMYFUNCTION("""COMPUTED_VALUE"""),1401.2)</f>
        <v>1401.2</v>
      </c>
      <c r="F39" s="6">
        <f>IFERROR(__xludf.DUMMYFUNCTION("""COMPUTED_VALUE"""),4742704.0)</f>
        <v>4742704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IFERROR(__xludf.DUMMYFUNCTION("""COMPUTED_VALUE"""),1509.0)</f>
        <v>1509</v>
      </c>
      <c r="C40" s="6">
        <f>IFERROR(__xludf.DUMMYFUNCTION("""COMPUTED_VALUE"""),1509.0)</f>
        <v>1509</v>
      </c>
      <c r="D40" s="6">
        <f>IFERROR(__xludf.DUMMYFUNCTION("""COMPUTED_VALUE"""),1440.0)</f>
        <v>1440</v>
      </c>
      <c r="E40" s="6">
        <f>IFERROR(__xludf.DUMMYFUNCTION("""COMPUTED_VALUE"""),1483.55)</f>
        <v>1483.55</v>
      </c>
      <c r="F40" s="6">
        <f>IFERROR(__xludf.DUMMYFUNCTION("""COMPUTED_VALUE"""),3766384.0)</f>
        <v>3766384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IFERROR(__xludf.DUMMYFUNCTION("""COMPUTED_VALUE"""),1483.55)</f>
        <v>1483.55</v>
      </c>
      <c r="C41" s="6">
        <f>IFERROR(__xludf.DUMMYFUNCTION("""COMPUTED_VALUE"""),1505.0)</f>
        <v>1505</v>
      </c>
      <c r="D41" s="6">
        <f>IFERROR(__xludf.DUMMYFUNCTION("""COMPUTED_VALUE"""),1438.85)</f>
        <v>1438.85</v>
      </c>
      <c r="E41" s="6">
        <f>IFERROR(__xludf.DUMMYFUNCTION("""COMPUTED_VALUE"""),1466.3)</f>
        <v>1466.3</v>
      </c>
      <c r="F41" s="6">
        <f>IFERROR(__xludf.DUMMYFUNCTION("""COMPUTED_VALUE"""),1079726.0)</f>
        <v>1079726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IFERROR(__xludf.DUMMYFUNCTION("""COMPUTED_VALUE"""),1455.0)</f>
        <v>1455</v>
      </c>
      <c r="C42" s="6">
        <f>IFERROR(__xludf.DUMMYFUNCTION("""COMPUTED_VALUE"""),1605.0)</f>
        <v>1605</v>
      </c>
      <c r="D42" s="6">
        <f>IFERROR(__xludf.DUMMYFUNCTION("""COMPUTED_VALUE"""),1432.35)</f>
        <v>1432.35</v>
      </c>
      <c r="E42" s="6">
        <f>IFERROR(__xludf.DUMMYFUNCTION("""COMPUTED_VALUE"""),1591.4)</f>
        <v>1591.4</v>
      </c>
      <c r="F42" s="6">
        <f>IFERROR(__xludf.DUMMYFUNCTION("""COMPUTED_VALUE"""),3964044.0)</f>
        <v>3964044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IFERROR(__xludf.DUMMYFUNCTION("""COMPUTED_VALUE"""),1621.0)</f>
        <v>1621</v>
      </c>
      <c r="C43" s="6">
        <f>IFERROR(__xludf.DUMMYFUNCTION("""COMPUTED_VALUE"""),1764.4)</f>
        <v>1764.4</v>
      </c>
      <c r="D43" s="6">
        <f>IFERROR(__xludf.DUMMYFUNCTION("""COMPUTED_VALUE"""),1616.0)</f>
        <v>1616</v>
      </c>
      <c r="E43" s="6">
        <f>IFERROR(__xludf.DUMMYFUNCTION("""COMPUTED_VALUE"""),1648.3)</f>
        <v>1648.3</v>
      </c>
      <c r="F43" s="6">
        <f>IFERROR(__xludf.DUMMYFUNCTION("""COMPUTED_VALUE"""),1.1224457E7)</f>
        <v>11224457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IFERROR(__xludf.DUMMYFUNCTION("""COMPUTED_VALUE"""),1654.7)</f>
        <v>1654.7</v>
      </c>
      <c r="C44" s="6">
        <f>IFERROR(__xludf.DUMMYFUNCTION("""COMPUTED_VALUE"""),1678.0)</f>
        <v>1678</v>
      </c>
      <c r="D44" s="6">
        <f>IFERROR(__xludf.DUMMYFUNCTION("""COMPUTED_VALUE"""),1586.0)</f>
        <v>1586</v>
      </c>
      <c r="E44" s="6">
        <f>IFERROR(__xludf.DUMMYFUNCTION("""COMPUTED_VALUE"""),1592.9)</f>
        <v>1592.9</v>
      </c>
      <c r="F44" s="6">
        <f>IFERROR(__xludf.DUMMYFUNCTION("""COMPUTED_VALUE"""),3131796.0)</f>
        <v>3131796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IFERROR(__xludf.DUMMYFUNCTION("""COMPUTED_VALUE"""),1593.95)</f>
        <v>1593.95</v>
      </c>
      <c r="C45" s="6">
        <f>IFERROR(__xludf.DUMMYFUNCTION("""COMPUTED_VALUE"""),1619.0)</f>
        <v>1619</v>
      </c>
      <c r="D45" s="6">
        <f>IFERROR(__xludf.DUMMYFUNCTION("""COMPUTED_VALUE"""),1541.05)</f>
        <v>1541.05</v>
      </c>
      <c r="E45" s="6">
        <f>IFERROR(__xludf.DUMMYFUNCTION("""COMPUTED_VALUE"""),1594.3)</f>
        <v>1594.3</v>
      </c>
      <c r="F45" s="6">
        <f>IFERROR(__xludf.DUMMYFUNCTION("""COMPUTED_VALUE"""),3251694.0)</f>
        <v>3251694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IFERROR(__xludf.DUMMYFUNCTION("""COMPUTED_VALUE"""),1591.0)</f>
        <v>1591</v>
      </c>
      <c r="C46" s="6">
        <f>IFERROR(__xludf.DUMMYFUNCTION("""COMPUTED_VALUE"""),1675.0)</f>
        <v>1675</v>
      </c>
      <c r="D46" s="6">
        <f>IFERROR(__xludf.DUMMYFUNCTION("""COMPUTED_VALUE"""),1554.7)</f>
        <v>1554.7</v>
      </c>
      <c r="E46" s="6">
        <f>IFERROR(__xludf.DUMMYFUNCTION("""COMPUTED_VALUE"""),1667.95)</f>
        <v>1667.95</v>
      </c>
      <c r="F46" s="6">
        <f>IFERROR(__xludf.DUMMYFUNCTION("""COMPUTED_VALUE"""),3980427.0)</f>
        <v>3980427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IFERROR(__xludf.DUMMYFUNCTION("""COMPUTED_VALUE"""),1675.0)</f>
        <v>1675</v>
      </c>
      <c r="C47" s="6">
        <f>IFERROR(__xludf.DUMMYFUNCTION("""COMPUTED_VALUE"""),1730.0)</f>
        <v>1730</v>
      </c>
      <c r="D47" s="6">
        <f>IFERROR(__xludf.DUMMYFUNCTION("""COMPUTED_VALUE"""),1671.1)</f>
        <v>1671.1</v>
      </c>
      <c r="E47" s="6">
        <f>IFERROR(__xludf.DUMMYFUNCTION("""COMPUTED_VALUE"""),1705.65)</f>
        <v>1705.65</v>
      </c>
      <c r="F47" s="6">
        <f>IFERROR(__xludf.DUMMYFUNCTION("""COMPUTED_VALUE"""),3263360.0)</f>
        <v>3263360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IFERROR(__xludf.DUMMYFUNCTION("""COMPUTED_VALUE"""),1655.0)</f>
        <v>1655</v>
      </c>
      <c r="C48" s="6">
        <f>IFERROR(__xludf.DUMMYFUNCTION("""COMPUTED_VALUE"""),1839.0)</f>
        <v>1839</v>
      </c>
      <c r="D48" s="6">
        <f>IFERROR(__xludf.DUMMYFUNCTION("""COMPUTED_VALUE"""),1633.9)</f>
        <v>1633.9</v>
      </c>
      <c r="E48" s="6">
        <f>IFERROR(__xludf.DUMMYFUNCTION("""COMPUTED_VALUE"""),1800.45)</f>
        <v>1800.45</v>
      </c>
      <c r="F48" s="6">
        <f>IFERROR(__xludf.DUMMYFUNCTION("""COMPUTED_VALUE"""),5176950.0)</f>
        <v>5176950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IFERROR(__xludf.DUMMYFUNCTION("""COMPUTED_VALUE"""),1790.0)</f>
        <v>1790</v>
      </c>
      <c r="C49" s="6">
        <f>IFERROR(__xludf.DUMMYFUNCTION("""COMPUTED_VALUE"""),1844.0)</f>
        <v>1844</v>
      </c>
      <c r="D49" s="6">
        <f>IFERROR(__xludf.DUMMYFUNCTION("""COMPUTED_VALUE"""),1752.0)</f>
        <v>1752</v>
      </c>
      <c r="E49" s="6">
        <f>IFERROR(__xludf.DUMMYFUNCTION("""COMPUTED_VALUE"""),1825.15)</f>
        <v>1825.15</v>
      </c>
      <c r="F49" s="6">
        <f>IFERROR(__xludf.DUMMYFUNCTION("""COMPUTED_VALUE"""),2547305.0)</f>
        <v>2547305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IFERROR(__xludf.DUMMYFUNCTION("""COMPUTED_VALUE"""),1831.4)</f>
        <v>1831.4</v>
      </c>
      <c r="C50" s="6">
        <f>IFERROR(__xludf.DUMMYFUNCTION("""COMPUTED_VALUE"""),1945.0)</f>
        <v>1945</v>
      </c>
      <c r="D50" s="6">
        <f>IFERROR(__xludf.DUMMYFUNCTION("""COMPUTED_VALUE"""),1776.0)</f>
        <v>1776</v>
      </c>
      <c r="E50" s="6">
        <f>IFERROR(__xludf.DUMMYFUNCTION("""COMPUTED_VALUE"""),1899.45)</f>
        <v>1899.45</v>
      </c>
      <c r="F50" s="6">
        <f>IFERROR(__xludf.DUMMYFUNCTION("""COMPUTED_VALUE"""),4227756.0)</f>
        <v>4227756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IFERROR(__xludf.DUMMYFUNCTION("""COMPUTED_VALUE"""),1898.0)</f>
        <v>1898</v>
      </c>
      <c r="C51" s="6">
        <f>IFERROR(__xludf.DUMMYFUNCTION("""COMPUTED_VALUE"""),1957.0)</f>
        <v>1957</v>
      </c>
      <c r="D51" s="6">
        <f>IFERROR(__xludf.DUMMYFUNCTION("""COMPUTED_VALUE"""),1865.1)</f>
        <v>1865.1</v>
      </c>
      <c r="E51" s="6">
        <f>IFERROR(__xludf.DUMMYFUNCTION("""COMPUTED_VALUE"""),1942.15)</f>
        <v>1942.15</v>
      </c>
      <c r="F51" s="6">
        <f>IFERROR(__xludf.DUMMYFUNCTION("""COMPUTED_VALUE"""),1748123.0)</f>
        <v>1748123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IFERROR(__xludf.DUMMYFUNCTION("""COMPUTED_VALUE"""),1948.95)</f>
        <v>1948.95</v>
      </c>
      <c r="C52" s="6">
        <f>IFERROR(__xludf.DUMMYFUNCTION("""COMPUTED_VALUE"""),1992.2)</f>
        <v>1992.2</v>
      </c>
      <c r="D52" s="6">
        <f>IFERROR(__xludf.DUMMYFUNCTION("""COMPUTED_VALUE"""),1890.1)</f>
        <v>1890.1</v>
      </c>
      <c r="E52" s="6">
        <f>IFERROR(__xludf.DUMMYFUNCTION("""COMPUTED_VALUE"""),1921.05)</f>
        <v>1921.05</v>
      </c>
      <c r="F52" s="6">
        <f>IFERROR(__xludf.DUMMYFUNCTION("""COMPUTED_VALUE"""),3762445.0)</f>
        <v>3762445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IFERROR(__xludf.DUMMYFUNCTION("""COMPUTED_VALUE"""),1915.35)</f>
        <v>1915.35</v>
      </c>
      <c r="C53" s="6">
        <f>IFERROR(__xludf.DUMMYFUNCTION("""COMPUTED_VALUE"""),1946.0)</f>
        <v>1946</v>
      </c>
      <c r="D53" s="6">
        <f>IFERROR(__xludf.DUMMYFUNCTION("""COMPUTED_VALUE"""),1850.0)</f>
        <v>1850</v>
      </c>
      <c r="E53" s="6">
        <f>IFERROR(__xludf.DUMMYFUNCTION("""COMPUTED_VALUE"""),1860.95)</f>
        <v>1860.95</v>
      </c>
      <c r="F53" s="6">
        <f>IFERROR(__xludf.DUMMYFUNCTION("""COMPUTED_VALUE"""),1.6578188E7)</f>
        <v>16578188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IFERROR(__xludf.DUMMYFUNCTION("""COMPUTED_VALUE"""),1861.8)</f>
        <v>1861.8</v>
      </c>
      <c r="C54" s="6">
        <f>IFERROR(__xludf.DUMMYFUNCTION("""COMPUTED_VALUE"""),1874.4)</f>
        <v>1874.4</v>
      </c>
      <c r="D54" s="6">
        <f>IFERROR(__xludf.DUMMYFUNCTION("""COMPUTED_VALUE"""),1724.1)</f>
        <v>1724.1</v>
      </c>
      <c r="E54" s="6">
        <f>IFERROR(__xludf.DUMMYFUNCTION("""COMPUTED_VALUE"""),1730.55)</f>
        <v>1730.55</v>
      </c>
      <c r="F54" s="6">
        <f>IFERROR(__xludf.DUMMYFUNCTION("""COMPUTED_VALUE"""),2313520.0)</f>
        <v>2313520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IFERROR(__xludf.DUMMYFUNCTION("""COMPUTED_VALUE"""),1755.0)</f>
        <v>1755</v>
      </c>
      <c r="C55" s="6">
        <f>IFERROR(__xludf.DUMMYFUNCTION("""COMPUTED_VALUE"""),1755.0)</f>
        <v>1755</v>
      </c>
      <c r="D55" s="6">
        <f>IFERROR(__xludf.DUMMYFUNCTION("""COMPUTED_VALUE"""),1692.0)</f>
        <v>1692</v>
      </c>
      <c r="E55" s="6">
        <f>IFERROR(__xludf.DUMMYFUNCTION("""COMPUTED_VALUE"""),1701.5)</f>
        <v>1701.5</v>
      </c>
      <c r="F55" s="6">
        <f>IFERROR(__xludf.DUMMYFUNCTION("""COMPUTED_VALUE"""),2512661.0)</f>
        <v>2512661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IFERROR(__xludf.DUMMYFUNCTION("""COMPUTED_VALUE"""),1700.0)</f>
        <v>1700</v>
      </c>
      <c r="C56" s="6">
        <f>IFERROR(__xludf.DUMMYFUNCTION("""COMPUTED_VALUE"""),1715.55)</f>
        <v>1715.55</v>
      </c>
      <c r="D56" s="6">
        <f>IFERROR(__xludf.DUMMYFUNCTION("""COMPUTED_VALUE"""),1622.0)</f>
        <v>1622</v>
      </c>
      <c r="E56" s="6">
        <f>IFERROR(__xludf.DUMMYFUNCTION("""COMPUTED_VALUE"""),1632.1)</f>
        <v>1632.1</v>
      </c>
      <c r="F56" s="6">
        <f>IFERROR(__xludf.DUMMYFUNCTION("""COMPUTED_VALUE"""),1943234.0)</f>
        <v>1943234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IFERROR(__xludf.DUMMYFUNCTION("""COMPUTED_VALUE"""),1633.1)</f>
        <v>1633.1</v>
      </c>
      <c r="C57" s="6">
        <f>IFERROR(__xludf.DUMMYFUNCTION("""COMPUTED_VALUE"""),1750.0)</f>
        <v>1750</v>
      </c>
      <c r="D57" s="6">
        <f>IFERROR(__xludf.DUMMYFUNCTION("""COMPUTED_VALUE"""),1593.75)</f>
        <v>1593.75</v>
      </c>
      <c r="E57" s="6">
        <f>IFERROR(__xludf.DUMMYFUNCTION("""COMPUTED_VALUE"""),1743.5)</f>
        <v>1743.5</v>
      </c>
      <c r="F57" s="6">
        <f>IFERROR(__xludf.DUMMYFUNCTION("""COMPUTED_VALUE"""),3023035.0)</f>
        <v>3023035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IFERROR(__xludf.DUMMYFUNCTION("""COMPUTED_VALUE"""),1743.5)</f>
        <v>1743.5</v>
      </c>
      <c r="C58" s="6">
        <f>IFERROR(__xludf.DUMMYFUNCTION("""COMPUTED_VALUE"""),1790.95)</f>
        <v>1790.95</v>
      </c>
      <c r="D58" s="6">
        <f>IFERROR(__xludf.DUMMYFUNCTION("""COMPUTED_VALUE"""),1695.0)</f>
        <v>1695</v>
      </c>
      <c r="E58" s="6">
        <f>IFERROR(__xludf.DUMMYFUNCTION("""COMPUTED_VALUE"""),1765.0)</f>
        <v>1765</v>
      </c>
      <c r="F58" s="6">
        <f>IFERROR(__xludf.DUMMYFUNCTION("""COMPUTED_VALUE"""),2237616.0)</f>
        <v>2237616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IFERROR(__xludf.DUMMYFUNCTION("""COMPUTED_VALUE"""),1778.0)</f>
        <v>1778</v>
      </c>
      <c r="C59" s="6">
        <f>IFERROR(__xludf.DUMMYFUNCTION("""COMPUTED_VALUE"""),1809.9)</f>
        <v>1809.9</v>
      </c>
      <c r="D59" s="6">
        <f>IFERROR(__xludf.DUMMYFUNCTION("""COMPUTED_VALUE"""),1638.0)</f>
        <v>1638</v>
      </c>
      <c r="E59" s="6">
        <f>IFERROR(__xludf.DUMMYFUNCTION("""COMPUTED_VALUE"""),1656.15)</f>
        <v>1656.15</v>
      </c>
      <c r="F59" s="6">
        <f>IFERROR(__xludf.DUMMYFUNCTION("""COMPUTED_VALUE"""),3144238.0)</f>
        <v>3144238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IFERROR(__xludf.DUMMYFUNCTION("""COMPUTED_VALUE"""),1809.0)</f>
        <v>1809</v>
      </c>
      <c r="C60" s="6">
        <f>IFERROR(__xludf.DUMMYFUNCTION("""COMPUTED_VALUE"""),1912.0)</f>
        <v>1912</v>
      </c>
      <c r="D60" s="6">
        <f>IFERROR(__xludf.DUMMYFUNCTION("""COMPUTED_VALUE"""),1764.7)</f>
        <v>1764.7</v>
      </c>
      <c r="E60" s="6">
        <f>IFERROR(__xludf.DUMMYFUNCTION("""COMPUTED_VALUE"""),1864.2)</f>
        <v>1864.2</v>
      </c>
      <c r="F60" s="6">
        <f>IFERROR(__xludf.DUMMYFUNCTION("""COMPUTED_VALUE"""),3692078.0)</f>
        <v>3692078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IFERROR(__xludf.DUMMYFUNCTION("""COMPUTED_VALUE"""),1835.0)</f>
        <v>1835</v>
      </c>
      <c r="C61" s="6">
        <f>IFERROR(__xludf.DUMMYFUNCTION("""COMPUTED_VALUE"""),1887.95)</f>
        <v>1887.95</v>
      </c>
      <c r="D61" s="6">
        <f>IFERROR(__xludf.DUMMYFUNCTION("""COMPUTED_VALUE"""),1828.0)</f>
        <v>1828</v>
      </c>
      <c r="E61" s="6">
        <f>IFERROR(__xludf.DUMMYFUNCTION("""COMPUTED_VALUE"""),1843.8)</f>
        <v>1843.8</v>
      </c>
      <c r="F61" s="6">
        <f>IFERROR(__xludf.DUMMYFUNCTION("""COMPUTED_VALUE"""),1790561.0)</f>
        <v>1790561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IFERROR(__xludf.DUMMYFUNCTION("""COMPUTED_VALUE"""),1840.0)</f>
        <v>1840</v>
      </c>
      <c r="C62" s="6">
        <f>IFERROR(__xludf.DUMMYFUNCTION("""COMPUTED_VALUE"""),1865.0)</f>
        <v>1865</v>
      </c>
      <c r="D62" s="6">
        <f>IFERROR(__xludf.DUMMYFUNCTION("""COMPUTED_VALUE"""),1733.0)</f>
        <v>1733</v>
      </c>
      <c r="E62" s="6">
        <f>IFERROR(__xludf.DUMMYFUNCTION("""COMPUTED_VALUE"""),1792.45)</f>
        <v>1792.45</v>
      </c>
      <c r="F62" s="6">
        <f>IFERROR(__xludf.DUMMYFUNCTION("""COMPUTED_VALUE"""),2030655.0)</f>
        <v>2030655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IFERROR(__xludf.DUMMYFUNCTION("""COMPUTED_VALUE"""),1801.45)</f>
        <v>1801.45</v>
      </c>
      <c r="C63" s="6">
        <f>IFERROR(__xludf.DUMMYFUNCTION("""COMPUTED_VALUE"""),1840.6)</f>
        <v>1840.6</v>
      </c>
      <c r="D63" s="6">
        <f>IFERROR(__xludf.DUMMYFUNCTION("""COMPUTED_VALUE"""),1749.3)</f>
        <v>1749.3</v>
      </c>
      <c r="E63" s="6">
        <f>IFERROR(__xludf.DUMMYFUNCTION("""COMPUTED_VALUE"""),1810.3)</f>
        <v>1810.3</v>
      </c>
      <c r="F63" s="6">
        <f>IFERROR(__xludf.DUMMYFUNCTION("""COMPUTED_VALUE"""),2300318.0)</f>
        <v>2300318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IFERROR(__xludf.DUMMYFUNCTION("""COMPUTED_VALUE"""),1819.95)</f>
        <v>1819.95</v>
      </c>
      <c r="C64" s="6">
        <f>IFERROR(__xludf.DUMMYFUNCTION("""COMPUTED_VALUE"""),1921.0)</f>
        <v>1921</v>
      </c>
      <c r="D64" s="6">
        <f>IFERROR(__xludf.DUMMYFUNCTION("""COMPUTED_VALUE"""),1810.0)</f>
        <v>1810</v>
      </c>
      <c r="E64" s="6">
        <f>IFERROR(__xludf.DUMMYFUNCTION("""COMPUTED_VALUE"""),1865.1)</f>
        <v>1865.1</v>
      </c>
      <c r="F64" s="6">
        <f>IFERROR(__xludf.DUMMYFUNCTION("""COMPUTED_VALUE"""),3083733.0)</f>
        <v>3083733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IFERROR(__xludf.DUMMYFUNCTION("""COMPUTED_VALUE"""),1854.0)</f>
        <v>1854</v>
      </c>
      <c r="C65" s="6">
        <f>IFERROR(__xludf.DUMMYFUNCTION("""COMPUTED_VALUE"""),1869.0)</f>
        <v>1869</v>
      </c>
      <c r="D65" s="6">
        <f>IFERROR(__xludf.DUMMYFUNCTION("""COMPUTED_VALUE"""),1789.0)</f>
        <v>1789</v>
      </c>
      <c r="E65" s="6">
        <f>IFERROR(__xludf.DUMMYFUNCTION("""COMPUTED_VALUE"""),1818.8)</f>
        <v>1818.8</v>
      </c>
      <c r="F65" s="6">
        <f>IFERROR(__xludf.DUMMYFUNCTION("""COMPUTED_VALUE"""),1223931.0)</f>
        <v>1223931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IFERROR(__xludf.DUMMYFUNCTION("""COMPUTED_VALUE"""),1818.8)</f>
        <v>1818.8</v>
      </c>
      <c r="C66" s="6">
        <f>IFERROR(__xludf.DUMMYFUNCTION("""COMPUTED_VALUE"""),1858.1)</f>
        <v>1858.1</v>
      </c>
      <c r="D66" s="6">
        <f>IFERROR(__xludf.DUMMYFUNCTION("""COMPUTED_VALUE"""),1708.0)</f>
        <v>1708</v>
      </c>
      <c r="E66" s="6">
        <f>IFERROR(__xludf.DUMMYFUNCTION("""COMPUTED_VALUE"""),1758.6)</f>
        <v>1758.6</v>
      </c>
      <c r="F66" s="6">
        <f>IFERROR(__xludf.DUMMYFUNCTION("""COMPUTED_VALUE"""),2183134.0)</f>
        <v>2183134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IFERROR(__xludf.DUMMYFUNCTION("""COMPUTED_VALUE"""),1742.9)</f>
        <v>1742.9</v>
      </c>
      <c r="C67" s="6">
        <f>IFERROR(__xludf.DUMMYFUNCTION("""COMPUTED_VALUE"""),1757.0)</f>
        <v>1757</v>
      </c>
      <c r="D67" s="6">
        <f>IFERROR(__xludf.DUMMYFUNCTION("""COMPUTED_VALUE"""),1698.35)</f>
        <v>1698.35</v>
      </c>
      <c r="E67" s="6">
        <f>IFERROR(__xludf.DUMMYFUNCTION("""COMPUTED_VALUE"""),1748.55)</f>
        <v>1748.55</v>
      </c>
      <c r="F67" s="6">
        <f>IFERROR(__xludf.DUMMYFUNCTION("""COMPUTED_VALUE"""),2283830.0)</f>
        <v>2283830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IFERROR(__xludf.DUMMYFUNCTION("""COMPUTED_VALUE"""),1745.0)</f>
        <v>1745</v>
      </c>
      <c r="C68" s="6">
        <f>IFERROR(__xludf.DUMMYFUNCTION("""COMPUTED_VALUE"""),1875.0)</f>
        <v>1875</v>
      </c>
      <c r="D68" s="6">
        <f>IFERROR(__xludf.DUMMYFUNCTION("""COMPUTED_VALUE"""),1715.8)</f>
        <v>1715.8</v>
      </c>
      <c r="E68" s="6">
        <f>IFERROR(__xludf.DUMMYFUNCTION("""COMPUTED_VALUE"""),1864.85)</f>
        <v>1864.85</v>
      </c>
      <c r="F68" s="6">
        <f>IFERROR(__xludf.DUMMYFUNCTION("""COMPUTED_VALUE"""),1803330.0)</f>
        <v>1803330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IFERROR(__xludf.DUMMYFUNCTION("""COMPUTED_VALUE"""),1869.0)</f>
        <v>1869</v>
      </c>
      <c r="C69" s="6">
        <f>IFERROR(__xludf.DUMMYFUNCTION("""COMPUTED_VALUE"""),1902.0)</f>
        <v>1902</v>
      </c>
      <c r="D69" s="6">
        <f>IFERROR(__xludf.DUMMYFUNCTION("""COMPUTED_VALUE"""),1790.0)</f>
        <v>1790</v>
      </c>
      <c r="E69" s="6">
        <f>IFERROR(__xludf.DUMMYFUNCTION("""COMPUTED_VALUE"""),1814.8)</f>
        <v>1814.8</v>
      </c>
      <c r="F69" s="6">
        <f>IFERROR(__xludf.DUMMYFUNCTION("""COMPUTED_VALUE"""),2585667.0)</f>
        <v>2585667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IFERROR(__xludf.DUMMYFUNCTION("""COMPUTED_VALUE"""),1793.0)</f>
        <v>1793</v>
      </c>
      <c r="C70" s="6">
        <f>IFERROR(__xludf.DUMMYFUNCTION("""COMPUTED_VALUE"""),1866.8)</f>
        <v>1866.8</v>
      </c>
      <c r="D70" s="6">
        <f>IFERROR(__xludf.DUMMYFUNCTION("""COMPUTED_VALUE"""),1751.4)</f>
        <v>1751.4</v>
      </c>
      <c r="E70" s="6">
        <f>IFERROR(__xludf.DUMMYFUNCTION("""COMPUTED_VALUE"""),1855.8)</f>
        <v>1855.8</v>
      </c>
      <c r="F70" s="6">
        <f>IFERROR(__xludf.DUMMYFUNCTION("""COMPUTED_VALUE"""),2572407.0)</f>
        <v>2572407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IFERROR(__xludf.DUMMYFUNCTION("""COMPUTED_VALUE"""),1849.95)</f>
        <v>1849.95</v>
      </c>
      <c r="C71" s="6">
        <f>IFERROR(__xludf.DUMMYFUNCTION("""COMPUTED_VALUE"""),1906.0)</f>
        <v>1906</v>
      </c>
      <c r="D71" s="6">
        <f>IFERROR(__xludf.DUMMYFUNCTION("""COMPUTED_VALUE"""),1789.95)</f>
        <v>1789.95</v>
      </c>
      <c r="E71" s="6">
        <f>IFERROR(__xludf.DUMMYFUNCTION("""COMPUTED_VALUE"""),1816.7)</f>
        <v>1816.7</v>
      </c>
      <c r="F71" s="6">
        <f>IFERROR(__xludf.DUMMYFUNCTION("""COMPUTED_VALUE"""),3374823.0)</f>
        <v>3374823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IFERROR(__xludf.DUMMYFUNCTION("""COMPUTED_VALUE"""),1799.75)</f>
        <v>1799.75</v>
      </c>
      <c r="C72" s="6">
        <f>IFERROR(__xludf.DUMMYFUNCTION("""COMPUTED_VALUE"""),1858.0)</f>
        <v>1858</v>
      </c>
      <c r="D72" s="6">
        <f>IFERROR(__xludf.DUMMYFUNCTION("""COMPUTED_VALUE"""),1767.0)</f>
        <v>1767</v>
      </c>
      <c r="E72" s="6">
        <f>IFERROR(__xludf.DUMMYFUNCTION("""COMPUTED_VALUE"""),1849.35)</f>
        <v>1849.35</v>
      </c>
      <c r="F72" s="6">
        <f>IFERROR(__xludf.DUMMYFUNCTION("""COMPUTED_VALUE"""),5959448.0)</f>
        <v>5959448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IFERROR(__xludf.DUMMYFUNCTION("""COMPUTED_VALUE"""),1840.1)</f>
        <v>1840.1</v>
      </c>
      <c r="C73" s="6">
        <f>IFERROR(__xludf.DUMMYFUNCTION("""COMPUTED_VALUE"""),1865.0)</f>
        <v>1865</v>
      </c>
      <c r="D73" s="6">
        <f>IFERROR(__xludf.DUMMYFUNCTION("""COMPUTED_VALUE"""),1760.25)</f>
        <v>1760.25</v>
      </c>
      <c r="E73" s="6">
        <f>IFERROR(__xludf.DUMMYFUNCTION("""COMPUTED_VALUE"""),1806.9)</f>
        <v>1806.9</v>
      </c>
      <c r="F73" s="6">
        <f>IFERROR(__xludf.DUMMYFUNCTION("""COMPUTED_VALUE"""),3731424.0)</f>
        <v>3731424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IFERROR(__xludf.DUMMYFUNCTION("""COMPUTED_VALUE"""),1790.05)</f>
        <v>1790.05</v>
      </c>
      <c r="C74" s="6">
        <f>IFERROR(__xludf.DUMMYFUNCTION("""COMPUTED_VALUE"""),1880.0)</f>
        <v>1880</v>
      </c>
      <c r="D74" s="6">
        <f>IFERROR(__xludf.DUMMYFUNCTION("""COMPUTED_VALUE"""),1700.05)</f>
        <v>1700.05</v>
      </c>
      <c r="E74" s="6">
        <f>IFERROR(__xludf.DUMMYFUNCTION("""COMPUTED_VALUE"""),1856.9)</f>
        <v>1856.9</v>
      </c>
      <c r="F74" s="6">
        <f>IFERROR(__xludf.DUMMYFUNCTION("""COMPUTED_VALUE"""),4240091.0)</f>
        <v>4240091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IFERROR(__xludf.DUMMYFUNCTION("""COMPUTED_VALUE"""),1845.0)</f>
        <v>1845</v>
      </c>
      <c r="C75" s="6">
        <f>IFERROR(__xludf.DUMMYFUNCTION("""COMPUTED_VALUE"""),1845.7)</f>
        <v>1845.7</v>
      </c>
      <c r="D75" s="6">
        <f>IFERROR(__xludf.DUMMYFUNCTION("""COMPUTED_VALUE"""),1570.0)</f>
        <v>1570</v>
      </c>
      <c r="E75" s="6">
        <f>IFERROR(__xludf.DUMMYFUNCTION("""COMPUTED_VALUE"""),1760.55)</f>
        <v>1760.55</v>
      </c>
      <c r="F75" s="6">
        <f>IFERROR(__xludf.DUMMYFUNCTION("""COMPUTED_VALUE"""),7088396.0)</f>
        <v>7088396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IFERROR(__xludf.DUMMYFUNCTION("""COMPUTED_VALUE"""),1741.0)</f>
        <v>1741</v>
      </c>
      <c r="C76" s="6">
        <f>IFERROR(__xludf.DUMMYFUNCTION("""COMPUTED_VALUE"""),1778.9)</f>
        <v>1778.9</v>
      </c>
      <c r="D76" s="6">
        <f>IFERROR(__xludf.DUMMYFUNCTION("""COMPUTED_VALUE"""),1693.4)</f>
        <v>1693.4</v>
      </c>
      <c r="E76" s="6">
        <f>IFERROR(__xludf.DUMMYFUNCTION("""COMPUTED_VALUE"""),1749.65)</f>
        <v>1749.65</v>
      </c>
      <c r="F76" s="6">
        <f>IFERROR(__xludf.DUMMYFUNCTION("""COMPUTED_VALUE"""),4213909.0)</f>
        <v>4213909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IFERROR(__xludf.DUMMYFUNCTION("""COMPUTED_VALUE"""),1735.4)</f>
        <v>1735.4</v>
      </c>
      <c r="C77" s="6">
        <f>IFERROR(__xludf.DUMMYFUNCTION("""COMPUTED_VALUE"""),1760.7)</f>
        <v>1760.7</v>
      </c>
      <c r="D77" s="6">
        <f>IFERROR(__xludf.DUMMYFUNCTION("""COMPUTED_VALUE"""),1698.75)</f>
        <v>1698.75</v>
      </c>
      <c r="E77" s="6">
        <f>IFERROR(__xludf.DUMMYFUNCTION("""COMPUTED_VALUE"""),1718.6)</f>
        <v>1718.6</v>
      </c>
      <c r="F77" s="6">
        <f>IFERROR(__xludf.DUMMYFUNCTION("""COMPUTED_VALUE"""),2397567.0)</f>
        <v>2397567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IFERROR(__xludf.DUMMYFUNCTION("""COMPUTED_VALUE"""),1720.2)</f>
        <v>1720.2</v>
      </c>
      <c r="C78" s="6">
        <f>IFERROR(__xludf.DUMMYFUNCTION("""COMPUTED_VALUE"""),1775.0)</f>
        <v>1775</v>
      </c>
      <c r="D78" s="6">
        <f>IFERROR(__xludf.DUMMYFUNCTION("""COMPUTED_VALUE"""),1716.0)</f>
        <v>1716</v>
      </c>
      <c r="E78" s="6">
        <f>IFERROR(__xludf.DUMMYFUNCTION("""COMPUTED_VALUE"""),1761.05)</f>
        <v>1761.05</v>
      </c>
      <c r="F78" s="6">
        <f>IFERROR(__xludf.DUMMYFUNCTION("""COMPUTED_VALUE"""),2385531.0)</f>
        <v>2385531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IFERROR(__xludf.DUMMYFUNCTION("""COMPUTED_VALUE"""),1761.5)</f>
        <v>1761.5</v>
      </c>
      <c r="C79" s="6">
        <f>IFERROR(__xludf.DUMMYFUNCTION("""COMPUTED_VALUE"""),1819.9)</f>
        <v>1819.9</v>
      </c>
      <c r="D79" s="6">
        <f>IFERROR(__xludf.DUMMYFUNCTION("""COMPUTED_VALUE"""),1758.0)</f>
        <v>1758</v>
      </c>
      <c r="E79" s="6">
        <f>IFERROR(__xludf.DUMMYFUNCTION("""COMPUTED_VALUE"""),1808.4)</f>
        <v>1808.4</v>
      </c>
      <c r="F79" s="6">
        <f>IFERROR(__xludf.DUMMYFUNCTION("""COMPUTED_VALUE"""),3334139.0)</f>
        <v>3334139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IFERROR(__xludf.DUMMYFUNCTION("""COMPUTED_VALUE"""),1805.0)</f>
        <v>1805</v>
      </c>
      <c r="C80" s="6">
        <f>IFERROR(__xludf.DUMMYFUNCTION("""COMPUTED_VALUE"""),1885.0)</f>
        <v>1885</v>
      </c>
      <c r="D80" s="6">
        <f>IFERROR(__xludf.DUMMYFUNCTION("""COMPUTED_VALUE"""),1774.0)</f>
        <v>1774</v>
      </c>
      <c r="E80" s="6">
        <f>IFERROR(__xludf.DUMMYFUNCTION("""COMPUTED_VALUE"""),1850.35)</f>
        <v>1850.35</v>
      </c>
      <c r="F80" s="6">
        <f>IFERROR(__xludf.DUMMYFUNCTION("""COMPUTED_VALUE"""),4307946.0)</f>
        <v>4307946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IFERROR(__xludf.DUMMYFUNCTION("""COMPUTED_VALUE"""),1805.2)</f>
        <v>1805.2</v>
      </c>
      <c r="C81" s="6">
        <f>IFERROR(__xludf.DUMMYFUNCTION("""COMPUTED_VALUE"""),1904.9)</f>
        <v>1904.9</v>
      </c>
      <c r="D81" s="6">
        <f>IFERROR(__xludf.DUMMYFUNCTION("""COMPUTED_VALUE"""),1741.5)</f>
        <v>1741.5</v>
      </c>
      <c r="E81" s="6">
        <f>IFERROR(__xludf.DUMMYFUNCTION("""COMPUTED_VALUE"""),1886.35)</f>
        <v>1886.35</v>
      </c>
      <c r="F81" s="6">
        <f>IFERROR(__xludf.DUMMYFUNCTION("""COMPUTED_VALUE"""),2848750.0)</f>
        <v>2848750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IFERROR(__xludf.DUMMYFUNCTION("""COMPUTED_VALUE"""),1913.6)</f>
        <v>1913.6</v>
      </c>
      <c r="C82" s="6">
        <f>IFERROR(__xludf.DUMMYFUNCTION("""COMPUTED_VALUE"""),2011.0)</f>
        <v>2011</v>
      </c>
      <c r="D82" s="6">
        <f>IFERROR(__xludf.DUMMYFUNCTION("""COMPUTED_VALUE"""),1881.9)</f>
        <v>1881.9</v>
      </c>
      <c r="E82" s="6">
        <f>IFERROR(__xludf.DUMMYFUNCTION("""COMPUTED_VALUE"""),1973.1)</f>
        <v>1973.1</v>
      </c>
      <c r="F82" s="6">
        <f>IFERROR(__xludf.DUMMYFUNCTION("""COMPUTED_VALUE"""),5239937.0)</f>
        <v>5239937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IFERROR(__xludf.DUMMYFUNCTION("""COMPUTED_VALUE"""),1984.0)</f>
        <v>1984</v>
      </c>
      <c r="C83" s="6">
        <f>IFERROR(__xludf.DUMMYFUNCTION("""COMPUTED_VALUE"""),1995.0)</f>
        <v>1995</v>
      </c>
      <c r="D83" s="6">
        <f>IFERROR(__xludf.DUMMYFUNCTION("""COMPUTED_VALUE"""),1898.1)</f>
        <v>1898.1</v>
      </c>
      <c r="E83" s="6">
        <f>IFERROR(__xludf.DUMMYFUNCTION("""COMPUTED_VALUE"""),1967.0)</f>
        <v>1967</v>
      </c>
      <c r="F83" s="6">
        <f>IFERROR(__xludf.DUMMYFUNCTION("""COMPUTED_VALUE"""),7488759.0)</f>
        <v>7488759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IFERROR(__xludf.DUMMYFUNCTION("""COMPUTED_VALUE"""),1965.0)</f>
        <v>1965</v>
      </c>
      <c r="C84" s="6">
        <f>IFERROR(__xludf.DUMMYFUNCTION("""COMPUTED_VALUE"""),1972.6)</f>
        <v>1972.6</v>
      </c>
      <c r="D84" s="6">
        <f>IFERROR(__xludf.DUMMYFUNCTION("""COMPUTED_VALUE"""),1862.1)</f>
        <v>1862.1</v>
      </c>
      <c r="E84" s="6">
        <f>IFERROR(__xludf.DUMMYFUNCTION("""COMPUTED_VALUE"""),1869.0)</f>
        <v>1869</v>
      </c>
      <c r="F84" s="6">
        <f>IFERROR(__xludf.DUMMYFUNCTION("""COMPUTED_VALUE"""),2181352.0)</f>
        <v>2181352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IFERROR(__xludf.DUMMYFUNCTION("""COMPUTED_VALUE"""),1867.0)</f>
        <v>1867</v>
      </c>
      <c r="C85" s="6">
        <f>IFERROR(__xludf.DUMMYFUNCTION("""COMPUTED_VALUE"""),1886.0)</f>
        <v>1886</v>
      </c>
      <c r="D85" s="6">
        <f>IFERROR(__xludf.DUMMYFUNCTION("""COMPUTED_VALUE"""),1735.7)</f>
        <v>1735.7</v>
      </c>
      <c r="E85" s="6">
        <f>IFERROR(__xludf.DUMMYFUNCTION("""COMPUTED_VALUE"""),1759.9)</f>
        <v>1759.9</v>
      </c>
      <c r="F85" s="6">
        <f>IFERROR(__xludf.DUMMYFUNCTION("""COMPUTED_VALUE"""),2945283.0)</f>
        <v>2945283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IFERROR(__xludf.DUMMYFUNCTION("""COMPUTED_VALUE"""),1785.0)</f>
        <v>1785</v>
      </c>
      <c r="C86" s="6">
        <f>IFERROR(__xludf.DUMMYFUNCTION("""COMPUTED_VALUE"""),1838.9)</f>
        <v>1838.9</v>
      </c>
      <c r="D86" s="6">
        <f>IFERROR(__xludf.DUMMYFUNCTION("""COMPUTED_VALUE"""),1751.7)</f>
        <v>1751.7</v>
      </c>
      <c r="E86" s="6">
        <f>IFERROR(__xludf.DUMMYFUNCTION("""COMPUTED_VALUE"""),1785.0)</f>
        <v>1785</v>
      </c>
      <c r="F86" s="6">
        <f>IFERROR(__xludf.DUMMYFUNCTION("""COMPUTED_VALUE"""),6353130.0)</f>
        <v>6353130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IFERROR(__xludf.DUMMYFUNCTION("""COMPUTED_VALUE"""),1797.0)</f>
        <v>1797</v>
      </c>
      <c r="C87" s="6">
        <f>IFERROR(__xludf.DUMMYFUNCTION("""COMPUTED_VALUE"""),1797.0)</f>
        <v>1797</v>
      </c>
      <c r="D87" s="6">
        <f>IFERROR(__xludf.DUMMYFUNCTION("""COMPUTED_VALUE"""),1689.3)</f>
        <v>1689.3</v>
      </c>
      <c r="E87" s="6">
        <f>IFERROR(__xludf.DUMMYFUNCTION("""COMPUTED_VALUE"""),1700.8)</f>
        <v>1700.8</v>
      </c>
      <c r="F87" s="6">
        <f>IFERROR(__xludf.DUMMYFUNCTION("""COMPUTED_VALUE"""),4593448.0)</f>
        <v>4593448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IFERROR(__xludf.DUMMYFUNCTION("""COMPUTED_VALUE"""),1709.3)</f>
        <v>1709.3</v>
      </c>
      <c r="C88" s="6">
        <f>IFERROR(__xludf.DUMMYFUNCTION("""COMPUTED_VALUE"""),1765.2)</f>
        <v>1765.2</v>
      </c>
      <c r="D88" s="6">
        <f>IFERROR(__xludf.DUMMYFUNCTION("""COMPUTED_VALUE"""),1647.1)</f>
        <v>1647.1</v>
      </c>
      <c r="E88" s="6">
        <f>IFERROR(__xludf.DUMMYFUNCTION("""COMPUTED_VALUE"""),1671.3)</f>
        <v>1671.3</v>
      </c>
      <c r="F88" s="6">
        <f>IFERROR(__xludf.DUMMYFUNCTION("""COMPUTED_VALUE"""),3882889.0)</f>
        <v>3882889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IFERROR(__xludf.DUMMYFUNCTION("""COMPUTED_VALUE"""),1676.6)</f>
        <v>1676.6</v>
      </c>
      <c r="C89" s="6">
        <f>IFERROR(__xludf.DUMMYFUNCTION("""COMPUTED_VALUE"""),1724.9)</f>
        <v>1724.9</v>
      </c>
      <c r="D89" s="6">
        <f>IFERROR(__xludf.DUMMYFUNCTION("""COMPUTED_VALUE"""),1657.9)</f>
        <v>1657.9</v>
      </c>
      <c r="E89" s="6">
        <f>IFERROR(__xludf.DUMMYFUNCTION("""COMPUTED_VALUE"""),1710.5)</f>
        <v>1710.5</v>
      </c>
      <c r="F89" s="6">
        <f>IFERROR(__xludf.DUMMYFUNCTION("""COMPUTED_VALUE"""),3441317.0)</f>
        <v>3441317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IFERROR(__xludf.DUMMYFUNCTION("""COMPUTED_VALUE"""),1715.3)</f>
        <v>1715.3</v>
      </c>
      <c r="C90" s="6">
        <f>IFERROR(__xludf.DUMMYFUNCTION("""COMPUTED_VALUE"""),1718.2)</f>
        <v>1718.2</v>
      </c>
      <c r="D90" s="6">
        <f>IFERROR(__xludf.DUMMYFUNCTION("""COMPUTED_VALUE"""),1660.1)</f>
        <v>1660.1</v>
      </c>
      <c r="E90" s="6">
        <f>IFERROR(__xludf.DUMMYFUNCTION("""COMPUTED_VALUE"""),1673.0)</f>
        <v>1673</v>
      </c>
      <c r="F90" s="6">
        <f>IFERROR(__xludf.DUMMYFUNCTION("""COMPUTED_VALUE"""),1965250.0)</f>
        <v>1965250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IFERROR(__xludf.DUMMYFUNCTION("""COMPUTED_VALUE"""),1674.0)</f>
        <v>1674</v>
      </c>
      <c r="C91" s="6">
        <f>IFERROR(__xludf.DUMMYFUNCTION("""COMPUTED_VALUE"""),1686.3)</f>
        <v>1686.3</v>
      </c>
      <c r="D91" s="6">
        <f>IFERROR(__xludf.DUMMYFUNCTION("""COMPUTED_VALUE"""),1617.5)</f>
        <v>1617.5</v>
      </c>
      <c r="E91" s="6">
        <f>IFERROR(__xludf.DUMMYFUNCTION("""COMPUTED_VALUE"""),1649.6)</f>
        <v>1649.6</v>
      </c>
      <c r="F91" s="6">
        <f>IFERROR(__xludf.DUMMYFUNCTION("""COMPUTED_VALUE"""),3502703.0)</f>
        <v>3502703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IFERROR(__xludf.DUMMYFUNCTION("""COMPUTED_VALUE"""),1640.0)</f>
        <v>1640</v>
      </c>
      <c r="C92" s="6">
        <f>IFERROR(__xludf.DUMMYFUNCTION("""COMPUTED_VALUE"""),1671.9)</f>
        <v>1671.9</v>
      </c>
      <c r="D92" s="6">
        <f>IFERROR(__xludf.DUMMYFUNCTION("""COMPUTED_VALUE"""),1609.3)</f>
        <v>1609.3</v>
      </c>
      <c r="E92" s="6">
        <f>IFERROR(__xludf.DUMMYFUNCTION("""COMPUTED_VALUE"""),1647.7)</f>
        <v>1647.7</v>
      </c>
      <c r="F92" s="6">
        <f>IFERROR(__xludf.DUMMYFUNCTION("""COMPUTED_VALUE"""),5579326.0)</f>
        <v>5579326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IFERROR(__xludf.DUMMYFUNCTION("""COMPUTED_VALUE"""),1650.0)</f>
        <v>1650</v>
      </c>
      <c r="C93" s="6">
        <f>IFERROR(__xludf.DUMMYFUNCTION("""COMPUTED_VALUE"""),1670.0)</f>
        <v>1670</v>
      </c>
      <c r="D93" s="6">
        <f>IFERROR(__xludf.DUMMYFUNCTION("""COMPUTED_VALUE"""),1619.9)</f>
        <v>1619.9</v>
      </c>
      <c r="E93" s="6">
        <f>IFERROR(__xludf.DUMMYFUNCTION("""COMPUTED_VALUE"""),1660.8)</f>
        <v>1660.8</v>
      </c>
      <c r="F93" s="6">
        <f>IFERROR(__xludf.DUMMYFUNCTION("""COMPUTED_VALUE"""),6057493.0)</f>
        <v>6057493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IFERROR(__xludf.DUMMYFUNCTION("""COMPUTED_VALUE"""),1660.0)</f>
        <v>1660</v>
      </c>
      <c r="C94" s="6">
        <f>IFERROR(__xludf.DUMMYFUNCTION("""COMPUTED_VALUE"""),1676.1)</f>
        <v>1676.1</v>
      </c>
      <c r="D94" s="6">
        <f>IFERROR(__xludf.DUMMYFUNCTION("""COMPUTED_VALUE"""),1621.8)</f>
        <v>1621.8</v>
      </c>
      <c r="E94" s="6">
        <f>IFERROR(__xludf.DUMMYFUNCTION("""COMPUTED_VALUE"""),1665.2)</f>
        <v>1665.2</v>
      </c>
      <c r="F94" s="6">
        <f>IFERROR(__xludf.DUMMYFUNCTION("""COMPUTED_VALUE"""),5726364.0)</f>
        <v>5726364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IFERROR(__xludf.DUMMYFUNCTION("""COMPUTED_VALUE"""),1668.3)</f>
        <v>1668.3</v>
      </c>
      <c r="C95" s="6">
        <f>IFERROR(__xludf.DUMMYFUNCTION("""COMPUTED_VALUE"""),1954.5)</f>
        <v>1954.5</v>
      </c>
      <c r="D95" s="6">
        <f>IFERROR(__xludf.DUMMYFUNCTION("""COMPUTED_VALUE"""),1658.1)</f>
        <v>1658.1</v>
      </c>
      <c r="E95" s="6">
        <f>IFERROR(__xludf.DUMMYFUNCTION("""COMPUTED_VALUE"""),1941.7)</f>
        <v>1941.7</v>
      </c>
      <c r="F95" s="6">
        <f>IFERROR(__xludf.DUMMYFUNCTION("""COMPUTED_VALUE"""),1.3629977E7)</f>
        <v>13629977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IFERROR(__xludf.DUMMYFUNCTION("""COMPUTED_VALUE"""),1937.9)</f>
        <v>1937.9</v>
      </c>
      <c r="C96" s="6">
        <f>IFERROR(__xludf.DUMMYFUNCTION("""COMPUTED_VALUE"""),1961.8)</f>
        <v>1961.8</v>
      </c>
      <c r="D96" s="6">
        <f>IFERROR(__xludf.DUMMYFUNCTION("""COMPUTED_VALUE"""),1867.4)</f>
        <v>1867.4</v>
      </c>
      <c r="E96" s="6">
        <f>IFERROR(__xludf.DUMMYFUNCTION("""COMPUTED_VALUE"""),1880.3)</f>
        <v>1880.3</v>
      </c>
      <c r="F96" s="6">
        <f>IFERROR(__xludf.DUMMYFUNCTION("""COMPUTED_VALUE"""),7019415.0)</f>
        <v>7019415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IFERROR(__xludf.DUMMYFUNCTION("""COMPUTED_VALUE"""),1888.0)</f>
        <v>1888</v>
      </c>
      <c r="C97" s="6">
        <f>IFERROR(__xludf.DUMMYFUNCTION("""COMPUTED_VALUE"""),1916.8)</f>
        <v>1916.8</v>
      </c>
      <c r="D97" s="6">
        <f>IFERROR(__xludf.DUMMYFUNCTION("""COMPUTED_VALUE"""),1823.0)</f>
        <v>1823</v>
      </c>
      <c r="E97" s="6">
        <f>IFERROR(__xludf.DUMMYFUNCTION("""COMPUTED_VALUE"""),1861.0)</f>
        <v>1861</v>
      </c>
      <c r="F97" s="6">
        <f>IFERROR(__xludf.DUMMYFUNCTION("""COMPUTED_VALUE"""),4154517.0)</f>
        <v>4154517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IFERROR(__xludf.DUMMYFUNCTION("""COMPUTED_VALUE"""),1871.0)</f>
        <v>1871</v>
      </c>
      <c r="C98" s="6">
        <f>IFERROR(__xludf.DUMMYFUNCTION("""COMPUTED_VALUE"""),1871.0)</f>
        <v>1871</v>
      </c>
      <c r="D98" s="6">
        <f>IFERROR(__xludf.DUMMYFUNCTION("""COMPUTED_VALUE"""),1754.3)</f>
        <v>1754.3</v>
      </c>
      <c r="E98" s="6">
        <f>IFERROR(__xludf.DUMMYFUNCTION("""COMPUTED_VALUE"""),1804.7)</f>
        <v>1804.7</v>
      </c>
      <c r="F98" s="6">
        <f>IFERROR(__xludf.DUMMYFUNCTION("""COMPUTED_VALUE"""),1489297.0)</f>
        <v>1489297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IFERROR(__xludf.DUMMYFUNCTION("""COMPUTED_VALUE"""),1806.5)</f>
        <v>1806.5</v>
      </c>
      <c r="C99" s="6">
        <f>IFERROR(__xludf.DUMMYFUNCTION("""COMPUTED_VALUE"""),1830.0)</f>
        <v>1830</v>
      </c>
      <c r="D99" s="6">
        <f>IFERROR(__xludf.DUMMYFUNCTION("""COMPUTED_VALUE"""),1755.5)</f>
        <v>1755.5</v>
      </c>
      <c r="E99" s="6">
        <f>IFERROR(__xludf.DUMMYFUNCTION("""COMPUTED_VALUE"""),1764.8)</f>
        <v>1764.8</v>
      </c>
      <c r="F99" s="6">
        <f>IFERROR(__xludf.DUMMYFUNCTION("""COMPUTED_VALUE"""),1799965.0)</f>
        <v>1799965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IFERROR(__xludf.DUMMYFUNCTION("""COMPUTED_VALUE"""),1800.0)</f>
        <v>1800</v>
      </c>
      <c r="C100" s="6">
        <f>IFERROR(__xludf.DUMMYFUNCTION("""COMPUTED_VALUE"""),1832.3)</f>
        <v>1832.3</v>
      </c>
      <c r="D100" s="6">
        <f>IFERROR(__xludf.DUMMYFUNCTION("""COMPUTED_VALUE"""),1765.1)</f>
        <v>1765.1</v>
      </c>
      <c r="E100" s="6">
        <f>IFERROR(__xludf.DUMMYFUNCTION("""COMPUTED_VALUE"""),1801.2)</f>
        <v>1801.2</v>
      </c>
      <c r="F100" s="6">
        <f>IFERROR(__xludf.DUMMYFUNCTION("""COMPUTED_VALUE"""),3367645.0)</f>
        <v>3367645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IFERROR(__xludf.DUMMYFUNCTION("""COMPUTED_VALUE"""),1812.1)</f>
        <v>1812.1</v>
      </c>
      <c r="C101" s="6">
        <f>IFERROR(__xludf.DUMMYFUNCTION("""COMPUTED_VALUE"""),1817.4)</f>
        <v>1817.4</v>
      </c>
      <c r="D101" s="6">
        <f>IFERROR(__xludf.DUMMYFUNCTION("""COMPUTED_VALUE"""),1784.1)</f>
        <v>1784.1</v>
      </c>
      <c r="E101" s="6">
        <f>IFERROR(__xludf.DUMMYFUNCTION("""COMPUTED_VALUE"""),1799.3)</f>
        <v>1799.3</v>
      </c>
      <c r="F101" s="6">
        <f>IFERROR(__xludf.DUMMYFUNCTION("""COMPUTED_VALUE"""),4597444.0)</f>
        <v>4597444</v>
      </c>
    </row>
  </sheetData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IFERROR(__xludf.DUMMYFUNCTION("GOOGLEFINANCE(""NSE:PAYTM"",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IFERROR(__xludf.DUMMYFUNCTION("""COMPUTED_VALUE"""),903.15)</f>
        <v>903.15</v>
      </c>
      <c r="C2" s="6">
        <f>IFERROR(__xludf.DUMMYFUNCTION("""COMPUTED_VALUE"""),905.3)</f>
        <v>905.3</v>
      </c>
      <c r="D2" s="6">
        <f>IFERROR(__xludf.DUMMYFUNCTION("""COMPUTED_VALUE"""),850.0)</f>
        <v>850</v>
      </c>
      <c r="E2" s="6">
        <f>IFERROR(__xludf.DUMMYFUNCTION("""COMPUTED_VALUE"""),857.4)</f>
        <v>857.4</v>
      </c>
      <c r="F2" s="6">
        <f>IFERROR(__xludf.DUMMYFUNCTION("""COMPUTED_VALUE"""),1.8683023E7)</f>
        <v>18683023</v>
      </c>
    </row>
    <row r="3">
      <c r="A3" s="7">
        <f>IFERROR(__xludf.DUMMYFUNCTION("""COMPUTED_VALUE"""),45177.64583333333)</f>
        <v>45177.64583</v>
      </c>
      <c r="B3" s="6">
        <f>IFERROR(__xludf.DUMMYFUNCTION("""COMPUTED_VALUE"""),865.0)</f>
        <v>865</v>
      </c>
      <c r="C3" s="6">
        <f>IFERROR(__xludf.DUMMYFUNCTION("""COMPUTED_VALUE"""),919.5)</f>
        <v>919.5</v>
      </c>
      <c r="D3" s="6">
        <f>IFERROR(__xludf.DUMMYFUNCTION("""COMPUTED_VALUE"""),850.0)</f>
        <v>850</v>
      </c>
      <c r="E3" s="6">
        <f>IFERROR(__xludf.DUMMYFUNCTION("""COMPUTED_VALUE"""),905.4)</f>
        <v>905.4</v>
      </c>
      <c r="F3" s="6">
        <f>IFERROR(__xludf.DUMMYFUNCTION("""COMPUTED_VALUE"""),1.3422808E7)</f>
        <v>13422808</v>
      </c>
    </row>
    <row r="4">
      <c r="A4" s="7">
        <f>IFERROR(__xludf.DUMMYFUNCTION("""COMPUTED_VALUE"""),45184.64583333333)</f>
        <v>45184.64583</v>
      </c>
      <c r="B4" s="6">
        <f>IFERROR(__xludf.DUMMYFUNCTION("""COMPUTED_VALUE"""),920.0)</f>
        <v>920</v>
      </c>
      <c r="C4" s="6">
        <f>IFERROR(__xludf.DUMMYFUNCTION("""COMPUTED_VALUE"""),921.0)</f>
        <v>921</v>
      </c>
      <c r="D4" s="6">
        <f>IFERROR(__xludf.DUMMYFUNCTION("""COMPUTED_VALUE"""),825.0)</f>
        <v>825</v>
      </c>
      <c r="E4" s="6">
        <f>IFERROR(__xludf.DUMMYFUNCTION("""COMPUTED_VALUE"""),885.15)</f>
        <v>885.15</v>
      </c>
      <c r="F4" s="6">
        <f>IFERROR(__xludf.DUMMYFUNCTION("""COMPUTED_VALUE"""),2.1790809E7)</f>
        <v>21790809</v>
      </c>
    </row>
    <row r="5">
      <c r="A5" s="7">
        <f>IFERROR(__xludf.DUMMYFUNCTION("""COMPUTED_VALUE"""),45191.64583333333)</f>
        <v>45191.64583</v>
      </c>
      <c r="B5" s="6">
        <f>IFERROR(__xludf.DUMMYFUNCTION("""COMPUTED_VALUE"""),881.9)</f>
        <v>881.9</v>
      </c>
      <c r="C5" s="6">
        <f>IFERROR(__xludf.DUMMYFUNCTION("""COMPUTED_VALUE"""),885.5)</f>
        <v>885.5</v>
      </c>
      <c r="D5" s="6">
        <f>IFERROR(__xludf.DUMMYFUNCTION("""COMPUTED_VALUE"""),835.1)</f>
        <v>835.1</v>
      </c>
      <c r="E5" s="6">
        <f>IFERROR(__xludf.DUMMYFUNCTION("""COMPUTED_VALUE"""),850.0)</f>
        <v>850</v>
      </c>
      <c r="F5" s="6">
        <f>IFERROR(__xludf.DUMMYFUNCTION("""COMPUTED_VALUE"""),5538812.0)</f>
        <v>5538812</v>
      </c>
    </row>
    <row r="6">
      <c r="A6" s="7">
        <f>IFERROR(__xludf.DUMMYFUNCTION("""COMPUTED_VALUE"""),45198.64583333333)</f>
        <v>45198.64583</v>
      </c>
      <c r="B6" s="6">
        <f>IFERROR(__xludf.DUMMYFUNCTION("""COMPUTED_VALUE"""),846.4)</f>
        <v>846.4</v>
      </c>
      <c r="C6" s="6">
        <f>IFERROR(__xludf.DUMMYFUNCTION("""COMPUTED_VALUE"""),873.0)</f>
        <v>873</v>
      </c>
      <c r="D6" s="6">
        <f>IFERROR(__xludf.DUMMYFUNCTION("""COMPUTED_VALUE"""),834.3)</f>
        <v>834.3</v>
      </c>
      <c r="E6" s="6">
        <f>IFERROR(__xludf.DUMMYFUNCTION("""COMPUTED_VALUE"""),857.7)</f>
        <v>857.7</v>
      </c>
      <c r="F6" s="6">
        <f>IFERROR(__xludf.DUMMYFUNCTION("""COMPUTED_VALUE"""),5607559.0)</f>
        <v>5607559</v>
      </c>
    </row>
    <row r="7">
      <c r="A7" s="7">
        <f>IFERROR(__xludf.DUMMYFUNCTION("""COMPUTED_VALUE"""),45205.64583333333)</f>
        <v>45205.64583</v>
      </c>
      <c r="B7" s="6">
        <f>IFERROR(__xludf.DUMMYFUNCTION("""COMPUTED_VALUE"""),856.0)</f>
        <v>856</v>
      </c>
      <c r="C7" s="6">
        <f>IFERROR(__xludf.DUMMYFUNCTION("""COMPUTED_VALUE"""),936.7)</f>
        <v>936.7</v>
      </c>
      <c r="D7" s="6">
        <f>IFERROR(__xludf.DUMMYFUNCTION("""COMPUTED_VALUE"""),850.1)</f>
        <v>850.1</v>
      </c>
      <c r="E7" s="6">
        <f>IFERROR(__xludf.DUMMYFUNCTION("""COMPUTED_VALUE"""),928.3)</f>
        <v>928.3</v>
      </c>
      <c r="F7" s="6">
        <f>IFERROR(__xludf.DUMMYFUNCTION("""COMPUTED_VALUE"""),1.2608795E7)</f>
        <v>12608795</v>
      </c>
    </row>
    <row r="8">
      <c r="A8" s="7">
        <f>IFERROR(__xludf.DUMMYFUNCTION("""COMPUTED_VALUE"""),45212.64583333333)</f>
        <v>45212.64583</v>
      </c>
      <c r="B8" s="6">
        <f>IFERROR(__xludf.DUMMYFUNCTION("""COMPUTED_VALUE"""),917.5)</f>
        <v>917.5</v>
      </c>
      <c r="C8" s="6">
        <f>IFERROR(__xludf.DUMMYFUNCTION("""COMPUTED_VALUE"""),983.55)</f>
        <v>983.55</v>
      </c>
      <c r="D8" s="6">
        <f>IFERROR(__xludf.DUMMYFUNCTION("""COMPUTED_VALUE"""),891.0)</f>
        <v>891</v>
      </c>
      <c r="E8" s="6">
        <f>IFERROR(__xludf.DUMMYFUNCTION("""COMPUTED_VALUE"""),933.1)</f>
        <v>933.1</v>
      </c>
      <c r="F8" s="6">
        <f>IFERROR(__xludf.DUMMYFUNCTION("""COMPUTED_VALUE"""),1.6315725E7)</f>
        <v>16315725</v>
      </c>
    </row>
    <row r="9">
      <c r="A9" s="7">
        <f>IFERROR(__xludf.DUMMYFUNCTION("""COMPUTED_VALUE"""),45219.64583333333)</f>
        <v>45219.64583</v>
      </c>
      <c r="B9" s="6">
        <f>IFERROR(__xludf.DUMMYFUNCTION("""COMPUTED_VALUE"""),939.3)</f>
        <v>939.3</v>
      </c>
      <c r="C9" s="6">
        <f>IFERROR(__xludf.DUMMYFUNCTION("""COMPUTED_VALUE"""),998.3)</f>
        <v>998.3</v>
      </c>
      <c r="D9" s="6">
        <f>IFERROR(__xludf.DUMMYFUNCTION("""COMPUTED_VALUE"""),925.0)</f>
        <v>925</v>
      </c>
      <c r="E9" s="6">
        <f>IFERROR(__xludf.DUMMYFUNCTION("""COMPUTED_VALUE"""),987.65)</f>
        <v>987.65</v>
      </c>
      <c r="F9" s="6">
        <f>IFERROR(__xludf.DUMMYFUNCTION("""COMPUTED_VALUE"""),1.5088773E7)</f>
        <v>15088773</v>
      </c>
    </row>
    <row r="10">
      <c r="A10" s="7">
        <f>IFERROR(__xludf.DUMMYFUNCTION("""COMPUTED_VALUE"""),45226.64583333333)</f>
        <v>45226.64583</v>
      </c>
      <c r="B10" s="6">
        <f>IFERROR(__xludf.DUMMYFUNCTION("""COMPUTED_VALUE"""),987.0)</f>
        <v>987</v>
      </c>
      <c r="C10" s="6">
        <f>IFERROR(__xludf.DUMMYFUNCTION("""COMPUTED_VALUE"""),992.0)</f>
        <v>992</v>
      </c>
      <c r="D10" s="6">
        <f>IFERROR(__xludf.DUMMYFUNCTION("""COMPUTED_VALUE"""),870.0)</f>
        <v>870</v>
      </c>
      <c r="E10" s="6">
        <f>IFERROR(__xludf.DUMMYFUNCTION("""COMPUTED_VALUE"""),896.35)</f>
        <v>896.35</v>
      </c>
      <c r="F10" s="6">
        <f>IFERROR(__xludf.DUMMYFUNCTION("""COMPUTED_VALUE"""),1.8186078E7)</f>
        <v>18186078</v>
      </c>
    </row>
    <row r="11">
      <c r="A11" s="7">
        <f>IFERROR(__xludf.DUMMYFUNCTION("""COMPUTED_VALUE"""),45233.64583333333)</f>
        <v>45233.64583</v>
      </c>
      <c r="B11" s="6">
        <f>IFERROR(__xludf.DUMMYFUNCTION("""COMPUTED_VALUE"""),904.9)</f>
        <v>904.9</v>
      </c>
      <c r="C11" s="6">
        <f>IFERROR(__xludf.DUMMYFUNCTION("""COMPUTED_VALUE"""),952.65)</f>
        <v>952.65</v>
      </c>
      <c r="D11" s="6">
        <f>IFERROR(__xludf.DUMMYFUNCTION("""COMPUTED_VALUE"""),896.0)</f>
        <v>896</v>
      </c>
      <c r="E11" s="6">
        <f>IFERROR(__xludf.DUMMYFUNCTION("""COMPUTED_VALUE"""),904.05)</f>
        <v>904.05</v>
      </c>
      <c r="F11" s="6">
        <f>IFERROR(__xludf.DUMMYFUNCTION("""COMPUTED_VALUE"""),1.1478885E7)</f>
        <v>11478885</v>
      </c>
    </row>
    <row r="12">
      <c r="A12" s="7">
        <f>IFERROR(__xludf.DUMMYFUNCTION("""COMPUTED_VALUE"""),45240.64583333333)</f>
        <v>45240.64583</v>
      </c>
      <c r="B12" s="6">
        <f>IFERROR(__xludf.DUMMYFUNCTION("""COMPUTED_VALUE"""),913.85)</f>
        <v>913.85</v>
      </c>
      <c r="C12" s="6">
        <f>IFERROR(__xludf.DUMMYFUNCTION("""COMPUTED_VALUE"""),915.0)</f>
        <v>915</v>
      </c>
      <c r="D12" s="6">
        <f>IFERROR(__xludf.DUMMYFUNCTION("""COMPUTED_VALUE"""),876.05)</f>
        <v>876.05</v>
      </c>
      <c r="E12" s="6">
        <f>IFERROR(__xludf.DUMMYFUNCTION("""COMPUTED_VALUE"""),894.15)</f>
        <v>894.15</v>
      </c>
      <c r="F12" s="6">
        <f>IFERROR(__xludf.DUMMYFUNCTION("""COMPUTED_VALUE"""),1.0728737E7)</f>
        <v>10728737</v>
      </c>
    </row>
    <row r="13">
      <c r="A13" s="7">
        <f>IFERROR(__xludf.DUMMYFUNCTION("""COMPUTED_VALUE"""),45247.64583333333)</f>
        <v>45247.64583</v>
      </c>
      <c r="B13" s="6">
        <f>IFERROR(__xludf.DUMMYFUNCTION("""COMPUTED_VALUE"""),902.0)</f>
        <v>902</v>
      </c>
      <c r="C13" s="6">
        <f>IFERROR(__xludf.DUMMYFUNCTION("""COMPUTED_VALUE"""),924.95)</f>
        <v>924.95</v>
      </c>
      <c r="D13" s="6">
        <f>IFERROR(__xludf.DUMMYFUNCTION("""COMPUTED_VALUE"""),870.9)</f>
        <v>870.9</v>
      </c>
      <c r="E13" s="6">
        <f>IFERROR(__xludf.DUMMYFUNCTION("""COMPUTED_VALUE"""),888.4)</f>
        <v>888.4</v>
      </c>
      <c r="F13" s="6">
        <f>IFERROR(__xludf.DUMMYFUNCTION("""COMPUTED_VALUE"""),1.3327878E7)</f>
        <v>13327878</v>
      </c>
    </row>
    <row r="14">
      <c r="A14" s="7">
        <f>IFERROR(__xludf.DUMMYFUNCTION("""COMPUTED_VALUE"""),45254.64583333333)</f>
        <v>45254.64583</v>
      </c>
      <c r="B14" s="6">
        <f>IFERROR(__xludf.DUMMYFUNCTION("""COMPUTED_VALUE"""),895.0)</f>
        <v>895</v>
      </c>
      <c r="C14" s="6">
        <f>IFERROR(__xludf.DUMMYFUNCTION("""COMPUTED_VALUE"""),926.95)</f>
        <v>926.95</v>
      </c>
      <c r="D14" s="6">
        <f>IFERROR(__xludf.DUMMYFUNCTION("""COMPUTED_VALUE"""),877.15)</f>
        <v>877.15</v>
      </c>
      <c r="E14" s="6">
        <f>IFERROR(__xludf.DUMMYFUNCTION("""COMPUTED_VALUE"""),892.55)</f>
        <v>892.55</v>
      </c>
      <c r="F14" s="6">
        <f>IFERROR(__xludf.DUMMYFUNCTION("""COMPUTED_VALUE"""),3.0158781E7)</f>
        <v>30158781</v>
      </c>
    </row>
    <row r="15">
      <c r="A15" s="7">
        <f>IFERROR(__xludf.DUMMYFUNCTION("""COMPUTED_VALUE"""),45261.64583333333)</f>
        <v>45261.64583</v>
      </c>
      <c r="B15" s="6">
        <f>IFERROR(__xludf.DUMMYFUNCTION("""COMPUTED_VALUE"""),891.0)</f>
        <v>891</v>
      </c>
      <c r="C15" s="6">
        <f>IFERROR(__xludf.DUMMYFUNCTION("""COMPUTED_VALUE"""),895.0)</f>
        <v>895</v>
      </c>
      <c r="D15" s="6">
        <f>IFERROR(__xludf.DUMMYFUNCTION("""COMPUTED_VALUE"""),862.1)</f>
        <v>862.1</v>
      </c>
      <c r="E15" s="6">
        <f>IFERROR(__xludf.DUMMYFUNCTION("""COMPUTED_VALUE"""),870.65)</f>
        <v>870.65</v>
      </c>
      <c r="F15" s="6">
        <f>IFERROR(__xludf.DUMMYFUNCTION("""COMPUTED_VALUE"""),4.0750601E7)</f>
        <v>40750601</v>
      </c>
    </row>
    <row r="16">
      <c r="A16" s="7">
        <f>IFERROR(__xludf.DUMMYFUNCTION("""COMPUTED_VALUE"""),45268.64583333333)</f>
        <v>45268.64583</v>
      </c>
      <c r="B16" s="6">
        <f>IFERROR(__xludf.DUMMYFUNCTION("""COMPUTED_VALUE"""),878.35)</f>
        <v>878.35</v>
      </c>
      <c r="C16" s="6">
        <f>IFERROR(__xludf.DUMMYFUNCTION("""COMPUTED_VALUE"""),881.15)</f>
        <v>881.15</v>
      </c>
      <c r="D16" s="6">
        <f>IFERROR(__xludf.DUMMYFUNCTION("""COMPUTED_VALUE"""),637.0)</f>
        <v>637</v>
      </c>
      <c r="E16" s="6">
        <f>IFERROR(__xludf.DUMMYFUNCTION("""COMPUTED_VALUE"""),651.25)</f>
        <v>651.25</v>
      </c>
      <c r="F16" s="6">
        <f>IFERROR(__xludf.DUMMYFUNCTION("""COMPUTED_VALUE"""),6.1099802E7)</f>
        <v>61099802</v>
      </c>
    </row>
    <row r="17">
      <c r="A17" s="7">
        <f>IFERROR(__xludf.DUMMYFUNCTION("""COMPUTED_VALUE"""),45275.64583333333)</f>
        <v>45275.64583</v>
      </c>
      <c r="B17" s="6">
        <f>IFERROR(__xludf.DUMMYFUNCTION("""COMPUTED_VALUE"""),664.9)</f>
        <v>664.9</v>
      </c>
      <c r="C17" s="6">
        <f>IFERROR(__xludf.DUMMYFUNCTION("""COMPUTED_VALUE"""),667.0)</f>
        <v>667</v>
      </c>
      <c r="D17" s="6">
        <f>IFERROR(__xludf.DUMMYFUNCTION("""COMPUTED_VALUE"""),592.7)</f>
        <v>592.7</v>
      </c>
      <c r="E17" s="6">
        <f>IFERROR(__xludf.DUMMYFUNCTION("""COMPUTED_VALUE"""),606.1)</f>
        <v>606.1</v>
      </c>
      <c r="F17" s="6">
        <f>IFERROR(__xludf.DUMMYFUNCTION("""COMPUTED_VALUE"""),4.9139423E7)</f>
        <v>49139423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IFERROR(__xludf.DUMMYFUNCTION("""COMPUTED_VALUE"""),610.0)</f>
        <v>610</v>
      </c>
      <c r="C18" s="6">
        <f>IFERROR(__xludf.DUMMYFUNCTION("""COMPUTED_VALUE"""),650.6)</f>
        <v>650.6</v>
      </c>
      <c r="D18" s="6">
        <f>IFERROR(__xludf.DUMMYFUNCTION("""COMPUTED_VALUE"""),606.05)</f>
        <v>606.05</v>
      </c>
      <c r="E18" s="6">
        <f>IFERROR(__xludf.DUMMYFUNCTION("""COMPUTED_VALUE"""),642.2)</f>
        <v>642.2</v>
      </c>
      <c r="F18" s="6">
        <f>IFERROR(__xludf.DUMMYFUNCTION("""COMPUTED_VALUE"""),4.1311516E7)</f>
        <v>41311516</v>
      </c>
    </row>
    <row r="19">
      <c r="A19" s="7">
        <f>IFERROR(__xludf.DUMMYFUNCTION("""COMPUTED_VALUE"""),45289.64583333333)</f>
        <v>45289.64583</v>
      </c>
      <c r="B19" s="6">
        <f>IFERROR(__xludf.DUMMYFUNCTION("""COMPUTED_VALUE"""),643.9)</f>
        <v>643.9</v>
      </c>
      <c r="C19" s="6">
        <f>IFERROR(__xludf.DUMMYFUNCTION("""COMPUTED_VALUE"""),644.9)</f>
        <v>644.9</v>
      </c>
      <c r="D19" s="6">
        <f>IFERROR(__xludf.DUMMYFUNCTION("""COMPUTED_VALUE"""),630.0)</f>
        <v>630</v>
      </c>
      <c r="E19" s="6">
        <f>IFERROR(__xludf.DUMMYFUNCTION("""COMPUTED_VALUE"""),635.45)</f>
        <v>635.45</v>
      </c>
      <c r="F19" s="6">
        <f>IFERROR(__xludf.DUMMYFUNCTION("""COMPUTED_VALUE"""),1.0178656E7)</f>
        <v>10178656</v>
      </c>
    </row>
    <row r="20">
      <c r="A20" s="7">
        <f>IFERROR(__xludf.DUMMYFUNCTION("""COMPUTED_VALUE"""),45296.64583333333)</f>
        <v>45296.64583</v>
      </c>
      <c r="B20" s="6">
        <f>IFERROR(__xludf.DUMMYFUNCTION("""COMPUTED_VALUE"""),637.0)</f>
        <v>637</v>
      </c>
      <c r="C20" s="6">
        <f>IFERROR(__xludf.DUMMYFUNCTION("""COMPUTED_VALUE"""),688.0)</f>
        <v>688</v>
      </c>
      <c r="D20" s="6">
        <f>IFERROR(__xludf.DUMMYFUNCTION("""COMPUTED_VALUE"""),636.65)</f>
        <v>636.65</v>
      </c>
      <c r="E20" s="6">
        <f>IFERROR(__xludf.DUMMYFUNCTION("""COMPUTED_VALUE"""),685.15)</f>
        <v>685.15</v>
      </c>
      <c r="F20" s="6">
        <f>IFERROR(__xludf.DUMMYFUNCTION("""COMPUTED_VALUE"""),2.3458532E7)</f>
        <v>23458532</v>
      </c>
    </row>
    <row r="21">
      <c r="A21" s="7">
        <f>IFERROR(__xludf.DUMMYFUNCTION("""COMPUTED_VALUE"""),45303.64583333333)</f>
        <v>45303.64583</v>
      </c>
      <c r="B21" s="6">
        <f>IFERROR(__xludf.DUMMYFUNCTION("""COMPUTED_VALUE"""),687.0)</f>
        <v>687</v>
      </c>
      <c r="C21" s="6">
        <f>IFERROR(__xludf.DUMMYFUNCTION("""COMPUTED_VALUE"""),702.95)</f>
        <v>702.95</v>
      </c>
      <c r="D21" s="6">
        <f>IFERROR(__xludf.DUMMYFUNCTION("""COMPUTED_VALUE"""),676.2)</f>
        <v>676.2</v>
      </c>
      <c r="E21" s="6">
        <f>IFERROR(__xludf.DUMMYFUNCTION("""COMPUTED_VALUE"""),692.45)</f>
        <v>692.45</v>
      </c>
      <c r="F21" s="6">
        <f>IFERROR(__xludf.DUMMYFUNCTION("""COMPUTED_VALUE"""),1.5833517E7)</f>
        <v>15833517</v>
      </c>
    </row>
    <row r="22">
      <c r="A22" s="7">
        <f>IFERROR(__xludf.DUMMYFUNCTION("""COMPUTED_VALUE"""),45316.64583333333)</f>
        <v>45316.64583</v>
      </c>
      <c r="B22" s="6">
        <f>IFERROR(__xludf.DUMMYFUNCTION("""COMPUTED_VALUE"""),793.0)</f>
        <v>793</v>
      </c>
      <c r="C22" s="6">
        <f>IFERROR(__xludf.DUMMYFUNCTION("""COMPUTED_VALUE"""),793.0)</f>
        <v>793</v>
      </c>
      <c r="D22" s="6">
        <f>IFERROR(__xludf.DUMMYFUNCTION("""COMPUTED_VALUE"""),736.6)</f>
        <v>736.6</v>
      </c>
      <c r="E22" s="6">
        <f>IFERROR(__xludf.DUMMYFUNCTION("""COMPUTED_VALUE"""),763.05)</f>
        <v>763.05</v>
      </c>
      <c r="F22" s="6">
        <f>IFERROR(__xludf.DUMMYFUNCTION("""COMPUTED_VALUE"""),1.4663648E7)</f>
        <v>14663648</v>
      </c>
    </row>
    <row r="23">
      <c r="A23" s="7">
        <f>IFERROR(__xludf.DUMMYFUNCTION("""COMPUTED_VALUE"""),45324.64583333333)</f>
        <v>45324.64583</v>
      </c>
      <c r="B23" s="6">
        <f>IFERROR(__xludf.DUMMYFUNCTION("""COMPUTED_VALUE"""),763.95)</f>
        <v>763.95</v>
      </c>
      <c r="C23" s="6">
        <f>IFERROR(__xludf.DUMMYFUNCTION("""COMPUTED_VALUE"""),774.3)</f>
        <v>774.3</v>
      </c>
      <c r="D23" s="6">
        <f>IFERROR(__xludf.DUMMYFUNCTION("""COMPUTED_VALUE"""),487.2)</f>
        <v>487.2</v>
      </c>
      <c r="E23" s="6">
        <f>IFERROR(__xludf.DUMMYFUNCTION("""COMPUTED_VALUE"""),487.2)</f>
        <v>487.2</v>
      </c>
      <c r="F23" s="6">
        <f>IFERROR(__xludf.DUMMYFUNCTION("""COMPUTED_VALUE"""),1.9592657E7)</f>
        <v>19592657</v>
      </c>
    </row>
    <row r="24">
      <c r="A24" s="7">
        <f>IFERROR(__xludf.DUMMYFUNCTION("""COMPUTED_VALUE"""),45331.64583333333)</f>
        <v>45331.64583</v>
      </c>
      <c r="B24" s="6">
        <f>IFERROR(__xludf.DUMMYFUNCTION("""COMPUTED_VALUE"""),438.5)</f>
        <v>438.5</v>
      </c>
      <c r="C24" s="6">
        <f>IFERROR(__xludf.DUMMYFUNCTION("""COMPUTED_VALUE"""),528.0)</f>
        <v>528</v>
      </c>
      <c r="D24" s="6">
        <f>IFERROR(__xludf.DUMMYFUNCTION("""COMPUTED_VALUE"""),395.0)</f>
        <v>395</v>
      </c>
      <c r="E24" s="6">
        <f>IFERROR(__xludf.DUMMYFUNCTION("""COMPUTED_VALUE"""),419.85)</f>
        <v>419.85</v>
      </c>
      <c r="F24" s="6">
        <f>IFERROR(__xludf.DUMMYFUNCTION("""COMPUTED_VALUE"""),1.27653157E8)</f>
        <v>127653157</v>
      </c>
    </row>
    <row r="25">
      <c r="A25" s="7">
        <f>IFERROR(__xludf.DUMMYFUNCTION("""COMPUTED_VALUE"""),45338.64583333333)</f>
        <v>45338.64583</v>
      </c>
      <c r="B25" s="6">
        <f>IFERROR(__xludf.DUMMYFUNCTION("""COMPUTED_VALUE"""),430.05)</f>
        <v>430.05</v>
      </c>
      <c r="C25" s="6">
        <f>IFERROR(__xludf.DUMMYFUNCTION("""COMPUTED_VALUE"""),435.5)</f>
        <v>435.5</v>
      </c>
      <c r="D25" s="6">
        <f>IFERROR(__xludf.DUMMYFUNCTION("""COMPUTED_VALUE"""),318.05)</f>
        <v>318.05</v>
      </c>
      <c r="E25" s="6">
        <f>IFERROR(__xludf.DUMMYFUNCTION("""COMPUTED_VALUE"""),341.3)</f>
        <v>341.3</v>
      </c>
      <c r="F25" s="6">
        <f>IFERROR(__xludf.DUMMYFUNCTION("""COMPUTED_VALUE"""),6.7511407E7)</f>
        <v>67511407</v>
      </c>
    </row>
    <row r="26">
      <c r="A26" s="7">
        <f>IFERROR(__xludf.DUMMYFUNCTION("""COMPUTED_VALUE"""),45345.64583333333)</f>
        <v>45345.64583</v>
      </c>
      <c r="B26" s="6">
        <f>IFERROR(__xludf.DUMMYFUNCTION("""COMPUTED_VALUE"""),358.35)</f>
        <v>358.35</v>
      </c>
      <c r="C26" s="6">
        <f>IFERROR(__xludf.DUMMYFUNCTION("""COMPUTED_VALUE"""),407.75)</f>
        <v>407.75</v>
      </c>
      <c r="D26" s="6">
        <f>IFERROR(__xludf.DUMMYFUNCTION("""COMPUTED_VALUE"""),358.35)</f>
        <v>358.35</v>
      </c>
      <c r="E26" s="6">
        <f>IFERROR(__xludf.DUMMYFUNCTION("""COMPUTED_VALUE"""),407.75)</f>
        <v>407.75</v>
      </c>
      <c r="F26" s="6">
        <f>IFERROR(__xludf.DUMMYFUNCTION("""COMPUTED_VALUE"""),3.2304416E7)</f>
        <v>32304416</v>
      </c>
    </row>
    <row r="27">
      <c r="A27" s="7">
        <f>IFERROR(__xludf.DUMMYFUNCTION("""COMPUTED_VALUE"""),45358.64583333333)</f>
        <v>45358.64583</v>
      </c>
      <c r="B27" s="6">
        <f>IFERROR(__xludf.DUMMYFUNCTION("""COMPUTED_VALUE"""),410.8)</f>
        <v>410.8</v>
      </c>
      <c r="C27" s="6">
        <f>IFERROR(__xludf.DUMMYFUNCTION("""COMPUTED_VALUE"""),424.2)</f>
        <v>424.2</v>
      </c>
      <c r="D27" s="6">
        <f>IFERROR(__xludf.DUMMYFUNCTION("""COMPUTED_VALUE"""),384.1)</f>
        <v>384.1</v>
      </c>
      <c r="E27" s="6">
        <f>IFERROR(__xludf.DUMMYFUNCTION("""COMPUTED_VALUE"""),400.75)</f>
        <v>400.75</v>
      </c>
      <c r="F27" s="6">
        <f>IFERROR(__xludf.DUMMYFUNCTION("""COMPUTED_VALUE"""),1.3235669E7)</f>
        <v>13235669</v>
      </c>
    </row>
    <row r="28">
      <c r="A28" s="7">
        <f>IFERROR(__xludf.DUMMYFUNCTION("""COMPUTED_VALUE"""),45366.64583333333)</f>
        <v>45366.64583</v>
      </c>
      <c r="B28" s="6">
        <f>IFERROR(__xludf.DUMMYFUNCTION("""COMPUTED_VALUE"""),409.95)</f>
        <v>409.95</v>
      </c>
      <c r="C28" s="6">
        <f>IFERROR(__xludf.DUMMYFUNCTION("""COMPUTED_VALUE"""),409.95)</f>
        <v>409.95</v>
      </c>
      <c r="D28" s="6">
        <f>IFERROR(__xludf.DUMMYFUNCTION("""COMPUTED_VALUE"""),334.25)</f>
        <v>334.25</v>
      </c>
      <c r="E28" s="6">
        <f>IFERROR(__xludf.DUMMYFUNCTION("""COMPUTED_VALUE"""),370.7)</f>
        <v>370.7</v>
      </c>
      <c r="F28" s="6">
        <f>IFERROR(__xludf.DUMMYFUNCTION("""COMPUTED_VALUE"""),1.8365383E7)</f>
        <v>18365383</v>
      </c>
    </row>
    <row r="29">
      <c r="A29" s="7">
        <f>IFERROR(__xludf.DUMMYFUNCTION("""COMPUTED_VALUE"""),45373.64583333333)</f>
        <v>45373.64583</v>
      </c>
      <c r="B29" s="6">
        <f>IFERROR(__xludf.DUMMYFUNCTION("""COMPUTED_VALUE"""),379.0)</f>
        <v>379</v>
      </c>
      <c r="C29" s="6">
        <f>IFERROR(__xludf.DUMMYFUNCTION("""COMPUTED_VALUE"""),437.4)</f>
        <v>437.4</v>
      </c>
      <c r="D29" s="6">
        <f>IFERROR(__xludf.DUMMYFUNCTION("""COMPUTED_VALUE"""),373.05)</f>
        <v>373.05</v>
      </c>
      <c r="E29" s="6">
        <f>IFERROR(__xludf.DUMMYFUNCTION("""COMPUTED_VALUE"""),402.35)</f>
        <v>402.35</v>
      </c>
      <c r="F29" s="6">
        <f>IFERROR(__xludf.DUMMYFUNCTION("""COMPUTED_VALUE"""),3.023775E7)</f>
        <v>30237750</v>
      </c>
    </row>
    <row r="30">
      <c r="A30" s="7">
        <f>IFERROR(__xludf.DUMMYFUNCTION("""COMPUTED_VALUE"""),45379.64583333333)</f>
        <v>45379.64583</v>
      </c>
      <c r="B30" s="6">
        <f>IFERROR(__xludf.DUMMYFUNCTION("""COMPUTED_VALUE"""),402.35)</f>
        <v>402.35</v>
      </c>
      <c r="C30" s="6">
        <f>IFERROR(__xludf.DUMMYFUNCTION("""COMPUTED_VALUE"""),415.3)</f>
        <v>415.3</v>
      </c>
      <c r="D30" s="6">
        <f>IFERROR(__xludf.DUMMYFUNCTION("""COMPUTED_VALUE"""),394.0)</f>
        <v>394</v>
      </c>
      <c r="E30" s="6">
        <f>IFERROR(__xludf.DUMMYFUNCTION("""COMPUTED_VALUE"""),402.65)</f>
        <v>402.65</v>
      </c>
      <c r="F30" s="6">
        <f>IFERROR(__xludf.DUMMYFUNCTION("""COMPUTED_VALUE"""),9306009.0)</f>
        <v>9306009</v>
      </c>
    </row>
    <row r="31">
      <c r="A31" s="7">
        <f>IFERROR(__xludf.DUMMYFUNCTION("""COMPUTED_VALUE"""),45387.64583333333)</f>
        <v>45387.64583</v>
      </c>
      <c r="B31" s="6">
        <f>IFERROR(__xludf.DUMMYFUNCTION("""COMPUTED_VALUE"""),402.75)</f>
        <v>402.75</v>
      </c>
      <c r="C31" s="6">
        <f>IFERROR(__xludf.DUMMYFUNCTION("""COMPUTED_VALUE"""),422.65)</f>
        <v>422.65</v>
      </c>
      <c r="D31" s="6">
        <f>IFERROR(__xludf.DUMMYFUNCTION("""COMPUTED_VALUE"""),400.0)</f>
        <v>400</v>
      </c>
      <c r="E31" s="6">
        <f>IFERROR(__xludf.DUMMYFUNCTION("""COMPUTED_VALUE"""),417.55)</f>
        <v>417.55</v>
      </c>
      <c r="F31" s="6">
        <f>IFERROR(__xludf.DUMMYFUNCTION("""COMPUTED_VALUE"""),9487272.0)</f>
        <v>9487272</v>
      </c>
    </row>
    <row r="32">
      <c r="A32" s="7">
        <f>IFERROR(__xludf.DUMMYFUNCTION("""COMPUTED_VALUE"""),45394.64583333333)</f>
        <v>45394.64583</v>
      </c>
      <c r="B32" s="6">
        <f>IFERROR(__xludf.DUMMYFUNCTION("""COMPUTED_VALUE"""),418.0)</f>
        <v>418</v>
      </c>
      <c r="C32" s="6">
        <f>IFERROR(__xludf.DUMMYFUNCTION("""COMPUTED_VALUE"""),422.15)</f>
        <v>422.15</v>
      </c>
      <c r="D32" s="6">
        <f>IFERROR(__xludf.DUMMYFUNCTION("""COMPUTED_VALUE"""),388.0)</f>
        <v>388</v>
      </c>
      <c r="E32" s="6">
        <f>IFERROR(__xludf.DUMMYFUNCTION("""COMPUTED_VALUE"""),391.6)</f>
        <v>391.6</v>
      </c>
      <c r="F32" s="6">
        <f>IFERROR(__xludf.DUMMYFUNCTION("""COMPUTED_VALUE"""),6495129.0)</f>
        <v>6495129</v>
      </c>
    </row>
    <row r="33">
      <c r="A33" s="7">
        <f>IFERROR(__xludf.DUMMYFUNCTION("""COMPUTED_VALUE"""),45401.64583333333)</f>
        <v>45401.64583</v>
      </c>
      <c r="B33" s="6">
        <f>IFERROR(__xludf.DUMMYFUNCTION("""COMPUTED_VALUE"""),381.0)</f>
        <v>381</v>
      </c>
      <c r="C33" s="6">
        <f>IFERROR(__xludf.DUMMYFUNCTION("""COMPUTED_VALUE"""),409.0)</f>
        <v>409</v>
      </c>
      <c r="D33" s="6">
        <f>IFERROR(__xludf.DUMMYFUNCTION("""COMPUTED_VALUE"""),377.0)</f>
        <v>377</v>
      </c>
      <c r="E33" s="6">
        <f>IFERROR(__xludf.DUMMYFUNCTION("""COMPUTED_VALUE"""),377.85)</f>
        <v>377.85</v>
      </c>
      <c r="F33" s="6">
        <f>IFERROR(__xludf.DUMMYFUNCTION("""COMPUTED_VALUE"""),5585554.0)</f>
        <v>5585554</v>
      </c>
    </row>
    <row r="34">
      <c r="A34" s="7">
        <f>IFERROR(__xludf.DUMMYFUNCTION("""COMPUTED_VALUE"""),45408.64583333333)</f>
        <v>45408.64583</v>
      </c>
      <c r="B34" s="6">
        <f>IFERROR(__xludf.DUMMYFUNCTION("""COMPUTED_VALUE"""),382.95)</f>
        <v>382.95</v>
      </c>
      <c r="C34" s="6">
        <f>IFERROR(__xludf.DUMMYFUNCTION("""COMPUTED_VALUE"""),391.35)</f>
        <v>391.35</v>
      </c>
      <c r="D34" s="6">
        <f>IFERROR(__xludf.DUMMYFUNCTION("""COMPUTED_VALUE"""),375.55)</f>
        <v>375.55</v>
      </c>
      <c r="E34" s="6">
        <f>IFERROR(__xludf.DUMMYFUNCTION("""COMPUTED_VALUE"""),376.9)</f>
        <v>376.9</v>
      </c>
      <c r="F34" s="6">
        <f>IFERROR(__xludf.DUMMYFUNCTION("""COMPUTED_VALUE"""),5633197.0)</f>
        <v>5633197</v>
      </c>
    </row>
    <row r="35">
      <c r="A35" s="7">
        <f>IFERROR(__xludf.DUMMYFUNCTION("""COMPUTED_VALUE"""),45415.64583333333)</f>
        <v>45415.64583</v>
      </c>
      <c r="B35" s="6">
        <f>IFERROR(__xludf.DUMMYFUNCTION("""COMPUTED_VALUE"""),379.25)</f>
        <v>379.25</v>
      </c>
      <c r="C35" s="6">
        <f>IFERROR(__xludf.DUMMYFUNCTION("""COMPUTED_VALUE"""),386.0)</f>
        <v>386</v>
      </c>
      <c r="D35" s="6">
        <f>IFERROR(__xludf.DUMMYFUNCTION("""COMPUTED_VALUE"""),366.55)</f>
        <v>366.55</v>
      </c>
      <c r="E35" s="6">
        <f>IFERROR(__xludf.DUMMYFUNCTION("""COMPUTED_VALUE"""),369.9)</f>
        <v>369.9</v>
      </c>
      <c r="F35" s="6">
        <f>IFERROR(__xludf.DUMMYFUNCTION("""COMPUTED_VALUE"""),5291450.0)</f>
        <v>5291450</v>
      </c>
    </row>
    <row r="36">
      <c r="A36" s="7">
        <f>IFERROR(__xludf.DUMMYFUNCTION("""COMPUTED_VALUE"""),45422.64583333333)</f>
        <v>45422.64583</v>
      </c>
      <c r="B36" s="6">
        <f>IFERROR(__xludf.DUMMYFUNCTION("""COMPUTED_VALUE"""),351.4)</f>
        <v>351.4</v>
      </c>
      <c r="C36" s="6">
        <f>IFERROR(__xludf.DUMMYFUNCTION("""COMPUTED_VALUE"""),365.0)</f>
        <v>365</v>
      </c>
      <c r="D36" s="6">
        <f>IFERROR(__xludf.DUMMYFUNCTION("""COMPUTED_VALUE"""),310.0)</f>
        <v>310</v>
      </c>
      <c r="E36" s="6">
        <f>IFERROR(__xludf.DUMMYFUNCTION("""COMPUTED_VALUE"""),349.65)</f>
        <v>349.65</v>
      </c>
      <c r="F36" s="6">
        <f>IFERROR(__xludf.DUMMYFUNCTION("""COMPUTED_VALUE"""),3.2198833E7)</f>
        <v>32198833</v>
      </c>
    </row>
    <row r="37">
      <c r="A37" s="7">
        <f>IFERROR(__xludf.DUMMYFUNCTION("""COMPUTED_VALUE"""),45436.64583333333)</f>
        <v>45436.64583</v>
      </c>
      <c r="B37" s="6">
        <f>IFERROR(__xludf.DUMMYFUNCTION("""COMPUTED_VALUE"""),348.0)</f>
        <v>348</v>
      </c>
      <c r="C37" s="6">
        <f>IFERROR(__xludf.DUMMYFUNCTION("""COMPUTED_VALUE"""),369.25)</f>
        <v>369.25</v>
      </c>
      <c r="D37" s="6">
        <f>IFERROR(__xludf.DUMMYFUNCTION("""COMPUTED_VALUE"""),339.05)</f>
        <v>339.05</v>
      </c>
      <c r="E37" s="6">
        <f>IFERROR(__xludf.DUMMYFUNCTION("""COMPUTED_VALUE"""),340.95)</f>
        <v>340.95</v>
      </c>
      <c r="F37" s="6">
        <f>IFERROR(__xludf.DUMMYFUNCTION("""COMPUTED_VALUE"""),1.5356272E7)</f>
        <v>15356272</v>
      </c>
    </row>
    <row r="38">
      <c r="A38" s="7">
        <f>IFERROR(__xludf.DUMMYFUNCTION("""COMPUTED_VALUE"""),45443.64583333333)</f>
        <v>45443.64583</v>
      </c>
      <c r="B38" s="6">
        <f>IFERROR(__xludf.DUMMYFUNCTION("""COMPUTED_VALUE"""),342.0)</f>
        <v>342</v>
      </c>
      <c r="C38" s="6">
        <f>IFERROR(__xludf.DUMMYFUNCTION("""COMPUTED_VALUE"""),396.25)</f>
        <v>396.25</v>
      </c>
      <c r="D38" s="6">
        <f>IFERROR(__xludf.DUMMYFUNCTION("""COMPUTED_VALUE"""),341.5)</f>
        <v>341.5</v>
      </c>
      <c r="E38" s="6">
        <f>IFERROR(__xludf.DUMMYFUNCTION("""COMPUTED_VALUE"""),360.75)</f>
        <v>360.75</v>
      </c>
      <c r="F38" s="6">
        <f>IFERROR(__xludf.DUMMYFUNCTION("""COMPUTED_VALUE"""),5.428974E7)</f>
        <v>54289740</v>
      </c>
    </row>
    <row r="39">
      <c r="A39" s="7">
        <f>IFERROR(__xludf.DUMMYFUNCTION("""COMPUTED_VALUE"""),45450.64583333333)</f>
        <v>45450.64583</v>
      </c>
      <c r="B39" s="6">
        <f>IFERROR(__xludf.DUMMYFUNCTION("""COMPUTED_VALUE"""),378.75)</f>
        <v>378.75</v>
      </c>
      <c r="C39" s="6">
        <f>IFERROR(__xludf.DUMMYFUNCTION("""COMPUTED_VALUE"""),381.3)</f>
        <v>381.3</v>
      </c>
      <c r="D39" s="6">
        <f>IFERROR(__xludf.DUMMYFUNCTION("""COMPUTED_VALUE"""),339.55)</f>
        <v>339.55</v>
      </c>
      <c r="E39" s="6">
        <f>IFERROR(__xludf.DUMMYFUNCTION("""COMPUTED_VALUE"""),381.3)</f>
        <v>381.3</v>
      </c>
      <c r="F39" s="6">
        <f>IFERROR(__xludf.DUMMYFUNCTION("""COMPUTED_VALUE"""),2.9716291E7)</f>
        <v>29716291</v>
      </c>
    </row>
    <row r="40">
      <c r="A40" s="7">
        <f>IFERROR(__xludf.DUMMYFUNCTION("""COMPUTED_VALUE"""),45457.64583333333)</f>
        <v>45457.64583</v>
      </c>
      <c r="B40" s="6">
        <f>IFERROR(__xludf.DUMMYFUNCTION("""COMPUTED_VALUE"""),382.0)</f>
        <v>382</v>
      </c>
      <c r="C40" s="6">
        <f>IFERROR(__xludf.DUMMYFUNCTION("""COMPUTED_VALUE"""),440.5)</f>
        <v>440.5</v>
      </c>
      <c r="D40" s="6">
        <f>IFERROR(__xludf.DUMMYFUNCTION("""COMPUTED_VALUE"""),377.0)</f>
        <v>377</v>
      </c>
      <c r="E40" s="6">
        <f>IFERROR(__xludf.DUMMYFUNCTION("""COMPUTED_VALUE"""),425.05)</f>
        <v>425.05</v>
      </c>
      <c r="F40" s="6">
        <f>IFERROR(__xludf.DUMMYFUNCTION("""COMPUTED_VALUE"""),4.2778394E7)</f>
        <v>42778394</v>
      </c>
    </row>
    <row r="41">
      <c r="A41" s="7">
        <f>IFERROR(__xludf.DUMMYFUNCTION("""COMPUTED_VALUE"""),45464.64583333333)</f>
        <v>45464.64583</v>
      </c>
      <c r="B41" s="6">
        <f>IFERROR(__xludf.DUMMYFUNCTION("""COMPUTED_VALUE"""),442.0)</f>
        <v>442</v>
      </c>
      <c r="C41" s="6">
        <f>IFERROR(__xludf.DUMMYFUNCTION("""COMPUTED_VALUE"""),442.0)</f>
        <v>442</v>
      </c>
      <c r="D41" s="6">
        <f>IFERROR(__xludf.DUMMYFUNCTION("""COMPUTED_VALUE"""),402.5)</f>
        <v>402.5</v>
      </c>
      <c r="E41" s="6">
        <f>IFERROR(__xludf.DUMMYFUNCTION("""COMPUTED_VALUE"""),411.15)</f>
        <v>411.15</v>
      </c>
      <c r="F41" s="6">
        <f>IFERROR(__xludf.DUMMYFUNCTION("""COMPUTED_VALUE"""),2.1321249E7)</f>
        <v>21321249</v>
      </c>
    </row>
    <row r="42">
      <c r="A42" s="7">
        <f>IFERROR(__xludf.DUMMYFUNCTION("""COMPUTED_VALUE"""),45471.64583333333)</f>
        <v>45471.64583</v>
      </c>
      <c r="B42" s="6">
        <f>IFERROR(__xludf.DUMMYFUNCTION("""COMPUTED_VALUE"""),409.7)</f>
        <v>409.7</v>
      </c>
      <c r="C42" s="6">
        <f>IFERROR(__xludf.DUMMYFUNCTION("""COMPUTED_VALUE"""),424.4)</f>
        <v>424.4</v>
      </c>
      <c r="D42" s="6">
        <f>IFERROR(__xludf.DUMMYFUNCTION("""COMPUTED_VALUE"""),400.05)</f>
        <v>400.05</v>
      </c>
      <c r="E42" s="6">
        <f>IFERROR(__xludf.DUMMYFUNCTION("""COMPUTED_VALUE"""),401.75)</f>
        <v>401.75</v>
      </c>
      <c r="F42" s="6">
        <f>IFERROR(__xludf.DUMMYFUNCTION("""COMPUTED_VALUE"""),1.1239852E7)</f>
        <v>11239852</v>
      </c>
    </row>
    <row r="43">
      <c r="A43" s="7">
        <f>IFERROR(__xludf.DUMMYFUNCTION("""COMPUTED_VALUE"""),45478.64583333333)</f>
        <v>45478.64583</v>
      </c>
      <c r="B43" s="6">
        <f>IFERROR(__xludf.DUMMYFUNCTION("""COMPUTED_VALUE"""),403.0)</f>
        <v>403</v>
      </c>
      <c r="C43" s="6">
        <f>IFERROR(__xludf.DUMMYFUNCTION("""COMPUTED_VALUE"""),442.5)</f>
        <v>442.5</v>
      </c>
      <c r="D43" s="6">
        <f>IFERROR(__xludf.DUMMYFUNCTION("""COMPUTED_VALUE"""),403.0)</f>
        <v>403</v>
      </c>
      <c r="E43" s="6">
        <f>IFERROR(__xludf.DUMMYFUNCTION("""COMPUTED_VALUE"""),436.55)</f>
        <v>436.55</v>
      </c>
      <c r="F43" s="6">
        <f>IFERROR(__xludf.DUMMYFUNCTION("""COMPUTED_VALUE"""),2.4083346E7)</f>
        <v>24083346</v>
      </c>
    </row>
    <row r="44">
      <c r="A44" s="7">
        <f>IFERROR(__xludf.DUMMYFUNCTION("""COMPUTED_VALUE"""),45485.64583333333)</f>
        <v>45485.64583</v>
      </c>
      <c r="B44" s="6">
        <f>IFERROR(__xludf.DUMMYFUNCTION("""COMPUTED_VALUE"""),440.2)</f>
        <v>440.2</v>
      </c>
      <c r="C44" s="6">
        <f>IFERROR(__xludf.DUMMYFUNCTION("""COMPUTED_VALUE"""),491.8)</f>
        <v>491.8</v>
      </c>
      <c r="D44" s="6">
        <f>IFERROR(__xludf.DUMMYFUNCTION("""COMPUTED_VALUE"""),440.2)</f>
        <v>440.2</v>
      </c>
      <c r="E44" s="6">
        <f>IFERROR(__xludf.DUMMYFUNCTION("""COMPUTED_VALUE"""),465.95)</f>
        <v>465.95</v>
      </c>
      <c r="F44" s="6">
        <f>IFERROR(__xludf.DUMMYFUNCTION("""COMPUTED_VALUE"""),3.3745467E7)</f>
        <v>33745467</v>
      </c>
    </row>
    <row r="45">
      <c r="A45" s="7">
        <f>IFERROR(__xludf.DUMMYFUNCTION("""COMPUTED_VALUE"""),45492.64583333333)</f>
        <v>45492.64583</v>
      </c>
      <c r="B45" s="6">
        <f>IFERROR(__xludf.DUMMYFUNCTION("""COMPUTED_VALUE"""),467.0)</f>
        <v>467</v>
      </c>
      <c r="C45" s="6">
        <f>IFERROR(__xludf.DUMMYFUNCTION("""COMPUTED_VALUE"""),476.7)</f>
        <v>476.7</v>
      </c>
      <c r="D45" s="6">
        <f>IFERROR(__xludf.DUMMYFUNCTION("""COMPUTED_VALUE"""),425.6)</f>
        <v>425.6</v>
      </c>
      <c r="E45" s="6">
        <f>IFERROR(__xludf.DUMMYFUNCTION("""COMPUTED_VALUE"""),458.75)</f>
        <v>458.75</v>
      </c>
      <c r="F45" s="6">
        <f>IFERROR(__xludf.DUMMYFUNCTION("""COMPUTED_VALUE"""),2.0258348E7)</f>
        <v>20258348</v>
      </c>
    </row>
    <row r="46">
      <c r="A46" s="7">
        <f>IFERROR(__xludf.DUMMYFUNCTION("""COMPUTED_VALUE"""),45499.64583333333)</f>
        <v>45499.64583</v>
      </c>
      <c r="B46" s="6">
        <f>IFERROR(__xludf.DUMMYFUNCTION("""COMPUTED_VALUE"""),447.95)</f>
        <v>447.95</v>
      </c>
      <c r="C46" s="6">
        <f>IFERROR(__xludf.DUMMYFUNCTION("""COMPUTED_VALUE"""),509.05)</f>
        <v>509.05</v>
      </c>
      <c r="D46" s="6">
        <f>IFERROR(__xludf.DUMMYFUNCTION("""COMPUTED_VALUE"""),437.25)</f>
        <v>437.25</v>
      </c>
      <c r="E46" s="6">
        <f>IFERROR(__xludf.DUMMYFUNCTION("""COMPUTED_VALUE"""),509.05)</f>
        <v>509.05</v>
      </c>
      <c r="F46" s="6">
        <f>IFERROR(__xludf.DUMMYFUNCTION("""COMPUTED_VALUE"""),2.0454353E7)</f>
        <v>20454353</v>
      </c>
    </row>
    <row r="47">
      <c r="A47" s="7">
        <f>IFERROR(__xludf.DUMMYFUNCTION("""COMPUTED_VALUE"""),45506.64583333333)</f>
        <v>45506.64583</v>
      </c>
      <c r="B47" s="6">
        <f>IFERROR(__xludf.DUMMYFUNCTION("""COMPUTED_VALUE"""),512.75)</f>
        <v>512.75</v>
      </c>
      <c r="C47" s="6">
        <f>IFERROR(__xludf.DUMMYFUNCTION("""COMPUTED_VALUE"""),542.6)</f>
        <v>542.6</v>
      </c>
      <c r="D47" s="6">
        <f>IFERROR(__xludf.DUMMYFUNCTION("""COMPUTED_VALUE"""),490.0)</f>
        <v>490</v>
      </c>
      <c r="E47" s="6">
        <f>IFERROR(__xludf.DUMMYFUNCTION("""COMPUTED_VALUE"""),527.0)</f>
        <v>527</v>
      </c>
      <c r="F47" s="6">
        <f>IFERROR(__xludf.DUMMYFUNCTION("""COMPUTED_VALUE"""),3.71635E7)</f>
        <v>37163500</v>
      </c>
    </row>
    <row r="48">
      <c r="A48" s="7">
        <f>IFERROR(__xludf.DUMMYFUNCTION("""COMPUTED_VALUE"""),45513.64583333333)</f>
        <v>45513.64583</v>
      </c>
      <c r="B48" s="6">
        <f>IFERROR(__xludf.DUMMYFUNCTION("""COMPUTED_VALUE"""),513.85)</f>
        <v>513.85</v>
      </c>
      <c r="C48" s="6">
        <f>IFERROR(__xludf.DUMMYFUNCTION("""COMPUTED_VALUE"""),535.0)</f>
        <v>535</v>
      </c>
      <c r="D48" s="6">
        <f>IFERROR(__xludf.DUMMYFUNCTION("""COMPUTED_VALUE"""),481.65)</f>
        <v>481.65</v>
      </c>
      <c r="E48" s="6">
        <f>IFERROR(__xludf.DUMMYFUNCTION("""COMPUTED_VALUE"""),510.85)</f>
        <v>510.85</v>
      </c>
      <c r="F48" s="6">
        <f>IFERROR(__xludf.DUMMYFUNCTION("""COMPUTED_VALUE"""),3.3128112E7)</f>
        <v>33128112</v>
      </c>
    </row>
    <row r="49">
      <c r="A49" s="7">
        <f>IFERROR(__xludf.DUMMYFUNCTION("""COMPUTED_VALUE"""),45520.64583333333)</f>
        <v>45520.64583</v>
      </c>
      <c r="B49" s="6">
        <f>IFERROR(__xludf.DUMMYFUNCTION("""COMPUTED_VALUE"""),507.55)</f>
        <v>507.55</v>
      </c>
      <c r="C49" s="6">
        <f>IFERROR(__xludf.DUMMYFUNCTION("""COMPUTED_VALUE"""),569.9)</f>
        <v>569.9</v>
      </c>
      <c r="D49" s="6">
        <f>IFERROR(__xludf.DUMMYFUNCTION("""COMPUTED_VALUE"""),499.45)</f>
        <v>499.45</v>
      </c>
      <c r="E49" s="6">
        <f>IFERROR(__xludf.DUMMYFUNCTION("""COMPUTED_VALUE"""),564.25)</f>
        <v>564.25</v>
      </c>
      <c r="F49" s="6">
        <f>IFERROR(__xludf.DUMMYFUNCTION("""COMPUTED_VALUE"""),3.6183423E7)</f>
        <v>36183423</v>
      </c>
    </row>
    <row r="50">
      <c r="A50" s="7">
        <f>IFERROR(__xludf.DUMMYFUNCTION("""COMPUTED_VALUE"""),45527.64583333333)</f>
        <v>45527.64583</v>
      </c>
      <c r="B50" s="6">
        <f>IFERROR(__xludf.DUMMYFUNCTION("""COMPUTED_VALUE"""),565.0)</f>
        <v>565</v>
      </c>
      <c r="C50" s="6">
        <f>IFERROR(__xludf.DUMMYFUNCTION("""COMPUTED_VALUE"""),604.7)</f>
        <v>604.7</v>
      </c>
      <c r="D50" s="6">
        <f>IFERROR(__xludf.DUMMYFUNCTION("""COMPUTED_VALUE"""),538.35)</f>
        <v>538.35</v>
      </c>
      <c r="E50" s="6">
        <f>IFERROR(__xludf.DUMMYFUNCTION("""COMPUTED_VALUE"""),554.85)</f>
        <v>554.85</v>
      </c>
      <c r="F50" s="6">
        <f>IFERROR(__xludf.DUMMYFUNCTION("""COMPUTED_VALUE"""),5.1843543E7)</f>
        <v>51843543</v>
      </c>
    </row>
    <row r="51">
      <c r="A51" s="7">
        <f>IFERROR(__xludf.DUMMYFUNCTION("""COMPUTED_VALUE"""),45534.64583333333)</f>
        <v>45534.64583</v>
      </c>
      <c r="B51" s="6">
        <f>IFERROR(__xludf.DUMMYFUNCTION("""COMPUTED_VALUE"""),559.8)</f>
        <v>559.8</v>
      </c>
      <c r="C51" s="6">
        <f>IFERROR(__xludf.DUMMYFUNCTION("""COMPUTED_VALUE"""),631.45)</f>
        <v>631.45</v>
      </c>
      <c r="D51" s="6">
        <f>IFERROR(__xludf.DUMMYFUNCTION("""COMPUTED_VALUE"""),505.55)</f>
        <v>505.55</v>
      </c>
      <c r="E51" s="6">
        <f>IFERROR(__xludf.DUMMYFUNCTION("""COMPUTED_VALUE"""),621.9)</f>
        <v>621.9</v>
      </c>
      <c r="F51" s="6">
        <f>IFERROR(__xludf.DUMMYFUNCTION("""COMPUTED_VALUE"""),8.2132207E7)</f>
        <v>82132207</v>
      </c>
    </row>
    <row r="52">
      <c r="A52" s="7">
        <f>IFERROR(__xludf.DUMMYFUNCTION("""COMPUTED_VALUE"""),45541.64583333333)</f>
        <v>45541.64583</v>
      </c>
      <c r="B52" s="6">
        <f>IFERROR(__xludf.DUMMYFUNCTION("""COMPUTED_VALUE"""),619.0)</f>
        <v>619</v>
      </c>
      <c r="C52" s="6">
        <f>IFERROR(__xludf.DUMMYFUNCTION("""COMPUTED_VALUE"""),634.0)</f>
        <v>634</v>
      </c>
      <c r="D52" s="6">
        <f>IFERROR(__xludf.DUMMYFUNCTION("""COMPUTED_VALUE"""),583.6)</f>
        <v>583.6</v>
      </c>
      <c r="E52" s="6">
        <f>IFERROR(__xludf.DUMMYFUNCTION("""COMPUTED_VALUE"""),603.8)</f>
        <v>603.8</v>
      </c>
      <c r="F52" s="6">
        <f>IFERROR(__xludf.DUMMYFUNCTION("""COMPUTED_VALUE"""),6.1767468E7)</f>
        <v>61767468</v>
      </c>
    </row>
    <row r="53">
      <c r="A53" s="7">
        <f>IFERROR(__xludf.DUMMYFUNCTION("""COMPUTED_VALUE"""),45548.64583333333)</f>
        <v>45548.64583</v>
      </c>
      <c r="B53" s="6">
        <f>IFERROR(__xludf.DUMMYFUNCTION("""COMPUTED_VALUE"""),605.5)</f>
        <v>605.5</v>
      </c>
      <c r="C53" s="6">
        <f>IFERROR(__xludf.DUMMYFUNCTION("""COMPUTED_VALUE"""),687.4)</f>
        <v>687.4</v>
      </c>
      <c r="D53" s="6">
        <f>IFERROR(__xludf.DUMMYFUNCTION("""COMPUTED_VALUE"""),584.1)</f>
        <v>584.1</v>
      </c>
      <c r="E53" s="6">
        <f>IFERROR(__xludf.DUMMYFUNCTION("""COMPUTED_VALUE"""),654.95)</f>
        <v>654.95</v>
      </c>
      <c r="F53" s="6">
        <f>IFERROR(__xludf.DUMMYFUNCTION("""COMPUTED_VALUE"""),9.7313013E7)</f>
        <v>97313013</v>
      </c>
    </row>
    <row r="54">
      <c r="A54" s="7">
        <f>IFERROR(__xludf.DUMMYFUNCTION("""COMPUTED_VALUE"""),45555.64583333333)</f>
        <v>45555.64583</v>
      </c>
      <c r="B54" s="6">
        <f>IFERROR(__xludf.DUMMYFUNCTION("""COMPUTED_VALUE"""),659.0)</f>
        <v>659</v>
      </c>
      <c r="C54" s="6">
        <f>IFERROR(__xludf.DUMMYFUNCTION("""COMPUTED_VALUE"""),703.25)</f>
        <v>703.25</v>
      </c>
      <c r="D54" s="6">
        <f>IFERROR(__xludf.DUMMYFUNCTION("""COMPUTED_VALUE"""),628.5)</f>
        <v>628.5</v>
      </c>
      <c r="E54" s="6">
        <f>IFERROR(__xludf.DUMMYFUNCTION("""COMPUTED_VALUE"""),664.1)</f>
        <v>664.1</v>
      </c>
      <c r="F54" s="6">
        <f>IFERROR(__xludf.DUMMYFUNCTION("""COMPUTED_VALUE"""),4.5939629E7)</f>
        <v>45939629</v>
      </c>
    </row>
    <row r="55">
      <c r="A55" s="7">
        <f>IFERROR(__xludf.DUMMYFUNCTION("""COMPUTED_VALUE"""),45562.64583333333)</f>
        <v>45562.64583</v>
      </c>
      <c r="B55" s="6">
        <f>IFERROR(__xludf.DUMMYFUNCTION("""COMPUTED_VALUE"""),665.0)</f>
        <v>665</v>
      </c>
      <c r="C55" s="6">
        <f>IFERROR(__xludf.DUMMYFUNCTION("""COMPUTED_VALUE"""),724.8)</f>
        <v>724.8</v>
      </c>
      <c r="D55" s="6">
        <f>IFERROR(__xludf.DUMMYFUNCTION("""COMPUTED_VALUE"""),648.0)</f>
        <v>648</v>
      </c>
      <c r="E55" s="6">
        <f>IFERROR(__xludf.DUMMYFUNCTION("""COMPUTED_VALUE"""),672.3)</f>
        <v>672.3</v>
      </c>
      <c r="F55" s="6">
        <f>IFERROR(__xludf.DUMMYFUNCTION("""COMPUTED_VALUE"""),5.2369614E7)</f>
        <v>52369614</v>
      </c>
    </row>
    <row r="56">
      <c r="A56" s="7">
        <f>IFERROR(__xludf.DUMMYFUNCTION("""COMPUTED_VALUE"""),45569.64583333333)</f>
        <v>45569.64583</v>
      </c>
      <c r="B56" s="6">
        <f>IFERROR(__xludf.DUMMYFUNCTION("""COMPUTED_VALUE"""),672.0)</f>
        <v>672</v>
      </c>
      <c r="C56" s="6">
        <f>IFERROR(__xludf.DUMMYFUNCTION("""COMPUTED_VALUE"""),755.9)</f>
        <v>755.9</v>
      </c>
      <c r="D56" s="6">
        <f>IFERROR(__xludf.DUMMYFUNCTION("""COMPUTED_VALUE"""),655.05)</f>
        <v>655.05</v>
      </c>
      <c r="E56" s="6">
        <f>IFERROR(__xludf.DUMMYFUNCTION("""COMPUTED_VALUE"""),695.15)</f>
        <v>695.15</v>
      </c>
      <c r="F56" s="6">
        <f>IFERROR(__xludf.DUMMYFUNCTION("""COMPUTED_VALUE"""),6.4897073E7)</f>
        <v>64897073</v>
      </c>
    </row>
    <row r="57">
      <c r="A57" s="7">
        <f>IFERROR(__xludf.DUMMYFUNCTION("""COMPUTED_VALUE"""),45576.64583333333)</f>
        <v>45576.64583</v>
      </c>
      <c r="B57" s="6">
        <f>IFERROR(__xludf.DUMMYFUNCTION("""COMPUTED_VALUE"""),701.65)</f>
        <v>701.65</v>
      </c>
      <c r="C57" s="6">
        <f>IFERROR(__xludf.DUMMYFUNCTION("""COMPUTED_VALUE"""),772.85)</f>
        <v>772.85</v>
      </c>
      <c r="D57" s="6">
        <f>IFERROR(__xludf.DUMMYFUNCTION("""COMPUTED_VALUE"""),637.1)</f>
        <v>637.1</v>
      </c>
      <c r="E57" s="6">
        <f>IFERROR(__xludf.DUMMYFUNCTION("""COMPUTED_VALUE"""),724.5)</f>
        <v>724.5</v>
      </c>
      <c r="F57" s="6">
        <f>IFERROR(__xludf.DUMMYFUNCTION("""COMPUTED_VALUE"""),9.6811837E7)</f>
        <v>96811837</v>
      </c>
    </row>
    <row r="58">
      <c r="A58" s="7">
        <f>IFERROR(__xludf.DUMMYFUNCTION("""COMPUTED_VALUE"""),45583.64583333333)</f>
        <v>45583.64583</v>
      </c>
      <c r="B58" s="6">
        <f>IFERROR(__xludf.DUMMYFUNCTION("""COMPUTED_VALUE"""),729.6)</f>
        <v>729.6</v>
      </c>
      <c r="C58" s="6">
        <f>IFERROR(__xludf.DUMMYFUNCTION("""COMPUTED_VALUE"""),742.7)</f>
        <v>742.7</v>
      </c>
      <c r="D58" s="6">
        <f>IFERROR(__xludf.DUMMYFUNCTION("""COMPUTED_VALUE"""),670.4)</f>
        <v>670.4</v>
      </c>
      <c r="E58" s="6">
        <f>IFERROR(__xludf.DUMMYFUNCTION("""COMPUTED_VALUE"""),725.15)</f>
        <v>725.15</v>
      </c>
      <c r="F58" s="6">
        <f>IFERROR(__xludf.DUMMYFUNCTION("""COMPUTED_VALUE"""),3.8376514E7)</f>
        <v>38376514</v>
      </c>
    </row>
    <row r="59">
      <c r="A59" s="7">
        <f>IFERROR(__xludf.DUMMYFUNCTION("""COMPUTED_VALUE"""),45590.64583333333)</f>
        <v>45590.64583</v>
      </c>
      <c r="B59" s="6">
        <f>IFERROR(__xludf.DUMMYFUNCTION("""COMPUTED_VALUE"""),725.0)</f>
        <v>725</v>
      </c>
      <c r="C59" s="6">
        <f>IFERROR(__xludf.DUMMYFUNCTION("""COMPUTED_VALUE"""),790.0)</f>
        <v>790</v>
      </c>
      <c r="D59" s="6">
        <f>IFERROR(__xludf.DUMMYFUNCTION("""COMPUTED_VALUE"""),669.8)</f>
        <v>669.8</v>
      </c>
      <c r="E59" s="6">
        <f>IFERROR(__xludf.DUMMYFUNCTION("""COMPUTED_VALUE"""),744.45)</f>
        <v>744.45</v>
      </c>
      <c r="F59" s="6">
        <f>IFERROR(__xludf.DUMMYFUNCTION("""COMPUTED_VALUE"""),1.2048079E8)</f>
        <v>120480790</v>
      </c>
    </row>
    <row r="60">
      <c r="A60" s="7">
        <f>IFERROR(__xludf.DUMMYFUNCTION("""COMPUTED_VALUE"""),45604.64583333333)</f>
        <v>45604.64583</v>
      </c>
      <c r="B60" s="6">
        <f>IFERROR(__xludf.DUMMYFUNCTION("""COMPUTED_VALUE"""),761.85)</f>
        <v>761.85</v>
      </c>
      <c r="C60" s="6">
        <f>IFERROR(__xludf.DUMMYFUNCTION("""COMPUTED_VALUE"""),855.1)</f>
        <v>855.1</v>
      </c>
      <c r="D60" s="6">
        <f>IFERROR(__xludf.DUMMYFUNCTION("""COMPUTED_VALUE"""),747.0)</f>
        <v>747</v>
      </c>
      <c r="E60" s="6">
        <f>IFERROR(__xludf.DUMMYFUNCTION("""COMPUTED_VALUE"""),848.55)</f>
        <v>848.55</v>
      </c>
      <c r="F60" s="6">
        <f>IFERROR(__xludf.DUMMYFUNCTION("""COMPUTED_VALUE"""),5.1762871E7)</f>
        <v>51762871</v>
      </c>
    </row>
    <row r="61">
      <c r="A61" s="7">
        <f>IFERROR(__xludf.DUMMYFUNCTION("""COMPUTED_VALUE"""),45610.64583333333)</f>
        <v>45610.64583</v>
      </c>
      <c r="B61" s="6">
        <f>IFERROR(__xludf.DUMMYFUNCTION("""COMPUTED_VALUE"""),848.0)</f>
        <v>848</v>
      </c>
      <c r="C61" s="6">
        <f>IFERROR(__xludf.DUMMYFUNCTION("""COMPUTED_VALUE"""),853.85)</f>
        <v>853.85</v>
      </c>
      <c r="D61" s="6">
        <f>IFERROR(__xludf.DUMMYFUNCTION("""COMPUTED_VALUE"""),750.0)</f>
        <v>750</v>
      </c>
      <c r="E61" s="6">
        <f>IFERROR(__xludf.DUMMYFUNCTION("""COMPUTED_VALUE"""),769.1)</f>
        <v>769.1</v>
      </c>
      <c r="F61" s="6">
        <f>IFERROR(__xludf.DUMMYFUNCTION("""COMPUTED_VALUE"""),3.0607329E7)</f>
        <v>30607329</v>
      </c>
    </row>
    <row r="62">
      <c r="A62" s="7">
        <f>IFERROR(__xludf.DUMMYFUNCTION("""COMPUTED_VALUE"""),45618.64583333333)</f>
        <v>45618.64583</v>
      </c>
      <c r="B62" s="6">
        <f>IFERROR(__xludf.DUMMYFUNCTION("""COMPUTED_VALUE"""),771.0)</f>
        <v>771</v>
      </c>
      <c r="C62" s="6">
        <f>IFERROR(__xludf.DUMMYFUNCTION("""COMPUTED_VALUE"""),909.75)</f>
        <v>909.75</v>
      </c>
      <c r="D62" s="6">
        <f>IFERROR(__xludf.DUMMYFUNCTION("""COMPUTED_VALUE"""),758.0)</f>
        <v>758</v>
      </c>
      <c r="E62" s="6">
        <f>IFERROR(__xludf.DUMMYFUNCTION("""COMPUTED_VALUE"""),900.95)</f>
        <v>900.95</v>
      </c>
      <c r="F62" s="6">
        <f>IFERROR(__xludf.DUMMYFUNCTION("""COMPUTED_VALUE"""),5.8118142E7)</f>
        <v>58118142</v>
      </c>
    </row>
    <row r="63">
      <c r="A63" s="7">
        <f>IFERROR(__xludf.DUMMYFUNCTION("""COMPUTED_VALUE"""),45625.64583333333)</f>
        <v>45625.64583</v>
      </c>
      <c r="B63" s="6">
        <f>IFERROR(__xludf.DUMMYFUNCTION("""COMPUTED_VALUE"""),913.8)</f>
        <v>913.8</v>
      </c>
      <c r="C63" s="6">
        <f>IFERROR(__xludf.DUMMYFUNCTION("""COMPUTED_VALUE"""),952.0)</f>
        <v>952</v>
      </c>
      <c r="D63" s="6">
        <f>IFERROR(__xludf.DUMMYFUNCTION("""COMPUTED_VALUE"""),879.4)</f>
        <v>879.4</v>
      </c>
      <c r="E63" s="6">
        <f>IFERROR(__xludf.DUMMYFUNCTION("""COMPUTED_VALUE"""),901.75)</f>
        <v>901.75</v>
      </c>
      <c r="F63" s="6">
        <f>IFERROR(__xludf.DUMMYFUNCTION("""COMPUTED_VALUE"""),5.884343E7)</f>
        <v>58843430</v>
      </c>
    </row>
    <row r="64">
      <c r="A64" s="7">
        <f>IFERROR(__xludf.DUMMYFUNCTION("""COMPUTED_VALUE"""),45632.64583333333)</f>
        <v>45632.64583</v>
      </c>
      <c r="B64" s="6">
        <f>IFERROR(__xludf.DUMMYFUNCTION("""COMPUTED_VALUE"""),903.0)</f>
        <v>903</v>
      </c>
      <c r="C64" s="6">
        <f>IFERROR(__xludf.DUMMYFUNCTION("""COMPUTED_VALUE"""),991.25)</f>
        <v>991.25</v>
      </c>
      <c r="D64" s="6">
        <f>IFERROR(__xludf.DUMMYFUNCTION("""COMPUTED_VALUE"""),882.2)</f>
        <v>882.2</v>
      </c>
      <c r="E64" s="6">
        <f>IFERROR(__xludf.DUMMYFUNCTION("""COMPUTED_VALUE"""),976.25)</f>
        <v>976.25</v>
      </c>
      <c r="F64" s="6">
        <f>IFERROR(__xludf.DUMMYFUNCTION("""COMPUTED_VALUE"""),4.1687327E7)</f>
        <v>41687327</v>
      </c>
    </row>
    <row r="65">
      <c r="A65" s="7">
        <f>IFERROR(__xludf.DUMMYFUNCTION("""COMPUTED_VALUE"""),45639.64583333333)</f>
        <v>45639.64583</v>
      </c>
      <c r="B65" s="6">
        <f>IFERROR(__xludf.DUMMYFUNCTION("""COMPUTED_VALUE"""),997.45)</f>
        <v>997.45</v>
      </c>
      <c r="C65" s="6">
        <f>IFERROR(__xludf.DUMMYFUNCTION("""COMPUTED_VALUE"""),1007.0)</f>
        <v>1007</v>
      </c>
      <c r="D65" s="6">
        <f>IFERROR(__xludf.DUMMYFUNCTION("""COMPUTED_VALUE"""),934.2)</f>
        <v>934.2</v>
      </c>
      <c r="E65" s="6">
        <f>IFERROR(__xludf.DUMMYFUNCTION("""COMPUTED_VALUE"""),984.25)</f>
        <v>984.25</v>
      </c>
      <c r="F65" s="6">
        <f>IFERROR(__xludf.DUMMYFUNCTION("""COMPUTED_VALUE"""),3.2143071E7)</f>
        <v>32143071</v>
      </c>
    </row>
    <row r="66">
      <c r="A66" s="7">
        <f>IFERROR(__xludf.DUMMYFUNCTION("""COMPUTED_VALUE"""),45646.64583333333)</f>
        <v>45646.64583</v>
      </c>
      <c r="B66" s="6">
        <f>IFERROR(__xludf.DUMMYFUNCTION("""COMPUTED_VALUE"""),987.0)</f>
        <v>987</v>
      </c>
      <c r="C66" s="6">
        <f>IFERROR(__xludf.DUMMYFUNCTION("""COMPUTED_VALUE"""),1062.95)</f>
        <v>1062.95</v>
      </c>
      <c r="D66" s="6">
        <f>IFERROR(__xludf.DUMMYFUNCTION("""COMPUTED_VALUE"""),940.05)</f>
        <v>940.05</v>
      </c>
      <c r="E66" s="6">
        <f>IFERROR(__xludf.DUMMYFUNCTION("""COMPUTED_VALUE"""),945.25)</f>
        <v>945.25</v>
      </c>
      <c r="F66" s="6">
        <f>IFERROR(__xludf.DUMMYFUNCTION("""COMPUTED_VALUE"""),4.7280038E7)</f>
        <v>47280038</v>
      </c>
    </row>
    <row r="67">
      <c r="A67" s="7">
        <f>IFERROR(__xludf.DUMMYFUNCTION("""COMPUTED_VALUE"""),45653.64583333333)</f>
        <v>45653.64583</v>
      </c>
      <c r="B67" s="6">
        <f>IFERROR(__xludf.DUMMYFUNCTION("""COMPUTED_VALUE"""),959.8)</f>
        <v>959.8</v>
      </c>
      <c r="C67" s="6">
        <f>IFERROR(__xludf.DUMMYFUNCTION("""COMPUTED_VALUE"""),1025.0)</f>
        <v>1025</v>
      </c>
      <c r="D67" s="6">
        <f>IFERROR(__xludf.DUMMYFUNCTION("""COMPUTED_VALUE"""),944.45)</f>
        <v>944.45</v>
      </c>
      <c r="E67" s="6">
        <f>IFERROR(__xludf.DUMMYFUNCTION("""COMPUTED_VALUE"""),1014.25)</f>
        <v>1014.25</v>
      </c>
      <c r="F67" s="6">
        <f>IFERROR(__xludf.DUMMYFUNCTION("""COMPUTED_VALUE"""),2.5795914E7)</f>
        <v>25795914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IFERROR(__xludf.DUMMYFUNCTION("""COMPUTED_VALUE"""),1017.0)</f>
        <v>1017</v>
      </c>
      <c r="C68" s="6">
        <f>IFERROR(__xludf.DUMMYFUNCTION("""COMPUTED_VALUE"""),1030.95)</f>
        <v>1030.95</v>
      </c>
      <c r="D68" s="6">
        <f>IFERROR(__xludf.DUMMYFUNCTION("""COMPUTED_VALUE"""),965.5)</f>
        <v>965.5</v>
      </c>
      <c r="E68" s="6">
        <f>IFERROR(__xludf.DUMMYFUNCTION("""COMPUTED_VALUE"""),982.8)</f>
        <v>982.8</v>
      </c>
      <c r="F68" s="6">
        <f>IFERROR(__xludf.DUMMYFUNCTION("""COMPUTED_VALUE"""),2.7190032E7)</f>
        <v>27190032</v>
      </c>
    </row>
    <row r="69">
      <c r="A69" s="7">
        <f>IFERROR(__xludf.DUMMYFUNCTION("""COMPUTED_VALUE"""),45667.64583333333)</f>
        <v>45667.64583</v>
      </c>
      <c r="B69" s="6">
        <f>IFERROR(__xludf.DUMMYFUNCTION("""COMPUTED_VALUE"""),985.0)</f>
        <v>985</v>
      </c>
      <c r="C69" s="6">
        <f>IFERROR(__xludf.DUMMYFUNCTION("""COMPUTED_VALUE"""),1000.0)</f>
        <v>1000</v>
      </c>
      <c r="D69" s="6">
        <f>IFERROR(__xludf.DUMMYFUNCTION("""COMPUTED_VALUE"""),836.3)</f>
        <v>836.3</v>
      </c>
      <c r="E69" s="6">
        <f>IFERROR(__xludf.DUMMYFUNCTION("""COMPUTED_VALUE"""),847.7)</f>
        <v>847.7</v>
      </c>
      <c r="F69" s="6">
        <f>IFERROR(__xludf.DUMMYFUNCTION("""COMPUTED_VALUE"""),3.871133E7)</f>
        <v>38711330</v>
      </c>
    </row>
    <row r="70">
      <c r="A70" s="7">
        <f>IFERROR(__xludf.DUMMYFUNCTION("""COMPUTED_VALUE"""),45674.64583333333)</f>
        <v>45674.64583</v>
      </c>
      <c r="B70" s="6">
        <f>IFERROR(__xludf.DUMMYFUNCTION("""COMPUTED_VALUE"""),828.0)</f>
        <v>828</v>
      </c>
      <c r="C70" s="6">
        <f>IFERROR(__xludf.DUMMYFUNCTION("""COMPUTED_VALUE"""),926.7)</f>
        <v>926.7</v>
      </c>
      <c r="D70" s="6">
        <f>IFERROR(__xludf.DUMMYFUNCTION("""COMPUTED_VALUE"""),785.15)</f>
        <v>785.15</v>
      </c>
      <c r="E70" s="6">
        <f>IFERROR(__xludf.DUMMYFUNCTION("""COMPUTED_VALUE"""),900.15)</f>
        <v>900.15</v>
      </c>
      <c r="F70" s="6">
        <f>IFERROR(__xludf.DUMMYFUNCTION("""COMPUTED_VALUE"""),4.4278804E7)</f>
        <v>44278804</v>
      </c>
    </row>
    <row r="71">
      <c r="A71" s="7">
        <f>IFERROR(__xludf.DUMMYFUNCTION("""COMPUTED_VALUE"""),45681.64583333333)</f>
        <v>45681.64583</v>
      </c>
      <c r="B71" s="6">
        <f>IFERROR(__xludf.DUMMYFUNCTION("""COMPUTED_VALUE"""),901.0)</f>
        <v>901</v>
      </c>
      <c r="C71" s="6">
        <f>IFERROR(__xludf.DUMMYFUNCTION("""COMPUTED_VALUE"""),920.0)</f>
        <v>920</v>
      </c>
      <c r="D71" s="6">
        <f>IFERROR(__xludf.DUMMYFUNCTION("""COMPUTED_VALUE"""),773.05)</f>
        <v>773.05</v>
      </c>
      <c r="E71" s="6">
        <f>IFERROR(__xludf.DUMMYFUNCTION("""COMPUTED_VALUE"""),807.45)</f>
        <v>807.45</v>
      </c>
      <c r="F71" s="6">
        <f>IFERROR(__xludf.DUMMYFUNCTION("""COMPUTED_VALUE"""),4.7934801E7)</f>
        <v>47934801</v>
      </c>
    </row>
    <row r="72">
      <c r="A72" s="7">
        <f>IFERROR(__xludf.DUMMYFUNCTION("""COMPUTED_VALUE"""),45695.64583333333)</f>
        <v>45695.64583</v>
      </c>
      <c r="B72" s="6">
        <f>IFERROR(__xludf.DUMMYFUNCTION("""COMPUTED_VALUE"""),734.0)</f>
        <v>734</v>
      </c>
      <c r="C72" s="6">
        <f>IFERROR(__xludf.DUMMYFUNCTION("""COMPUTED_VALUE"""),823.85)</f>
        <v>823.85</v>
      </c>
      <c r="D72" s="6">
        <f>IFERROR(__xludf.DUMMYFUNCTION("""COMPUTED_VALUE"""),710.7)</f>
        <v>710.7</v>
      </c>
      <c r="E72" s="6">
        <f>IFERROR(__xludf.DUMMYFUNCTION("""COMPUTED_VALUE"""),809.8)</f>
        <v>809.8</v>
      </c>
      <c r="F72" s="6">
        <f>IFERROR(__xludf.DUMMYFUNCTION("""COMPUTED_VALUE"""),2.563766E7)</f>
        <v>25637660</v>
      </c>
    </row>
    <row r="73">
      <c r="A73" s="7">
        <f>IFERROR(__xludf.DUMMYFUNCTION("""COMPUTED_VALUE"""),45702.64583333333)</f>
        <v>45702.64583</v>
      </c>
      <c r="B73" s="6">
        <f>IFERROR(__xludf.DUMMYFUNCTION("""COMPUTED_VALUE"""),811.0)</f>
        <v>811</v>
      </c>
      <c r="C73" s="6">
        <f>IFERROR(__xludf.DUMMYFUNCTION("""COMPUTED_VALUE"""),815.85)</f>
        <v>815.85</v>
      </c>
      <c r="D73" s="6">
        <f>IFERROR(__xludf.DUMMYFUNCTION("""COMPUTED_VALUE"""),713.1)</f>
        <v>713.1</v>
      </c>
      <c r="E73" s="6">
        <f>IFERROR(__xludf.DUMMYFUNCTION("""COMPUTED_VALUE"""),724.05)</f>
        <v>724.05</v>
      </c>
      <c r="F73" s="6">
        <f>IFERROR(__xludf.DUMMYFUNCTION("""COMPUTED_VALUE"""),2.3464298E7)</f>
        <v>23464298</v>
      </c>
    </row>
    <row r="74">
      <c r="A74" s="7">
        <f>IFERROR(__xludf.DUMMYFUNCTION("""COMPUTED_VALUE"""),45709.64583333333)</f>
        <v>45709.64583</v>
      </c>
      <c r="B74" s="6">
        <f>IFERROR(__xludf.DUMMYFUNCTION("""COMPUTED_VALUE"""),722.0)</f>
        <v>722</v>
      </c>
      <c r="C74" s="6">
        <f>IFERROR(__xludf.DUMMYFUNCTION("""COMPUTED_VALUE"""),779.95)</f>
        <v>779.95</v>
      </c>
      <c r="D74" s="6">
        <f>IFERROR(__xludf.DUMMYFUNCTION("""COMPUTED_VALUE"""),706.0)</f>
        <v>706</v>
      </c>
      <c r="E74" s="6">
        <f>IFERROR(__xludf.DUMMYFUNCTION("""COMPUTED_VALUE"""),766.15)</f>
        <v>766.15</v>
      </c>
      <c r="F74" s="6">
        <f>IFERROR(__xludf.DUMMYFUNCTION("""COMPUTED_VALUE"""),2.1768359E7)</f>
        <v>21768359</v>
      </c>
    </row>
    <row r="75">
      <c r="A75" s="7">
        <f>IFERROR(__xludf.DUMMYFUNCTION("""COMPUTED_VALUE"""),45716.64583333333)</f>
        <v>45716.64583</v>
      </c>
      <c r="B75" s="6">
        <f>IFERROR(__xludf.DUMMYFUNCTION("""COMPUTED_VALUE"""),753.0)</f>
        <v>753</v>
      </c>
      <c r="C75" s="6">
        <f>IFERROR(__xludf.DUMMYFUNCTION("""COMPUTED_VALUE"""),773.0)</f>
        <v>773</v>
      </c>
      <c r="D75" s="6">
        <f>IFERROR(__xludf.DUMMYFUNCTION("""COMPUTED_VALUE"""),698.3)</f>
        <v>698.3</v>
      </c>
      <c r="E75" s="6">
        <f>IFERROR(__xludf.DUMMYFUNCTION("""COMPUTED_VALUE"""),714.95)</f>
        <v>714.95</v>
      </c>
      <c r="F75" s="6">
        <f>IFERROR(__xludf.DUMMYFUNCTION("""COMPUTED_VALUE"""),2.0894036E7)</f>
        <v>20894036</v>
      </c>
    </row>
    <row r="76">
      <c r="A76" s="7">
        <f>IFERROR(__xludf.DUMMYFUNCTION("""COMPUTED_VALUE"""),45723.64583333333)</f>
        <v>45723.64583</v>
      </c>
      <c r="B76" s="6">
        <f>IFERROR(__xludf.DUMMYFUNCTION("""COMPUTED_VALUE"""),700.0)</f>
        <v>700</v>
      </c>
      <c r="C76" s="6">
        <f>IFERROR(__xludf.DUMMYFUNCTION("""COMPUTED_VALUE"""),734.8)</f>
        <v>734.8</v>
      </c>
      <c r="D76" s="6">
        <f>IFERROR(__xludf.DUMMYFUNCTION("""COMPUTED_VALUE"""),680.25)</f>
        <v>680.25</v>
      </c>
      <c r="E76" s="6">
        <f>IFERROR(__xludf.DUMMYFUNCTION("""COMPUTED_VALUE"""),684.85)</f>
        <v>684.85</v>
      </c>
      <c r="F76" s="6">
        <f>IFERROR(__xludf.DUMMYFUNCTION("""COMPUTED_VALUE"""),3.0270195E7)</f>
        <v>30270195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IFERROR(__xludf.DUMMYFUNCTION("""COMPUTED_VALUE"""),687.0)</f>
        <v>687</v>
      </c>
      <c r="C77" s="6">
        <f>IFERROR(__xludf.DUMMYFUNCTION("""COMPUTED_VALUE"""),720.3)</f>
        <v>720.3</v>
      </c>
      <c r="D77" s="6">
        <f>IFERROR(__xludf.DUMMYFUNCTION("""COMPUTED_VALUE"""),651.5)</f>
        <v>651.5</v>
      </c>
      <c r="E77" s="6">
        <f>IFERROR(__xludf.DUMMYFUNCTION("""COMPUTED_VALUE"""),682.85)</f>
        <v>682.85</v>
      </c>
      <c r="F77" s="6">
        <f>IFERROR(__xludf.DUMMYFUNCTION("""COMPUTED_VALUE"""),2.7551651E7)</f>
        <v>27551651</v>
      </c>
    </row>
    <row r="78">
      <c r="A78" s="7">
        <f>IFERROR(__xludf.DUMMYFUNCTION("""COMPUTED_VALUE"""),45737.64583333333)</f>
        <v>45737.64583</v>
      </c>
      <c r="B78" s="6">
        <f>IFERROR(__xludf.DUMMYFUNCTION("""COMPUTED_VALUE"""),697.0)</f>
        <v>697</v>
      </c>
      <c r="C78" s="6">
        <f>IFERROR(__xludf.DUMMYFUNCTION("""COMPUTED_VALUE"""),772.0)</f>
        <v>772</v>
      </c>
      <c r="D78" s="6">
        <f>IFERROR(__xludf.DUMMYFUNCTION("""COMPUTED_VALUE"""),695.0)</f>
        <v>695</v>
      </c>
      <c r="E78" s="6">
        <f>IFERROR(__xludf.DUMMYFUNCTION("""COMPUTED_VALUE"""),751.05)</f>
        <v>751.05</v>
      </c>
      <c r="F78" s="6">
        <f>IFERROR(__xludf.DUMMYFUNCTION("""COMPUTED_VALUE"""),3.2718389E7)</f>
        <v>32718389</v>
      </c>
    </row>
    <row r="79">
      <c r="A79" s="7">
        <f>IFERROR(__xludf.DUMMYFUNCTION("""COMPUTED_VALUE"""),45744.64583333333)</f>
        <v>45744.64583</v>
      </c>
      <c r="B79" s="6">
        <f>IFERROR(__xludf.DUMMYFUNCTION("""COMPUTED_VALUE"""),757.45)</f>
        <v>757.45</v>
      </c>
      <c r="C79" s="6">
        <f>IFERROR(__xludf.DUMMYFUNCTION("""COMPUTED_VALUE"""),816.65)</f>
        <v>816.65</v>
      </c>
      <c r="D79" s="6">
        <f>IFERROR(__xludf.DUMMYFUNCTION("""COMPUTED_VALUE"""),743.45)</f>
        <v>743.45</v>
      </c>
      <c r="E79" s="6">
        <f>IFERROR(__xludf.DUMMYFUNCTION("""COMPUTED_VALUE"""),783.45)</f>
        <v>783.45</v>
      </c>
      <c r="F79" s="6">
        <f>IFERROR(__xludf.DUMMYFUNCTION("""COMPUTED_VALUE"""),3.540052E7)</f>
        <v>35400520</v>
      </c>
    </row>
    <row r="80">
      <c r="A80" s="7">
        <f>IFERROR(__xludf.DUMMYFUNCTION("""COMPUTED_VALUE"""),45751.64583333333)</f>
        <v>45751.64583</v>
      </c>
      <c r="B80" s="6">
        <f>IFERROR(__xludf.DUMMYFUNCTION("""COMPUTED_VALUE"""),780.0)</f>
        <v>780</v>
      </c>
      <c r="C80" s="6">
        <f>IFERROR(__xludf.DUMMYFUNCTION("""COMPUTED_VALUE"""),843.0)</f>
        <v>843</v>
      </c>
      <c r="D80" s="6">
        <f>IFERROR(__xludf.DUMMYFUNCTION("""COMPUTED_VALUE"""),772.0)</f>
        <v>772</v>
      </c>
      <c r="E80" s="6">
        <f>IFERROR(__xludf.DUMMYFUNCTION("""COMPUTED_VALUE"""),817.05)</f>
        <v>817.05</v>
      </c>
      <c r="F80" s="6">
        <f>IFERROR(__xludf.DUMMYFUNCTION("""COMPUTED_VALUE"""),2.5786305E7)</f>
        <v>25786305</v>
      </c>
    </row>
    <row r="81">
      <c r="A81" s="7">
        <f>IFERROR(__xludf.DUMMYFUNCTION("""COMPUTED_VALUE"""),45758.64583333333)</f>
        <v>45758.64583</v>
      </c>
      <c r="B81" s="6">
        <f>IFERROR(__xludf.DUMMYFUNCTION("""COMPUTED_VALUE"""),765.0)</f>
        <v>765</v>
      </c>
      <c r="C81" s="6">
        <f>IFERROR(__xludf.DUMMYFUNCTION("""COMPUTED_VALUE"""),846.95)</f>
        <v>846.95</v>
      </c>
      <c r="D81" s="6">
        <f>IFERROR(__xludf.DUMMYFUNCTION("""COMPUTED_VALUE"""),753.1)</f>
        <v>753.1</v>
      </c>
      <c r="E81" s="6">
        <f>IFERROR(__xludf.DUMMYFUNCTION("""COMPUTED_VALUE"""),840.7)</f>
        <v>840.7</v>
      </c>
      <c r="F81" s="6">
        <f>IFERROR(__xludf.DUMMYFUNCTION("""COMPUTED_VALUE"""),2.3739706E7)</f>
        <v>23739706</v>
      </c>
    </row>
    <row r="82">
      <c r="A82" s="7">
        <f>IFERROR(__xludf.DUMMYFUNCTION("""COMPUTED_VALUE"""),45764.64583333333)</f>
        <v>45764.64583</v>
      </c>
      <c r="B82" s="6">
        <f>IFERROR(__xludf.DUMMYFUNCTION("""COMPUTED_VALUE"""),840.7)</f>
        <v>840.7</v>
      </c>
      <c r="C82" s="6">
        <f>IFERROR(__xludf.DUMMYFUNCTION("""COMPUTED_VALUE"""),880.0)</f>
        <v>880</v>
      </c>
      <c r="D82" s="6">
        <f>IFERROR(__xludf.DUMMYFUNCTION("""COMPUTED_VALUE"""),827.5)</f>
        <v>827.5</v>
      </c>
      <c r="E82" s="6">
        <f>IFERROR(__xludf.DUMMYFUNCTION("""COMPUTED_VALUE"""),849.6)</f>
        <v>849.6</v>
      </c>
      <c r="F82" s="6">
        <f>IFERROR(__xludf.DUMMYFUNCTION("""COMPUTED_VALUE"""),1.9368231E7)</f>
        <v>19368231</v>
      </c>
    </row>
    <row r="83">
      <c r="A83" s="7">
        <f>IFERROR(__xludf.DUMMYFUNCTION("""COMPUTED_VALUE"""),45772.64583333333)</f>
        <v>45772.64583</v>
      </c>
      <c r="B83" s="6">
        <f>IFERROR(__xludf.DUMMYFUNCTION("""COMPUTED_VALUE"""),853.3)</f>
        <v>853.3</v>
      </c>
      <c r="C83" s="6">
        <f>IFERROR(__xludf.DUMMYFUNCTION("""COMPUTED_VALUE"""),912.75)</f>
        <v>912.75</v>
      </c>
      <c r="D83" s="6">
        <f>IFERROR(__xludf.DUMMYFUNCTION("""COMPUTED_VALUE"""),852.0)</f>
        <v>852</v>
      </c>
      <c r="E83" s="6">
        <f>IFERROR(__xludf.DUMMYFUNCTION("""COMPUTED_VALUE"""),875.65)</f>
        <v>875.65</v>
      </c>
      <c r="F83" s="6">
        <f>IFERROR(__xludf.DUMMYFUNCTION("""COMPUTED_VALUE"""),2.2949814E7)</f>
        <v>22949814</v>
      </c>
    </row>
    <row r="84">
      <c r="A84" s="7">
        <f>IFERROR(__xludf.DUMMYFUNCTION("""COMPUTED_VALUE"""),45779.64583333333)</f>
        <v>45779.64583</v>
      </c>
      <c r="B84" s="6">
        <f>IFERROR(__xludf.DUMMYFUNCTION("""COMPUTED_VALUE"""),877.05)</f>
        <v>877.05</v>
      </c>
      <c r="C84" s="6">
        <f>IFERROR(__xludf.DUMMYFUNCTION("""COMPUTED_VALUE"""),893.0)</f>
        <v>893</v>
      </c>
      <c r="D84" s="6">
        <f>IFERROR(__xludf.DUMMYFUNCTION("""COMPUTED_VALUE"""),828.4)</f>
        <v>828.4</v>
      </c>
      <c r="E84" s="6">
        <f>IFERROR(__xludf.DUMMYFUNCTION("""COMPUTED_VALUE"""),833.05)</f>
        <v>833.05</v>
      </c>
      <c r="F84" s="6">
        <f>IFERROR(__xludf.DUMMYFUNCTION("""COMPUTED_VALUE"""),1.572307E7)</f>
        <v>15723070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IFERROR(__xludf.DUMMYFUNCTION("""COMPUTED_VALUE"""),839.0)</f>
        <v>839</v>
      </c>
      <c r="C85" s="6">
        <f>IFERROR(__xludf.DUMMYFUNCTION("""COMPUTED_VALUE"""),892.4)</f>
        <v>892.4</v>
      </c>
      <c r="D85" s="6">
        <f>IFERROR(__xludf.DUMMYFUNCTION("""COMPUTED_VALUE"""),808.0)</f>
        <v>808</v>
      </c>
      <c r="E85" s="6">
        <f>IFERROR(__xludf.DUMMYFUNCTION("""COMPUTED_VALUE"""),832.65)</f>
        <v>832.65</v>
      </c>
      <c r="F85" s="6">
        <f>IFERROR(__xludf.DUMMYFUNCTION("""COMPUTED_VALUE"""),3.6422654E7)</f>
        <v>36422654</v>
      </c>
    </row>
    <row r="86">
      <c r="A86" s="7">
        <f>IFERROR(__xludf.DUMMYFUNCTION("""COMPUTED_VALUE"""),45793.64583333333)</f>
        <v>45793.64583</v>
      </c>
      <c r="B86" s="6">
        <f>IFERROR(__xludf.DUMMYFUNCTION("""COMPUTED_VALUE"""),866.0)</f>
        <v>866</v>
      </c>
      <c r="C86" s="6">
        <f>IFERROR(__xludf.DUMMYFUNCTION("""COMPUTED_VALUE"""),869.65)</f>
        <v>869.65</v>
      </c>
      <c r="D86" s="6">
        <f>IFERROR(__xludf.DUMMYFUNCTION("""COMPUTED_VALUE"""),829.0)</f>
        <v>829</v>
      </c>
      <c r="E86" s="6">
        <f>IFERROR(__xludf.DUMMYFUNCTION("""COMPUTED_VALUE"""),852.35)</f>
        <v>852.35</v>
      </c>
      <c r="F86" s="6">
        <f>IFERROR(__xludf.DUMMYFUNCTION("""COMPUTED_VALUE"""),4.6333314E7)</f>
        <v>46333314</v>
      </c>
    </row>
    <row r="87">
      <c r="A87" s="7">
        <f>IFERROR(__xludf.DUMMYFUNCTION("""COMPUTED_VALUE"""),45800.64583333333)</f>
        <v>45800.64583</v>
      </c>
      <c r="B87" s="6">
        <f>IFERROR(__xludf.DUMMYFUNCTION("""COMPUTED_VALUE"""),855.0)</f>
        <v>855</v>
      </c>
      <c r="C87" s="6">
        <f>IFERROR(__xludf.DUMMYFUNCTION("""COMPUTED_VALUE"""),881.85)</f>
        <v>881.85</v>
      </c>
      <c r="D87" s="6">
        <f>IFERROR(__xludf.DUMMYFUNCTION("""COMPUTED_VALUE"""),818.0)</f>
        <v>818</v>
      </c>
      <c r="E87" s="6">
        <f>IFERROR(__xludf.DUMMYFUNCTION("""COMPUTED_VALUE"""),843.95)</f>
        <v>843.95</v>
      </c>
      <c r="F87" s="6">
        <f>IFERROR(__xludf.DUMMYFUNCTION("""COMPUTED_VALUE"""),2.3149348E7)</f>
        <v>23149348</v>
      </c>
    </row>
    <row r="88">
      <c r="A88" s="7">
        <f>IFERROR(__xludf.DUMMYFUNCTION("""COMPUTED_VALUE"""),45807.64583333333)</f>
        <v>45807.64583</v>
      </c>
      <c r="B88" s="6">
        <f>IFERROR(__xludf.DUMMYFUNCTION("""COMPUTED_VALUE"""),851.4)</f>
        <v>851.4</v>
      </c>
      <c r="C88" s="6">
        <f>IFERROR(__xludf.DUMMYFUNCTION("""COMPUTED_VALUE"""),895.35)</f>
        <v>895.35</v>
      </c>
      <c r="D88" s="6">
        <f>IFERROR(__xludf.DUMMYFUNCTION("""COMPUTED_VALUE"""),849.2)</f>
        <v>849.2</v>
      </c>
      <c r="E88" s="6">
        <f>IFERROR(__xludf.DUMMYFUNCTION("""COMPUTED_VALUE"""),890.45)</f>
        <v>890.45</v>
      </c>
      <c r="F88" s="6">
        <f>IFERROR(__xludf.DUMMYFUNCTION("""COMPUTED_VALUE"""),1.8875929E7)</f>
        <v>18875929</v>
      </c>
    </row>
    <row r="89">
      <c r="A89" s="7">
        <f>IFERROR(__xludf.DUMMYFUNCTION("""COMPUTED_VALUE"""),45814.64583333333)</f>
        <v>45814.64583</v>
      </c>
      <c r="B89" s="6">
        <f>IFERROR(__xludf.DUMMYFUNCTION("""COMPUTED_VALUE"""),888.9)</f>
        <v>888.9</v>
      </c>
      <c r="C89" s="6">
        <f>IFERROR(__xludf.DUMMYFUNCTION("""COMPUTED_VALUE"""),968.9)</f>
        <v>968.9</v>
      </c>
      <c r="D89" s="6">
        <f>IFERROR(__xludf.DUMMYFUNCTION("""COMPUTED_VALUE"""),883.65)</f>
        <v>883.65</v>
      </c>
      <c r="E89" s="6">
        <f>IFERROR(__xludf.DUMMYFUNCTION("""COMPUTED_VALUE"""),961.95)</f>
        <v>961.95</v>
      </c>
      <c r="F89" s="6">
        <f>IFERROR(__xludf.DUMMYFUNCTION("""COMPUTED_VALUE"""),3.2897588E7)</f>
        <v>32897588</v>
      </c>
    </row>
    <row r="90">
      <c r="A90" s="7">
        <f>IFERROR(__xludf.DUMMYFUNCTION("""COMPUTED_VALUE"""),45821.64583333333)</f>
        <v>45821.64583</v>
      </c>
      <c r="B90" s="6">
        <f>IFERROR(__xludf.DUMMYFUNCTION("""COMPUTED_VALUE"""),966.25)</f>
        <v>966.25</v>
      </c>
      <c r="C90" s="6">
        <f>IFERROR(__xludf.DUMMYFUNCTION("""COMPUTED_VALUE"""),978.0)</f>
        <v>978</v>
      </c>
      <c r="D90" s="6">
        <f>IFERROR(__xludf.DUMMYFUNCTION("""COMPUTED_VALUE"""),864.4)</f>
        <v>864.4</v>
      </c>
      <c r="E90" s="6">
        <f>IFERROR(__xludf.DUMMYFUNCTION("""COMPUTED_VALUE"""),882.25)</f>
        <v>882.25</v>
      </c>
      <c r="F90" s="6">
        <f>IFERROR(__xludf.DUMMYFUNCTION("""COMPUTED_VALUE"""),3.9606861E7)</f>
        <v>39606861</v>
      </c>
    </row>
    <row r="91">
      <c r="A91" s="7">
        <f>IFERROR(__xludf.DUMMYFUNCTION("""COMPUTED_VALUE"""),45828.64583333333)</f>
        <v>45828.64583</v>
      </c>
      <c r="B91" s="6">
        <f>IFERROR(__xludf.DUMMYFUNCTION("""COMPUTED_VALUE"""),886.65)</f>
        <v>886.65</v>
      </c>
      <c r="C91" s="6">
        <f>IFERROR(__xludf.DUMMYFUNCTION("""COMPUTED_VALUE"""),896.5)</f>
        <v>896.5</v>
      </c>
      <c r="D91" s="6">
        <f>IFERROR(__xludf.DUMMYFUNCTION("""COMPUTED_VALUE"""),857.15)</f>
        <v>857.15</v>
      </c>
      <c r="E91" s="6">
        <f>IFERROR(__xludf.DUMMYFUNCTION("""COMPUTED_VALUE"""),871.2)</f>
        <v>871.2</v>
      </c>
      <c r="F91" s="6">
        <f>IFERROR(__xludf.DUMMYFUNCTION("""COMPUTED_VALUE"""),2.473689E7)</f>
        <v>24736890</v>
      </c>
    </row>
    <row r="92">
      <c r="A92" s="7">
        <f>IFERROR(__xludf.DUMMYFUNCTION("""COMPUTED_VALUE"""),45835.64583333333)</f>
        <v>45835.64583</v>
      </c>
      <c r="B92" s="6">
        <f>IFERROR(__xludf.DUMMYFUNCTION("""COMPUTED_VALUE"""),865.0)</f>
        <v>865</v>
      </c>
      <c r="C92" s="6">
        <f>IFERROR(__xludf.DUMMYFUNCTION("""COMPUTED_VALUE"""),921.95)</f>
        <v>921.95</v>
      </c>
      <c r="D92" s="6">
        <f>IFERROR(__xludf.DUMMYFUNCTION("""COMPUTED_VALUE"""),862.0)</f>
        <v>862</v>
      </c>
      <c r="E92" s="6">
        <f>IFERROR(__xludf.DUMMYFUNCTION("""COMPUTED_VALUE"""),919.35)</f>
        <v>919.35</v>
      </c>
      <c r="F92" s="6">
        <f>IFERROR(__xludf.DUMMYFUNCTION("""COMPUTED_VALUE"""),1.9093885E7)</f>
        <v>19093885</v>
      </c>
    </row>
    <row r="93">
      <c r="A93" s="7">
        <f>IFERROR(__xludf.DUMMYFUNCTION("""COMPUTED_VALUE"""),45842.64583333333)</f>
        <v>45842.64583</v>
      </c>
      <c r="B93" s="6">
        <f>IFERROR(__xludf.DUMMYFUNCTION("""COMPUTED_VALUE"""),919.0)</f>
        <v>919</v>
      </c>
      <c r="C93" s="6">
        <f>IFERROR(__xludf.DUMMYFUNCTION("""COMPUTED_VALUE"""),936.9)</f>
        <v>936.9</v>
      </c>
      <c r="D93" s="6">
        <f>IFERROR(__xludf.DUMMYFUNCTION("""COMPUTED_VALUE"""),911.0)</f>
        <v>911</v>
      </c>
      <c r="E93" s="6">
        <f>IFERROR(__xludf.DUMMYFUNCTION("""COMPUTED_VALUE"""),930.85)</f>
        <v>930.85</v>
      </c>
      <c r="F93" s="6">
        <f>IFERROR(__xludf.DUMMYFUNCTION("""COMPUTED_VALUE"""),1.3576852E7)</f>
        <v>13576852</v>
      </c>
    </row>
    <row r="94">
      <c r="A94" s="7">
        <f>IFERROR(__xludf.DUMMYFUNCTION("""COMPUTED_VALUE"""),45849.64583333333)</f>
        <v>45849.64583</v>
      </c>
      <c r="B94" s="6">
        <f>IFERROR(__xludf.DUMMYFUNCTION("""COMPUTED_VALUE"""),930.85)</f>
        <v>930.85</v>
      </c>
      <c r="C94" s="6">
        <f>IFERROR(__xludf.DUMMYFUNCTION("""COMPUTED_VALUE"""),957.35)</f>
        <v>957.35</v>
      </c>
      <c r="D94" s="6">
        <f>IFERROR(__xludf.DUMMYFUNCTION("""COMPUTED_VALUE"""),896.1)</f>
        <v>896.1</v>
      </c>
      <c r="E94" s="6">
        <f>IFERROR(__xludf.DUMMYFUNCTION("""COMPUTED_VALUE"""),951.15)</f>
        <v>951.15</v>
      </c>
      <c r="F94" s="6">
        <f>IFERROR(__xludf.DUMMYFUNCTION("""COMPUTED_VALUE"""),1.7487542E7)</f>
        <v>17487542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IFERROR(__xludf.DUMMYFUNCTION("""COMPUTED_VALUE"""),943.0)</f>
        <v>943</v>
      </c>
      <c r="C95" s="6">
        <f>IFERROR(__xludf.DUMMYFUNCTION("""COMPUTED_VALUE"""),1014.3)</f>
        <v>1014.3</v>
      </c>
      <c r="D95" s="6">
        <f>IFERROR(__xludf.DUMMYFUNCTION("""COMPUTED_VALUE"""),935.1)</f>
        <v>935.1</v>
      </c>
      <c r="E95" s="6">
        <f>IFERROR(__xludf.DUMMYFUNCTION("""COMPUTED_VALUE"""),1001.6)</f>
        <v>1001.6</v>
      </c>
      <c r="F95" s="6">
        <f>IFERROR(__xludf.DUMMYFUNCTION("""COMPUTED_VALUE"""),2.1788139E7)</f>
        <v>21788139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IFERROR(__xludf.DUMMYFUNCTION("""COMPUTED_VALUE"""),1001.6)</f>
        <v>1001.6</v>
      </c>
      <c r="C96" s="6">
        <f>IFERROR(__xludf.DUMMYFUNCTION("""COMPUTED_VALUE"""),1128.5)</f>
        <v>1128.5</v>
      </c>
      <c r="D96" s="6">
        <f>IFERROR(__xludf.DUMMYFUNCTION("""COMPUTED_VALUE"""),998.0)</f>
        <v>998</v>
      </c>
      <c r="E96" s="6">
        <f>IFERROR(__xludf.DUMMYFUNCTION("""COMPUTED_VALUE"""),1067.75)</f>
        <v>1067.75</v>
      </c>
      <c r="F96" s="6">
        <f>IFERROR(__xludf.DUMMYFUNCTION("""COMPUTED_VALUE"""),6.1587372E7)</f>
        <v>61587372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IFERROR(__xludf.DUMMYFUNCTION("""COMPUTED_VALUE"""),1068.0)</f>
        <v>1068</v>
      </c>
      <c r="C97" s="6">
        <f>IFERROR(__xludf.DUMMYFUNCTION("""COMPUTED_VALUE"""),1110.6)</f>
        <v>1110.6</v>
      </c>
      <c r="D97" s="6">
        <f>IFERROR(__xludf.DUMMYFUNCTION("""COMPUTED_VALUE"""),1046.25)</f>
        <v>1046.25</v>
      </c>
      <c r="E97" s="6">
        <f>IFERROR(__xludf.DUMMYFUNCTION("""COMPUTED_VALUE"""),1076.4)</f>
        <v>1076.4</v>
      </c>
      <c r="F97" s="6">
        <f>IFERROR(__xludf.DUMMYFUNCTION("""COMPUTED_VALUE"""),2.3505411E7)</f>
        <v>23505411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IFERROR(__xludf.DUMMYFUNCTION("""COMPUTED_VALUE"""),1080.0)</f>
        <v>1080</v>
      </c>
      <c r="C98" s="6">
        <f>IFERROR(__xludf.DUMMYFUNCTION("""COMPUTED_VALUE"""),1091.0)</f>
        <v>1091</v>
      </c>
      <c r="D98" s="6">
        <f>IFERROR(__xludf.DUMMYFUNCTION("""COMPUTED_VALUE"""),1032.4)</f>
        <v>1032.4</v>
      </c>
      <c r="E98" s="6">
        <f>IFERROR(__xludf.DUMMYFUNCTION("""COMPUTED_VALUE"""),1062.4)</f>
        <v>1062.4</v>
      </c>
      <c r="F98" s="6">
        <f>IFERROR(__xludf.DUMMYFUNCTION("""COMPUTED_VALUE"""),4.3836814E7)</f>
        <v>43836814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IFERROR(__xludf.DUMMYFUNCTION("""COMPUTED_VALUE"""),1063.0)</f>
        <v>1063</v>
      </c>
      <c r="C99" s="6">
        <f>IFERROR(__xludf.DUMMYFUNCTION("""COMPUTED_VALUE"""),1187.0)</f>
        <v>1187</v>
      </c>
      <c r="D99" s="6">
        <f>IFERROR(__xludf.DUMMYFUNCTION("""COMPUTED_VALUE"""),1050.4)</f>
        <v>1050.4</v>
      </c>
      <c r="E99" s="6">
        <f>IFERROR(__xludf.DUMMYFUNCTION("""COMPUTED_VALUE"""),1151.3)</f>
        <v>1151.3</v>
      </c>
      <c r="F99" s="6">
        <f>IFERROR(__xludf.DUMMYFUNCTION("""COMPUTED_VALUE"""),3.9231378E7)</f>
        <v>39231378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IFERROR(__xludf.DUMMYFUNCTION("""COMPUTED_VALUE"""),1160.0)</f>
        <v>1160</v>
      </c>
      <c r="C100" s="6">
        <f>IFERROR(__xludf.DUMMYFUNCTION("""COMPUTED_VALUE"""),1277.8)</f>
        <v>1277.8</v>
      </c>
      <c r="D100" s="6">
        <f>IFERROR(__xludf.DUMMYFUNCTION("""COMPUTED_VALUE"""),1150.5)</f>
        <v>1150.5</v>
      </c>
      <c r="E100" s="6">
        <f>IFERROR(__xludf.DUMMYFUNCTION("""COMPUTED_VALUE"""),1264.6)</f>
        <v>1264.6</v>
      </c>
      <c r="F100" s="6">
        <f>IFERROR(__xludf.DUMMYFUNCTION("""COMPUTED_VALUE"""),2.8070473E7)</f>
        <v>28070473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IFERROR(__xludf.DUMMYFUNCTION("""COMPUTED_VALUE"""),1270.0)</f>
        <v>1270</v>
      </c>
      <c r="C101" s="6">
        <f>IFERROR(__xludf.DUMMYFUNCTION("""COMPUTED_VALUE"""),1291.6)</f>
        <v>1291.6</v>
      </c>
      <c r="D101" s="6">
        <f>IFERROR(__xludf.DUMMYFUNCTION("""COMPUTED_VALUE"""),1248.0)</f>
        <v>1248</v>
      </c>
      <c r="E101" s="6">
        <f>IFERROR(__xludf.DUMMYFUNCTION("""COMPUTED_VALUE"""),1253.1)</f>
        <v>1253.1</v>
      </c>
      <c r="F101" s="6">
        <f>IFERROR(__xludf.DUMMYFUNCTION("""COMPUTED_VALUE"""),9.3784007E7)</f>
        <v>93784007</v>
      </c>
    </row>
  </sheetData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IFERROR(__xludf.DUMMYFUNCTION("GOOGLEFINANCE(""NSE:PERSISTENT"",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IFERROR(__xludf.DUMMYFUNCTION("""COMPUTED_VALUE"""),2574.98)</f>
        <v>2574.98</v>
      </c>
      <c r="C2" s="6">
        <f>IFERROR(__xludf.DUMMYFUNCTION("""COMPUTED_VALUE"""),2786.45)</f>
        <v>2786.45</v>
      </c>
      <c r="D2" s="6">
        <f>IFERROR(__xludf.DUMMYFUNCTION("""COMPUTED_VALUE"""),2517.3)</f>
        <v>2517.3</v>
      </c>
      <c r="E2" s="6">
        <f>IFERROR(__xludf.DUMMYFUNCTION("""COMPUTED_VALUE"""),2771.65)</f>
        <v>2771.65</v>
      </c>
      <c r="F2" s="6">
        <f>IFERROR(__xludf.DUMMYFUNCTION("""COMPUTED_VALUE"""),2147227.0)</f>
        <v>2147227</v>
      </c>
    </row>
    <row r="3">
      <c r="A3" s="7">
        <f>IFERROR(__xludf.DUMMYFUNCTION("""COMPUTED_VALUE"""),45177.64583333333)</f>
        <v>45177.64583</v>
      </c>
      <c r="B3" s="6">
        <f>IFERROR(__xludf.DUMMYFUNCTION("""COMPUTED_VALUE"""),2784.0)</f>
        <v>2784</v>
      </c>
      <c r="C3" s="6">
        <f>IFERROR(__xludf.DUMMYFUNCTION("""COMPUTED_VALUE"""),2998.98)</f>
        <v>2998.98</v>
      </c>
      <c r="D3" s="6">
        <f>IFERROR(__xludf.DUMMYFUNCTION("""COMPUTED_VALUE"""),2775.63)</f>
        <v>2775.63</v>
      </c>
      <c r="E3" s="6">
        <f>IFERROR(__xludf.DUMMYFUNCTION("""COMPUTED_VALUE"""),2985.53)</f>
        <v>2985.53</v>
      </c>
      <c r="F3" s="6">
        <f>IFERROR(__xludf.DUMMYFUNCTION("""COMPUTED_VALUE"""),2531463.0)</f>
        <v>2531463</v>
      </c>
    </row>
    <row r="4">
      <c r="A4" s="7">
        <f>IFERROR(__xludf.DUMMYFUNCTION("""COMPUTED_VALUE"""),45184.64583333333)</f>
        <v>45184.64583</v>
      </c>
      <c r="B4" s="6">
        <f>IFERROR(__xludf.DUMMYFUNCTION("""COMPUTED_VALUE"""),2987.0)</f>
        <v>2987</v>
      </c>
      <c r="C4" s="6">
        <f>IFERROR(__xludf.DUMMYFUNCTION("""COMPUTED_VALUE"""),3017.5)</f>
        <v>3017.5</v>
      </c>
      <c r="D4" s="6">
        <f>IFERROR(__xludf.DUMMYFUNCTION("""COMPUTED_VALUE"""),2857.03)</f>
        <v>2857.03</v>
      </c>
      <c r="E4" s="6">
        <f>IFERROR(__xludf.DUMMYFUNCTION("""COMPUTED_VALUE"""),2982.83)</f>
        <v>2982.83</v>
      </c>
      <c r="F4" s="6">
        <f>IFERROR(__xludf.DUMMYFUNCTION("""COMPUTED_VALUE"""),1638738.0)</f>
        <v>1638738</v>
      </c>
    </row>
    <row r="5">
      <c r="A5" s="7">
        <f>IFERROR(__xludf.DUMMYFUNCTION("""COMPUTED_VALUE"""),45191.64583333333)</f>
        <v>45191.64583</v>
      </c>
      <c r="B5" s="6">
        <f>IFERROR(__xludf.DUMMYFUNCTION("""COMPUTED_VALUE"""),2989.5)</f>
        <v>2989.5</v>
      </c>
      <c r="C5" s="6">
        <f>IFERROR(__xludf.DUMMYFUNCTION("""COMPUTED_VALUE"""),2992.5)</f>
        <v>2992.5</v>
      </c>
      <c r="D5" s="6">
        <f>IFERROR(__xludf.DUMMYFUNCTION("""COMPUTED_VALUE"""),2853.03)</f>
        <v>2853.03</v>
      </c>
      <c r="E5" s="6">
        <f>IFERROR(__xludf.DUMMYFUNCTION("""COMPUTED_VALUE"""),2924.68)</f>
        <v>2924.68</v>
      </c>
      <c r="F5" s="6">
        <f>IFERROR(__xludf.DUMMYFUNCTION("""COMPUTED_VALUE"""),1316148.0)</f>
        <v>1316148</v>
      </c>
    </row>
    <row r="6">
      <c r="A6" s="7">
        <f>IFERROR(__xludf.DUMMYFUNCTION("""COMPUTED_VALUE"""),45198.64583333333)</f>
        <v>45198.64583</v>
      </c>
      <c r="B6" s="6">
        <f>IFERROR(__xludf.DUMMYFUNCTION("""COMPUTED_VALUE"""),2945.0)</f>
        <v>2945</v>
      </c>
      <c r="C6" s="6">
        <f>IFERROR(__xludf.DUMMYFUNCTION("""COMPUTED_VALUE"""),2978.8)</f>
        <v>2978.8</v>
      </c>
      <c r="D6" s="6">
        <f>IFERROR(__xludf.DUMMYFUNCTION("""COMPUTED_VALUE"""),2803.83)</f>
        <v>2803.83</v>
      </c>
      <c r="E6" s="6">
        <f>IFERROR(__xludf.DUMMYFUNCTION("""COMPUTED_VALUE"""),2898.35)</f>
        <v>2898.35</v>
      </c>
      <c r="F6" s="6">
        <f>IFERROR(__xludf.DUMMYFUNCTION("""COMPUTED_VALUE"""),1767073.0)</f>
        <v>1767073</v>
      </c>
    </row>
    <row r="7">
      <c r="A7" s="7">
        <f>IFERROR(__xludf.DUMMYFUNCTION("""COMPUTED_VALUE"""),45205.64583333333)</f>
        <v>45205.64583</v>
      </c>
      <c r="B7" s="6">
        <f>IFERROR(__xludf.DUMMYFUNCTION("""COMPUTED_VALUE"""),2887.43)</f>
        <v>2887.43</v>
      </c>
      <c r="C7" s="6">
        <f>IFERROR(__xludf.DUMMYFUNCTION("""COMPUTED_VALUE"""),2904.5)</f>
        <v>2904.5</v>
      </c>
      <c r="D7" s="6">
        <f>IFERROR(__xludf.DUMMYFUNCTION("""COMPUTED_VALUE"""),2815.0)</f>
        <v>2815</v>
      </c>
      <c r="E7" s="6">
        <f>IFERROR(__xludf.DUMMYFUNCTION("""COMPUTED_VALUE"""),2874.03)</f>
        <v>2874.03</v>
      </c>
      <c r="F7" s="6">
        <f>IFERROR(__xludf.DUMMYFUNCTION("""COMPUTED_VALUE"""),1099421.0)</f>
        <v>1099421</v>
      </c>
    </row>
    <row r="8">
      <c r="A8" s="7">
        <f>IFERROR(__xludf.DUMMYFUNCTION("""COMPUTED_VALUE"""),45212.64583333333)</f>
        <v>45212.64583</v>
      </c>
      <c r="B8" s="6">
        <f>IFERROR(__xludf.DUMMYFUNCTION("""COMPUTED_VALUE"""),2867.48)</f>
        <v>2867.48</v>
      </c>
      <c r="C8" s="6">
        <f>IFERROR(__xludf.DUMMYFUNCTION("""COMPUTED_VALUE"""),2942.5)</f>
        <v>2942.5</v>
      </c>
      <c r="D8" s="6">
        <f>IFERROR(__xludf.DUMMYFUNCTION("""COMPUTED_VALUE"""),2788.4)</f>
        <v>2788.4</v>
      </c>
      <c r="E8" s="6">
        <f>IFERROR(__xludf.DUMMYFUNCTION("""COMPUTED_VALUE"""),2882.73)</f>
        <v>2882.73</v>
      </c>
      <c r="F8" s="6">
        <f>IFERROR(__xludf.DUMMYFUNCTION("""COMPUTED_VALUE"""),2071572.0)</f>
        <v>2071572</v>
      </c>
    </row>
    <row r="9">
      <c r="A9" s="7">
        <f>IFERROR(__xludf.DUMMYFUNCTION("""COMPUTED_VALUE"""),45219.64583333333)</f>
        <v>45219.64583</v>
      </c>
      <c r="B9" s="6">
        <f>IFERROR(__xludf.DUMMYFUNCTION("""COMPUTED_VALUE"""),2892.43)</f>
        <v>2892.43</v>
      </c>
      <c r="C9" s="6">
        <f>IFERROR(__xludf.DUMMYFUNCTION("""COMPUTED_VALUE"""),2974.48)</f>
        <v>2974.48</v>
      </c>
      <c r="D9" s="6">
        <f>IFERROR(__xludf.DUMMYFUNCTION("""COMPUTED_VALUE"""),2812.88)</f>
        <v>2812.88</v>
      </c>
      <c r="E9" s="6">
        <f>IFERROR(__xludf.DUMMYFUNCTION("""COMPUTED_VALUE"""),2953.65)</f>
        <v>2953.65</v>
      </c>
      <c r="F9" s="6">
        <f>IFERROR(__xludf.DUMMYFUNCTION("""COMPUTED_VALUE"""),2457400.0)</f>
        <v>2457400</v>
      </c>
    </row>
    <row r="10">
      <c r="A10" s="7">
        <f>IFERROR(__xludf.DUMMYFUNCTION("""COMPUTED_VALUE"""),45226.64583333333)</f>
        <v>45226.64583</v>
      </c>
      <c r="B10" s="6">
        <f>IFERROR(__xludf.DUMMYFUNCTION("""COMPUTED_VALUE"""),2953.03)</f>
        <v>2953.03</v>
      </c>
      <c r="C10" s="6">
        <f>IFERROR(__xludf.DUMMYFUNCTION("""COMPUTED_VALUE"""),3072.75)</f>
        <v>3072.75</v>
      </c>
      <c r="D10" s="6">
        <f>IFERROR(__xludf.DUMMYFUNCTION("""COMPUTED_VALUE"""),2840.0)</f>
        <v>2840</v>
      </c>
      <c r="E10" s="6">
        <f>IFERROR(__xludf.DUMMYFUNCTION("""COMPUTED_VALUE"""),3041.88)</f>
        <v>3041.88</v>
      </c>
      <c r="F10" s="6">
        <f>IFERROR(__xludf.DUMMYFUNCTION("""COMPUTED_VALUE"""),2410212.0)</f>
        <v>2410212</v>
      </c>
    </row>
    <row r="11">
      <c r="A11" s="7">
        <f>IFERROR(__xludf.DUMMYFUNCTION("""COMPUTED_VALUE"""),45233.64583333333)</f>
        <v>45233.64583</v>
      </c>
      <c r="B11" s="6">
        <f>IFERROR(__xludf.DUMMYFUNCTION("""COMPUTED_VALUE"""),3068.68)</f>
        <v>3068.68</v>
      </c>
      <c r="C11" s="6">
        <f>IFERROR(__xludf.DUMMYFUNCTION("""COMPUTED_VALUE"""),3159.0)</f>
        <v>3159</v>
      </c>
      <c r="D11" s="6">
        <f>IFERROR(__xludf.DUMMYFUNCTION("""COMPUTED_VALUE"""),3020.63)</f>
        <v>3020.63</v>
      </c>
      <c r="E11" s="6">
        <f>IFERROR(__xludf.DUMMYFUNCTION("""COMPUTED_VALUE"""),3143.08)</f>
        <v>3143.08</v>
      </c>
      <c r="F11" s="6">
        <f>IFERROR(__xludf.DUMMYFUNCTION("""COMPUTED_VALUE"""),2014123.0)</f>
        <v>2014123</v>
      </c>
    </row>
    <row r="12">
      <c r="A12" s="7">
        <f>IFERROR(__xludf.DUMMYFUNCTION("""COMPUTED_VALUE"""),45240.64583333333)</f>
        <v>45240.64583</v>
      </c>
      <c r="B12" s="6">
        <f>IFERROR(__xludf.DUMMYFUNCTION("""COMPUTED_VALUE"""),3152.5)</f>
        <v>3152.5</v>
      </c>
      <c r="C12" s="6">
        <f>IFERROR(__xludf.DUMMYFUNCTION("""COMPUTED_VALUE"""),3173.25)</f>
        <v>3173.25</v>
      </c>
      <c r="D12" s="6">
        <f>IFERROR(__xludf.DUMMYFUNCTION("""COMPUTED_VALUE"""),3063.8)</f>
        <v>3063.8</v>
      </c>
      <c r="E12" s="6">
        <f>IFERROR(__xludf.DUMMYFUNCTION("""COMPUTED_VALUE"""),3123.08)</f>
        <v>3123.08</v>
      </c>
      <c r="F12" s="6">
        <f>IFERROR(__xludf.DUMMYFUNCTION("""COMPUTED_VALUE"""),1162775.0)</f>
        <v>1162775</v>
      </c>
    </row>
    <row r="13">
      <c r="A13" s="7">
        <f>IFERROR(__xludf.DUMMYFUNCTION("""COMPUTED_VALUE"""),45247.64583333333)</f>
        <v>45247.64583</v>
      </c>
      <c r="B13" s="6">
        <f>IFERROR(__xludf.DUMMYFUNCTION("""COMPUTED_VALUE"""),3155.0)</f>
        <v>3155</v>
      </c>
      <c r="C13" s="6">
        <f>IFERROR(__xludf.DUMMYFUNCTION("""COMPUTED_VALUE"""),3240.18)</f>
        <v>3240.18</v>
      </c>
      <c r="D13" s="6">
        <f>IFERROR(__xludf.DUMMYFUNCTION("""COMPUTED_VALUE"""),3071.45)</f>
        <v>3071.45</v>
      </c>
      <c r="E13" s="6">
        <f>IFERROR(__xludf.DUMMYFUNCTION("""COMPUTED_VALUE"""),3193.43)</f>
        <v>3193.43</v>
      </c>
      <c r="F13" s="6">
        <f>IFERROR(__xludf.DUMMYFUNCTION("""COMPUTED_VALUE"""),1941961.0)</f>
        <v>1941961</v>
      </c>
    </row>
    <row r="14">
      <c r="A14" s="7">
        <f>IFERROR(__xludf.DUMMYFUNCTION("""COMPUTED_VALUE"""),45254.64583333333)</f>
        <v>45254.64583</v>
      </c>
      <c r="B14" s="6">
        <f>IFERROR(__xludf.DUMMYFUNCTION("""COMPUTED_VALUE"""),3204.5)</f>
        <v>3204.5</v>
      </c>
      <c r="C14" s="6">
        <f>IFERROR(__xludf.DUMMYFUNCTION("""COMPUTED_VALUE"""),3312.33)</f>
        <v>3312.33</v>
      </c>
      <c r="D14" s="6">
        <f>IFERROR(__xludf.DUMMYFUNCTION("""COMPUTED_VALUE"""),3163.35)</f>
        <v>3163.35</v>
      </c>
      <c r="E14" s="6">
        <f>IFERROR(__xludf.DUMMYFUNCTION("""COMPUTED_VALUE"""),3195.18)</f>
        <v>3195.18</v>
      </c>
      <c r="F14" s="6">
        <f>IFERROR(__xludf.DUMMYFUNCTION("""COMPUTED_VALUE"""),2429337.0)</f>
        <v>2429337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IFERROR(__xludf.DUMMYFUNCTION("""COMPUTED_VALUE"""),3212.5)</f>
        <v>3212.5</v>
      </c>
      <c r="C15" s="6">
        <f>IFERROR(__xludf.DUMMYFUNCTION("""COMPUTED_VALUE"""),3255.0)</f>
        <v>3255</v>
      </c>
      <c r="D15" s="6">
        <f>IFERROR(__xludf.DUMMYFUNCTION("""COMPUTED_VALUE"""),3138.0)</f>
        <v>3138</v>
      </c>
      <c r="E15" s="6">
        <f>IFERROR(__xludf.DUMMYFUNCTION("""COMPUTED_VALUE"""),3216.65)</f>
        <v>3216.65</v>
      </c>
      <c r="F15" s="6">
        <f>IFERROR(__xludf.DUMMYFUNCTION("""COMPUTED_VALUE"""),8479656.0)</f>
        <v>8479656</v>
      </c>
    </row>
    <row r="16">
      <c r="A16" s="7">
        <f>IFERROR(__xludf.DUMMYFUNCTION("""COMPUTED_VALUE"""),45268.64583333333)</f>
        <v>45268.64583</v>
      </c>
      <c r="B16" s="6">
        <f>IFERROR(__xludf.DUMMYFUNCTION("""COMPUTED_VALUE"""),3250.5)</f>
        <v>3250.5</v>
      </c>
      <c r="C16" s="6">
        <f>IFERROR(__xludf.DUMMYFUNCTION("""COMPUTED_VALUE"""),3268.0)</f>
        <v>3268</v>
      </c>
      <c r="D16" s="6">
        <f>IFERROR(__xludf.DUMMYFUNCTION("""COMPUTED_VALUE"""),3135.4)</f>
        <v>3135.4</v>
      </c>
      <c r="E16" s="6">
        <f>IFERROR(__xludf.DUMMYFUNCTION("""COMPUTED_VALUE"""),3232.25)</f>
        <v>3232.25</v>
      </c>
      <c r="F16" s="6">
        <f>IFERROR(__xludf.DUMMYFUNCTION("""COMPUTED_VALUE"""),1694612.0)</f>
        <v>1694612</v>
      </c>
    </row>
    <row r="17">
      <c r="A17" s="7">
        <f>IFERROR(__xludf.DUMMYFUNCTION("""COMPUTED_VALUE"""),45275.64583333333)</f>
        <v>45275.64583</v>
      </c>
      <c r="B17" s="6">
        <f>IFERROR(__xludf.DUMMYFUNCTION("""COMPUTED_VALUE"""),3250.0)</f>
        <v>3250</v>
      </c>
      <c r="C17" s="6">
        <f>IFERROR(__xludf.DUMMYFUNCTION("""COMPUTED_VALUE"""),3700.13)</f>
        <v>3700.13</v>
      </c>
      <c r="D17" s="6">
        <f>IFERROR(__xludf.DUMMYFUNCTION("""COMPUTED_VALUE"""),3213.13)</f>
        <v>3213.13</v>
      </c>
      <c r="E17" s="6">
        <f>IFERROR(__xludf.DUMMYFUNCTION("""COMPUTED_VALUE"""),3612.43)</f>
        <v>3612.43</v>
      </c>
      <c r="F17" s="6">
        <f>IFERROR(__xludf.DUMMYFUNCTION("""COMPUTED_VALUE"""),3146220.0)</f>
        <v>3146220</v>
      </c>
    </row>
    <row r="18">
      <c r="A18" s="7">
        <f>IFERROR(__xludf.DUMMYFUNCTION("""COMPUTED_VALUE"""),45282.64583333333)</f>
        <v>45282.64583</v>
      </c>
      <c r="B18" s="6">
        <f>IFERROR(__xludf.DUMMYFUNCTION("""COMPUTED_VALUE"""),3612.43)</f>
        <v>3612.43</v>
      </c>
      <c r="C18" s="6">
        <f>IFERROR(__xludf.DUMMYFUNCTION("""COMPUTED_VALUE"""),3745.48)</f>
        <v>3745.48</v>
      </c>
      <c r="D18" s="6">
        <f>IFERROR(__xludf.DUMMYFUNCTION("""COMPUTED_VALUE"""),3459.48)</f>
        <v>3459.48</v>
      </c>
      <c r="E18" s="6">
        <f>IFERROR(__xludf.DUMMYFUNCTION("""COMPUTED_VALUE"""),3715.68)</f>
        <v>3715.68</v>
      </c>
      <c r="F18" s="6">
        <f>IFERROR(__xludf.DUMMYFUNCTION("""COMPUTED_VALUE"""),2095568.0)</f>
        <v>2095568</v>
      </c>
    </row>
    <row r="19">
      <c r="A19" s="7">
        <f>IFERROR(__xludf.DUMMYFUNCTION("""COMPUTED_VALUE"""),45289.64583333333)</f>
        <v>45289.64583</v>
      </c>
      <c r="B19" s="6">
        <f>IFERROR(__xludf.DUMMYFUNCTION("""COMPUTED_VALUE"""),3725.0)</f>
        <v>3725</v>
      </c>
      <c r="C19" s="6">
        <f>IFERROR(__xludf.DUMMYFUNCTION("""COMPUTED_VALUE"""),3780.0)</f>
        <v>3780</v>
      </c>
      <c r="D19" s="6">
        <f>IFERROR(__xludf.DUMMYFUNCTION("""COMPUTED_VALUE"""),3662.5)</f>
        <v>3662.5</v>
      </c>
      <c r="E19" s="6">
        <f>IFERROR(__xludf.DUMMYFUNCTION("""COMPUTED_VALUE"""),3694.7)</f>
        <v>3694.7</v>
      </c>
      <c r="F19" s="6">
        <f>IFERROR(__xludf.DUMMYFUNCTION("""COMPUTED_VALUE"""),1213588.0)</f>
        <v>1213588</v>
      </c>
    </row>
    <row r="20">
      <c r="A20" s="7">
        <f>IFERROR(__xludf.DUMMYFUNCTION("""COMPUTED_VALUE"""),45296.64583333333)</f>
        <v>45296.64583</v>
      </c>
      <c r="B20" s="6">
        <f>IFERROR(__xludf.DUMMYFUNCTION("""COMPUTED_VALUE"""),3712.5)</f>
        <v>3712.5</v>
      </c>
      <c r="C20" s="6">
        <f>IFERROR(__xludf.DUMMYFUNCTION("""COMPUTED_VALUE"""),3712.5)</f>
        <v>3712.5</v>
      </c>
      <c r="D20" s="6">
        <f>IFERROR(__xludf.DUMMYFUNCTION("""COMPUTED_VALUE"""),3580.18)</f>
        <v>3580.18</v>
      </c>
      <c r="E20" s="6">
        <f>IFERROR(__xludf.DUMMYFUNCTION("""COMPUTED_VALUE"""),3675.38)</f>
        <v>3675.38</v>
      </c>
      <c r="F20" s="6">
        <f>IFERROR(__xludf.DUMMYFUNCTION("""COMPUTED_VALUE"""),1151671.0)</f>
        <v>1151671</v>
      </c>
    </row>
    <row r="21">
      <c r="A21" s="7">
        <f>IFERROR(__xludf.DUMMYFUNCTION("""COMPUTED_VALUE"""),45303.64583333333)</f>
        <v>45303.64583</v>
      </c>
      <c r="B21" s="6">
        <f>IFERROR(__xludf.DUMMYFUNCTION("""COMPUTED_VALUE"""),3682.5)</f>
        <v>3682.5</v>
      </c>
      <c r="C21" s="6">
        <f>IFERROR(__xludf.DUMMYFUNCTION("""COMPUTED_VALUE"""),3872.45)</f>
        <v>3872.45</v>
      </c>
      <c r="D21" s="6">
        <f>IFERROR(__xludf.DUMMYFUNCTION("""COMPUTED_VALUE"""),3605.05)</f>
        <v>3605.05</v>
      </c>
      <c r="E21" s="6">
        <f>IFERROR(__xludf.DUMMYFUNCTION("""COMPUTED_VALUE"""),3827.53)</f>
        <v>3827.53</v>
      </c>
      <c r="F21" s="6">
        <f>IFERROR(__xludf.DUMMYFUNCTION("""COMPUTED_VALUE"""),1274456.0)</f>
        <v>1274456</v>
      </c>
    </row>
    <row r="22">
      <c r="A22" s="7">
        <f>IFERROR(__xludf.DUMMYFUNCTION("""COMPUTED_VALUE"""),45316.64583333333)</f>
        <v>45316.64583</v>
      </c>
      <c r="B22" s="6">
        <f>IFERROR(__xludf.DUMMYFUNCTION("""COMPUTED_VALUE"""),4119.5)</f>
        <v>4119.5</v>
      </c>
      <c r="C22" s="6">
        <f>IFERROR(__xludf.DUMMYFUNCTION("""COMPUTED_VALUE"""),4356.85)</f>
        <v>4356.85</v>
      </c>
      <c r="D22" s="6">
        <f>IFERROR(__xludf.DUMMYFUNCTION("""COMPUTED_VALUE"""),4060.03)</f>
        <v>4060.03</v>
      </c>
      <c r="E22" s="6">
        <f>IFERROR(__xludf.DUMMYFUNCTION("""COMPUTED_VALUE"""),4189.38)</f>
        <v>4189.38</v>
      </c>
      <c r="F22" s="6">
        <f>IFERROR(__xludf.DUMMYFUNCTION("""COMPUTED_VALUE"""),2111456.0)</f>
        <v>2111456</v>
      </c>
    </row>
    <row r="23">
      <c r="A23" s="7">
        <f>IFERROR(__xludf.DUMMYFUNCTION("""COMPUTED_VALUE"""),45324.64583333333)</f>
        <v>45324.64583</v>
      </c>
      <c r="B23" s="6">
        <f>IFERROR(__xludf.DUMMYFUNCTION("""COMPUTED_VALUE"""),4225.0)</f>
        <v>4225</v>
      </c>
      <c r="C23" s="6">
        <f>IFERROR(__xludf.DUMMYFUNCTION("""COMPUTED_VALUE"""),4415.0)</f>
        <v>4415</v>
      </c>
      <c r="D23" s="6">
        <f>IFERROR(__xludf.DUMMYFUNCTION("""COMPUTED_VALUE"""),4101.55)</f>
        <v>4101.55</v>
      </c>
      <c r="E23" s="6">
        <f>IFERROR(__xludf.DUMMYFUNCTION("""COMPUTED_VALUE"""),4251.3)</f>
        <v>4251.3</v>
      </c>
      <c r="F23" s="6">
        <f>IFERROR(__xludf.DUMMYFUNCTION("""COMPUTED_VALUE"""),1604355.0)</f>
        <v>1604355</v>
      </c>
    </row>
    <row r="24">
      <c r="A24" s="7">
        <f>IFERROR(__xludf.DUMMYFUNCTION("""COMPUTED_VALUE"""),45331.64583333333)</f>
        <v>45331.64583</v>
      </c>
      <c r="B24" s="6">
        <f>IFERROR(__xludf.DUMMYFUNCTION("""COMPUTED_VALUE"""),4262.5)</f>
        <v>4262.5</v>
      </c>
      <c r="C24" s="6">
        <f>IFERROR(__xludf.DUMMYFUNCTION("""COMPUTED_VALUE"""),4359.75)</f>
        <v>4359.75</v>
      </c>
      <c r="D24" s="6">
        <f>IFERROR(__xludf.DUMMYFUNCTION("""COMPUTED_VALUE"""),4215.45)</f>
        <v>4215.45</v>
      </c>
      <c r="E24" s="6">
        <f>IFERROR(__xludf.DUMMYFUNCTION("""COMPUTED_VALUE"""),4319.38)</f>
        <v>4319.38</v>
      </c>
      <c r="F24" s="6">
        <f>IFERROR(__xludf.DUMMYFUNCTION("""COMPUTED_VALUE"""),894082.0)</f>
        <v>894082</v>
      </c>
    </row>
    <row r="25">
      <c r="A25" s="7">
        <f>IFERROR(__xludf.DUMMYFUNCTION("""COMPUTED_VALUE"""),45338.64583333333)</f>
        <v>45338.64583</v>
      </c>
      <c r="B25" s="6">
        <f>IFERROR(__xludf.DUMMYFUNCTION("""COMPUTED_VALUE"""),4346.0)</f>
        <v>4346</v>
      </c>
      <c r="C25" s="6">
        <f>IFERROR(__xludf.DUMMYFUNCTION("""COMPUTED_VALUE"""),4450.0)</f>
        <v>4450</v>
      </c>
      <c r="D25" s="6">
        <f>IFERROR(__xludf.DUMMYFUNCTION("""COMPUTED_VALUE"""),4257.95)</f>
        <v>4257.95</v>
      </c>
      <c r="E25" s="6">
        <f>IFERROR(__xludf.DUMMYFUNCTION("""COMPUTED_VALUE"""),4434.77)</f>
        <v>4434.77</v>
      </c>
      <c r="F25" s="6">
        <f>IFERROR(__xludf.DUMMYFUNCTION("""COMPUTED_VALUE"""),1298227.0)</f>
        <v>1298227</v>
      </c>
    </row>
    <row r="26">
      <c r="A26" s="7">
        <f>IFERROR(__xludf.DUMMYFUNCTION("""COMPUTED_VALUE"""),45345.64583333333)</f>
        <v>45345.64583</v>
      </c>
      <c r="B26" s="6">
        <f>IFERROR(__xludf.DUMMYFUNCTION("""COMPUTED_VALUE"""),4450.0)</f>
        <v>4450</v>
      </c>
      <c r="C26" s="6">
        <f>IFERROR(__xludf.DUMMYFUNCTION("""COMPUTED_VALUE"""),4450.0)</f>
        <v>4450</v>
      </c>
      <c r="D26" s="6">
        <f>IFERROR(__xludf.DUMMYFUNCTION("""COMPUTED_VALUE"""),4245.0)</f>
        <v>4245</v>
      </c>
      <c r="E26" s="6">
        <f>IFERROR(__xludf.DUMMYFUNCTION("""COMPUTED_VALUE"""),4326.15)</f>
        <v>4326.15</v>
      </c>
      <c r="F26" s="6">
        <f>IFERROR(__xludf.DUMMYFUNCTION("""COMPUTED_VALUE"""),934800.0)</f>
        <v>934800</v>
      </c>
    </row>
    <row r="27">
      <c r="A27" s="7">
        <f>IFERROR(__xludf.DUMMYFUNCTION("""COMPUTED_VALUE"""),45358.64583333333)</f>
        <v>45358.64583</v>
      </c>
      <c r="B27" s="6">
        <f>IFERROR(__xludf.DUMMYFUNCTION("""COMPUTED_VALUE"""),4287.5)</f>
        <v>4287.5</v>
      </c>
      <c r="C27" s="6">
        <f>IFERROR(__xludf.DUMMYFUNCTION("""COMPUTED_VALUE"""),4299.0)</f>
        <v>4299</v>
      </c>
      <c r="D27" s="6">
        <f>IFERROR(__xludf.DUMMYFUNCTION("""COMPUTED_VALUE"""),4012.55)</f>
        <v>4012.55</v>
      </c>
      <c r="E27" s="6">
        <f>IFERROR(__xludf.DUMMYFUNCTION("""COMPUTED_VALUE"""),4186.05)</f>
        <v>4186.05</v>
      </c>
      <c r="F27" s="6">
        <f>IFERROR(__xludf.DUMMYFUNCTION("""COMPUTED_VALUE"""),1012551.0)</f>
        <v>1012551</v>
      </c>
    </row>
    <row r="28">
      <c r="A28" s="7">
        <f>IFERROR(__xludf.DUMMYFUNCTION("""COMPUTED_VALUE"""),45366.64583333333)</f>
        <v>45366.64583</v>
      </c>
      <c r="B28" s="6">
        <f>IFERROR(__xludf.DUMMYFUNCTION("""COMPUTED_VALUE"""),4219.98)</f>
        <v>4219.98</v>
      </c>
      <c r="C28" s="6">
        <f>IFERROR(__xludf.DUMMYFUNCTION("""COMPUTED_VALUE"""),4227.43)</f>
        <v>4227.43</v>
      </c>
      <c r="D28" s="6">
        <f>IFERROR(__xludf.DUMMYFUNCTION("""COMPUTED_VALUE"""),3963.08)</f>
        <v>3963.08</v>
      </c>
      <c r="E28" s="6">
        <f>IFERROR(__xludf.DUMMYFUNCTION("""COMPUTED_VALUE"""),4216.23)</f>
        <v>4216.23</v>
      </c>
      <c r="F28" s="6">
        <f>IFERROR(__xludf.DUMMYFUNCTION("""COMPUTED_VALUE"""),1419246.0)</f>
        <v>1419246</v>
      </c>
    </row>
    <row r="29">
      <c r="A29" s="7">
        <f>IFERROR(__xludf.DUMMYFUNCTION("""COMPUTED_VALUE"""),45373.64583333333)</f>
        <v>45373.64583</v>
      </c>
      <c r="B29" s="6">
        <f>IFERROR(__xludf.DUMMYFUNCTION("""COMPUTED_VALUE"""),4203.0)</f>
        <v>4203</v>
      </c>
      <c r="C29" s="6">
        <f>IFERROR(__xludf.DUMMYFUNCTION("""COMPUTED_VALUE"""),4211.2)</f>
        <v>4211.2</v>
      </c>
      <c r="D29" s="6">
        <f>IFERROR(__xludf.DUMMYFUNCTION("""COMPUTED_VALUE"""),3931.0)</f>
        <v>3931</v>
      </c>
      <c r="E29" s="6">
        <f>IFERROR(__xludf.DUMMYFUNCTION("""COMPUTED_VALUE"""),3985.7)</f>
        <v>3985.7</v>
      </c>
      <c r="F29" s="6">
        <f>IFERROR(__xludf.DUMMYFUNCTION("""COMPUTED_VALUE"""),1738168.0)</f>
        <v>1738168</v>
      </c>
    </row>
    <row r="30">
      <c r="A30" s="7">
        <f>IFERROR(__xludf.DUMMYFUNCTION("""COMPUTED_VALUE"""),45379.64583333333)</f>
        <v>45379.64583</v>
      </c>
      <c r="B30" s="6">
        <f>IFERROR(__xludf.DUMMYFUNCTION("""COMPUTED_VALUE"""),3997.5)</f>
        <v>3997.5</v>
      </c>
      <c r="C30" s="6">
        <f>IFERROR(__xludf.DUMMYFUNCTION("""COMPUTED_VALUE"""),4096.65)</f>
        <v>4096.65</v>
      </c>
      <c r="D30" s="6">
        <f>IFERROR(__xludf.DUMMYFUNCTION("""COMPUTED_VALUE"""),3947.45)</f>
        <v>3947.45</v>
      </c>
      <c r="E30" s="6">
        <f>IFERROR(__xludf.DUMMYFUNCTION("""COMPUTED_VALUE"""),3984.55)</f>
        <v>3984.55</v>
      </c>
      <c r="F30" s="6">
        <f>IFERROR(__xludf.DUMMYFUNCTION("""COMPUTED_VALUE"""),1270662.0)</f>
        <v>1270662</v>
      </c>
    </row>
    <row r="31">
      <c r="A31" s="7">
        <f>IFERROR(__xludf.DUMMYFUNCTION("""COMPUTED_VALUE"""),45387.64583333333)</f>
        <v>45387.64583</v>
      </c>
      <c r="B31" s="6">
        <f>IFERROR(__xludf.DUMMYFUNCTION("""COMPUTED_VALUE"""),4069.9)</f>
        <v>4069.9</v>
      </c>
      <c r="C31" s="6">
        <f>IFERROR(__xludf.DUMMYFUNCTION("""COMPUTED_VALUE"""),4085.05)</f>
        <v>4085.05</v>
      </c>
      <c r="D31" s="6">
        <f>IFERROR(__xludf.DUMMYFUNCTION("""COMPUTED_VALUE"""),3931.25)</f>
        <v>3931.25</v>
      </c>
      <c r="E31" s="6">
        <f>IFERROR(__xludf.DUMMYFUNCTION("""COMPUTED_VALUE"""),3996.75)</f>
        <v>3996.75</v>
      </c>
      <c r="F31" s="6">
        <f>IFERROR(__xludf.DUMMYFUNCTION("""COMPUTED_VALUE"""),2929340.0)</f>
        <v>2929340</v>
      </c>
    </row>
    <row r="32">
      <c r="A32" s="7">
        <f>IFERROR(__xludf.DUMMYFUNCTION("""COMPUTED_VALUE"""),45394.64583333333)</f>
        <v>45394.64583</v>
      </c>
      <c r="B32" s="6">
        <f>IFERROR(__xludf.DUMMYFUNCTION("""COMPUTED_VALUE"""),4005.95)</f>
        <v>4005.95</v>
      </c>
      <c r="C32" s="6">
        <f>IFERROR(__xludf.DUMMYFUNCTION("""COMPUTED_VALUE"""),4040.0)</f>
        <v>4040</v>
      </c>
      <c r="D32" s="6">
        <f>IFERROR(__xludf.DUMMYFUNCTION("""COMPUTED_VALUE"""),3731.65)</f>
        <v>3731.65</v>
      </c>
      <c r="E32" s="6">
        <f>IFERROR(__xludf.DUMMYFUNCTION("""COMPUTED_VALUE"""),3977.95)</f>
        <v>3977.95</v>
      </c>
      <c r="F32" s="6">
        <f>IFERROR(__xludf.DUMMYFUNCTION("""COMPUTED_VALUE"""),1513384.0)</f>
        <v>1513384</v>
      </c>
    </row>
    <row r="33">
      <c r="A33" s="7">
        <f>IFERROR(__xludf.DUMMYFUNCTION("""COMPUTED_VALUE"""),45401.64583333333)</f>
        <v>45401.64583</v>
      </c>
      <c r="B33" s="6">
        <f>IFERROR(__xludf.DUMMYFUNCTION("""COMPUTED_VALUE"""),3970.0)</f>
        <v>3970</v>
      </c>
      <c r="C33" s="6">
        <f>IFERROR(__xludf.DUMMYFUNCTION("""COMPUTED_VALUE"""),3993.1)</f>
        <v>3993.1</v>
      </c>
      <c r="D33" s="6">
        <f>IFERROR(__xludf.DUMMYFUNCTION("""COMPUTED_VALUE"""),3790.0)</f>
        <v>3790</v>
      </c>
      <c r="E33" s="6">
        <f>IFERROR(__xludf.DUMMYFUNCTION("""COMPUTED_VALUE"""),3884.7)</f>
        <v>3884.7</v>
      </c>
      <c r="F33" s="6">
        <f>IFERROR(__xludf.DUMMYFUNCTION("""COMPUTED_VALUE"""),1400848.0)</f>
        <v>1400848</v>
      </c>
    </row>
    <row r="34">
      <c r="A34" s="7">
        <f>IFERROR(__xludf.DUMMYFUNCTION("""COMPUTED_VALUE"""),45408.64583333333)</f>
        <v>45408.64583</v>
      </c>
      <c r="B34" s="6">
        <f>IFERROR(__xludf.DUMMYFUNCTION("""COMPUTED_VALUE"""),3882.0)</f>
        <v>3882</v>
      </c>
      <c r="C34" s="6">
        <f>IFERROR(__xludf.DUMMYFUNCTION("""COMPUTED_VALUE"""),3882.0)</f>
        <v>3882</v>
      </c>
      <c r="D34" s="6">
        <f>IFERROR(__xludf.DUMMYFUNCTION("""COMPUTED_VALUE"""),3316.0)</f>
        <v>3316</v>
      </c>
      <c r="E34" s="6">
        <f>IFERROR(__xludf.DUMMYFUNCTION("""COMPUTED_VALUE"""),3397.45)</f>
        <v>3397.45</v>
      </c>
      <c r="F34" s="6">
        <f>IFERROR(__xludf.DUMMYFUNCTION("""COMPUTED_VALUE"""),7868665.0)</f>
        <v>7868665</v>
      </c>
    </row>
    <row r="35">
      <c r="A35" s="7">
        <f>IFERROR(__xludf.DUMMYFUNCTION("""COMPUTED_VALUE"""),45415.64583333333)</f>
        <v>45415.64583</v>
      </c>
      <c r="B35" s="6">
        <f>IFERROR(__xludf.DUMMYFUNCTION("""COMPUTED_VALUE"""),3402.1)</f>
        <v>3402.1</v>
      </c>
      <c r="C35" s="6">
        <f>IFERROR(__xludf.DUMMYFUNCTION("""COMPUTED_VALUE"""),3445.35)</f>
        <v>3445.35</v>
      </c>
      <c r="D35" s="6">
        <f>IFERROR(__xludf.DUMMYFUNCTION("""COMPUTED_VALUE"""),3341.0)</f>
        <v>3341</v>
      </c>
      <c r="E35" s="6">
        <f>IFERROR(__xludf.DUMMYFUNCTION("""COMPUTED_VALUE"""),3366.85)</f>
        <v>3366.85</v>
      </c>
      <c r="F35" s="6">
        <f>IFERROR(__xludf.DUMMYFUNCTION("""COMPUTED_VALUE"""),2142713.0)</f>
        <v>2142713</v>
      </c>
    </row>
    <row r="36">
      <c r="A36" s="7">
        <f>IFERROR(__xludf.DUMMYFUNCTION("""COMPUTED_VALUE"""),45422.64583333333)</f>
        <v>45422.64583</v>
      </c>
      <c r="B36" s="6">
        <f>IFERROR(__xludf.DUMMYFUNCTION("""COMPUTED_VALUE"""),3371.0)</f>
        <v>3371</v>
      </c>
      <c r="C36" s="6">
        <f>IFERROR(__xludf.DUMMYFUNCTION("""COMPUTED_VALUE"""),3434.4)</f>
        <v>3434.4</v>
      </c>
      <c r="D36" s="6">
        <f>IFERROR(__xludf.DUMMYFUNCTION("""COMPUTED_VALUE"""),3254.0)</f>
        <v>3254</v>
      </c>
      <c r="E36" s="6">
        <f>IFERROR(__xludf.DUMMYFUNCTION("""COMPUTED_VALUE"""),3367.5)</f>
        <v>3367.5</v>
      </c>
      <c r="F36" s="6">
        <f>IFERROR(__xludf.DUMMYFUNCTION("""COMPUTED_VALUE"""),1733861.0)</f>
        <v>1733861</v>
      </c>
    </row>
    <row r="37">
      <c r="A37" s="7">
        <f>IFERROR(__xludf.DUMMYFUNCTION("""COMPUTED_VALUE"""),45436.64583333333)</f>
        <v>45436.64583</v>
      </c>
      <c r="B37" s="6">
        <f>IFERROR(__xludf.DUMMYFUNCTION("""COMPUTED_VALUE"""),3527.0)</f>
        <v>3527</v>
      </c>
      <c r="C37" s="6">
        <f>IFERROR(__xludf.DUMMYFUNCTION("""COMPUTED_VALUE"""),3588.65)</f>
        <v>3588.65</v>
      </c>
      <c r="D37" s="6">
        <f>IFERROR(__xludf.DUMMYFUNCTION("""COMPUTED_VALUE"""),3465.5)</f>
        <v>3465.5</v>
      </c>
      <c r="E37" s="6">
        <f>IFERROR(__xludf.DUMMYFUNCTION("""COMPUTED_VALUE"""),3555.2)</f>
        <v>3555.2</v>
      </c>
      <c r="F37" s="6">
        <f>IFERROR(__xludf.DUMMYFUNCTION("""COMPUTED_VALUE"""),1417116.0)</f>
        <v>1417116</v>
      </c>
    </row>
    <row r="38">
      <c r="A38" s="7">
        <f>IFERROR(__xludf.DUMMYFUNCTION("""COMPUTED_VALUE"""),45443.64583333333)</f>
        <v>45443.64583</v>
      </c>
      <c r="B38" s="6">
        <f>IFERROR(__xludf.DUMMYFUNCTION("""COMPUTED_VALUE"""),3585.0)</f>
        <v>3585</v>
      </c>
      <c r="C38" s="6">
        <f>IFERROR(__xludf.DUMMYFUNCTION("""COMPUTED_VALUE"""),3796.95)</f>
        <v>3796.95</v>
      </c>
      <c r="D38" s="6">
        <f>IFERROR(__xludf.DUMMYFUNCTION("""COMPUTED_VALUE"""),3400.0)</f>
        <v>3400</v>
      </c>
      <c r="E38" s="6">
        <f>IFERROR(__xludf.DUMMYFUNCTION("""COMPUTED_VALUE"""),3410.5)</f>
        <v>3410.5</v>
      </c>
      <c r="F38" s="6">
        <f>IFERROR(__xludf.DUMMYFUNCTION("""COMPUTED_VALUE"""),3529039.0)</f>
        <v>3529039</v>
      </c>
    </row>
    <row r="39">
      <c r="A39" s="7">
        <f>IFERROR(__xludf.DUMMYFUNCTION("""COMPUTED_VALUE"""),45450.64583333333)</f>
        <v>45450.64583</v>
      </c>
      <c r="B39" s="6">
        <f>IFERROR(__xludf.DUMMYFUNCTION("""COMPUTED_VALUE"""),3510.5)</f>
        <v>3510.5</v>
      </c>
      <c r="C39" s="6">
        <f>IFERROR(__xludf.DUMMYFUNCTION("""COMPUTED_VALUE"""),3873.45)</f>
        <v>3873.45</v>
      </c>
      <c r="D39" s="6">
        <f>IFERROR(__xludf.DUMMYFUNCTION("""COMPUTED_VALUE"""),3232.05)</f>
        <v>3232.05</v>
      </c>
      <c r="E39" s="6">
        <f>IFERROR(__xludf.DUMMYFUNCTION("""COMPUTED_VALUE"""),3850.25)</f>
        <v>3850.25</v>
      </c>
      <c r="F39" s="6">
        <f>IFERROR(__xludf.DUMMYFUNCTION("""COMPUTED_VALUE"""),4019536.0)</f>
        <v>4019536</v>
      </c>
    </row>
    <row r="40">
      <c r="A40" s="7">
        <f>IFERROR(__xludf.DUMMYFUNCTION("""COMPUTED_VALUE"""),45457.64583333333)</f>
        <v>45457.64583</v>
      </c>
      <c r="B40" s="6">
        <f>IFERROR(__xludf.DUMMYFUNCTION("""COMPUTED_VALUE"""),3855.0)</f>
        <v>3855</v>
      </c>
      <c r="C40" s="6">
        <f>IFERROR(__xludf.DUMMYFUNCTION("""COMPUTED_VALUE"""),3888.0)</f>
        <v>3888</v>
      </c>
      <c r="D40" s="6">
        <f>IFERROR(__xludf.DUMMYFUNCTION("""COMPUTED_VALUE"""),3678.0)</f>
        <v>3678</v>
      </c>
      <c r="E40" s="6">
        <f>IFERROR(__xludf.DUMMYFUNCTION("""COMPUTED_VALUE"""),3772.8)</f>
        <v>3772.8</v>
      </c>
      <c r="F40" s="6">
        <f>IFERROR(__xludf.DUMMYFUNCTION("""COMPUTED_VALUE"""),3627810.0)</f>
        <v>3627810</v>
      </c>
    </row>
    <row r="41">
      <c r="A41" s="7">
        <f>IFERROR(__xludf.DUMMYFUNCTION("""COMPUTED_VALUE"""),45464.64583333333)</f>
        <v>45464.64583</v>
      </c>
      <c r="B41" s="6">
        <f>IFERROR(__xludf.DUMMYFUNCTION("""COMPUTED_VALUE"""),3773.0)</f>
        <v>3773</v>
      </c>
      <c r="C41" s="6">
        <f>IFERROR(__xludf.DUMMYFUNCTION("""COMPUTED_VALUE"""),4102.3)</f>
        <v>4102.3</v>
      </c>
      <c r="D41" s="6">
        <f>IFERROR(__xludf.DUMMYFUNCTION("""COMPUTED_VALUE"""),3765.0)</f>
        <v>3765</v>
      </c>
      <c r="E41" s="6">
        <f>IFERROR(__xludf.DUMMYFUNCTION("""COMPUTED_VALUE"""),3944.45)</f>
        <v>3944.45</v>
      </c>
      <c r="F41" s="6">
        <f>IFERROR(__xludf.DUMMYFUNCTION("""COMPUTED_VALUE"""),2462071.0)</f>
        <v>2462071</v>
      </c>
    </row>
    <row r="42">
      <c r="A42" s="7">
        <f>IFERROR(__xludf.DUMMYFUNCTION("""COMPUTED_VALUE"""),45471.64583333333)</f>
        <v>45471.64583</v>
      </c>
      <c r="B42" s="6">
        <f>IFERROR(__xludf.DUMMYFUNCTION("""COMPUTED_VALUE"""),3939.95)</f>
        <v>3939.95</v>
      </c>
      <c r="C42" s="6">
        <f>IFERROR(__xludf.DUMMYFUNCTION("""COMPUTED_VALUE"""),4285.0)</f>
        <v>4285</v>
      </c>
      <c r="D42" s="6">
        <f>IFERROR(__xludf.DUMMYFUNCTION("""COMPUTED_VALUE"""),3892.95)</f>
        <v>3892.95</v>
      </c>
      <c r="E42" s="6">
        <f>IFERROR(__xludf.DUMMYFUNCTION("""COMPUTED_VALUE"""),4241.45)</f>
        <v>4241.45</v>
      </c>
      <c r="F42" s="6">
        <f>IFERROR(__xludf.DUMMYFUNCTION("""COMPUTED_VALUE"""),2967784.0)</f>
        <v>2967784</v>
      </c>
    </row>
    <row r="43">
      <c r="A43" s="7">
        <f>IFERROR(__xludf.DUMMYFUNCTION("""COMPUTED_VALUE"""),45478.64583333333)</f>
        <v>45478.64583</v>
      </c>
      <c r="B43" s="6">
        <f>IFERROR(__xludf.DUMMYFUNCTION("""COMPUTED_VALUE"""),4245.0)</f>
        <v>4245</v>
      </c>
      <c r="C43" s="6">
        <f>IFERROR(__xludf.DUMMYFUNCTION("""COMPUTED_VALUE"""),4845.7)</f>
        <v>4845.7</v>
      </c>
      <c r="D43" s="6">
        <f>IFERROR(__xludf.DUMMYFUNCTION("""COMPUTED_VALUE"""),4227.2)</f>
        <v>4227.2</v>
      </c>
      <c r="E43" s="6">
        <f>IFERROR(__xludf.DUMMYFUNCTION("""COMPUTED_VALUE"""),4771.25)</f>
        <v>4771.25</v>
      </c>
      <c r="F43" s="6">
        <f>IFERROR(__xludf.DUMMYFUNCTION("""COMPUTED_VALUE"""),4640387.0)</f>
        <v>4640387</v>
      </c>
    </row>
    <row r="44">
      <c r="A44" s="7">
        <f>IFERROR(__xludf.DUMMYFUNCTION("""COMPUTED_VALUE"""),45485.64583333333)</f>
        <v>45485.64583</v>
      </c>
      <c r="B44" s="6">
        <f>IFERROR(__xludf.DUMMYFUNCTION("""COMPUTED_VALUE"""),4779.8)</f>
        <v>4779.8</v>
      </c>
      <c r="C44" s="6">
        <f>IFERROR(__xludf.DUMMYFUNCTION("""COMPUTED_VALUE"""),4928.95)</f>
        <v>4928.95</v>
      </c>
      <c r="D44" s="6">
        <f>IFERROR(__xludf.DUMMYFUNCTION("""COMPUTED_VALUE"""),4520.5)</f>
        <v>4520.5</v>
      </c>
      <c r="E44" s="6">
        <f>IFERROR(__xludf.DUMMYFUNCTION("""COMPUTED_VALUE"""),4808.5)</f>
        <v>4808.5</v>
      </c>
      <c r="F44" s="6">
        <f>IFERROR(__xludf.DUMMYFUNCTION("""COMPUTED_VALUE"""),3615449.0)</f>
        <v>3615449</v>
      </c>
    </row>
    <row r="45">
      <c r="A45" s="7">
        <f>IFERROR(__xludf.DUMMYFUNCTION("""COMPUTED_VALUE"""),45492.64583333333)</f>
        <v>45492.64583</v>
      </c>
      <c r="B45" s="6">
        <f>IFERROR(__xludf.DUMMYFUNCTION("""COMPUTED_VALUE"""),4875.0)</f>
        <v>4875</v>
      </c>
      <c r="C45" s="6">
        <f>IFERROR(__xludf.DUMMYFUNCTION("""COMPUTED_VALUE"""),4916.95)</f>
        <v>4916.95</v>
      </c>
      <c r="D45" s="6">
        <f>IFERROR(__xludf.DUMMYFUNCTION("""COMPUTED_VALUE"""),4535.0)</f>
        <v>4535</v>
      </c>
      <c r="E45" s="6">
        <f>IFERROR(__xludf.DUMMYFUNCTION("""COMPUTED_VALUE"""),4583.45)</f>
        <v>4583.45</v>
      </c>
      <c r="F45" s="6">
        <f>IFERROR(__xludf.DUMMYFUNCTION("""COMPUTED_VALUE"""),3376295.0)</f>
        <v>3376295</v>
      </c>
    </row>
    <row r="46">
      <c r="A46" s="7">
        <f>IFERROR(__xludf.DUMMYFUNCTION("""COMPUTED_VALUE"""),45499.64583333333)</f>
        <v>45499.64583</v>
      </c>
      <c r="B46" s="6">
        <f>IFERROR(__xludf.DUMMYFUNCTION("""COMPUTED_VALUE"""),4583.45)</f>
        <v>4583.45</v>
      </c>
      <c r="C46" s="6">
        <f>IFERROR(__xludf.DUMMYFUNCTION("""COMPUTED_VALUE"""),4847.0)</f>
        <v>4847</v>
      </c>
      <c r="D46" s="6">
        <f>IFERROR(__xludf.DUMMYFUNCTION("""COMPUTED_VALUE"""),4492.0)</f>
        <v>4492</v>
      </c>
      <c r="E46" s="6">
        <f>IFERROR(__xludf.DUMMYFUNCTION("""COMPUTED_VALUE"""),4772.95)</f>
        <v>4772.95</v>
      </c>
      <c r="F46" s="6">
        <f>IFERROR(__xludf.DUMMYFUNCTION("""COMPUTED_VALUE"""),2932196.0)</f>
        <v>2932196</v>
      </c>
    </row>
    <row r="47">
      <c r="A47" s="7">
        <f>IFERROR(__xludf.DUMMYFUNCTION("""COMPUTED_VALUE"""),45506.64583333333)</f>
        <v>45506.64583</v>
      </c>
      <c r="B47" s="6">
        <f>IFERROR(__xludf.DUMMYFUNCTION("""COMPUTED_VALUE"""),4823.65)</f>
        <v>4823.65</v>
      </c>
      <c r="C47" s="6">
        <f>IFERROR(__xludf.DUMMYFUNCTION("""COMPUTED_VALUE"""),4964.8)</f>
        <v>4964.8</v>
      </c>
      <c r="D47" s="6">
        <f>IFERROR(__xludf.DUMMYFUNCTION("""COMPUTED_VALUE"""),4626.95)</f>
        <v>4626.95</v>
      </c>
      <c r="E47" s="6">
        <f>IFERROR(__xludf.DUMMYFUNCTION("""COMPUTED_VALUE"""),4636.35)</f>
        <v>4636.35</v>
      </c>
      <c r="F47" s="6">
        <f>IFERROR(__xludf.DUMMYFUNCTION("""COMPUTED_VALUE"""),1942939.0)</f>
        <v>1942939</v>
      </c>
    </row>
    <row r="48">
      <c r="A48" s="7">
        <f>IFERROR(__xludf.DUMMYFUNCTION("""COMPUTED_VALUE"""),45513.64583333333)</f>
        <v>45513.64583</v>
      </c>
      <c r="B48" s="6">
        <f>IFERROR(__xludf.DUMMYFUNCTION("""COMPUTED_VALUE"""),4444.0)</f>
        <v>4444</v>
      </c>
      <c r="C48" s="6">
        <f>IFERROR(__xludf.DUMMYFUNCTION("""COMPUTED_VALUE"""),4741.9)</f>
        <v>4741.9</v>
      </c>
      <c r="D48" s="6">
        <f>IFERROR(__xludf.DUMMYFUNCTION("""COMPUTED_VALUE"""),4409.1)</f>
        <v>4409.1</v>
      </c>
      <c r="E48" s="6">
        <f>IFERROR(__xludf.DUMMYFUNCTION("""COMPUTED_VALUE"""),4699.05)</f>
        <v>4699.05</v>
      </c>
      <c r="F48" s="6">
        <f>IFERROR(__xludf.DUMMYFUNCTION("""COMPUTED_VALUE"""),1769333.0)</f>
        <v>1769333</v>
      </c>
    </row>
    <row r="49">
      <c r="A49" s="7">
        <f>IFERROR(__xludf.DUMMYFUNCTION("""COMPUTED_VALUE"""),45520.64583333333)</f>
        <v>45520.64583</v>
      </c>
      <c r="B49" s="6">
        <f>IFERROR(__xludf.DUMMYFUNCTION("""COMPUTED_VALUE"""),4660.0)</f>
        <v>4660</v>
      </c>
      <c r="C49" s="6">
        <f>IFERROR(__xludf.DUMMYFUNCTION("""COMPUTED_VALUE"""),4938.8)</f>
        <v>4938.8</v>
      </c>
      <c r="D49" s="6">
        <f>IFERROR(__xludf.DUMMYFUNCTION("""COMPUTED_VALUE"""),4600.0)</f>
        <v>4600</v>
      </c>
      <c r="E49" s="6">
        <f>IFERROR(__xludf.DUMMYFUNCTION("""COMPUTED_VALUE"""),4857.15)</f>
        <v>4857.15</v>
      </c>
      <c r="F49" s="6">
        <f>IFERROR(__xludf.DUMMYFUNCTION("""COMPUTED_VALUE"""),1650115.0)</f>
        <v>1650115</v>
      </c>
    </row>
    <row r="50">
      <c r="A50" s="7">
        <f>IFERROR(__xludf.DUMMYFUNCTION("""COMPUTED_VALUE"""),45527.64583333333)</f>
        <v>45527.64583</v>
      </c>
      <c r="B50" s="6">
        <f>IFERROR(__xludf.DUMMYFUNCTION("""COMPUTED_VALUE"""),4905.0)</f>
        <v>4905</v>
      </c>
      <c r="C50" s="6">
        <f>IFERROR(__xludf.DUMMYFUNCTION("""COMPUTED_VALUE"""),4997.7)</f>
        <v>4997.7</v>
      </c>
      <c r="D50" s="6">
        <f>IFERROR(__xludf.DUMMYFUNCTION("""COMPUTED_VALUE"""),4818.9)</f>
        <v>4818.9</v>
      </c>
      <c r="E50" s="6">
        <f>IFERROR(__xludf.DUMMYFUNCTION("""COMPUTED_VALUE"""),4882.5)</f>
        <v>4882.5</v>
      </c>
      <c r="F50" s="6">
        <f>IFERROR(__xludf.DUMMYFUNCTION("""COMPUTED_VALUE"""),1552561.0)</f>
        <v>1552561</v>
      </c>
    </row>
    <row r="51">
      <c r="A51" s="7">
        <f>IFERROR(__xludf.DUMMYFUNCTION("""COMPUTED_VALUE"""),45534.64583333333)</f>
        <v>45534.64583</v>
      </c>
      <c r="B51" s="6">
        <f>IFERROR(__xludf.DUMMYFUNCTION("""COMPUTED_VALUE"""),4960.0)</f>
        <v>4960</v>
      </c>
      <c r="C51" s="6">
        <f>IFERROR(__xludf.DUMMYFUNCTION("""COMPUTED_VALUE"""),5264.95)</f>
        <v>5264.95</v>
      </c>
      <c r="D51" s="6">
        <f>IFERROR(__xludf.DUMMYFUNCTION("""COMPUTED_VALUE"""),4840.1)</f>
        <v>4840.1</v>
      </c>
      <c r="E51" s="6">
        <f>IFERROR(__xludf.DUMMYFUNCTION("""COMPUTED_VALUE"""),5170.85)</f>
        <v>5170.85</v>
      </c>
      <c r="F51" s="6">
        <f>IFERROR(__xludf.DUMMYFUNCTION("""COMPUTED_VALUE"""),3681422.0)</f>
        <v>3681422</v>
      </c>
    </row>
    <row r="52">
      <c r="A52" s="7">
        <f>IFERROR(__xludf.DUMMYFUNCTION("""COMPUTED_VALUE"""),45541.64583333333)</f>
        <v>45541.64583</v>
      </c>
      <c r="B52" s="6">
        <f>IFERROR(__xludf.DUMMYFUNCTION("""COMPUTED_VALUE"""),5214.5)</f>
        <v>5214.5</v>
      </c>
      <c r="C52" s="6">
        <f>IFERROR(__xludf.DUMMYFUNCTION("""COMPUTED_VALUE"""),5333.15)</f>
        <v>5333.15</v>
      </c>
      <c r="D52" s="6">
        <f>IFERROR(__xludf.DUMMYFUNCTION("""COMPUTED_VALUE"""),5146.65)</f>
        <v>5146.65</v>
      </c>
      <c r="E52" s="6">
        <f>IFERROR(__xludf.DUMMYFUNCTION("""COMPUTED_VALUE"""),5189.95)</f>
        <v>5189.95</v>
      </c>
      <c r="F52" s="6">
        <f>IFERROR(__xludf.DUMMYFUNCTION("""COMPUTED_VALUE"""),1973592.0)</f>
        <v>1973592</v>
      </c>
    </row>
    <row r="53">
      <c r="A53" s="7">
        <f>IFERROR(__xludf.DUMMYFUNCTION("""COMPUTED_VALUE"""),45548.64583333333)</f>
        <v>45548.64583</v>
      </c>
      <c r="B53" s="6">
        <f>IFERROR(__xludf.DUMMYFUNCTION("""COMPUTED_VALUE"""),5199.0)</f>
        <v>5199</v>
      </c>
      <c r="C53" s="6">
        <f>IFERROR(__xludf.DUMMYFUNCTION("""COMPUTED_VALUE"""),5387.85)</f>
        <v>5387.85</v>
      </c>
      <c r="D53" s="6">
        <f>IFERROR(__xludf.DUMMYFUNCTION("""COMPUTED_VALUE"""),5131.55)</f>
        <v>5131.55</v>
      </c>
      <c r="E53" s="6">
        <f>IFERROR(__xludf.DUMMYFUNCTION("""COMPUTED_VALUE"""),5359.9)</f>
        <v>5359.9</v>
      </c>
      <c r="F53" s="6">
        <f>IFERROR(__xludf.DUMMYFUNCTION("""COMPUTED_VALUE"""),1658028.0)</f>
        <v>1658028</v>
      </c>
    </row>
    <row r="54">
      <c r="A54" s="7">
        <f>IFERROR(__xludf.DUMMYFUNCTION("""COMPUTED_VALUE"""),45555.64583333333)</f>
        <v>45555.64583</v>
      </c>
      <c r="B54" s="6">
        <f>IFERROR(__xludf.DUMMYFUNCTION("""COMPUTED_VALUE"""),5370.0)</f>
        <v>5370</v>
      </c>
      <c r="C54" s="6">
        <f>IFERROR(__xludf.DUMMYFUNCTION("""COMPUTED_VALUE"""),5439.9)</f>
        <v>5439.9</v>
      </c>
      <c r="D54" s="6">
        <f>IFERROR(__xludf.DUMMYFUNCTION("""COMPUTED_VALUE"""),5115.0)</f>
        <v>5115</v>
      </c>
      <c r="E54" s="6">
        <f>IFERROR(__xludf.DUMMYFUNCTION("""COMPUTED_VALUE"""),5355.05)</f>
        <v>5355.05</v>
      </c>
      <c r="F54" s="6">
        <f>IFERROR(__xludf.DUMMYFUNCTION("""COMPUTED_VALUE"""),2378105.0)</f>
        <v>2378105</v>
      </c>
    </row>
    <row r="55">
      <c r="A55" s="7">
        <f>IFERROR(__xludf.DUMMYFUNCTION("""COMPUTED_VALUE"""),45562.64583333333)</f>
        <v>45562.64583</v>
      </c>
      <c r="B55" s="6">
        <f>IFERROR(__xludf.DUMMYFUNCTION("""COMPUTED_VALUE"""),5322.0)</f>
        <v>5322</v>
      </c>
      <c r="C55" s="6">
        <f>IFERROR(__xludf.DUMMYFUNCTION("""COMPUTED_VALUE"""),5585.95)</f>
        <v>5585.95</v>
      </c>
      <c r="D55" s="6">
        <f>IFERROR(__xludf.DUMMYFUNCTION("""COMPUTED_VALUE"""),5280.2)</f>
        <v>5280.2</v>
      </c>
      <c r="E55" s="6">
        <f>IFERROR(__xludf.DUMMYFUNCTION("""COMPUTED_VALUE"""),5437.0)</f>
        <v>5437</v>
      </c>
      <c r="F55" s="6">
        <f>IFERROR(__xludf.DUMMYFUNCTION("""COMPUTED_VALUE"""),1932626.0)</f>
        <v>1932626</v>
      </c>
    </row>
    <row r="56">
      <c r="A56" s="7">
        <f>IFERROR(__xludf.DUMMYFUNCTION("""COMPUTED_VALUE"""),45569.64583333333)</f>
        <v>45569.64583</v>
      </c>
      <c r="B56" s="6">
        <f>IFERROR(__xludf.DUMMYFUNCTION("""COMPUTED_VALUE"""),5420.0)</f>
        <v>5420</v>
      </c>
      <c r="C56" s="6">
        <f>IFERROR(__xludf.DUMMYFUNCTION("""COMPUTED_VALUE"""),5499.0)</f>
        <v>5499</v>
      </c>
      <c r="D56" s="6">
        <f>IFERROR(__xludf.DUMMYFUNCTION("""COMPUTED_VALUE"""),5078.5)</f>
        <v>5078.5</v>
      </c>
      <c r="E56" s="6">
        <f>IFERROR(__xludf.DUMMYFUNCTION("""COMPUTED_VALUE"""),5141.3)</f>
        <v>5141.3</v>
      </c>
      <c r="F56" s="6">
        <f>IFERROR(__xludf.DUMMYFUNCTION("""COMPUTED_VALUE"""),2115333.0)</f>
        <v>2115333</v>
      </c>
    </row>
    <row r="57">
      <c r="A57" s="7">
        <f>IFERROR(__xludf.DUMMYFUNCTION("""COMPUTED_VALUE"""),45576.64583333333)</f>
        <v>45576.64583</v>
      </c>
      <c r="B57" s="6">
        <f>IFERROR(__xludf.DUMMYFUNCTION("""COMPUTED_VALUE"""),5141.3)</f>
        <v>5141.3</v>
      </c>
      <c r="C57" s="6">
        <f>IFERROR(__xludf.DUMMYFUNCTION("""COMPUTED_VALUE"""),5490.2)</f>
        <v>5490.2</v>
      </c>
      <c r="D57" s="6">
        <f>IFERROR(__xludf.DUMMYFUNCTION("""COMPUTED_VALUE"""),5106.2)</f>
        <v>5106.2</v>
      </c>
      <c r="E57" s="6">
        <f>IFERROR(__xludf.DUMMYFUNCTION("""COMPUTED_VALUE"""),5469.55)</f>
        <v>5469.55</v>
      </c>
      <c r="F57" s="6">
        <f>IFERROR(__xludf.DUMMYFUNCTION("""COMPUTED_VALUE"""),2036906.0)</f>
        <v>2036906</v>
      </c>
    </row>
    <row r="58">
      <c r="A58" s="7">
        <f>IFERROR(__xludf.DUMMYFUNCTION("""COMPUTED_VALUE"""),45583.64583333333)</f>
        <v>45583.64583</v>
      </c>
      <c r="B58" s="6">
        <f>IFERROR(__xludf.DUMMYFUNCTION("""COMPUTED_VALUE"""),5477.0)</f>
        <v>5477</v>
      </c>
      <c r="C58" s="6">
        <f>IFERROR(__xludf.DUMMYFUNCTION("""COMPUTED_VALUE"""),5689.95)</f>
        <v>5689.95</v>
      </c>
      <c r="D58" s="6">
        <f>IFERROR(__xludf.DUMMYFUNCTION("""COMPUTED_VALUE"""),5403.1)</f>
        <v>5403.1</v>
      </c>
      <c r="E58" s="6">
        <f>IFERROR(__xludf.DUMMYFUNCTION("""COMPUTED_VALUE"""),5506.15)</f>
        <v>5506.15</v>
      </c>
      <c r="F58" s="6">
        <f>IFERROR(__xludf.DUMMYFUNCTION("""COMPUTED_VALUE"""),1548903.0)</f>
        <v>1548903</v>
      </c>
    </row>
    <row r="59">
      <c r="A59" s="7">
        <f>IFERROR(__xludf.DUMMYFUNCTION("""COMPUTED_VALUE"""),45590.64583333333)</f>
        <v>45590.64583</v>
      </c>
      <c r="B59" s="6">
        <f>IFERROR(__xludf.DUMMYFUNCTION("""COMPUTED_VALUE"""),5508.0)</f>
        <v>5508</v>
      </c>
      <c r="C59" s="6">
        <f>IFERROR(__xludf.DUMMYFUNCTION("""COMPUTED_VALUE"""),5798.7)</f>
        <v>5798.7</v>
      </c>
      <c r="D59" s="6">
        <f>IFERROR(__xludf.DUMMYFUNCTION("""COMPUTED_VALUE"""),5136.0)</f>
        <v>5136</v>
      </c>
      <c r="E59" s="6">
        <f>IFERROR(__xludf.DUMMYFUNCTION("""COMPUTED_VALUE"""),5670.9)</f>
        <v>5670.9</v>
      </c>
      <c r="F59" s="6">
        <f>IFERROR(__xludf.DUMMYFUNCTION("""COMPUTED_VALUE"""),4604750.0)</f>
        <v>4604750</v>
      </c>
    </row>
    <row r="60">
      <c r="A60" s="7">
        <f>IFERROR(__xludf.DUMMYFUNCTION("""COMPUTED_VALUE"""),45604.64583333333)</f>
        <v>45604.64583</v>
      </c>
      <c r="B60" s="6">
        <f>IFERROR(__xludf.DUMMYFUNCTION("""COMPUTED_VALUE"""),5387.0)</f>
        <v>5387</v>
      </c>
      <c r="C60" s="6">
        <f>IFERROR(__xludf.DUMMYFUNCTION("""COMPUTED_VALUE"""),5830.0)</f>
        <v>5830</v>
      </c>
      <c r="D60" s="6">
        <f>IFERROR(__xludf.DUMMYFUNCTION("""COMPUTED_VALUE"""),5298.0)</f>
        <v>5298</v>
      </c>
      <c r="E60" s="6">
        <f>IFERROR(__xludf.DUMMYFUNCTION("""COMPUTED_VALUE"""),5668.7)</f>
        <v>5668.7</v>
      </c>
      <c r="F60" s="6">
        <f>IFERROR(__xludf.DUMMYFUNCTION("""COMPUTED_VALUE"""),2356068.0)</f>
        <v>2356068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IFERROR(__xludf.DUMMYFUNCTION("""COMPUTED_VALUE"""),5690.0)</f>
        <v>5690</v>
      </c>
      <c r="C61" s="6">
        <f>IFERROR(__xludf.DUMMYFUNCTION("""COMPUTED_VALUE"""),5783.9)</f>
        <v>5783.9</v>
      </c>
      <c r="D61" s="6">
        <f>IFERROR(__xludf.DUMMYFUNCTION("""COMPUTED_VALUE"""),5589.0)</f>
        <v>5589</v>
      </c>
      <c r="E61" s="6">
        <f>IFERROR(__xludf.DUMMYFUNCTION("""COMPUTED_VALUE"""),5713.8)</f>
        <v>5713.8</v>
      </c>
      <c r="F61" s="6">
        <f>IFERROR(__xludf.DUMMYFUNCTION("""COMPUTED_VALUE"""),1191450.0)</f>
        <v>1191450</v>
      </c>
    </row>
    <row r="62">
      <c r="A62" s="7">
        <f>IFERROR(__xludf.DUMMYFUNCTION("""COMPUTED_VALUE"""),45618.64583333333)</f>
        <v>45618.64583</v>
      </c>
      <c r="B62" s="6">
        <f>IFERROR(__xludf.DUMMYFUNCTION("""COMPUTED_VALUE"""),5728.8)</f>
        <v>5728.8</v>
      </c>
      <c r="C62" s="6">
        <f>IFERROR(__xludf.DUMMYFUNCTION("""COMPUTED_VALUE"""),5868.75)</f>
        <v>5868.75</v>
      </c>
      <c r="D62" s="6">
        <f>IFERROR(__xludf.DUMMYFUNCTION("""COMPUTED_VALUE"""),5582.0)</f>
        <v>5582</v>
      </c>
      <c r="E62" s="6">
        <f>IFERROR(__xludf.DUMMYFUNCTION("""COMPUTED_VALUE"""),5796.25)</f>
        <v>5796.25</v>
      </c>
      <c r="F62" s="6">
        <f>IFERROR(__xludf.DUMMYFUNCTION("""COMPUTED_VALUE"""),1905480.0)</f>
        <v>1905480</v>
      </c>
    </row>
    <row r="63">
      <c r="A63" s="7">
        <f>IFERROR(__xludf.DUMMYFUNCTION("""COMPUTED_VALUE"""),45625.64583333333)</f>
        <v>45625.64583</v>
      </c>
      <c r="B63" s="6">
        <f>IFERROR(__xludf.DUMMYFUNCTION("""COMPUTED_VALUE"""),5875.0)</f>
        <v>5875</v>
      </c>
      <c r="C63" s="6">
        <f>IFERROR(__xludf.DUMMYFUNCTION("""COMPUTED_VALUE"""),6042.0)</f>
        <v>6042</v>
      </c>
      <c r="D63" s="6">
        <f>IFERROR(__xludf.DUMMYFUNCTION("""COMPUTED_VALUE"""),5802.05)</f>
        <v>5802.05</v>
      </c>
      <c r="E63" s="6">
        <f>IFERROR(__xludf.DUMMYFUNCTION("""COMPUTED_VALUE"""),5905.65)</f>
        <v>5905.65</v>
      </c>
      <c r="F63" s="6">
        <f>IFERROR(__xludf.DUMMYFUNCTION("""COMPUTED_VALUE"""),2241306.0)</f>
        <v>2241306</v>
      </c>
    </row>
    <row r="64">
      <c r="A64" s="7">
        <f>IFERROR(__xludf.DUMMYFUNCTION("""COMPUTED_VALUE"""),45632.64583333333)</f>
        <v>45632.64583</v>
      </c>
      <c r="B64" s="6">
        <f>IFERROR(__xludf.DUMMYFUNCTION("""COMPUTED_VALUE"""),5905.65)</f>
        <v>5905.65</v>
      </c>
      <c r="C64" s="6">
        <f>IFERROR(__xludf.DUMMYFUNCTION("""COMPUTED_VALUE"""),6188.95)</f>
        <v>6188.95</v>
      </c>
      <c r="D64" s="6">
        <f>IFERROR(__xludf.DUMMYFUNCTION("""COMPUTED_VALUE"""),5853.65)</f>
        <v>5853.65</v>
      </c>
      <c r="E64" s="6">
        <f>IFERROR(__xludf.DUMMYFUNCTION("""COMPUTED_VALUE"""),6174.25)</f>
        <v>6174.25</v>
      </c>
      <c r="F64" s="6">
        <f>IFERROR(__xludf.DUMMYFUNCTION("""COMPUTED_VALUE"""),2007237.0)</f>
        <v>2007237</v>
      </c>
    </row>
    <row r="65">
      <c r="A65" s="7">
        <f>IFERROR(__xludf.DUMMYFUNCTION("""COMPUTED_VALUE"""),45639.64583333333)</f>
        <v>45639.64583</v>
      </c>
      <c r="B65" s="6">
        <f>IFERROR(__xludf.DUMMYFUNCTION("""COMPUTED_VALUE"""),6178.8)</f>
        <v>6178.8</v>
      </c>
      <c r="C65" s="6">
        <f>IFERROR(__xludf.DUMMYFUNCTION("""COMPUTED_VALUE"""),6509.0)</f>
        <v>6509</v>
      </c>
      <c r="D65" s="6">
        <f>IFERROR(__xludf.DUMMYFUNCTION("""COMPUTED_VALUE"""),6178.8)</f>
        <v>6178.8</v>
      </c>
      <c r="E65" s="6">
        <f>IFERROR(__xludf.DUMMYFUNCTION("""COMPUTED_VALUE"""),6477.65)</f>
        <v>6477.65</v>
      </c>
      <c r="F65" s="6">
        <f>IFERROR(__xludf.DUMMYFUNCTION("""COMPUTED_VALUE"""),2229400.0)</f>
        <v>2229400</v>
      </c>
    </row>
    <row r="66">
      <c r="A66" s="7">
        <f>IFERROR(__xludf.DUMMYFUNCTION("""COMPUTED_VALUE"""),45646.64583333333)</f>
        <v>45646.64583</v>
      </c>
      <c r="B66" s="6">
        <f>IFERROR(__xludf.DUMMYFUNCTION("""COMPUTED_VALUE"""),6492.95)</f>
        <v>6492.95</v>
      </c>
      <c r="C66" s="6">
        <f>IFERROR(__xludf.DUMMYFUNCTION("""COMPUTED_VALUE"""),6788.9)</f>
        <v>6788.9</v>
      </c>
      <c r="D66" s="6">
        <f>IFERROR(__xludf.DUMMYFUNCTION("""COMPUTED_VALUE"""),6331.0)</f>
        <v>6331</v>
      </c>
      <c r="E66" s="6">
        <f>IFERROR(__xludf.DUMMYFUNCTION("""COMPUTED_VALUE"""),6368.7)</f>
        <v>6368.7</v>
      </c>
      <c r="F66" s="6">
        <f>IFERROR(__xludf.DUMMYFUNCTION("""COMPUTED_VALUE"""),2071195.0)</f>
        <v>2071195</v>
      </c>
    </row>
    <row r="67">
      <c r="A67" s="7">
        <f>IFERROR(__xludf.DUMMYFUNCTION("""COMPUTED_VALUE"""),45653.64583333333)</f>
        <v>45653.64583</v>
      </c>
      <c r="B67" s="6">
        <f>IFERROR(__xludf.DUMMYFUNCTION("""COMPUTED_VALUE"""),6413.15)</f>
        <v>6413.15</v>
      </c>
      <c r="C67" s="6">
        <f>IFERROR(__xludf.DUMMYFUNCTION("""COMPUTED_VALUE"""),6491.5)</f>
        <v>6491.5</v>
      </c>
      <c r="D67" s="6">
        <f>IFERROR(__xludf.DUMMYFUNCTION("""COMPUTED_VALUE"""),6275.85)</f>
        <v>6275.85</v>
      </c>
      <c r="E67" s="6">
        <f>IFERROR(__xludf.DUMMYFUNCTION("""COMPUTED_VALUE"""),6393.6)</f>
        <v>6393.6</v>
      </c>
      <c r="F67" s="6">
        <f>IFERROR(__xludf.DUMMYFUNCTION("""COMPUTED_VALUE"""),777361.0)</f>
        <v>777361</v>
      </c>
    </row>
    <row r="68">
      <c r="A68" s="7">
        <f>IFERROR(__xludf.DUMMYFUNCTION("""COMPUTED_VALUE"""),45660.64583333333)</f>
        <v>45660.64583</v>
      </c>
      <c r="B68" s="6">
        <f>IFERROR(__xludf.DUMMYFUNCTION("""COMPUTED_VALUE"""),6410.05)</f>
        <v>6410.05</v>
      </c>
      <c r="C68" s="6">
        <f>IFERROR(__xludf.DUMMYFUNCTION("""COMPUTED_VALUE"""),6768.8)</f>
        <v>6768.8</v>
      </c>
      <c r="D68" s="6">
        <f>IFERROR(__xludf.DUMMYFUNCTION("""COMPUTED_VALUE"""),6273.8)</f>
        <v>6273.8</v>
      </c>
      <c r="E68" s="6">
        <f>IFERROR(__xludf.DUMMYFUNCTION("""COMPUTED_VALUE"""),6405.95)</f>
        <v>6405.95</v>
      </c>
      <c r="F68" s="6">
        <f>IFERROR(__xludf.DUMMYFUNCTION("""COMPUTED_VALUE"""),3493607.0)</f>
        <v>3493607</v>
      </c>
    </row>
    <row r="69">
      <c r="A69" s="7">
        <f>IFERROR(__xludf.DUMMYFUNCTION("""COMPUTED_VALUE"""),45667.64583333333)</f>
        <v>45667.64583</v>
      </c>
      <c r="B69" s="6">
        <f>IFERROR(__xludf.DUMMYFUNCTION("""COMPUTED_VALUE"""),6405.95)</f>
        <v>6405.95</v>
      </c>
      <c r="C69" s="6">
        <f>IFERROR(__xludf.DUMMYFUNCTION("""COMPUTED_VALUE"""),6488.85)</f>
        <v>6488.85</v>
      </c>
      <c r="D69" s="6">
        <f>IFERROR(__xludf.DUMMYFUNCTION("""COMPUTED_VALUE"""),6092.1)</f>
        <v>6092.1</v>
      </c>
      <c r="E69" s="6">
        <f>IFERROR(__xludf.DUMMYFUNCTION("""COMPUTED_VALUE"""),6319.65)</f>
        <v>6319.65</v>
      </c>
      <c r="F69" s="6">
        <f>IFERROR(__xludf.DUMMYFUNCTION("""COMPUTED_VALUE"""),2219318.0)</f>
        <v>2219318</v>
      </c>
    </row>
    <row r="70">
      <c r="A70" s="7">
        <f>IFERROR(__xludf.DUMMYFUNCTION("""COMPUTED_VALUE"""),45674.64583333333)</f>
        <v>45674.64583</v>
      </c>
      <c r="B70" s="6">
        <f>IFERROR(__xludf.DUMMYFUNCTION("""COMPUTED_VALUE"""),6289.25)</f>
        <v>6289.25</v>
      </c>
      <c r="C70" s="6">
        <f>IFERROR(__xludf.DUMMYFUNCTION("""COMPUTED_VALUE"""),6306.65)</f>
        <v>6306.65</v>
      </c>
      <c r="D70" s="6">
        <f>IFERROR(__xludf.DUMMYFUNCTION("""COMPUTED_VALUE"""),5850.0)</f>
        <v>5850</v>
      </c>
      <c r="E70" s="6">
        <f>IFERROR(__xludf.DUMMYFUNCTION("""COMPUTED_VALUE"""),5961.2)</f>
        <v>5961.2</v>
      </c>
      <c r="F70" s="6">
        <f>IFERROR(__xludf.DUMMYFUNCTION("""COMPUTED_VALUE"""),3240724.0)</f>
        <v>3240724</v>
      </c>
    </row>
    <row r="71">
      <c r="A71" s="7">
        <f>IFERROR(__xludf.DUMMYFUNCTION("""COMPUTED_VALUE"""),45681.64583333333)</f>
        <v>45681.64583</v>
      </c>
      <c r="B71" s="6">
        <f>IFERROR(__xludf.DUMMYFUNCTION("""COMPUTED_VALUE"""),5994.0)</f>
        <v>5994</v>
      </c>
      <c r="C71" s="6">
        <f>IFERROR(__xludf.DUMMYFUNCTION("""COMPUTED_VALUE"""),6501.0)</f>
        <v>6501</v>
      </c>
      <c r="D71" s="6">
        <f>IFERROR(__xludf.DUMMYFUNCTION("""COMPUTED_VALUE"""),5445.0)</f>
        <v>5445</v>
      </c>
      <c r="E71" s="6">
        <f>IFERROR(__xludf.DUMMYFUNCTION("""COMPUTED_VALUE"""),6360.65)</f>
        <v>6360.65</v>
      </c>
      <c r="F71" s="6">
        <f>IFERROR(__xludf.DUMMYFUNCTION("""COMPUTED_VALUE"""),6162574.0)</f>
        <v>6162574</v>
      </c>
    </row>
    <row r="72">
      <c r="A72" s="7">
        <f>IFERROR(__xludf.DUMMYFUNCTION("""COMPUTED_VALUE"""),45695.64583333333)</f>
        <v>45695.64583</v>
      </c>
      <c r="B72" s="6">
        <f>IFERROR(__xludf.DUMMYFUNCTION("""COMPUTED_VALUE"""),5830.0)</f>
        <v>5830</v>
      </c>
      <c r="C72" s="6">
        <f>IFERROR(__xludf.DUMMYFUNCTION("""COMPUTED_VALUE"""),6303.95)</f>
        <v>6303.95</v>
      </c>
      <c r="D72" s="6">
        <f>IFERROR(__xludf.DUMMYFUNCTION("""COMPUTED_VALUE"""),5477.55)</f>
        <v>5477.55</v>
      </c>
      <c r="E72" s="6">
        <f>IFERROR(__xludf.DUMMYFUNCTION("""COMPUTED_VALUE"""),6254.1)</f>
        <v>6254.1</v>
      </c>
      <c r="F72" s="6">
        <f>IFERROR(__xludf.DUMMYFUNCTION("""COMPUTED_VALUE"""),1857926.0)</f>
        <v>1857926</v>
      </c>
    </row>
    <row r="73">
      <c r="A73" s="7">
        <f>IFERROR(__xludf.DUMMYFUNCTION("""COMPUTED_VALUE"""),45702.64583333333)</f>
        <v>45702.64583</v>
      </c>
      <c r="B73" s="6">
        <f>IFERROR(__xludf.DUMMYFUNCTION("""COMPUTED_VALUE"""),6280.0)</f>
        <v>6280</v>
      </c>
      <c r="C73" s="6">
        <f>IFERROR(__xludf.DUMMYFUNCTION("""COMPUTED_VALUE"""),6284.9)</f>
        <v>6284.9</v>
      </c>
      <c r="D73" s="6">
        <f>IFERROR(__xludf.DUMMYFUNCTION("""COMPUTED_VALUE"""),5490.1)</f>
        <v>5490.1</v>
      </c>
      <c r="E73" s="6">
        <f>IFERROR(__xludf.DUMMYFUNCTION("""COMPUTED_VALUE"""),5562.7)</f>
        <v>5562.7</v>
      </c>
      <c r="F73" s="6">
        <f>IFERROR(__xludf.DUMMYFUNCTION("""COMPUTED_VALUE"""),1408851.0)</f>
        <v>1408851</v>
      </c>
    </row>
    <row r="74">
      <c r="A74" s="7">
        <f>IFERROR(__xludf.DUMMYFUNCTION("""COMPUTED_VALUE"""),45709.64583333333)</f>
        <v>45709.64583</v>
      </c>
      <c r="B74" s="6">
        <f>IFERROR(__xludf.DUMMYFUNCTION("""COMPUTED_VALUE"""),5562.7)</f>
        <v>5562.7</v>
      </c>
      <c r="C74" s="6">
        <f>IFERROR(__xludf.DUMMYFUNCTION("""COMPUTED_VALUE"""),5969.65)</f>
        <v>5969.65</v>
      </c>
      <c r="D74" s="6">
        <f>IFERROR(__xludf.DUMMYFUNCTION("""COMPUTED_VALUE"""),5388.5)</f>
        <v>5388.5</v>
      </c>
      <c r="E74" s="6">
        <f>IFERROR(__xludf.DUMMYFUNCTION("""COMPUTED_VALUE"""),5710.3)</f>
        <v>5710.3</v>
      </c>
      <c r="F74" s="6">
        <f>IFERROR(__xludf.DUMMYFUNCTION("""COMPUTED_VALUE"""),2228078.0)</f>
        <v>2228078</v>
      </c>
    </row>
    <row r="75">
      <c r="A75" s="7">
        <f>IFERROR(__xludf.DUMMYFUNCTION("""COMPUTED_VALUE"""),45716.64583333333)</f>
        <v>45716.64583</v>
      </c>
      <c r="B75" s="6">
        <f>IFERROR(__xludf.DUMMYFUNCTION("""COMPUTED_VALUE"""),5628.0)</f>
        <v>5628</v>
      </c>
      <c r="C75" s="6">
        <f>IFERROR(__xludf.DUMMYFUNCTION("""COMPUTED_VALUE"""),5690.0)</f>
        <v>5690</v>
      </c>
      <c r="D75" s="6">
        <f>IFERROR(__xludf.DUMMYFUNCTION("""COMPUTED_VALUE"""),5149.2)</f>
        <v>5149.2</v>
      </c>
      <c r="E75" s="6">
        <f>IFERROR(__xludf.DUMMYFUNCTION("""COMPUTED_VALUE"""),5303.9)</f>
        <v>5303.9</v>
      </c>
      <c r="F75" s="6">
        <f>IFERROR(__xludf.DUMMYFUNCTION("""COMPUTED_VALUE"""),2950391.0)</f>
        <v>2950391</v>
      </c>
    </row>
    <row r="76">
      <c r="A76" s="7">
        <f>IFERROR(__xludf.DUMMYFUNCTION("""COMPUTED_VALUE"""),45723.64583333333)</f>
        <v>45723.64583</v>
      </c>
      <c r="B76" s="6">
        <f>IFERROR(__xludf.DUMMYFUNCTION("""COMPUTED_VALUE"""),5303.9)</f>
        <v>5303.9</v>
      </c>
      <c r="C76" s="6">
        <f>IFERROR(__xludf.DUMMYFUNCTION("""COMPUTED_VALUE"""),5492.7)</f>
        <v>5492.7</v>
      </c>
      <c r="D76" s="6">
        <f>IFERROR(__xludf.DUMMYFUNCTION("""COMPUTED_VALUE"""),5085.05)</f>
        <v>5085.05</v>
      </c>
      <c r="E76" s="6">
        <f>IFERROR(__xludf.DUMMYFUNCTION("""COMPUTED_VALUE"""),5278.8)</f>
        <v>5278.8</v>
      </c>
      <c r="F76" s="6">
        <f>IFERROR(__xludf.DUMMYFUNCTION("""COMPUTED_VALUE"""),2995116.0)</f>
        <v>2995116</v>
      </c>
    </row>
    <row r="77">
      <c r="A77" s="7">
        <f>IFERROR(__xludf.DUMMYFUNCTION("""COMPUTED_VALUE"""),45729.64583333333)</f>
        <v>45729.64583</v>
      </c>
      <c r="B77" s="6">
        <f>IFERROR(__xludf.DUMMYFUNCTION("""COMPUTED_VALUE"""),5279.45)</f>
        <v>5279.45</v>
      </c>
      <c r="C77" s="6">
        <f>IFERROR(__xludf.DUMMYFUNCTION("""COMPUTED_VALUE"""),5309.0)</f>
        <v>5309</v>
      </c>
      <c r="D77" s="6">
        <f>IFERROR(__xludf.DUMMYFUNCTION("""COMPUTED_VALUE"""),4989.95)</f>
        <v>4989.95</v>
      </c>
      <c r="E77" s="6">
        <f>IFERROR(__xludf.DUMMYFUNCTION("""COMPUTED_VALUE"""),5125.75)</f>
        <v>5125.75</v>
      </c>
      <c r="F77" s="6">
        <f>IFERROR(__xludf.DUMMYFUNCTION("""COMPUTED_VALUE"""),1582775.0)</f>
        <v>1582775</v>
      </c>
    </row>
    <row r="78">
      <c r="A78" s="7">
        <f>IFERROR(__xludf.DUMMYFUNCTION("""COMPUTED_VALUE"""),45737.64583333333)</f>
        <v>45737.64583</v>
      </c>
      <c r="B78" s="6">
        <f>IFERROR(__xludf.DUMMYFUNCTION("""COMPUTED_VALUE"""),5125.75)</f>
        <v>5125.75</v>
      </c>
      <c r="C78" s="6">
        <f>IFERROR(__xludf.DUMMYFUNCTION("""COMPUTED_VALUE"""),5428.0)</f>
        <v>5428</v>
      </c>
      <c r="D78" s="6">
        <f>IFERROR(__xludf.DUMMYFUNCTION("""COMPUTED_VALUE"""),0.0)</f>
        <v>0</v>
      </c>
      <c r="E78" s="6">
        <f>IFERROR(__xludf.DUMMYFUNCTION("""COMPUTED_VALUE"""),5275.55)</f>
        <v>5275.55</v>
      </c>
      <c r="F78" s="6">
        <f>IFERROR(__xludf.DUMMYFUNCTION("""COMPUTED_VALUE"""),2947405.0)</f>
        <v>2947405</v>
      </c>
    </row>
    <row r="79">
      <c r="A79" s="7">
        <f>IFERROR(__xludf.DUMMYFUNCTION("""COMPUTED_VALUE"""),45744.64583333333)</f>
        <v>45744.64583</v>
      </c>
      <c r="B79" s="6">
        <f>IFERROR(__xludf.DUMMYFUNCTION("""COMPUTED_VALUE"""),5306.0)</f>
        <v>5306</v>
      </c>
      <c r="C79" s="6">
        <f>IFERROR(__xludf.DUMMYFUNCTION("""COMPUTED_VALUE"""),5700.45)</f>
        <v>5700.45</v>
      </c>
      <c r="D79" s="6">
        <f>IFERROR(__xludf.DUMMYFUNCTION("""COMPUTED_VALUE"""),5232.25)</f>
        <v>5232.25</v>
      </c>
      <c r="E79" s="6">
        <f>IFERROR(__xludf.DUMMYFUNCTION("""COMPUTED_VALUE"""),5513.75)</f>
        <v>5513.75</v>
      </c>
      <c r="F79" s="6">
        <f>IFERROR(__xludf.DUMMYFUNCTION("""COMPUTED_VALUE"""),2723561.0)</f>
        <v>2723561</v>
      </c>
    </row>
    <row r="80">
      <c r="A80" s="7">
        <f>IFERROR(__xludf.DUMMYFUNCTION("""COMPUTED_VALUE"""),45751.64583333333)</f>
        <v>45751.64583</v>
      </c>
      <c r="B80" s="6">
        <f>IFERROR(__xludf.DUMMYFUNCTION("""COMPUTED_VALUE"""),5494.0)</f>
        <v>5494</v>
      </c>
      <c r="C80" s="6">
        <f>IFERROR(__xludf.DUMMYFUNCTION("""COMPUTED_VALUE"""),5509.65)</f>
        <v>5509.65</v>
      </c>
      <c r="D80" s="6">
        <f>IFERROR(__xludf.DUMMYFUNCTION("""COMPUTED_VALUE"""),4498.6)</f>
        <v>4498.6</v>
      </c>
      <c r="E80" s="6">
        <f>IFERROR(__xludf.DUMMYFUNCTION("""COMPUTED_VALUE"""),4609.95)</f>
        <v>4609.95</v>
      </c>
      <c r="F80" s="6">
        <f>IFERROR(__xludf.DUMMYFUNCTION("""COMPUTED_VALUE"""),6255053.0)</f>
        <v>6255053</v>
      </c>
    </row>
    <row r="81">
      <c r="A81" s="7">
        <f>IFERROR(__xludf.DUMMYFUNCTION("""COMPUTED_VALUE"""),45758.64583333333)</f>
        <v>45758.64583</v>
      </c>
      <c r="B81" s="6">
        <f>IFERROR(__xludf.DUMMYFUNCTION("""COMPUTED_VALUE"""),4148.95)</f>
        <v>4148.95</v>
      </c>
      <c r="C81" s="6">
        <f>IFERROR(__xludf.DUMMYFUNCTION("""COMPUTED_VALUE"""),4920.0)</f>
        <v>4920</v>
      </c>
      <c r="D81" s="6">
        <f>IFERROR(__xludf.DUMMYFUNCTION("""COMPUTED_VALUE"""),4148.95)</f>
        <v>4148.95</v>
      </c>
      <c r="E81" s="6">
        <f>IFERROR(__xludf.DUMMYFUNCTION("""COMPUTED_VALUE"""),4544.6)</f>
        <v>4544.6</v>
      </c>
      <c r="F81" s="6">
        <f>IFERROR(__xludf.DUMMYFUNCTION("""COMPUTED_VALUE"""),5456917.0)</f>
        <v>5456917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IFERROR(__xludf.DUMMYFUNCTION("""COMPUTED_VALUE"""),4641.5)</f>
        <v>4641.5</v>
      </c>
      <c r="C82" s="6">
        <f>IFERROR(__xludf.DUMMYFUNCTION("""COMPUTED_VALUE"""),4855.0)</f>
        <v>4855</v>
      </c>
      <c r="D82" s="6">
        <f>IFERROR(__xludf.DUMMYFUNCTION("""COMPUTED_VALUE"""),4555.0)</f>
        <v>4555</v>
      </c>
      <c r="E82" s="6">
        <f>IFERROR(__xludf.DUMMYFUNCTION("""COMPUTED_VALUE"""),4836.0)</f>
        <v>4836</v>
      </c>
      <c r="F82" s="6">
        <f>IFERROR(__xludf.DUMMYFUNCTION("""COMPUTED_VALUE"""),1605865.0)</f>
        <v>1605865</v>
      </c>
    </row>
    <row r="83">
      <c r="A83" s="7">
        <f>IFERROR(__xludf.DUMMYFUNCTION("""COMPUTED_VALUE"""),45772.64583333333)</f>
        <v>45772.64583</v>
      </c>
      <c r="B83" s="6">
        <f>IFERROR(__xludf.DUMMYFUNCTION("""COMPUTED_VALUE"""),4818.5)</f>
        <v>4818.5</v>
      </c>
      <c r="C83" s="6">
        <f>IFERROR(__xludf.DUMMYFUNCTION("""COMPUTED_VALUE"""),5387.5)</f>
        <v>5387.5</v>
      </c>
      <c r="D83" s="6">
        <f>IFERROR(__xludf.DUMMYFUNCTION("""COMPUTED_VALUE"""),4715.0)</f>
        <v>4715</v>
      </c>
      <c r="E83" s="6">
        <f>IFERROR(__xludf.DUMMYFUNCTION("""COMPUTED_VALUE"""),5273.5)</f>
        <v>5273.5</v>
      </c>
      <c r="F83" s="6">
        <f>IFERROR(__xludf.DUMMYFUNCTION("""COMPUTED_VALUE"""),6600077.0)</f>
        <v>6600077</v>
      </c>
    </row>
    <row r="84">
      <c r="A84" s="7">
        <f>IFERROR(__xludf.DUMMYFUNCTION("""COMPUTED_VALUE"""),45779.64583333333)</f>
        <v>45779.64583</v>
      </c>
      <c r="B84" s="6">
        <f>IFERROR(__xludf.DUMMYFUNCTION("""COMPUTED_VALUE"""),5293.5)</f>
        <v>5293.5</v>
      </c>
      <c r="C84" s="6">
        <f>IFERROR(__xludf.DUMMYFUNCTION("""COMPUTED_VALUE"""),5487.0)</f>
        <v>5487</v>
      </c>
      <c r="D84" s="6">
        <f>IFERROR(__xludf.DUMMYFUNCTION("""COMPUTED_VALUE"""),5172.5)</f>
        <v>5172.5</v>
      </c>
      <c r="E84" s="6">
        <f>IFERROR(__xludf.DUMMYFUNCTION("""COMPUTED_VALUE"""),5425.5)</f>
        <v>5425.5</v>
      </c>
      <c r="F84" s="6">
        <f>IFERROR(__xludf.DUMMYFUNCTION("""COMPUTED_VALUE"""),2417000.0)</f>
        <v>2417000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IFERROR(__xludf.DUMMYFUNCTION("""COMPUTED_VALUE"""),5490.0)</f>
        <v>5490</v>
      </c>
      <c r="C85" s="6">
        <f>IFERROR(__xludf.DUMMYFUNCTION("""COMPUTED_VALUE"""),5630.5)</f>
        <v>5630.5</v>
      </c>
      <c r="D85" s="6">
        <f>IFERROR(__xludf.DUMMYFUNCTION("""COMPUTED_VALUE"""),5310.5)</f>
        <v>5310.5</v>
      </c>
      <c r="E85" s="6">
        <f>IFERROR(__xludf.DUMMYFUNCTION("""COMPUTED_VALUE"""),5443.0)</f>
        <v>5443</v>
      </c>
      <c r="F85" s="6">
        <f>IFERROR(__xludf.DUMMYFUNCTION("""COMPUTED_VALUE"""),1812578.0)</f>
        <v>1812578</v>
      </c>
    </row>
    <row r="86">
      <c r="A86" s="7">
        <f>IFERROR(__xludf.DUMMYFUNCTION("""COMPUTED_VALUE"""),45793.64583333333)</f>
        <v>45793.64583</v>
      </c>
      <c r="B86" s="6">
        <f>IFERROR(__xludf.DUMMYFUNCTION("""COMPUTED_VALUE"""),5640.0)</f>
        <v>5640</v>
      </c>
      <c r="C86" s="6">
        <f>IFERROR(__xludf.DUMMYFUNCTION("""COMPUTED_VALUE"""),5955.0)</f>
        <v>5955</v>
      </c>
      <c r="D86" s="6">
        <f>IFERROR(__xludf.DUMMYFUNCTION("""COMPUTED_VALUE"""),5552.0)</f>
        <v>5552</v>
      </c>
      <c r="E86" s="6">
        <f>IFERROR(__xludf.DUMMYFUNCTION("""COMPUTED_VALUE"""),5699.0)</f>
        <v>5699</v>
      </c>
      <c r="F86" s="6">
        <f>IFERROR(__xludf.DUMMYFUNCTION("""COMPUTED_VALUE"""),3466515.0)</f>
        <v>3466515</v>
      </c>
    </row>
    <row r="87">
      <c r="A87" s="7">
        <f>IFERROR(__xludf.DUMMYFUNCTION("""COMPUTED_VALUE"""),45800.64583333333)</f>
        <v>45800.64583</v>
      </c>
      <c r="B87" s="6">
        <f>IFERROR(__xludf.DUMMYFUNCTION("""COMPUTED_VALUE"""),5650.0)</f>
        <v>5650</v>
      </c>
      <c r="C87" s="6">
        <f>IFERROR(__xludf.DUMMYFUNCTION("""COMPUTED_VALUE"""),5815.0)</f>
        <v>5815</v>
      </c>
      <c r="D87" s="6">
        <f>IFERROR(__xludf.DUMMYFUNCTION("""COMPUTED_VALUE"""),5487.0)</f>
        <v>5487</v>
      </c>
      <c r="E87" s="6">
        <f>IFERROR(__xludf.DUMMYFUNCTION("""COMPUTED_VALUE"""),5662.0)</f>
        <v>5662</v>
      </c>
      <c r="F87" s="6">
        <f>IFERROR(__xludf.DUMMYFUNCTION("""COMPUTED_VALUE"""),1909516.0)</f>
        <v>1909516</v>
      </c>
    </row>
    <row r="88">
      <c r="A88" s="7">
        <f>IFERROR(__xludf.DUMMYFUNCTION("""COMPUTED_VALUE"""),45807.64583333333)</f>
        <v>45807.64583</v>
      </c>
      <c r="B88" s="6">
        <f>IFERROR(__xludf.DUMMYFUNCTION("""COMPUTED_VALUE"""),5690.0)</f>
        <v>5690</v>
      </c>
      <c r="C88" s="6">
        <f>IFERROR(__xludf.DUMMYFUNCTION("""COMPUTED_VALUE"""),5725.0)</f>
        <v>5725</v>
      </c>
      <c r="D88" s="6">
        <f>IFERROR(__xludf.DUMMYFUNCTION("""COMPUTED_VALUE"""),5571.0)</f>
        <v>5571</v>
      </c>
      <c r="E88" s="6">
        <f>IFERROR(__xludf.DUMMYFUNCTION("""COMPUTED_VALUE"""),5638.0)</f>
        <v>5638</v>
      </c>
      <c r="F88" s="6">
        <f>IFERROR(__xludf.DUMMYFUNCTION("""COMPUTED_VALUE"""),1648346.0)</f>
        <v>1648346</v>
      </c>
    </row>
    <row r="89">
      <c r="A89" s="7">
        <f>IFERROR(__xludf.DUMMYFUNCTION("""COMPUTED_VALUE"""),45814.64583333333)</f>
        <v>45814.64583</v>
      </c>
      <c r="B89" s="6">
        <f>IFERROR(__xludf.DUMMYFUNCTION("""COMPUTED_VALUE"""),5632.0)</f>
        <v>5632</v>
      </c>
      <c r="C89" s="6">
        <f>IFERROR(__xludf.DUMMYFUNCTION("""COMPUTED_VALUE"""),5693.0)</f>
        <v>5693</v>
      </c>
      <c r="D89" s="6">
        <f>IFERROR(__xludf.DUMMYFUNCTION("""COMPUTED_VALUE"""),5449.0)</f>
        <v>5449</v>
      </c>
      <c r="E89" s="6">
        <f>IFERROR(__xludf.DUMMYFUNCTION("""COMPUTED_VALUE"""),5676.5)</f>
        <v>5676.5</v>
      </c>
      <c r="F89" s="6">
        <f>IFERROR(__xludf.DUMMYFUNCTION("""COMPUTED_VALUE"""),1678059.0)</f>
        <v>1678059</v>
      </c>
    </row>
    <row r="90">
      <c r="A90" s="7">
        <f>IFERROR(__xludf.DUMMYFUNCTION("""COMPUTED_VALUE"""),45821.64583333333)</f>
        <v>45821.64583</v>
      </c>
      <c r="B90" s="6">
        <f>IFERROR(__xludf.DUMMYFUNCTION("""COMPUTED_VALUE"""),5725.0)</f>
        <v>5725</v>
      </c>
      <c r="C90" s="6">
        <f>IFERROR(__xludf.DUMMYFUNCTION("""COMPUTED_VALUE"""),6050.0)</f>
        <v>6050</v>
      </c>
      <c r="D90" s="6">
        <f>IFERROR(__xludf.DUMMYFUNCTION("""COMPUTED_VALUE"""),5694.0)</f>
        <v>5694</v>
      </c>
      <c r="E90" s="6">
        <f>IFERROR(__xludf.DUMMYFUNCTION("""COMPUTED_VALUE"""),5882.5)</f>
        <v>5882.5</v>
      </c>
      <c r="F90" s="6">
        <f>IFERROR(__xludf.DUMMYFUNCTION("""COMPUTED_VALUE"""),2320300.0)</f>
        <v>2320300</v>
      </c>
    </row>
    <row r="91">
      <c r="A91" s="7">
        <f>IFERROR(__xludf.DUMMYFUNCTION("""COMPUTED_VALUE"""),45828.64583333333)</f>
        <v>45828.64583</v>
      </c>
      <c r="B91" s="6">
        <f>IFERROR(__xludf.DUMMYFUNCTION("""COMPUTED_VALUE"""),5911.0)</f>
        <v>5911</v>
      </c>
      <c r="C91" s="6">
        <f>IFERROR(__xludf.DUMMYFUNCTION("""COMPUTED_VALUE"""),6145.0)</f>
        <v>6145</v>
      </c>
      <c r="D91" s="6">
        <f>IFERROR(__xludf.DUMMYFUNCTION("""COMPUTED_VALUE"""),5841.0)</f>
        <v>5841</v>
      </c>
      <c r="E91" s="6">
        <f>IFERROR(__xludf.DUMMYFUNCTION("""COMPUTED_VALUE"""),6106.5)</f>
        <v>6106.5</v>
      </c>
      <c r="F91" s="6">
        <f>IFERROR(__xludf.DUMMYFUNCTION("""COMPUTED_VALUE"""),2561310.0)</f>
        <v>2561310</v>
      </c>
    </row>
    <row r="92">
      <c r="A92" s="7">
        <f>IFERROR(__xludf.DUMMYFUNCTION("""COMPUTED_VALUE"""),45835.64583333333)</f>
        <v>45835.64583</v>
      </c>
      <c r="B92" s="6">
        <f>IFERROR(__xludf.DUMMYFUNCTION("""COMPUTED_VALUE"""),6066.0)</f>
        <v>6066</v>
      </c>
      <c r="C92" s="6">
        <f>IFERROR(__xludf.DUMMYFUNCTION("""COMPUTED_VALUE"""),6180.0)</f>
        <v>6180</v>
      </c>
      <c r="D92" s="6">
        <f>IFERROR(__xludf.DUMMYFUNCTION("""COMPUTED_VALUE"""),5984.5)</f>
        <v>5984.5</v>
      </c>
      <c r="E92" s="6">
        <f>IFERROR(__xludf.DUMMYFUNCTION("""COMPUTED_VALUE"""),6010.5)</f>
        <v>6010.5</v>
      </c>
      <c r="F92" s="6">
        <f>IFERROR(__xludf.DUMMYFUNCTION("""COMPUTED_VALUE"""),2723713.0)</f>
        <v>2723713</v>
      </c>
    </row>
    <row r="93">
      <c r="A93" s="7">
        <f>IFERROR(__xludf.DUMMYFUNCTION("""COMPUTED_VALUE"""),45842.64583333333)</f>
        <v>45842.64583</v>
      </c>
      <c r="B93" s="6">
        <f>IFERROR(__xludf.DUMMYFUNCTION("""COMPUTED_VALUE"""),6025.0)</f>
        <v>6025</v>
      </c>
      <c r="C93" s="6">
        <f>IFERROR(__xludf.DUMMYFUNCTION("""COMPUTED_VALUE"""),6113.0)</f>
        <v>6113</v>
      </c>
      <c r="D93" s="6">
        <f>IFERROR(__xludf.DUMMYFUNCTION("""COMPUTED_VALUE"""),5838.5)</f>
        <v>5838.5</v>
      </c>
      <c r="E93" s="6">
        <f>IFERROR(__xludf.DUMMYFUNCTION("""COMPUTED_VALUE"""),5896.0)</f>
        <v>5896</v>
      </c>
      <c r="F93" s="6">
        <f>IFERROR(__xludf.DUMMYFUNCTION("""COMPUTED_VALUE"""),1471197.0)</f>
        <v>1471197</v>
      </c>
    </row>
    <row r="94">
      <c r="A94" s="7">
        <f>IFERROR(__xludf.DUMMYFUNCTION("""COMPUTED_VALUE"""),45849.64583333333)</f>
        <v>45849.64583</v>
      </c>
      <c r="B94" s="6">
        <f>IFERROR(__xludf.DUMMYFUNCTION("""COMPUTED_VALUE"""),5885.0)</f>
        <v>5885</v>
      </c>
      <c r="C94" s="6">
        <f>IFERROR(__xludf.DUMMYFUNCTION("""COMPUTED_VALUE"""),5950.0)</f>
        <v>5950</v>
      </c>
      <c r="D94" s="6">
        <f>IFERROR(__xludf.DUMMYFUNCTION("""COMPUTED_VALUE"""),5560.0)</f>
        <v>5560</v>
      </c>
      <c r="E94" s="6">
        <f>IFERROR(__xludf.DUMMYFUNCTION("""COMPUTED_VALUE"""),5578.5)</f>
        <v>5578.5</v>
      </c>
      <c r="F94" s="6">
        <f>IFERROR(__xludf.DUMMYFUNCTION("""COMPUTED_VALUE"""),1474685.0)</f>
        <v>1474685</v>
      </c>
    </row>
    <row r="95">
      <c r="A95" s="7">
        <f>IFERROR(__xludf.DUMMYFUNCTION("""COMPUTED_VALUE"""),45856.64583333333)</f>
        <v>45856.64583</v>
      </c>
      <c r="B95" s="6">
        <f>IFERROR(__xludf.DUMMYFUNCTION("""COMPUTED_VALUE"""),5550.0)</f>
        <v>5550</v>
      </c>
      <c r="C95" s="6">
        <f>IFERROR(__xludf.DUMMYFUNCTION("""COMPUTED_VALUE"""),5665.0)</f>
        <v>5665</v>
      </c>
      <c r="D95" s="6">
        <f>IFERROR(__xludf.DUMMYFUNCTION("""COMPUTED_VALUE"""),5415.0)</f>
        <v>5415</v>
      </c>
      <c r="E95" s="6">
        <f>IFERROR(__xludf.DUMMYFUNCTION("""COMPUTED_VALUE"""),5547.5)</f>
        <v>5547.5</v>
      </c>
      <c r="F95" s="6">
        <f>IFERROR(__xludf.DUMMYFUNCTION("""COMPUTED_VALUE"""),2439536.0)</f>
        <v>2439536</v>
      </c>
    </row>
    <row r="96">
      <c r="A96" s="7">
        <f>IFERROR(__xludf.DUMMYFUNCTION("""COMPUTED_VALUE"""),45863.64583333333)</f>
        <v>45863.64583</v>
      </c>
      <c r="B96" s="6">
        <f>IFERROR(__xludf.DUMMYFUNCTION("""COMPUTED_VALUE"""),5560.0)</f>
        <v>5560</v>
      </c>
      <c r="C96" s="6">
        <f>IFERROR(__xludf.DUMMYFUNCTION("""COMPUTED_VALUE"""),5849.0)</f>
        <v>5849</v>
      </c>
      <c r="D96" s="6">
        <f>IFERROR(__xludf.DUMMYFUNCTION("""COMPUTED_VALUE"""),5086.0)</f>
        <v>5086</v>
      </c>
      <c r="E96" s="6">
        <f>IFERROR(__xludf.DUMMYFUNCTION("""COMPUTED_VALUE"""),5150.5)</f>
        <v>5150.5</v>
      </c>
      <c r="F96" s="6">
        <f>IFERROR(__xludf.DUMMYFUNCTION("""COMPUTED_VALUE"""),5907360.0)</f>
        <v>5907360</v>
      </c>
    </row>
    <row r="97">
      <c r="A97" s="7">
        <f>IFERROR(__xludf.DUMMYFUNCTION("""COMPUTED_VALUE"""),45870.64583333333)</f>
        <v>45870.64583</v>
      </c>
      <c r="B97" s="6">
        <f>IFERROR(__xludf.DUMMYFUNCTION("""COMPUTED_VALUE"""),5149.5)</f>
        <v>5149.5</v>
      </c>
      <c r="C97" s="6">
        <f>IFERROR(__xludf.DUMMYFUNCTION("""COMPUTED_VALUE"""),5209.5)</f>
        <v>5209.5</v>
      </c>
      <c r="D97" s="6">
        <f>IFERROR(__xludf.DUMMYFUNCTION("""COMPUTED_VALUE"""),5040.0)</f>
        <v>5040</v>
      </c>
      <c r="E97" s="6">
        <f>IFERROR(__xludf.DUMMYFUNCTION("""COMPUTED_VALUE"""),5061.5)</f>
        <v>5061.5</v>
      </c>
      <c r="F97" s="6">
        <f>IFERROR(__xludf.DUMMYFUNCTION("""COMPUTED_VALUE"""),2156828.0)</f>
        <v>2156828</v>
      </c>
    </row>
    <row r="98">
      <c r="A98" s="7">
        <f>IFERROR(__xludf.DUMMYFUNCTION("""COMPUTED_VALUE"""),45877.64583333333)</f>
        <v>45877.64583</v>
      </c>
      <c r="B98" s="6">
        <f>IFERROR(__xludf.DUMMYFUNCTION("""COMPUTED_VALUE"""),5055.0)</f>
        <v>5055</v>
      </c>
      <c r="C98" s="6">
        <f>IFERROR(__xludf.DUMMYFUNCTION("""COMPUTED_VALUE"""),5202.0)</f>
        <v>5202</v>
      </c>
      <c r="D98" s="6">
        <f>IFERROR(__xludf.DUMMYFUNCTION("""COMPUTED_VALUE"""),5008.5)</f>
        <v>5008.5</v>
      </c>
      <c r="E98" s="6">
        <f>IFERROR(__xludf.DUMMYFUNCTION("""COMPUTED_VALUE"""),5105.5)</f>
        <v>5105.5</v>
      </c>
      <c r="F98" s="6">
        <f>IFERROR(__xludf.DUMMYFUNCTION("""COMPUTED_VALUE"""),2006006.0)</f>
        <v>2006006</v>
      </c>
    </row>
    <row r="99">
      <c r="A99" s="7">
        <f>IFERROR(__xludf.DUMMYFUNCTION("""COMPUTED_VALUE"""),45883.64583333333)</f>
        <v>45883.64583</v>
      </c>
      <c r="B99" s="6">
        <f>IFERROR(__xludf.DUMMYFUNCTION("""COMPUTED_VALUE"""),5090.5)</f>
        <v>5090.5</v>
      </c>
      <c r="C99" s="6">
        <f>IFERROR(__xludf.DUMMYFUNCTION("""COMPUTED_VALUE"""),5330.0)</f>
        <v>5330</v>
      </c>
      <c r="D99" s="6">
        <f>IFERROR(__xludf.DUMMYFUNCTION("""COMPUTED_VALUE"""),5066.0)</f>
        <v>5066</v>
      </c>
      <c r="E99" s="6">
        <f>IFERROR(__xludf.DUMMYFUNCTION("""COMPUTED_VALUE"""),5289.0)</f>
        <v>5289</v>
      </c>
      <c r="F99" s="6">
        <f>IFERROR(__xludf.DUMMYFUNCTION("""COMPUTED_VALUE"""),1623883.0)</f>
        <v>1623883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IFERROR(__xludf.DUMMYFUNCTION("""COMPUTED_VALUE"""),5324.0)</f>
        <v>5324</v>
      </c>
      <c r="C100" s="6">
        <f>IFERROR(__xludf.DUMMYFUNCTION("""COMPUTED_VALUE"""),5420.0)</f>
        <v>5420</v>
      </c>
      <c r="D100" s="6">
        <f>IFERROR(__xludf.DUMMYFUNCTION("""COMPUTED_VALUE"""),5180.0)</f>
        <v>5180</v>
      </c>
      <c r="E100" s="6">
        <f>IFERROR(__xludf.DUMMYFUNCTION("""COMPUTED_VALUE"""),5369.0)</f>
        <v>5369</v>
      </c>
      <c r="F100" s="6">
        <f>IFERROR(__xludf.DUMMYFUNCTION("""COMPUTED_VALUE"""),2240244.0)</f>
        <v>2240244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IFERROR(__xludf.DUMMYFUNCTION("""COMPUTED_VALUE"""),5401.0)</f>
        <v>5401</v>
      </c>
      <c r="C101" s="6">
        <f>IFERROR(__xludf.DUMMYFUNCTION("""COMPUTED_VALUE"""),5509.5)</f>
        <v>5509.5</v>
      </c>
      <c r="D101" s="6">
        <f>IFERROR(__xludf.DUMMYFUNCTION("""COMPUTED_VALUE"""),5355.0)</f>
        <v>5355</v>
      </c>
      <c r="E101" s="6">
        <f>IFERROR(__xludf.DUMMYFUNCTION("""COMPUTED_VALUE"""),5376.5)</f>
        <v>5376.5</v>
      </c>
      <c r="F101" s="6">
        <f>IFERROR(__xludf.DUMMYFUNCTION("""COMPUTED_VALUE"""),9510095.0)</f>
        <v>9510095</v>
      </c>
    </row>
  </sheetData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IFERROR(__xludf.DUMMYFUNCTION("GOOGLEFINANCE(""NSE:PETRONET"",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IFERROR(__xludf.DUMMYFUNCTION("""COMPUTED_VALUE"""),219.05)</f>
        <v>219.05</v>
      </c>
      <c r="C2" s="6">
        <f>IFERROR(__xludf.DUMMYFUNCTION("""COMPUTED_VALUE"""),220.6)</f>
        <v>220.6</v>
      </c>
      <c r="D2" s="6">
        <f>IFERROR(__xludf.DUMMYFUNCTION("""COMPUTED_VALUE"""),214.7)</f>
        <v>214.7</v>
      </c>
      <c r="E2" s="6">
        <f>IFERROR(__xludf.DUMMYFUNCTION("""COMPUTED_VALUE"""),219.55)</f>
        <v>219.55</v>
      </c>
      <c r="F2" s="6">
        <f>IFERROR(__xludf.DUMMYFUNCTION("""COMPUTED_VALUE"""),1.0745128E7)</f>
        <v>10745128</v>
      </c>
    </row>
    <row r="3">
      <c r="A3" s="7">
        <f>IFERROR(__xludf.DUMMYFUNCTION("""COMPUTED_VALUE"""),45177.64583333333)</f>
        <v>45177.64583</v>
      </c>
      <c r="B3" s="6">
        <f>IFERROR(__xludf.DUMMYFUNCTION("""COMPUTED_VALUE"""),220.1)</f>
        <v>220.1</v>
      </c>
      <c r="C3" s="6">
        <f>IFERROR(__xludf.DUMMYFUNCTION("""COMPUTED_VALUE"""),253.95)</f>
        <v>253.95</v>
      </c>
      <c r="D3" s="6">
        <f>IFERROR(__xludf.DUMMYFUNCTION("""COMPUTED_VALUE"""),218.05)</f>
        <v>218.05</v>
      </c>
      <c r="E3" s="6">
        <f>IFERROR(__xludf.DUMMYFUNCTION("""COMPUTED_VALUE"""),250.2)</f>
        <v>250.2</v>
      </c>
      <c r="F3" s="6">
        <f>IFERROR(__xludf.DUMMYFUNCTION("""COMPUTED_VALUE"""),4.2646287E7)</f>
        <v>42646287</v>
      </c>
    </row>
    <row r="4">
      <c r="A4" s="7">
        <f>IFERROR(__xludf.DUMMYFUNCTION("""COMPUTED_VALUE"""),45184.64583333333)</f>
        <v>45184.64583</v>
      </c>
      <c r="B4" s="6">
        <f>IFERROR(__xludf.DUMMYFUNCTION("""COMPUTED_VALUE"""),251.95)</f>
        <v>251.95</v>
      </c>
      <c r="C4" s="6">
        <f>IFERROR(__xludf.DUMMYFUNCTION("""COMPUTED_VALUE"""),254.4)</f>
        <v>254.4</v>
      </c>
      <c r="D4" s="6">
        <f>IFERROR(__xludf.DUMMYFUNCTION("""COMPUTED_VALUE"""),233.1)</f>
        <v>233.1</v>
      </c>
      <c r="E4" s="6">
        <f>IFERROR(__xludf.DUMMYFUNCTION("""COMPUTED_VALUE"""),241.0)</f>
        <v>241</v>
      </c>
      <c r="F4" s="6">
        <f>IFERROR(__xludf.DUMMYFUNCTION("""COMPUTED_VALUE"""),1.5618001E7)</f>
        <v>15618001</v>
      </c>
    </row>
    <row r="5">
      <c r="A5" s="7">
        <f>IFERROR(__xludf.DUMMYFUNCTION("""COMPUTED_VALUE"""),45191.64583333333)</f>
        <v>45191.64583</v>
      </c>
      <c r="B5" s="6">
        <f>IFERROR(__xludf.DUMMYFUNCTION("""COMPUTED_VALUE"""),241.0)</f>
        <v>241</v>
      </c>
      <c r="C5" s="6">
        <f>IFERROR(__xludf.DUMMYFUNCTION("""COMPUTED_VALUE"""),242.85)</f>
        <v>242.85</v>
      </c>
      <c r="D5" s="6">
        <f>IFERROR(__xludf.DUMMYFUNCTION("""COMPUTED_VALUE"""),233.65)</f>
        <v>233.65</v>
      </c>
      <c r="E5" s="6">
        <f>IFERROR(__xludf.DUMMYFUNCTION("""COMPUTED_VALUE"""),240.25)</f>
        <v>240.25</v>
      </c>
      <c r="F5" s="6">
        <f>IFERROR(__xludf.DUMMYFUNCTION("""COMPUTED_VALUE"""),1.0706935E7)</f>
        <v>10706935</v>
      </c>
    </row>
    <row r="6">
      <c r="A6" s="7">
        <f>IFERROR(__xludf.DUMMYFUNCTION("""COMPUTED_VALUE"""),45198.64583333333)</f>
        <v>45198.64583</v>
      </c>
      <c r="B6" s="6">
        <f>IFERROR(__xludf.DUMMYFUNCTION("""COMPUTED_VALUE"""),240.25)</f>
        <v>240.25</v>
      </c>
      <c r="C6" s="6">
        <f>IFERROR(__xludf.DUMMYFUNCTION("""COMPUTED_VALUE"""),242.35)</f>
        <v>242.35</v>
      </c>
      <c r="D6" s="6">
        <f>IFERROR(__xludf.DUMMYFUNCTION("""COMPUTED_VALUE"""),234.2)</f>
        <v>234.2</v>
      </c>
      <c r="E6" s="6">
        <f>IFERROR(__xludf.DUMMYFUNCTION("""COMPUTED_VALUE"""),239.95)</f>
        <v>239.95</v>
      </c>
      <c r="F6" s="6">
        <f>IFERROR(__xludf.DUMMYFUNCTION("""COMPUTED_VALUE"""),7778060.0)</f>
        <v>7778060</v>
      </c>
    </row>
    <row r="7">
      <c r="A7" s="7">
        <f>IFERROR(__xludf.DUMMYFUNCTION("""COMPUTED_VALUE"""),45205.64583333333)</f>
        <v>45205.64583</v>
      </c>
      <c r="B7" s="6">
        <f>IFERROR(__xludf.DUMMYFUNCTION("""COMPUTED_VALUE"""),240.5)</f>
        <v>240.5</v>
      </c>
      <c r="C7" s="6">
        <f>IFERROR(__xludf.DUMMYFUNCTION("""COMPUTED_VALUE"""),241.75)</f>
        <v>241.75</v>
      </c>
      <c r="D7" s="6">
        <f>IFERROR(__xludf.DUMMYFUNCTION("""COMPUTED_VALUE"""),229.1)</f>
        <v>229.1</v>
      </c>
      <c r="E7" s="6">
        <f>IFERROR(__xludf.DUMMYFUNCTION("""COMPUTED_VALUE"""),230.4)</f>
        <v>230.4</v>
      </c>
      <c r="F7" s="6">
        <f>IFERROR(__xludf.DUMMYFUNCTION("""COMPUTED_VALUE"""),8088368.0)</f>
        <v>8088368</v>
      </c>
    </row>
    <row r="8">
      <c r="A8" s="7">
        <f>IFERROR(__xludf.DUMMYFUNCTION("""COMPUTED_VALUE"""),45212.64583333333)</f>
        <v>45212.64583</v>
      </c>
      <c r="B8" s="6">
        <f>IFERROR(__xludf.DUMMYFUNCTION("""COMPUTED_VALUE"""),229.95)</f>
        <v>229.95</v>
      </c>
      <c r="C8" s="6">
        <f>IFERROR(__xludf.DUMMYFUNCTION("""COMPUTED_VALUE"""),234.2)</f>
        <v>234.2</v>
      </c>
      <c r="D8" s="6">
        <f>IFERROR(__xludf.DUMMYFUNCTION("""COMPUTED_VALUE"""),222.2)</f>
        <v>222.2</v>
      </c>
      <c r="E8" s="6">
        <f>IFERROR(__xludf.DUMMYFUNCTION("""COMPUTED_VALUE"""),231.05)</f>
        <v>231.05</v>
      </c>
      <c r="F8" s="6">
        <f>IFERROR(__xludf.DUMMYFUNCTION("""COMPUTED_VALUE"""),1.5460623E7)</f>
        <v>15460623</v>
      </c>
    </row>
    <row r="9">
      <c r="A9" s="7">
        <f>IFERROR(__xludf.DUMMYFUNCTION("""COMPUTED_VALUE"""),45219.64583333333)</f>
        <v>45219.64583</v>
      </c>
      <c r="B9" s="6">
        <f>IFERROR(__xludf.DUMMYFUNCTION("""COMPUTED_VALUE"""),231.05)</f>
        <v>231.05</v>
      </c>
      <c r="C9" s="6">
        <f>IFERROR(__xludf.DUMMYFUNCTION("""COMPUTED_VALUE"""),235.2)</f>
        <v>235.2</v>
      </c>
      <c r="D9" s="6">
        <f>IFERROR(__xludf.DUMMYFUNCTION("""COMPUTED_VALUE"""),224.75)</f>
        <v>224.75</v>
      </c>
      <c r="E9" s="6">
        <f>IFERROR(__xludf.DUMMYFUNCTION("""COMPUTED_VALUE"""),226.05)</f>
        <v>226.05</v>
      </c>
      <c r="F9" s="6">
        <f>IFERROR(__xludf.DUMMYFUNCTION("""COMPUTED_VALUE"""),8924060.0)</f>
        <v>8924060</v>
      </c>
    </row>
    <row r="10">
      <c r="A10" s="7">
        <f>IFERROR(__xludf.DUMMYFUNCTION("""COMPUTED_VALUE"""),45226.64583333333)</f>
        <v>45226.64583</v>
      </c>
      <c r="B10" s="6">
        <f>IFERROR(__xludf.DUMMYFUNCTION("""COMPUTED_VALUE"""),226.1)</f>
        <v>226.1</v>
      </c>
      <c r="C10" s="6">
        <f>IFERROR(__xludf.DUMMYFUNCTION("""COMPUTED_VALUE"""),226.8)</f>
        <v>226.8</v>
      </c>
      <c r="D10" s="6">
        <f>IFERROR(__xludf.DUMMYFUNCTION("""COMPUTED_VALUE"""),216.5)</f>
        <v>216.5</v>
      </c>
      <c r="E10" s="6">
        <f>IFERROR(__xludf.DUMMYFUNCTION("""COMPUTED_VALUE"""),220.25)</f>
        <v>220.25</v>
      </c>
      <c r="F10" s="6">
        <f>IFERROR(__xludf.DUMMYFUNCTION("""COMPUTED_VALUE"""),6309464.0)</f>
        <v>6309464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IFERROR(__xludf.DUMMYFUNCTION("""COMPUTED_VALUE"""),220.3)</f>
        <v>220.3</v>
      </c>
      <c r="C11" s="6">
        <f>IFERROR(__xludf.DUMMYFUNCTION("""COMPUTED_VALUE"""),223.55)</f>
        <v>223.55</v>
      </c>
      <c r="D11" s="6">
        <f>IFERROR(__xludf.DUMMYFUNCTION("""COMPUTED_VALUE"""),193.35)</f>
        <v>193.35</v>
      </c>
      <c r="E11" s="6">
        <f>IFERROR(__xludf.DUMMYFUNCTION("""COMPUTED_VALUE"""),196.05)</f>
        <v>196.05</v>
      </c>
      <c r="F11" s="6">
        <f>IFERROR(__xludf.DUMMYFUNCTION("""COMPUTED_VALUE"""),6.2149894E7)</f>
        <v>62149894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IFERROR(__xludf.DUMMYFUNCTION("""COMPUTED_VALUE"""),197.5)</f>
        <v>197.5</v>
      </c>
      <c r="C12" s="6">
        <f>IFERROR(__xludf.DUMMYFUNCTION("""COMPUTED_VALUE"""),203.85)</f>
        <v>203.85</v>
      </c>
      <c r="D12" s="6">
        <f>IFERROR(__xludf.DUMMYFUNCTION("""COMPUTED_VALUE"""),191.7)</f>
        <v>191.7</v>
      </c>
      <c r="E12" s="6">
        <f>IFERROR(__xludf.DUMMYFUNCTION("""COMPUTED_VALUE"""),194.7)</f>
        <v>194.7</v>
      </c>
      <c r="F12" s="6">
        <f>IFERROR(__xludf.DUMMYFUNCTION("""COMPUTED_VALUE"""),4.5292636E7)</f>
        <v>45292636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IFERROR(__xludf.DUMMYFUNCTION("""COMPUTED_VALUE"""),196.0)</f>
        <v>196</v>
      </c>
      <c r="C13" s="6">
        <f>IFERROR(__xludf.DUMMYFUNCTION("""COMPUTED_VALUE"""),199.5)</f>
        <v>199.5</v>
      </c>
      <c r="D13" s="6">
        <f>IFERROR(__xludf.DUMMYFUNCTION("""COMPUTED_VALUE"""),195.0)</f>
        <v>195</v>
      </c>
      <c r="E13" s="6">
        <f>IFERROR(__xludf.DUMMYFUNCTION("""COMPUTED_VALUE"""),196.05)</f>
        <v>196.05</v>
      </c>
      <c r="F13" s="6">
        <f>IFERROR(__xludf.DUMMYFUNCTION("""COMPUTED_VALUE"""),1.9056133E7)</f>
        <v>19056133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IFERROR(__xludf.DUMMYFUNCTION("""COMPUTED_VALUE"""),196.0)</f>
        <v>196</v>
      </c>
      <c r="C14" s="6">
        <f>IFERROR(__xludf.DUMMYFUNCTION("""COMPUTED_VALUE"""),197.95)</f>
        <v>197.95</v>
      </c>
      <c r="D14" s="6">
        <f>IFERROR(__xludf.DUMMYFUNCTION("""COMPUTED_VALUE"""),194.4)</f>
        <v>194.4</v>
      </c>
      <c r="E14" s="6">
        <f>IFERROR(__xludf.DUMMYFUNCTION("""COMPUTED_VALUE"""),195.3)</f>
        <v>195.3</v>
      </c>
      <c r="F14" s="6">
        <f>IFERROR(__xludf.DUMMYFUNCTION("""COMPUTED_VALUE"""),2.037706E7)</f>
        <v>20377060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IFERROR(__xludf.DUMMYFUNCTION("""COMPUTED_VALUE"""),196.0)</f>
        <v>196</v>
      </c>
      <c r="C15" s="6">
        <f>IFERROR(__xludf.DUMMYFUNCTION("""COMPUTED_VALUE"""),205.0)</f>
        <v>205</v>
      </c>
      <c r="D15" s="6">
        <f>IFERROR(__xludf.DUMMYFUNCTION("""COMPUTED_VALUE"""),195.4)</f>
        <v>195.4</v>
      </c>
      <c r="E15" s="6">
        <f>IFERROR(__xludf.DUMMYFUNCTION("""COMPUTED_VALUE"""),201.95)</f>
        <v>201.95</v>
      </c>
      <c r="F15" s="6">
        <f>IFERROR(__xludf.DUMMYFUNCTION("""COMPUTED_VALUE"""),4.4955916E7)</f>
        <v>44955916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IFERROR(__xludf.DUMMYFUNCTION("""COMPUTED_VALUE"""),204.95)</f>
        <v>204.95</v>
      </c>
      <c r="C16" s="6">
        <f>IFERROR(__xludf.DUMMYFUNCTION("""COMPUTED_VALUE"""),215.0)</f>
        <v>215</v>
      </c>
      <c r="D16" s="6">
        <f>IFERROR(__xludf.DUMMYFUNCTION("""COMPUTED_VALUE"""),203.3)</f>
        <v>203.3</v>
      </c>
      <c r="E16" s="6">
        <f>IFERROR(__xludf.DUMMYFUNCTION("""COMPUTED_VALUE"""),210.0)</f>
        <v>210</v>
      </c>
      <c r="F16" s="6">
        <f>IFERROR(__xludf.DUMMYFUNCTION("""COMPUTED_VALUE"""),4.1299466E7)</f>
        <v>41299466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IFERROR(__xludf.DUMMYFUNCTION("""COMPUTED_VALUE"""),211.15)</f>
        <v>211.15</v>
      </c>
      <c r="C17" s="6">
        <f>IFERROR(__xludf.DUMMYFUNCTION("""COMPUTED_VALUE"""),216.2)</f>
        <v>216.2</v>
      </c>
      <c r="D17" s="6">
        <f>IFERROR(__xludf.DUMMYFUNCTION("""COMPUTED_VALUE"""),207.65)</f>
        <v>207.65</v>
      </c>
      <c r="E17" s="6">
        <f>IFERROR(__xludf.DUMMYFUNCTION("""COMPUTED_VALUE"""),214.05)</f>
        <v>214.05</v>
      </c>
      <c r="F17" s="6">
        <f>IFERROR(__xludf.DUMMYFUNCTION("""COMPUTED_VALUE"""),2.5202435E7)</f>
        <v>25202435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IFERROR(__xludf.DUMMYFUNCTION("""COMPUTED_VALUE"""),215.5)</f>
        <v>215.5</v>
      </c>
      <c r="C18" s="6">
        <f>IFERROR(__xludf.DUMMYFUNCTION("""COMPUTED_VALUE"""),218.45)</f>
        <v>218.45</v>
      </c>
      <c r="D18" s="6">
        <f>IFERROR(__xludf.DUMMYFUNCTION("""COMPUTED_VALUE"""),206.4)</f>
        <v>206.4</v>
      </c>
      <c r="E18" s="6">
        <f>IFERROR(__xludf.DUMMYFUNCTION("""COMPUTED_VALUE"""),214.2)</f>
        <v>214.2</v>
      </c>
      <c r="F18" s="6">
        <f>IFERROR(__xludf.DUMMYFUNCTION("""COMPUTED_VALUE"""),2.41705E7)</f>
        <v>24170500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IFERROR(__xludf.DUMMYFUNCTION("""COMPUTED_VALUE"""),215.3)</f>
        <v>215.3</v>
      </c>
      <c r="C19" s="6">
        <f>IFERROR(__xludf.DUMMYFUNCTION("""COMPUTED_VALUE"""),225.4)</f>
        <v>225.4</v>
      </c>
      <c r="D19" s="6">
        <f>IFERROR(__xludf.DUMMYFUNCTION("""COMPUTED_VALUE"""),214.7)</f>
        <v>214.7</v>
      </c>
      <c r="E19" s="6">
        <f>IFERROR(__xludf.DUMMYFUNCTION("""COMPUTED_VALUE"""),222.65)</f>
        <v>222.65</v>
      </c>
      <c r="F19" s="6">
        <f>IFERROR(__xludf.DUMMYFUNCTION("""COMPUTED_VALUE"""),2.0707728E7)</f>
        <v>20707728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IFERROR(__xludf.DUMMYFUNCTION("""COMPUTED_VALUE"""),223.0)</f>
        <v>223</v>
      </c>
      <c r="C20" s="6">
        <f>IFERROR(__xludf.DUMMYFUNCTION("""COMPUTED_VALUE"""),233.95)</f>
        <v>233.95</v>
      </c>
      <c r="D20" s="6">
        <f>IFERROR(__xludf.DUMMYFUNCTION("""COMPUTED_VALUE"""),222.5)</f>
        <v>222.5</v>
      </c>
      <c r="E20" s="6">
        <f>IFERROR(__xludf.DUMMYFUNCTION("""COMPUTED_VALUE"""),228.65)</f>
        <v>228.65</v>
      </c>
      <c r="F20" s="6">
        <f>IFERROR(__xludf.DUMMYFUNCTION("""COMPUTED_VALUE"""),2.0604345E7)</f>
        <v>20604345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IFERROR(__xludf.DUMMYFUNCTION("""COMPUTED_VALUE"""),228.7)</f>
        <v>228.7</v>
      </c>
      <c r="C21" s="6">
        <f>IFERROR(__xludf.DUMMYFUNCTION("""COMPUTED_VALUE"""),236.0)</f>
        <v>236</v>
      </c>
      <c r="D21" s="6">
        <f>IFERROR(__xludf.DUMMYFUNCTION("""COMPUTED_VALUE"""),225.05)</f>
        <v>225.05</v>
      </c>
      <c r="E21" s="6">
        <f>IFERROR(__xludf.DUMMYFUNCTION("""COMPUTED_VALUE"""),229.55)</f>
        <v>229.55</v>
      </c>
      <c r="F21" s="6">
        <f>IFERROR(__xludf.DUMMYFUNCTION("""COMPUTED_VALUE"""),2.3322613E7)</f>
        <v>23322613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IFERROR(__xludf.DUMMYFUNCTION("""COMPUTED_VALUE"""),260.0)</f>
        <v>260</v>
      </c>
      <c r="C22" s="6">
        <f>IFERROR(__xludf.DUMMYFUNCTION("""COMPUTED_VALUE"""),266.3)</f>
        <v>266.3</v>
      </c>
      <c r="D22" s="6">
        <f>IFERROR(__xludf.DUMMYFUNCTION("""COMPUTED_VALUE"""),253.75)</f>
        <v>253.75</v>
      </c>
      <c r="E22" s="6">
        <f>IFERROR(__xludf.DUMMYFUNCTION("""COMPUTED_VALUE"""),256.6)</f>
        <v>256.6</v>
      </c>
      <c r="F22" s="6">
        <f>IFERROR(__xludf.DUMMYFUNCTION("""COMPUTED_VALUE"""),4.8950862E7)</f>
        <v>48950862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IFERROR(__xludf.DUMMYFUNCTION("""COMPUTED_VALUE"""),259.0)</f>
        <v>259</v>
      </c>
      <c r="C23" s="6">
        <f>IFERROR(__xludf.DUMMYFUNCTION("""COMPUTED_VALUE"""),284.55)</f>
        <v>284.55</v>
      </c>
      <c r="D23" s="6">
        <f>IFERROR(__xludf.DUMMYFUNCTION("""COMPUTED_VALUE"""),257.6)</f>
        <v>257.6</v>
      </c>
      <c r="E23" s="6">
        <f>IFERROR(__xludf.DUMMYFUNCTION("""COMPUTED_VALUE"""),269.45)</f>
        <v>269.45</v>
      </c>
      <c r="F23" s="6">
        <f>IFERROR(__xludf.DUMMYFUNCTION("""COMPUTED_VALUE"""),7.6224799E7)</f>
        <v>76224799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IFERROR(__xludf.DUMMYFUNCTION("""COMPUTED_VALUE"""),271.8)</f>
        <v>271.8</v>
      </c>
      <c r="C24" s="6">
        <f>IFERROR(__xludf.DUMMYFUNCTION("""COMPUTED_VALUE"""),296.45)</f>
        <v>296.45</v>
      </c>
      <c r="D24" s="6">
        <f>IFERROR(__xludf.DUMMYFUNCTION("""COMPUTED_VALUE"""),264.75)</f>
        <v>264.75</v>
      </c>
      <c r="E24" s="6">
        <f>IFERROR(__xludf.DUMMYFUNCTION("""COMPUTED_VALUE"""),270.15)</f>
        <v>270.15</v>
      </c>
      <c r="F24" s="6">
        <f>IFERROR(__xludf.DUMMYFUNCTION("""COMPUTED_VALUE"""),6.9429728E7)</f>
        <v>69429728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IFERROR(__xludf.DUMMYFUNCTION("""COMPUTED_VALUE"""),272.4)</f>
        <v>272.4</v>
      </c>
      <c r="C25" s="6">
        <f>IFERROR(__xludf.DUMMYFUNCTION("""COMPUTED_VALUE"""),284.0)</f>
        <v>284</v>
      </c>
      <c r="D25" s="6">
        <f>IFERROR(__xludf.DUMMYFUNCTION("""COMPUTED_VALUE"""),255.6)</f>
        <v>255.6</v>
      </c>
      <c r="E25" s="6">
        <f>IFERROR(__xludf.DUMMYFUNCTION("""COMPUTED_VALUE"""),277.95)</f>
        <v>277.95</v>
      </c>
      <c r="F25" s="6">
        <f>IFERROR(__xludf.DUMMYFUNCTION("""COMPUTED_VALUE"""),3.5464148E7)</f>
        <v>35464148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IFERROR(__xludf.DUMMYFUNCTION("""COMPUTED_VALUE"""),279.05)</f>
        <v>279.05</v>
      </c>
      <c r="C26" s="6">
        <f>IFERROR(__xludf.DUMMYFUNCTION("""COMPUTED_VALUE"""),287.7)</f>
        <v>287.7</v>
      </c>
      <c r="D26" s="6">
        <f>IFERROR(__xludf.DUMMYFUNCTION("""COMPUTED_VALUE"""),276.1)</f>
        <v>276.1</v>
      </c>
      <c r="E26" s="6">
        <f>IFERROR(__xludf.DUMMYFUNCTION("""COMPUTED_VALUE"""),284.7)</f>
        <v>284.7</v>
      </c>
      <c r="F26" s="6">
        <f>IFERROR(__xludf.DUMMYFUNCTION("""COMPUTED_VALUE"""),2.4723313E7)</f>
        <v>24723313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IFERROR(__xludf.DUMMYFUNCTION("""COMPUTED_VALUE"""),282.0)</f>
        <v>282</v>
      </c>
      <c r="C27" s="6">
        <f>IFERROR(__xludf.DUMMYFUNCTION("""COMPUTED_VALUE"""),294.0)</f>
        <v>294</v>
      </c>
      <c r="D27" s="6">
        <f>IFERROR(__xludf.DUMMYFUNCTION("""COMPUTED_VALUE"""),280.3)</f>
        <v>280.3</v>
      </c>
      <c r="E27" s="6">
        <f>IFERROR(__xludf.DUMMYFUNCTION("""COMPUTED_VALUE"""),281.65)</f>
        <v>281.65</v>
      </c>
      <c r="F27" s="6">
        <f>IFERROR(__xludf.DUMMYFUNCTION("""COMPUTED_VALUE"""),2.1369205E7)</f>
        <v>21369205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IFERROR(__xludf.DUMMYFUNCTION("""COMPUTED_VALUE"""),281.3)</f>
        <v>281.3</v>
      </c>
      <c r="C28" s="6">
        <f>IFERROR(__xludf.DUMMYFUNCTION("""COMPUTED_VALUE"""),283.3)</f>
        <v>283.3</v>
      </c>
      <c r="D28" s="6">
        <f>IFERROR(__xludf.DUMMYFUNCTION("""COMPUTED_VALUE"""),258.05)</f>
        <v>258.05</v>
      </c>
      <c r="E28" s="6">
        <f>IFERROR(__xludf.DUMMYFUNCTION("""COMPUTED_VALUE"""),264.35)</f>
        <v>264.35</v>
      </c>
      <c r="F28" s="6">
        <f>IFERROR(__xludf.DUMMYFUNCTION("""COMPUTED_VALUE"""),2.4469297E7)</f>
        <v>24469297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IFERROR(__xludf.DUMMYFUNCTION("""COMPUTED_VALUE"""),264.8)</f>
        <v>264.8</v>
      </c>
      <c r="C29" s="6">
        <f>IFERROR(__xludf.DUMMYFUNCTION("""COMPUTED_VALUE"""),266.3)</f>
        <v>266.3</v>
      </c>
      <c r="D29" s="6">
        <f>IFERROR(__xludf.DUMMYFUNCTION("""COMPUTED_VALUE"""),256.3)</f>
        <v>256.3</v>
      </c>
      <c r="E29" s="6">
        <f>IFERROR(__xludf.DUMMYFUNCTION("""COMPUTED_VALUE"""),259.35)</f>
        <v>259.35</v>
      </c>
      <c r="F29" s="6">
        <f>IFERROR(__xludf.DUMMYFUNCTION("""COMPUTED_VALUE"""),1.7942724E7)</f>
        <v>17942724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IFERROR(__xludf.DUMMYFUNCTION("""COMPUTED_VALUE"""),259.35)</f>
        <v>259.35</v>
      </c>
      <c r="C30" s="6">
        <f>IFERROR(__xludf.DUMMYFUNCTION("""COMPUTED_VALUE"""),269.9)</f>
        <v>269.9</v>
      </c>
      <c r="D30" s="6">
        <f>IFERROR(__xludf.DUMMYFUNCTION("""COMPUTED_VALUE"""),257.75)</f>
        <v>257.75</v>
      </c>
      <c r="E30" s="6">
        <f>IFERROR(__xludf.DUMMYFUNCTION("""COMPUTED_VALUE"""),263.2)</f>
        <v>263.2</v>
      </c>
      <c r="F30" s="6">
        <f>IFERROR(__xludf.DUMMYFUNCTION("""COMPUTED_VALUE"""),1.5978545E7)</f>
        <v>15978545</v>
      </c>
    </row>
    <row r="31">
      <c r="A31" s="7">
        <f>IFERROR(__xludf.DUMMYFUNCTION("""COMPUTED_VALUE"""),45387.64583333333)</f>
        <v>45387.64583</v>
      </c>
      <c r="B31" s="6">
        <f>IFERROR(__xludf.DUMMYFUNCTION("""COMPUTED_VALUE"""),263.55)</f>
        <v>263.55</v>
      </c>
      <c r="C31" s="6">
        <f>IFERROR(__xludf.DUMMYFUNCTION("""COMPUTED_VALUE"""),287.65)</f>
        <v>287.65</v>
      </c>
      <c r="D31" s="6">
        <f>IFERROR(__xludf.DUMMYFUNCTION("""COMPUTED_VALUE"""),262.2)</f>
        <v>262.2</v>
      </c>
      <c r="E31" s="6">
        <f>IFERROR(__xludf.DUMMYFUNCTION("""COMPUTED_VALUE"""),277.65)</f>
        <v>277.65</v>
      </c>
      <c r="F31" s="6">
        <f>IFERROR(__xludf.DUMMYFUNCTION("""COMPUTED_VALUE"""),2.8770506E7)</f>
        <v>28770506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IFERROR(__xludf.DUMMYFUNCTION("""COMPUTED_VALUE"""),278.0)</f>
        <v>278</v>
      </c>
      <c r="C32" s="6">
        <f>IFERROR(__xludf.DUMMYFUNCTION("""COMPUTED_VALUE"""),315.2)</f>
        <v>315.2</v>
      </c>
      <c r="D32" s="6">
        <f>IFERROR(__xludf.DUMMYFUNCTION("""COMPUTED_VALUE"""),277.2)</f>
        <v>277.2</v>
      </c>
      <c r="E32" s="6">
        <f>IFERROR(__xludf.DUMMYFUNCTION("""COMPUTED_VALUE"""),305.45)</f>
        <v>305.45</v>
      </c>
      <c r="F32" s="6">
        <f>IFERROR(__xludf.DUMMYFUNCTION("""COMPUTED_VALUE"""),6.1597908E7)</f>
        <v>61597908</v>
      </c>
    </row>
    <row r="33">
      <c r="A33" s="7">
        <f>IFERROR(__xludf.DUMMYFUNCTION("""COMPUTED_VALUE"""),45401.64583333333)</f>
        <v>45401.64583</v>
      </c>
      <c r="B33" s="6">
        <f>IFERROR(__xludf.DUMMYFUNCTION("""COMPUTED_VALUE"""),300.3)</f>
        <v>300.3</v>
      </c>
      <c r="C33" s="6">
        <f>IFERROR(__xludf.DUMMYFUNCTION("""COMPUTED_VALUE"""),318.75)</f>
        <v>318.75</v>
      </c>
      <c r="D33" s="6">
        <f>IFERROR(__xludf.DUMMYFUNCTION("""COMPUTED_VALUE"""),294.35)</f>
        <v>294.35</v>
      </c>
      <c r="E33" s="6">
        <f>IFERROR(__xludf.DUMMYFUNCTION("""COMPUTED_VALUE"""),300.15)</f>
        <v>300.15</v>
      </c>
      <c r="F33" s="6">
        <f>IFERROR(__xludf.DUMMYFUNCTION("""COMPUTED_VALUE"""),4.3529031E7)</f>
        <v>43529031</v>
      </c>
    </row>
    <row r="34">
      <c r="A34" s="7">
        <f>IFERROR(__xludf.DUMMYFUNCTION("""COMPUTED_VALUE"""),45408.64583333333)</f>
        <v>45408.64583</v>
      </c>
      <c r="B34" s="6">
        <f>IFERROR(__xludf.DUMMYFUNCTION("""COMPUTED_VALUE"""),303.05)</f>
        <v>303.05</v>
      </c>
      <c r="C34" s="6">
        <f>IFERROR(__xludf.DUMMYFUNCTION("""COMPUTED_VALUE"""),312.0)</f>
        <v>312</v>
      </c>
      <c r="D34" s="6">
        <f>IFERROR(__xludf.DUMMYFUNCTION("""COMPUTED_VALUE"""),291.2)</f>
        <v>291.2</v>
      </c>
      <c r="E34" s="6">
        <f>IFERROR(__xludf.DUMMYFUNCTION("""COMPUTED_VALUE"""),308.65)</f>
        <v>308.65</v>
      </c>
      <c r="F34" s="6">
        <f>IFERROR(__xludf.DUMMYFUNCTION("""COMPUTED_VALUE"""),3.8241125E7)</f>
        <v>38241125</v>
      </c>
    </row>
    <row r="35">
      <c r="A35" s="7">
        <f>IFERROR(__xludf.DUMMYFUNCTION("""COMPUTED_VALUE"""),45415.64583333333)</f>
        <v>45415.64583</v>
      </c>
      <c r="B35" s="6">
        <f>IFERROR(__xludf.DUMMYFUNCTION("""COMPUTED_VALUE"""),312.0)</f>
        <v>312</v>
      </c>
      <c r="C35" s="6">
        <f>IFERROR(__xludf.DUMMYFUNCTION("""COMPUTED_VALUE"""),323.15)</f>
        <v>323.15</v>
      </c>
      <c r="D35" s="6">
        <f>IFERROR(__xludf.DUMMYFUNCTION("""COMPUTED_VALUE"""),303.65)</f>
        <v>303.65</v>
      </c>
      <c r="E35" s="6">
        <f>IFERROR(__xludf.DUMMYFUNCTION("""COMPUTED_VALUE"""),313.8)</f>
        <v>313.8</v>
      </c>
      <c r="F35" s="6">
        <f>IFERROR(__xludf.DUMMYFUNCTION("""COMPUTED_VALUE"""),4.0820595E7)</f>
        <v>40820595</v>
      </c>
    </row>
    <row r="36">
      <c r="A36" s="7">
        <f>IFERROR(__xludf.DUMMYFUNCTION("""COMPUTED_VALUE"""),45422.64583333333)</f>
        <v>45422.64583</v>
      </c>
      <c r="B36" s="6">
        <f>IFERROR(__xludf.DUMMYFUNCTION("""COMPUTED_VALUE"""),316.0)</f>
        <v>316</v>
      </c>
      <c r="C36" s="6">
        <f>IFERROR(__xludf.DUMMYFUNCTION("""COMPUTED_VALUE"""),316.1)</f>
        <v>316.1</v>
      </c>
      <c r="D36" s="6">
        <f>IFERROR(__xludf.DUMMYFUNCTION("""COMPUTED_VALUE"""),293.15)</f>
        <v>293.15</v>
      </c>
      <c r="E36" s="6">
        <f>IFERROR(__xludf.DUMMYFUNCTION("""COMPUTED_VALUE"""),299.65)</f>
        <v>299.65</v>
      </c>
      <c r="F36" s="6">
        <f>IFERROR(__xludf.DUMMYFUNCTION("""COMPUTED_VALUE"""),2.2964989E7)</f>
        <v>22964989</v>
      </c>
    </row>
    <row r="37">
      <c r="A37" s="7">
        <f>IFERROR(__xludf.DUMMYFUNCTION("""COMPUTED_VALUE"""),45436.64583333333)</f>
        <v>45436.64583</v>
      </c>
      <c r="B37" s="6">
        <f>IFERROR(__xludf.DUMMYFUNCTION("""COMPUTED_VALUE"""),311.5)</f>
        <v>311.5</v>
      </c>
      <c r="C37" s="6">
        <f>IFERROR(__xludf.DUMMYFUNCTION("""COMPUTED_VALUE"""),316.2)</f>
        <v>316.2</v>
      </c>
      <c r="D37" s="6">
        <f>IFERROR(__xludf.DUMMYFUNCTION("""COMPUTED_VALUE"""),302.6)</f>
        <v>302.6</v>
      </c>
      <c r="E37" s="6">
        <f>IFERROR(__xludf.DUMMYFUNCTION("""COMPUTED_VALUE"""),305.4)</f>
        <v>305.4</v>
      </c>
      <c r="F37" s="6">
        <f>IFERROR(__xludf.DUMMYFUNCTION("""COMPUTED_VALUE"""),3.0899314E7)</f>
        <v>30899314</v>
      </c>
    </row>
    <row r="38">
      <c r="A38" s="7">
        <f>IFERROR(__xludf.DUMMYFUNCTION("""COMPUTED_VALUE"""),45443.64583333333)</f>
        <v>45443.64583</v>
      </c>
      <c r="B38" s="6">
        <f>IFERROR(__xludf.DUMMYFUNCTION("""COMPUTED_VALUE"""),305.4)</f>
        <v>305.4</v>
      </c>
      <c r="C38" s="6">
        <f>IFERROR(__xludf.DUMMYFUNCTION("""COMPUTED_VALUE"""),306.1)</f>
        <v>306.1</v>
      </c>
      <c r="D38" s="6">
        <f>IFERROR(__xludf.DUMMYFUNCTION("""COMPUTED_VALUE"""),291.6)</f>
        <v>291.6</v>
      </c>
      <c r="E38" s="6">
        <f>IFERROR(__xludf.DUMMYFUNCTION("""COMPUTED_VALUE"""),297.35)</f>
        <v>297.35</v>
      </c>
      <c r="F38" s="6">
        <f>IFERROR(__xludf.DUMMYFUNCTION("""COMPUTED_VALUE"""),2.8504513E7)</f>
        <v>28504513</v>
      </c>
    </row>
    <row r="39">
      <c r="A39" s="7">
        <f>IFERROR(__xludf.DUMMYFUNCTION("""COMPUTED_VALUE"""),45450.64583333333)</f>
        <v>45450.64583</v>
      </c>
      <c r="B39" s="6">
        <f>IFERROR(__xludf.DUMMYFUNCTION("""COMPUTED_VALUE"""),309.3)</f>
        <v>309.3</v>
      </c>
      <c r="C39" s="6">
        <f>IFERROR(__xludf.DUMMYFUNCTION("""COMPUTED_VALUE"""),317.7)</f>
        <v>317.7</v>
      </c>
      <c r="D39" s="6">
        <f>IFERROR(__xludf.DUMMYFUNCTION("""COMPUTED_VALUE"""),253.4)</f>
        <v>253.4</v>
      </c>
      <c r="E39" s="6">
        <f>IFERROR(__xludf.DUMMYFUNCTION("""COMPUTED_VALUE"""),301.25)</f>
        <v>301.25</v>
      </c>
      <c r="F39" s="6">
        <f>IFERROR(__xludf.DUMMYFUNCTION("""COMPUTED_VALUE"""),3.6791985E7)</f>
        <v>36791985</v>
      </c>
    </row>
    <row r="40">
      <c r="A40" s="7">
        <f>IFERROR(__xludf.DUMMYFUNCTION("""COMPUTED_VALUE"""),45457.64583333333)</f>
        <v>45457.64583</v>
      </c>
      <c r="B40" s="6">
        <f>IFERROR(__xludf.DUMMYFUNCTION("""COMPUTED_VALUE"""),302.0)</f>
        <v>302</v>
      </c>
      <c r="C40" s="6">
        <f>IFERROR(__xludf.DUMMYFUNCTION("""COMPUTED_VALUE"""),327.85)</f>
        <v>327.85</v>
      </c>
      <c r="D40" s="6">
        <f>IFERROR(__xludf.DUMMYFUNCTION("""COMPUTED_VALUE"""),301.15)</f>
        <v>301.15</v>
      </c>
      <c r="E40" s="6">
        <f>IFERROR(__xludf.DUMMYFUNCTION("""COMPUTED_VALUE"""),323.9)</f>
        <v>323.9</v>
      </c>
      <c r="F40" s="6">
        <f>IFERROR(__xludf.DUMMYFUNCTION("""COMPUTED_VALUE"""),3.0424772E7)</f>
        <v>30424772</v>
      </c>
    </row>
    <row r="41">
      <c r="A41" s="7">
        <f>IFERROR(__xludf.DUMMYFUNCTION("""COMPUTED_VALUE"""),45464.64583333333)</f>
        <v>45464.64583</v>
      </c>
      <c r="B41" s="6">
        <f>IFERROR(__xludf.DUMMYFUNCTION("""COMPUTED_VALUE"""),324.1)</f>
        <v>324.1</v>
      </c>
      <c r="C41" s="6">
        <f>IFERROR(__xludf.DUMMYFUNCTION("""COMPUTED_VALUE"""),324.6)</f>
        <v>324.6</v>
      </c>
      <c r="D41" s="6">
        <f>IFERROR(__xludf.DUMMYFUNCTION("""COMPUTED_VALUE"""),307.65)</f>
        <v>307.65</v>
      </c>
      <c r="E41" s="6">
        <f>IFERROR(__xludf.DUMMYFUNCTION("""COMPUTED_VALUE"""),320.25)</f>
        <v>320.25</v>
      </c>
      <c r="F41" s="6">
        <f>IFERROR(__xludf.DUMMYFUNCTION("""COMPUTED_VALUE"""),1.9952029E7)</f>
        <v>19952029</v>
      </c>
    </row>
    <row r="42">
      <c r="A42" s="7">
        <f>IFERROR(__xludf.DUMMYFUNCTION("""COMPUTED_VALUE"""),45471.64583333333)</f>
        <v>45471.64583</v>
      </c>
      <c r="B42" s="6">
        <f>IFERROR(__xludf.DUMMYFUNCTION("""COMPUTED_VALUE"""),320.05)</f>
        <v>320.05</v>
      </c>
      <c r="C42" s="6">
        <f>IFERROR(__xludf.DUMMYFUNCTION("""COMPUTED_VALUE"""),334.05)</f>
        <v>334.05</v>
      </c>
      <c r="D42" s="6">
        <f>IFERROR(__xludf.DUMMYFUNCTION("""COMPUTED_VALUE"""),314.0)</f>
        <v>314</v>
      </c>
      <c r="E42" s="6">
        <f>IFERROR(__xludf.DUMMYFUNCTION("""COMPUTED_VALUE"""),330.25)</f>
        <v>330.25</v>
      </c>
      <c r="F42" s="6">
        <f>IFERROR(__xludf.DUMMYFUNCTION("""COMPUTED_VALUE"""),3.2003586E7)</f>
        <v>32003586</v>
      </c>
    </row>
    <row r="43">
      <c r="A43" s="7">
        <f>IFERROR(__xludf.DUMMYFUNCTION("""COMPUTED_VALUE"""),45478.64583333333)</f>
        <v>45478.64583</v>
      </c>
      <c r="B43" s="6">
        <f>IFERROR(__xludf.DUMMYFUNCTION("""COMPUTED_VALUE"""),333.0)</f>
        <v>333</v>
      </c>
      <c r="C43" s="6">
        <f>IFERROR(__xludf.DUMMYFUNCTION("""COMPUTED_VALUE"""),341.0)</f>
        <v>341</v>
      </c>
      <c r="D43" s="6">
        <f>IFERROR(__xludf.DUMMYFUNCTION("""COMPUTED_VALUE"""),330.25)</f>
        <v>330.25</v>
      </c>
      <c r="E43" s="6">
        <f>IFERROR(__xludf.DUMMYFUNCTION("""COMPUTED_VALUE"""),337.4)</f>
        <v>337.4</v>
      </c>
      <c r="F43" s="6">
        <f>IFERROR(__xludf.DUMMYFUNCTION("""COMPUTED_VALUE"""),1.8454292E7)</f>
        <v>18454292</v>
      </c>
    </row>
    <row r="44">
      <c r="A44" s="7">
        <f>IFERROR(__xludf.DUMMYFUNCTION("""COMPUTED_VALUE"""),45485.64583333333)</f>
        <v>45485.64583</v>
      </c>
      <c r="B44" s="6">
        <f>IFERROR(__xludf.DUMMYFUNCTION("""COMPUTED_VALUE"""),337.05)</f>
        <v>337.05</v>
      </c>
      <c r="C44" s="6">
        <f>IFERROR(__xludf.DUMMYFUNCTION("""COMPUTED_VALUE"""),343.0)</f>
        <v>343</v>
      </c>
      <c r="D44" s="6">
        <f>IFERROR(__xludf.DUMMYFUNCTION("""COMPUTED_VALUE"""),321.2)</f>
        <v>321.2</v>
      </c>
      <c r="E44" s="6">
        <f>IFERROR(__xludf.DUMMYFUNCTION("""COMPUTED_VALUE"""),339.05)</f>
        <v>339.05</v>
      </c>
      <c r="F44" s="6">
        <f>IFERROR(__xludf.DUMMYFUNCTION("""COMPUTED_VALUE"""),1.99771E7)</f>
        <v>19977100</v>
      </c>
    </row>
    <row r="45">
      <c r="A45" s="7">
        <f>IFERROR(__xludf.DUMMYFUNCTION("""COMPUTED_VALUE"""),45492.64583333333)</f>
        <v>45492.64583</v>
      </c>
      <c r="B45" s="6">
        <f>IFERROR(__xludf.DUMMYFUNCTION("""COMPUTED_VALUE"""),341.45)</f>
        <v>341.45</v>
      </c>
      <c r="C45" s="6">
        <f>IFERROR(__xludf.DUMMYFUNCTION("""COMPUTED_VALUE"""),355.75)</f>
        <v>355.75</v>
      </c>
      <c r="D45" s="6">
        <f>IFERROR(__xludf.DUMMYFUNCTION("""COMPUTED_VALUE"""),338.25)</f>
        <v>338.25</v>
      </c>
      <c r="E45" s="6">
        <f>IFERROR(__xludf.DUMMYFUNCTION("""COMPUTED_VALUE"""),342.9)</f>
        <v>342.9</v>
      </c>
      <c r="F45" s="6">
        <f>IFERROR(__xludf.DUMMYFUNCTION("""COMPUTED_VALUE"""),1.860663E7)</f>
        <v>18606630</v>
      </c>
    </row>
    <row r="46">
      <c r="A46" s="7">
        <f>IFERROR(__xludf.DUMMYFUNCTION("""COMPUTED_VALUE"""),45499.64583333333)</f>
        <v>45499.64583</v>
      </c>
      <c r="B46" s="6">
        <f>IFERROR(__xludf.DUMMYFUNCTION("""COMPUTED_VALUE"""),342.3)</f>
        <v>342.3</v>
      </c>
      <c r="C46" s="6">
        <f>IFERROR(__xludf.DUMMYFUNCTION("""COMPUTED_VALUE"""),377.95)</f>
        <v>377.95</v>
      </c>
      <c r="D46" s="6">
        <f>IFERROR(__xludf.DUMMYFUNCTION("""COMPUTED_VALUE"""),329.9)</f>
        <v>329.9</v>
      </c>
      <c r="E46" s="6">
        <f>IFERROR(__xludf.DUMMYFUNCTION("""COMPUTED_VALUE"""),372.4)</f>
        <v>372.4</v>
      </c>
      <c r="F46" s="6">
        <f>IFERROR(__xludf.DUMMYFUNCTION("""COMPUTED_VALUE"""),4.779213E7)</f>
        <v>47792130</v>
      </c>
    </row>
    <row r="47">
      <c r="A47" s="7">
        <f>IFERROR(__xludf.DUMMYFUNCTION("""COMPUTED_VALUE"""),45506.64583333333)</f>
        <v>45506.64583</v>
      </c>
      <c r="B47" s="6">
        <f>IFERROR(__xludf.DUMMYFUNCTION("""COMPUTED_VALUE"""),370.95)</f>
        <v>370.95</v>
      </c>
      <c r="C47" s="6">
        <f>IFERROR(__xludf.DUMMYFUNCTION("""COMPUTED_VALUE"""),376.45)</f>
        <v>376.45</v>
      </c>
      <c r="D47" s="6">
        <f>IFERROR(__xludf.DUMMYFUNCTION("""COMPUTED_VALUE"""),360.25)</f>
        <v>360.25</v>
      </c>
      <c r="E47" s="6">
        <f>IFERROR(__xludf.DUMMYFUNCTION("""COMPUTED_VALUE"""),362.4)</f>
        <v>362.4</v>
      </c>
      <c r="F47" s="6">
        <f>IFERROR(__xludf.DUMMYFUNCTION("""COMPUTED_VALUE"""),2.2435071E7)</f>
        <v>22435071</v>
      </c>
    </row>
    <row r="48">
      <c r="A48" s="7">
        <f>IFERROR(__xludf.DUMMYFUNCTION("""COMPUTED_VALUE"""),45513.64583333333)</f>
        <v>45513.64583</v>
      </c>
      <c r="B48" s="6">
        <f>IFERROR(__xludf.DUMMYFUNCTION("""COMPUTED_VALUE"""),354.0)</f>
        <v>354</v>
      </c>
      <c r="C48" s="6">
        <f>IFERROR(__xludf.DUMMYFUNCTION("""COMPUTED_VALUE"""),370.75)</f>
        <v>370.75</v>
      </c>
      <c r="D48" s="6">
        <f>IFERROR(__xludf.DUMMYFUNCTION("""COMPUTED_VALUE"""),350.5)</f>
        <v>350.5</v>
      </c>
      <c r="E48" s="6">
        <f>IFERROR(__xludf.DUMMYFUNCTION("""COMPUTED_VALUE"""),366.7)</f>
        <v>366.7</v>
      </c>
      <c r="F48" s="6">
        <f>IFERROR(__xludf.DUMMYFUNCTION("""COMPUTED_VALUE"""),2.0923063E7)</f>
        <v>20923063</v>
      </c>
    </row>
    <row r="49">
      <c r="A49" s="7">
        <f>IFERROR(__xludf.DUMMYFUNCTION("""COMPUTED_VALUE"""),45520.64583333333)</f>
        <v>45520.64583</v>
      </c>
      <c r="B49" s="6">
        <f>IFERROR(__xludf.DUMMYFUNCTION("""COMPUTED_VALUE"""),364.35)</f>
        <v>364.35</v>
      </c>
      <c r="C49" s="6">
        <f>IFERROR(__xludf.DUMMYFUNCTION("""COMPUTED_VALUE"""),375.6)</f>
        <v>375.6</v>
      </c>
      <c r="D49" s="6">
        <f>IFERROR(__xludf.DUMMYFUNCTION("""COMPUTED_VALUE"""),361.85)</f>
        <v>361.85</v>
      </c>
      <c r="E49" s="6">
        <f>IFERROR(__xludf.DUMMYFUNCTION("""COMPUTED_VALUE"""),370.9)</f>
        <v>370.9</v>
      </c>
      <c r="F49" s="6">
        <f>IFERROR(__xludf.DUMMYFUNCTION("""COMPUTED_VALUE"""),1.1338898E7)</f>
        <v>11338898</v>
      </c>
    </row>
    <row r="50">
      <c r="A50" s="7">
        <f>IFERROR(__xludf.DUMMYFUNCTION("""COMPUTED_VALUE"""),45527.64583333333)</f>
        <v>45527.64583</v>
      </c>
      <c r="B50" s="6">
        <f>IFERROR(__xludf.DUMMYFUNCTION("""COMPUTED_VALUE"""),370.0)</f>
        <v>370</v>
      </c>
      <c r="C50" s="6">
        <f>IFERROR(__xludf.DUMMYFUNCTION("""COMPUTED_VALUE"""),384.2)</f>
        <v>384.2</v>
      </c>
      <c r="D50" s="6">
        <f>IFERROR(__xludf.DUMMYFUNCTION("""COMPUTED_VALUE"""),370.0)</f>
        <v>370</v>
      </c>
      <c r="E50" s="6">
        <f>IFERROR(__xludf.DUMMYFUNCTION("""COMPUTED_VALUE"""),370.8)</f>
        <v>370.8</v>
      </c>
      <c r="F50" s="6">
        <f>IFERROR(__xludf.DUMMYFUNCTION("""COMPUTED_VALUE"""),1.5726586E7)</f>
        <v>15726586</v>
      </c>
    </row>
    <row r="51">
      <c r="A51" s="7">
        <f>IFERROR(__xludf.DUMMYFUNCTION("""COMPUTED_VALUE"""),45534.64583333333)</f>
        <v>45534.64583</v>
      </c>
      <c r="B51" s="6">
        <f>IFERROR(__xludf.DUMMYFUNCTION("""COMPUTED_VALUE"""),372.8)</f>
        <v>372.8</v>
      </c>
      <c r="C51" s="6">
        <f>IFERROR(__xludf.DUMMYFUNCTION("""COMPUTED_VALUE"""),372.8)</f>
        <v>372.8</v>
      </c>
      <c r="D51" s="6">
        <f>IFERROR(__xludf.DUMMYFUNCTION("""COMPUTED_VALUE"""),361.05)</f>
        <v>361.05</v>
      </c>
      <c r="E51" s="6">
        <f>IFERROR(__xludf.DUMMYFUNCTION("""COMPUTED_VALUE"""),367.3)</f>
        <v>367.3</v>
      </c>
      <c r="F51" s="6">
        <f>IFERROR(__xludf.DUMMYFUNCTION("""COMPUTED_VALUE"""),1.3438876E7)</f>
        <v>13438876</v>
      </c>
    </row>
    <row r="52">
      <c r="A52" s="7">
        <f>IFERROR(__xludf.DUMMYFUNCTION("""COMPUTED_VALUE"""),45541.64583333333)</f>
        <v>45541.64583</v>
      </c>
      <c r="B52" s="6">
        <f>IFERROR(__xludf.DUMMYFUNCTION("""COMPUTED_VALUE"""),369.0)</f>
        <v>369</v>
      </c>
      <c r="C52" s="6">
        <f>IFERROR(__xludf.DUMMYFUNCTION("""COMPUTED_VALUE"""),372.25)</f>
        <v>372.25</v>
      </c>
      <c r="D52" s="6">
        <f>IFERROR(__xludf.DUMMYFUNCTION("""COMPUTED_VALUE"""),352.0)</f>
        <v>352</v>
      </c>
      <c r="E52" s="6">
        <f>IFERROR(__xludf.DUMMYFUNCTION("""COMPUTED_VALUE"""),354.0)</f>
        <v>354</v>
      </c>
      <c r="F52" s="6">
        <f>IFERROR(__xludf.DUMMYFUNCTION("""COMPUTED_VALUE"""),1.1326345E7)</f>
        <v>11326345</v>
      </c>
    </row>
    <row r="53">
      <c r="A53" s="7">
        <f>IFERROR(__xludf.DUMMYFUNCTION("""COMPUTED_VALUE"""),45548.64583333333)</f>
        <v>45548.64583</v>
      </c>
      <c r="B53" s="6">
        <f>IFERROR(__xludf.DUMMYFUNCTION("""COMPUTED_VALUE"""),348.2)</f>
        <v>348.2</v>
      </c>
      <c r="C53" s="6">
        <f>IFERROR(__xludf.DUMMYFUNCTION("""COMPUTED_VALUE"""),352.4)</f>
        <v>352.4</v>
      </c>
      <c r="D53" s="6">
        <f>IFERROR(__xludf.DUMMYFUNCTION("""COMPUTED_VALUE"""),334.1)</f>
        <v>334.1</v>
      </c>
      <c r="E53" s="6">
        <f>IFERROR(__xludf.DUMMYFUNCTION("""COMPUTED_VALUE"""),334.85)</f>
        <v>334.85</v>
      </c>
      <c r="F53" s="6">
        <f>IFERROR(__xludf.DUMMYFUNCTION("""COMPUTED_VALUE"""),1.4646069E7)</f>
        <v>14646069</v>
      </c>
    </row>
    <row r="54">
      <c r="A54" s="7">
        <f>IFERROR(__xludf.DUMMYFUNCTION("""COMPUTED_VALUE"""),45555.64583333333)</f>
        <v>45555.64583</v>
      </c>
      <c r="B54" s="6">
        <f>IFERROR(__xludf.DUMMYFUNCTION("""COMPUTED_VALUE"""),335.0)</f>
        <v>335</v>
      </c>
      <c r="C54" s="6">
        <f>IFERROR(__xludf.DUMMYFUNCTION("""COMPUTED_VALUE"""),338.3)</f>
        <v>338.3</v>
      </c>
      <c r="D54" s="6">
        <f>IFERROR(__xludf.DUMMYFUNCTION("""COMPUTED_VALUE"""),319.8)</f>
        <v>319.8</v>
      </c>
      <c r="E54" s="6">
        <f>IFERROR(__xludf.DUMMYFUNCTION("""COMPUTED_VALUE"""),325.0)</f>
        <v>325</v>
      </c>
      <c r="F54" s="6">
        <f>IFERROR(__xludf.DUMMYFUNCTION("""COMPUTED_VALUE"""),2.0467126E7)</f>
        <v>20467126</v>
      </c>
    </row>
    <row r="55">
      <c r="A55" s="7">
        <f>IFERROR(__xludf.DUMMYFUNCTION("""COMPUTED_VALUE"""),45562.64583333333)</f>
        <v>45562.64583</v>
      </c>
      <c r="B55" s="6">
        <f>IFERROR(__xludf.DUMMYFUNCTION("""COMPUTED_VALUE"""),327.0)</f>
        <v>327</v>
      </c>
      <c r="C55" s="6">
        <f>IFERROR(__xludf.DUMMYFUNCTION("""COMPUTED_VALUE"""),342.4)</f>
        <v>342.4</v>
      </c>
      <c r="D55" s="6">
        <f>IFERROR(__xludf.DUMMYFUNCTION("""COMPUTED_VALUE"""),325.55)</f>
        <v>325.55</v>
      </c>
      <c r="E55" s="6">
        <f>IFERROR(__xludf.DUMMYFUNCTION("""COMPUTED_VALUE"""),339.35)</f>
        <v>339.35</v>
      </c>
      <c r="F55" s="6">
        <f>IFERROR(__xludf.DUMMYFUNCTION("""COMPUTED_VALUE"""),2.159158E7)</f>
        <v>21591580</v>
      </c>
    </row>
    <row r="56">
      <c r="A56" s="7">
        <f>IFERROR(__xludf.DUMMYFUNCTION("""COMPUTED_VALUE"""),45569.64583333333)</f>
        <v>45569.64583</v>
      </c>
      <c r="B56" s="6">
        <f>IFERROR(__xludf.DUMMYFUNCTION("""COMPUTED_VALUE"""),340.0)</f>
        <v>340</v>
      </c>
      <c r="C56" s="6">
        <f>IFERROR(__xludf.DUMMYFUNCTION("""COMPUTED_VALUE"""),368.65)</f>
        <v>368.65</v>
      </c>
      <c r="D56" s="6">
        <f>IFERROR(__xludf.DUMMYFUNCTION("""COMPUTED_VALUE"""),336.1)</f>
        <v>336.1</v>
      </c>
      <c r="E56" s="6">
        <f>IFERROR(__xludf.DUMMYFUNCTION("""COMPUTED_VALUE"""),357.85)</f>
        <v>357.85</v>
      </c>
      <c r="F56" s="6">
        <f>IFERROR(__xludf.DUMMYFUNCTION("""COMPUTED_VALUE"""),3.4003896E7)</f>
        <v>34003896</v>
      </c>
    </row>
    <row r="57">
      <c r="A57" s="7">
        <f>IFERROR(__xludf.DUMMYFUNCTION("""COMPUTED_VALUE"""),45576.64583333333)</f>
        <v>45576.64583</v>
      </c>
      <c r="B57" s="6">
        <f>IFERROR(__xludf.DUMMYFUNCTION("""COMPUTED_VALUE"""),361.4)</f>
        <v>361.4</v>
      </c>
      <c r="C57" s="6">
        <f>IFERROR(__xludf.DUMMYFUNCTION("""COMPUTED_VALUE"""),361.8)</f>
        <v>361.8</v>
      </c>
      <c r="D57" s="6">
        <f>IFERROR(__xludf.DUMMYFUNCTION("""COMPUTED_VALUE"""),343.85)</f>
        <v>343.85</v>
      </c>
      <c r="E57" s="6">
        <f>IFERROR(__xludf.DUMMYFUNCTION("""COMPUTED_VALUE"""),355.15)</f>
        <v>355.15</v>
      </c>
      <c r="F57" s="6">
        <f>IFERROR(__xludf.DUMMYFUNCTION("""COMPUTED_VALUE"""),1.2839087E7)</f>
        <v>12839087</v>
      </c>
    </row>
    <row r="58">
      <c r="A58" s="7">
        <f>IFERROR(__xludf.DUMMYFUNCTION("""COMPUTED_VALUE"""),45583.64583333333)</f>
        <v>45583.64583</v>
      </c>
      <c r="B58" s="6">
        <f>IFERROR(__xludf.DUMMYFUNCTION("""COMPUTED_VALUE"""),356.0)</f>
        <v>356</v>
      </c>
      <c r="C58" s="6">
        <f>IFERROR(__xludf.DUMMYFUNCTION("""COMPUTED_VALUE"""),361.4)</f>
        <v>361.4</v>
      </c>
      <c r="D58" s="6">
        <f>IFERROR(__xludf.DUMMYFUNCTION("""COMPUTED_VALUE"""),342.85)</f>
        <v>342.85</v>
      </c>
      <c r="E58" s="6">
        <f>IFERROR(__xludf.DUMMYFUNCTION("""COMPUTED_VALUE"""),349.45)</f>
        <v>349.45</v>
      </c>
      <c r="F58" s="6">
        <f>IFERROR(__xludf.DUMMYFUNCTION("""COMPUTED_VALUE"""),1.3111828E7)</f>
        <v>13111828</v>
      </c>
    </row>
    <row r="59">
      <c r="A59" s="7">
        <f>IFERROR(__xludf.DUMMYFUNCTION("""COMPUTED_VALUE"""),45590.64583333333)</f>
        <v>45590.64583</v>
      </c>
      <c r="B59" s="6">
        <f>IFERROR(__xludf.DUMMYFUNCTION("""COMPUTED_VALUE"""),348.0)</f>
        <v>348</v>
      </c>
      <c r="C59" s="6">
        <f>IFERROR(__xludf.DUMMYFUNCTION("""COMPUTED_VALUE"""),356.8)</f>
        <v>356.8</v>
      </c>
      <c r="D59" s="6">
        <f>IFERROR(__xludf.DUMMYFUNCTION("""COMPUTED_VALUE"""),333.3)</f>
        <v>333.3</v>
      </c>
      <c r="E59" s="6">
        <f>IFERROR(__xludf.DUMMYFUNCTION("""COMPUTED_VALUE"""),337.55)</f>
        <v>337.55</v>
      </c>
      <c r="F59" s="6">
        <f>IFERROR(__xludf.DUMMYFUNCTION("""COMPUTED_VALUE"""),1.3880563E7)</f>
        <v>13880563</v>
      </c>
    </row>
    <row r="60">
      <c r="A60" s="7">
        <f>IFERROR(__xludf.DUMMYFUNCTION("""COMPUTED_VALUE"""),45604.64583333333)</f>
        <v>45604.64583</v>
      </c>
      <c r="B60" s="6">
        <f>IFERROR(__xludf.DUMMYFUNCTION("""COMPUTED_VALUE"""),337.6)</f>
        <v>337.6</v>
      </c>
      <c r="C60" s="6">
        <f>IFERROR(__xludf.DUMMYFUNCTION("""COMPUTED_VALUE"""),349.9)</f>
        <v>349.9</v>
      </c>
      <c r="D60" s="6">
        <f>IFERROR(__xludf.DUMMYFUNCTION("""COMPUTED_VALUE"""),326.5)</f>
        <v>326.5</v>
      </c>
      <c r="E60" s="6">
        <f>IFERROR(__xludf.DUMMYFUNCTION("""COMPUTED_VALUE"""),328.9)</f>
        <v>328.9</v>
      </c>
      <c r="F60" s="6">
        <f>IFERROR(__xludf.DUMMYFUNCTION("""COMPUTED_VALUE"""),1.4373955E7)</f>
        <v>14373955</v>
      </c>
    </row>
    <row r="61">
      <c r="A61" s="7">
        <f>IFERROR(__xludf.DUMMYFUNCTION("""COMPUTED_VALUE"""),45610.64583333333)</f>
        <v>45610.64583</v>
      </c>
      <c r="B61" s="6">
        <f>IFERROR(__xludf.DUMMYFUNCTION("""COMPUTED_VALUE"""),327.0)</f>
        <v>327</v>
      </c>
      <c r="C61" s="6">
        <f>IFERROR(__xludf.DUMMYFUNCTION("""COMPUTED_VALUE"""),330.45)</f>
        <v>330.45</v>
      </c>
      <c r="D61" s="6">
        <f>IFERROR(__xludf.DUMMYFUNCTION("""COMPUTED_VALUE"""),312.75)</f>
        <v>312.75</v>
      </c>
      <c r="E61" s="6">
        <f>IFERROR(__xludf.DUMMYFUNCTION("""COMPUTED_VALUE"""),313.85)</f>
        <v>313.85</v>
      </c>
      <c r="F61" s="6">
        <f>IFERROR(__xludf.DUMMYFUNCTION("""COMPUTED_VALUE"""),8770828.0)</f>
        <v>8770828</v>
      </c>
    </row>
    <row r="62">
      <c r="A62" s="7">
        <f>IFERROR(__xludf.DUMMYFUNCTION("""COMPUTED_VALUE"""),45618.64583333333)</f>
        <v>45618.64583</v>
      </c>
      <c r="B62" s="6">
        <f>IFERROR(__xludf.DUMMYFUNCTION("""COMPUTED_VALUE"""),313.85)</f>
        <v>313.85</v>
      </c>
      <c r="C62" s="6">
        <f>IFERROR(__xludf.DUMMYFUNCTION("""COMPUTED_VALUE"""),324.95)</f>
        <v>324.95</v>
      </c>
      <c r="D62" s="6">
        <f>IFERROR(__xludf.DUMMYFUNCTION("""COMPUTED_VALUE"""),308.85)</f>
        <v>308.85</v>
      </c>
      <c r="E62" s="6">
        <f>IFERROR(__xludf.DUMMYFUNCTION("""COMPUTED_VALUE"""),323.6)</f>
        <v>323.6</v>
      </c>
      <c r="F62" s="6">
        <f>IFERROR(__xludf.DUMMYFUNCTION("""COMPUTED_VALUE"""),8262244.0)</f>
        <v>8262244</v>
      </c>
    </row>
    <row r="63">
      <c r="A63" s="7">
        <f>IFERROR(__xludf.DUMMYFUNCTION("""COMPUTED_VALUE"""),45625.64583333333)</f>
        <v>45625.64583</v>
      </c>
      <c r="B63" s="6">
        <f>IFERROR(__xludf.DUMMYFUNCTION("""COMPUTED_VALUE"""),326.15)</f>
        <v>326.15</v>
      </c>
      <c r="C63" s="6">
        <f>IFERROR(__xludf.DUMMYFUNCTION("""COMPUTED_VALUE"""),337.25)</f>
        <v>337.25</v>
      </c>
      <c r="D63" s="6">
        <f>IFERROR(__xludf.DUMMYFUNCTION("""COMPUTED_VALUE"""),324.1)</f>
        <v>324.1</v>
      </c>
      <c r="E63" s="6">
        <f>IFERROR(__xludf.DUMMYFUNCTION("""COMPUTED_VALUE"""),333.1)</f>
        <v>333.1</v>
      </c>
      <c r="F63" s="6">
        <f>IFERROR(__xludf.DUMMYFUNCTION("""COMPUTED_VALUE"""),1.3830798E7)</f>
        <v>13830798</v>
      </c>
    </row>
    <row r="64">
      <c r="A64" s="7">
        <f>IFERROR(__xludf.DUMMYFUNCTION("""COMPUTED_VALUE"""),45632.64583333333)</f>
        <v>45632.64583</v>
      </c>
      <c r="B64" s="6">
        <f>IFERROR(__xludf.DUMMYFUNCTION("""COMPUTED_VALUE"""),340.6)</f>
        <v>340.6</v>
      </c>
      <c r="C64" s="6">
        <f>IFERROR(__xludf.DUMMYFUNCTION("""COMPUTED_VALUE"""),345.0)</f>
        <v>345</v>
      </c>
      <c r="D64" s="6">
        <f>IFERROR(__xludf.DUMMYFUNCTION("""COMPUTED_VALUE"""),334.65)</f>
        <v>334.65</v>
      </c>
      <c r="E64" s="6">
        <f>IFERROR(__xludf.DUMMYFUNCTION("""COMPUTED_VALUE"""),335.85)</f>
        <v>335.85</v>
      </c>
      <c r="F64" s="6">
        <f>IFERROR(__xludf.DUMMYFUNCTION("""COMPUTED_VALUE"""),1.2124773E7)</f>
        <v>12124773</v>
      </c>
    </row>
    <row r="65">
      <c r="A65" s="7">
        <f>IFERROR(__xludf.DUMMYFUNCTION("""COMPUTED_VALUE"""),45639.64583333333)</f>
        <v>45639.64583</v>
      </c>
      <c r="B65" s="6">
        <f>IFERROR(__xludf.DUMMYFUNCTION("""COMPUTED_VALUE"""),333.6)</f>
        <v>333.6</v>
      </c>
      <c r="C65" s="6">
        <f>IFERROR(__xludf.DUMMYFUNCTION("""COMPUTED_VALUE"""),346.8)</f>
        <v>346.8</v>
      </c>
      <c r="D65" s="6">
        <f>IFERROR(__xludf.DUMMYFUNCTION("""COMPUTED_VALUE"""),331.6)</f>
        <v>331.6</v>
      </c>
      <c r="E65" s="6">
        <f>IFERROR(__xludf.DUMMYFUNCTION("""COMPUTED_VALUE"""),340.5)</f>
        <v>340.5</v>
      </c>
      <c r="F65" s="6">
        <f>IFERROR(__xludf.DUMMYFUNCTION("""COMPUTED_VALUE"""),1.0956848E7)</f>
        <v>10956848</v>
      </c>
    </row>
    <row r="66">
      <c r="A66" s="7">
        <f>IFERROR(__xludf.DUMMYFUNCTION("""COMPUTED_VALUE"""),45646.64583333333)</f>
        <v>45646.64583</v>
      </c>
      <c r="B66" s="6">
        <f>IFERROR(__xludf.DUMMYFUNCTION("""COMPUTED_VALUE"""),340.5)</f>
        <v>340.5</v>
      </c>
      <c r="C66" s="6">
        <f>IFERROR(__xludf.DUMMYFUNCTION("""COMPUTED_VALUE"""),343.65)</f>
        <v>343.65</v>
      </c>
      <c r="D66" s="6">
        <f>IFERROR(__xludf.DUMMYFUNCTION("""COMPUTED_VALUE"""),327.75)</f>
        <v>327.75</v>
      </c>
      <c r="E66" s="6">
        <f>IFERROR(__xludf.DUMMYFUNCTION("""COMPUTED_VALUE"""),336.45)</f>
        <v>336.45</v>
      </c>
      <c r="F66" s="6">
        <f>IFERROR(__xludf.DUMMYFUNCTION("""COMPUTED_VALUE"""),1.5815501E7)</f>
        <v>15815501</v>
      </c>
    </row>
    <row r="67">
      <c r="A67" s="7">
        <f>IFERROR(__xludf.DUMMYFUNCTION("""COMPUTED_VALUE"""),45653.64583333333)</f>
        <v>45653.64583</v>
      </c>
      <c r="B67" s="6">
        <f>IFERROR(__xludf.DUMMYFUNCTION("""COMPUTED_VALUE"""),338.0)</f>
        <v>338</v>
      </c>
      <c r="C67" s="6">
        <f>IFERROR(__xludf.DUMMYFUNCTION("""COMPUTED_VALUE"""),346.4)</f>
        <v>346.4</v>
      </c>
      <c r="D67" s="6">
        <f>IFERROR(__xludf.DUMMYFUNCTION("""COMPUTED_VALUE"""),336.4)</f>
        <v>336.4</v>
      </c>
      <c r="E67" s="6">
        <f>IFERROR(__xludf.DUMMYFUNCTION("""COMPUTED_VALUE"""),340.65)</f>
        <v>340.65</v>
      </c>
      <c r="F67" s="6">
        <f>IFERROR(__xludf.DUMMYFUNCTION("""COMPUTED_VALUE"""),8222362.0)</f>
        <v>8222362</v>
      </c>
    </row>
    <row r="68">
      <c r="A68" s="7">
        <f>IFERROR(__xludf.DUMMYFUNCTION("""COMPUTED_VALUE"""),45660.64583333333)</f>
        <v>45660.64583</v>
      </c>
      <c r="B68" s="6">
        <f>IFERROR(__xludf.DUMMYFUNCTION("""COMPUTED_VALUE"""),340.0)</f>
        <v>340</v>
      </c>
      <c r="C68" s="6">
        <f>IFERROR(__xludf.DUMMYFUNCTION("""COMPUTED_VALUE"""),349.5)</f>
        <v>349.5</v>
      </c>
      <c r="D68" s="6">
        <f>IFERROR(__xludf.DUMMYFUNCTION("""COMPUTED_VALUE"""),317.8)</f>
        <v>317.8</v>
      </c>
      <c r="E68" s="6">
        <f>IFERROR(__xludf.DUMMYFUNCTION("""COMPUTED_VALUE"""),329.45)</f>
        <v>329.45</v>
      </c>
      <c r="F68" s="6">
        <f>IFERROR(__xludf.DUMMYFUNCTION("""COMPUTED_VALUE"""),3.371419E7)</f>
        <v>33714190</v>
      </c>
    </row>
    <row r="69">
      <c r="A69" s="7">
        <f>IFERROR(__xludf.DUMMYFUNCTION("""COMPUTED_VALUE"""),45667.64583333333)</f>
        <v>45667.64583</v>
      </c>
      <c r="B69" s="6">
        <f>IFERROR(__xludf.DUMMYFUNCTION("""COMPUTED_VALUE"""),330.85)</f>
        <v>330.85</v>
      </c>
      <c r="C69" s="6">
        <f>IFERROR(__xludf.DUMMYFUNCTION("""COMPUTED_VALUE"""),337.3)</f>
        <v>337.3</v>
      </c>
      <c r="D69" s="6">
        <f>IFERROR(__xludf.DUMMYFUNCTION("""COMPUTED_VALUE"""),319.3)</f>
        <v>319.3</v>
      </c>
      <c r="E69" s="6">
        <f>IFERROR(__xludf.DUMMYFUNCTION("""COMPUTED_VALUE"""),320.35)</f>
        <v>320.35</v>
      </c>
      <c r="F69" s="6">
        <f>IFERROR(__xludf.DUMMYFUNCTION("""COMPUTED_VALUE"""),1.6330792E7)</f>
        <v>16330792</v>
      </c>
    </row>
    <row r="70">
      <c r="A70" s="7">
        <f>IFERROR(__xludf.DUMMYFUNCTION("""COMPUTED_VALUE"""),45674.64583333333)</f>
        <v>45674.64583</v>
      </c>
      <c r="B70" s="6">
        <f>IFERROR(__xludf.DUMMYFUNCTION("""COMPUTED_VALUE"""),318.85)</f>
        <v>318.85</v>
      </c>
      <c r="C70" s="6">
        <f>IFERROR(__xludf.DUMMYFUNCTION("""COMPUTED_VALUE"""),332.4)</f>
        <v>332.4</v>
      </c>
      <c r="D70" s="6">
        <f>IFERROR(__xludf.DUMMYFUNCTION("""COMPUTED_VALUE"""),313.2)</f>
        <v>313.2</v>
      </c>
      <c r="E70" s="6">
        <f>IFERROR(__xludf.DUMMYFUNCTION("""COMPUTED_VALUE"""),324.8)</f>
        <v>324.8</v>
      </c>
      <c r="F70" s="6">
        <f>IFERROR(__xludf.DUMMYFUNCTION("""COMPUTED_VALUE"""),8997592.0)</f>
        <v>8997592</v>
      </c>
    </row>
    <row r="71">
      <c r="A71" s="7">
        <f>IFERROR(__xludf.DUMMYFUNCTION("""COMPUTED_VALUE"""),45681.64583333333)</f>
        <v>45681.64583</v>
      </c>
      <c r="B71" s="6">
        <f>IFERROR(__xludf.DUMMYFUNCTION("""COMPUTED_VALUE"""),324.8)</f>
        <v>324.8</v>
      </c>
      <c r="C71" s="6">
        <f>IFERROR(__xludf.DUMMYFUNCTION("""COMPUTED_VALUE"""),331.85)</f>
        <v>331.85</v>
      </c>
      <c r="D71" s="6">
        <f>IFERROR(__xludf.DUMMYFUNCTION("""COMPUTED_VALUE"""),317.8)</f>
        <v>317.8</v>
      </c>
      <c r="E71" s="6">
        <f>IFERROR(__xludf.DUMMYFUNCTION("""COMPUTED_VALUE"""),322.7)</f>
        <v>322.7</v>
      </c>
      <c r="F71" s="6">
        <f>IFERROR(__xludf.DUMMYFUNCTION("""COMPUTED_VALUE"""),7627328.0)</f>
        <v>7627328</v>
      </c>
    </row>
    <row r="72">
      <c r="A72" s="7">
        <f>IFERROR(__xludf.DUMMYFUNCTION("""COMPUTED_VALUE"""),45695.64583333333)</f>
        <v>45695.64583</v>
      </c>
      <c r="B72" s="6">
        <f>IFERROR(__xludf.DUMMYFUNCTION("""COMPUTED_VALUE"""),308.75)</f>
        <v>308.75</v>
      </c>
      <c r="C72" s="6">
        <f>IFERROR(__xludf.DUMMYFUNCTION("""COMPUTED_VALUE"""),319.4)</f>
        <v>319.4</v>
      </c>
      <c r="D72" s="6">
        <f>IFERROR(__xludf.DUMMYFUNCTION("""COMPUTED_VALUE"""),301.7)</f>
        <v>301.7</v>
      </c>
      <c r="E72" s="6">
        <f>IFERROR(__xludf.DUMMYFUNCTION("""COMPUTED_VALUE"""),315.45)</f>
        <v>315.45</v>
      </c>
      <c r="F72" s="6">
        <f>IFERROR(__xludf.DUMMYFUNCTION("""COMPUTED_VALUE"""),9601186.0)</f>
        <v>9601186</v>
      </c>
    </row>
    <row r="73">
      <c r="A73" s="7">
        <f>IFERROR(__xludf.DUMMYFUNCTION("""COMPUTED_VALUE"""),45702.64583333333)</f>
        <v>45702.64583</v>
      </c>
      <c r="B73" s="6">
        <f>IFERROR(__xludf.DUMMYFUNCTION("""COMPUTED_VALUE"""),315.45)</f>
        <v>315.45</v>
      </c>
      <c r="C73" s="6">
        <f>IFERROR(__xludf.DUMMYFUNCTION("""COMPUTED_VALUE"""),318.9)</f>
        <v>318.9</v>
      </c>
      <c r="D73" s="6">
        <f>IFERROR(__xludf.DUMMYFUNCTION("""COMPUTED_VALUE"""),282.55)</f>
        <v>282.55</v>
      </c>
      <c r="E73" s="6">
        <f>IFERROR(__xludf.DUMMYFUNCTION("""COMPUTED_VALUE"""),286.65)</f>
        <v>286.65</v>
      </c>
      <c r="F73" s="6">
        <f>IFERROR(__xludf.DUMMYFUNCTION("""COMPUTED_VALUE"""),8864522.0)</f>
        <v>8864522</v>
      </c>
    </row>
    <row r="74">
      <c r="A74" s="7">
        <f>IFERROR(__xludf.DUMMYFUNCTION("""COMPUTED_VALUE"""),45709.64583333333)</f>
        <v>45709.64583</v>
      </c>
      <c r="B74" s="6">
        <f>IFERROR(__xludf.DUMMYFUNCTION("""COMPUTED_VALUE"""),286.65)</f>
        <v>286.65</v>
      </c>
      <c r="C74" s="6">
        <f>IFERROR(__xludf.DUMMYFUNCTION("""COMPUTED_VALUE"""),308.5)</f>
        <v>308.5</v>
      </c>
      <c r="D74" s="6">
        <f>IFERROR(__xludf.DUMMYFUNCTION("""COMPUTED_VALUE"""),278.05)</f>
        <v>278.05</v>
      </c>
      <c r="E74" s="6">
        <f>IFERROR(__xludf.DUMMYFUNCTION("""COMPUTED_VALUE"""),301.55)</f>
        <v>301.55</v>
      </c>
      <c r="F74" s="6">
        <f>IFERROR(__xludf.DUMMYFUNCTION("""COMPUTED_VALUE"""),9035566.0)</f>
        <v>9035566</v>
      </c>
    </row>
    <row r="75">
      <c r="A75" s="7">
        <f>IFERROR(__xludf.DUMMYFUNCTION("""COMPUTED_VALUE"""),45716.64583333333)</f>
        <v>45716.64583</v>
      </c>
      <c r="B75" s="6">
        <f>IFERROR(__xludf.DUMMYFUNCTION("""COMPUTED_VALUE"""),300.0)</f>
        <v>300</v>
      </c>
      <c r="C75" s="6">
        <f>IFERROR(__xludf.DUMMYFUNCTION("""COMPUTED_VALUE"""),306.0)</f>
        <v>306</v>
      </c>
      <c r="D75" s="6">
        <f>IFERROR(__xludf.DUMMYFUNCTION("""COMPUTED_VALUE"""),280.1)</f>
        <v>280.1</v>
      </c>
      <c r="E75" s="6">
        <f>IFERROR(__xludf.DUMMYFUNCTION("""COMPUTED_VALUE"""),283.3)</f>
        <v>283.3</v>
      </c>
      <c r="F75" s="6">
        <f>IFERROR(__xludf.DUMMYFUNCTION("""COMPUTED_VALUE"""),1.5446434E7)</f>
        <v>15446434</v>
      </c>
    </row>
    <row r="76">
      <c r="A76" s="7">
        <f>IFERROR(__xludf.DUMMYFUNCTION("""COMPUTED_VALUE"""),45723.64583333333)</f>
        <v>45723.64583</v>
      </c>
      <c r="B76" s="6">
        <f>IFERROR(__xludf.DUMMYFUNCTION("""COMPUTED_VALUE"""),281.2)</f>
        <v>281.2</v>
      </c>
      <c r="C76" s="6">
        <f>IFERROR(__xludf.DUMMYFUNCTION("""COMPUTED_VALUE"""),292.35)</f>
        <v>292.35</v>
      </c>
      <c r="D76" s="6">
        <f>IFERROR(__xludf.DUMMYFUNCTION("""COMPUTED_VALUE"""),269.8)</f>
        <v>269.8</v>
      </c>
      <c r="E76" s="6">
        <f>IFERROR(__xludf.DUMMYFUNCTION("""COMPUTED_VALUE"""),285.9)</f>
        <v>285.9</v>
      </c>
      <c r="F76" s="6">
        <f>IFERROR(__xludf.DUMMYFUNCTION("""COMPUTED_VALUE"""),1.0664446E7)</f>
        <v>10664446</v>
      </c>
    </row>
    <row r="77">
      <c r="A77" s="7">
        <f>IFERROR(__xludf.DUMMYFUNCTION("""COMPUTED_VALUE"""),45729.64583333333)</f>
        <v>45729.64583</v>
      </c>
      <c r="B77" s="6">
        <f>IFERROR(__xludf.DUMMYFUNCTION("""COMPUTED_VALUE"""),284.0)</f>
        <v>284</v>
      </c>
      <c r="C77" s="6">
        <f>IFERROR(__xludf.DUMMYFUNCTION("""COMPUTED_VALUE"""),289.9)</f>
        <v>289.9</v>
      </c>
      <c r="D77" s="6">
        <f>IFERROR(__xludf.DUMMYFUNCTION("""COMPUTED_VALUE"""),274.05)</f>
        <v>274.05</v>
      </c>
      <c r="E77" s="6">
        <f>IFERROR(__xludf.DUMMYFUNCTION("""COMPUTED_VALUE"""),281.0)</f>
        <v>281</v>
      </c>
      <c r="F77" s="6">
        <f>IFERROR(__xludf.DUMMYFUNCTION("""COMPUTED_VALUE"""),7555284.0)</f>
        <v>7555284</v>
      </c>
    </row>
    <row r="78">
      <c r="A78" s="7">
        <f>IFERROR(__xludf.DUMMYFUNCTION("""COMPUTED_VALUE"""),45737.64583333333)</f>
        <v>45737.64583</v>
      </c>
      <c r="B78" s="6">
        <f>IFERROR(__xludf.DUMMYFUNCTION("""COMPUTED_VALUE"""),281.0)</f>
        <v>281</v>
      </c>
      <c r="C78" s="6">
        <f>IFERROR(__xludf.DUMMYFUNCTION("""COMPUTED_VALUE"""),305.45)</f>
        <v>305.45</v>
      </c>
      <c r="D78" s="6">
        <f>IFERROR(__xludf.DUMMYFUNCTION("""COMPUTED_VALUE"""),279.4)</f>
        <v>279.4</v>
      </c>
      <c r="E78" s="6">
        <f>IFERROR(__xludf.DUMMYFUNCTION("""COMPUTED_VALUE"""),301.25)</f>
        <v>301.25</v>
      </c>
      <c r="F78" s="6">
        <f>IFERROR(__xludf.DUMMYFUNCTION("""COMPUTED_VALUE"""),1.2627487E7)</f>
        <v>12627487</v>
      </c>
    </row>
    <row r="79">
      <c r="A79" s="7">
        <f>IFERROR(__xludf.DUMMYFUNCTION("""COMPUTED_VALUE"""),45744.64583333333)</f>
        <v>45744.64583</v>
      </c>
      <c r="B79" s="6">
        <f>IFERROR(__xludf.DUMMYFUNCTION("""COMPUTED_VALUE"""),302.0)</f>
        <v>302</v>
      </c>
      <c r="C79" s="6">
        <f>IFERROR(__xludf.DUMMYFUNCTION("""COMPUTED_VALUE"""),308.35)</f>
        <v>308.35</v>
      </c>
      <c r="D79" s="6">
        <f>IFERROR(__xludf.DUMMYFUNCTION("""COMPUTED_VALUE"""),288.5)</f>
        <v>288.5</v>
      </c>
      <c r="E79" s="6">
        <f>IFERROR(__xludf.DUMMYFUNCTION("""COMPUTED_VALUE"""),293.6)</f>
        <v>293.6</v>
      </c>
      <c r="F79" s="6">
        <f>IFERROR(__xludf.DUMMYFUNCTION("""COMPUTED_VALUE"""),1.0772753E7)</f>
        <v>10772753</v>
      </c>
    </row>
    <row r="80">
      <c r="A80" s="7">
        <f>IFERROR(__xludf.DUMMYFUNCTION("""COMPUTED_VALUE"""),45751.64583333333)</f>
        <v>45751.64583</v>
      </c>
      <c r="B80" s="6">
        <f>IFERROR(__xludf.DUMMYFUNCTION("""COMPUTED_VALUE"""),292.0)</f>
        <v>292</v>
      </c>
      <c r="C80" s="6">
        <f>IFERROR(__xludf.DUMMYFUNCTION("""COMPUTED_VALUE"""),300.0)</f>
        <v>300</v>
      </c>
      <c r="D80" s="6">
        <f>IFERROR(__xludf.DUMMYFUNCTION("""COMPUTED_VALUE"""),281.1)</f>
        <v>281.1</v>
      </c>
      <c r="E80" s="6">
        <f>IFERROR(__xludf.DUMMYFUNCTION("""COMPUTED_VALUE"""),283.9)</f>
        <v>283.9</v>
      </c>
      <c r="F80" s="6">
        <f>IFERROR(__xludf.DUMMYFUNCTION("""COMPUTED_VALUE"""),5901507.0)</f>
        <v>5901507</v>
      </c>
    </row>
    <row r="81">
      <c r="A81" s="7">
        <f>IFERROR(__xludf.DUMMYFUNCTION("""COMPUTED_VALUE"""),45758.64583333333)</f>
        <v>45758.64583</v>
      </c>
      <c r="B81" s="6">
        <f>IFERROR(__xludf.DUMMYFUNCTION("""COMPUTED_VALUE"""),273.35)</f>
        <v>273.35</v>
      </c>
      <c r="C81" s="6">
        <f>IFERROR(__xludf.DUMMYFUNCTION("""COMPUTED_VALUE"""),289.2)</f>
        <v>289.2</v>
      </c>
      <c r="D81" s="6">
        <f>IFERROR(__xludf.DUMMYFUNCTION("""COMPUTED_VALUE"""),269.6)</f>
        <v>269.6</v>
      </c>
      <c r="E81" s="6">
        <f>IFERROR(__xludf.DUMMYFUNCTION("""COMPUTED_VALUE"""),284.9)</f>
        <v>284.9</v>
      </c>
      <c r="F81" s="6">
        <f>IFERROR(__xludf.DUMMYFUNCTION("""COMPUTED_VALUE"""),6473665.0)</f>
        <v>6473665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IFERROR(__xludf.DUMMYFUNCTION("""COMPUTED_VALUE"""),288.25)</f>
        <v>288.25</v>
      </c>
      <c r="C82" s="6">
        <f>IFERROR(__xludf.DUMMYFUNCTION("""COMPUTED_VALUE"""),305.45)</f>
        <v>305.45</v>
      </c>
      <c r="D82" s="6">
        <f>IFERROR(__xludf.DUMMYFUNCTION("""COMPUTED_VALUE"""),287.55)</f>
        <v>287.55</v>
      </c>
      <c r="E82" s="6">
        <f>IFERROR(__xludf.DUMMYFUNCTION("""COMPUTED_VALUE"""),303.95)</f>
        <v>303.95</v>
      </c>
      <c r="F82" s="6">
        <f>IFERROR(__xludf.DUMMYFUNCTION("""COMPUTED_VALUE"""),7171254.0)</f>
        <v>7171254</v>
      </c>
    </row>
    <row r="83">
      <c r="A83" s="7">
        <f>IFERROR(__xludf.DUMMYFUNCTION("""COMPUTED_VALUE"""),45772.64583333333)</f>
        <v>45772.64583</v>
      </c>
      <c r="B83" s="6">
        <f>IFERROR(__xludf.DUMMYFUNCTION("""COMPUTED_VALUE"""),304.25)</f>
        <v>304.25</v>
      </c>
      <c r="C83" s="6">
        <f>IFERROR(__xludf.DUMMYFUNCTION("""COMPUTED_VALUE"""),319.0)</f>
        <v>319</v>
      </c>
      <c r="D83" s="6">
        <f>IFERROR(__xludf.DUMMYFUNCTION("""COMPUTED_VALUE"""),302.25)</f>
        <v>302.25</v>
      </c>
      <c r="E83" s="6">
        <f>IFERROR(__xludf.DUMMYFUNCTION("""COMPUTED_VALUE"""),309.4)</f>
        <v>309.4</v>
      </c>
      <c r="F83" s="6">
        <f>IFERROR(__xludf.DUMMYFUNCTION("""COMPUTED_VALUE"""),1.0657694E7)</f>
        <v>10657694</v>
      </c>
    </row>
    <row r="84">
      <c r="A84" s="7">
        <f>IFERROR(__xludf.DUMMYFUNCTION("""COMPUTED_VALUE"""),45779.64583333333)</f>
        <v>45779.64583</v>
      </c>
      <c r="B84" s="6">
        <f>IFERROR(__xludf.DUMMYFUNCTION("""COMPUTED_VALUE"""),309.0)</f>
        <v>309</v>
      </c>
      <c r="C84" s="6">
        <f>IFERROR(__xludf.DUMMYFUNCTION("""COMPUTED_VALUE"""),320.25)</f>
        <v>320.25</v>
      </c>
      <c r="D84" s="6">
        <f>IFERROR(__xludf.DUMMYFUNCTION("""COMPUTED_VALUE"""),306.5)</f>
        <v>306.5</v>
      </c>
      <c r="E84" s="6">
        <f>IFERROR(__xludf.DUMMYFUNCTION("""COMPUTED_VALUE"""),312.4)</f>
        <v>312.4</v>
      </c>
      <c r="F84" s="6">
        <f>IFERROR(__xludf.DUMMYFUNCTION("""COMPUTED_VALUE"""),1.0221385E7)</f>
        <v>10221385</v>
      </c>
    </row>
    <row r="85">
      <c r="A85" s="7">
        <f>IFERROR(__xludf.DUMMYFUNCTION("""COMPUTED_VALUE"""),45786.64583333333)</f>
        <v>45786.64583</v>
      </c>
      <c r="B85" s="6">
        <f>IFERROR(__xludf.DUMMYFUNCTION("""COMPUTED_VALUE"""),315.0)</f>
        <v>315</v>
      </c>
      <c r="C85" s="6">
        <f>IFERROR(__xludf.DUMMYFUNCTION("""COMPUTED_VALUE"""),318.9)</f>
        <v>318.9</v>
      </c>
      <c r="D85" s="6">
        <f>IFERROR(__xludf.DUMMYFUNCTION("""COMPUTED_VALUE"""),298.05)</f>
        <v>298.05</v>
      </c>
      <c r="E85" s="6">
        <f>IFERROR(__xludf.DUMMYFUNCTION("""COMPUTED_VALUE"""),307.95)</f>
        <v>307.95</v>
      </c>
      <c r="F85" s="6">
        <f>IFERROR(__xludf.DUMMYFUNCTION("""COMPUTED_VALUE"""),1.2593118E7)</f>
        <v>12593118</v>
      </c>
    </row>
    <row r="86">
      <c r="A86" s="7">
        <f>IFERROR(__xludf.DUMMYFUNCTION("""COMPUTED_VALUE"""),45793.64583333333)</f>
        <v>45793.64583</v>
      </c>
      <c r="B86" s="6">
        <f>IFERROR(__xludf.DUMMYFUNCTION("""COMPUTED_VALUE"""),312.0)</f>
        <v>312</v>
      </c>
      <c r="C86" s="6">
        <f>IFERROR(__xludf.DUMMYFUNCTION("""COMPUTED_VALUE"""),326.5)</f>
        <v>326.5</v>
      </c>
      <c r="D86" s="6">
        <f>IFERROR(__xludf.DUMMYFUNCTION("""COMPUTED_VALUE"""),308.85)</f>
        <v>308.85</v>
      </c>
      <c r="E86" s="6">
        <f>IFERROR(__xludf.DUMMYFUNCTION("""COMPUTED_VALUE"""),320.6)</f>
        <v>320.6</v>
      </c>
      <c r="F86" s="6">
        <f>IFERROR(__xludf.DUMMYFUNCTION("""COMPUTED_VALUE"""),1.0701541E7)</f>
        <v>10701541</v>
      </c>
    </row>
    <row r="87">
      <c r="A87" s="7">
        <f>IFERROR(__xludf.DUMMYFUNCTION("""COMPUTED_VALUE"""),45800.64583333333)</f>
        <v>45800.64583</v>
      </c>
      <c r="B87" s="6">
        <f>IFERROR(__xludf.DUMMYFUNCTION("""COMPUTED_VALUE"""),321.1)</f>
        <v>321.1</v>
      </c>
      <c r="C87" s="6">
        <f>IFERROR(__xludf.DUMMYFUNCTION("""COMPUTED_VALUE"""),324.1)</f>
        <v>324.1</v>
      </c>
      <c r="D87" s="6">
        <f>IFERROR(__xludf.DUMMYFUNCTION("""COMPUTED_VALUE"""),310.55)</f>
        <v>310.55</v>
      </c>
      <c r="E87" s="6">
        <f>IFERROR(__xludf.DUMMYFUNCTION("""COMPUTED_VALUE"""),319.9)</f>
        <v>319.9</v>
      </c>
      <c r="F87" s="6">
        <f>IFERROR(__xludf.DUMMYFUNCTION("""COMPUTED_VALUE"""),1.1644933E7)</f>
        <v>11644933</v>
      </c>
    </row>
    <row r="88">
      <c r="A88" s="7">
        <f>IFERROR(__xludf.DUMMYFUNCTION("""COMPUTED_VALUE"""),45807.64583333333)</f>
        <v>45807.64583</v>
      </c>
      <c r="B88" s="6">
        <f>IFERROR(__xludf.DUMMYFUNCTION("""COMPUTED_VALUE"""),320.0)</f>
        <v>320</v>
      </c>
      <c r="C88" s="6">
        <f>IFERROR(__xludf.DUMMYFUNCTION("""COMPUTED_VALUE"""),325.0)</f>
        <v>325</v>
      </c>
      <c r="D88" s="6">
        <f>IFERROR(__xludf.DUMMYFUNCTION("""COMPUTED_VALUE"""),306.0)</f>
        <v>306</v>
      </c>
      <c r="E88" s="6">
        <f>IFERROR(__xludf.DUMMYFUNCTION("""COMPUTED_VALUE"""),307.3)</f>
        <v>307.3</v>
      </c>
      <c r="F88" s="6">
        <f>IFERROR(__xludf.DUMMYFUNCTION("""COMPUTED_VALUE"""),1.5047471E7)</f>
        <v>15047471</v>
      </c>
    </row>
    <row r="89">
      <c r="A89" s="7">
        <f>IFERROR(__xludf.DUMMYFUNCTION("""COMPUTED_VALUE"""),45814.64583333333)</f>
        <v>45814.64583</v>
      </c>
      <c r="B89" s="6">
        <f>IFERROR(__xludf.DUMMYFUNCTION("""COMPUTED_VALUE"""),307.0)</f>
        <v>307</v>
      </c>
      <c r="C89" s="6">
        <f>IFERROR(__xludf.DUMMYFUNCTION("""COMPUTED_VALUE"""),309.95)</f>
        <v>309.95</v>
      </c>
      <c r="D89" s="6">
        <f>IFERROR(__xludf.DUMMYFUNCTION("""COMPUTED_VALUE"""),301.8)</f>
        <v>301.8</v>
      </c>
      <c r="E89" s="6">
        <f>IFERROR(__xludf.DUMMYFUNCTION("""COMPUTED_VALUE"""),305.95)</f>
        <v>305.95</v>
      </c>
      <c r="F89" s="6">
        <f>IFERROR(__xludf.DUMMYFUNCTION("""COMPUTED_VALUE"""),6592474.0)</f>
        <v>6592474</v>
      </c>
    </row>
    <row r="90">
      <c r="A90" s="7">
        <f>IFERROR(__xludf.DUMMYFUNCTION("""COMPUTED_VALUE"""),45821.64583333333)</f>
        <v>45821.64583</v>
      </c>
      <c r="B90" s="6">
        <f>IFERROR(__xludf.DUMMYFUNCTION("""COMPUTED_VALUE"""),308.4)</f>
        <v>308.4</v>
      </c>
      <c r="C90" s="6">
        <f>IFERROR(__xludf.DUMMYFUNCTION("""COMPUTED_VALUE"""),313.55)</f>
        <v>313.55</v>
      </c>
      <c r="D90" s="6">
        <f>IFERROR(__xludf.DUMMYFUNCTION("""COMPUTED_VALUE"""),290.1)</f>
        <v>290.1</v>
      </c>
      <c r="E90" s="6">
        <f>IFERROR(__xludf.DUMMYFUNCTION("""COMPUTED_VALUE"""),301.0)</f>
        <v>301</v>
      </c>
      <c r="F90" s="6">
        <f>IFERROR(__xludf.DUMMYFUNCTION("""COMPUTED_VALUE"""),1.1583285E7)</f>
        <v>11583285</v>
      </c>
    </row>
    <row r="91">
      <c r="A91" s="7">
        <f>IFERROR(__xludf.DUMMYFUNCTION("""COMPUTED_VALUE"""),45828.64583333333)</f>
        <v>45828.64583</v>
      </c>
      <c r="B91" s="6">
        <f>IFERROR(__xludf.DUMMYFUNCTION("""COMPUTED_VALUE"""),301.0)</f>
        <v>301</v>
      </c>
      <c r="C91" s="6">
        <f>IFERROR(__xludf.DUMMYFUNCTION("""COMPUTED_VALUE"""),303.0)</f>
        <v>303</v>
      </c>
      <c r="D91" s="6">
        <f>IFERROR(__xludf.DUMMYFUNCTION("""COMPUTED_VALUE"""),290.1)</f>
        <v>290.1</v>
      </c>
      <c r="E91" s="6">
        <f>IFERROR(__xludf.DUMMYFUNCTION("""COMPUTED_VALUE"""),295.4)</f>
        <v>295.4</v>
      </c>
      <c r="F91" s="6">
        <f>IFERROR(__xludf.DUMMYFUNCTION("""COMPUTED_VALUE"""),7116523.0)</f>
        <v>7116523</v>
      </c>
    </row>
    <row r="92">
      <c r="A92" s="7">
        <f>IFERROR(__xludf.DUMMYFUNCTION("""COMPUTED_VALUE"""),45835.64583333333)</f>
        <v>45835.64583</v>
      </c>
      <c r="B92" s="6">
        <f>IFERROR(__xludf.DUMMYFUNCTION("""COMPUTED_VALUE"""),294.4)</f>
        <v>294.4</v>
      </c>
      <c r="C92" s="6">
        <f>IFERROR(__xludf.DUMMYFUNCTION("""COMPUTED_VALUE"""),310.0)</f>
        <v>310</v>
      </c>
      <c r="D92" s="6">
        <f>IFERROR(__xludf.DUMMYFUNCTION("""COMPUTED_VALUE"""),291.3)</f>
        <v>291.3</v>
      </c>
      <c r="E92" s="6">
        <f>IFERROR(__xludf.DUMMYFUNCTION("""COMPUTED_VALUE"""),302.4)</f>
        <v>302.4</v>
      </c>
      <c r="F92" s="6">
        <f>IFERROR(__xludf.DUMMYFUNCTION("""COMPUTED_VALUE"""),1.3782087E7)</f>
        <v>13782087</v>
      </c>
    </row>
    <row r="93">
      <c r="A93" s="7">
        <f>IFERROR(__xludf.DUMMYFUNCTION("""COMPUTED_VALUE"""),45842.64583333333)</f>
        <v>45842.64583</v>
      </c>
      <c r="B93" s="6">
        <f>IFERROR(__xludf.DUMMYFUNCTION("""COMPUTED_VALUE"""),304.0)</f>
        <v>304</v>
      </c>
      <c r="C93" s="6">
        <f>IFERROR(__xludf.DUMMYFUNCTION("""COMPUTED_VALUE"""),305.15)</f>
        <v>305.15</v>
      </c>
      <c r="D93" s="6">
        <f>IFERROR(__xludf.DUMMYFUNCTION("""COMPUTED_VALUE"""),294.8)</f>
        <v>294.8</v>
      </c>
      <c r="E93" s="6">
        <f>IFERROR(__xludf.DUMMYFUNCTION("""COMPUTED_VALUE"""),299.75)</f>
        <v>299.75</v>
      </c>
      <c r="F93" s="6">
        <f>IFERROR(__xludf.DUMMYFUNCTION("""COMPUTED_VALUE"""),1.5664651E7)</f>
        <v>15664651</v>
      </c>
    </row>
    <row r="94">
      <c r="A94" s="7">
        <f>IFERROR(__xludf.DUMMYFUNCTION("""COMPUTED_VALUE"""),45849.64583333333)</f>
        <v>45849.64583</v>
      </c>
      <c r="B94" s="6">
        <f>IFERROR(__xludf.DUMMYFUNCTION("""COMPUTED_VALUE"""),304.05)</f>
        <v>304.05</v>
      </c>
      <c r="C94" s="6">
        <f>IFERROR(__xludf.DUMMYFUNCTION("""COMPUTED_VALUE"""),308.9)</f>
        <v>308.9</v>
      </c>
      <c r="D94" s="6">
        <f>IFERROR(__xludf.DUMMYFUNCTION("""COMPUTED_VALUE"""),299.15)</f>
        <v>299.15</v>
      </c>
      <c r="E94" s="6">
        <f>IFERROR(__xludf.DUMMYFUNCTION("""COMPUTED_VALUE"""),299.85)</f>
        <v>299.85</v>
      </c>
      <c r="F94" s="6">
        <f>IFERROR(__xludf.DUMMYFUNCTION("""COMPUTED_VALUE"""),2.0919876E7)</f>
        <v>20919876</v>
      </c>
    </row>
    <row r="95">
      <c r="A95" s="7">
        <f>IFERROR(__xludf.DUMMYFUNCTION("""COMPUTED_VALUE"""),45856.64583333333)</f>
        <v>45856.64583</v>
      </c>
      <c r="B95" s="6">
        <f>IFERROR(__xludf.DUMMYFUNCTION("""COMPUTED_VALUE"""),300.0)</f>
        <v>300</v>
      </c>
      <c r="C95" s="6">
        <f>IFERROR(__xludf.DUMMYFUNCTION("""COMPUTED_VALUE"""),313.4)</f>
        <v>313.4</v>
      </c>
      <c r="D95" s="6">
        <f>IFERROR(__xludf.DUMMYFUNCTION("""COMPUTED_VALUE"""),297.65)</f>
        <v>297.65</v>
      </c>
      <c r="E95" s="6">
        <f>IFERROR(__xludf.DUMMYFUNCTION("""COMPUTED_VALUE"""),303.95)</f>
        <v>303.95</v>
      </c>
      <c r="F95" s="6">
        <f>IFERROR(__xludf.DUMMYFUNCTION("""COMPUTED_VALUE"""),1.617028E7)</f>
        <v>16170280</v>
      </c>
    </row>
    <row r="96">
      <c r="A96" s="7">
        <f>IFERROR(__xludf.DUMMYFUNCTION("""COMPUTED_VALUE"""),45863.64583333333)</f>
        <v>45863.64583</v>
      </c>
      <c r="B96" s="6">
        <f>IFERROR(__xludf.DUMMYFUNCTION("""COMPUTED_VALUE"""),303.95)</f>
        <v>303.95</v>
      </c>
      <c r="C96" s="6">
        <f>IFERROR(__xludf.DUMMYFUNCTION("""COMPUTED_VALUE"""),308.65)</f>
        <v>308.65</v>
      </c>
      <c r="D96" s="6">
        <f>IFERROR(__xludf.DUMMYFUNCTION("""COMPUTED_VALUE"""),300.35)</f>
        <v>300.35</v>
      </c>
      <c r="E96" s="6">
        <f>IFERROR(__xludf.DUMMYFUNCTION("""COMPUTED_VALUE"""),301.75)</f>
        <v>301.75</v>
      </c>
      <c r="F96" s="6">
        <f>IFERROR(__xludf.DUMMYFUNCTION("""COMPUTED_VALUE"""),8685589.0)</f>
        <v>8685589</v>
      </c>
    </row>
    <row r="97">
      <c r="A97" s="7">
        <f>IFERROR(__xludf.DUMMYFUNCTION("""COMPUTED_VALUE"""),45870.64583333333)</f>
        <v>45870.64583</v>
      </c>
      <c r="B97" s="6">
        <f>IFERROR(__xludf.DUMMYFUNCTION("""COMPUTED_VALUE"""),297.6)</f>
        <v>297.6</v>
      </c>
      <c r="C97" s="6">
        <f>IFERROR(__xludf.DUMMYFUNCTION("""COMPUTED_VALUE"""),307.55)</f>
        <v>307.55</v>
      </c>
      <c r="D97" s="6">
        <f>IFERROR(__xludf.DUMMYFUNCTION("""COMPUTED_VALUE"""),280.0)</f>
        <v>280</v>
      </c>
      <c r="E97" s="6">
        <f>IFERROR(__xludf.DUMMYFUNCTION("""COMPUTED_VALUE"""),280.75)</f>
        <v>280.75</v>
      </c>
      <c r="F97" s="6">
        <f>IFERROR(__xludf.DUMMYFUNCTION("""COMPUTED_VALUE"""),9118702.0)</f>
        <v>9118702</v>
      </c>
    </row>
    <row r="98">
      <c r="A98" s="7">
        <f>IFERROR(__xludf.DUMMYFUNCTION("""COMPUTED_VALUE"""),45877.64583333333)</f>
        <v>45877.64583</v>
      </c>
      <c r="B98" s="6">
        <f>IFERROR(__xludf.DUMMYFUNCTION("""COMPUTED_VALUE"""),281.4)</f>
        <v>281.4</v>
      </c>
      <c r="C98" s="6">
        <f>IFERROR(__xludf.DUMMYFUNCTION("""COMPUTED_VALUE"""),284.0)</f>
        <v>284</v>
      </c>
      <c r="D98" s="6">
        <f>IFERROR(__xludf.DUMMYFUNCTION("""COMPUTED_VALUE"""),270.55)</f>
        <v>270.55</v>
      </c>
      <c r="E98" s="6">
        <f>IFERROR(__xludf.DUMMYFUNCTION("""COMPUTED_VALUE"""),273.25)</f>
        <v>273.25</v>
      </c>
      <c r="F98" s="6">
        <f>IFERROR(__xludf.DUMMYFUNCTION("""COMPUTED_VALUE"""),8284383.0)</f>
        <v>8284383</v>
      </c>
    </row>
    <row r="99">
      <c r="A99" s="7">
        <f>IFERROR(__xludf.DUMMYFUNCTION("""COMPUTED_VALUE"""),45883.64583333333)</f>
        <v>45883.64583</v>
      </c>
      <c r="B99" s="6">
        <f>IFERROR(__xludf.DUMMYFUNCTION("""COMPUTED_VALUE"""),273.5)</f>
        <v>273.5</v>
      </c>
      <c r="C99" s="6">
        <f>IFERROR(__xludf.DUMMYFUNCTION("""COMPUTED_VALUE"""),281.8)</f>
        <v>281.8</v>
      </c>
      <c r="D99" s="6">
        <f>IFERROR(__xludf.DUMMYFUNCTION("""COMPUTED_VALUE"""),270.1)</f>
        <v>270.1</v>
      </c>
      <c r="E99" s="6">
        <f>IFERROR(__xludf.DUMMYFUNCTION("""COMPUTED_VALUE"""),271.9)</f>
        <v>271.9</v>
      </c>
      <c r="F99" s="6">
        <f>IFERROR(__xludf.DUMMYFUNCTION("""COMPUTED_VALUE"""),5900688.0)</f>
        <v>5900688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IFERROR(__xludf.DUMMYFUNCTION("""COMPUTED_VALUE"""),273.0)</f>
        <v>273</v>
      </c>
      <c r="C100" s="6">
        <f>IFERROR(__xludf.DUMMYFUNCTION("""COMPUTED_VALUE"""),283.35)</f>
        <v>283.35</v>
      </c>
      <c r="D100" s="6">
        <f>IFERROR(__xludf.DUMMYFUNCTION("""COMPUTED_VALUE"""),270.1)</f>
        <v>270.1</v>
      </c>
      <c r="E100" s="6">
        <f>IFERROR(__xludf.DUMMYFUNCTION("""COMPUTED_VALUE"""),276.95)</f>
        <v>276.95</v>
      </c>
      <c r="F100" s="6">
        <f>IFERROR(__xludf.DUMMYFUNCTION("""COMPUTED_VALUE"""),6750542.0)</f>
        <v>6750542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IFERROR(__xludf.DUMMYFUNCTION("""COMPUTED_VALUE"""),277.2)</f>
        <v>277.2</v>
      </c>
      <c r="C101" s="6">
        <f>IFERROR(__xludf.DUMMYFUNCTION("""COMPUTED_VALUE"""),277.4)</f>
        <v>277.4</v>
      </c>
      <c r="D101" s="6">
        <f>IFERROR(__xludf.DUMMYFUNCTION("""COMPUTED_VALUE"""),267.9)</f>
        <v>267.9</v>
      </c>
      <c r="E101" s="6">
        <f>IFERROR(__xludf.DUMMYFUNCTION("""COMPUTED_VALUE"""),268.8)</f>
        <v>268.8</v>
      </c>
      <c r="F101" s="6">
        <f>IFERROR(__xludf.DUMMYFUNCTION("""COMPUTED_VALUE"""),3.5012607E7)</f>
        <v>35012607</v>
      </c>
    </row>
  </sheetData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IFERROR(__xludf.DUMMYFUNCTION("GOOGLEFINANCE(""NSE:PFC"",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IFERROR(__xludf.DUMMYFUNCTION("""COMPUTED_VALUE"""),217.12)</f>
        <v>217.12</v>
      </c>
      <c r="C2" s="6">
        <f>IFERROR(__xludf.DUMMYFUNCTION("""COMPUTED_VALUE"""),221.44)</f>
        <v>221.44</v>
      </c>
      <c r="D2" s="6">
        <f>IFERROR(__xludf.DUMMYFUNCTION("""COMPUTED_VALUE"""),200.44)</f>
        <v>200.44</v>
      </c>
      <c r="E2" s="6">
        <f>IFERROR(__xludf.DUMMYFUNCTION("""COMPUTED_VALUE"""),205.92)</f>
        <v>205.92</v>
      </c>
      <c r="F2" s="6">
        <f>IFERROR(__xludf.DUMMYFUNCTION("""COMPUTED_VALUE"""),2.39485264E8)</f>
        <v>239485264</v>
      </c>
    </row>
    <row r="3">
      <c r="A3" s="7">
        <f>IFERROR(__xludf.DUMMYFUNCTION("""COMPUTED_VALUE"""),45177.64583333333)</f>
        <v>45177.64583</v>
      </c>
      <c r="B3" s="6">
        <f>IFERROR(__xludf.DUMMYFUNCTION("""COMPUTED_VALUE"""),207.16)</f>
        <v>207.16</v>
      </c>
      <c r="C3" s="6">
        <f>IFERROR(__xludf.DUMMYFUNCTION("""COMPUTED_VALUE"""),245.52)</f>
        <v>245.52</v>
      </c>
      <c r="D3" s="6">
        <f>IFERROR(__xludf.DUMMYFUNCTION("""COMPUTED_VALUE"""),203.84)</f>
        <v>203.84</v>
      </c>
      <c r="E3" s="6">
        <f>IFERROR(__xludf.DUMMYFUNCTION("""COMPUTED_VALUE"""),244.08)</f>
        <v>244.08</v>
      </c>
      <c r="F3" s="6">
        <f>IFERROR(__xludf.DUMMYFUNCTION("""COMPUTED_VALUE"""),1.24315579E8)</f>
        <v>124315579</v>
      </c>
    </row>
    <row r="4">
      <c r="A4" s="7">
        <f>IFERROR(__xludf.DUMMYFUNCTION("""COMPUTED_VALUE"""),45184.64583333333)</f>
        <v>45184.64583</v>
      </c>
      <c r="B4" s="6">
        <f>IFERROR(__xludf.DUMMYFUNCTION("""COMPUTED_VALUE"""),247.92)</f>
        <v>247.92</v>
      </c>
      <c r="C4" s="6">
        <f>IFERROR(__xludf.DUMMYFUNCTION("""COMPUTED_VALUE"""),251.12)</f>
        <v>251.12</v>
      </c>
      <c r="D4" s="6">
        <f>IFERROR(__xludf.DUMMYFUNCTION("""COMPUTED_VALUE"""),219.84)</f>
        <v>219.84</v>
      </c>
      <c r="E4" s="6">
        <f>IFERROR(__xludf.DUMMYFUNCTION("""COMPUTED_VALUE"""),223.52)</f>
        <v>223.52</v>
      </c>
      <c r="F4" s="6">
        <f>IFERROR(__xludf.DUMMYFUNCTION("""COMPUTED_VALUE"""),9.9619792E7)</f>
        <v>99619792</v>
      </c>
    </row>
    <row r="5">
      <c r="A5" s="7">
        <f>IFERROR(__xludf.DUMMYFUNCTION("""COMPUTED_VALUE"""),45191.64583333333)</f>
        <v>45191.64583</v>
      </c>
      <c r="B5" s="6">
        <f>IFERROR(__xludf.DUMMYFUNCTION("""COMPUTED_VALUE"""),224.08)</f>
        <v>224.08</v>
      </c>
      <c r="C5" s="6">
        <f>IFERROR(__xludf.DUMMYFUNCTION("""COMPUTED_VALUE"""),239.6)</f>
        <v>239.6</v>
      </c>
      <c r="D5" s="6">
        <f>IFERROR(__xludf.DUMMYFUNCTION("""COMPUTED_VALUE"""),223.04)</f>
        <v>223.04</v>
      </c>
      <c r="E5" s="6">
        <f>IFERROR(__xludf.DUMMYFUNCTION("""COMPUTED_VALUE"""),238.4)</f>
        <v>238.4</v>
      </c>
      <c r="F5" s="6">
        <f>IFERROR(__xludf.DUMMYFUNCTION("""COMPUTED_VALUE"""),7.6562245E7)</f>
        <v>76562245</v>
      </c>
    </row>
    <row r="6">
      <c r="A6" s="7">
        <f>IFERROR(__xludf.DUMMYFUNCTION("""COMPUTED_VALUE"""),45198.64583333333)</f>
        <v>45198.64583</v>
      </c>
      <c r="B6" s="6">
        <f>IFERROR(__xludf.DUMMYFUNCTION("""COMPUTED_VALUE"""),239.35)</f>
        <v>239.35</v>
      </c>
      <c r="C6" s="6">
        <f>IFERROR(__xludf.DUMMYFUNCTION("""COMPUTED_VALUE"""),254.25)</f>
        <v>254.25</v>
      </c>
      <c r="D6" s="6">
        <f>IFERROR(__xludf.DUMMYFUNCTION("""COMPUTED_VALUE"""),232.9)</f>
        <v>232.9</v>
      </c>
      <c r="E6" s="6">
        <f>IFERROR(__xludf.DUMMYFUNCTION("""COMPUTED_VALUE"""),251.9)</f>
        <v>251.9</v>
      </c>
      <c r="F6" s="6">
        <f>IFERROR(__xludf.DUMMYFUNCTION("""COMPUTED_VALUE"""),1.00798947E8)</f>
        <v>100798947</v>
      </c>
    </row>
    <row r="7">
      <c r="A7" s="7">
        <f>IFERROR(__xludf.DUMMYFUNCTION("""COMPUTED_VALUE"""),45205.64583333333)</f>
        <v>45205.64583</v>
      </c>
      <c r="B7" s="6">
        <f>IFERROR(__xludf.DUMMYFUNCTION("""COMPUTED_VALUE"""),251.0)</f>
        <v>251</v>
      </c>
      <c r="C7" s="6">
        <f>IFERROR(__xludf.DUMMYFUNCTION("""COMPUTED_VALUE"""),254.0)</f>
        <v>254</v>
      </c>
      <c r="D7" s="6">
        <f>IFERROR(__xludf.DUMMYFUNCTION("""COMPUTED_VALUE"""),238.25)</f>
        <v>238.25</v>
      </c>
      <c r="E7" s="6">
        <f>IFERROR(__xludf.DUMMYFUNCTION("""COMPUTED_VALUE"""),246.3)</f>
        <v>246.3</v>
      </c>
      <c r="F7" s="6">
        <f>IFERROR(__xludf.DUMMYFUNCTION("""COMPUTED_VALUE"""),4.924856E7)</f>
        <v>49248560</v>
      </c>
    </row>
    <row r="8">
      <c r="A8" s="7">
        <f>IFERROR(__xludf.DUMMYFUNCTION("""COMPUTED_VALUE"""),45212.64583333333)</f>
        <v>45212.64583</v>
      </c>
      <c r="B8" s="6">
        <f>IFERROR(__xludf.DUMMYFUNCTION("""COMPUTED_VALUE"""),243.0)</f>
        <v>243</v>
      </c>
      <c r="C8" s="6">
        <f>IFERROR(__xludf.DUMMYFUNCTION("""COMPUTED_VALUE"""),255.5)</f>
        <v>255.5</v>
      </c>
      <c r="D8" s="6">
        <f>IFERROR(__xludf.DUMMYFUNCTION("""COMPUTED_VALUE"""),239.0)</f>
        <v>239</v>
      </c>
      <c r="E8" s="6">
        <f>IFERROR(__xludf.DUMMYFUNCTION("""COMPUTED_VALUE"""),250.15)</f>
        <v>250.15</v>
      </c>
      <c r="F8" s="6">
        <f>IFERROR(__xludf.DUMMYFUNCTION("""COMPUTED_VALUE"""),6.6707056E7)</f>
        <v>66707056</v>
      </c>
    </row>
    <row r="9">
      <c r="A9" s="7">
        <f>IFERROR(__xludf.DUMMYFUNCTION("""COMPUTED_VALUE"""),45219.64583333333)</f>
        <v>45219.64583</v>
      </c>
      <c r="B9" s="6">
        <f>IFERROR(__xludf.DUMMYFUNCTION("""COMPUTED_VALUE"""),251.0)</f>
        <v>251</v>
      </c>
      <c r="C9" s="6">
        <f>IFERROR(__xludf.DUMMYFUNCTION("""COMPUTED_VALUE"""),258.2)</f>
        <v>258.2</v>
      </c>
      <c r="D9" s="6">
        <f>IFERROR(__xludf.DUMMYFUNCTION("""COMPUTED_VALUE"""),242.2)</f>
        <v>242.2</v>
      </c>
      <c r="E9" s="6">
        <f>IFERROR(__xludf.DUMMYFUNCTION("""COMPUTED_VALUE"""),247.5)</f>
        <v>247.5</v>
      </c>
      <c r="F9" s="6">
        <f>IFERROR(__xludf.DUMMYFUNCTION("""COMPUTED_VALUE"""),5.2765074E7)</f>
        <v>52765074</v>
      </c>
    </row>
    <row r="10">
      <c r="A10" s="7">
        <f>IFERROR(__xludf.DUMMYFUNCTION("""COMPUTED_VALUE"""),45226.64583333333)</f>
        <v>45226.64583</v>
      </c>
      <c r="B10" s="6">
        <f>IFERROR(__xludf.DUMMYFUNCTION("""COMPUTED_VALUE"""),247.5)</f>
        <v>247.5</v>
      </c>
      <c r="C10" s="6">
        <f>IFERROR(__xludf.DUMMYFUNCTION("""COMPUTED_VALUE"""),250.95)</f>
        <v>250.95</v>
      </c>
      <c r="D10" s="6">
        <f>IFERROR(__xludf.DUMMYFUNCTION("""COMPUTED_VALUE"""),225.5)</f>
        <v>225.5</v>
      </c>
      <c r="E10" s="6">
        <f>IFERROR(__xludf.DUMMYFUNCTION("""COMPUTED_VALUE"""),237.55)</f>
        <v>237.55</v>
      </c>
      <c r="F10" s="6">
        <f>IFERROR(__xludf.DUMMYFUNCTION("""COMPUTED_VALUE"""),5.635481E7)</f>
        <v>56354810</v>
      </c>
    </row>
    <row r="11">
      <c r="A11" s="7">
        <f>IFERROR(__xludf.DUMMYFUNCTION("""COMPUTED_VALUE"""),45233.64583333333)</f>
        <v>45233.64583</v>
      </c>
      <c r="B11" s="6">
        <f>IFERROR(__xludf.DUMMYFUNCTION("""COMPUTED_VALUE"""),238.15)</f>
        <v>238.15</v>
      </c>
      <c r="C11" s="6">
        <f>IFERROR(__xludf.DUMMYFUNCTION("""COMPUTED_VALUE"""),262.85)</f>
        <v>262.85</v>
      </c>
      <c r="D11" s="6">
        <f>IFERROR(__xludf.DUMMYFUNCTION("""COMPUTED_VALUE"""),233.35)</f>
        <v>233.35</v>
      </c>
      <c r="E11" s="6">
        <f>IFERROR(__xludf.DUMMYFUNCTION("""COMPUTED_VALUE"""),261.7)</f>
        <v>261.7</v>
      </c>
      <c r="F11" s="6">
        <f>IFERROR(__xludf.DUMMYFUNCTION("""COMPUTED_VALUE"""),7.6186032E7)</f>
        <v>76186032</v>
      </c>
    </row>
    <row r="12">
      <c r="A12" s="7">
        <f>IFERROR(__xludf.DUMMYFUNCTION("""COMPUTED_VALUE"""),45240.64583333333)</f>
        <v>45240.64583</v>
      </c>
      <c r="B12" s="6">
        <f>IFERROR(__xludf.DUMMYFUNCTION("""COMPUTED_VALUE"""),263.95)</f>
        <v>263.95</v>
      </c>
      <c r="C12" s="6">
        <f>IFERROR(__xludf.DUMMYFUNCTION("""COMPUTED_VALUE"""),288.9)</f>
        <v>288.9</v>
      </c>
      <c r="D12" s="6">
        <f>IFERROR(__xludf.DUMMYFUNCTION("""COMPUTED_VALUE"""),257.8)</f>
        <v>257.8</v>
      </c>
      <c r="E12" s="6">
        <f>IFERROR(__xludf.DUMMYFUNCTION("""COMPUTED_VALUE"""),287.7)</f>
        <v>287.7</v>
      </c>
      <c r="F12" s="6">
        <f>IFERROR(__xludf.DUMMYFUNCTION("""COMPUTED_VALUE"""),1.07883952E8)</f>
        <v>107883952</v>
      </c>
    </row>
    <row r="13">
      <c r="A13" s="7">
        <f>IFERROR(__xludf.DUMMYFUNCTION("""COMPUTED_VALUE"""),45247.64583333333)</f>
        <v>45247.64583</v>
      </c>
      <c r="B13" s="6">
        <f>IFERROR(__xludf.DUMMYFUNCTION("""COMPUTED_VALUE"""),292.0)</f>
        <v>292</v>
      </c>
      <c r="C13" s="6">
        <f>IFERROR(__xludf.DUMMYFUNCTION("""COMPUTED_VALUE"""),319.8)</f>
        <v>319.8</v>
      </c>
      <c r="D13" s="6">
        <f>IFERROR(__xludf.DUMMYFUNCTION("""COMPUTED_VALUE"""),289.5)</f>
        <v>289.5</v>
      </c>
      <c r="E13" s="6">
        <f>IFERROR(__xludf.DUMMYFUNCTION("""COMPUTED_VALUE"""),316.25)</f>
        <v>316.25</v>
      </c>
      <c r="F13" s="6">
        <f>IFERROR(__xludf.DUMMYFUNCTION("""COMPUTED_VALUE"""),1.24737552E8)</f>
        <v>124737552</v>
      </c>
    </row>
    <row r="14">
      <c r="A14" s="7">
        <f>IFERROR(__xludf.DUMMYFUNCTION("""COMPUTED_VALUE"""),45254.64583333333)</f>
        <v>45254.64583</v>
      </c>
      <c r="B14" s="6">
        <f>IFERROR(__xludf.DUMMYFUNCTION("""COMPUTED_VALUE"""),316.95)</f>
        <v>316.95</v>
      </c>
      <c r="C14" s="6">
        <f>IFERROR(__xludf.DUMMYFUNCTION("""COMPUTED_VALUE"""),328.65)</f>
        <v>328.65</v>
      </c>
      <c r="D14" s="6">
        <f>IFERROR(__xludf.DUMMYFUNCTION("""COMPUTED_VALUE"""),312.15)</f>
        <v>312.15</v>
      </c>
      <c r="E14" s="6">
        <f>IFERROR(__xludf.DUMMYFUNCTION("""COMPUTED_VALUE"""),314.95)</f>
        <v>314.95</v>
      </c>
      <c r="F14" s="6">
        <f>IFERROR(__xludf.DUMMYFUNCTION("""COMPUTED_VALUE"""),6.6945574E7)</f>
        <v>66945574</v>
      </c>
    </row>
    <row r="15">
      <c r="A15" s="7">
        <f>IFERROR(__xludf.DUMMYFUNCTION("""COMPUTED_VALUE"""),45261.64583333333)</f>
        <v>45261.64583</v>
      </c>
      <c r="B15" s="6">
        <f>IFERROR(__xludf.DUMMYFUNCTION("""COMPUTED_VALUE"""),314.95)</f>
        <v>314.95</v>
      </c>
      <c r="C15" s="6">
        <f>IFERROR(__xludf.DUMMYFUNCTION("""COMPUTED_VALUE"""),368.35)</f>
        <v>368.35</v>
      </c>
      <c r="D15" s="6">
        <f>IFERROR(__xludf.DUMMYFUNCTION("""COMPUTED_VALUE"""),309.55)</f>
        <v>309.55</v>
      </c>
      <c r="E15" s="6">
        <f>IFERROR(__xludf.DUMMYFUNCTION("""COMPUTED_VALUE"""),365.15)</f>
        <v>365.15</v>
      </c>
      <c r="F15" s="6">
        <f>IFERROR(__xludf.DUMMYFUNCTION("""COMPUTED_VALUE"""),1.19161521E8)</f>
        <v>119161521</v>
      </c>
    </row>
    <row r="16">
      <c r="A16" s="7">
        <f>IFERROR(__xludf.DUMMYFUNCTION("""COMPUTED_VALUE"""),45268.64583333333)</f>
        <v>45268.64583</v>
      </c>
      <c r="B16" s="6">
        <f>IFERROR(__xludf.DUMMYFUNCTION("""COMPUTED_VALUE"""),382.0)</f>
        <v>382</v>
      </c>
      <c r="C16" s="6">
        <f>IFERROR(__xludf.DUMMYFUNCTION("""COMPUTED_VALUE"""),390.7)</f>
        <v>390.7</v>
      </c>
      <c r="D16" s="6">
        <f>IFERROR(__xludf.DUMMYFUNCTION("""COMPUTED_VALUE"""),369.7)</f>
        <v>369.7</v>
      </c>
      <c r="E16" s="6">
        <f>IFERROR(__xludf.DUMMYFUNCTION("""COMPUTED_VALUE"""),384.6)</f>
        <v>384.6</v>
      </c>
      <c r="F16" s="6">
        <f>IFERROR(__xludf.DUMMYFUNCTION("""COMPUTED_VALUE"""),9.6626899E7)</f>
        <v>96626899</v>
      </c>
    </row>
    <row r="17">
      <c r="A17" s="7">
        <f>IFERROR(__xludf.DUMMYFUNCTION("""COMPUTED_VALUE"""),45275.64583333333)</f>
        <v>45275.64583</v>
      </c>
      <c r="B17" s="6">
        <f>IFERROR(__xludf.DUMMYFUNCTION("""COMPUTED_VALUE"""),386.0)</f>
        <v>386</v>
      </c>
      <c r="C17" s="6">
        <f>IFERROR(__xludf.DUMMYFUNCTION("""COMPUTED_VALUE"""),428.75)</f>
        <v>428.75</v>
      </c>
      <c r="D17" s="6">
        <f>IFERROR(__xludf.DUMMYFUNCTION("""COMPUTED_VALUE"""),381.2)</f>
        <v>381.2</v>
      </c>
      <c r="E17" s="6">
        <f>IFERROR(__xludf.DUMMYFUNCTION("""COMPUTED_VALUE"""),412.3)</f>
        <v>412.3</v>
      </c>
      <c r="F17" s="6">
        <f>IFERROR(__xludf.DUMMYFUNCTION("""COMPUTED_VALUE"""),1.10909722E8)</f>
        <v>110909722</v>
      </c>
    </row>
    <row r="18">
      <c r="A18" s="7">
        <f>IFERROR(__xludf.DUMMYFUNCTION("""COMPUTED_VALUE"""),45282.64583333333)</f>
        <v>45282.64583</v>
      </c>
      <c r="B18" s="6">
        <f>IFERROR(__xludf.DUMMYFUNCTION("""COMPUTED_VALUE"""),412.3)</f>
        <v>412.3</v>
      </c>
      <c r="C18" s="6">
        <f>IFERROR(__xludf.DUMMYFUNCTION("""COMPUTED_VALUE"""),416.7)</f>
        <v>416.7</v>
      </c>
      <c r="D18" s="6">
        <f>IFERROR(__xludf.DUMMYFUNCTION("""COMPUTED_VALUE"""),368.35)</f>
        <v>368.35</v>
      </c>
      <c r="E18" s="6">
        <f>IFERROR(__xludf.DUMMYFUNCTION("""COMPUTED_VALUE"""),386.9)</f>
        <v>386.9</v>
      </c>
      <c r="F18" s="6">
        <f>IFERROR(__xludf.DUMMYFUNCTION("""COMPUTED_VALUE"""),8.3531282E7)</f>
        <v>83531282</v>
      </c>
    </row>
    <row r="19">
      <c r="A19" s="7">
        <f>IFERROR(__xludf.DUMMYFUNCTION("""COMPUTED_VALUE"""),45289.64583333333)</f>
        <v>45289.64583</v>
      </c>
      <c r="B19" s="6">
        <f>IFERROR(__xludf.DUMMYFUNCTION("""COMPUTED_VALUE"""),388.0)</f>
        <v>388</v>
      </c>
      <c r="C19" s="6">
        <f>IFERROR(__xludf.DUMMYFUNCTION("""COMPUTED_VALUE"""),399.0)</f>
        <v>399</v>
      </c>
      <c r="D19" s="6">
        <f>IFERROR(__xludf.DUMMYFUNCTION("""COMPUTED_VALUE"""),379.5)</f>
        <v>379.5</v>
      </c>
      <c r="E19" s="6">
        <f>IFERROR(__xludf.DUMMYFUNCTION("""COMPUTED_VALUE"""),382.6)</f>
        <v>382.6</v>
      </c>
      <c r="F19" s="6">
        <f>IFERROR(__xludf.DUMMYFUNCTION("""COMPUTED_VALUE"""),4.7860863E7)</f>
        <v>47860863</v>
      </c>
    </row>
    <row r="20">
      <c r="A20" s="7">
        <f>IFERROR(__xludf.DUMMYFUNCTION("""COMPUTED_VALUE"""),45296.64583333333)</f>
        <v>45296.64583</v>
      </c>
      <c r="B20" s="6">
        <f>IFERROR(__xludf.DUMMYFUNCTION("""COMPUTED_VALUE"""),383.9)</f>
        <v>383.9</v>
      </c>
      <c r="C20" s="6">
        <f>IFERROR(__xludf.DUMMYFUNCTION("""COMPUTED_VALUE"""),409.0)</f>
        <v>409</v>
      </c>
      <c r="D20" s="6">
        <f>IFERROR(__xludf.DUMMYFUNCTION("""COMPUTED_VALUE"""),381.0)</f>
        <v>381</v>
      </c>
      <c r="E20" s="6">
        <f>IFERROR(__xludf.DUMMYFUNCTION("""COMPUTED_VALUE"""),404.0)</f>
        <v>404</v>
      </c>
      <c r="F20" s="6">
        <f>IFERROR(__xludf.DUMMYFUNCTION("""COMPUTED_VALUE"""),6.7225907E7)</f>
        <v>67225907</v>
      </c>
    </row>
    <row r="21">
      <c r="A21" s="7">
        <f>IFERROR(__xludf.DUMMYFUNCTION("""COMPUTED_VALUE"""),45303.64583333333)</f>
        <v>45303.64583</v>
      </c>
      <c r="B21" s="6">
        <f>IFERROR(__xludf.DUMMYFUNCTION("""COMPUTED_VALUE"""),405.8)</f>
        <v>405.8</v>
      </c>
      <c r="C21" s="6">
        <f>IFERROR(__xludf.DUMMYFUNCTION("""COMPUTED_VALUE"""),412.7)</f>
        <v>412.7</v>
      </c>
      <c r="D21" s="6">
        <f>IFERROR(__xludf.DUMMYFUNCTION("""COMPUTED_VALUE"""),380.8)</f>
        <v>380.8</v>
      </c>
      <c r="E21" s="6">
        <f>IFERROR(__xludf.DUMMYFUNCTION("""COMPUTED_VALUE"""),401.8)</f>
        <v>401.8</v>
      </c>
      <c r="F21" s="6">
        <f>IFERROR(__xludf.DUMMYFUNCTION("""COMPUTED_VALUE"""),4.9687085E7)</f>
        <v>49687085</v>
      </c>
    </row>
    <row r="22">
      <c r="A22" s="7">
        <f>IFERROR(__xludf.DUMMYFUNCTION("""COMPUTED_VALUE"""),45316.64583333333)</f>
        <v>45316.64583</v>
      </c>
      <c r="B22" s="6">
        <f>IFERROR(__xludf.DUMMYFUNCTION("""COMPUTED_VALUE"""),430.0)</f>
        <v>430</v>
      </c>
      <c r="C22" s="6">
        <f>IFERROR(__xludf.DUMMYFUNCTION("""COMPUTED_VALUE"""),430.3)</f>
        <v>430.3</v>
      </c>
      <c r="D22" s="6">
        <f>IFERROR(__xludf.DUMMYFUNCTION("""COMPUTED_VALUE"""),382.5)</f>
        <v>382.5</v>
      </c>
      <c r="E22" s="6">
        <f>IFERROR(__xludf.DUMMYFUNCTION("""COMPUTED_VALUE"""),419.0)</f>
        <v>419</v>
      </c>
      <c r="F22" s="6">
        <f>IFERROR(__xludf.DUMMYFUNCTION("""COMPUTED_VALUE"""),6.6832187E7)</f>
        <v>66832187</v>
      </c>
    </row>
    <row r="23">
      <c r="A23" s="7">
        <f>IFERROR(__xludf.DUMMYFUNCTION("""COMPUTED_VALUE"""),45324.64583333333)</f>
        <v>45324.64583</v>
      </c>
      <c r="B23" s="6">
        <f>IFERROR(__xludf.DUMMYFUNCTION("""COMPUTED_VALUE"""),422.95)</f>
        <v>422.95</v>
      </c>
      <c r="C23" s="6">
        <f>IFERROR(__xludf.DUMMYFUNCTION("""COMPUTED_VALUE"""),461.5)</f>
        <v>461.5</v>
      </c>
      <c r="D23" s="6">
        <f>IFERROR(__xludf.DUMMYFUNCTION("""COMPUTED_VALUE"""),421.6)</f>
        <v>421.6</v>
      </c>
      <c r="E23" s="6">
        <f>IFERROR(__xludf.DUMMYFUNCTION("""COMPUTED_VALUE"""),450.8)</f>
        <v>450.8</v>
      </c>
      <c r="F23" s="6">
        <f>IFERROR(__xludf.DUMMYFUNCTION("""COMPUTED_VALUE"""),9.5771104E7)</f>
        <v>95771104</v>
      </c>
    </row>
    <row r="24">
      <c r="A24" s="7">
        <f>IFERROR(__xludf.DUMMYFUNCTION("""COMPUTED_VALUE"""),45331.64583333333)</f>
        <v>45331.64583</v>
      </c>
      <c r="B24" s="6">
        <f>IFERROR(__xludf.DUMMYFUNCTION("""COMPUTED_VALUE"""),454.8)</f>
        <v>454.8</v>
      </c>
      <c r="C24" s="6">
        <f>IFERROR(__xludf.DUMMYFUNCTION("""COMPUTED_VALUE"""),477.8)</f>
        <v>477.8</v>
      </c>
      <c r="D24" s="6">
        <f>IFERROR(__xludf.DUMMYFUNCTION("""COMPUTED_VALUE"""),406.75)</f>
        <v>406.75</v>
      </c>
      <c r="E24" s="6">
        <f>IFERROR(__xludf.DUMMYFUNCTION("""COMPUTED_VALUE"""),428.85)</f>
        <v>428.85</v>
      </c>
      <c r="F24" s="6">
        <f>IFERROR(__xludf.DUMMYFUNCTION("""COMPUTED_VALUE"""),1.08697585E8)</f>
        <v>108697585</v>
      </c>
    </row>
    <row r="25">
      <c r="A25" s="7">
        <f>IFERROR(__xludf.DUMMYFUNCTION("""COMPUTED_VALUE"""),45338.64583333333)</f>
        <v>45338.64583</v>
      </c>
      <c r="B25" s="6">
        <f>IFERROR(__xludf.DUMMYFUNCTION("""COMPUTED_VALUE"""),429.0)</f>
        <v>429</v>
      </c>
      <c r="C25" s="6">
        <f>IFERROR(__xludf.DUMMYFUNCTION("""COMPUTED_VALUE"""),438.4)</f>
        <v>438.4</v>
      </c>
      <c r="D25" s="6">
        <f>IFERROR(__xludf.DUMMYFUNCTION("""COMPUTED_VALUE"""),411.05)</f>
        <v>411.05</v>
      </c>
      <c r="E25" s="6">
        <f>IFERROR(__xludf.DUMMYFUNCTION("""COMPUTED_VALUE"""),433.7)</f>
        <v>433.7</v>
      </c>
      <c r="F25" s="6">
        <f>IFERROR(__xludf.DUMMYFUNCTION("""COMPUTED_VALUE"""),7.0549212E7)</f>
        <v>70549212</v>
      </c>
    </row>
    <row r="26">
      <c r="A26" s="7">
        <f>IFERROR(__xludf.DUMMYFUNCTION("""COMPUTED_VALUE"""),45345.64583333333)</f>
        <v>45345.64583</v>
      </c>
      <c r="B26" s="6">
        <f>IFERROR(__xludf.DUMMYFUNCTION("""COMPUTED_VALUE"""),433.75)</f>
        <v>433.75</v>
      </c>
      <c r="C26" s="6">
        <f>IFERROR(__xludf.DUMMYFUNCTION("""COMPUTED_VALUE"""),442.95)</f>
        <v>442.95</v>
      </c>
      <c r="D26" s="6">
        <f>IFERROR(__xludf.DUMMYFUNCTION("""COMPUTED_VALUE"""),399.65)</f>
        <v>399.65</v>
      </c>
      <c r="E26" s="6">
        <f>IFERROR(__xludf.DUMMYFUNCTION("""COMPUTED_VALUE"""),412.9)</f>
        <v>412.9</v>
      </c>
      <c r="F26" s="6">
        <f>IFERROR(__xludf.DUMMYFUNCTION("""COMPUTED_VALUE"""),3.9253158E7)</f>
        <v>39253158</v>
      </c>
    </row>
    <row r="27">
      <c r="A27" s="7">
        <f>IFERROR(__xludf.DUMMYFUNCTION("""COMPUTED_VALUE"""),45358.64583333333)</f>
        <v>45358.64583</v>
      </c>
      <c r="B27" s="6">
        <f>IFERROR(__xludf.DUMMYFUNCTION("""COMPUTED_VALUE"""),416.95)</f>
        <v>416.95</v>
      </c>
      <c r="C27" s="6">
        <f>IFERROR(__xludf.DUMMYFUNCTION("""COMPUTED_VALUE"""),433.35)</f>
        <v>433.35</v>
      </c>
      <c r="D27" s="6">
        <f>IFERROR(__xludf.DUMMYFUNCTION("""COMPUTED_VALUE"""),410.55)</f>
        <v>410.55</v>
      </c>
      <c r="E27" s="6">
        <f>IFERROR(__xludf.DUMMYFUNCTION("""COMPUTED_VALUE"""),429.75)</f>
        <v>429.75</v>
      </c>
      <c r="F27" s="6">
        <f>IFERROR(__xludf.DUMMYFUNCTION("""COMPUTED_VALUE"""),4.9251294E7)</f>
        <v>49251294</v>
      </c>
    </row>
    <row r="28">
      <c r="A28" s="7">
        <f>IFERROR(__xludf.DUMMYFUNCTION("""COMPUTED_VALUE"""),45366.64583333333)</f>
        <v>45366.64583</v>
      </c>
      <c r="B28" s="6">
        <f>IFERROR(__xludf.DUMMYFUNCTION("""COMPUTED_VALUE"""),429.75)</f>
        <v>429.75</v>
      </c>
      <c r="C28" s="6">
        <f>IFERROR(__xludf.DUMMYFUNCTION("""COMPUTED_VALUE"""),435.05)</f>
        <v>435.05</v>
      </c>
      <c r="D28" s="6">
        <f>IFERROR(__xludf.DUMMYFUNCTION("""COMPUTED_VALUE"""),370.3)</f>
        <v>370.3</v>
      </c>
      <c r="E28" s="6">
        <f>IFERROR(__xludf.DUMMYFUNCTION("""COMPUTED_VALUE"""),381.0)</f>
        <v>381</v>
      </c>
      <c r="F28" s="6">
        <f>IFERROR(__xludf.DUMMYFUNCTION("""COMPUTED_VALUE"""),9.8964958E7)</f>
        <v>98964958</v>
      </c>
    </row>
    <row r="29">
      <c r="A29" s="7">
        <f>IFERROR(__xludf.DUMMYFUNCTION("""COMPUTED_VALUE"""),45373.64583333333)</f>
        <v>45373.64583</v>
      </c>
      <c r="B29" s="6">
        <f>IFERROR(__xludf.DUMMYFUNCTION("""COMPUTED_VALUE"""),377.05)</f>
        <v>377.05</v>
      </c>
      <c r="C29" s="6">
        <f>IFERROR(__xludf.DUMMYFUNCTION("""COMPUTED_VALUE"""),394.8)</f>
        <v>394.8</v>
      </c>
      <c r="D29" s="6">
        <f>IFERROR(__xludf.DUMMYFUNCTION("""COMPUTED_VALUE"""),351.7)</f>
        <v>351.7</v>
      </c>
      <c r="E29" s="6">
        <f>IFERROR(__xludf.DUMMYFUNCTION("""COMPUTED_VALUE"""),391.65)</f>
        <v>391.65</v>
      </c>
      <c r="F29" s="6">
        <f>IFERROR(__xludf.DUMMYFUNCTION("""COMPUTED_VALUE"""),7.5904111E7)</f>
        <v>75904111</v>
      </c>
    </row>
    <row r="30">
      <c r="A30" s="7">
        <f>IFERROR(__xludf.DUMMYFUNCTION("""COMPUTED_VALUE"""),45379.64583333333)</f>
        <v>45379.64583</v>
      </c>
      <c r="B30" s="6">
        <f>IFERROR(__xludf.DUMMYFUNCTION("""COMPUTED_VALUE"""),385.55)</f>
        <v>385.55</v>
      </c>
      <c r="C30" s="6">
        <f>IFERROR(__xludf.DUMMYFUNCTION("""COMPUTED_VALUE"""),400.15)</f>
        <v>400.15</v>
      </c>
      <c r="D30" s="6">
        <f>IFERROR(__xludf.DUMMYFUNCTION("""COMPUTED_VALUE"""),380.25)</f>
        <v>380.25</v>
      </c>
      <c r="E30" s="6">
        <f>IFERROR(__xludf.DUMMYFUNCTION("""COMPUTED_VALUE"""),390.25)</f>
        <v>390.25</v>
      </c>
      <c r="F30" s="6">
        <f>IFERROR(__xludf.DUMMYFUNCTION("""COMPUTED_VALUE"""),5.2093905E7)</f>
        <v>52093905</v>
      </c>
    </row>
    <row r="31">
      <c r="A31" s="7">
        <f>IFERROR(__xludf.DUMMYFUNCTION("""COMPUTED_VALUE"""),45387.64583333333)</f>
        <v>45387.64583</v>
      </c>
      <c r="B31" s="6">
        <f>IFERROR(__xludf.DUMMYFUNCTION("""COMPUTED_VALUE"""),395.0)</f>
        <v>395</v>
      </c>
      <c r="C31" s="6">
        <f>IFERROR(__xludf.DUMMYFUNCTION("""COMPUTED_VALUE"""),426.9)</f>
        <v>426.9</v>
      </c>
      <c r="D31" s="6">
        <f>IFERROR(__xludf.DUMMYFUNCTION("""COMPUTED_VALUE"""),393.05)</f>
        <v>393.05</v>
      </c>
      <c r="E31" s="6">
        <f>IFERROR(__xludf.DUMMYFUNCTION("""COMPUTED_VALUE"""),416.8)</f>
        <v>416.8</v>
      </c>
      <c r="F31" s="6">
        <f>IFERROR(__xludf.DUMMYFUNCTION("""COMPUTED_VALUE"""),4.938278E7)</f>
        <v>49382780</v>
      </c>
    </row>
    <row r="32">
      <c r="A32" s="7">
        <f>IFERROR(__xludf.DUMMYFUNCTION("""COMPUTED_VALUE"""),45394.64583333333)</f>
        <v>45394.64583</v>
      </c>
      <c r="B32" s="6">
        <f>IFERROR(__xludf.DUMMYFUNCTION("""COMPUTED_VALUE"""),419.0)</f>
        <v>419</v>
      </c>
      <c r="C32" s="6">
        <f>IFERROR(__xludf.DUMMYFUNCTION("""COMPUTED_VALUE"""),420.45)</f>
        <v>420.45</v>
      </c>
      <c r="D32" s="6">
        <f>IFERROR(__xludf.DUMMYFUNCTION("""COMPUTED_VALUE"""),400.35)</f>
        <v>400.35</v>
      </c>
      <c r="E32" s="6">
        <f>IFERROR(__xludf.DUMMYFUNCTION("""COMPUTED_VALUE"""),403.0)</f>
        <v>403</v>
      </c>
      <c r="F32" s="6">
        <f>IFERROR(__xludf.DUMMYFUNCTION("""COMPUTED_VALUE"""),3.227868E7)</f>
        <v>32278680</v>
      </c>
    </row>
    <row r="33">
      <c r="A33" s="7">
        <f>IFERROR(__xludf.DUMMYFUNCTION("""COMPUTED_VALUE"""),45401.64583333333)</f>
        <v>45401.64583</v>
      </c>
      <c r="B33" s="6">
        <f>IFERROR(__xludf.DUMMYFUNCTION("""COMPUTED_VALUE"""),395.0)</f>
        <v>395</v>
      </c>
      <c r="C33" s="6">
        <f>IFERROR(__xludf.DUMMYFUNCTION("""COMPUTED_VALUE"""),407.25)</f>
        <v>407.25</v>
      </c>
      <c r="D33" s="6">
        <f>IFERROR(__xludf.DUMMYFUNCTION("""COMPUTED_VALUE"""),385.0)</f>
        <v>385</v>
      </c>
      <c r="E33" s="6">
        <f>IFERROR(__xludf.DUMMYFUNCTION("""COMPUTED_VALUE"""),398.65)</f>
        <v>398.65</v>
      </c>
      <c r="F33" s="6">
        <f>IFERROR(__xludf.DUMMYFUNCTION("""COMPUTED_VALUE"""),3.4886337E7)</f>
        <v>34886337</v>
      </c>
    </row>
    <row r="34">
      <c r="A34" s="7">
        <f>IFERROR(__xludf.DUMMYFUNCTION("""COMPUTED_VALUE"""),45408.64583333333)</f>
        <v>45408.64583</v>
      </c>
      <c r="B34" s="6">
        <f>IFERROR(__xludf.DUMMYFUNCTION("""COMPUTED_VALUE"""),402.2)</f>
        <v>402.2</v>
      </c>
      <c r="C34" s="6">
        <f>IFERROR(__xludf.DUMMYFUNCTION("""COMPUTED_VALUE"""),412.0)</f>
        <v>412</v>
      </c>
      <c r="D34" s="6">
        <f>IFERROR(__xludf.DUMMYFUNCTION("""COMPUTED_VALUE"""),398.05)</f>
        <v>398.05</v>
      </c>
      <c r="E34" s="6">
        <f>IFERROR(__xludf.DUMMYFUNCTION("""COMPUTED_VALUE"""),406.15)</f>
        <v>406.15</v>
      </c>
      <c r="F34" s="6">
        <f>IFERROR(__xludf.DUMMYFUNCTION("""COMPUTED_VALUE"""),3.9323429E7)</f>
        <v>39323429</v>
      </c>
    </row>
    <row r="35">
      <c r="A35" s="7">
        <f>IFERROR(__xludf.DUMMYFUNCTION("""COMPUTED_VALUE"""),45415.64583333333)</f>
        <v>45415.64583</v>
      </c>
      <c r="B35" s="6">
        <f>IFERROR(__xludf.DUMMYFUNCTION("""COMPUTED_VALUE"""),409.8)</f>
        <v>409.8</v>
      </c>
      <c r="C35" s="6">
        <f>IFERROR(__xludf.DUMMYFUNCTION("""COMPUTED_VALUE"""),485.5)</f>
        <v>485.5</v>
      </c>
      <c r="D35" s="6">
        <f>IFERROR(__xludf.DUMMYFUNCTION("""COMPUTED_VALUE"""),406.15)</f>
        <v>406.15</v>
      </c>
      <c r="E35" s="6">
        <f>IFERROR(__xludf.DUMMYFUNCTION("""COMPUTED_VALUE"""),480.45)</f>
        <v>480.45</v>
      </c>
      <c r="F35" s="6">
        <f>IFERROR(__xludf.DUMMYFUNCTION("""COMPUTED_VALUE"""),1.47788374E8)</f>
        <v>147788374</v>
      </c>
    </row>
    <row r="36">
      <c r="A36" s="7">
        <f>IFERROR(__xludf.DUMMYFUNCTION("""COMPUTED_VALUE"""),45422.64583333333)</f>
        <v>45422.64583</v>
      </c>
      <c r="B36" s="6">
        <f>IFERROR(__xludf.DUMMYFUNCTION("""COMPUTED_VALUE"""),456.5)</f>
        <v>456.5</v>
      </c>
      <c r="C36" s="6">
        <f>IFERROR(__xludf.DUMMYFUNCTION("""COMPUTED_VALUE"""),458.85)</f>
        <v>458.85</v>
      </c>
      <c r="D36" s="6">
        <f>IFERROR(__xludf.DUMMYFUNCTION("""COMPUTED_VALUE"""),407.7)</f>
        <v>407.7</v>
      </c>
      <c r="E36" s="6">
        <f>IFERROR(__xludf.DUMMYFUNCTION("""COMPUTED_VALUE"""),417.65)</f>
        <v>417.65</v>
      </c>
      <c r="F36" s="6">
        <f>IFERROR(__xludf.DUMMYFUNCTION("""COMPUTED_VALUE"""),1.52361605E8)</f>
        <v>152361605</v>
      </c>
    </row>
    <row r="37">
      <c r="A37" s="7">
        <f>IFERROR(__xludf.DUMMYFUNCTION("""COMPUTED_VALUE"""),45436.64583333333)</f>
        <v>45436.64583</v>
      </c>
      <c r="B37" s="6">
        <f>IFERROR(__xludf.DUMMYFUNCTION("""COMPUTED_VALUE"""),465.1)</f>
        <v>465.1</v>
      </c>
      <c r="C37" s="6">
        <f>IFERROR(__xludf.DUMMYFUNCTION("""COMPUTED_VALUE"""),499.4)</f>
        <v>499.4</v>
      </c>
      <c r="D37" s="6">
        <f>IFERROR(__xludf.DUMMYFUNCTION("""COMPUTED_VALUE"""),458.0)</f>
        <v>458</v>
      </c>
      <c r="E37" s="6">
        <f>IFERROR(__xludf.DUMMYFUNCTION("""COMPUTED_VALUE"""),491.65)</f>
        <v>491.65</v>
      </c>
      <c r="F37" s="6">
        <f>IFERROR(__xludf.DUMMYFUNCTION("""COMPUTED_VALUE"""),6.5105192E7)</f>
        <v>65105192</v>
      </c>
    </row>
    <row r="38">
      <c r="A38" s="7">
        <f>IFERROR(__xludf.DUMMYFUNCTION("""COMPUTED_VALUE"""),45443.64583333333)</f>
        <v>45443.64583</v>
      </c>
      <c r="B38" s="6">
        <f>IFERROR(__xludf.DUMMYFUNCTION("""COMPUTED_VALUE"""),499.0)</f>
        <v>499</v>
      </c>
      <c r="C38" s="6">
        <f>IFERROR(__xludf.DUMMYFUNCTION("""COMPUTED_VALUE"""),524.35)</f>
        <v>524.35</v>
      </c>
      <c r="D38" s="6">
        <f>IFERROR(__xludf.DUMMYFUNCTION("""COMPUTED_VALUE"""),479.5)</f>
        <v>479.5</v>
      </c>
      <c r="E38" s="6">
        <f>IFERROR(__xludf.DUMMYFUNCTION("""COMPUTED_VALUE"""),492.45)</f>
        <v>492.45</v>
      </c>
      <c r="F38" s="6">
        <f>IFERROR(__xludf.DUMMYFUNCTION("""COMPUTED_VALUE"""),1.19353381E8)</f>
        <v>119353381</v>
      </c>
    </row>
    <row r="39">
      <c r="A39" s="7">
        <f>IFERROR(__xludf.DUMMYFUNCTION("""COMPUTED_VALUE"""),45450.64583333333)</f>
        <v>45450.64583</v>
      </c>
      <c r="B39" s="6">
        <f>IFERROR(__xludf.DUMMYFUNCTION("""COMPUTED_VALUE"""),535.9)</f>
        <v>535.9</v>
      </c>
      <c r="C39" s="6">
        <f>IFERROR(__xludf.DUMMYFUNCTION("""COMPUTED_VALUE"""),559.0)</f>
        <v>559</v>
      </c>
      <c r="D39" s="6">
        <f>IFERROR(__xludf.DUMMYFUNCTION("""COMPUTED_VALUE"""),395.2)</f>
        <v>395.2</v>
      </c>
      <c r="E39" s="6">
        <f>IFERROR(__xludf.DUMMYFUNCTION("""COMPUTED_VALUE"""),483.55)</f>
        <v>483.55</v>
      </c>
      <c r="F39" s="6">
        <f>IFERROR(__xludf.DUMMYFUNCTION("""COMPUTED_VALUE"""),2.87179304E8)</f>
        <v>287179304</v>
      </c>
    </row>
    <row r="40">
      <c r="A40" s="7">
        <f>IFERROR(__xludf.DUMMYFUNCTION("""COMPUTED_VALUE"""),45457.64583333333)</f>
        <v>45457.64583</v>
      </c>
      <c r="B40" s="6">
        <f>IFERROR(__xludf.DUMMYFUNCTION("""COMPUTED_VALUE"""),486.0)</f>
        <v>486</v>
      </c>
      <c r="C40" s="6">
        <f>IFERROR(__xludf.DUMMYFUNCTION("""COMPUTED_VALUE"""),511.85)</f>
        <v>511.85</v>
      </c>
      <c r="D40" s="6">
        <f>IFERROR(__xludf.DUMMYFUNCTION("""COMPUTED_VALUE"""),476.1)</f>
        <v>476.1</v>
      </c>
      <c r="E40" s="6">
        <f>IFERROR(__xludf.DUMMYFUNCTION("""COMPUTED_VALUE"""),510.05)</f>
        <v>510.05</v>
      </c>
      <c r="F40" s="6">
        <f>IFERROR(__xludf.DUMMYFUNCTION("""COMPUTED_VALUE"""),1.00047937E8)</f>
        <v>100047937</v>
      </c>
    </row>
    <row r="41">
      <c r="A41" s="7">
        <f>IFERROR(__xludf.DUMMYFUNCTION("""COMPUTED_VALUE"""),45464.64583333333)</f>
        <v>45464.64583</v>
      </c>
      <c r="B41" s="6">
        <f>IFERROR(__xludf.DUMMYFUNCTION("""COMPUTED_VALUE"""),512.5)</f>
        <v>512.5</v>
      </c>
      <c r="C41" s="6">
        <f>IFERROR(__xludf.DUMMYFUNCTION("""COMPUTED_VALUE"""),512.6)</f>
        <v>512.6</v>
      </c>
      <c r="D41" s="6">
        <f>IFERROR(__xludf.DUMMYFUNCTION("""COMPUTED_VALUE"""),477.8)</f>
        <v>477.8</v>
      </c>
      <c r="E41" s="6">
        <f>IFERROR(__xludf.DUMMYFUNCTION("""COMPUTED_VALUE"""),482.3)</f>
        <v>482.3</v>
      </c>
      <c r="F41" s="6">
        <f>IFERROR(__xludf.DUMMYFUNCTION("""COMPUTED_VALUE"""),6.1323178E7)</f>
        <v>61323178</v>
      </c>
    </row>
    <row r="42">
      <c r="A42" s="7">
        <f>IFERROR(__xludf.DUMMYFUNCTION("""COMPUTED_VALUE"""),45471.64583333333)</f>
        <v>45471.64583</v>
      </c>
      <c r="B42" s="6">
        <f>IFERROR(__xludf.DUMMYFUNCTION("""COMPUTED_VALUE"""),481.0)</f>
        <v>481</v>
      </c>
      <c r="C42" s="6">
        <f>IFERROR(__xludf.DUMMYFUNCTION("""COMPUTED_VALUE"""),491.75)</f>
        <v>491.75</v>
      </c>
      <c r="D42" s="6">
        <f>IFERROR(__xludf.DUMMYFUNCTION("""COMPUTED_VALUE"""),472.6)</f>
        <v>472.6</v>
      </c>
      <c r="E42" s="6">
        <f>IFERROR(__xludf.DUMMYFUNCTION("""COMPUTED_VALUE"""),485.1)</f>
        <v>485.1</v>
      </c>
      <c r="F42" s="6">
        <f>IFERROR(__xludf.DUMMYFUNCTION("""COMPUTED_VALUE"""),6.3315804E7)</f>
        <v>63315804</v>
      </c>
    </row>
    <row r="43">
      <c r="A43" s="7">
        <f>IFERROR(__xludf.DUMMYFUNCTION("""COMPUTED_VALUE"""),45478.64583333333)</f>
        <v>45478.64583</v>
      </c>
      <c r="B43" s="6">
        <f>IFERROR(__xludf.DUMMYFUNCTION("""COMPUTED_VALUE"""),493.05)</f>
        <v>493.05</v>
      </c>
      <c r="C43" s="6">
        <f>IFERROR(__xludf.DUMMYFUNCTION("""COMPUTED_VALUE"""),544.75)</f>
        <v>544.75</v>
      </c>
      <c r="D43" s="6">
        <f>IFERROR(__xludf.DUMMYFUNCTION("""COMPUTED_VALUE"""),486.55)</f>
        <v>486.55</v>
      </c>
      <c r="E43" s="6">
        <f>IFERROR(__xludf.DUMMYFUNCTION("""COMPUTED_VALUE"""),534.25)</f>
        <v>534.25</v>
      </c>
      <c r="F43" s="6">
        <f>IFERROR(__xludf.DUMMYFUNCTION("""COMPUTED_VALUE"""),1.04005963E8)</f>
        <v>104005963</v>
      </c>
    </row>
    <row r="44">
      <c r="A44" s="7">
        <f>IFERROR(__xludf.DUMMYFUNCTION("""COMPUTED_VALUE"""),45485.64583333333)</f>
        <v>45485.64583</v>
      </c>
      <c r="B44" s="6">
        <f>IFERROR(__xludf.DUMMYFUNCTION("""COMPUTED_VALUE"""),538.0)</f>
        <v>538</v>
      </c>
      <c r="C44" s="6">
        <f>IFERROR(__xludf.DUMMYFUNCTION("""COMPUTED_VALUE"""),580.0)</f>
        <v>580</v>
      </c>
      <c r="D44" s="6">
        <f>IFERROR(__xludf.DUMMYFUNCTION("""COMPUTED_VALUE"""),535.0)</f>
        <v>535</v>
      </c>
      <c r="E44" s="6">
        <f>IFERROR(__xludf.DUMMYFUNCTION("""COMPUTED_VALUE"""),555.15)</f>
        <v>555.15</v>
      </c>
      <c r="F44" s="6">
        <f>IFERROR(__xludf.DUMMYFUNCTION("""COMPUTED_VALUE"""),8.1914893E7)</f>
        <v>81914893</v>
      </c>
    </row>
    <row r="45">
      <c r="A45" s="7">
        <f>IFERROR(__xludf.DUMMYFUNCTION("""COMPUTED_VALUE"""),45492.64583333333)</f>
        <v>45492.64583</v>
      </c>
      <c r="B45" s="6">
        <f>IFERROR(__xludf.DUMMYFUNCTION("""COMPUTED_VALUE"""),560.9)</f>
        <v>560.9</v>
      </c>
      <c r="C45" s="6">
        <f>IFERROR(__xludf.DUMMYFUNCTION("""COMPUTED_VALUE"""),566.35)</f>
        <v>566.35</v>
      </c>
      <c r="D45" s="6">
        <f>IFERROR(__xludf.DUMMYFUNCTION("""COMPUTED_VALUE"""),532.0)</f>
        <v>532</v>
      </c>
      <c r="E45" s="6">
        <f>IFERROR(__xludf.DUMMYFUNCTION("""COMPUTED_VALUE"""),533.7)</f>
        <v>533.7</v>
      </c>
      <c r="F45" s="6">
        <f>IFERROR(__xludf.DUMMYFUNCTION("""COMPUTED_VALUE"""),4.2209931E7)</f>
        <v>42209931</v>
      </c>
    </row>
    <row r="46">
      <c r="A46" s="7">
        <f>IFERROR(__xludf.DUMMYFUNCTION("""COMPUTED_VALUE"""),45499.64583333333)</f>
        <v>45499.64583</v>
      </c>
      <c r="B46" s="6">
        <f>IFERROR(__xludf.DUMMYFUNCTION("""COMPUTED_VALUE"""),528.0)</f>
        <v>528</v>
      </c>
      <c r="C46" s="6">
        <f>IFERROR(__xludf.DUMMYFUNCTION("""COMPUTED_VALUE"""),551.85)</f>
        <v>551.85</v>
      </c>
      <c r="D46" s="6">
        <f>IFERROR(__xludf.DUMMYFUNCTION("""COMPUTED_VALUE"""),505.0)</f>
        <v>505</v>
      </c>
      <c r="E46" s="6">
        <f>IFERROR(__xludf.DUMMYFUNCTION("""COMPUTED_VALUE"""),538.95)</f>
        <v>538.95</v>
      </c>
      <c r="F46" s="6">
        <f>IFERROR(__xludf.DUMMYFUNCTION("""COMPUTED_VALUE"""),5.5685105E7)</f>
        <v>55685105</v>
      </c>
    </row>
    <row r="47">
      <c r="A47" s="7">
        <f>IFERROR(__xludf.DUMMYFUNCTION("""COMPUTED_VALUE"""),45506.64583333333)</f>
        <v>45506.64583</v>
      </c>
      <c r="B47" s="6">
        <f>IFERROR(__xludf.DUMMYFUNCTION("""COMPUTED_VALUE"""),539.0)</f>
        <v>539</v>
      </c>
      <c r="C47" s="6">
        <f>IFERROR(__xludf.DUMMYFUNCTION("""COMPUTED_VALUE"""),562.5)</f>
        <v>562.5</v>
      </c>
      <c r="D47" s="6">
        <f>IFERROR(__xludf.DUMMYFUNCTION("""COMPUTED_VALUE"""),525.35)</f>
        <v>525.35</v>
      </c>
      <c r="E47" s="6">
        <f>IFERROR(__xludf.DUMMYFUNCTION("""COMPUTED_VALUE"""),526.3)</f>
        <v>526.3</v>
      </c>
      <c r="F47" s="6">
        <f>IFERROR(__xludf.DUMMYFUNCTION("""COMPUTED_VALUE"""),4.966731E7)</f>
        <v>49667310</v>
      </c>
    </row>
    <row r="48">
      <c r="A48" s="7">
        <f>IFERROR(__xludf.DUMMYFUNCTION("""COMPUTED_VALUE"""),45513.64583333333)</f>
        <v>45513.64583</v>
      </c>
      <c r="B48" s="6">
        <f>IFERROR(__xludf.DUMMYFUNCTION("""COMPUTED_VALUE"""),505.1)</f>
        <v>505.1</v>
      </c>
      <c r="C48" s="6">
        <f>IFERROR(__xludf.DUMMYFUNCTION("""COMPUTED_VALUE"""),527.6)</f>
        <v>527.6</v>
      </c>
      <c r="D48" s="6">
        <f>IFERROR(__xludf.DUMMYFUNCTION("""COMPUTED_VALUE"""),471.35)</f>
        <v>471.35</v>
      </c>
      <c r="E48" s="6">
        <f>IFERROR(__xludf.DUMMYFUNCTION("""COMPUTED_VALUE"""),500.65)</f>
        <v>500.65</v>
      </c>
      <c r="F48" s="6">
        <f>IFERROR(__xludf.DUMMYFUNCTION("""COMPUTED_VALUE"""),9.961229E7)</f>
        <v>99612290</v>
      </c>
    </row>
    <row r="49">
      <c r="A49" s="7">
        <f>IFERROR(__xludf.DUMMYFUNCTION("""COMPUTED_VALUE"""),45520.64583333333)</f>
        <v>45520.64583</v>
      </c>
      <c r="B49" s="6">
        <f>IFERROR(__xludf.DUMMYFUNCTION("""COMPUTED_VALUE"""),499.9)</f>
        <v>499.9</v>
      </c>
      <c r="C49" s="6">
        <f>IFERROR(__xludf.DUMMYFUNCTION("""COMPUTED_VALUE"""),505.15)</f>
        <v>505.15</v>
      </c>
      <c r="D49" s="6">
        <f>IFERROR(__xludf.DUMMYFUNCTION("""COMPUTED_VALUE"""),478.85)</f>
        <v>478.85</v>
      </c>
      <c r="E49" s="6">
        <f>IFERROR(__xludf.DUMMYFUNCTION("""COMPUTED_VALUE"""),504.25)</f>
        <v>504.25</v>
      </c>
      <c r="F49" s="6">
        <f>IFERROR(__xludf.DUMMYFUNCTION("""COMPUTED_VALUE"""),3.4245441E7)</f>
        <v>34245441</v>
      </c>
    </row>
    <row r="50">
      <c r="A50" s="7">
        <f>IFERROR(__xludf.DUMMYFUNCTION("""COMPUTED_VALUE"""),45527.64583333333)</f>
        <v>45527.64583</v>
      </c>
      <c r="B50" s="6">
        <f>IFERROR(__xludf.DUMMYFUNCTION("""COMPUTED_VALUE"""),507.0)</f>
        <v>507</v>
      </c>
      <c r="C50" s="6">
        <f>IFERROR(__xludf.DUMMYFUNCTION("""COMPUTED_VALUE"""),524.3)</f>
        <v>524.3</v>
      </c>
      <c r="D50" s="6">
        <f>IFERROR(__xludf.DUMMYFUNCTION("""COMPUTED_VALUE"""),503.15)</f>
        <v>503.15</v>
      </c>
      <c r="E50" s="6">
        <f>IFERROR(__xludf.DUMMYFUNCTION("""COMPUTED_VALUE"""),514.8)</f>
        <v>514.8</v>
      </c>
      <c r="F50" s="6">
        <f>IFERROR(__xludf.DUMMYFUNCTION("""COMPUTED_VALUE"""),3.5666348E7)</f>
        <v>35666348</v>
      </c>
    </row>
    <row r="51">
      <c r="A51" s="7">
        <f>IFERROR(__xludf.DUMMYFUNCTION("""COMPUTED_VALUE"""),45534.64583333333)</f>
        <v>45534.64583</v>
      </c>
      <c r="B51" s="6">
        <f>IFERROR(__xludf.DUMMYFUNCTION("""COMPUTED_VALUE"""),520.15)</f>
        <v>520.15</v>
      </c>
      <c r="C51" s="6">
        <f>IFERROR(__xludf.DUMMYFUNCTION("""COMPUTED_VALUE"""),560.0)</f>
        <v>560</v>
      </c>
      <c r="D51" s="6">
        <f>IFERROR(__xludf.DUMMYFUNCTION("""COMPUTED_VALUE"""),511.5)</f>
        <v>511.5</v>
      </c>
      <c r="E51" s="6">
        <f>IFERROR(__xludf.DUMMYFUNCTION("""COMPUTED_VALUE"""),549.55)</f>
        <v>549.55</v>
      </c>
      <c r="F51" s="6">
        <f>IFERROR(__xludf.DUMMYFUNCTION("""COMPUTED_VALUE"""),6.4801409E7)</f>
        <v>64801409</v>
      </c>
    </row>
    <row r="52">
      <c r="A52" s="7">
        <f>IFERROR(__xludf.DUMMYFUNCTION("""COMPUTED_VALUE"""),45541.64583333333)</f>
        <v>45541.64583</v>
      </c>
      <c r="B52" s="6">
        <f>IFERROR(__xludf.DUMMYFUNCTION("""COMPUTED_VALUE"""),552.6)</f>
        <v>552.6</v>
      </c>
      <c r="C52" s="6">
        <f>IFERROR(__xludf.DUMMYFUNCTION("""COMPUTED_VALUE"""),566.4)</f>
        <v>566.4</v>
      </c>
      <c r="D52" s="6">
        <f>IFERROR(__xludf.DUMMYFUNCTION("""COMPUTED_VALUE"""),540.1)</f>
        <v>540.1</v>
      </c>
      <c r="E52" s="6">
        <f>IFERROR(__xludf.DUMMYFUNCTION("""COMPUTED_VALUE"""),545.3)</f>
        <v>545.3</v>
      </c>
      <c r="F52" s="6">
        <f>IFERROR(__xludf.DUMMYFUNCTION("""COMPUTED_VALUE"""),4.0026401E7)</f>
        <v>40026401</v>
      </c>
    </row>
    <row r="53">
      <c r="A53" s="7">
        <f>IFERROR(__xludf.DUMMYFUNCTION("""COMPUTED_VALUE"""),45548.64583333333)</f>
        <v>45548.64583</v>
      </c>
      <c r="B53" s="6">
        <f>IFERROR(__xludf.DUMMYFUNCTION("""COMPUTED_VALUE"""),541.0)</f>
        <v>541</v>
      </c>
      <c r="C53" s="6">
        <f>IFERROR(__xludf.DUMMYFUNCTION("""COMPUTED_VALUE"""),544.45)</f>
        <v>544.45</v>
      </c>
      <c r="D53" s="6">
        <f>IFERROR(__xludf.DUMMYFUNCTION("""COMPUTED_VALUE"""),494.0)</f>
        <v>494</v>
      </c>
      <c r="E53" s="6">
        <f>IFERROR(__xludf.DUMMYFUNCTION("""COMPUTED_VALUE"""),499.5)</f>
        <v>499.5</v>
      </c>
      <c r="F53" s="6">
        <f>IFERROR(__xludf.DUMMYFUNCTION("""COMPUTED_VALUE"""),6.2721843E7)</f>
        <v>62721843</v>
      </c>
    </row>
    <row r="54">
      <c r="A54" s="7">
        <f>IFERROR(__xludf.DUMMYFUNCTION("""COMPUTED_VALUE"""),45555.64583333333)</f>
        <v>45555.64583</v>
      </c>
      <c r="B54" s="6">
        <f>IFERROR(__xludf.DUMMYFUNCTION("""COMPUTED_VALUE"""),503.0)</f>
        <v>503</v>
      </c>
      <c r="C54" s="6">
        <f>IFERROR(__xludf.DUMMYFUNCTION("""COMPUTED_VALUE"""),503.2)</f>
        <v>503.2</v>
      </c>
      <c r="D54" s="6">
        <f>IFERROR(__xludf.DUMMYFUNCTION("""COMPUTED_VALUE"""),462.7)</f>
        <v>462.7</v>
      </c>
      <c r="E54" s="6">
        <f>IFERROR(__xludf.DUMMYFUNCTION("""COMPUTED_VALUE"""),481.9)</f>
        <v>481.9</v>
      </c>
      <c r="F54" s="6">
        <f>IFERROR(__xludf.DUMMYFUNCTION("""COMPUTED_VALUE"""),6.7029704E7)</f>
        <v>67029704</v>
      </c>
    </row>
    <row r="55">
      <c r="A55" s="7">
        <f>IFERROR(__xludf.DUMMYFUNCTION("""COMPUTED_VALUE"""),45562.64583333333)</f>
        <v>45562.64583</v>
      </c>
      <c r="B55" s="6">
        <f>IFERROR(__xludf.DUMMYFUNCTION("""COMPUTED_VALUE"""),485.0)</f>
        <v>485</v>
      </c>
      <c r="C55" s="6">
        <f>IFERROR(__xludf.DUMMYFUNCTION("""COMPUTED_VALUE"""),495.95)</f>
        <v>495.95</v>
      </c>
      <c r="D55" s="6">
        <f>IFERROR(__xludf.DUMMYFUNCTION("""COMPUTED_VALUE"""),475.15)</f>
        <v>475.15</v>
      </c>
      <c r="E55" s="6">
        <f>IFERROR(__xludf.DUMMYFUNCTION("""COMPUTED_VALUE"""),493.85)</f>
        <v>493.85</v>
      </c>
      <c r="F55" s="6">
        <f>IFERROR(__xludf.DUMMYFUNCTION("""COMPUTED_VALUE"""),4.4221735E7)</f>
        <v>44221735</v>
      </c>
    </row>
    <row r="56">
      <c r="A56" s="7">
        <f>IFERROR(__xludf.DUMMYFUNCTION("""COMPUTED_VALUE"""),45569.64583333333)</f>
        <v>45569.64583</v>
      </c>
      <c r="B56" s="6">
        <f>IFERROR(__xludf.DUMMYFUNCTION("""COMPUTED_VALUE"""),492.0)</f>
        <v>492</v>
      </c>
      <c r="C56" s="6">
        <f>IFERROR(__xludf.DUMMYFUNCTION("""COMPUTED_VALUE"""),505.05)</f>
        <v>505.05</v>
      </c>
      <c r="D56" s="6">
        <f>IFERROR(__xludf.DUMMYFUNCTION("""COMPUTED_VALUE"""),457.65)</f>
        <v>457.65</v>
      </c>
      <c r="E56" s="6">
        <f>IFERROR(__xludf.DUMMYFUNCTION("""COMPUTED_VALUE"""),463.35)</f>
        <v>463.35</v>
      </c>
      <c r="F56" s="6">
        <f>IFERROR(__xludf.DUMMYFUNCTION("""COMPUTED_VALUE"""),5.1539562E7)</f>
        <v>51539562</v>
      </c>
    </row>
    <row r="57">
      <c r="A57" s="7">
        <f>IFERROR(__xludf.DUMMYFUNCTION("""COMPUTED_VALUE"""),45576.64583333333)</f>
        <v>45576.64583</v>
      </c>
      <c r="B57" s="6">
        <f>IFERROR(__xludf.DUMMYFUNCTION("""COMPUTED_VALUE"""),467.0)</f>
        <v>467</v>
      </c>
      <c r="C57" s="6">
        <f>IFERROR(__xludf.DUMMYFUNCTION("""COMPUTED_VALUE"""),481.35)</f>
        <v>481.35</v>
      </c>
      <c r="D57" s="6">
        <f>IFERROR(__xludf.DUMMYFUNCTION("""COMPUTED_VALUE"""),432.4)</f>
        <v>432.4</v>
      </c>
      <c r="E57" s="6">
        <f>IFERROR(__xludf.DUMMYFUNCTION("""COMPUTED_VALUE"""),467.85)</f>
        <v>467.85</v>
      </c>
      <c r="F57" s="6">
        <f>IFERROR(__xludf.DUMMYFUNCTION("""COMPUTED_VALUE"""),5.6801071E7)</f>
        <v>56801071</v>
      </c>
    </row>
    <row r="58">
      <c r="A58" s="7">
        <f>IFERROR(__xludf.DUMMYFUNCTION("""COMPUTED_VALUE"""),45583.64583333333)</f>
        <v>45583.64583</v>
      </c>
      <c r="B58" s="6">
        <f>IFERROR(__xludf.DUMMYFUNCTION("""COMPUTED_VALUE"""),469.95)</f>
        <v>469.95</v>
      </c>
      <c r="C58" s="6">
        <f>IFERROR(__xludf.DUMMYFUNCTION("""COMPUTED_VALUE"""),483.2)</f>
        <v>483.2</v>
      </c>
      <c r="D58" s="6">
        <f>IFERROR(__xludf.DUMMYFUNCTION("""COMPUTED_VALUE"""),457.3)</f>
        <v>457.3</v>
      </c>
      <c r="E58" s="6">
        <f>IFERROR(__xludf.DUMMYFUNCTION("""COMPUTED_VALUE"""),472.7)</f>
        <v>472.7</v>
      </c>
      <c r="F58" s="6">
        <f>IFERROR(__xludf.DUMMYFUNCTION("""COMPUTED_VALUE"""),3.0819258E7)</f>
        <v>30819258</v>
      </c>
    </row>
    <row r="59">
      <c r="A59" s="7">
        <f>IFERROR(__xludf.DUMMYFUNCTION("""COMPUTED_VALUE"""),45590.64583333333)</f>
        <v>45590.64583</v>
      </c>
      <c r="B59" s="6">
        <f>IFERROR(__xludf.DUMMYFUNCTION("""COMPUTED_VALUE"""),473.5)</f>
        <v>473.5</v>
      </c>
      <c r="C59" s="6">
        <f>IFERROR(__xludf.DUMMYFUNCTION("""COMPUTED_VALUE"""),474.45)</f>
        <v>474.45</v>
      </c>
      <c r="D59" s="6">
        <f>IFERROR(__xludf.DUMMYFUNCTION("""COMPUTED_VALUE"""),426.55)</f>
        <v>426.55</v>
      </c>
      <c r="E59" s="6">
        <f>IFERROR(__xludf.DUMMYFUNCTION("""COMPUTED_VALUE"""),438.1)</f>
        <v>438.1</v>
      </c>
      <c r="F59" s="6">
        <f>IFERROR(__xludf.DUMMYFUNCTION("""COMPUTED_VALUE"""),4.3580993E7)</f>
        <v>43580993</v>
      </c>
    </row>
    <row r="60">
      <c r="A60" s="7">
        <f>IFERROR(__xludf.DUMMYFUNCTION("""COMPUTED_VALUE"""),45604.64583333333)</f>
        <v>45604.64583</v>
      </c>
      <c r="B60" s="6">
        <f>IFERROR(__xludf.DUMMYFUNCTION("""COMPUTED_VALUE"""),463.0)</f>
        <v>463</v>
      </c>
      <c r="C60" s="6">
        <f>IFERROR(__xludf.DUMMYFUNCTION("""COMPUTED_VALUE"""),469.4)</f>
        <v>469.4</v>
      </c>
      <c r="D60" s="6">
        <f>IFERROR(__xludf.DUMMYFUNCTION("""COMPUTED_VALUE"""),436.65)</f>
        <v>436.65</v>
      </c>
      <c r="E60" s="6">
        <f>IFERROR(__xludf.DUMMYFUNCTION("""COMPUTED_VALUE"""),449.4)</f>
        <v>449.4</v>
      </c>
      <c r="F60" s="6">
        <f>IFERROR(__xludf.DUMMYFUNCTION("""COMPUTED_VALUE"""),3.7311921E7)</f>
        <v>37311921</v>
      </c>
    </row>
    <row r="61">
      <c r="A61" s="7">
        <f>IFERROR(__xludf.DUMMYFUNCTION("""COMPUTED_VALUE"""),45610.64583333333)</f>
        <v>45610.64583</v>
      </c>
      <c r="B61" s="6">
        <f>IFERROR(__xludf.DUMMYFUNCTION("""COMPUTED_VALUE"""),454.25)</f>
        <v>454.25</v>
      </c>
      <c r="C61" s="6">
        <f>IFERROR(__xludf.DUMMYFUNCTION("""COMPUTED_VALUE"""),489.4)</f>
        <v>489.4</v>
      </c>
      <c r="D61" s="6">
        <f>IFERROR(__xludf.DUMMYFUNCTION("""COMPUTED_VALUE"""),451.8)</f>
        <v>451.8</v>
      </c>
      <c r="E61" s="6">
        <f>IFERROR(__xludf.DUMMYFUNCTION("""COMPUTED_VALUE"""),454.7)</f>
        <v>454.7</v>
      </c>
      <c r="F61" s="6">
        <f>IFERROR(__xludf.DUMMYFUNCTION("""COMPUTED_VALUE"""),6.2508087E7)</f>
        <v>62508087</v>
      </c>
    </row>
    <row r="62">
      <c r="A62" s="7">
        <f>IFERROR(__xludf.DUMMYFUNCTION("""COMPUTED_VALUE"""),45618.64583333333)</f>
        <v>45618.64583</v>
      </c>
      <c r="B62" s="6">
        <f>IFERROR(__xludf.DUMMYFUNCTION("""COMPUTED_VALUE"""),461.95)</f>
        <v>461.95</v>
      </c>
      <c r="C62" s="6">
        <f>IFERROR(__xludf.DUMMYFUNCTION("""COMPUTED_VALUE"""),479.5)</f>
        <v>479.5</v>
      </c>
      <c r="D62" s="6">
        <f>IFERROR(__xludf.DUMMYFUNCTION("""COMPUTED_VALUE"""),432.8)</f>
        <v>432.8</v>
      </c>
      <c r="E62" s="6">
        <f>IFERROR(__xludf.DUMMYFUNCTION("""COMPUTED_VALUE"""),477.95)</f>
        <v>477.95</v>
      </c>
      <c r="F62" s="6">
        <f>IFERROR(__xludf.DUMMYFUNCTION("""COMPUTED_VALUE"""),7.2364638E7)</f>
        <v>72364638</v>
      </c>
    </row>
    <row r="63">
      <c r="A63" s="7">
        <f>IFERROR(__xludf.DUMMYFUNCTION("""COMPUTED_VALUE"""),45625.64583333333)</f>
        <v>45625.64583</v>
      </c>
      <c r="B63" s="6">
        <f>IFERROR(__xludf.DUMMYFUNCTION("""COMPUTED_VALUE"""),490.0)</f>
        <v>490</v>
      </c>
      <c r="C63" s="6">
        <f>IFERROR(__xludf.DUMMYFUNCTION("""COMPUTED_VALUE"""),505.35)</f>
        <v>505.35</v>
      </c>
      <c r="D63" s="6">
        <f>IFERROR(__xludf.DUMMYFUNCTION("""COMPUTED_VALUE"""),480.0)</f>
        <v>480</v>
      </c>
      <c r="E63" s="6">
        <f>IFERROR(__xludf.DUMMYFUNCTION("""COMPUTED_VALUE"""),495.3)</f>
        <v>495.3</v>
      </c>
      <c r="F63" s="6">
        <f>IFERROR(__xludf.DUMMYFUNCTION("""COMPUTED_VALUE"""),5.4273529E7)</f>
        <v>54273529</v>
      </c>
    </row>
    <row r="64">
      <c r="A64" s="7">
        <f>IFERROR(__xludf.DUMMYFUNCTION("""COMPUTED_VALUE"""),45632.64583333333)</f>
        <v>45632.64583</v>
      </c>
      <c r="B64" s="6">
        <f>IFERROR(__xludf.DUMMYFUNCTION("""COMPUTED_VALUE"""),494.0)</f>
        <v>494</v>
      </c>
      <c r="C64" s="6">
        <f>IFERROR(__xludf.DUMMYFUNCTION("""COMPUTED_VALUE"""),523.9)</f>
        <v>523.9</v>
      </c>
      <c r="D64" s="6">
        <f>IFERROR(__xludf.DUMMYFUNCTION("""COMPUTED_VALUE"""),490.0)</f>
        <v>490</v>
      </c>
      <c r="E64" s="6">
        <f>IFERROR(__xludf.DUMMYFUNCTION("""COMPUTED_VALUE"""),513.75)</f>
        <v>513.75</v>
      </c>
      <c r="F64" s="6">
        <f>IFERROR(__xludf.DUMMYFUNCTION("""COMPUTED_VALUE"""),3.9280064E7)</f>
        <v>39280064</v>
      </c>
    </row>
    <row r="65">
      <c r="A65" s="7">
        <f>IFERROR(__xludf.DUMMYFUNCTION("""COMPUTED_VALUE"""),45639.64583333333)</f>
        <v>45639.64583</v>
      </c>
      <c r="B65" s="6">
        <f>IFERROR(__xludf.DUMMYFUNCTION("""COMPUTED_VALUE"""),515.0)</f>
        <v>515</v>
      </c>
      <c r="C65" s="6">
        <f>IFERROR(__xludf.DUMMYFUNCTION("""COMPUTED_VALUE"""),521.95)</f>
        <v>521.95</v>
      </c>
      <c r="D65" s="6">
        <f>IFERROR(__xludf.DUMMYFUNCTION("""COMPUTED_VALUE"""),490.5)</f>
        <v>490.5</v>
      </c>
      <c r="E65" s="6">
        <f>IFERROR(__xludf.DUMMYFUNCTION("""COMPUTED_VALUE"""),504.25)</f>
        <v>504.25</v>
      </c>
      <c r="F65" s="6">
        <f>IFERROR(__xludf.DUMMYFUNCTION("""COMPUTED_VALUE"""),2.8377351E7)</f>
        <v>28377351</v>
      </c>
    </row>
    <row r="66">
      <c r="A66" s="7">
        <f>IFERROR(__xludf.DUMMYFUNCTION("""COMPUTED_VALUE"""),45646.64583333333)</f>
        <v>45646.64583</v>
      </c>
      <c r="B66" s="6">
        <f>IFERROR(__xludf.DUMMYFUNCTION("""COMPUTED_VALUE"""),505.8)</f>
        <v>505.8</v>
      </c>
      <c r="C66" s="6">
        <f>IFERROR(__xludf.DUMMYFUNCTION("""COMPUTED_VALUE"""),513.3)</f>
        <v>513.3</v>
      </c>
      <c r="D66" s="6">
        <f>IFERROR(__xludf.DUMMYFUNCTION("""COMPUTED_VALUE"""),451.0)</f>
        <v>451</v>
      </c>
      <c r="E66" s="6">
        <f>IFERROR(__xludf.DUMMYFUNCTION("""COMPUTED_VALUE"""),453.3)</f>
        <v>453.3</v>
      </c>
      <c r="F66" s="6">
        <f>IFERROR(__xludf.DUMMYFUNCTION("""COMPUTED_VALUE"""),4.1461447E7)</f>
        <v>41461447</v>
      </c>
    </row>
    <row r="67">
      <c r="A67" s="7">
        <f>IFERROR(__xludf.DUMMYFUNCTION("""COMPUTED_VALUE"""),45653.64583333333)</f>
        <v>45653.64583</v>
      </c>
      <c r="B67" s="6">
        <f>IFERROR(__xludf.DUMMYFUNCTION("""COMPUTED_VALUE"""),459.95)</f>
        <v>459.95</v>
      </c>
      <c r="C67" s="6">
        <f>IFERROR(__xludf.DUMMYFUNCTION("""COMPUTED_VALUE"""),466.75)</f>
        <v>466.75</v>
      </c>
      <c r="D67" s="6">
        <f>IFERROR(__xludf.DUMMYFUNCTION("""COMPUTED_VALUE"""),440.0)</f>
        <v>440</v>
      </c>
      <c r="E67" s="6">
        <f>IFERROR(__xludf.DUMMYFUNCTION("""COMPUTED_VALUE"""),452.05)</f>
        <v>452.05</v>
      </c>
      <c r="F67" s="6">
        <f>IFERROR(__xludf.DUMMYFUNCTION("""COMPUTED_VALUE"""),1.8257471E7)</f>
        <v>18257471</v>
      </c>
    </row>
    <row r="68">
      <c r="A68" s="7">
        <f>IFERROR(__xludf.DUMMYFUNCTION("""COMPUTED_VALUE"""),45660.64583333333)</f>
        <v>45660.64583</v>
      </c>
      <c r="B68" s="6">
        <f>IFERROR(__xludf.DUMMYFUNCTION("""COMPUTED_VALUE"""),453.95)</f>
        <v>453.95</v>
      </c>
      <c r="C68" s="6">
        <f>IFERROR(__xludf.DUMMYFUNCTION("""COMPUTED_VALUE"""),474.85)</f>
        <v>474.85</v>
      </c>
      <c r="D68" s="6">
        <f>IFERROR(__xludf.DUMMYFUNCTION("""COMPUTED_VALUE"""),436.0)</f>
        <v>436</v>
      </c>
      <c r="E68" s="6">
        <f>IFERROR(__xludf.DUMMYFUNCTION("""COMPUTED_VALUE"""),464.8)</f>
        <v>464.8</v>
      </c>
      <c r="F68" s="6">
        <f>IFERROR(__xludf.DUMMYFUNCTION("""COMPUTED_VALUE"""),6.1050829E7)</f>
        <v>61050829</v>
      </c>
    </row>
    <row r="69">
      <c r="A69" s="7">
        <f>IFERROR(__xludf.DUMMYFUNCTION("""COMPUTED_VALUE"""),45667.64583333333)</f>
        <v>45667.64583</v>
      </c>
      <c r="B69" s="6">
        <f>IFERROR(__xludf.DUMMYFUNCTION("""COMPUTED_VALUE"""),468.3)</f>
        <v>468.3</v>
      </c>
      <c r="C69" s="6">
        <f>IFERROR(__xludf.DUMMYFUNCTION("""COMPUTED_VALUE"""),468.3)</f>
        <v>468.3</v>
      </c>
      <c r="D69" s="6">
        <f>IFERROR(__xludf.DUMMYFUNCTION("""COMPUTED_VALUE"""),401.4)</f>
        <v>401.4</v>
      </c>
      <c r="E69" s="6">
        <f>IFERROR(__xludf.DUMMYFUNCTION("""COMPUTED_VALUE"""),404.2)</f>
        <v>404.2</v>
      </c>
      <c r="F69" s="6">
        <f>IFERROR(__xludf.DUMMYFUNCTION("""COMPUTED_VALUE"""),3.5052601E7)</f>
        <v>35052601</v>
      </c>
    </row>
    <row r="70">
      <c r="A70" s="7">
        <f>IFERROR(__xludf.DUMMYFUNCTION("""COMPUTED_VALUE"""),45674.64583333333)</f>
        <v>45674.64583</v>
      </c>
      <c r="B70" s="6">
        <f>IFERROR(__xludf.DUMMYFUNCTION("""COMPUTED_VALUE"""),397.1)</f>
        <v>397.1</v>
      </c>
      <c r="C70" s="6">
        <f>IFERROR(__xludf.DUMMYFUNCTION("""COMPUTED_VALUE"""),440.75)</f>
        <v>440.75</v>
      </c>
      <c r="D70" s="6">
        <f>IFERROR(__xludf.DUMMYFUNCTION("""COMPUTED_VALUE"""),387.0)</f>
        <v>387</v>
      </c>
      <c r="E70" s="6">
        <f>IFERROR(__xludf.DUMMYFUNCTION("""COMPUTED_VALUE"""),433.45)</f>
        <v>433.45</v>
      </c>
      <c r="F70" s="6">
        <f>IFERROR(__xludf.DUMMYFUNCTION("""COMPUTED_VALUE"""),5.6278929E7)</f>
        <v>56278929</v>
      </c>
    </row>
    <row r="71">
      <c r="A71" s="7">
        <f>IFERROR(__xludf.DUMMYFUNCTION("""COMPUTED_VALUE"""),45681.64583333333)</f>
        <v>45681.64583</v>
      </c>
      <c r="B71" s="6">
        <f>IFERROR(__xludf.DUMMYFUNCTION("""COMPUTED_VALUE"""),436.9)</f>
        <v>436.9</v>
      </c>
      <c r="C71" s="6">
        <f>IFERROR(__xludf.DUMMYFUNCTION("""COMPUTED_VALUE"""),442.0)</f>
        <v>442</v>
      </c>
      <c r="D71" s="6">
        <f>IFERROR(__xludf.DUMMYFUNCTION("""COMPUTED_VALUE"""),407.1)</f>
        <v>407.1</v>
      </c>
      <c r="E71" s="6">
        <f>IFERROR(__xludf.DUMMYFUNCTION("""COMPUTED_VALUE"""),408.4)</f>
        <v>408.4</v>
      </c>
      <c r="F71" s="6">
        <f>IFERROR(__xludf.DUMMYFUNCTION("""COMPUTED_VALUE"""),2.9079781E7)</f>
        <v>29079781</v>
      </c>
    </row>
    <row r="72">
      <c r="A72" s="7">
        <f>IFERROR(__xludf.DUMMYFUNCTION("""COMPUTED_VALUE"""),45695.64583333333)</f>
        <v>45695.64583</v>
      </c>
      <c r="B72" s="6">
        <f>IFERROR(__xludf.DUMMYFUNCTION("""COMPUTED_VALUE"""),400.0)</f>
        <v>400</v>
      </c>
      <c r="C72" s="6">
        <f>IFERROR(__xludf.DUMMYFUNCTION("""COMPUTED_VALUE"""),419.8)</f>
        <v>419.8</v>
      </c>
      <c r="D72" s="6">
        <f>IFERROR(__xludf.DUMMYFUNCTION("""COMPUTED_VALUE"""),378.2)</f>
        <v>378.2</v>
      </c>
      <c r="E72" s="6">
        <f>IFERROR(__xludf.DUMMYFUNCTION("""COMPUTED_VALUE"""),409.65)</f>
        <v>409.65</v>
      </c>
      <c r="F72" s="6">
        <f>IFERROR(__xludf.DUMMYFUNCTION("""COMPUTED_VALUE"""),5.689984E7)</f>
        <v>56899840</v>
      </c>
    </row>
    <row r="73">
      <c r="A73" s="7">
        <f>IFERROR(__xludf.DUMMYFUNCTION("""COMPUTED_VALUE"""),45702.64583333333)</f>
        <v>45702.64583</v>
      </c>
      <c r="B73" s="6">
        <f>IFERROR(__xludf.DUMMYFUNCTION("""COMPUTED_VALUE"""),408.65)</f>
        <v>408.65</v>
      </c>
      <c r="C73" s="6">
        <f>IFERROR(__xludf.DUMMYFUNCTION("""COMPUTED_VALUE"""),412.1)</f>
        <v>412.1</v>
      </c>
      <c r="D73" s="6">
        <f>IFERROR(__xludf.DUMMYFUNCTION("""COMPUTED_VALUE"""),362.25)</f>
        <v>362.25</v>
      </c>
      <c r="E73" s="6">
        <f>IFERROR(__xludf.DUMMYFUNCTION("""COMPUTED_VALUE"""),371.3)</f>
        <v>371.3</v>
      </c>
      <c r="F73" s="6">
        <f>IFERROR(__xludf.DUMMYFUNCTION("""COMPUTED_VALUE"""),6.4353475E7)</f>
        <v>64353475</v>
      </c>
    </row>
    <row r="74">
      <c r="A74" s="7">
        <f>IFERROR(__xludf.DUMMYFUNCTION("""COMPUTED_VALUE"""),45709.64583333333)</f>
        <v>45709.64583</v>
      </c>
      <c r="B74" s="6">
        <f>IFERROR(__xludf.DUMMYFUNCTION("""COMPUTED_VALUE"""),370.9)</f>
        <v>370.9</v>
      </c>
      <c r="C74" s="6">
        <f>IFERROR(__xludf.DUMMYFUNCTION("""COMPUTED_VALUE"""),396.95)</f>
        <v>396.95</v>
      </c>
      <c r="D74" s="6">
        <f>IFERROR(__xludf.DUMMYFUNCTION("""COMPUTED_VALUE"""),357.25)</f>
        <v>357.25</v>
      </c>
      <c r="E74" s="6">
        <f>IFERROR(__xludf.DUMMYFUNCTION("""COMPUTED_VALUE"""),389.7)</f>
        <v>389.7</v>
      </c>
      <c r="F74" s="6">
        <f>IFERROR(__xludf.DUMMYFUNCTION("""COMPUTED_VALUE"""),4.4517701E7)</f>
        <v>44517701</v>
      </c>
    </row>
    <row r="75">
      <c r="A75" s="7">
        <f>IFERROR(__xludf.DUMMYFUNCTION("""COMPUTED_VALUE"""),45716.64583333333)</f>
        <v>45716.64583</v>
      </c>
      <c r="B75" s="6">
        <f>IFERROR(__xludf.DUMMYFUNCTION("""COMPUTED_VALUE"""),383.5)</f>
        <v>383.5</v>
      </c>
      <c r="C75" s="6">
        <f>IFERROR(__xludf.DUMMYFUNCTION("""COMPUTED_VALUE"""),387.6)</f>
        <v>387.6</v>
      </c>
      <c r="D75" s="6">
        <f>IFERROR(__xludf.DUMMYFUNCTION("""COMPUTED_VALUE"""),360.65)</f>
        <v>360.65</v>
      </c>
      <c r="E75" s="6">
        <f>IFERROR(__xludf.DUMMYFUNCTION("""COMPUTED_VALUE"""),364.3)</f>
        <v>364.3</v>
      </c>
      <c r="F75" s="6">
        <f>IFERROR(__xludf.DUMMYFUNCTION("""COMPUTED_VALUE"""),4.7584258E7)</f>
        <v>47584258</v>
      </c>
    </row>
    <row r="76">
      <c r="A76" s="7">
        <f>IFERROR(__xludf.DUMMYFUNCTION("""COMPUTED_VALUE"""),45723.64583333333)</f>
        <v>45723.64583</v>
      </c>
      <c r="B76" s="6">
        <f>IFERROR(__xludf.DUMMYFUNCTION("""COMPUTED_VALUE"""),367.6)</f>
        <v>367.6</v>
      </c>
      <c r="C76" s="6">
        <f>IFERROR(__xludf.DUMMYFUNCTION("""COMPUTED_VALUE"""),408.8)</f>
        <v>408.8</v>
      </c>
      <c r="D76" s="6">
        <f>IFERROR(__xludf.DUMMYFUNCTION("""COMPUTED_VALUE"""),363.5)</f>
        <v>363.5</v>
      </c>
      <c r="E76" s="6">
        <f>IFERROR(__xludf.DUMMYFUNCTION("""COMPUTED_VALUE"""),401.1)</f>
        <v>401.1</v>
      </c>
      <c r="F76" s="6">
        <f>IFERROR(__xludf.DUMMYFUNCTION("""COMPUTED_VALUE"""),4.7647813E7)</f>
        <v>47647813</v>
      </c>
    </row>
    <row r="77">
      <c r="A77" s="7">
        <f>IFERROR(__xludf.DUMMYFUNCTION("""COMPUTED_VALUE"""),45729.64583333333)</f>
        <v>45729.64583</v>
      </c>
      <c r="B77" s="6">
        <f>IFERROR(__xludf.DUMMYFUNCTION("""COMPUTED_VALUE"""),400.5)</f>
        <v>400.5</v>
      </c>
      <c r="C77" s="6">
        <f>IFERROR(__xludf.DUMMYFUNCTION("""COMPUTED_VALUE"""),407.0)</f>
        <v>407</v>
      </c>
      <c r="D77" s="6">
        <f>IFERROR(__xludf.DUMMYFUNCTION("""COMPUTED_VALUE"""),384.7)</f>
        <v>384.7</v>
      </c>
      <c r="E77" s="6">
        <f>IFERROR(__xludf.DUMMYFUNCTION("""COMPUTED_VALUE"""),388.35)</f>
        <v>388.35</v>
      </c>
      <c r="F77" s="6">
        <f>IFERROR(__xludf.DUMMYFUNCTION("""COMPUTED_VALUE"""),2.7106676E7)</f>
        <v>27106676</v>
      </c>
    </row>
    <row r="78">
      <c r="A78" s="7">
        <f>IFERROR(__xludf.DUMMYFUNCTION("""COMPUTED_VALUE"""),45737.64583333333)</f>
        <v>45737.64583</v>
      </c>
      <c r="B78" s="6">
        <f>IFERROR(__xludf.DUMMYFUNCTION("""COMPUTED_VALUE"""),388.35)</f>
        <v>388.35</v>
      </c>
      <c r="C78" s="6">
        <f>IFERROR(__xludf.DUMMYFUNCTION("""COMPUTED_VALUE"""),410.95)</f>
        <v>410.95</v>
      </c>
      <c r="D78" s="6">
        <f>IFERROR(__xludf.DUMMYFUNCTION("""COMPUTED_VALUE"""),386.35)</f>
        <v>386.35</v>
      </c>
      <c r="E78" s="6">
        <f>IFERROR(__xludf.DUMMYFUNCTION("""COMPUTED_VALUE"""),407.8)</f>
        <v>407.8</v>
      </c>
      <c r="F78" s="6">
        <f>IFERROR(__xludf.DUMMYFUNCTION("""COMPUTED_VALUE"""),3.2559974E7)</f>
        <v>32559974</v>
      </c>
    </row>
    <row r="79">
      <c r="A79" s="7">
        <f>IFERROR(__xludf.DUMMYFUNCTION("""COMPUTED_VALUE"""),45744.64583333333)</f>
        <v>45744.64583</v>
      </c>
      <c r="B79" s="6">
        <f>IFERROR(__xludf.DUMMYFUNCTION("""COMPUTED_VALUE"""),411.7)</f>
        <v>411.7</v>
      </c>
      <c r="C79" s="6">
        <f>IFERROR(__xludf.DUMMYFUNCTION("""COMPUTED_VALUE"""),432.85)</f>
        <v>432.85</v>
      </c>
      <c r="D79" s="6">
        <f>IFERROR(__xludf.DUMMYFUNCTION("""COMPUTED_VALUE"""),408.65)</f>
        <v>408.65</v>
      </c>
      <c r="E79" s="6">
        <f>IFERROR(__xludf.DUMMYFUNCTION("""COMPUTED_VALUE"""),414.25)</f>
        <v>414.25</v>
      </c>
      <c r="F79" s="6">
        <f>IFERROR(__xludf.DUMMYFUNCTION("""COMPUTED_VALUE"""),4.0418785E7)</f>
        <v>40418785</v>
      </c>
    </row>
    <row r="80">
      <c r="A80" s="7">
        <f>IFERROR(__xludf.DUMMYFUNCTION("""COMPUTED_VALUE"""),45751.64583333333)</f>
        <v>45751.64583</v>
      </c>
      <c r="B80" s="6">
        <f>IFERROR(__xludf.DUMMYFUNCTION("""COMPUTED_VALUE"""),410.0)</f>
        <v>410</v>
      </c>
      <c r="C80" s="6">
        <f>IFERROR(__xludf.DUMMYFUNCTION("""COMPUTED_VALUE"""),424.35)</f>
        <v>424.35</v>
      </c>
      <c r="D80" s="6">
        <f>IFERROR(__xludf.DUMMYFUNCTION("""COMPUTED_VALUE"""),398.9)</f>
        <v>398.9</v>
      </c>
      <c r="E80" s="6">
        <f>IFERROR(__xludf.DUMMYFUNCTION("""COMPUTED_VALUE"""),406.85)</f>
        <v>406.85</v>
      </c>
      <c r="F80" s="6">
        <f>IFERROR(__xludf.DUMMYFUNCTION("""COMPUTED_VALUE"""),2.4151669E7)</f>
        <v>24151669</v>
      </c>
    </row>
    <row r="81">
      <c r="A81" s="7">
        <f>IFERROR(__xludf.DUMMYFUNCTION("""COMPUTED_VALUE"""),45758.64583333333)</f>
        <v>45758.64583</v>
      </c>
      <c r="B81" s="6">
        <f>IFERROR(__xludf.DUMMYFUNCTION("""COMPUTED_VALUE"""),374.0)</f>
        <v>374</v>
      </c>
      <c r="C81" s="6">
        <f>IFERROR(__xludf.DUMMYFUNCTION("""COMPUTED_VALUE"""),413.3)</f>
        <v>413.3</v>
      </c>
      <c r="D81" s="6">
        <f>IFERROR(__xludf.DUMMYFUNCTION("""COMPUTED_VALUE"""),371.9)</f>
        <v>371.9</v>
      </c>
      <c r="E81" s="6">
        <f>IFERROR(__xludf.DUMMYFUNCTION("""COMPUTED_VALUE"""),400.75)</f>
        <v>400.75</v>
      </c>
      <c r="F81" s="6">
        <f>IFERROR(__xludf.DUMMYFUNCTION("""COMPUTED_VALUE"""),3.6149349E7)</f>
        <v>36149349</v>
      </c>
    </row>
    <row r="82">
      <c r="A82" s="7">
        <f>IFERROR(__xludf.DUMMYFUNCTION("""COMPUTED_VALUE"""),45764.64583333333)</f>
        <v>45764.64583</v>
      </c>
      <c r="B82" s="6">
        <f>IFERROR(__xludf.DUMMYFUNCTION("""COMPUTED_VALUE"""),411.2)</f>
        <v>411.2</v>
      </c>
      <c r="C82" s="6">
        <f>IFERROR(__xludf.DUMMYFUNCTION("""COMPUTED_VALUE"""),430.4)</f>
        <v>430.4</v>
      </c>
      <c r="D82" s="6">
        <f>IFERROR(__xludf.DUMMYFUNCTION("""COMPUTED_VALUE"""),407.7)</f>
        <v>407.7</v>
      </c>
      <c r="E82" s="6">
        <f>IFERROR(__xludf.DUMMYFUNCTION("""COMPUTED_VALUE"""),423.7)</f>
        <v>423.7</v>
      </c>
      <c r="F82" s="6">
        <f>IFERROR(__xludf.DUMMYFUNCTION("""COMPUTED_VALUE"""),2.1567615E7)</f>
        <v>21567615</v>
      </c>
    </row>
    <row r="83">
      <c r="A83" s="7">
        <f>IFERROR(__xludf.DUMMYFUNCTION("""COMPUTED_VALUE"""),45772.64583333333)</f>
        <v>45772.64583</v>
      </c>
      <c r="B83" s="6">
        <f>IFERROR(__xludf.DUMMYFUNCTION("""COMPUTED_VALUE"""),425.0)</f>
        <v>425</v>
      </c>
      <c r="C83" s="6">
        <f>IFERROR(__xludf.DUMMYFUNCTION("""COMPUTED_VALUE"""),444.1)</f>
        <v>444.1</v>
      </c>
      <c r="D83" s="6">
        <f>IFERROR(__xludf.DUMMYFUNCTION("""COMPUTED_VALUE"""),410.75)</f>
        <v>410.75</v>
      </c>
      <c r="E83" s="6">
        <f>IFERROR(__xludf.DUMMYFUNCTION("""COMPUTED_VALUE"""),415.05)</f>
        <v>415.05</v>
      </c>
      <c r="F83" s="6">
        <f>IFERROR(__xludf.DUMMYFUNCTION("""COMPUTED_VALUE"""),3.8283418E7)</f>
        <v>38283418</v>
      </c>
    </row>
    <row r="84">
      <c r="A84" s="7">
        <f>IFERROR(__xludf.DUMMYFUNCTION("""COMPUTED_VALUE"""),45779.64583333333)</f>
        <v>45779.64583</v>
      </c>
      <c r="B84" s="6">
        <f>IFERROR(__xludf.DUMMYFUNCTION("""COMPUTED_VALUE"""),415.05)</f>
        <v>415.05</v>
      </c>
      <c r="C84" s="6">
        <f>IFERROR(__xludf.DUMMYFUNCTION("""COMPUTED_VALUE"""),427.9)</f>
        <v>427.9</v>
      </c>
      <c r="D84" s="6">
        <f>IFERROR(__xludf.DUMMYFUNCTION("""COMPUTED_VALUE"""),403.7)</f>
        <v>403.7</v>
      </c>
      <c r="E84" s="6">
        <f>IFERROR(__xludf.DUMMYFUNCTION("""COMPUTED_VALUE"""),406.3)</f>
        <v>406.3</v>
      </c>
      <c r="F84" s="6">
        <f>IFERROR(__xludf.DUMMYFUNCTION("""COMPUTED_VALUE"""),2.3436554E7)</f>
        <v>23436554</v>
      </c>
    </row>
    <row r="85">
      <c r="A85" s="7">
        <f>IFERROR(__xludf.DUMMYFUNCTION("""COMPUTED_VALUE"""),45786.64583333333)</f>
        <v>45786.64583</v>
      </c>
      <c r="B85" s="6">
        <f>IFERROR(__xludf.DUMMYFUNCTION("""COMPUTED_VALUE"""),410.2)</f>
        <v>410.2</v>
      </c>
      <c r="C85" s="6">
        <f>IFERROR(__xludf.DUMMYFUNCTION("""COMPUTED_VALUE"""),413.75)</f>
        <v>413.75</v>
      </c>
      <c r="D85" s="6">
        <f>IFERROR(__xludf.DUMMYFUNCTION("""COMPUTED_VALUE"""),381.1)</f>
        <v>381.1</v>
      </c>
      <c r="E85" s="6">
        <f>IFERROR(__xludf.DUMMYFUNCTION("""COMPUTED_VALUE"""),385.9)</f>
        <v>385.9</v>
      </c>
      <c r="F85" s="6">
        <f>IFERROR(__xludf.DUMMYFUNCTION("""COMPUTED_VALUE"""),3.250877E7)</f>
        <v>32508770</v>
      </c>
    </row>
    <row r="86">
      <c r="A86" s="7">
        <f>IFERROR(__xludf.DUMMYFUNCTION("""COMPUTED_VALUE"""),45793.64583333333)</f>
        <v>45793.64583</v>
      </c>
      <c r="B86" s="6">
        <f>IFERROR(__xludf.DUMMYFUNCTION("""COMPUTED_VALUE"""),401.0)</f>
        <v>401</v>
      </c>
      <c r="C86" s="6">
        <f>IFERROR(__xludf.DUMMYFUNCTION("""COMPUTED_VALUE"""),423.2)</f>
        <v>423.2</v>
      </c>
      <c r="D86" s="6">
        <f>IFERROR(__xludf.DUMMYFUNCTION("""COMPUTED_VALUE"""),400.0)</f>
        <v>400</v>
      </c>
      <c r="E86" s="6">
        <f>IFERROR(__xludf.DUMMYFUNCTION("""COMPUTED_VALUE"""),417.75)</f>
        <v>417.75</v>
      </c>
      <c r="F86" s="6">
        <f>IFERROR(__xludf.DUMMYFUNCTION("""COMPUTED_VALUE"""),4.6714843E7)</f>
        <v>46714843</v>
      </c>
    </row>
    <row r="87">
      <c r="A87" s="7">
        <f>IFERROR(__xludf.DUMMYFUNCTION("""COMPUTED_VALUE"""),45800.64583333333)</f>
        <v>45800.64583</v>
      </c>
      <c r="B87" s="6">
        <f>IFERROR(__xludf.DUMMYFUNCTION("""COMPUTED_VALUE"""),419.0)</f>
        <v>419</v>
      </c>
      <c r="C87" s="6">
        <f>IFERROR(__xludf.DUMMYFUNCTION("""COMPUTED_VALUE"""),424.5)</f>
        <v>424.5</v>
      </c>
      <c r="D87" s="6">
        <f>IFERROR(__xludf.DUMMYFUNCTION("""COMPUTED_VALUE"""),401.75)</f>
        <v>401.75</v>
      </c>
      <c r="E87" s="6">
        <f>IFERROR(__xludf.DUMMYFUNCTION("""COMPUTED_VALUE"""),405.8)</f>
        <v>405.8</v>
      </c>
      <c r="F87" s="6">
        <f>IFERROR(__xludf.DUMMYFUNCTION("""COMPUTED_VALUE"""),4.9000845E7)</f>
        <v>49000845</v>
      </c>
    </row>
    <row r="88">
      <c r="A88" s="7">
        <f>IFERROR(__xludf.DUMMYFUNCTION("""COMPUTED_VALUE"""),45807.64583333333)</f>
        <v>45807.64583</v>
      </c>
      <c r="B88" s="6">
        <f>IFERROR(__xludf.DUMMYFUNCTION("""COMPUTED_VALUE"""),408.0)</f>
        <v>408</v>
      </c>
      <c r="C88" s="6">
        <f>IFERROR(__xludf.DUMMYFUNCTION("""COMPUTED_VALUE"""),417.75)</f>
        <v>417.75</v>
      </c>
      <c r="D88" s="6">
        <f>IFERROR(__xludf.DUMMYFUNCTION("""COMPUTED_VALUE"""),404.5)</f>
        <v>404.5</v>
      </c>
      <c r="E88" s="6">
        <f>IFERROR(__xludf.DUMMYFUNCTION("""COMPUTED_VALUE"""),405.95)</f>
        <v>405.95</v>
      </c>
      <c r="F88" s="6">
        <f>IFERROR(__xludf.DUMMYFUNCTION("""COMPUTED_VALUE"""),2.7342935E7)</f>
        <v>27342935</v>
      </c>
    </row>
    <row r="89">
      <c r="A89" s="7">
        <f>IFERROR(__xludf.DUMMYFUNCTION("""COMPUTED_VALUE"""),45814.64583333333)</f>
        <v>45814.64583</v>
      </c>
      <c r="B89" s="6">
        <f>IFERROR(__xludf.DUMMYFUNCTION("""COMPUTED_VALUE"""),406.0)</f>
        <v>406</v>
      </c>
      <c r="C89" s="6">
        <f>IFERROR(__xludf.DUMMYFUNCTION("""COMPUTED_VALUE"""),421.5)</f>
        <v>421.5</v>
      </c>
      <c r="D89" s="6">
        <f>IFERROR(__xludf.DUMMYFUNCTION("""COMPUTED_VALUE"""),402.25)</f>
        <v>402.25</v>
      </c>
      <c r="E89" s="6">
        <f>IFERROR(__xludf.DUMMYFUNCTION("""COMPUTED_VALUE"""),418.4)</f>
        <v>418.4</v>
      </c>
      <c r="F89" s="6">
        <f>IFERROR(__xludf.DUMMYFUNCTION("""COMPUTED_VALUE"""),2.7806208E7)</f>
        <v>27806208</v>
      </c>
    </row>
    <row r="90">
      <c r="A90" s="7">
        <f>IFERROR(__xludf.DUMMYFUNCTION("""COMPUTED_VALUE"""),45821.64583333333)</f>
        <v>45821.64583</v>
      </c>
      <c r="B90" s="6">
        <f>IFERROR(__xludf.DUMMYFUNCTION("""COMPUTED_VALUE"""),422.9)</f>
        <v>422.9</v>
      </c>
      <c r="C90" s="6">
        <f>IFERROR(__xludf.DUMMYFUNCTION("""COMPUTED_VALUE"""),436.2)</f>
        <v>436.2</v>
      </c>
      <c r="D90" s="6">
        <f>IFERROR(__xludf.DUMMYFUNCTION("""COMPUTED_VALUE"""),401.0)</f>
        <v>401</v>
      </c>
      <c r="E90" s="6">
        <f>IFERROR(__xludf.DUMMYFUNCTION("""COMPUTED_VALUE"""),406.45)</f>
        <v>406.45</v>
      </c>
      <c r="F90" s="6">
        <f>IFERROR(__xludf.DUMMYFUNCTION("""COMPUTED_VALUE"""),3.4190081E7)</f>
        <v>34190081</v>
      </c>
    </row>
    <row r="91">
      <c r="A91" s="7">
        <f>IFERROR(__xludf.DUMMYFUNCTION("""COMPUTED_VALUE"""),45828.64583333333)</f>
        <v>45828.64583</v>
      </c>
      <c r="B91" s="6">
        <f>IFERROR(__xludf.DUMMYFUNCTION("""COMPUTED_VALUE"""),406.65)</f>
        <v>406.65</v>
      </c>
      <c r="C91" s="6">
        <f>IFERROR(__xludf.DUMMYFUNCTION("""COMPUTED_VALUE"""),415.0)</f>
        <v>415</v>
      </c>
      <c r="D91" s="6">
        <f>IFERROR(__xludf.DUMMYFUNCTION("""COMPUTED_VALUE"""),388.6)</f>
        <v>388.6</v>
      </c>
      <c r="E91" s="6">
        <f>IFERROR(__xludf.DUMMYFUNCTION("""COMPUTED_VALUE"""),409.05)</f>
        <v>409.05</v>
      </c>
      <c r="F91" s="6">
        <f>IFERROR(__xludf.DUMMYFUNCTION("""COMPUTED_VALUE"""),6.0300016E7)</f>
        <v>60300016</v>
      </c>
    </row>
    <row r="92">
      <c r="A92" s="7">
        <f>IFERROR(__xludf.DUMMYFUNCTION("""COMPUTED_VALUE"""),45835.64583333333)</f>
        <v>45835.64583</v>
      </c>
      <c r="B92" s="6">
        <f>IFERROR(__xludf.DUMMYFUNCTION("""COMPUTED_VALUE"""),404.3)</f>
        <v>404.3</v>
      </c>
      <c r="C92" s="6">
        <f>IFERROR(__xludf.DUMMYFUNCTION("""COMPUTED_VALUE"""),427.8)</f>
        <v>427.8</v>
      </c>
      <c r="D92" s="6">
        <f>IFERROR(__xludf.DUMMYFUNCTION("""COMPUTED_VALUE"""),403.5)</f>
        <v>403.5</v>
      </c>
      <c r="E92" s="6">
        <f>IFERROR(__xludf.DUMMYFUNCTION("""COMPUTED_VALUE"""),421.55)</f>
        <v>421.55</v>
      </c>
      <c r="F92" s="6">
        <f>IFERROR(__xludf.DUMMYFUNCTION("""COMPUTED_VALUE"""),2.6849776E7)</f>
        <v>26849776</v>
      </c>
    </row>
    <row r="93">
      <c r="A93" s="7">
        <f>IFERROR(__xludf.DUMMYFUNCTION("""COMPUTED_VALUE"""),45842.64583333333)</f>
        <v>45842.64583</v>
      </c>
      <c r="B93" s="6">
        <f>IFERROR(__xludf.DUMMYFUNCTION("""COMPUTED_VALUE"""),424.4)</f>
        <v>424.4</v>
      </c>
      <c r="C93" s="6">
        <f>IFERROR(__xludf.DUMMYFUNCTION("""COMPUTED_VALUE"""),429.9)</f>
        <v>429.9</v>
      </c>
      <c r="D93" s="6">
        <f>IFERROR(__xludf.DUMMYFUNCTION("""COMPUTED_VALUE"""),412.2)</f>
        <v>412.2</v>
      </c>
      <c r="E93" s="6">
        <f>IFERROR(__xludf.DUMMYFUNCTION("""COMPUTED_VALUE"""),413.25)</f>
        <v>413.25</v>
      </c>
      <c r="F93" s="6">
        <f>IFERROR(__xludf.DUMMYFUNCTION("""COMPUTED_VALUE"""),2.9270992E7)</f>
        <v>29270992</v>
      </c>
    </row>
    <row r="94">
      <c r="A94" s="7">
        <f>IFERROR(__xludf.DUMMYFUNCTION("""COMPUTED_VALUE"""),45849.64583333333)</f>
        <v>45849.64583</v>
      </c>
      <c r="B94" s="6">
        <f>IFERROR(__xludf.DUMMYFUNCTION("""COMPUTED_VALUE"""),413.65)</f>
        <v>413.65</v>
      </c>
      <c r="C94" s="6">
        <f>IFERROR(__xludf.DUMMYFUNCTION("""COMPUTED_VALUE"""),438.35)</f>
        <v>438.35</v>
      </c>
      <c r="D94" s="6">
        <f>IFERROR(__xludf.DUMMYFUNCTION("""COMPUTED_VALUE"""),409.75)</f>
        <v>409.75</v>
      </c>
      <c r="E94" s="6">
        <f>IFERROR(__xludf.DUMMYFUNCTION("""COMPUTED_VALUE"""),430.95)</f>
        <v>430.95</v>
      </c>
      <c r="F94" s="6">
        <f>IFERROR(__xludf.DUMMYFUNCTION("""COMPUTED_VALUE"""),5.3012957E7)</f>
        <v>53012957</v>
      </c>
    </row>
    <row r="95">
      <c r="A95" s="7">
        <f>IFERROR(__xludf.DUMMYFUNCTION("""COMPUTED_VALUE"""),45856.64583333333)</f>
        <v>45856.64583</v>
      </c>
      <c r="B95" s="6">
        <f>IFERROR(__xludf.DUMMYFUNCTION("""COMPUTED_VALUE"""),429.85)</f>
        <v>429.85</v>
      </c>
      <c r="C95" s="6">
        <f>IFERROR(__xludf.DUMMYFUNCTION("""COMPUTED_VALUE"""),432.0)</f>
        <v>432</v>
      </c>
      <c r="D95" s="6">
        <f>IFERROR(__xludf.DUMMYFUNCTION("""COMPUTED_VALUE"""),418.1)</f>
        <v>418.1</v>
      </c>
      <c r="E95" s="6">
        <f>IFERROR(__xludf.DUMMYFUNCTION("""COMPUTED_VALUE"""),420.45)</f>
        <v>420.45</v>
      </c>
      <c r="F95" s="6">
        <f>IFERROR(__xludf.DUMMYFUNCTION("""COMPUTED_VALUE"""),2.1934084E7)</f>
        <v>21934084</v>
      </c>
    </row>
    <row r="96">
      <c r="A96" s="7">
        <f>IFERROR(__xludf.DUMMYFUNCTION("""COMPUTED_VALUE"""),45863.64583333333)</f>
        <v>45863.64583</v>
      </c>
      <c r="B96" s="6">
        <f>IFERROR(__xludf.DUMMYFUNCTION("""COMPUTED_VALUE"""),419.05)</f>
        <v>419.05</v>
      </c>
      <c r="C96" s="6">
        <f>IFERROR(__xludf.DUMMYFUNCTION("""COMPUTED_VALUE"""),423.7)</f>
        <v>423.7</v>
      </c>
      <c r="D96" s="6">
        <f>IFERROR(__xludf.DUMMYFUNCTION("""COMPUTED_VALUE"""),411.3)</f>
        <v>411.3</v>
      </c>
      <c r="E96" s="6">
        <f>IFERROR(__xludf.DUMMYFUNCTION("""COMPUTED_VALUE"""),415.1)</f>
        <v>415.1</v>
      </c>
      <c r="F96" s="6">
        <f>IFERROR(__xludf.DUMMYFUNCTION("""COMPUTED_VALUE"""),1.8107001E7)</f>
        <v>18107001</v>
      </c>
    </row>
    <row r="97">
      <c r="A97" s="7">
        <f>IFERROR(__xludf.DUMMYFUNCTION("""COMPUTED_VALUE"""),45870.64583333333)</f>
        <v>45870.64583</v>
      </c>
      <c r="B97" s="6">
        <f>IFERROR(__xludf.DUMMYFUNCTION("""COMPUTED_VALUE"""),414.85)</f>
        <v>414.85</v>
      </c>
      <c r="C97" s="6">
        <f>IFERROR(__xludf.DUMMYFUNCTION("""COMPUTED_VALUE"""),417.0)</f>
        <v>417</v>
      </c>
      <c r="D97" s="6">
        <f>IFERROR(__xludf.DUMMYFUNCTION("""COMPUTED_VALUE"""),401.35)</f>
        <v>401.35</v>
      </c>
      <c r="E97" s="6">
        <f>IFERROR(__xludf.DUMMYFUNCTION("""COMPUTED_VALUE"""),403.85)</f>
        <v>403.85</v>
      </c>
      <c r="F97" s="6">
        <f>IFERROR(__xludf.DUMMYFUNCTION("""COMPUTED_VALUE"""),1.6333011E7)</f>
        <v>16333011</v>
      </c>
    </row>
    <row r="98">
      <c r="A98" s="7">
        <f>IFERROR(__xludf.DUMMYFUNCTION("""COMPUTED_VALUE"""),45877.64583333333)</f>
        <v>45877.64583</v>
      </c>
      <c r="B98" s="6">
        <f>IFERROR(__xludf.DUMMYFUNCTION("""COMPUTED_VALUE"""),404.0)</f>
        <v>404</v>
      </c>
      <c r="C98" s="6">
        <f>IFERROR(__xludf.DUMMYFUNCTION("""COMPUTED_VALUE"""),419.8)</f>
        <v>419.8</v>
      </c>
      <c r="D98" s="6">
        <f>IFERROR(__xludf.DUMMYFUNCTION("""COMPUTED_VALUE"""),403.1)</f>
        <v>403.1</v>
      </c>
      <c r="E98" s="6">
        <f>IFERROR(__xludf.DUMMYFUNCTION("""COMPUTED_VALUE"""),404.65)</f>
        <v>404.65</v>
      </c>
      <c r="F98" s="6">
        <f>IFERROR(__xludf.DUMMYFUNCTION("""COMPUTED_VALUE"""),3.1353155E7)</f>
        <v>31353155</v>
      </c>
    </row>
    <row r="99">
      <c r="A99" s="7">
        <f>IFERROR(__xludf.DUMMYFUNCTION("""COMPUTED_VALUE"""),45883.64583333333)</f>
        <v>45883.64583</v>
      </c>
      <c r="B99" s="6">
        <f>IFERROR(__xludf.DUMMYFUNCTION("""COMPUTED_VALUE"""),405.9)</f>
        <v>405.9</v>
      </c>
      <c r="C99" s="6">
        <f>IFERROR(__xludf.DUMMYFUNCTION("""COMPUTED_VALUE"""),424.9)</f>
        <v>424.9</v>
      </c>
      <c r="D99" s="6">
        <f>IFERROR(__xludf.DUMMYFUNCTION("""COMPUTED_VALUE"""),405.45)</f>
        <v>405.45</v>
      </c>
      <c r="E99" s="6">
        <f>IFERROR(__xludf.DUMMYFUNCTION("""COMPUTED_VALUE"""),416.5)</f>
        <v>416.5</v>
      </c>
      <c r="F99" s="6">
        <f>IFERROR(__xludf.DUMMYFUNCTION("""COMPUTED_VALUE"""),2.3706637E7)</f>
        <v>23706637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IFERROR(__xludf.DUMMYFUNCTION("""COMPUTED_VALUE"""),419.8)</f>
        <v>419.8</v>
      </c>
      <c r="C100" s="6">
        <f>IFERROR(__xludf.DUMMYFUNCTION("""COMPUTED_VALUE"""),419.8)</f>
        <v>419.8</v>
      </c>
      <c r="D100" s="6">
        <f>IFERROR(__xludf.DUMMYFUNCTION("""COMPUTED_VALUE"""),394.4)</f>
        <v>394.4</v>
      </c>
      <c r="E100" s="6">
        <f>IFERROR(__xludf.DUMMYFUNCTION("""COMPUTED_VALUE"""),399.85)</f>
        <v>399.85</v>
      </c>
      <c r="F100" s="6">
        <f>IFERROR(__xludf.DUMMYFUNCTION("""COMPUTED_VALUE"""),3.1967547E7)</f>
        <v>31967547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IFERROR(__xludf.DUMMYFUNCTION("""COMPUTED_VALUE"""),399.85)</f>
        <v>399.85</v>
      </c>
      <c r="C101" s="6">
        <f>IFERROR(__xludf.DUMMYFUNCTION("""COMPUTED_VALUE"""),401.25)</f>
        <v>401.25</v>
      </c>
      <c r="D101" s="6">
        <f>IFERROR(__xludf.DUMMYFUNCTION("""COMPUTED_VALUE"""),387.65)</f>
        <v>387.65</v>
      </c>
      <c r="E101" s="6">
        <f>IFERROR(__xludf.DUMMYFUNCTION("""COMPUTED_VALUE"""),388.55)</f>
        <v>388.55</v>
      </c>
      <c r="F101" s="6">
        <f>IFERROR(__xludf.DUMMYFUNCTION("""COMPUTED_VALUE"""),7.7607431E7)</f>
        <v>77607431</v>
      </c>
    </row>
  </sheetData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IFERROR(__xludf.DUMMYFUNCTION("GOOGLEFINANCE(""NSE:PHOENIXLTD"",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IFERROR(__xludf.DUMMYFUNCTION("""COMPUTED_VALUE"""),873.23)</f>
        <v>873.23</v>
      </c>
      <c r="C2" s="6">
        <f>IFERROR(__xludf.DUMMYFUNCTION("""COMPUTED_VALUE"""),930.0)</f>
        <v>930</v>
      </c>
      <c r="D2" s="6">
        <f>IFERROR(__xludf.DUMMYFUNCTION("""COMPUTED_VALUE"""),872.53)</f>
        <v>872.53</v>
      </c>
      <c r="E2" s="6">
        <f>IFERROR(__xludf.DUMMYFUNCTION("""COMPUTED_VALUE"""),924.83)</f>
        <v>924.83</v>
      </c>
      <c r="F2" s="6">
        <f>IFERROR(__xludf.DUMMYFUNCTION("""COMPUTED_VALUE"""),792843.0)</f>
        <v>792843</v>
      </c>
    </row>
    <row r="3">
      <c r="A3" s="7">
        <f>IFERROR(__xludf.DUMMYFUNCTION("""COMPUTED_VALUE"""),45177.64583333333)</f>
        <v>45177.64583</v>
      </c>
      <c r="B3" s="6">
        <f>IFERROR(__xludf.DUMMYFUNCTION("""COMPUTED_VALUE"""),934.93)</f>
        <v>934.93</v>
      </c>
      <c r="C3" s="6">
        <f>IFERROR(__xludf.DUMMYFUNCTION("""COMPUTED_VALUE"""),951.18)</f>
        <v>951.18</v>
      </c>
      <c r="D3" s="6">
        <f>IFERROR(__xludf.DUMMYFUNCTION("""COMPUTED_VALUE"""),895.05)</f>
        <v>895.05</v>
      </c>
      <c r="E3" s="6">
        <f>IFERROR(__xludf.DUMMYFUNCTION("""COMPUTED_VALUE"""),920.88)</f>
        <v>920.88</v>
      </c>
      <c r="F3" s="6">
        <f>IFERROR(__xludf.DUMMYFUNCTION("""COMPUTED_VALUE"""),1408623.0)</f>
        <v>1408623</v>
      </c>
    </row>
    <row r="4">
      <c r="A4" s="7">
        <f>IFERROR(__xludf.DUMMYFUNCTION("""COMPUTED_VALUE"""),45184.64583333333)</f>
        <v>45184.64583</v>
      </c>
      <c r="B4" s="6">
        <f>IFERROR(__xludf.DUMMYFUNCTION("""COMPUTED_VALUE"""),924.05)</f>
        <v>924.05</v>
      </c>
      <c r="C4" s="6">
        <f>IFERROR(__xludf.DUMMYFUNCTION("""COMPUTED_VALUE"""),950.5)</f>
        <v>950.5</v>
      </c>
      <c r="D4" s="6">
        <f>IFERROR(__xludf.DUMMYFUNCTION("""COMPUTED_VALUE"""),897.5)</f>
        <v>897.5</v>
      </c>
      <c r="E4" s="6">
        <f>IFERROR(__xludf.DUMMYFUNCTION("""COMPUTED_VALUE"""),925.58)</f>
        <v>925.58</v>
      </c>
      <c r="F4" s="6">
        <f>IFERROR(__xludf.DUMMYFUNCTION("""COMPUTED_VALUE"""),2395021.0)</f>
        <v>2395021</v>
      </c>
    </row>
    <row r="5">
      <c r="A5" s="7">
        <f>IFERROR(__xludf.DUMMYFUNCTION("""COMPUTED_VALUE"""),45191.64583333333)</f>
        <v>45191.64583</v>
      </c>
      <c r="B5" s="6">
        <f>IFERROR(__xludf.DUMMYFUNCTION("""COMPUTED_VALUE"""),932.05)</f>
        <v>932.05</v>
      </c>
      <c r="C5" s="6">
        <f>IFERROR(__xludf.DUMMYFUNCTION("""COMPUTED_VALUE"""),955.0)</f>
        <v>955</v>
      </c>
      <c r="D5" s="6">
        <f>IFERROR(__xludf.DUMMYFUNCTION("""COMPUTED_VALUE"""),891.93)</f>
        <v>891.93</v>
      </c>
      <c r="E5" s="6">
        <f>IFERROR(__xludf.DUMMYFUNCTION("""COMPUTED_VALUE"""),915.78)</f>
        <v>915.78</v>
      </c>
      <c r="F5" s="6">
        <f>IFERROR(__xludf.DUMMYFUNCTION("""COMPUTED_VALUE"""),1096966.0)</f>
        <v>1096966</v>
      </c>
    </row>
    <row r="6">
      <c r="A6" s="7">
        <f>IFERROR(__xludf.DUMMYFUNCTION("""COMPUTED_VALUE"""),45198.64583333333)</f>
        <v>45198.64583</v>
      </c>
      <c r="B6" s="6">
        <f>IFERROR(__xludf.DUMMYFUNCTION("""COMPUTED_VALUE"""),913.48)</f>
        <v>913.48</v>
      </c>
      <c r="C6" s="6">
        <f>IFERROR(__xludf.DUMMYFUNCTION("""COMPUTED_VALUE"""),942.5)</f>
        <v>942.5</v>
      </c>
      <c r="D6" s="6">
        <f>IFERROR(__xludf.DUMMYFUNCTION("""COMPUTED_VALUE"""),881.78)</f>
        <v>881.78</v>
      </c>
      <c r="E6" s="6">
        <f>IFERROR(__xludf.DUMMYFUNCTION("""COMPUTED_VALUE"""),907.18)</f>
        <v>907.18</v>
      </c>
      <c r="F6" s="6">
        <f>IFERROR(__xludf.DUMMYFUNCTION("""COMPUTED_VALUE"""),977365.0)</f>
        <v>977365</v>
      </c>
    </row>
    <row r="7">
      <c r="A7" s="7">
        <f>IFERROR(__xludf.DUMMYFUNCTION("""COMPUTED_VALUE"""),45205.64583333333)</f>
        <v>45205.64583</v>
      </c>
      <c r="B7" s="6">
        <f>IFERROR(__xludf.DUMMYFUNCTION("""COMPUTED_VALUE"""),914.45)</f>
        <v>914.45</v>
      </c>
      <c r="C7" s="6">
        <f>IFERROR(__xludf.DUMMYFUNCTION("""COMPUTED_VALUE"""),922.0)</f>
        <v>922</v>
      </c>
      <c r="D7" s="6">
        <f>IFERROR(__xludf.DUMMYFUNCTION("""COMPUTED_VALUE"""),865.0)</f>
        <v>865</v>
      </c>
      <c r="E7" s="6">
        <f>IFERROR(__xludf.DUMMYFUNCTION("""COMPUTED_VALUE"""),900.53)</f>
        <v>900.53</v>
      </c>
      <c r="F7" s="6">
        <f>IFERROR(__xludf.DUMMYFUNCTION("""COMPUTED_VALUE"""),670624.0)</f>
        <v>670624</v>
      </c>
    </row>
    <row r="8">
      <c r="A8" s="7">
        <f>IFERROR(__xludf.DUMMYFUNCTION("""COMPUTED_VALUE"""),45212.64583333333)</f>
        <v>45212.64583</v>
      </c>
      <c r="B8" s="6">
        <f>IFERROR(__xludf.DUMMYFUNCTION("""COMPUTED_VALUE"""),899.95)</f>
        <v>899.95</v>
      </c>
      <c r="C8" s="6">
        <f>IFERROR(__xludf.DUMMYFUNCTION("""COMPUTED_VALUE"""),1030.0)</f>
        <v>1030</v>
      </c>
      <c r="D8" s="6">
        <f>IFERROR(__xludf.DUMMYFUNCTION("""COMPUTED_VALUE"""),891.03)</f>
        <v>891.03</v>
      </c>
      <c r="E8" s="6">
        <f>IFERROR(__xludf.DUMMYFUNCTION("""COMPUTED_VALUE"""),1007.3)</f>
        <v>1007.3</v>
      </c>
      <c r="F8" s="6">
        <f>IFERROR(__xludf.DUMMYFUNCTION("""COMPUTED_VALUE"""),2090023.0)</f>
        <v>2090023</v>
      </c>
    </row>
    <row r="9">
      <c r="A9" s="7">
        <f>IFERROR(__xludf.DUMMYFUNCTION("""COMPUTED_VALUE"""),45219.64583333333)</f>
        <v>45219.64583</v>
      </c>
      <c r="B9" s="6">
        <f>IFERROR(__xludf.DUMMYFUNCTION("""COMPUTED_VALUE"""),1010.0)</f>
        <v>1010</v>
      </c>
      <c r="C9" s="6">
        <f>IFERROR(__xludf.DUMMYFUNCTION("""COMPUTED_VALUE"""),1012.08)</f>
        <v>1012.08</v>
      </c>
      <c r="D9" s="6">
        <f>IFERROR(__xludf.DUMMYFUNCTION("""COMPUTED_VALUE"""),918.0)</f>
        <v>918</v>
      </c>
      <c r="E9" s="6">
        <f>IFERROR(__xludf.DUMMYFUNCTION("""COMPUTED_VALUE"""),928.28)</f>
        <v>928.28</v>
      </c>
      <c r="F9" s="6">
        <f>IFERROR(__xludf.DUMMYFUNCTION("""COMPUTED_VALUE"""),1882030.0)</f>
        <v>1882030</v>
      </c>
    </row>
    <row r="10">
      <c r="A10" s="7">
        <f>IFERROR(__xludf.DUMMYFUNCTION("""COMPUTED_VALUE"""),45226.64583333333)</f>
        <v>45226.64583</v>
      </c>
      <c r="B10" s="6">
        <f>IFERROR(__xludf.DUMMYFUNCTION("""COMPUTED_VALUE"""),931.23)</f>
        <v>931.23</v>
      </c>
      <c r="C10" s="6">
        <f>IFERROR(__xludf.DUMMYFUNCTION("""COMPUTED_VALUE"""),933.68)</f>
        <v>933.68</v>
      </c>
      <c r="D10" s="6">
        <f>IFERROR(__xludf.DUMMYFUNCTION("""COMPUTED_VALUE"""),864.03)</f>
        <v>864.03</v>
      </c>
      <c r="E10" s="6">
        <f>IFERROR(__xludf.DUMMYFUNCTION("""COMPUTED_VALUE"""),903.25)</f>
        <v>903.25</v>
      </c>
      <c r="F10" s="6">
        <f>IFERROR(__xludf.DUMMYFUNCTION("""COMPUTED_VALUE"""),911075.0)</f>
        <v>911075</v>
      </c>
    </row>
    <row r="11">
      <c r="A11" s="7">
        <f>IFERROR(__xludf.DUMMYFUNCTION("""COMPUTED_VALUE"""),45233.64583333333)</f>
        <v>45233.64583</v>
      </c>
      <c r="B11" s="6">
        <f>IFERROR(__xludf.DUMMYFUNCTION("""COMPUTED_VALUE"""),900.0)</f>
        <v>900</v>
      </c>
      <c r="C11" s="6">
        <f>IFERROR(__xludf.DUMMYFUNCTION("""COMPUTED_VALUE"""),1006.7)</f>
        <v>1006.7</v>
      </c>
      <c r="D11" s="6">
        <f>IFERROR(__xludf.DUMMYFUNCTION("""COMPUTED_VALUE"""),883.68)</f>
        <v>883.68</v>
      </c>
      <c r="E11" s="6">
        <f>IFERROR(__xludf.DUMMYFUNCTION("""COMPUTED_VALUE"""),1002.3)</f>
        <v>1002.3</v>
      </c>
      <c r="F11" s="6">
        <f>IFERROR(__xludf.DUMMYFUNCTION("""COMPUTED_VALUE"""),1420252.0)</f>
        <v>1420252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IFERROR(__xludf.DUMMYFUNCTION("""COMPUTED_VALUE"""),1012.3)</f>
        <v>1012.3</v>
      </c>
      <c r="C12" s="6">
        <f>IFERROR(__xludf.DUMMYFUNCTION("""COMPUTED_VALUE"""),1061.95)</f>
        <v>1061.95</v>
      </c>
      <c r="D12" s="6">
        <f>IFERROR(__xludf.DUMMYFUNCTION("""COMPUTED_VALUE"""),1005.78)</f>
        <v>1005.78</v>
      </c>
      <c r="E12" s="6">
        <f>IFERROR(__xludf.DUMMYFUNCTION("""COMPUTED_VALUE"""),1015.13)</f>
        <v>1015.13</v>
      </c>
      <c r="F12" s="6">
        <f>IFERROR(__xludf.DUMMYFUNCTION("""COMPUTED_VALUE"""),1067864.0)</f>
        <v>1067864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IFERROR(__xludf.DUMMYFUNCTION("""COMPUTED_VALUE"""),1032.35)</f>
        <v>1032.35</v>
      </c>
      <c r="C13" s="6">
        <f>IFERROR(__xludf.DUMMYFUNCTION("""COMPUTED_VALUE"""),1184.05)</f>
        <v>1184.05</v>
      </c>
      <c r="D13" s="6">
        <f>IFERROR(__xludf.DUMMYFUNCTION("""COMPUTED_VALUE"""),995.0)</f>
        <v>995</v>
      </c>
      <c r="E13" s="6">
        <f>IFERROR(__xludf.DUMMYFUNCTION("""COMPUTED_VALUE"""),1142.85)</f>
        <v>1142.85</v>
      </c>
      <c r="F13" s="6">
        <f>IFERROR(__xludf.DUMMYFUNCTION("""COMPUTED_VALUE"""),3181469.0)</f>
        <v>3181469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IFERROR(__xludf.DUMMYFUNCTION("""COMPUTED_VALUE"""),1149.0)</f>
        <v>1149</v>
      </c>
      <c r="C14" s="6">
        <f>IFERROR(__xludf.DUMMYFUNCTION("""COMPUTED_VALUE"""),1219.0)</f>
        <v>1219</v>
      </c>
      <c r="D14" s="6">
        <f>IFERROR(__xludf.DUMMYFUNCTION("""COMPUTED_VALUE"""),1088.45)</f>
        <v>1088.45</v>
      </c>
      <c r="E14" s="6">
        <f>IFERROR(__xludf.DUMMYFUNCTION("""COMPUTED_VALUE"""),1181.88)</f>
        <v>1181.88</v>
      </c>
      <c r="F14" s="6">
        <f>IFERROR(__xludf.DUMMYFUNCTION("""COMPUTED_VALUE"""),1651047.0)</f>
        <v>1651047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IFERROR(__xludf.DUMMYFUNCTION("""COMPUTED_VALUE"""),1182.15)</f>
        <v>1182.15</v>
      </c>
      <c r="C15" s="6">
        <f>IFERROR(__xludf.DUMMYFUNCTION("""COMPUTED_VALUE"""),1209.55)</f>
        <v>1209.55</v>
      </c>
      <c r="D15" s="6">
        <f>IFERROR(__xludf.DUMMYFUNCTION("""COMPUTED_VALUE"""),1124.7)</f>
        <v>1124.7</v>
      </c>
      <c r="E15" s="6">
        <f>IFERROR(__xludf.DUMMYFUNCTION("""COMPUTED_VALUE"""),1179.18)</f>
        <v>1179.18</v>
      </c>
      <c r="F15" s="6">
        <f>IFERROR(__xludf.DUMMYFUNCTION("""COMPUTED_VALUE"""),1129571.0)</f>
        <v>1129571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IFERROR(__xludf.DUMMYFUNCTION("""COMPUTED_VALUE"""),1184.97)</f>
        <v>1184.97</v>
      </c>
      <c r="C16" s="6">
        <f>IFERROR(__xludf.DUMMYFUNCTION("""COMPUTED_VALUE"""),1207.25)</f>
        <v>1207.25</v>
      </c>
      <c r="D16" s="6">
        <f>IFERROR(__xludf.DUMMYFUNCTION("""COMPUTED_VALUE"""),1078.2)</f>
        <v>1078.2</v>
      </c>
      <c r="E16" s="6">
        <f>IFERROR(__xludf.DUMMYFUNCTION("""COMPUTED_VALUE"""),1104.53)</f>
        <v>1104.53</v>
      </c>
      <c r="F16" s="6">
        <f>IFERROR(__xludf.DUMMYFUNCTION("""COMPUTED_VALUE"""),1705089.0)</f>
        <v>1705089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IFERROR(__xludf.DUMMYFUNCTION("""COMPUTED_VALUE"""),1110.93)</f>
        <v>1110.93</v>
      </c>
      <c r="C17" s="6">
        <f>IFERROR(__xludf.DUMMYFUNCTION("""COMPUTED_VALUE"""),1206.33)</f>
        <v>1206.33</v>
      </c>
      <c r="D17" s="6">
        <f>IFERROR(__xludf.DUMMYFUNCTION("""COMPUTED_VALUE"""),1091.72)</f>
        <v>1091.72</v>
      </c>
      <c r="E17" s="6">
        <f>IFERROR(__xludf.DUMMYFUNCTION("""COMPUTED_VALUE"""),1148.43)</f>
        <v>1148.43</v>
      </c>
      <c r="F17" s="6">
        <f>IFERROR(__xludf.DUMMYFUNCTION("""COMPUTED_VALUE"""),1875157.0)</f>
        <v>1875157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IFERROR(__xludf.DUMMYFUNCTION("""COMPUTED_VALUE"""),1152.4)</f>
        <v>1152.4</v>
      </c>
      <c r="C18" s="6">
        <f>IFERROR(__xludf.DUMMYFUNCTION("""COMPUTED_VALUE"""),1167.45)</f>
        <v>1167.45</v>
      </c>
      <c r="D18" s="6">
        <f>IFERROR(__xludf.DUMMYFUNCTION("""COMPUTED_VALUE"""),1071.0)</f>
        <v>1071</v>
      </c>
      <c r="E18" s="6">
        <f>IFERROR(__xludf.DUMMYFUNCTION("""COMPUTED_VALUE"""),1149.25)</f>
        <v>1149.25</v>
      </c>
      <c r="F18" s="6">
        <f>IFERROR(__xludf.DUMMYFUNCTION("""COMPUTED_VALUE"""),1577169.0)</f>
        <v>1577169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IFERROR(__xludf.DUMMYFUNCTION("""COMPUTED_VALUE"""),1162.43)</f>
        <v>1162.43</v>
      </c>
      <c r="C19" s="6">
        <f>IFERROR(__xludf.DUMMYFUNCTION("""COMPUTED_VALUE"""),1162.5)</f>
        <v>1162.5</v>
      </c>
      <c r="D19" s="6">
        <f>IFERROR(__xludf.DUMMYFUNCTION("""COMPUTED_VALUE"""),1108.03)</f>
        <v>1108.03</v>
      </c>
      <c r="E19" s="6">
        <f>IFERROR(__xludf.DUMMYFUNCTION("""COMPUTED_VALUE"""),1122.33)</f>
        <v>1122.33</v>
      </c>
      <c r="F19" s="6">
        <f>IFERROR(__xludf.DUMMYFUNCTION("""COMPUTED_VALUE"""),1008503.0)</f>
        <v>1008503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IFERROR(__xludf.DUMMYFUNCTION("""COMPUTED_VALUE"""),1120.0)</f>
        <v>1120</v>
      </c>
      <c r="C20" s="6">
        <f>IFERROR(__xludf.DUMMYFUNCTION("""COMPUTED_VALUE"""),1299.0)</f>
        <v>1299</v>
      </c>
      <c r="D20" s="6">
        <f>IFERROR(__xludf.DUMMYFUNCTION("""COMPUTED_VALUE"""),1109.0)</f>
        <v>1109</v>
      </c>
      <c r="E20" s="6">
        <f>IFERROR(__xludf.DUMMYFUNCTION("""COMPUTED_VALUE"""),1244.43)</f>
        <v>1244.43</v>
      </c>
      <c r="F20" s="6">
        <f>IFERROR(__xludf.DUMMYFUNCTION("""COMPUTED_VALUE"""),1904206.0)</f>
        <v>1904206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IFERROR(__xludf.DUMMYFUNCTION("""COMPUTED_VALUE"""),1247.5)</f>
        <v>1247.5</v>
      </c>
      <c r="C21" s="6">
        <f>IFERROR(__xludf.DUMMYFUNCTION("""COMPUTED_VALUE"""),1337.23)</f>
        <v>1337.23</v>
      </c>
      <c r="D21" s="6">
        <f>IFERROR(__xludf.DUMMYFUNCTION("""COMPUTED_VALUE"""),1197.53)</f>
        <v>1197.53</v>
      </c>
      <c r="E21" s="6">
        <f>IFERROR(__xludf.DUMMYFUNCTION("""COMPUTED_VALUE"""),1250.83)</f>
        <v>1250.83</v>
      </c>
      <c r="F21" s="6">
        <f>IFERROR(__xludf.DUMMYFUNCTION("""COMPUTED_VALUE"""),4139201.0)</f>
        <v>4139201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IFERROR(__xludf.DUMMYFUNCTION("""COMPUTED_VALUE"""),1260.15)</f>
        <v>1260.15</v>
      </c>
      <c r="C22" s="6">
        <f>IFERROR(__xludf.DUMMYFUNCTION("""COMPUTED_VALUE"""),1273.33)</f>
        <v>1273.33</v>
      </c>
      <c r="D22" s="6">
        <f>IFERROR(__xludf.DUMMYFUNCTION("""COMPUTED_VALUE"""),1137.5)</f>
        <v>1137.5</v>
      </c>
      <c r="E22" s="6">
        <f>IFERROR(__xludf.DUMMYFUNCTION("""COMPUTED_VALUE"""),1148.1)</f>
        <v>1148.1</v>
      </c>
      <c r="F22" s="6">
        <f>IFERROR(__xludf.DUMMYFUNCTION("""COMPUTED_VALUE"""),1826676.0)</f>
        <v>1826676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IFERROR(__xludf.DUMMYFUNCTION("""COMPUTED_VALUE"""),1152.0)</f>
        <v>1152</v>
      </c>
      <c r="C23" s="6">
        <f>IFERROR(__xludf.DUMMYFUNCTION("""COMPUTED_VALUE"""),1255.0)</f>
        <v>1255</v>
      </c>
      <c r="D23" s="6">
        <f>IFERROR(__xludf.DUMMYFUNCTION("""COMPUTED_VALUE"""),1135.05)</f>
        <v>1135.05</v>
      </c>
      <c r="E23" s="6">
        <f>IFERROR(__xludf.DUMMYFUNCTION("""COMPUTED_VALUE"""),1239.45)</f>
        <v>1239.45</v>
      </c>
      <c r="F23" s="6">
        <f>IFERROR(__xludf.DUMMYFUNCTION("""COMPUTED_VALUE"""),2431474.0)</f>
        <v>2431474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IFERROR(__xludf.DUMMYFUNCTION("""COMPUTED_VALUE"""),1239.45)</f>
        <v>1239.45</v>
      </c>
      <c r="C24" s="6">
        <f>IFERROR(__xludf.DUMMYFUNCTION("""COMPUTED_VALUE"""),1418.13)</f>
        <v>1418.13</v>
      </c>
      <c r="D24" s="6">
        <f>IFERROR(__xludf.DUMMYFUNCTION("""COMPUTED_VALUE"""),1239.45)</f>
        <v>1239.45</v>
      </c>
      <c r="E24" s="6">
        <f>IFERROR(__xludf.DUMMYFUNCTION("""COMPUTED_VALUE"""),1406.08)</f>
        <v>1406.08</v>
      </c>
      <c r="F24" s="6">
        <f>IFERROR(__xludf.DUMMYFUNCTION("""COMPUTED_VALUE"""),3651931.0)</f>
        <v>3651931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IFERROR(__xludf.DUMMYFUNCTION("""COMPUTED_VALUE"""),1389.55)</f>
        <v>1389.55</v>
      </c>
      <c r="C25" s="6">
        <f>IFERROR(__xludf.DUMMYFUNCTION("""COMPUTED_VALUE"""),1395.0)</f>
        <v>1395</v>
      </c>
      <c r="D25" s="6">
        <f>IFERROR(__xludf.DUMMYFUNCTION("""COMPUTED_VALUE"""),1221.5)</f>
        <v>1221.5</v>
      </c>
      <c r="E25" s="6">
        <f>IFERROR(__xludf.DUMMYFUNCTION("""COMPUTED_VALUE"""),1366.53)</f>
        <v>1366.53</v>
      </c>
      <c r="F25" s="6">
        <f>IFERROR(__xludf.DUMMYFUNCTION("""COMPUTED_VALUE"""),3017752.0)</f>
        <v>3017752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IFERROR(__xludf.DUMMYFUNCTION("""COMPUTED_VALUE"""),1357.1)</f>
        <v>1357.1</v>
      </c>
      <c r="C26" s="6">
        <f>IFERROR(__xludf.DUMMYFUNCTION("""COMPUTED_VALUE"""),1471.0)</f>
        <v>1471</v>
      </c>
      <c r="D26" s="6">
        <f>IFERROR(__xludf.DUMMYFUNCTION("""COMPUTED_VALUE"""),1333.53)</f>
        <v>1333.53</v>
      </c>
      <c r="E26" s="6">
        <f>IFERROR(__xludf.DUMMYFUNCTION("""COMPUTED_VALUE"""),1455.2)</f>
        <v>1455.2</v>
      </c>
      <c r="F26" s="6">
        <f>IFERROR(__xludf.DUMMYFUNCTION("""COMPUTED_VALUE"""),2827585.0)</f>
        <v>2827585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IFERROR(__xludf.DUMMYFUNCTION("""COMPUTED_VALUE"""),1367.5)</f>
        <v>1367.5</v>
      </c>
      <c r="C27" s="6">
        <f>IFERROR(__xludf.DUMMYFUNCTION("""COMPUTED_VALUE"""),1405.98)</f>
        <v>1405.98</v>
      </c>
      <c r="D27" s="6">
        <f>IFERROR(__xludf.DUMMYFUNCTION("""COMPUTED_VALUE"""),1330.43)</f>
        <v>1330.43</v>
      </c>
      <c r="E27" s="6">
        <f>IFERROR(__xludf.DUMMYFUNCTION("""COMPUTED_VALUE"""),1390.98)</f>
        <v>1390.98</v>
      </c>
      <c r="F27" s="6">
        <f>IFERROR(__xludf.DUMMYFUNCTION("""COMPUTED_VALUE"""),2363017.0)</f>
        <v>2363017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IFERROR(__xludf.DUMMYFUNCTION("""COMPUTED_VALUE"""),1400.7)</f>
        <v>1400.7</v>
      </c>
      <c r="C28" s="6">
        <f>IFERROR(__xludf.DUMMYFUNCTION("""COMPUTED_VALUE"""),1485.8)</f>
        <v>1485.8</v>
      </c>
      <c r="D28" s="6">
        <f>IFERROR(__xludf.DUMMYFUNCTION("""COMPUTED_VALUE"""),1215.4)</f>
        <v>1215.4</v>
      </c>
      <c r="E28" s="6">
        <f>IFERROR(__xludf.DUMMYFUNCTION("""COMPUTED_VALUE"""),1362.53)</f>
        <v>1362.53</v>
      </c>
      <c r="F28" s="6">
        <f>IFERROR(__xludf.DUMMYFUNCTION("""COMPUTED_VALUE"""),5662153.0)</f>
        <v>5662153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IFERROR(__xludf.DUMMYFUNCTION("""COMPUTED_VALUE"""),1358.53)</f>
        <v>1358.53</v>
      </c>
      <c r="C29" s="6">
        <f>IFERROR(__xludf.DUMMYFUNCTION("""COMPUTED_VALUE"""),1372.5)</f>
        <v>1372.5</v>
      </c>
      <c r="D29" s="6">
        <f>IFERROR(__xludf.DUMMYFUNCTION("""COMPUTED_VALUE"""),1261.65)</f>
        <v>1261.65</v>
      </c>
      <c r="E29" s="6">
        <f>IFERROR(__xludf.DUMMYFUNCTION("""COMPUTED_VALUE"""),1273.9)</f>
        <v>1273.9</v>
      </c>
      <c r="F29" s="6">
        <f>IFERROR(__xludf.DUMMYFUNCTION("""COMPUTED_VALUE"""),2449995.0)</f>
        <v>2449995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IFERROR(__xludf.DUMMYFUNCTION("""COMPUTED_VALUE"""),1280.1)</f>
        <v>1280.1</v>
      </c>
      <c r="C30" s="6">
        <f>IFERROR(__xludf.DUMMYFUNCTION("""COMPUTED_VALUE"""),1413.38)</f>
        <v>1413.38</v>
      </c>
      <c r="D30" s="6">
        <f>IFERROR(__xludf.DUMMYFUNCTION("""COMPUTED_VALUE"""),1274.85)</f>
        <v>1274.85</v>
      </c>
      <c r="E30" s="6">
        <f>IFERROR(__xludf.DUMMYFUNCTION("""COMPUTED_VALUE"""),1391.4)</f>
        <v>1391.4</v>
      </c>
      <c r="F30" s="6">
        <f>IFERROR(__xludf.DUMMYFUNCTION("""COMPUTED_VALUE"""),1550650.0)</f>
        <v>1550650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IFERROR(__xludf.DUMMYFUNCTION("""COMPUTED_VALUE"""),1391.4)</f>
        <v>1391.4</v>
      </c>
      <c r="C31" s="6">
        <f>IFERROR(__xludf.DUMMYFUNCTION("""COMPUTED_VALUE"""),1465.0)</f>
        <v>1465</v>
      </c>
      <c r="D31" s="6">
        <f>IFERROR(__xludf.DUMMYFUNCTION("""COMPUTED_VALUE"""),1390.5)</f>
        <v>1390.5</v>
      </c>
      <c r="E31" s="6">
        <f>IFERROR(__xludf.DUMMYFUNCTION("""COMPUTED_VALUE"""),1424.95)</f>
        <v>1424.95</v>
      </c>
      <c r="F31" s="6">
        <f>IFERROR(__xludf.DUMMYFUNCTION("""COMPUTED_VALUE"""),1602843.0)</f>
        <v>1602843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IFERROR(__xludf.DUMMYFUNCTION("""COMPUTED_VALUE"""),1447.43)</f>
        <v>1447.43</v>
      </c>
      <c r="C32" s="6">
        <f>IFERROR(__xludf.DUMMYFUNCTION("""COMPUTED_VALUE"""),1570.0)</f>
        <v>1570</v>
      </c>
      <c r="D32" s="6">
        <f>IFERROR(__xludf.DUMMYFUNCTION("""COMPUTED_VALUE"""),1431.88)</f>
        <v>1431.88</v>
      </c>
      <c r="E32" s="6">
        <f>IFERROR(__xludf.DUMMYFUNCTION("""COMPUTED_VALUE"""),1498.35)</f>
        <v>1498.35</v>
      </c>
      <c r="F32" s="6">
        <f>IFERROR(__xludf.DUMMYFUNCTION("""COMPUTED_VALUE"""),2225546.0)</f>
        <v>2225546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IFERROR(__xludf.DUMMYFUNCTION("""COMPUTED_VALUE"""),1475.0)</f>
        <v>1475</v>
      </c>
      <c r="C33" s="6">
        <f>IFERROR(__xludf.DUMMYFUNCTION("""COMPUTED_VALUE"""),1632.5)</f>
        <v>1632.5</v>
      </c>
      <c r="D33" s="6">
        <f>IFERROR(__xludf.DUMMYFUNCTION("""COMPUTED_VALUE"""),1470.0)</f>
        <v>1470</v>
      </c>
      <c r="E33" s="6">
        <f>IFERROR(__xludf.DUMMYFUNCTION("""COMPUTED_VALUE"""),1560.9)</f>
        <v>1560.9</v>
      </c>
      <c r="F33" s="6">
        <f>IFERROR(__xludf.DUMMYFUNCTION("""COMPUTED_VALUE"""),3112303.0)</f>
        <v>3112303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IFERROR(__xludf.DUMMYFUNCTION("""COMPUTED_VALUE"""),1582.5)</f>
        <v>1582.5</v>
      </c>
      <c r="C34" s="6">
        <f>IFERROR(__xludf.DUMMYFUNCTION("""COMPUTED_VALUE"""),1627.48)</f>
        <v>1627.48</v>
      </c>
      <c r="D34" s="6">
        <f>IFERROR(__xludf.DUMMYFUNCTION("""COMPUTED_VALUE"""),1527.5)</f>
        <v>1527.5</v>
      </c>
      <c r="E34" s="6">
        <f>IFERROR(__xludf.DUMMYFUNCTION("""COMPUTED_VALUE"""),1545.55)</f>
        <v>1545.55</v>
      </c>
      <c r="F34" s="6">
        <f>IFERROR(__xludf.DUMMYFUNCTION("""COMPUTED_VALUE"""),2221678.0)</f>
        <v>2221678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IFERROR(__xludf.DUMMYFUNCTION("""COMPUTED_VALUE"""),1557.0)</f>
        <v>1557</v>
      </c>
      <c r="C35" s="6">
        <f>IFERROR(__xludf.DUMMYFUNCTION("""COMPUTED_VALUE"""),1601.0)</f>
        <v>1601</v>
      </c>
      <c r="D35" s="6">
        <f>IFERROR(__xludf.DUMMYFUNCTION("""COMPUTED_VALUE"""),1510.1)</f>
        <v>1510.1</v>
      </c>
      <c r="E35" s="6">
        <f>IFERROR(__xludf.DUMMYFUNCTION("""COMPUTED_VALUE"""),1531.65)</f>
        <v>1531.65</v>
      </c>
      <c r="F35" s="6">
        <f>IFERROR(__xludf.DUMMYFUNCTION("""COMPUTED_VALUE"""),1472225.0)</f>
        <v>1472225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IFERROR(__xludf.DUMMYFUNCTION("""COMPUTED_VALUE"""),1536.03)</f>
        <v>1536.03</v>
      </c>
      <c r="C36" s="6">
        <f>IFERROR(__xludf.DUMMYFUNCTION("""COMPUTED_VALUE"""),1566.28)</f>
        <v>1566.28</v>
      </c>
      <c r="D36" s="6">
        <f>IFERROR(__xludf.DUMMYFUNCTION("""COMPUTED_VALUE"""),1387.5)</f>
        <v>1387.5</v>
      </c>
      <c r="E36" s="6">
        <f>IFERROR(__xludf.DUMMYFUNCTION("""COMPUTED_VALUE"""),1428.98)</f>
        <v>1428.98</v>
      </c>
      <c r="F36" s="6">
        <f>IFERROR(__xludf.DUMMYFUNCTION("""COMPUTED_VALUE"""),2141999.0)</f>
        <v>2141999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IFERROR(__xludf.DUMMYFUNCTION("""COMPUTED_VALUE"""),1565.0)</f>
        <v>1565</v>
      </c>
      <c r="C37" s="6">
        <f>IFERROR(__xludf.DUMMYFUNCTION("""COMPUTED_VALUE"""),1658.48)</f>
        <v>1658.48</v>
      </c>
      <c r="D37" s="6">
        <f>IFERROR(__xludf.DUMMYFUNCTION("""COMPUTED_VALUE"""),1465.48)</f>
        <v>1465.48</v>
      </c>
      <c r="E37" s="6">
        <f>IFERROR(__xludf.DUMMYFUNCTION("""COMPUTED_VALUE"""),1604.48)</f>
        <v>1604.48</v>
      </c>
      <c r="F37" s="6">
        <f>IFERROR(__xludf.DUMMYFUNCTION("""COMPUTED_VALUE"""),3475738.0)</f>
        <v>3475738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IFERROR(__xludf.DUMMYFUNCTION("""COMPUTED_VALUE"""),1619.7)</f>
        <v>1619.7</v>
      </c>
      <c r="C38" s="6">
        <f>IFERROR(__xludf.DUMMYFUNCTION("""COMPUTED_VALUE"""),1649.5)</f>
        <v>1649.5</v>
      </c>
      <c r="D38" s="6">
        <f>IFERROR(__xludf.DUMMYFUNCTION("""COMPUTED_VALUE"""),1508.55)</f>
        <v>1508.55</v>
      </c>
      <c r="E38" s="6">
        <f>IFERROR(__xludf.DUMMYFUNCTION("""COMPUTED_VALUE"""),1549.83)</f>
        <v>1549.83</v>
      </c>
      <c r="F38" s="6">
        <f>IFERROR(__xludf.DUMMYFUNCTION("""COMPUTED_VALUE"""),1.6181279E7)</f>
        <v>16181279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IFERROR(__xludf.DUMMYFUNCTION("""COMPUTED_VALUE"""),1612.5)</f>
        <v>1612.5</v>
      </c>
      <c r="C39" s="6">
        <f>IFERROR(__xludf.DUMMYFUNCTION("""COMPUTED_VALUE"""),1711.73)</f>
        <v>1711.73</v>
      </c>
      <c r="D39" s="6">
        <f>IFERROR(__xludf.DUMMYFUNCTION("""COMPUTED_VALUE"""),1490.0)</f>
        <v>1490</v>
      </c>
      <c r="E39" s="6">
        <f>IFERROR(__xludf.DUMMYFUNCTION("""COMPUTED_VALUE"""),1613.18)</f>
        <v>1613.18</v>
      </c>
      <c r="F39" s="6">
        <f>IFERROR(__xludf.DUMMYFUNCTION("""COMPUTED_VALUE"""),2856940.0)</f>
        <v>2856940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IFERROR(__xludf.DUMMYFUNCTION("""COMPUTED_VALUE"""),1620.0)</f>
        <v>1620</v>
      </c>
      <c r="C40" s="6">
        <f>IFERROR(__xludf.DUMMYFUNCTION("""COMPUTED_VALUE"""),1797.5)</f>
        <v>1797.5</v>
      </c>
      <c r="D40" s="6">
        <f>IFERROR(__xludf.DUMMYFUNCTION("""COMPUTED_VALUE"""),1620.0)</f>
        <v>1620</v>
      </c>
      <c r="E40" s="6">
        <f>IFERROR(__xludf.DUMMYFUNCTION("""COMPUTED_VALUE"""),1780.8)</f>
        <v>1780.8</v>
      </c>
      <c r="F40" s="6">
        <f>IFERROR(__xludf.DUMMYFUNCTION("""COMPUTED_VALUE"""),1745878.0)</f>
        <v>1745878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IFERROR(__xludf.DUMMYFUNCTION("""COMPUTED_VALUE"""),1784.5)</f>
        <v>1784.5</v>
      </c>
      <c r="C41" s="6">
        <f>IFERROR(__xludf.DUMMYFUNCTION("""COMPUTED_VALUE"""),1972.5)</f>
        <v>1972.5</v>
      </c>
      <c r="D41" s="6">
        <f>IFERROR(__xludf.DUMMYFUNCTION("""COMPUTED_VALUE"""),1755.03)</f>
        <v>1755.03</v>
      </c>
      <c r="E41" s="6">
        <f>IFERROR(__xludf.DUMMYFUNCTION("""COMPUTED_VALUE"""),1798.95)</f>
        <v>1798.95</v>
      </c>
      <c r="F41" s="6">
        <f>IFERROR(__xludf.DUMMYFUNCTION("""COMPUTED_VALUE"""),1732460.0)</f>
        <v>1732460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IFERROR(__xludf.DUMMYFUNCTION("""COMPUTED_VALUE"""),1792.25)</f>
        <v>1792.25</v>
      </c>
      <c r="C42" s="6">
        <f>IFERROR(__xludf.DUMMYFUNCTION("""COMPUTED_VALUE"""),1873.95)</f>
        <v>1873.95</v>
      </c>
      <c r="D42" s="6">
        <f>IFERROR(__xludf.DUMMYFUNCTION("""COMPUTED_VALUE"""),1747.03)</f>
        <v>1747.03</v>
      </c>
      <c r="E42" s="6">
        <f>IFERROR(__xludf.DUMMYFUNCTION("""COMPUTED_VALUE"""),1794.15)</f>
        <v>1794.15</v>
      </c>
      <c r="F42" s="6">
        <f>IFERROR(__xludf.DUMMYFUNCTION("""COMPUTED_VALUE"""),1112468.0)</f>
        <v>1112468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IFERROR(__xludf.DUMMYFUNCTION("""COMPUTED_VALUE"""),1794.3)</f>
        <v>1794.3</v>
      </c>
      <c r="C43" s="6">
        <f>IFERROR(__xludf.DUMMYFUNCTION("""COMPUTED_VALUE"""),1885.0)</f>
        <v>1885</v>
      </c>
      <c r="D43" s="6">
        <f>IFERROR(__xludf.DUMMYFUNCTION("""COMPUTED_VALUE"""),1759.5)</f>
        <v>1759.5</v>
      </c>
      <c r="E43" s="6">
        <f>IFERROR(__xludf.DUMMYFUNCTION("""COMPUTED_VALUE"""),1877.05)</f>
        <v>1877.05</v>
      </c>
      <c r="F43" s="6">
        <f>IFERROR(__xludf.DUMMYFUNCTION("""COMPUTED_VALUE"""),1362700.0)</f>
        <v>1362700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IFERROR(__xludf.DUMMYFUNCTION("""COMPUTED_VALUE"""),1869.53)</f>
        <v>1869.53</v>
      </c>
      <c r="C44" s="6">
        <f>IFERROR(__xludf.DUMMYFUNCTION("""COMPUTED_VALUE"""),2047.0)</f>
        <v>2047</v>
      </c>
      <c r="D44" s="6">
        <f>IFERROR(__xludf.DUMMYFUNCTION("""COMPUTED_VALUE"""),1853.88)</f>
        <v>1853.88</v>
      </c>
      <c r="E44" s="6">
        <f>IFERROR(__xludf.DUMMYFUNCTION("""COMPUTED_VALUE"""),1951.43)</f>
        <v>1951.43</v>
      </c>
      <c r="F44" s="6">
        <f>IFERROR(__xludf.DUMMYFUNCTION("""COMPUTED_VALUE"""),2213392.0)</f>
        <v>2213392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IFERROR(__xludf.DUMMYFUNCTION("""COMPUTED_VALUE"""),1955.5)</f>
        <v>1955.5</v>
      </c>
      <c r="C45" s="6">
        <f>IFERROR(__xludf.DUMMYFUNCTION("""COMPUTED_VALUE"""),2068.5)</f>
        <v>2068.5</v>
      </c>
      <c r="D45" s="6">
        <f>IFERROR(__xludf.DUMMYFUNCTION("""COMPUTED_VALUE"""),1905.53)</f>
        <v>1905.53</v>
      </c>
      <c r="E45" s="6">
        <f>IFERROR(__xludf.DUMMYFUNCTION("""COMPUTED_VALUE"""),1980.93)</f>
        <v>1980.93</v>
      </c>
      <c r="F45" s="6">
        <f>IFERROR(__xludf.DUMMYFUNCTION("""COMPUTED_VALUE"""),1369842.0)</f>
        <v>1369842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IFERROR(__xludf.DUMMYFUNCTION("""COMPUTED_VALUE"""),1975.0)</f>
        <v>1975</v>
      </c>
      <c r="C46" s="6">
        <f>IFERROR(__xludf.DUMMYFUNCTION("""COMPUTED_VALUE"""),1975.0)</f>
        <v>1975</v>
      </c>
      <c r="D46" s="6">
        <f>IFERROR(__xludf.DUMMYFUNCTION("""COMPUTED_VALUE"""),1715.83)</f>
        <v>1715.83</v>
      </c>
      <c r="E46" s="6">
        <f>IFERROR(__xludf.DUMMYFUNCTION("""COMPUTED_VALUE"""),1768.13)</f>
        <v>1768.13</v>
      </c>
      <c r="F46" s="6">
        <f>IFERROR(__xludf.DUMMYFUNCTION("""COMPUTED_VALUE"""),2068594.0)</f>
        <v>2068594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IFERROR(__xludf.DUMMYFUNCTION("""COMPUTED_VALUE"""),1835.0)</f>
        <v>1835</v>
      </c>
      <c r="C47" s="6">
        <f>IFERROR(__xludf.DUMMYFUNCTION("""COMPUTED_VALUE"""),1945.05)</f>
        <v>1945.05</v>
      </c>
      <c r="D47" s="6">
        <f>IFERROR(__xludf.DUMMYFUNCTION("""COMPUTED_VALUE"""),1717.5)</f>
        <v>1717.5</v>
      </c>
      <c r="E47" s="6">
        <f>IFERROR(__xludf.DUMMYFUNCTION("""COMPUTED_VALUE"""),1736.18)</f>
        <v>1736.18</v>
      </c>
      <c r="F47" s="6">
        <f>IFERROR(__xludf.DUMMYFUNCTION("""COMPUTED_VALUE"""),2088220.0)</f>
        <v>2088220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IFERROR(__xludf.DUMMYFUNCTION("""COMPUTED_VALUE"""),1649.5)</f>
        <v>1649.5</v>
      </c>
      <c r="C48" s="6">
        <f>IFERROR(__xludf.DUMMYFUNCTION("""COMPUTED_VALUE"""),1723.0)</f>
        <v>1723</v>
      </c>
      <c r="D48" s="6">
        <f>IFERROR(__xludf.DUMMYFUNCTION("""COMPUTED_VALUE"""),1558.5)</f>
        <v>1558.5</v>
      </c>
      <c r="E48" s="6">
        <f>IFERROR(__xludf.DUMMYFUNCTION("""COMPUTED_VALUE"""),1681.45)</f>
        <v>1681.45</v>
      </c>
      <c r="F48" s="6">
        <f>IFERROR(__xludf.DUMMYFUNCTION("""COMPUTED_VALUE"""),2309181.0)</f>
        <v>2309181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IFERROR(__xludf.DUMMYFUNCTION("""COMPUTED_VALUE"""),1681.05)</f>
        <v>1681.05</v>
      </c>
      <c r="C49" s="6">
        <f>IFERROR(__xludf.DUMMYFUNCTION("""COMPUTED_VALUE"""),1727.0)</f>
        <v>1727</v>
      </c>
      <c r="D49" s="6">
        <f>IFERROR(__xludf.DUMMYFUNCTION("""COMPUTED_VALUE"""),1655.05)</f>
        <v>1655.05</v>
      </c>
      <c r="E49" s="6">
        <f>IFERROR(__xludf.DUMMYFUNCTION("""COMPUTED_VALUE"""),1687.35)</f>
        <v>1687.35</v>
      </c>
      <c r="F49" s="6">
        <f>IFERROR(__xludf.DUMMYFUNCTION("""COMPUTED_VALUE"""),845516.0)</f>
        <v>845516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IFERROR(__xludf.DUMMYFUNCTION("""COMPUTED_VALUE"""),1693.1)</f>
        <v>1693.1</v>
      </c>
      <c r="C50" s="6">
        <f>IFERROR(__xludf.DUMMYFUNCTION("""COMPUTED_VALUE"""),1868.73)</f>
        <v>1868.73</v>
      </c>
      <c r="D50" s="6">
        <f>IFERROR(__xludf.DUMMYFUNCTION("""COMPUTED_VALUE"""),1688.0)</f>
        <v>1688</v>
      </c>
      <c r="E50" s="6">
        <f>IFERROR(__xludf.DUMMYFUNCTION("""COMPUTED_VALUE"""),1781.68)</f>
        <v>1781.68</v>
      </c>
      <c r="F50" s="6">
        <f>IFERROR(__xludf.DUMMYFUNCTION("""COMPUTED_VALUE"""),1265699.0)</f>
        <v>1265699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IFERROR(__xludf.DUMMYFUNCTION("""COMPUTED_VALUE"""),1786.43)</f>
        <v>1786.43</v>
      </c>
      <c r="C51" s="6">
        <f>IFERROR(__xludf.DUMMYFUNCTION("""COMPUTED_VALUE"""),1918.98)</f>
        <v>1918.98</v>
      </c>
      <c r="D51" s="6">
        <f>IFERROR(__xludf.DUMMYFUNCTION("""COMPUTED_VALUE"""),1763.68)</f>
        <v>1763.68</v>
      </c>
      <c r="E51" s="6">
        <f>IFERROR(__xludf.DUMMYFUNCTION("""COMPUTED_VALUE"""),1884.7)</f>
        <v>1884.7</v>
      </c>
      <c r="F51" s="6">
        <f>IFERROR(__xludf.DUMMYFUNCTION("""COMPUTED_VALUE"""),1832095.0)</f>
        <v>1832095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IFERROR(__xludf.DUMMYFUNCTION("""COMPUTED_VALUE"""),1892.0)</f>
        <v>1892</v>
      </c>
      <c r="C52" s="6">
        <f>IFERROR(__xludf.DUMMYFUNCTION("""COMPUTED_VALUE"""),1907.08)</f>
        <v>1907.08</v>
      </c>
      <c r="D52" s="6">
        <f>IFERROR(__xludf.DUMMYFUNCTION("""COMPUTED_VALUE"""),1785.03)</f>
        <v>1785.03</v>
      </c>
      <c r="E52" s="6">
        <f>IFERROR(__xludf.DUMMYFUNCTION("""COMPUTED_VALUE"""),1803.38)</f>
        <v>1803.38</v>
      </c>
      <c r="F52" s="6">
        <f>IFERROR(__xludf.DUMMYFUNCTION("""COMPUTED_VALUE"""),1655371.0)</f>
        <v>1655371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IFERROR(__xludf.DUMMYFUNCTION("""COMPUTED_VALUE"""),1817.58)</f>
        <v>1817.58</v>
      </c>
      <c r="C53" s="6">
        <f>IFERROR(__xludf.DUMMYFUNCTION("""COMPUTED_VALUE"""),1837.23)</f>
        <v>1837.23</v>
      </c>
      <c r="D53" s="6">
        <f>IFERROR(__xludf.DUMMYFUNCTION("""COMPUTED_VALUE"""),1645.2)</f>
        <v>1645.2</v>
      </c>
      <c r="E53" s="6">
        <f>IFERROR(__xludf.DUMMYFUNCTION("""COMPUTED_VALUE"""),1671.4)</f>
        <v>1671.4</v>
      </c>
      <c r="F53" s="6">
        <f>IFERROR(__xludf.DUMMYFUNCTION("""COMPUTED_VALUE"""),1416660.0)</f>
        <v>1416660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IFERROR(__xludf.DUMMYFUNCTION("""COMPUTED_VALUE"""),1689.48)</f>
        <v>1689.48</v>
      </c>
      <c r="C54" s="6">
        <f>IFERROR(__xludf.DUMMYFUNCTION("""COMPUTED_VALUE"""),1950.0)</f>
        <v>1950</v>
      </c>
      <c r="D54" s="6">
        <f>IFERROR(__xludf.DUMMYFUNCTION("""COMPUTED_VALUE"""),1647.8)</f>
        <v>1647.8</v>
      </c>
      <c r="E54" s="6">
        <f>IFERROR(__xludf.DUMMYFUNCTION("""COMPUTED_VALUE"""),1844.05)</f>
        <v>1844.05</v>
      </c>
      <c r="F54" s="6">
        <f>IFERROR(__xludf.DUMMYFUNCTION("""COMPUTED_VALUE"""),2397797.0)</f>
        <v>2397797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IFERROR(__xludf.DUMMYFUNCTION("""COMPUTED_VALUE"""),1880.9)</f>
        <v>1880.9</v>
      </c>
      <c r="C55" s="6">
        <f>IFERROR(__xludf.DUMMYFUNCTION("""COMPUTED_VALUE"""),1968.0)</f>
        <v>1968</v>
      </c>
      <c r="D55" s="6">
        <f>IFERROR(__xludf.DUMMYFUNCTION("""COMPUTED_VALUE"""),1701.6)</f>
        <v>1701.6</v>
      </c>
      <c r="E55" s="6">
        <f>IFERROR(__xludf.DUMMYFUNCTION("""COMPUTED_VALUE"""),1858.55)</f>
        <v>1858.55</v>
      </c>
      <c r="F55" s="6">
        <f>IFERROR(__xludf.DUMMYFUNCTION("""COMPUTED_VALUE"""),2981874.0)</f>
        <v>2981874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IFERROR(__xludf.DUMMYFUNCTION("""COMPUTED_VALUE"""),1810.55)</f>
        <v>1810.55</v>
      </c>
      <c r="C56" s="6">
        <f>IFERROR(__xludf.DUMMYFUNCTION("""COMPUTED_VALUE"""),1869.95)</f>
        <v>1869.95</v>
      </c>
      <c r="D56" s="6">
        <f>IFERROR(__xludf.DUMMYFUNCTION("""COMPUTED_VALUE"""),1560.0)</f>
        <v>1560</v>
      </c>
      <c r="E56" s="6">
        <f>IFERROR(__xludf.DUMMYFUNCTION("""COMPUTED_VALUE"""),1672.3)</f>
        <v>1672.3</v>
      </c>
      <c r="F56" s="6">
        <f>IFERROR(__xludf.DUMMYFUNCTION("""COMPUTED_VALUE"""),5533062.0)</f>
        <v>5533062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IFERROR(__xludf.DUMMYFUNCTION("""COMPUTED_VALUE"""),1680.05)</f>
        <v>1680.05</v>
      </c>
      <c r="C57" s="6">
        <f>IFERROR(__xludf.DUMMYFUNCTION("""COMPUTED_VALUE"""),1756.75)</f>
        <v>1756.75</v>
      </c>
      <c r="D57" s="6">
        <f>IFERROR(__xludf.DUMMYFUNCTION("""COMPUTED_VALUE"""),1622.05)</f>
        <v>1622.05</v>
      </c>
      <c r="E57" s="6">
        <f>IFERROR(__xludf.DUMMYFUNCTION("""COMPUTED_VALUE"""),1628.95)</f>
        <v>1628.95</v>
      </c>
      <c r="F57" s="6">
        <f>IFERROR(__xludf.DUMMYFUNCTION("""COMPUTED_VALUE"""),3985604.0)</f>
        <v>3985604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IFERROR(__xludf.DUMMYFUNCTION("""COMPUTED_VALUE"""),1635.0)</f>
        <v>1635</v>
      </c>
      <c r="C58" s="6">
        <f>IFERROR(__xludf.DUMMYFUNCTION("""COMPUTED_VALUE"""),1684.95)</f>
        <v>1684.95</v>
      </c>
      <c r="D58" s="6">
        <f>IFERROR(__xludf.DUMMYFUNCTION("""COMPUTED_VALUE"""),1596.1)</f>
        <v>1596.1</v>
      </c>
      <c r="E58" s="6">
        <f>IFERROR(__xludf.DUMMYFUNCTION("""COMPUTED_VALUE"""),1610.8)</f>
        <v>1610.8</v>
      </c>
      <c r="F58" s="6">
        <f>IFERROR(__xludf.DUMMYFUNCTION("""COMPUTED_VALUE"""),1976783.0)</f>
        <v>1976783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IFERROR(__xludf.DUMMYFUNCTION("""COMPUTED_VALUE"""),1599.85)</f>
        <v>1599.85</v>
      </c>
      <c r="C59" s="6">
        <f>IFERROR(__xludf.DUMMYFUNCTION("""COMPUTED_VALUE"""),1630.0)</f>
        <v>1630</v>
      </c>
      <c r="D59" s="6">
        <f>IFERROR(__xludf.DUMMYFUNCTION("""COMPUTED_VALUE"""),1454.1)</f>
        <v>1454.1</v>
      </c>
      <c r="E59" s="6">
        <f>IFERROR(__xludf.DUMMYFUNCTION("""COMPUTED_VALUE"""),1482.6)</f>
        <v>1482.6</v>
      </c>
      <c r="F59" s="6">
        <f>IFERROR(__xludf.DUMMYFUNCTION("""COMPUTED_VALUE"""),3980498.0)</f>
        <v>3980498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IFERROR(__xludf.DUMMYFUNCTION("""COMPUTED_VALUE"""),1553.0)</f>
        <v>1553</v>
      </c>
      <c r="C60" s="6">
        <f>IFERROR(__xludf.DUMMYFUNCTION("""COMPUTED_VALUE"""),1554.95)</f>
        <v>1554.95</v>
      </c>
      <c r="D60" s="6">
        <f>IFERROR(__xludf.DUMMYFUNCTION("""COMPUTED_VALUE"""),1463.6)</f>
        <v>1463.6</v>
      </c>
      <c r="E60" s="6">
        <f>IFERROR(__xludf.DUMMYFUNCTION("""COMPUTED_VALUE"""),1476.9)</f>
        <v>1476.9</v>
      </c>
      <c r="F60" s="6">
        <f>IFERROR(__xludf.DUMMYFUNCTION("""COMPUTED_VALUE"""),2585045.0)</f>
        <v>2585045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IFERROR(__xludf.DUMMYFUNCTION("""COMPUTED_VALUE"""),1466.0)</f>
        <v>1466</v>
      </c>
      <c r="C61" s="6">
        <f>IFERROR(__xludf.DUMMYFUNCTION("""COMPUTED_VALUE"""),1518.95)</f>
        <v>1518.95</v>
      </c>
      <c r="D61" s="6">
        <f>IFERROR(__xludf.DUMMYFUNCTION("""COMPUTED_VALUE"""),1392.1)</f>
        <v>1392.1</v>
      </c>
      <c r="E61" s="6">
        <f>IFERROR(__xludf.DUMMYFUNCTION("""COMPUTED_VALUE"""),1397.95)</f>
        <v>1397.95</v>
      </c>
      <c r="F61" s="6">
        <f>IFERROR(__xludf.DUMMYFUNCTION("""COMPUTED_VALUE"""),2018933.0)</f>
        <v>2018933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IFERROR(__xludf.DUMMYFUNCTION("""COMPUTED_VALUE"""),1420.25)</f>
        <v>1420.25</v>
      </c>
      <c r="C62" s="6">
        <f>IFERROR(__xludf.DUMMYFUNCTION("""COMPUTED_VALUE"""),1637.8)</f>
        <v>1637.8</v>
      </c>
      <c r="D62" s="6">
        <f>IFERROR(__xludf.DUMMYFUNCTION("""COMPUTED_VALUE"""),1406.3)</f>
        <v>1406.3</v>
      </c>
      <c r="E62" s="6">
        <f>IFERROR(__xludf.DUMMYFUNCTION("""COMPUTED_VALUE"""),1627.35)</f>
        <v>1627.35</v>
      </c>
      <c r="F62" s="6">
        <f>IFERROR(__xludf.DUMMYFUNCTION("""COMPUTED_VALUE"""),3034953.0)</f>
        <v>3034953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IFERROR(__xludf.DUMMYFUNCTION("""COMPUTED_VALUE"""),1649.05)</f>
        <v>1649.05</v>
      </c>
      <c r="C63" s="6">
        <f>IFERROR(__xludf.DUMMYFUNCTION("""COMPUTED_VALUE"""),1727.7)</f>
        <v>1727.7</v>
      </c>
      <c r="D63" s="6">
        <f>IFERROR(__xludf.DUMMYFUNCTION("""COMPUTED_VALUE"""),1634.45)</f>
        <v>1634.45</v>
      </c>
      <c r="E63" s="6">
        <f>IFERROR(__xludf.DUMMYFUNCTION("""COMPUTED_VALUE"""),1656.25)</f>
        <v>1656.25</v>
      </c>
      <c r="F63" s="6">
        <f>IFERROR(__xludf.DUMMYFUNCTION("""COMPUTED_VALUE"""),4706369.0)</f>
        <v>4706369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IFERROR(__xludf.DUMMYFUNCTION("""COMPUTED_VALUE"""),1656.25)</f>
        <v>1656.25</v>
      </c>
      <c r="C64" s="6">
        <f>IFERROR(__xludf.DUMMYFUNCTION("""COMPUTED_VALUE"""),1818.0)</f>
        <v>1818</v>
      </c>
      <c r="D64" s="6">
        <f>IFERROR(__xludf.DUMMYFUNCTION("""COMPUTED_VALUE"""),1651.1)</f>
        <v>1651.1</v>
      </c>
      <c r="E64" s="6">
        <f>IFERROR(__xludf.DUMMYFUNCTION("""COMPUTED_VALUE"""),1771.35)</f>
        <v>1771.35</v>
      </c>
      <c r="F64" s="6">
        <f>IFERROR(__xludf.DUMMYFUNCTION("""COMPUTED_VALUE"""),3781058.0)</f>
        <v>3781058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IFERROR(__xludf.DUMMYFUNCTION("""COMPUTED_VALUE"""),1770.0)</f>
        <v>1770</v>
      </c>
      <c r="C65" s="6">
        <f>IFERROR(__xludf.DUMMYFUNCTION("""COMPUTED_VALUE"""),1902.0)</f>
        <v>1902</v>
      </c>
      <c r="D65" s="6">
        <f>IFERROR(__xludf.DUMMYFUNCTION("""COMPUTED_VALUE"""),1758.0)</f>
        <v>1758</v>
      </c>
      <c r="E65" s="6">
        <f>IFERROR(__xludf.DUMMYFUNCTION("""COMPUTED_VALUE"""),1775.3)</f>
        <v>1775.3</v>
      </c>
      <c r="F65" s="6">
        <f>IFERROR(__xludf.DUMMYFUNCTION("""COMPUTED_VALUE"""),3384021.0)</f>
        <v>3384021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IFERROR(__xludf.DUMMYFUNCTION("""COMPUTED_VALUE"""),1781.0)</f>
        <v>1781</v>
      </c>
      <c r="C66" s="6">
        <f>IFERROR(__xludf.DUMMYFUNCTION("""COMPUTED_VALUE"""),1857.0)</f>
        <v>1857</v>
      </c>
      <c r="D66" s="6">
        <f>IFERROR(__xludf.DUMMYFUNCTION("""COMPUTED_VALUE"""),1575.45)</f>
        <v>1575.45</v>
      </c>
      <c r="E66" s="6">
        <f>IFERROR(__xludf.DUMMYFUNCTION("""COMPUTED_VALUE"""),1591.05)</f>
        <v>1591.05</v>
      </c>
      <c r="F66" s="6">
        <f>IFERROR(__xludf.DUMMYFUNCTION("""COMPUTED_VALUE"""),2498388.0)</f>
        <v>2498388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IFERROR(__xludf.DUMMYFUNCTION("""COMPUTED_VALUE"""),1614.6)</f>
        <v>1614.6</v>
      </c>
      <c r="C67" s="6">
        <f>IFERROR(__xludf.DUMMYFUNCTION("""COMPUTED_VALUE"""),1740.15)</f>
        <v>1740.15</v>
      </c>
      <c r="D67" s="6">
        <f>IFERROR(__xludf.DUMMYFUNCTION("""COMPUTED_VALUE"""),1606.1)</f>
        <v>1606.1</v>
      </c>
      <c r="E67" s="6">
        <f>IFERROR(__xludf.DUMMYFUNCTION("""COMPUTED_VALUE"""),1696.35)</f>
        <v>1696.35</v>
      </c>
      <c r="F67" s="6">
        <f>IFERROR(__xludf.DUMMYFUNCTION("""COMPUTED_VALUE"""),2158675.0)</f>
        <v>2158675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IFERROR(__xludf.DUMMYFUNCTION("""COMPUTED_VALUE"""),1696.25)</f>
        <v>1696.25</v>
      </c>
      <c r="C68" s="6">
        <f>IFERROR(__xludf.DUMMYFUNCTION("""COMPUTED_VALUE"""),1758.75)</f>
        <v>1758.75</v>
      </c>
      <c r="D68" s="6">
        <f>IFERROR(__xludf.DUMMYFUNCTION("""COMPUTED_VALUE"""),1566.5)</f>
        <v>1566.5</v>
      </c>
      <c r="E68" s="6">
        <f>IFERROR(__xludf.DUMMYFUNCTION("""COMPUTED_VALUE"""),1574.4)</f>
        <v>1574.4</v>
      </c>
      <c r="F68" s="6">
        <f>IFERROR(__xludf.DUMMYFUNCTION("""COMPUTED_VALUE"""),2746885.0)</f>
        <v>2746885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IFERROR(__xludf.DUMMYFUNCTION("""COMPUTED_VALUE"""),1582.15)</f>
        <v>1582.15</v>
      </c>
      <c r="C69" s="6">
        <f>IFERROR(__xludf.DUMMYFUNCTION("""COMPUTED_VALUE"""),1797.95)</f>
        <v>1797.95</v>
      </c>
      <c r="D69" s="6">
        <f>IFERROR(__xludf.DUMMYFUNCTION("""COMPUTED_VALUE"""),1527.75)</f>
        <v>1527.75</v>
      </c>
      <c r="E69" s="6">
        <f>IFERROR(__xludf.DUMMYFUNCTION("""COMPUTED_VALUE"""),1660.1)</f>
        <v>1660.1</v>
      </c>
      <c r="F69" s="6">
        <f>IFERROR(__xludf.DUMMYFUNCTION("""COMPUTED_VALUE"""),6920800.0)</f>
        <v>6920800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IFERROR(__xludf.DUMMYFUNCTION("""COMPUTED_VALUE"""),1640.0)</f>
        <v>1640</v>
      </c>
      <c r="C70" s="6">
        <f>IFERROR(__xludf.DUMMYFUNCTION("""COMPUTED_VALUE"""),1695.9)</f>
        <v>1695.9</v>
      </c>
      <c r="D70" s="6">
        <f>IFERROR(__xludf.DUMMYFUNCTION("""COMPUTED_VALUE"""),1501.65)</f>
        <v>1501.65</v>
      </c>
      <c r="E70" s="6">
        <f>IFERROR(__xludf.DUMMYFUNCTION("""COMPUTED_VALUE"""),1643.6)</f>
        <v>1643.6</v>
      </c>
      <c r="F70" s="6">
        <f>IFERROR(__xludf.DUMMYFUNCTION("""COMPUTED_VALUE"""),5848803.0)</f>
        <v>5848803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IFERROR(__xludf.DUMMYFUNCTION("""COMPUTED_VALUE"""),1644.0)</f>
        <v>1644</v>
      </c>
      <c r="C71" s="6">
        <f>IFERROR(__xludf.DUMMYFUNCTION("""COMPUTED_VALUE"""),1664.0)</f>
        <v>1664</v>
      </c>
      <c r="D71" s="6">
        <f>IFERROR(__xludf.DUMMYFUNCTION("""COMPUTED_VALUE"""),1449.05)</f>
        <v>1449.05</v>
      </c>
      <c r="E71" s="6">
        <f>IFERROR(__xludf.DUMMYFUNCTION("""COMPUTED_VALUE"""),1516.8)</f>
        <v>1516.8</v>
      </c>
      <c r="F71" s="6">
        <f>IFERROR(__xludf.DUMMYFUNCTION("""COMPUTED_VALUE"""),2834299.0)</f>
        <v>2834299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IFERROR(__xludf.DUMMYFUNCTION("""COMPUTED_VALUE"""),1750.0)</f>
        <v>1750</v>
      </c>
      <c r="C72" s="6">
        <f>IFERROR(__xludf.DUMMYFUNCTION("""COMPUTED_VALUE"""),1849.55)</f>
        <v>1849.55</v>
      </c>
      <c r="D72" s="6">
        <f>IFERROR(__xludf.DUMMYFUNCTION("""COMPUTED_VALUE"""),1598.05)</f>
        <v>1598.05</v>
      </c>
      <c r="E72" s="6">
        <f>IFERROR(__xludf.DUMMYFUNCTION("""COMPUTED_VALUE"""),1643.75)</f>
        <v>1643.75</v>
      </c>
      <c r="F72" s="6">
        <f>IFERROR(__xludf.DUMMYFUNCTION("""COMPUTED_VALUE"""),3853287.0)</f>
        <v>3853287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IFERROR(__xludf.DUMMYFUNCTION("""COMPUTED_VALUE"""),1623.3)</f>
        <v>1623.3</v>
      </c>
      <c r="C73" s="6">
        <f>IFERROR(__xludf.DUMMYFUNCTION("""COMPUTED_VALUE"""),1645.0)</f>
        <v>1645</v>
      </c>
      <c r="D73" s="6">
        <f>IFERROR(__xludf.DUMMYFUNCTION("""COMPUTED_VALUE"""),1532.0)</f>
        <v>1532</v>
      </c>
      <c r="E73" s="6">
        <f>IFERROR(__xludf.DUMMYFUNCTION("""COMPUTED_VALUE"""),1569.6)</f>
        <v>1569.6</v>
      </c>
      <c r="F73" s="6">
        <f>IFERROR(__xludf.DUMMYFUNCTION("""COMPUTED_VALUE"""),3001922.0)</f>
        <v>3001922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IFERROR(__xludf.DUMMYFUNCTION("""COMPUTED_VALUE"""),1532.55)</f>
        <v>1532.55</v>
      </c>
      <c r="C74" s="6">
        <f>IFERROR(__xludf.DUMMYFUNCTION("""COMPUTED_VALUE"""),1617.95)</f>
        <v>1617.95</v>
      </c>
      <c r="D74" s="6">
        <f>IFERROR(__xludf.DUMMYFUNCTION("""COMPUTED_VALUE"""),1502.6)</f>
        <v>1502.6</v>
      </c>
      <c r="E74" s="6">
        <f>IFERROR(__xludf.DUMMYFUNCTION("""COMPUTED_VALUE"""),1587.4)</f>
        <v>1587.4</v>
      </c>
      <c r="F74" s="6">
        <f>IFERROR(__xludf.DUMMYFUNCTION("""COMPUTED_VALUE"""),3554215.0)</f>
        <v>3554215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IFERROR(__xludf.DUMMYFUNCTION("""COMPUTED_VALUE"""),1573.0)</f>
        <v>1573</v>
      </c>
      <c r="C75" s="6">
        <f>IFERROR(__xludf.DUMMYFUNCTION("""COMPUTED_VALUE"""),1590.2)</f>
        <v>1590.2</v>
      </c>
      <c r="D75" s="6">
        <f>IFERROR(__xludf.DUMMYFUNCTION("""COMPUTED_VALUE"""),1465.05)</f>
        <v>1465.05</v>
      </c>
      <c r="E75" s="6">
        <f>IFERROR(__xludf.DUMMYFUNCTION("""COMPUTED_VALUE"""),1548.1)</f>
        <v>1548.1</v>
      </c>
      <c r="F75" s="6">
        <f>IFERROR(__xludf.DUMMYFUNCTION("""COMPUTED_VALUE"""),3704107.0)</f>
        <v>3704107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IFERROR(__xludf.DUMMYFUNCTION("""COMPUTED_VALUE"""),1546.2)</f>
        <v>1546.2</v>
      </c>
      <c r="C76" s="6">
        <f>IFERROR(__xludf.DUMMYFUNCTION("""COMPUTED_VALUE"""),1606.0)</f>
        <v>1606</v>
      </c>
      <c r="D76" s="6">
        <f>IFERROR(__xludf.DUMMYFUNCTION("""COMPUTED_VALUE"""),1483.85)</f>
        <v>1483.85</v>
      </c>
      <c r="E76" s="6">
        <f>IFERROR(__xludf.DUMMYFUNCTION("""COMPUTED_VALUE"""),1560.15)</f>
        <v>1560.15</v>
      </c>
      <c r="F76" s="6">
        <f>IFERROR(__xludf.DUMMYFUNCTION("""COMPUTED_VALUE"""),2671770.0)</f>
        <v>2671770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IFERROR(__xludf.DUMMYFUNCTION("""COMPUTED_VALUE"""),1568.4)</f>
        <v>1568.4</v>
      </c>
      <c r="C77" s="6">
        <f>IFERROR(__xludf.DUMMYFUNCTION("""COMPUTED_VALUE"""),1664.2)</f>
        <v>1664.2</v>
      </c>
      <c r="D77" s="6">
        <f>IFERROR(__xludf.DUMMYFUNCTION("""COMPUTED_VALUE"""),1540.0)</f>
        <v>1540</v>
      </c>
      <c r="E77" s="6">
        <f>IFERROR(__xludf.DUMMYFUNCTION("""COMPUTED_VALUE"""),1564.5)</f>
        <v>1564.5</v>
      </c>
      <c r="F77" s="6">
        <f>IFERROR(__xludf.DUMMYFUNCTION("""COMPUTED_VALUE"""),3172017.0)</f>
        <v>3172017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IFERROR(__xludf.DUMMYFUNCTION("""COMPUTED_VALUE"""),1564.5)</f>
        <v>1564.5</v>
      </c>
      <c r="C78" s="6">
        <f>IFERROR(__xludf.DUMMYFUNCTION("""COMPUTED_VALUE"""),1687.75)</f>
        <v>1687.75</v>
      </c>
      <c r="D78" s="6">
        <f>IFERROR(__xludf.DUMMYFUNCTION("""COMPUTED_VALUE"""),1524.25)</f>
        <v>1524.25</v>
      </c>
      <c r="E78" s="6">
        <f>IFERROR(__xludf.DUMMYFUNCTION("""COMPUTED_VALUE"""),1666.15)</f>
        <v>1666.15</v>
      </c>
      <c r="F78" s="6">
        <f>IFERROR(__xludf.DUMMYFUNCTION("""COMPUTED_VALUE"""),5807855.0)</f>
        <v>5807855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IFERROR(__xludf.DUMMYFUNCTION("""COMPUTED_VALUE"""),1671.45)</f>
        <v>1671.45</v>
      </c>
      <c r="C79" s="6">
        <f>IFERROR(__xludf.DUMMYFUNCTION("""COMPUTED_VALUE"""),1702.0)</f>
        <v>1702</v>
      </c>
      <c r="D79" s="6">
        <f>IFERROR(__xludf.DUMMYFUNCTION("""COMPUTED_VALUE"""),1607.1)</f>
        <v>1607.1</v>
      </c>
      <c r="E79" s="6">
        <f>IFERROR(__xludf.DUMMYFUNCTION("""COMPUTED_VALUE"""),1643.3)</f>
        <v>1643.3</v>
      </c>
      <c r="F79" s="6">
        <f>IFERROR(__xludf.DUMMYFUNCTION("""COMPUTED_VALUE"""),2402445.0)</f>
        <v>2402445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IFERROR(__xludf.DUMMYFUNCTION("""COMPUTED_VALUE"""),1659.25)</f>
        <v>1659.25</v>
      </c>
      <c r="C80" s="6">
        <f>IFERROR(__xludf.DUMMYFUNCTION("""COMPUTED_VALUE"""),1660.0)</f>
        <v>1660</v>
      </c>
      <c r="D80" s="6">
        <f>IFERROR(__xludf.DUMMYFUNCTION("""COMPUTED_VALUE"""),1562.0)</f>
        <v>1562</v>
      </c>
      <c r="E80" s="6">
        <f>IFERROR(__xludf.DUMMYFUNCTION("""COMPUTED_VALUE"""),1580.3)</f>
        <v>1580.3</v>
      </c>
      <c r="F80" s="6">
        <f>IFERROR(__xludf.DUMMYFUNCTION("""COMPUTED_VALUE"""),2081524.0)</f>
        <v>2081524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IFERROR(__xludf.DUMMYFUNCTION("""COMPUTED_VALUE"""),1501.4)</f>
        <v>1501.4</v>
      </c>
      <c r="C81" s="6">
        <f>IFERROR(__xludf.DUMMYFUNCTION("""COMPUTED_VALUE"""),1590.0)</f>
        <v>1590</v>
      </c>
      <c r="D81" s="6">
        <f>IFERROR(__xludf.DUMMYFUNCTION("""COMPUTED_VALUE"""),1470.0)</f>
        <v>1470</v>
      </c>
      <c r="E81" s="6">
        <f>IFERROR(__xludf.DUMMYFUNCTION("""COMPUTED_VALUE"""),1478.0)</f>
        <v>1478</v>
      </c>
      <c r="F81" s="6">
        <f>IFERROR(__xludf.DUMMYFUNCTION("""COMPUTED_VALUE"""),5396314.0)</f>
        <v>5396314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IFERROR(__xludf.DUMMYFUNCTION("""COMPUTED_VALUE"""),1517.0)</f>
        <v>1517</v>
      </c>
      <c r="C82" s="6">
        <f>IFERROR(__xludf.DUMMYFUNCTION("""COMPUTED_VALUE"""),1630.0)</f>
        <v>1630</v>
      </c>
      <c r="D82" s="6">
        <f>IFERROR(__xludf.DUMMYFUNCTION("""COMPUTED_VALUE"""),1497.0)</f>
        <v>1497</v>
      </c>
      <c r="E82" s="6">
        <f>IFERROR(__xludf.DUMMYFUNCTION("""COMPUTED_VALUE"""),1614.7)</f>
        <v>1614.7</v>
      </c>
      <c r="F82" s="6">
        <f>IFERROR(__xludf.DUMMYFUNCTION("""COMPUTED_VALUE"""),967639.0)</f>
        <v>967639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IFERROR(__xludf.DUMMYFUNCTION("""COMPUTED_VALUE"""),1612.0)</f>
        <v>1612</v>
      </c>
      <c r="C83" s="6">
        <f>IFERROR(__xludf.DUMMYFUNCTION("""COMPUTED_VALUE"""),1735.9)</f>
        <v>1735.9</v>
      </c>
      <c r="D83" s="6">
        <f>IFERROR(__xludf.DUMMYFUNCTION("""COMPUTED_VALUE"""),1595.0)</f>
        <v>1595</v>
      </c>
      <c r="E83" s="6">
        <f>IFERROR(__xludf.DUMMYFUNCTION("""COMPUTED_VALUE"""),1629.0)</f>
        <v>1629</v>
      </c>
      <c r="F83" s="6">
        <f>IFERROR(__xludf.DUMMYFUNCTION("""COMPUTED_VALUE"""),3147601.0)</f>
        <v>3147601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IFERROR(__xludf.DUMMYFUNCTION("""COMPUTED_VALUE"""),1624.2)</f>
        <v>1624.2</v>
      </c>
      <c r="C84" s="6">
        <f>IFERROR(__xludf.DUMMYFUNCTION("""COMPUTED_VALUE"""),1689.9)</f>
        <v>1689.9</v>
      </c>
      <c r="D84" s="6">
        <f>IFERROR(__xludf.DUMMYFUNCTION("""COMPUTED_VALUE"""),1525.3)</f>
        <v>1525.3</v>
      </c>
      <c r="E84" s="6">
        <f>IFERROR(__xludf.DUMMYFUNCTION("""COMPUTED_VALUE"""),1537.3)</f>
        <v>1537.3</v>
      </c>
      <c r="F84" s="6">
        <f>IFERROR(__xludf.DUMMYFUNCTION("""COMPUTED_VALUE"""),3482790.0)</f>
        <v>3482790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IFERROR(__xludf.DUMMYFUNCTION("""COMPUTED_VALUE"""),1537.3)</f>
        <v>1537.3</v>
      </c>
      <c r="C85" s="6">
        <f>IFERROR(__xludf.DUMMYFUNCTION("""COMPUTED_VALUE"""),1562.9)</f>
        <v>1562.9</v>
      </c>
      <c r="D85" s="6">
        <f>IFERROR(__xludf.DUMMYFUNCTION("""COMPUTED_VALUE"""),1438.0)</f>
        <v>1438</v>
      </c>
      <c r="E85" s="6">
        <f>IFERROR(__xludf.DUMMYFUNCTION("""COMPUTED_VALUE"""),1478.9)</f>
        <v>1478.9</v>
      </c>
      <c r="F85" s="6">
        <f>IFERROR(__xludf.DUMMYFUNCTION("""COMPUTED_VALUE"""),3609272.0)</f>
        <v>3609272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IFERROR(__xludf.DUMMYFUNCTION("""COMPUTED_VALUE"""),1511.6)</f>
        <v>1511.6</v>
      </c>
      <c r="C86" s="6">
        <f>IFERROR(__xludf.DUMMYFUNCTION("""COMPUTED_VALUE"""),1564.2)</f>
        <v>1564.2</v>
      </c>
      <c r="D86" s="6">
        <f>IFERROR(__xludf.DUMMYFUNCTION("""COMPUTED_VALUE"""),1492.1)</f>
        <v>1492.1</v>
      </c>
      <c r="E86" s="6">
        <f>IFERROR(__xludf.DUMMYFUNCTION("""COMPUTED_VALUE"""),1550.9)</f>
        <v>1550.9</v>
      </c>
      <c r="F86" s="6">
        <f>IFERROR(__xludf.DUMMYFUNCTION("""COMPUTED_VALUE"""),2719231.0)</f>
        <v>2719231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IFERROR(__xludf.DUMMYFUNCTION("""COMPUTED_VALUE"""),1550.0)</f>
        <v>1550</v>
      </c>
      <c r="C87" s="6">
        <f>IFERROR(__xludf.DUMMYFUNCTION("""COMPUTED_VALUE"""),1642.0)</f>
        <v>1642</v>
      </c>
      <c r="D87" s="6">
        <f>IFERROR(__xludf.DUMMYFUNCTION("""COMPUTED_VALUE"""),1536.1)</f>
        <v>1536.1</v>
      </c>
      <c r="E87" s="6">
        <f>IFERROR(__xludf.DUMMYFUNCTION("""COMPUTED_VALUE"""),1598.5)</f>
        <v>1598.5</v>
      </c>
      <c r="F87" s="6">
        <f>IFERROR(__xludf.DUMMYFUNCTION("""COMPUTED_VALUE"""),3184207.0)</f>
        <v>3184207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IFERROR(__xludf.DUMMYFUNCTION("""COMPUTED_VALUE"""),1590.5)</f>
        <v>1590.5</v>
      </c>
      <c r="C88" s="6">
        <f>IFERROR(__xludf.DUMMYFUNCTION("""COMPUTED_VALUE"""),1624.9)</f>
        <v>1624.9</v>
      </c>
      <c r="D88" s="6">
        <f>IFERROR(__xludf.DUMMYFUNCTION("""COMPUTED_VALUE"""),1527.6)</f>
        <v>1527.6</v>
      </c>
      <c r="E88" s="6">
        <f>IFERROR(__xludf.DUMMYFUNCTION("""COMPUTED_VALUE"""),1537.1)</f>
        <v>1537.1</v>
      </c>
      <c r="F88" s="6">
        <f>IFERROR(__xludf.DUMMYFUNCTION("""COMPUTED_VALUE"""),3237776.0)</f>
        <v>3237776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IFERROR(__xludf.DUMMYFUNCTION("""COMPUTED_VALUE"""),1544.9)</f>
        <v>1544.9</v>
      </c>
      <c r="C89" s="6">
        <f>IFERROR(__xludf.DUMMYFUNCTION("""COMPUTED_VALUE"""),1623.0)</f>
        <v>1623</v>
      </c>
      <c r="D89" s="6">
        <f>IFERROR(__xludf.DUMMYFUNCTION("""COMPUTED_VALUE"""),1525.7)</f>
        <v>1525.7</v>
      </c>
      <c r="E89" s="6">
        <f>IFERROR(__xludf.DUMMYFUNCTION("""COMPUTED_VALUE"""),1598.1)</f>
        <v>1598.1</v>
      </c>
      <c r="F89" s="6">
        <f>IFERROR(__xludf.DUMMYFUNCTION("""COMPUTED_VALUE"""),3726203.0)</f>
        <v>3726203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IFERROR(__xludf.DUMMYFUNCTION("""COMPUTED_VALUE"""),1620.0)</f>
        <v>1620</v>
      </c>
      <c r="C90" s="6">
        <f>IFERROR(__xludf.DUMMYFUNCTION("""COMPUTED_VALUE"""),1692.8)</f>
        <v>1692.8</v>
      </c>
      <c r="D90" s="6">
        <f>IFERROR(__xludf.DUMMYFUNCTION("""COMPUTED_VALUE"""),1567.0)</f>
        <v>1567</v>
      </c>
      <c r="E90" s="6">
        <f>IFERROR(__xludf.DUMMYFUNCTION("""COMPUTED_VALUE"""),1595.9)</f>
        <v>1595.9</v>
      </c>
      <c r="F90" s="6">
        <f>IFERROR(__xludf.DUMMYFUNCTION("""COMPUTED_VALUE"""),7835446.0)</f>
        <v>7835446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IFERROR(__xludf.DUMMYFUNCTION("""COMPUTED_VALUE"""),1582.0)</f>
        <v>1582</v>
      </c>
      <c r="C91" s="6">
        <f>IFERROR(__xludf.DUMMYFUNCTION("""COMPUTED_VALUE"""),1647.1)</f>
        <v>1647.1</v>
      </c>
      <c r="D91" s="6">
        <f>IFERROR(__xludf.DUMMYFUNCTION("""COMPUTED_VALUE"""),1547.0)</f>
        <v>1547</v>
      </c>
      <c r="E91" s="6">
        <f>IFERROR(__xludf.DUMMYFUNCTION("""COMPUTED_VALUE"""),1616.1)</f>
        <v>1616.1</v>
      </c>
      <c r="F91" s="6">
        <f>IFERROR(__xludf.DUMMYFUNCTION("""COMPUTED_VALUE"""),2768242.0)</f>
        <v>2768242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IFERROR(__xludf.DUMMYFUNCTION("""COMPUTED_VALUE"""),1609.0)</f>
        <v>1609</v>
      </c>
      <c r="C92" s="6">
        <f>IFERROR(__xludf.DUMMYFUNCTION("""COMPUTED_VALUE"""),1642.9)</f>
        <v>1642.9</v>
      </c>
      <c r="D92" s="6">
        <f>IFERROR(__xludf.DUMMYFUNCTION("""COMPUTED_VALUE"""),1565.2)</f>
        <v>1565.2</v>
      </c>
      <c r="E92" s="6">
        <f>IFERROR(__xludf.DUMMYFUNCTION("""COMPUTED_VALUE"""),1570.6)</f>
        <v>1570.6</v>
      </c>
      <c r="F92" s="6">
        <f>IFERROR(__xludf.DUMMYFUNCTION("""COMPUTED_VALUE"""),3833026.0)</f>
        <v>3833026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IFERROR(__xludf.DUMMYFUNCTION("""COMPUTED_VALUE"""),1578.9)</f>
        <v>1578.9</v>
      </c>
      <c r="C93" s="6">
        <f>IFERROR(__xludf.DUMMYFUNCTION("""COMPUTED_VALUE"""),1590.0)</f>
        <v>1590</v>
      </c>
      <c r="D93" s="6">
        <f>IFERROR(__xludf.DUMMYFUNCTION("""COMPUTED_VALUE"""),1483.5)</f>
        <v>1483.5</v>
      </c>
      <c r="E93" s="6">
        <f>IFERROR(__xludf.DUMMYFUNCTION("""COMPUTED_VALUE"""),1542.2)</f>
        <v>1542.2</v>
      </c>
      <c r="F93" s="6">
        <f>IFERROR(__xludf.DUMMYFUNCTION("""COMPUTED_VALUE"""),5378102.0)</f>
        <v>5378102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IFERROR(__xludf.DUMMYFUNCTION("""COMPUTED_VALUE"""),1540.0)</f>
        <v>1540</v>
      </c>
      <c r="C94" s="6">
        <f>IFERROR(__xludf.DUMMYFUNCTION("""COMPUTED_VALUE"""),1579.9)</f>
        <v>1579.9</v>
      </c>
      <c r="D94" s="6">
        <f>IFERROR(__xludf.DUMMYFUNCTION("""COMPUTED_VALUE"""),1484.1)</f>
        <v>1484.1</v>
      </c>
      <c r="E94" s="6">
        <f>IFERROR(__xludf.DUMMYFUNCTION("""COMPUTED_VALUE"""),1488.9)</f>
        <v>1488.9</v>
      </c>
      <c r="F94" s="6">
        <f>IFERROR(__xludf.DUMMYFUNCTION("""COMPUTED_VALUE"""),4426589.0)</f>
        <v>4426589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IFERROR(__xludf.DUMMYFUNCTION("""COMPUTED_VALUE"""),1497.0)</f>
        <v>1497</v>
      </c>
      <c r="C95" s="6">
        <f>IFERROR(__xludf.DUMMYFUNCTION("""COMPUTED_VALUE"""),1518.5)</f>
        <v>1518.5</v>
      </c>
      <c r="D95" s="6">
        <f>IFERROR(__xludf.DUMMYFUNCTION("""COMPUTED_VALUE"""),1472.9)</f>
        <v>1472.9</v>
      </c>
      <c r="E95" s="6">
        <f>IFERROR(__xludf.DUMMYFUNCTION("""COMPUTED_VALUE"""),1486.4)</f>
        <v>1486.4</v>
      </c>
      <c r="F95" s="6">
        <f>IFERROR(__xludf.DUMMYFUNCTION("""COMPUTED_VALUE"""),4419291.0)</f>
        <v>4419291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IFERROR(__xludf.DUMMYFUNCTION("""COMPUTED_VALUE"""),1489.1)</f>
        <v>1489.1</v>
      </c>
      <c r="C96" s="6">
        <f>IFERROR(__xludf.DUMMYFUNCTION("""COMPUTED_VALUE"""),1545.3)</f>
        <v>1545.3</v>
      </c>
      <c r="D96" s="6">
        <f>IFERROR(__xludf.DUMMYFUNCTION("""COMPUTED_VALUE"""),1434.3)</f>
        <v>1434.3</v>
      </c>
      <c r="E96" s="6">
        <f>IFERROR(__xludf.DUMMYFUNCTION("""COMPUTED_VALUE"""),1525.9)</f>
        <v>1525.9</v>
      </c>
      <c r="F96" s="6">
        <f>IFERROR(__xludf.DUMMYFUNCTION("""COMPUTED_VALUE"""),8914557.0)</f>
        <v>8914557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IFERROR(__xludf.DUMMYFUNCTION("""COMPUTED_VALUE"""),1510.8)</f>
        <v>1510.8</v>
      </c>
      <c r="C97" s="6">
        <f>IFERROR(__xludf.DUMMYFUNCTION("""COMPUTED_VALUE"""),1532.7)</f>
        <v>1532.7</v>
      </c>
      <c r="D97" s="6">
        <f>IFERROR(__xludf.DUMMYFUNCTION("""COMPUTED_VALUE"""),1449.6)</f>
        <v>1449.6</v>
      </c>
      <c r="E97" s="6">
        <f>IFERROR(__xludf.DUMMYFUNCTION("""COMPUTED_VALUE"""),1452.2)</f>
        <v>1452.2</v>
      </c>
      <c r="F97" s="6">
        <f>IFERROR(__xludf.DUMMYFUNCTION("""COMPUTED_VALUE"""),2653963.0)</f>
        <v>2653963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IFERROR(__xludf.DUMMYFUNCTION("""COMPUTED_VALUE"""),1451.0)</f>
        <v>1451</v>
      </c>
      <c r="C98" s="6">
        <f>IFERROR(__xludf.DUMMYFUNCTION("""COMPUTED_VALUE"""),1482.0)</f>
        <v>1482</v>
      </c>
      <c r="D98" s="6">
        <f>IFERROR(__xludf.DUMMYFUNCTION("""COMPUTED_VALUE"""),1408.0)</f>
        <v>1408</v>
      </c>
      <c r="E98" s="6">
        <f>IFERROR(__xludf.DUMMYFUNCTION("""COMPUTED_VALUE"""),1417.3)</f>
        <v>1417.3</v>
      </c>
      <c r="F98" s="6">
        <f>IFERROR(__xludf.DUMMYFUNCTION("""COMPUTED_VALUE"""),2051604.0)</f>
        <v>2051604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IFERROR(__xludf.DUMMYFUNCTION("""COMPUTED_VALUE"""),1414.0)</f>
        <v>1414</v>
      </c>
      <c r="C99" s="6">
        <f>IFERROR(__xludf.DUMMYFUNCTION("""COMPUTED_VALUE"""),1464.8)</f>
        <v>1464.8</v>
      </c>
      <c r="D99" s="6">
        <f>IFERROR(__xludf.DUMMYFUNCTION("""COMPUTED_VALUE"""),1402.5)</f>
        <v>1402.5</v>
      </c>
      <c r="E99" s="6">
        <f>IFERROR(__xludf.DUMMYFUNCTION("""COMPUTED_VALUE"""),1430.0)</f>
        <v>1430</v>
      </c>
      <c r="F99" s="6">
        <f>IFERROR(__xludf.DUMMYFUNCTION("""COMPUTED_VALUE"""),2055886.0)</f>
        <v>2055886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IFERROR(__xludf.DUMMYFUNCTION("""COMPUTED_VALUE"""),1438.2)</f>
        <v>1438.2</v>
      </c>
      <c r="C100" s="6">
        <f>IFERROR(__xludf.DUMMYFUNCTION("""COMPUTED_VALUE"""),1593.6)</f>
        <v>1593.6</v>
      </c>
      <c r="D100" s="6">
        <f>IFERROR(__xludf.DUMMYFUNCTION("""COMPUTED_VALUE"""),1437.2)</f>
        <v>1437.2</v>
      </c>
      <c r="E100" s="6">
        <f>IFERROR(__xludf.DUMMYFUNCTION("""COMPUTED_VALUE"""),1578.0)</f>
        <v>1578</v>
      </c>
      <c r="F100" s="6">
        <f>IFERROR(__xludf.DUMMYFUNCTION("""COMPUTED_VALUE"""),4133895.0)</f>
        <v>4133895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IFERROR(__xludf.DUMMYFUNCTION("""COMPUTED_VALUE"""),1569.0)</f>
        <v>1569</v>
      </c>
      <c r="C101" s="6">
        <f>IFERROR(__xludf.DUMMYFUNCTION("""COMPUTED_VALUE"""),1599.5)</f>
        <v>1599.5</v>
      </c>
      <c r="D101" s="6">
        <f>IFERROR(__xludf.DUMMYFUNCTION("""COMPUTED_VALUE"""),1550.1)</f>
        <v>1550.1</v>
      </c>
      <c r="E101" s="6">
        <f>IFERROR(__xludf.DUMMYFUNCTION("""COMPUTED_VALUE"""),1559.5)</f>
        <v>1559.5</v>
      </c>
      <c r="F101" s="6">
        <f>IFERROR(__xludf.DUMMYFUNCTION("""COMPUTED_VALUE"""),1.0893137E7)</f>
        <v>10893137</v>
      </c>
    </row>
  </sheetData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IFERROR(__xludf.DUMMYFUNCTION("GOOGLEFINANCE(""NSE:PIDILITIND"",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IFERROR(__xludf.DUMMYFUNCTION("""COMPUTED_VALUE"""),2531.9)</f>
        <v>2531.9</v>
      </c>
      <c r="C2" s="6">
        <f>IFERROR(__xludf.DUMMYFUNCTION("""COMPUTED_VALUE"""),2589.95)</f>
        <v>2589.95</v>
      </c>
      <c r="D2" s="6">
        <f>IFERROR(__xludf.DUMMYFUNCTION("""COMPUTED_VALUE"""),2486.1)</f>
        <v>2486.1</v>
      </c>
      <c r="E2" s="6">
        <f>IFERROR(__xludf.DUMMYFUNCTION("""COMPUTED_VALUE"""),2498.25)</f>
        <v>2498.25</v>
      </c>
      <c r="F2" s="6">
        <f>IFERROR(__xludf.DUMMYFUNCTION("""COMPUTED_VALUE"""),3014952.0)</f>
        <v>3014952</v>
      </c>
    </row>
    <row r="3">
      <c r="A3" s="7">
        <f>IFERROR(__xludf.DUMMYFUNCTION("""COMPUTED_VALUE"""),45177.64583333333)</f>
        <v>45177.64583</v>
      </c>
      <c r="B3" s="6">
        <f>IFERROR(__xludf.DUMMYFUNCTION("""COMPUTED_VALUE"""),2499.0)</f>
        <v>2499</v>
      </c>
      <c r="C3" s="6">
        <f>IFERROR(__xludf.DUMMYFUNCTION("""COMPUTED_VALUE"""),2517.95)</f>
        <v>2517.95</v>
      </c>
      <c r="D3" s="6">
        <f>IFERROR(__xludf.DUMMYFUNCTION("""COMPUTED_VALUE"""),2467.55)</f>
        <v>2467.55</v>
      </c>
      <c r="E3" s="6">
        <f>IFERROR(__xludf.DUMMYFUNCTION("""COMPUTED_VALUE"""),2505.05)</f>
        <v>2505.05</v>
      </c>
      <c r="F3" s="6">
        <f>IFERROR(__xludf.DUMMYFUNCTION("""COMPUTED_VALUE"""),1897901.0)</f>
        <v>1897901</v>
      </c>
    </row>
    <row r="4">
      <c r="A4" s="7">
        <f>IFERROR(__xludf.DUMMYFUNCTION("""COMPUTED_VALUE"""),45184.64583333333)</f>
        <v>45184.64583</v>
      </c>
      <c r="B4" s="6">
        <f>IFERROR(__xludf.DUMMYFUNCTION("""COMPUTED_VALUE"""),2519.0)</f>
        <v>2519</v>
      </c>
      <c r="C4" s="6">
        <f>IFERROR(__xludf.DUMMYFUNCTION("""COMPUTED_VALUE"""),2530.0)</f>
        <v>2530</v>
      </c>
      <c r="D4" s="6">
        <f>IFERROR(__xludf.DUMMYFUNCTION("""COMPUTED_VALUE"""),2456.0)</f>
        <v>2456</v>
      </c>
      <c r="E4" s="6">
        <f>IFERROR(__xludf.DUMMYFUNCTION("""COMPUTED_VALUE"""),2481.5)</f>
        <v>2481.5</v>
      </c>
      <c r="F4" s="6">
        <f>IFERROR(__xludf.DUMMYFUNCTION("""COMPUTED_VALUE"""),2456679.0)</f>
        <v>2456679</v>
      </c>
    </row>
    <row r="5">
      <c r="A5" s="7">
        <f>IFERROR(__xludf.DUMMYFUNCTION("""COMPUTED_VALUE"""),45191.64583333333)</f>
        <v>45191.64583</v>
      </c>
      <c r="B5" s="6">
        <f>IFERROR(__xludf.DUMMYFUNCTION("""COMPUTED_VALUE"""),2481.5)</f>
        <v>2481.5</v>
      </c>
      <c r="C5" s="6">
        <f>IFERROR(__xludf.DUMMYFUNCTION("""COMPUTED_VALUE"""),2520.5)</f>
        <v>2520.5</v>
      </c>
      <c r="D5" s="6">
        <f>IFERROR(__xludf.DUMMYFUNCTION("""COMPUTED_VALUE"""),2471.0)</f>
        <v>2471</v>
      </c>
      <c r="E5" s="6">
        <f>IFERROR(__xludf.DUMMYFUNCTION("""COMPUTED_VALUE"""),2517.7)</f>
        <v>2517.7</v>
      </c>
      <c r="F5" s="6">
        <f>IFERROR(__xludf.DUMMYFUNCTION("""COMPUTED_VALUE"""),1242918.0)</f>
        <v>1242918</v>
      </c>
    </row>
    <row r="6">
      <c r="A6" s="7">
        <f>IFERROR(__xludf.DUMMYFUNCTION("""COMPUTED_VALUE"""),45198.64583333333)</f>
        <v>45198.64583</v>
      </c>
      <c r="B6" s="6">
        <f>IFERROR(__xludf.DUMMYFUNCTION("""COMPUTED_VALUE"""),2517.0)</f>
        <v>2517</v>
      </c>
      <c r="C6" s="6">
        <f>IFERROR(__xludf.DUMMYFUNCTION("""COMPUTED_VALUE"""),2519.8)</f>
        <v>2519.8</v>
      </c>
      <c r="D6" s="6">
        <f>IFERROR(__xludf.DUMMYFUNCTION("""COMPUTED_VALUE"""),2414.05)</f>
        <v>2414.05</v>
      </c>
      <c r="E6" s="6">
        <f>IFERROR(__xludf.DUMMYFUNCTION("""COMPUTED_VALUE"""),2439.5)</f>
        <v>2439.5</v>
      </c>
      <c r="F6" s="6">
        <f>IFERROR(__xludf.DUMMYFUNCTION("""COMPUTED_VALUE"""),1124998.0)</f>
        <v>1124998</v>
      </c>
    </row>
    <row r="7">
      <c r="A7" s="7">
        <f>IFERROR(__xludf.DUMMYFUNCTION("""COMPUTED_VALUE"""),45205.64583333333)</f>
        <v>45205.64583</v>
      </c>
      <c r="B7" s="6">
        <f>IFERROR(__xludf.DUMMYFUNCTION("""COMPUTED_VALUE"""),2439.5)</f>
        <v>2439.5</v>
      </c>
      <c r="C7" s="6">
        <f>IFERROR(__xludf.DUMMYFUNCTION("""COMPUTED_VALUE"""),2456.9)</f>
        <v>2456.9</v>
      </c>
      <c r="D7" s="6">
        <f>IFERROR(__xludf.DUMMYFUNCTION("""COMPUTED_VALUE"""),2385.0)</f>
        <v>2385</v>
      </c>
      <c r="E7" s="6">
        <f>IFERROR(__xludf.DUMMYFUNCTION("""COMPUTED_VALUE"""),2454.35)</f>
        <v>2454.35</v>
      </c>
      <c r="F7" s="6">
        <f>IFERROR(__xludf.DUMMYFUNCTION("""COMPUTED_VALUE"""),1235540.0)</f>
        <v>1235540</v>
      </c>
    </row>
    <row r="8">
      <c r="A8" s="7">
        <f>IFERROR(__xludf.DUMMYFUNCTION("""COMPUTED_VALUE"""),45212.64583333333)</f>
        <v>45212.64583</v>
      </c>
      <c r="B8" s="6">
        <f>IFERROR(__xludf.DUMMYFUNCTION("""COMPUTED_VALUE"""),2430.1)</f>
        <v>2430.1</v>
      </c>
      <c r="C8" s="6">
        <f>IFERROR(__xludf.DUMMYFUNCTION("""COMPUTED_VALUE"""),2497.5)</f>
        <v>2497.5</v>
      </c>
      <c r="D8" s="6">
        <f>IFERROR(__xludf.DUMMYFUNCTION("""COMPUTED_VALUE"""),2410.1)</f>
        <v>2410.1</v>
      </c>
      <c r="E8" s="6">
        <f>IFERROR(__xludf.DUMMYFUNCTION("""COMPUTED_VALUE"""),2460.05)</f>
        <v>2460.05</v>
      </c>
      <c r="F8" s="6">
        <f>IFERROR(__xludf.DUMMYFUNCTION("""COMPUTED_VALUE"""),1378339.0)</f>
        <v>1378339</v>
      </c>
    </row>
    <row r="9">
      <c r="A9" s="7">
        <f>IFERROR(__xludf.DUMMYFUNCTION("""COMPUTED_VALUE"""),45219.64583333333)</f>
        <v>45219.64583</v>
      </c>
      <c r="B9" s="6">
        <f>IFERROR(__xludf.DUMMYFUNCTION("""COMPUTED_VALUE"""),2460.0)</f>
        <v>2460</v>
      </c>
      <c r="C9" s="6">
        <f>IFERROR(__xludf.DUMMYFUNCTION("""COMPUTED_VALUE"""),2463.25)</f>
        <v>2463.25</v>
      </c>
      <c r="D9" s="6">
        <f>IFERROR(__xludf.DUMMYFUNCTION("""COMPUTED_VALUE"""),2355.0)</f>
        <v>2355</v>
      </c>
      <c r="E9" s="6">
        <f>IFERROR(__xludf.DUMMYFUNCTION("""COMPUTED_VALUE"""),2373.2)</f>
        <v>2373.2</v>
      </c>
      <c r="F9" s="6">
        <f>IFERROR(__xludf.DUMMYFUNCTION("""COMPUTED_VALUE"""),1470717.0)</f>
        <v>1470717</v>
      </c>
    </row>
    <row r="10">
      <c r="A10" s="7">
        <f>IFERROR(__xludf.DUMMYFUNCTION("""COMPUTED_VALUE"""),45226.64583333333)</f>
        <v>45226.64583</v>
      </c>
      <c r="B10" s="6">
        <f>IFERROR(__xludf.DUMMYFUNCTION("""COMPUTED_VALUE"""),2373.2)</f>
        <v>2373.2</v>
      </c>
      <c r="C10" s="6">
        <f>IFERROR(__xludf.DUMMYFUNCTION("""COMPUTED_VALUE"""),2382.35)</f>
        <v>2382.35</v>
      </c>
      <c r="D10" s="6">
        <f>IFERROR(__xludf.DUMMYFUNCTION("""COMPUTED_VALUE"""),2292.55)</f>
        <v>2292.55</v>
      </c>
      <c r="E10" s="6">
        <f>IFERROR(__xludf.DUMMYFUNCTION("""COMPUTED_VALUE"""),2316.8)</f>
        <v>2316.8</v>
      </c>
      <c r="F10" s="6">
        <f>IFERROR(__xludf.DUMMYFUNCTION("""COMPUTED_VALUE"""),1074347.0)</f>
        <v>1074347</v>
      </c>
    </row>
    <row r="11">
      <c r="A11" s="7">
        <f>IFERROR(__xludf.DUMMYFUNCTION("""COMPUTED_VALUE"""),45233.64583333333)</f>
        <v>45233.64583</v>
      </c>
      <c r="B11" s="6">
        <f>IFERROR(__xludf.DUMMYFUNCTION("""COMPUTED_VALUE"""),2330.0)</f>
        <v>2330</v>
      </c>
      <c r="C11" s="6">
        <f>IFERROR(__xludf.DUMMYFUNCTION("""COMPUTED_VALUE"""),2478.0)</f>
        <v>2478</v>
      </c>
      <c r="D11" s="6">
        <f>IFERROR(__xludf.DUMMYFUNCTION("""COMPUTED_VALUE"""),2299.0)</f>
        <v>2299</v>
      </c>
      <c r="E11" s="6">
        <f>IFERROR(__xludf.DUMMYFUNCTION("""COMPUTED_VALUE"""),2455.5)</f>
        <v>2455.5</v>
      </c>
      <c r="F11" s="6">
        <f>IFERROR(__xludf.DUMMYFUNCTION("""COMPUTED_VALUE"""),3590035.0)</f>
        <v>3590035</v>
      </c>
    </row>
    <row r="12">
      <c r="A12" s="7">
        <f>IFERROR(__xludf.DUMMYFUNCTION("""COMPUTED_VALUE"""),45240.64583333333)</f>
        <v>45240.64583</v>
      </c>
      <c r="B12" s="6">
        <f>IFERROR(__xludf.DUMMYFUNCTION("""COMPUTED_VALUE"""),2470.0)</f>
        <v>2470</v>
      </c>
      <c r="C12" s="6">
        <f>IFERROR(__xludf.DUMMYFUNCTION("""COMPUTED_VALUE"""),2500.0)</f>
        <v>2500</v>
      </c>
      <c r="D12" s="6">
        <f>IFERROR(__xludf.DUMMYFUNCTION("""COMPUTED_VALUE"""),2418.8)</f>
        <v>2418.8</v>
      </c>
      <c r="E12" s="6">
        <f>IFERROR(__xludf.DUMMYFUNCTION("""COMPUTED_VALUE"""),2432.35)</f>
        <v>2432.35</v>
      </c>
      <c r="F12" s="6">
        <f>IFERROR(__xludf.DUMMYFUNCTION("""COMPUTED_VALUE"""),1854870.0)</f>
        <v>1854870</v>
      </c>
    </row>
    <row r="13">
      <c r="A13" s="7">
        <f>IFERROR(__xludf.DUMMYFUNCTION("""COMPUTED_VALUE"""),45247.64583333333)</f>
        <v>45247.64583</v>
      </c>
      <c r="B13" s="6">
        <f>IFERROR(__xludf.DUMMYFUNCTION("""COMPUTED_VALUE"""),2454.0)</f>
        <v>2454</v>
      </c>
      <c r="C13" s="6">
        <f>IFERROR(__xludf.DUMMYFUNCTION("""COMPUTED_VALUE"""),2534.3)</f>
        <v>2534.3</v>
      </c>
      <c r="D13" s="6">
        <f>IFERROR(__xludf.DUMMYFUNCTION("""COMPUTED_VALUE"""),2420.85)</f>
        <v>2420.85</v>
      </c>
      <c r="E13" s="6">
        <f>IFERROR(__xludf.DUMMYFUNCTION("""COMPUTED_VALUE"""),2510.3)</f>
        <v>2510.3</v>
      </c>
      <c r="F13" s="6">
        <f>IFERROR(__xludf.DUMMYFUNCTION("""COMPUTED_VALUE"""),1592074.0)</f>
        <v>1592074</v>
      </c>
    </row>
    <row r="14">
      <c r="A14" s="7">
        <f>IFERROR(__xludf.DUMMYFUNCTION("""COMPUTED_VALUE"""),45254.64583333333)</f>
        <v>45254.64583</v>
      </c>
      <c r="B14" s="6">
        <f>IFERROR(__xludf.DUMMYFUNCTION("""COMPUTED_VALUE"""),2510.3)</f>
        <v>2510.3</v>
      </c>
      <c r="C14" s="6">
        <f>IFERROR(__xludf.DUMMYFUNCTION("""COMPUTED_VALUE"""),2520.0)</f>
        <v>2520</v>
      </c>
      <c r="D14" s="6">
        <f>IFERROR(__xludf.DUMMYFUNCTION("""COMPUTED_VALUE"""),2471.65)</f>
        <v>2471.65</v>
      </c>
      <c r="E14" s="6">
        <f>IFERROR(__xludf.DUMMYFUNCTION("""COMPUTED_VALUE"""),2504.1)</f>
        <v>2504.1</v>
      </c>
      <c r="F14" s="6">
        <f>IFERROR(__xludf.DUMMYFUNCTION("""COMPUTED_VALUE"""),1078416.0)</f>
        <v>1078416</v>
      </c>
    </row>
    <row r="15">
      <c r="A15" s="7">
        <f>IFERROR(__xludf.DUMMYFUNCTION("""COMPUTED_VALUE"""),45261.64583333333)</f>
        <v>45261.64583</v>
      </c>
      <c r="B15" s="6">
        <f>IFERROR(__xludf.DUMMYFUNCTION("""COMPUTED_VALUE"""),2491.0)</f>
        <v>2491</v>
      </c>
      <c r="C15" s="6">
        <f>IFERROR(__xludf.DUMMYFUNCTION("""COMPUTED_VALUE"""),2576.15)</f>
        <v>2576.15</v>
      </c>
      <c r="D15" s="6">
        <f>IFERROR(__xludf.DUMMYFUNCTION("""COMPUTED_VALUE"""),2481.75)</f>
        <v>2481.75</v>
      </c>
      <c r="E15" s="6">
        <f>IFERROR(__xludf.DUMMYFUNCTION("""COMPUTED_VALUE"""),2562.15)</f>
        <v>2562.15</v>
      </c>
      <c r="F15" s="6">
        <f>IFERROR(__xludf.DUMMYFUNCTION("""COMPUTED_VALUE"""),1809300.0)</f>
        <v>1809300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IFERROR(__xludf.DUMMYFUNCTION("""COMPUTED_VALUE"""),2576.0)</f>
        <v>2576</v>
      </c>
      <c r="C16" s="6">
        <f>IFERROR(__xludf.DUMMYFUNCTION("""COMPUTED_VALUE"""),2628.0)</f>
        <v>2628</v>
      </c>
      <c r="D16" s="6">
        <f>IFERROR(__xludf.DUMMYFUNCTION("""COMPUTED_VALUE"""),2545.0)</f>
        <v>2545</v>
      </c>
      <c r="E16" s="6">
        <f>IFERROR(__xludf.DUMMYFUNCTION("""COMPUTED_VALUE"""),2561.65)</f>
        <v>2561.65</v>
      </c>
      <c r="F16" s="6">
        <f>IFERROR(__xludf.DUMMYFUNCTION("""COMPUTED_VALUE"""),1795288.0)</f>
        <v>1795288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IFERROR(__xludf.DUMMYFUNCTION("""COMPUTED_VALUE"""),2561.65)</f>
        <v>2561.65</v>
      </c>
      <c r="C17" s="6">
        <f>IFERROR(__xludf.DUMMYFUNCTION("""COMPUTED_VALUE"""),2656.95)</f>
        <v>2656.95</v>
      </c>
      <c r="D17" s="6">
        <f>IFERROR(__xludf.DUMMYFUNCTION("""COMPUTED_VALUE"""),2535.7)</f>
        <v>2535.7</v>
      </c>
      <c r="E17" s="6">
        <f>IFERROR(__xludf.DUMMYFUNCTION("""COMPUTED_VALUE"""),2651.05)</f>
        <v>2651.05</v>
      </c>
      <c r="F17" s="6">
        <f>IFERROR(__xludf.DUMMYFUNCTION("""COMPUTED_VALUE"""),2556333.0)</f>
        <v>2556333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IFERROR(__xludf.DUMMYFUNCTION("""COMPUTED_VALUE"""),2651.0)</f>
        <v>2651</v>
      </c>
      <c r="C18" s="6">
        <f>IFERROR(__xludf.DUMMYFUNCTION("""COMPUTED_VALUE"""),2671.0)</f>
        <v>2671</v>
      </c>
      <c r="D18" s="6">
        <f>IFERROR(__xludf.DUMMYFUNCTION("""COMPUTED_VALUE"""),2547.85)</f>
        <v>2547.85</v>
      </c>
      <c r="E18" s="6">
        <f>IFERROR(__xludf.DUMMYFUNCTION("""COMPUTED_VALUE"""),2643.45)</f>
        <v>2643.45</v>
      </c>
      <c r="F18" s="6">
        <f>IFERROR(__xludf.DUMMYFUNCTION("""COMPUTED_VALUE"""),1891630.0)</f>
        <v>1891630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IFERROR(__xludf.DUMMYFUNCTION("""COMPUTED_VALUE"""),2645.0)</f>
        <v>2645</v>
      </c>
      <c r="C19" s="6">
        <f>IFERROR(__xludf.DUMMYFUNCTION("""COMPUTED_VALUE"""),2753.6)</f>
        <v>2753.6</v>
      </c>
      <c r="D19" s="6">
        <f>IFERROR(__xludf.DUMMYFUNCTION("""COMPUTED_VALUE"""),2636.0)</f>
        <v>2636</v>
      </c>
      <c r="E19" s="6">
        <f>IFERROR(__xludf.DUMMYFUNCTION("""COMPUTED_VALUE"""),2715.1)</f>
        <v>2715.1</v>
      </c>
      <c r="F19" s="6">
        <f>IFERROR(__xludf.DUMMYFUNCTION("""COMPUTED_VALUE"""),1801708.0)</f>
        <v>1801708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IFERROR(__xludf.DUMMYFUNCTION("""COMPUTED_VALUE"""),2737.1)</f>
        <v>2737.1</v>
      </c>
      <c r="C20" s="6">
        <f>IFERROR(__xludf.DUMMYFUNCTION("""COMPUTED_VALUE"""),2792.0)</f>
        <v>2792</v>
      </c>
      <c r="D20" s="6">
        <f>IFERROR(__xludf.DUMMYFUNCTION("""COMPUTED_VALUE"""),2661.5)</f>
        <v>2661.5</v>
      </c>
      <c r="E20" s="6">
        <f>IFERROR(__xludf.DUMMYFUNCTION("""COMPUTED_VALUE"""),2722.6)</f>
        <v>2722.6</v>
      </c>
      <c r="F20" s="6">
        <f>IFERROR(__xludf.DUMMYFUNCTION("""COMPUTED_VALUE"""),1423731.0)</f>
        <v>1423731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IFERROR(__xludf.DUMMYFUNCTION("""COMPUTED_VALUE"""),2738.95)</f>
        <v>2738.95</v>
      </c>
      <c r="C21" s="6">
        <f>IFERROR(__xludf.DUMMYFUNCTION("""COMPUTED_VALUE"""),2755.0)</f>
        <v>2755</v>
      </c>
      <c r="D21" s="6">
        <f>IFERROR(__xludf.DUMMYFUNCTION("""COMPUTED_VALUE"""),2692.6)</f>
        <v>2692.6</v>
      </c>
      <c r="E21" s="6">
        <f>IFERROR(__xludf.DUMMYFUNCTION("""COMPUTED_VALUE"""),2735.1)</f>
        <v>2735.1</v>
      </c>
      <c r="F21" s="6">
        <f>IFERROR(__xludf.DUMMYFUNCTION("""COMPUTED_VALUE"""),1235005.0)</f>
        <v>1235005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IFERROR(__xludf.DUMMYFUNCTION("""COMPUTED_VALUE"""),2674.9)</f>
        <v>2674.9</v>
      </c>
      <c r="C22" s="6">
        <f>IFERROR(__xludf.DUMMYFUNCTION("""COMPUTED_VALUE"""),2690.95)</f>
        <v>2690.95</v>
      </c>
      <c r="D22" s="6">
        <f>IFERROR(__xludf.DUMMYFUNCTION("""COMPUTED_VALUE"""),2488.1)</f>
        <v>2488.1</v>
      </c>
      <c r="E22" s="6">
        <f>IFERROR(__xludf.DUMMYFUNCTION("""COMPUTED_VALUE"""),2590.15)</f>
        <v>2590.15</v>
      </c>
      <c r="F22" s="6">
        <f>IFERROR(__xludf.DUMMYFUNCTION("""COMPUTED_VALUE"""),4168173.0)</f>
        <v>4168173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IFERROR(__xludf.DUMMYFUNCTION("""COMPUTED_VALUE"""),2585.0)</f>
        <v>2585</v>
      </c>
      <c r="C23" s="6">
        <f>IFERROR(__xludf.DUMMYFUNCTION("""COMPUTED_VALUE"""),2618.75)</f>
        <v>2618.75</v>
      </c>
      <c r="D23" s="6">
        <f>IFERROR(__xludf.DUMMYFUNCTION("""COMPUTED_VALUE"""),2503.25)</f>
        <v>2503.25</v>
      </c>
      <c r="E23" s="6">
        <f>IFERROR(__xludf.DUMMYFUNCTION("""COMPUTED_VALUE"""),2515.35)</f>
        <v>2515.35</v>
      </c>
      <c r="F23" s="6">
        <f>IFERROR(__xludf.DUMMYFUNCTION("""COMPUTED_VALUE"""),6360328.0)</f>
        <v>6360328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IFERROR(__xludf.DUMMYFUNCTION("""COMPUTED_VALUE"""),2515.4)</f>
        <v>2515.4</v>
      </c>
      <c r="C24" s="6">
        <f>IFERROR(__xludf.DUMMYFUNCTION("""COMPUTED_VALUE"""),2724.05)</f>
        <v>2724.05</v>
      </c>
      <c r="D24" s="6">
        <f>IFERROR(__xludf.DUMMYFUNCTION("""COMPUTED_VALUE"""),2511.15)</f>
        <v>2511.15</v>
      </c>
      <c r="E24" s="6">
        <f>IFERROR(__xludf.DUMMYFUNCTION("""COMPUTED_VALUE"""),2657.95)</f>
        <v>2657.95</v>
      </c>
      <c r="F24" s="6">
        <f>IFERROR(__xludf.DUMMYFUNCTION("""COMPUTED_VALUE"""),4699603.0)</f>
        <v>4699603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IFERROR(__xludf.DUMMYFUNCTION("""COMPUTED_VALUE"""),2664.85)</f>
        <v>2664.85</v>
      </c>
      <c r="C25" s="6">
        <f>IFERROR(__xludf.DUMMYFUNCTION("""COMPUTED_VALUE"""),2714.95)</f>
        <v>2714.95</v>
      </c>
      <c r="D25" s="6">
        <f>IFERROR(__xludf.DUMMYFUNCTION("""COMPUTED_VALUE"""),2640.85)</f>
        <v>2640.85</v>
      </c>
      <c r="E25" s="6">
        <f>IFERROR(__xludf.DUMMYFUNCTION("""COMPUTED_VALUE"""),2711.1)</f>
        <v>2711.1</v>
      </c>
      <c r="F25" s="6">
        <f>IFERROR(__xludf.DUMMYFUNCTION("""COMPUTED_VALUE"""),1833481.0)</f>
        <v>1833481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IFERROR(__xludf.DUMMYFUNCTION("""COMPUTED_VALUE"""),2711.6)</f>
        <v>2711.6</v>
      </c>
      <c r="C26" s="6">
        <f>IFERROR(__xludf.DUMMYFUNCTION("""COMPUTED_VALUE"""),2759.0)</f>
        <v>2759</v>
      </c>
      <c r="D26" s="6">
        <f>IFERROR(__xludf.DUMMYFUNCTION("""COMPUTED_VALUE"""),2692.0)</f>
        <v>2692</v>
      </c>
      <c r="E26" s="6">
        <f>IFERROR(__xludf.DUMMYFUNCTION("""COMPUTED_VALUE"""),2740.15)</f>
        <v>2740.15</v>
      </c>
      <c r="F26" s="6">
        <f>IFERROR(__xludf.DUMMYFUNCTION("""COMPUTED_VALUE"""),1453283.0)</f>
        <v>1453283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IFERROR(__xludf.DUMMYFUNCTION("""COMPUTED_VALUE"""),2742.2)</f>
        <v>2742.2</v>
      </c>
      <c r="C27" s="6">
        <f>IFERROR(__xludf.DUMMYFUNCTION("""COMPUTED_VALUE"""),2962.7)</f>
        <v>2962.7</v>
      </c>
      <c r="D27" s="6">
        <f>IFERROR(__xludf.DUMMYFUNCTION("""COMPUTED_VALUE"""),2690.0)</f>
        <v>2690</v>
      </c>
      <c r="E27" s="6">
        <f>IFERROR(__xludf.DUMMYFUNCTION("""COMPUTED_VALUE"""),2865.85)</f>
        <v>2865.85</v>
      </c>
      <c r="F27" s="6">
        <f>IFERROR(__xludf.DUMMYFUNCTION("""COMPUTED_VALUE"""),3941215.0)</f>
        <v>3941215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IFERROR(__xludf.DUMMYFUNCTION("""COMPUTED_VALUE"""),2875.0)</f>
        <v>2875</v>
      </c>
      <c r="C28" s="6">
        <f>IFERROR(__xludf.DUMMYFUNCTION("""COMPUTED_VALUE"""),2927.9)</f>
        <v>2927.9</v>
      </c>
      <c r="D28" s="6">
        <f>IFERROR(__xludf.DUMMYFUNCTION("""COMPUTED_VALUE"""),2773.25)</f>
        <v>2773.25</v>
      </c>
      <c r="E28" s="6">
        <f>IFERROR(__xludf.DUMMYFUNCTION("""COMPUTED_VALUE"""),2868.0)</f>
        <v>2868</v>
      </c>
      <c r="F28" s="6">
        <f>IFERROR(__xludf.DUMMYFUNCTION("""COMPUTED_VALUE"""),2111119.0)</f>
        <v>2111119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IFERROR(__xludf.DUMMYFUNCTION("""COMPUTED_VALUE"""),2868.0)</f>
        <v>2868</v>
      </c>
      <c r="C29" s="6">
        <f>IFERROR(__xludf.DUMMYFUNCTION("""COMPUTED_VALUE"""),2969.35)</f>
        <v>2969.35</v>
      </c>
      <c r="D29" s="6">
        <f>IFERROR(__xludf.DUMMYFUNCTION("""COMPUTED_VALUE"""),2820.4)</f>
        <v>2820.4</v>
      </c>
      <c r="E29" s="6">
        <f>IFERROR(__xludf.DUMMYFUNCTION("""COMPUTED_VALUE"""),2960.1)</f>
        <v>2960.1</v>
      </c>
      <c r="F29" s="6">
        <f>IFERROR(__xludf.DUMMYFUNCTION("""COMPUTED_VALUE"""),2100354.0)</f>
        <v>2100354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IFERROR(__xludf.DUMMYFUNCTION("""COMPUTED_VALUE"""),2981.8)</f>
        <v>2981.8</v>
      </c>
      <c r="C30" s="6">
        <f>IFERROR(__xludf.DUMMYFUNCTION("""COMPUTED_VALUE"""),3037.3)</f>
        <v>3037.3</v>
      </c>
      <c r="D30" s="6">
        <f>IFERROR(__xludf.DUMMYFUNCTION("""COMPUTED_VALUE"""),2959.85)</f>
        <v>2959.85</v>
      </c>
      <c r="E30" s="6">
        <f>IFERROR(__xludf.DUMMYFUNCTION("""COMPUTED_VALUE"""),3014.7)</f>
        <v>3014.7</v>
      </c>
      <c r="F30" s="6">
        <f>IFERROR(__xludf.DUMMYFUNCTION("""COMPUTED_VALUE"""),2067018.0)</f>
        <v>2067018</v>
      </c>
    </row>
    <row r="31">
      <c r="A31" s="7">
        <f>IFERROR(__xludf.DUMMYFUNCTION("""COMPUTED_VALUE"""),45387.64583333333)</f>
        <v>45387.64583</v>
      </c>
      <c r="B31" s="6">
        <f>IFERROR(__xludf.DUMMYFUNCTION("""COMPUTED_VALUE"""),3042.9)</f>
        <v>3042.9</v>
      </c>
      <c r="C31" s="6">
        <f>IFERROR(__xludf.DUMMYFUNCTION("""COMPUTED_VALUE"""),3074.0)</f>
        <v>3074</v>
      </c>
      <c r="D31" s="6">
        <f>IFERROR(__xludf.DUMMYFUNCTION("""COMPUTED_VALUE"""),2976.85)</f>
        <v>2976.85</v>
      </c>
      <c r="E31" s="6">
        <f>IFERROR(__xludf.DUMMYFUNCTION("""COMPUTED_VALUE"""),3000.8)</f>
        <v>3000.8</v>
      </c>
      <c r="F31" s="6">
        <f>IFERROR(__xludf.DUMMYFUNCTION("""COMPUTED_VALUE"""),1650414.0)</f>
        <v>1650414</v>
      </c>
    </row>
    <row r="32">
      <c r="A32" s="7">
        <f>IFERROR(__xludf.DUMMYFUNCTION("""COMPUTED_VALUE"""),45394.64583333333)</f>
        <v>45394.64583</v>
      </c>
      <c r="B32" s="6">
        <f>IFERROR(__xludf.DUMMYFUNCTION("""COMPUTED_VALUE"""),3001.5)</f>
        <v>3001.5</v>
      </c>
      <c r="C32" s="6">
        <f>IFERROR(__xludf.DUMMYFUNCTION("""COMPUTED_VALUE"""),3054.9)</f>
        <v>3054.9</v>
      </c>
      <c r="D32" s="6">
        <f>IFERROR(__xludf.DUMMYFUNCTION("""COMPUTED_VALUE"""),2980.0)</f>
        <v>2980</v>
      </c>
      <c r="E32" s="6">
        <f>IFERROR(__xludf.DUMMYFUNCTION("""COMPUTED_VALUE"""),2985.85)</f>
        <v>2985.85</v>
      </c>
      <c r="F32" s="6">
        <f>IFERROR(__xludf.DUMMYFUNCTION("""COMPUTED_VALUE"""),690888.0)</f>
        <v>690888</v>
      </c>
    </row>
    <row r="33">
      <c r="A33" s="7">
        <f>IFERROR(__xludf.DUMMYFUNCTION("""COMPUTED_VALUE"""),45401.64583333333)</f>
        <v>45401.64583</v>
      </c>
      <c r="B33" s="6">
        <f>IFERROR(__xludf.DUMMYFUNCTION("""COMPUTED_VALUE"""),2932.0)</f>
        <v>2932</v>
      </c>
      <c r="C33" s="6">
        <f>IFERROR(__xludf.DUMMYFUNCTION("""COMPUTED_VALUE"""),2951.6)</f>
        <v>2951.6</v>
      </c>
      <c r="D33" s="6">
        <f>IFERROR(__xludf.DUMMYFUNCTION("""COMPUTED_VALUE"""),2804.6)</f>
        <v>2804.6</v>
      </c>
      <c r="E33" s="6">
        <f>IFERROR(__xludf.DUMMYFUNCTION("""COMPUTED_VALUE"""),2830.7)</f>
        <v>2830.7</v>
      </c>
      <c r="F33" s="6">
        <f>IFERROR(__xludf.DUMMYFUNCTION("""COMPUTED_VALUE"""),1531653.0)</f>
        <v>1531653</v>
      </c>
    </row>
    <row r="34">
      <c r="A34" s="7">
        <f>IFERROR(__xludf.DUMMYFUNCTION("""COMPUTED_VALUE"""),45408.64583333333)</f>
        <v>45408.64583</v>
      </c>
      <c r="B34" s="6">
        <f>IFERROR(__xludf.DUMMYFUNCTION("""COMPUTED_VALUE"""),2837.05)</f>
        <v>2837.05</v>
      </c>
      <c r="C34" s="6">
        <f>IFERROR(__xludf.DUMMYFUNCTION("""COMPUTED_VALUE"""),3004.95)</f>
        <v>3004.95</v>
      </c>
      <c r="D34" s="6">
        <f>IFERROR(__xludf.DUMMYFUNCTION("""COMPUTED_VALUE"""),2835.05)</f>
        <v>2835.05</v>
      </c>
      <c r="E34" s="6">
        <f>IFERROR(__xludf.DUMMYFUNCTION("""COMPUTED_VALUE"""),2982.5)</f>
        <v>2982.5</v>
      </c>
      <c r="F34" s="6">
        <f>IFERROR(__xludf.DUMMYFUNCTION("""COMPUTED_VALUE"""),1431502.0)</f>
        <v>1431502</v>
      </c>
    </row>
    <row r="35">
      <c r="A35" s="7">
        <f>IFERROR(__xludf.DUMMYFUNCTION("""COMPUTED_VALUE"""),45415.64583333333)</f>
        <v>45415.64583</v>
      </c>
      <c r="B35" s="6">
        <f>IFERROR(__xludf.DUMMYFUNCTION("""COMPUTED_VALUE"""),2990.0)</f>
        <v>2990</v>
      </c>
      <c r="C35" s="6">
        <f>IFERROR(__xludf.DUMMYFUNCTION("""COMPUTED_VALUE"""),3118.0)</f>
        <v>3118</v>
      </c>
      <c r="D35" s="6">
        <f>IFERROR(__xludf.DUMMYFUNCTION("""COMPUTED_VALUE"""),2937.0)</f>
        <v>2937</v>
      </c>
      <c r="E35" s="6">
        <f>IFERROR(__xludf.DUMMYFUNCTION("""COMPUTED_VALUE"""),2952.8)</f>
        <v>2952.8</v>
      </c>
      <c r="F35" s="6">
        <f>IFERROR(__xludf.DUMMYFUNCTION("""COMPUTED_VALUE"""),1687607.0)</f>
        <v>1687607</v>
      </c>
    </row>
    <row r="36">
      <c r="A36" s="7">
        <f>IFERROR(__xludf.DUMMYFUNCTION("""COMPUTED_VALUE"""),45422.64583333333)</f>
        <v>45422.64583</v>
      </c>
      <c r="B36" s="6">
        <f>IFERROR(__xludf.DUMMYFUNCTION("""COMPUTED_VALUE"""),2940.2)</f>
        <v>2940.2</v>
      </c>
      <c r="C36" s="6">
        <f>IFERROR(__xludf.DUMMYFUNCTION("""COMPUTED_VALUE"""),2965.55)</f>
        <v>2965.55</v>
      </c>
      <c r="D36" s="6">
        <f>IFERROR(__xludf.DUMMYFUNCTION("""COMPUTED_VALUE"""),2777.0)</f>
        <v>2777</v>
      </c>
      <c r="E36" s="6">
        <f>IFERROR(__xludf.DUMMYFUNCTION("""COMPUTED_VALUE"""),2919.95)</f>
        <v>2919.95</v>
      </c>
      <c r="F36" s="6">
        <f>IFERROR(__xludf.DUMMYFUNCTION("""COMPUTED_VALUE"""),3104533.0)</f>
        <v>3104533</v>
      </c>
    </row>
    <row r="37">
      <c r="A37" s="7">
        <f>IFERROR(__xludf.DUMMYFUNCTION("""COMPUTED_VALUE"""),45436.64583333333)</f>
        <v>45436.64583</v>
      </c>
      <c r="B37" s="6">
        <f>IFERROR(__xludf.DUMMYFUNCTION("""COMPUTED_VALUE"""),2983.1)</f>
        <v>2983.1</v>
      </c>
      <c r="C37" s="6">
        <f>IFERROR(__xludf.DUMMYFUNCTION("""COMPUTED_VALUE"""),3063.0)</f>
        <v>3063</v>
      </c>
      <c r="D37" s="6">
        <f>IFERROR(__xludf.DUMMYFUNCTION("""COMPUTED_VALUE"""),2946.0)</f>
        <v>2946</v>
      </c>
      <c r="E37" s="6">
        <f>IFERROR(__xludf.DUMMYFUNCTION("""COMPUTED_VALUE"""),2972.05)</f>
        <v>2972.05</v>
      </c>
      <c r="F37" s="6">
        <f>IFERROR(__xludf.DUMMYFUNCTION("""COMPUTED_VALUE"""),2438136.0)</f>
        <v>2438136</v>
      </c>
    </row>
    <row r="38">
      <c r="A38" s="7">
        <f>IFERROR(__xludf.DUMMYFUNCTION("""COMPUTED_VALUE"""),45443.64583333333)</f>
        <v>45443.64583</v>
      </c>
      <c r="B38" s="6">
        <f>IFERROR(__xludf.DUMMYFUNCTION("""COMPUTED_VALUE"""),2974.65)</f>
        <v>2974.65</v>
      </c>
      <c r="C38" s="6">
        <f>IFERROR(__xludf.DUMMYFUNCTION("""COMPUTED_VALUE"""),3071.95)</f>
        <v>3071.95</v>
      </c>
      <c r="D38" s="6">
        <f>IFERROR(__xludf.DUMMYFUNCTION("""COMPUTED_VALUE"""),2920.0)</f>
        <v>2920</v>
      </c>
      <c r="E38" s="6">
        <f>IFERROR(__xludf.DUMMYFUNCTION("""COMPUTED_VALUE"""),2969.5)</f>
        <v>2969.5</v>
      </c>
      <c r="F38" s="6">
        <f>IFERROR(__xludf.DUMMYFUNCTION("""COMPUTED_VALUE"""),2668053.0)</f>
        <v>2668053</v>
      </c>
    </row>
    <row r="39">
      <c r="A39" s="7">
        <f>IFERROR(__xludf.DUMMYFUNCTION("""COMPUTED_VALUE"""),45450.64583333333)</f>
        <v>45450.64583</v>
      </c>
      <c r="B39" s="6">
        <f>IFERROR(__xludf.DUMMYFUNCTION("""COMPUTED_VALUE"""),3035.0)</f>
        <v>3035</v>
      </c>
      <c r="C39" s="6">
        <f>IFERROR(__xludf.DUMMYFUNCTION("""COMPUTED_VALUE"""),3231.0)</f>
        <v>3231</v>
      </c>
      <c r="D39" s="6">
        <f>IFERROR(__xludf.DUMMYFUNCTION("""COMPUTED_VALUE"""),2907.25)</f>
        <v>2907.25</v>
      </c>
      <c r="E39" s="6">
        <f>IFERROR(__xludf.DUMMYFUNCTION("""COMPUTED_VALUE"""),3123.7)</f>
        <v>3123.7</v>
      </c>
      <c r="F39" s="6">
        <f>IFERROR(__xludf.DUMMYFUNCTION("""COMPUTED_VALUE"""),2870928.0)</f>
        <v>2870928</v>
      </c>
    </row>
    <row r="40">
      <c r="A40" s="7">
        <f>IFERROR(__xludf.DUMMYFUNCTION("""COMPUTED_VALUE"""),45457.64583333333)</f>
        <v>45457.64583</v>
      </c>
      <c r="B40" s="6">
        <f>IFERROR(__xludf.DUMMYFUNCTION("""COMPUTED_VALUE"""),3154.0)</f>
        <v>3154</v>
      </c>
      <c r="C40" s="6">
        <f>IFERROR(__xludf.DUMMYFUNCTION("""COMPUTED_VALUE"""),3205.0)</f>
        <v>3205</v>
      </c>
      <c r="D40" s="6">
        <f>IFERROR(__xludf.DUMMYFUNCTION("""COMPUTED_VALUE"""),3064.05)</f>
        <v>3064.05</v>
      </c>
      <c r="E40" s="6">
        <f>IFERROR(__xludf.DUMMYFUNCTION("""COMPUTED_VALUE"""),3109.8)</f>
        <v>3109.8</v>
      </c>
      <c r="F40" s="6">
        <f>IFERROR(__xludf.DUMMYFUNCTION("""COMPUTED_VALUE"""),2440997.0)</f>
        <v>2440997</v>
      </c>
    </row>
    <row r="41">
      <c r="A41" s="7">
        <f>IFERROR(__xludf.DUMMYFUNCTION("""COMPUTED_VALUE"""),45464.64583333333)</f>
        <v>45464.64583</v>
      </c>
      <c r="B41" s="6">
        <f>IFERROR(__xludf.DUMMYFUNCTION("""COMPUTED_VALUE"""),3110.0)</f>
        <v>3110</v>
      </c>
      <c r="C41" s="6">
        <f>IFERROR(__xludf.DUMMYFUNCTION("""COMPUTED_VALUE"""),3158.05)</f>
        <v>3158.05</v>
      </c>
      <c r="D41" s="6">
        <f>IFERROR(__xludf.DUMMYFUNCTION("""COMPUTED_VALUE"""),3095.35)</f>
        <v>3095.35</v>
      </c>
      <c r="E41" s="6">
        <f>IFERROR(__xludf.DUMMYFUNCTION("""COMPUTED_VALUE"""),3144.45)</f>
        <v>3144.45</v>
      </c>
      <c r="F41" s="6">
        <f>IFERROR(__xludf.DUMMYFUNCTION("""COMPUTED_VALUE"""),1528351.0)</f>
        <v>1528351</v>
      </c>
    </row>
    <row r="42">
      <c r="A42" s="7">
        <f>IFERROR(__xludf.DUMMYFUNCTION("""COMPUTED_VALUE"""),45471.64583333333)</f>
        <v>45471.64583</v>
      </c>
      <c r="B42" s="6">
        <f>IFERROR(__xludf.DUMMYFUNCTION("""COMPUTED_VALUE"""),3139.5)</f>
        <v>3139.5</v>
      </c>
      <c r="C42" s="6">
        <f>IFERROR(__xludf.DUMMYFUNCTION("""COMPUTED_VALUE"""),3200.0)</f>
        <v>3200</v>
      </c>
      <c r="D42" s="6">
        <f>IFERROR(__xludf.DUMMYFUNCTION("""COMPUTED_VALUE"""),3100.0)</f>
        <v>3100</v>
      </c>
      <c r="E42" s="6">
        <f>IFERROR(__xludf.DUMMYFUNCTION("""COMPUTED_VALUE"""),3158.95)</f>
        <v>3158.95</v>
      </c>
      <c r="F42" s="6">
        <f>IFERROR(__xludf.DUMMYFUNCTION("""COMPUTED_VALUE"""),1593904.0)</f>
        <v>1593904</v>
      </c>
    </row>
    <row r="43">
      <c r="A43" s="7">
        <f>IFERROR(__xludf.DUMMYFUNCTION("""COMPUTED_VALUE"""),45478.64583333333)</f>
        <v>45478.64583</v>
      </c>
      <c r="B43" s="6">
        <f>IFERROR(__xludf.DUMMYFUNCTION("""COMPUTED_VALUE"""),3155.65)</f>
        <v>3155.65</v>
      </c>
      <c r="C43" s="6">
        <f>IFERROR(__xludf.DUMMYFUNCTION("""COMPUTED_VALUE"""),3171.8)</f>
        <v>3171.8</v>
      </c>
      <c r="D43" s="6">
        <f>IFERROR(__xludf.DUMMYFUNCTION("""COMPUTED_VALUE"""),3068.35)</f>
        <v>3068.35</v>
      </c>
      <c r="E43" s="6">
        <f>IFERROR(__xludf.DUMMYFUNCTION("""COMPUTED_VALUE"""),3099.75)</f>
        <v>3099.75</v>
      </c>
      <c r="F43" s="6">
        <f>IFERROR(__xludf.DUMMYFUNCTION("""COMPUTED_VALUE"""),1679566.0)</f>
        <v>1679566</v>
      </c>
    </row>
    <row r="44">
      <c r="A44" s="7">
        <f>IFERROR(__xludf.DUMMYFUNCTION("""COMPUTED_VALUE"""),45485.64583333333)</f>
        <v>45485.64583</v>
      </c>
      <c r="B44" s="6">
        <f>IFERROR(__xludf.DUMMYFUNCTION("""COMPUTED_VALUE"""),3099.75)</f>
        <v>3099.75</v>
      </c>
      <c r="C44" s="6">
        <f>IFERROR(__xludf.DUMMYFUNCTION("""COMPUTED_VALUE"""),3201.85)</f>
        <v>3201.85</v>
      </c>
      <c r="D44" s="6">
        <f>IFERROR(__xludf.DUMMYFUNCTION("""COMPUTED_VALUE"""),3056.0)</f>
        <v>3056</v>
      </c>
      <c r="E44" s="6">
        <f>IFERROR(__xludf.DUMMYFUNCTION("""COMPUTED_VALUE"""),3147.65)</f>
        <v>3147.65</v>
      </c>
      <c r="F44" s="6">
        <f>IFERROR(__xludf.DUMMYFUNCTION("""COMPUTED_VALUE"""),1679880.0)</f>
        <v>1679880</v>
      </c>
    </row>
    <row r="45">
      <c r="A45" s="7">
        <f>IFERROR(__xludf.DUMMYFUNCTION("""COMPUTED_VALUE"""),45492.64583333333)</f>
        <v>45492.64583</v>
      </c>
      <c r="B45" s="6">
        <f>IFERROR(__xludf.DUMMYFUNCTION("""COMPUTED_VALUE"""),3150.0)</f>
        <v>3150</v>
      </c>
      <c r="C45" s="6">
        <f>IFERROR(__xludf.DUMMYFUNCTION("""COMPUTED_VALUE"""),3243.05)</f>
        <v>3243.05</v>
      </c>
      <c r="D45" s="6">
        <f>IFERROR(__xludf.DUMMYFUNCTION("""COMPUTED_VALUE"""),3121.45)</f>
        <v>3121.45</v>
      </c>
      <c r="E45" s="6">
        <f>IFERROR(__xludf.DUMMYFUNCTION("""COMPUTED_VALUE"""),3134.75)</f>
        <v>3134.75</v>
      </c>
      <c r="F45" s="6">
        <f>IFERROR(__xludf.DUMMYFUNCTION("""COMPUTED_VALUE"""),1330326.0)</f>
        <v>1330326</v>
      </c>
    </row>
    <row r="46">
      <c r="A46" s="7">
        <f>IFERROR(__xludf.DUMMYFUNCTION("""COMPUTED_VALUE"""),45499.64583333333)</f>
        <v>45499.64583</v>
      </c>
      <c r="B46" s="6">
        <f>IFERROR(__xludf.DUMMYFUNCTION("""COMPUTED_VALUE"""),3140.0)</f>
        <v>3140</v>
      </c>
      <c r="C46" s="6">
        <f>IFERROR(__xludf.DUMMYFUNCTION("""COMPUTED_VALUE"""),3201.0)</f>
        <v>3201</v>
      </c>
      <c r="D46" s="6">
        <f>IFERROR(__xludf.DUMMYFUNCTION("""COMPUTED_VALUE"""),3081.4)</f>
        <v>3081.4</v>
      </c>
      <c r="E46" s="6">
        <f>IFERROR(__xludf.DUMMYFUNCTION("""COMPUTED_VALUE"""),3135.35)</f>
        <v>3135.35</v>
      </c>
      <c r="F46" s="6">
        <f>IFERROR(__xludf.DUMMYFUNCTION("""COMPUTED_VALUE"""),1145436.0)</f>
        <v>1145436</v>
      </c>
    </row>
    <row r="47">
      <c r="A47" s="7">
        <f>IFERROR(__xludf.DUMMYFUNCTION("""COMPUTED_VALUE"""),45506.64583333333)</f>
        <v>45506.64583</v>
      </c>
      <c r="B47" s="6">
        <f>IFERROR(__xludf.DUMMYFUNCTION("""COMPUTED_VALUE"""),3142.4)</f>
        <v>3142.4</v>
      </c>
      <c r="C47" s="6">
        <f>IFERROR(__xludf.DUMMYFUNCTION("""COMPUTED_VALUE"""),3230.0)</f>
        <v>3230</v>
      </c>
      <c r="D47" s="6">
        <f>IFERROR(__xludf.DUMMYFUNCTION("""COMPUTED_VALUE"""),3110.0)</f>
        <v>3110</v>
      </c>
      <c r="E47" s="6">
        <f>IFERROR(__xludf.DUMMYFUNCTION("""COMPUTED_VALUE"""),3134.05)</f>
        <v>3134.05</v>
      </c>
      <c r="F47" s="6">
        <f>IFERROR(__xludf.DUMMYFUNCTION("""COMPUTED_VALUE"""),1281408.0)</f>
        <v>1281408</v>
      </c>
    </row>
    <row r="48">
      <c r="A48" s="7">
        <f>IFERROR(__xludf.DUMMYFUNCTION("""COMPUTED_VALUE"""),45513.64583333333)</f>
        <v>45513.64583</v>
      </c>
      <c r="B48" s="6">
        <f>IFERROR(__xludf.DUMMYFUNCTION("""COMPUTED_VALUE"""),3100.0)</f>
        <v>3100</v>
      </c>
      <c r="C48" s="6">
        <f>IFERROR(__xludf.DUMMYFUNCTION("""COMPUTED_VALUE"""),3278.95)</f>
        <v>3278.95</v>
      </c>
      <c r="D48" s="6">
        <f>IFERROR(__xludf.DUMMYFUNCTION("""COMPUTED_VALUE"""),3043.6)</f>
        <v>3043.6</v>
      </c>
      <c r="E48" s="6">
        <f>IFERROR(__xludf.DUMMYFUNCTION("""COMPUTED_VALUE"""),3133.15)</f>
        <v>3133.15</v>
      </c>
      <c r="F48" s="6">
        <f>IFERROR(__xludf.DUMMYFUNCTION("""COMPUTED_VALUE"""),2960040.0)</f>
        <v>2960040</v>
      </c>
    </row>
    <row r="49">
      <c r="A49" s="7">
        <f>IFERROR(__xludf.DUMMYFUNCTION("""COMPUTED_VALUE"""),45520.64583333333)</f>
        <v>45520.64583</v>
      </c>
      <c r="B49" s="6">
        <f>IFERROR(__xludf.DUMMYFUNCTION("""COMPUTED_VALUE"""),3130.0)</f>
        <v>3130</v>
      </c>
      <c r="C49" s="6">
        <f>IFERROR(__xludf.DUMMYFUNCTION("""COMPUTED_VALUE"""),3130.0)</f>
        <v>3130</v>
      </c>
      <c r="D49" s="6">
        <f>IFERROR(__xludf.DUMMYFUNCTION("""COMPUTED_VALUE"""),2999.45)</f>
        <v>2999.45</v>
      </c>
      <c r="E49" s="6">
        <f>IFERROR(__xludf.DUMMYFUNCTION("""COMPUTED_VALUE"""),3057.35)</f>
        <v>3057.35</v>
      </c>
      <c r="F49" s="6">
        <f>IFERROR(__xludf.DUMMYFUNCTION("""COMPUTED_VALUE"""),1070782.0)</f>
        <v>1070782</v>
      </c>
    </row>
    <row r="50">
      <c r="A50" s="7">
        <f>IFERROR(__xludf.DUMMYFUNCTION("""COMPUTED_VALUE"""),45527.64583333333)</f>
        <v>45527.64583</v>
      </c>
      <c r="B50" s="6">
        <f>IFERROR(__xludf.DUMMYFUNCTION("""COMPUTED_VALUE"""),3088.0)</f>
        <v>3088</v>
      </c>
      <c r="C50" s="6">
        <f>IFERROR(__xludf.DUMMYFUNCTION("""COMPUTED_VALUE"""),3142.0)</f>
        <v>3142</v>
      </c>
      <c r="D50" s="6">
        <f>IFERROR(__xludf.DUMMYFUNCTION("""COMPUTED_VALUE"""),3043.5)</f>
        <v>3043.5</v>
      </c>
      <c r="E50" s="6">
        <f>IFERROR(__xludf.DUMMYFUNCTION("""COMPUTED_VALUE"""),3084.65)</f>
        <v>3084.65</v>
      </c>
      <c r="F50" s="6">
        <f>IFERROR(__xludf.DUMMYFUNCTION("""COMPUTED_VALUE"""),1108753.0)</f>
        <v>1108753</v>
      </c>
    </row>
    <row r="51">
      <c r="A51" s="7">
        <f>IFERROR(__xludf.DUMMYFUNCTION("""COMPUTED_VALUE"""),45534.64583333333)</f>
        <v>45534.64583</v>
      </c>
      <c r="B51" s="6">
        <f>IFERROR(__xludf.DUMMYFUNCTION("""COMPUTED_VALUE"""),3084.65)</f>
        <v>3084.65</v>
      </c>
      <c r="C51" s="6">
        <f>IFERROR(__xludf.DUMMYFUNCTION("""COMPUTED_VALUE"""),3138.5)</f>
        <v>3138.5</v>
      </c>
      <c r="D51" s="6">
        <f>IFERROR(__xludf.DUMMYFUNCTION("""COMPUTED_VALUE"""),3047.05)</f>
        <v>3047.05</v>
      </c>
      <c r="E51" s="6">
        <f>IFERROR(__xludf.DUMMYFUNCTION("""COMPUTED_VALUE"""),3123.3)</f>
        <v>3123.3</v>
      </c>
      <c r="F51" s="6">
        <f>IFERROR(__xludf.DUMMYFUNCTION("""COMPUTED_VALUE"""),1122578.0)</f>
        <v>1122578</v>
      </c>
    </row>
    <row r="52">
      <c r="A52" s="7">
        <f>IFERROR(__xludf.DUMMYFUNCTION("""COMPUTED_VALUE"""),45541.64583333333)</f>
        <v>45541.64583</v>
      </c>
      <c r="B52" s="6">
        <f>IFERROR(__xludf.DUMMYFUNCTION("""COMPUTED_VALUE"""),3150.0)</f>
        <v>3150</v>
      </c>
      <c r="C52" s="6">
        <f>IFERROR(__xludf.DUMMYFUNCTION("""COMPUTED_VALUE"""),3259.0)</f>
        <v>3259</v>
      </c>
      <c r="D52" s="6">
        <f>IFERROR(__xludf.DUMMYFUNCTION("""COMPUTED_VALUE"""),3135.6)</f>
        <v>3135.6</v>
      </c>
      <c r="E52" s="6">
        <f>IFERROR(__xludf.DUMMYFUNCTION("""COMPUTED_VALUE"""),3233.7)</f>
        <v>3233.7</v>
      </c>
      <c r="F52" s="6">
        <f>IFERROR(__xludf.DUMMYFUNCTION("""COMPUTED_VALUE"""),3026304.0)</f>
        <v>3026304</v>
      </c>
    </row>
    <row r="53">
      <c r="A53" s="7">
        <f>IFERROR(__xludf.DUMMYFUNCTION("""COMPUTED_VALUE"""),45548.64583333333)</f>
        <v>45548.64583</v>
      </c>
      <c r="B53" s="6">
        <f>IFERROR(__xludf.DUMMYFUNCTION("""COMPUTED_VALUE"""),3254.0)</f>
        <v>3254</v>
      </c>
      <c r="C53" s="6">
        <f>IFERROR(__xludf.DUMMYFUNCTION("""COMPUTED_VALUE"""),3331.0)</f>
        <v>3331</v>
      </c>
      <c r="D53" s="6">
        <f>IFERROR(__xludf.DUMMYFUNCTION("""COMPUTED_VALUE"""),3220.1)</f>
        <v>3220.1</v>
      </c>
      <c r="E53" s="6">
        <f>IFERROR(__xludf.DUMMYFUNCTION("""COMPUTED_VALUE"""),3310.0)</f>
        <v>3310</v>
      </c>
      <c r="F53" s="6">
        <f>IFERROR(__xludf.DUMMYFUNCTION("""COMPUTED_VALUE"""),2572412.0)</f>
        <v>2572412</v>
      </c>
    </row>
    <row r="54">
      <c r="A54" s="7">
        <f>IFERROR(__xludf.DUMMYFUNCTION("""COMPUTED_VALUE"""),45555.64583333333)</f>
        <v>45555.64583</v>
      </c>
      <c r="B54" s="6">
        <f>IFERROR(__xludf.DUMMYFUNCTION("""COMPUTED_VALUE"""),3320.0)</f>
        <v>3320</v>
      </c>
      <c r="C54" s="6">
        <f>IFERROR(__xludf.DUMMYFUNCTION("""COMPUTED_VALUE"""),3320.0)</f>
        <v>3320</v>
      </c>
      <c r="D54" s="6">
        <f>IFERROR(__xludf.DUMMYFUNCTION("""COMPUTED_VALUE"""),3161.1)</f>
        <v>3161.1</v>
      </c>
      <c r="E54" s="6">
        <f>IFERROR(__xludf.DUMMYFUNCTION("""COMPUTED_VALUE"""),3287.1)</f>
        <v>3287.1</v>
      </c>
      <c r="F54" s="6">
        <f>IFERROR(__xludf.DUMMYFUNCTION("""COMPUTED_VALUE"""),1524070.0)</f>
        <v>1524070</v>
      </c>
    </row>
    <row r="55">
      <c r="A55" s="7">
        <f>IFERROR(__xludf.DUMMYFUNCTION("""COMPUTED_VALUE"""),45562.64583333333)</f>
        <v>45562.64583</v>
      </c>
      <c r="B55" s="6">
        <f>IFERROR(__xludf.DUMMYFUNCTION("""COMPUTED_VALUE"""),3298.9)</f>
        <v>3298.9</v>
      </c>
      <c r="C55" s="6">
        <f>IFERROR(__xludf.DUMMYFUNCTION("""COMPUTED_VALUE"""),3370.5)</f>
        <v>3370.5</v>
      </c>
      <c r="D55" s="6">
        <f>IFERROR(__xludf.DUMMYFUNCTION("""COMPUTED_VALUE"""),3217.0)</f>
        <v>3217</v>
      </c>
      <c r="E55" s="6">
        <f>IFERROR(__xludf.DUMMYFUNCTION("""COMPUTED_VALUE"""),3363.45)</f>
        <v>3363.45</v>
      </c>
      <c r="F55" s="6">
        <f>IFERROR(__xludf.DUMMYFUNCTION("""COMPUTED_VALUE"""),1812415.0)</f>
        <v>1812415</v>
      </c>
    </row>
    <row r="56">
      <c r="A56" s="7">
        <f>IFERROR(__xludf.DUMMYFUNCTION("""COMPUTED_VALUE"""),45569.64583333333)</f>
        <v>45569.64583</v>
      </c>
      <c r="B56" s="6">
        <f>IFERROR(__xludf.DUMMYFUNCTION("""COMPUTED_VALUE"""),3384.0)</f>
        <v>3384</v>
      </c>
      <c r="C56" s="6">
        <f>IFERROR(__xludf.DUMMYFUNCTION("""COMPUTED_VALUE"""),3415.0)</f>
        <v>3415</v>
      </c>
      <c r="D56" s="6">
        <f>IFERROR(__xludf.DUMMYFUNCTION("""COMPUTED_VALUE"""),3192.45)</f>
        <v>3192.45</v>
      </c>
      <c r="E56" s="6">
        <f>IFERROR(__xludf.DUMMYFUNCTION("""COMPUTED_VALUE"""),3208.8)</f>
        <v>3208.8</v>
      </c>
      <c r="F56" s="6">
        <f>IFERROR(__xludf.DUMMYFUNCTION("""COMPUTED_VALUE"""),1835167.0)</f>
        <v>1835167</v>
      </c>
    </row>
    <row r="57">
      <c r="A57" s="7">
        <f>IFERROR(__xludf.DUMMYFUNCTION("""COMPUTED_VALUE"""),45576.64583333333)</f>
        <v>45576.64583</v>
      </c>
      <c r="B57" s="6">
        <f>IFERROR(__xludf.DUMMYFUNCTION("""COMPUTED_VALUE"""),3227.0)</f>
        <v>3227</v>
      </c>
      <c r="C57" s="6">
        <f>IFERROR(__xludf.DUMMYFUNCTION("""COMPUTED_VALUE"""),3239.4)</f>
        <v>3239.4</v>
      </c>
      <c r="D57" s="6">
        <f>IFERROR(__xludf.DUMMYFUNCTION("""COMPUTED_VALUE"""),3102.2)</f>
        <v>3102.2</v>
      </c>
      <c r="E57" s="6">
        <f>IFERROR(__xludf.DUMMYFUNCTION("""COMPUTED_VALUE"""),3110.2)</f>
        <v>3110.2</v>
      </c>
      <c r="F57" s="6">
        <f>IFERROR(__xludf.DUMMYFUNCTION("""COMPUTED_VALUE"""),1385081.0)</f>
        <v>1385081</v>
      </c>
    </row>
    <row r="58">
      <c r="A58" s="7">
        <f>IFERROR(__xludf.DUMMYFUNCTION("""COMPUTED_VALUE"""),45583.64583333333)</f>
        <v>45583.64583</v>
      </c>
      <c r="B58" s="6">
        <f>IFERROR(__xludf.DUMMYFUNCTION("""COMPUTED_VALUE"""),3133.0)</f>
        <v>3133</v>
      </c>
      <c r="C58" s="6">
        <f>IFERROR(__xludf.DUMMYFUNCTION("""COMPUTED_VALUE"""),3304.4)</f>
        <v>3304.4</v>
      </c>
      <c r="D58" s="6">
        <f>IFERROR(__xludf.DUMMYFUNCTION("""COMPUTED_VALUE"""),3100.3)</f>
        <v>3100.3</v>
      </c>
      <c r="E58" s="6">
        <f>IFERROR(__xludf.DUMMYFUNCTION("""COMPUTED_VALUE"""),3184.0)</f>
        <v>3184</v>
      </c>
      <c r="F58" s="6">
        <f>IFERROR(__xludf.DUMMYFUNCTION("""COMPUTED_VALUE"""),2944423.0)</f>
        <v>2944423</v>
      </c>
    </row>
    <row r="59">
      <c r="A59" s="7">
        <f>IFERROR(__xludf.DUMMYFUNCTION("""COMPUTED_VALUE"""),45590.64583333333)</f>
        <v>45590.64583</v>
      </c>
      <c r="B59" s="6">
        <f>IFERROR(__xludf.DUMMYFUNCTION("""COMPUTED_VALUE"""),3184.0)</f>
        <v>3184</v>
      </c>
      <c r="C59" s="6">
        <f>IFERROR(__xludf.DUMMYFUNCTION("""COMPUTED_VALUE"""),3220.0)</f>
        <v>3220</v>
      </c>
      <c r="D59" s="6">
        <f>IFERROR(__xludf.DUMMYFUNCTION("""COMPUTED_VALUE"""),3079.05)</f>
        <v>3079.05</v>
      </c>
      <c r="E59" s="6">
        <f>IFERROR(__xludf.DUMMYFUNCTION("""COMPUTED_VALUE"""),3178.95)</f>
        <v>3178.95</v>
      </c>
      <c r="F59" s="6">
        <f>IFERROR(__xludf.DUMMYFUNCTION("""COMPUTED_VALUE"""),2117214.0)</f>
        <v>2117214</v>
      </c>
    </row>
    <row r="60">
      <c r="A60" s="7">
        <f>IFERROR(__xludf.DUMMYFUNCTION("""COMPUTED_VALUE"""),45604.64583333333)</f>
        <v>45604.64583</v>
      </c>
      <c r="B60" s="6">
        <f>IFERROR(__xludf.DUMMYFUNCTION("""COMPUTED_VALUE"""),3158.75)</f>
        <v>3158.75</v>
      </c>
      <c r="C60" s="6">
        <f>IFERROR(__xludf.DUMMYFUNCTION("""COMPUTED_VALUE"""),3220.0)</f>
        <v>3220</v>
      </c>
      <c r="D60" s="6">
        <f>IFERROR(__xludf.DUMMYFUNCTION("""COMPUTED_VALUE"""),3081.8)</f>
        <v>3081.8</v>
      </c>
      <c r="E60" s="6">
        <f>IFERROR(__xludf.DUMMYFUNCTION("""COMPUTED_VALUE"""),3125.7)</f>
        <v>3125.7</v>
      </c>
      <c r="F60" s="6">
        <f>IFERROR(__xludf.DUMMYFUNCTION("""COMPUTED_VALUE"""),951439.0)</f>
        <v>951439</v>
      </c>
    </row>
    <row r="61">
      <c r="A61" s="7">
        <f>IFERROR(__xludf.DUMMYFUNCTION("""COMPUTED_VALUE"""),45610.64583333333)</f>
        <v>45610.64583</v>
      </c>
      <c r="B61" s="6">
        <f>IFERROR(__xludf.DUMMYFUNCTION("""COMPUTED_VALUE"""),3111.25)</f>
        <v>3111.25</v>
      </c>
      <c r="C61" s="6">
        <f>IFERROR(__xludf.DUMMYFUNCTION("""COMPUTED_VALUE"""),3129.55)</f>
        <v>3129.55</v>
      </c>
      <c r="D61" s="6">
        <f>IFERROR(__xludf.DUMMYFUNCTION("""COMPUTED_VALUE"""),2968.3)</f>
        <v>2968.3</v>
      </c>
      <c r="E61" s="6">
        <f>IFERROR(__xludf.DUMMYFUNCTION("""COMPUTED_VALUE"""),3021.7)</f>
        <v>3021.7</v>
      </c>
      <c r="F61" s="6">
        <f>IFERROR(__xludf.DUMMYFUNCTION("""COMPUTED_VALUE"""),804399.0)</f>
        <v>804399</v>
      </c>
    </row>
    <row r="62">
      <c r="A62" s="7">
        <f>IFERROR(__xludf.DUMMYFUNCTION("""COMPUTED_VALUE"""),45618.64583333333)</f>
        <v>45618.64583</v>
      </c>
      <c r="B62" s="6">
        <f>IFERROR(__xludf.DUMMYFUNCTION("""COMPUTED_VALUE"""),3075.0)</f>
        <v>3075</v>
      </c>
      <c r="C62" s="6">
        <f>IFERROR(__xludf.DUMMYFUNCTION("""COMPUTED_VALUE"""),3075.3)</f>
        <v>3075.3</v>
      </c>
      <c r="D62" s="6">
        <f>IFERROR(__xludf.DUMMYFUNCTION("""COMPUTED_VALUE"""),2916.9)</f>
        <v>2916.9</v>
      </c>
      <c r="E62" s="6">
        <f>IFERROR(__xludf.DUMMYFUNCTION("""COMPUTED_VALUE"""),2956.55)</f>
        <v>2956.55</v>
      </c>
      <c r="F62" s="6">
        <f>IFERROR(__xludf.DUMMYFUNCTION("""COMPUTED_VALUE"""),928669.0)</f>
        <v>928669</v>
      </c>
    </row>
    <row r="63">
      <c r="A63" s="7">
        <f>IFERROR(__xludf.DUMMYFUNCTION("""COMPUTED_VALUE"""),45625.64583333333)</f>
        <v>45625.64583</v>
      </c>
      <c r="B63" s="6">
        <f>IFERROR(__xludf.DUMMYFUNCTION("""COMPUTED_VALUE"""),2980.0)</f>
        <v>2980</v>
      </c>
      <c r="C63" s="6">
        <f>IFERROR(__xludf.DUMMYFUNCTION("""COMPUTED_VALUE"""),3074.85)</f>
        <v>3074.85</v>
      </c>
      <c r="D63" s="6">
        <f>IFERROR(__xludf.DUMMYFUNCTION("""COMPUTED_VALUE"""),2962.15)</f>
        <v>2962.15</v>
      </c>
      <c r="E63" s="6">
        <f>IFERROR(__xludf.DUMMYFUNCTION("""COMPUTED_VALUE"""),3066.2)</f>
        <v>3066.2</v>
      </c>
      <c r="F63" s="6">
        <f>IFERROR(__xludf.DUMMYFUNCTION("""COMPUTED_VALUE"""),1607342.0)</f>
        <v>1607342</v>
      </c>
    </row>
    <row r="64">
      <c r="A64" s="7">
        <f>IFERROR(__xludf.DUMMYFUNCTION("""COMPUTED_VALUE"""),45632.64583333333)</f>
        <v>45632.64583</v>
      </c>
      <c r="B64" s="6">
        <f>IFERROR(__xludf.DUMMYFUNCTION("""COMPUTED_VALUE"""),3066.25)</f>
        <v>3066.25</v>
      </c>
      <c r="C64" s="6">
        <f>IFERROR(__xludf.DUMMYFUNCTION("""COMPUTED_VALUE"""),3240.0)</f>
        <v>3240</v>
      </c>
      <c r="D64" s="6">
        <f>IFERROR(__xludf.DUMMYFUNCTION("""COMPUTED_VALUE"""),3056.1)</f>
        <v>3056.1</v>
      </c>
      <c r="E64" s="6">
        <f>IFERROR(__xludf.DUMMYFUNCTION("""COMPUTED_VALUE"""),3162.25)</f>
        <v>3162.25</v>
      </c>
      <c r="F64" s="6">
        <f>IFERROR(__xludf.DUMMYFUNCTION("""COMPUTED_VALUE"""),1412918.0)</f>
        <v>1412918</v>
      </c>
    </row>
    <row r="65">
      <c r="A65" s="7">
        <f>IFERROR(__xludf.DUMMYFUNCTION("""COMPUTED_VALUE"""),45639.64583333333)</f>
        <v>45639.64583</v>
      </c>
      <c r="B65" s="6">
        <f>IFERROR(__xludf.DUMMYFUNCTION("""COMPUTED_VALUE"""),3153.0)</f>
        <v>3153</v>
      </c>
      <c r="C65" s="6">
        <f>IFERROR(__xludf.DUMMYFUNCTION("""COMPUTED_VALUE"""),3234.85)</f>
        <v>3234.85</v>
      </c>
      <c r="D65" s="6">
        <f>IFERROR(__xludf.DUMMYFUNCTION("""COMPUTED_VALUE"""),3120.0)</f>
        <v>3120</v>
      </c>
      <c r="E65" s="6">
        <f>IFERROR(__xludf.DUMMYFUNCTION("""COMPUTED_VALUE"""),3185.2)</f>
        <v>3185.2</v>
      </c>
      <c r="F65" s="6">
        <f>IFERROR(__xludf.DUMMYFUNCTION("""COMPUTED_VALUE"""),1065169.0)</f>
        <v>1065169</v>
      </c>
    </row>
    <row r="66">
      <c r="A66" s="7">
        <f>IFERROR(__xludf.DUMMYFUNCTION("""COMPUTED_VALUE"""),45646.64583333333)</f>
        <v>45646.64583</v>
      </c>
      <c r="B66" s="6">
        <f>IFERROR(__xludf.DUMMYFUNCTION("""COMPUTED_VALUE"""),3200.0)</f>
        <v>3200</v>
      </c>
      <c r="C66" s="6">
        <f>IFERROR(__xludf.DUMMYFUNCTION("""COMPUTED_VALUE"""),3214.35)</f>
        <v>3214.35</v>
      </c>
      <c r="D66" s="6">
        <f>IFERROR(__xludf.DUMMYFUNCTION("""COMPUTED_VALUE"""),2965.95)</f>
        <v>2965.95</v>
      </c>
      <c r="E66" s="6">
        <f>IFERROR(__xludf.DUMMYFUNCTION("""COMPUTED_VALUE"""),2976.8)</f>
        <v>2976.8</v>
      </c>
      <c r="F66" s="6">
        <f>IFERROR(__xludf.DUMMYFUNCTION("""COMPUTED_VALUE"""),1361434.0)</f>
        <v>1361434</v>
      </c>
    </row>
    <row r="67">
      <c r="A67" s="7">
        <f>IFERROR(__xludf.DUMMYFUNCTION("""COMPUTED_VALUE"""),45653.64583333333)</f>
        <v>45653.64583</v>
      </c>
      <c r="B67" s="6">
        <f>IFERROR(__xludf.DUMMYFUNCTION("""COMPUTED_VALUE"""),3000.0)</f>
        <v>3000</v>
      </c>
      <c r="C67" s="6">
        <f>IFERROR(__xludf.DUMMYFUNCTION("""COMPUTED_VALUE"""),3003.85)</f>
        <v>3003.85</v>
      </c>
      <c r="D67" s="6">
        <f>IFERROR(__xludf.DUMMYFUNCTION("""COMPUTED_VALUE"""),2909.35)</f>
        <v>2909.35</v>
      </c>
      <c r="E67" s="6">
        <f>IFERROR(__xludf.DUMMYFUNCTION("""COMPUTED_VALUE"""),2914.4)</f>
        <v>2914.4</v>
      </c>
      <c r="F67" s="6">
        <f>IFERROR(__xludf.DUMMYFUNCTION("""COMPUTED_VALUE"""),1210536.0)</f>
        <v>1210536</v>
      </c>
    </row>
    <row r="68">
      <c r="A68" s="7">
        <f>IFERROR(__xludf.DUMMYFUNCTION("""COMPUTED_VALUE"""),45660.64583333333)</f>
        <v>45660.64583</v>
      </c>
      <c r="B68" s="6">
        <f>IFERROR(__xludf.DUMMYFUNCTION("""COMPUTED_VALUE"""),2919.95)</f>
        <v>2919.95</v>
      </c>
      <c r="C68" s="6">
        <f>IFERROR(__xludf.DUMMYFUNCTION("""COMPUTED_VALUE"""),2959.6)</f>
        <v>2959.6</v>
      </c>
      <c r="D68" s="6">
        <f>IFERROR(__xludf.DUMMYFUNCTION("""COMPUTED_VALUE"""),2855.0)</f>
        <v>2855</v>
      </c>
      <c r="E68" s="6">
        <f>IFERROR(__xludf.DUMMYFUNCTION("""COMPUTED_VALUE"""),2932.35)</f>
        <v>2932.35</v>
      </c>
      <c r="F68" s="6">
        <f>IFERROR(__xludf.DUMMYFUNCTION("""COMPUTED_VALUE"""),3200222.0)</f>
        <v>3200222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IFERROR(__xludf.DUMMYFUNCTION("""COMPUTED_VALUE"""),2933.1)</f>
        <v>2933.1</v>
      </c>
      <c r="C69" s="6">
        <f>IFERROR(__xludf.DUMMYFUNCTION("""COMPUTED_VALUE"""),2979.0)</f>
        <v>2979</v>
      </c>
      <c r="D69" s="6">
        <f>IFERROR(__xludf.DUMMYFUNCTION("""COMPUTED_VALUE"""),2870.0)</f>
        <v>2870</v>
      </c>
      <c r="E69" s="6">
        <f>IFERROR(__xludf.DUMMYFUNCTION("""COMPUTED_VALUE"""),2901.35)</f>
        <v>2901.35</v>
      </c>
      <c r="F69" s="6">
        <f>IFERROR(__xludf.DUMMYFUNCTION("""COMPUTED_VALUE"""),1933948.0)</f>
        <v>1933948</v>
      </c>
    </row>
    <row r="70">
      <c r="A70" s="7">
        <f>IFERROR(__xludf.DUMMYFUNCTION("""COMPUTED_VALUE"""),45674.64583333333)</f>
        <v>45674.64583</v>
      </c>
      <c r="B70" s="6">
        <f>IFERROR(__xludf.DUMMYFUNCTION("""COMPUTED_VALUE"""),2865.0)</f>
        <v>2865</v>
      </c>
      <c r="C70" s="6">
        <f>IFERROR(__xludf.DUMMYFUNCTION("""COMPUTED_VALUE"""),2879.0)</f>
        <v>2879</v>
      </c>
      <c r="D70" s="6">
        <f>IFERROR(__xludf.DUMMYFUNCTION("""COMPUTED_VALUE"""),2760.1)</f>
        <v>2760.1</v>
      </c>
      <c r="E70" s="6">
        <f>IFERROR(__xludf.DUMMYFUNCTION("""COMPUTED_VALUE"""),2813.35)</f>
        <v>2813.35</v>
      </c>
      <c r="F70" s="6">
        <f>IFERROR(__xludf.DUMMYFUNCTION("""COMPUTED_VALUE"""),1307037.0)</f>
        <v>1307037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IFERROR(__xludf.DUMMYFUNCTION("""COMPUTED_VALUE"""),2834.0)</f>
        <v>2834</v>
      </c>
      <c r="C71" s="6">
        <f>IFERROR(__xludf.DUMMYFUNCTION("""COMPUTED_VALUE"""),2997.2)</f>
        <v>2997.2</v>
      </c>
      <c r="D71" s="6">
        <f>IFERROR(__xludf.DUMMYFUNCTION("""COMPUTED_VALUE"""),2725.1)</f>
        <v>2725.1</v>
      </c>
      <c r="E71" s="6">
        <f>IFERROR(__xludf.DUMMYFUNCTION("""COMPUTED_VALUE"""),2854.55)</f>
        <v>2854.55</v>
      </c>
      <c r="F71" s="6">
        <f>IFERROR(__xludf.DUMMYFUNCTION("""COMPUTED_VALUE"""),3488422.0)</f>
        <v>3488422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IFERROR(__xludf.DUMMYFUNCTION("""COMPUTED_VALUE"""),2947.25)</f>
        <v>2947.25</v>
      </c>
      <c r="C72" s="6">
        <f>IFERROR(__xludf.DUMMYFUNCTION("""COMPUTED_VALUE"""),2982.1)</f>
        <v>2982.1</v>
      </c>
      <c r="D72" s="6">
        <f>IFERROR(__xludf.DUMMYFUNCTION("""COMPUTED_VALUE"""),2846.6)</f>
        <v>2846.6</v>
      </c>
      <c r="E72" s="6">
        <f>IFERROR(__xludf.DUMMYFUNCTION("""COMPUTED_VALUE"""),2870.6)</f>
        <v>2870.6</v>
      </c>
      <c r="F72" s="6">
        <f>IFERROR(__xludf.DUMMYFUNCTION("""COMPUTED_VALUE"""),1138606.0)</f>
        <v>1138606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IFERROR(__xludf.DUMMYFUNCTION("""COMPUTED_VALUE"""),2851.0)</f>
        <v>2851</v>
      </c>
      <c r="C73" s="6">
        <f>IFERROR(__xludf.DUMMYFUNCTION("""COMPUTED_VALUE"""),2930.0)</f>
        <v>2930</v>
      </c>
      <c r="D73" s="6">
        <f>IFERROR(__xludf.DUMMYFUNCTION("""COMPUTED_VALUE"""),2776.1)</f>
        <v>2776.1</v>
      </c>
      <c r="E73" s="6">
        <f>IFERROR(__xludf.DUMMYFUNCTION("""COMPUTED_VALUE"""),2806.2)</f>
        <v>2806.2</v>
      </c>
      <c r="F73" s="6">
        <f>IFERROR(__xludf.DUMMYFUNCTION("""COMPUTED_VALUE"""),701463.0)</f>
        <v>701463</v>
      </c>
    </row>
    <row r="74">
      <c r="A74" s="7">
        <f>IFERROR(__xludf.DUMMYFUNCTION("""COMPUTED_VALUE"""),45709.64583333333)</f>
        <v>45709.64583</v>
      </c>
      <c r="B74" s="6">
        <f>IFERROR(__xludf.DUMMYFUNCTION("""COMPUTED_VALUE"""),2763.0)</f>
        <v>2763</v>
      </c>
      <c r="C74" s="6">
        <f>IFERROR(__xludf.DUMMYFUNCTION("""COMPUTED_VALUE"""),2831.5)</f>
        <v>2831.5</v>
      </c>
      <c r="D74" s="6">
        <f>IFERROR(__xludf.DUMMYFUNCTION("""COMPUTED_VALUE"""),2736.4)</f>
        <v>2736.4</v>
      </c>
      <c r="E74" s="6">
        <f>IFERROR(__xludf.DUMMYFUNCTION("""COMPUTED_VALUE"""),2795.7)</f>
        <v>2795.7</v>
      </c>
      <c r="F74" s="6">
        <f>IFERROR(__xludf.DUMMYFUNCTION("""COMPUTED_VALUE"""),1649343.0)</f>
        <v>1649343</v>
      </c>
    </row>
    <row r="75">
      <c r="A75" s="7">
        <f>IFERROR(__xludf.DUMMYFUNCTION("""COMPUTED_VALUE"""),45716.64583333333)</f>
        <v>45716.64583</v>
      </c>
      <c r="B75" s="6">
        <f>IFERROR(__xludf.DUMMYFUNCTION("""COMPUTED_VALUE"""),2757.0)</f>
        <v>2757</v>
      </c>
      <c r="C75" s="6">
        <f>IFERROR(__xludf.DUMMYFUNCTION("""COMPUTED_VALUE"""),2778.2)</f>
        <v>2778.2</v>
      </c>
      <c r="D75" s="6">
        <f>IFERROR(__xludf.DUMMYFUNCTION("""COMPUTED_VALUE"""),2642.0)</f>
        <v>2642</v>
      </c>
      <c r="E75" s="6">
        <f>IFERROR(__xludf.DUMMYFUNCTION("""COMPUTED_VALUE"""),2657.9)</f>
        <v>2657.9</v>
      </c>
      <c r="F75" s="6">
        <f>IFERROR(__xludf.DUMMYFUNCTION("""COMPUTED_VALUE"""),1490125.0)</f>
        <v>1490125</v>
      </c>
    </row>
    <row r="76">
      <c r="A76" s="7">
        <f>IFERROR(__xludf.DUMMYFUNCTION("""COMPUTED_VALUE"""),45723.64583333333)</f>
        <v>45723.64583</v>
      </c>
      <c r="B76" s="6">
        <f>IFERROR(__xludf.DUMMYFUNCTION("""COMPUTED_VALUE"""),2657.9)</f>
        <v>2657.9</v>
      </c>
      <c r="C76" s="6">
        <f>IFERROR(__xludf.DUMMYFUNCTION("""COMPUTED_VALUE"""),2765.75)</f>
        <v>2765.75</v>
      </c>
      <c r="D76" s="6">
        <f>IFERROR(__xludf.DUMMYFUNCTION("""COMPUTED_VALUE"""),2622.2)</f>
        <v>2622.2</v>
      </c>
      <c r="E76" s="6">
        <f>IFERROR(__xludf.DUMMYFUNCTION("""COMPUTED_VALUE"""),2751.2)</f>
        <v>2751.2</v>
      </c>
      <c r="F76" s="6">
        <f>IFERROR(__xludf.DUMMYFUNCTION("""COMPUTED_VALUE"""),2417132.0)</f>
        <v>2417132</v>
      </c>
    </row>
    <row r="77">
      <c r="A77" s="7">
        <f>IFERROR(__xludf.DUMMYFUNCTION("""COMPUTED_VALUE"""),45729.64583333333)</f>
        <v>45729.64583</v>
      </c>
      <c r="B77" s="6">
        <f>IFERROR(__xludf.DUMMYFUNCTION("""COMPUTED_VALUE"""),2751.2)</f>
        <v>2751.2</v>
      </c>
      <c r="C77" s="6">
        <f>IFERROR(__xludf.DUMMYFUNCTION("""COMPUTED_VALUE"""),2786.65)</f>
        <v>2786.65</v>
      </c>
      <c r="D77" s="6">
        <f>IFERROR(__xludf.DUMMYFUNCTION("""COMPUTED_VALUE"""),2697.35)</f>
        <v>2697.35</v>
      </c>
      <c r="E77" s="6">
        <f>IFERROR(__xludf.DUMMYFUNCTION("""COMPUTED_VALUE"""),2729.9)</f>
        <v>2729.9</v>
      </c>
      <c r="F77" s="6">
        <f>IFERROR(__xludf.DUMMYFUNCTION("""COMPUTED_VALUE"""),1421113.0)</f>
        <v>1421113</v>
      </c>
    </row>
    <row r="78">
      <c r="A78" s="7">
        <f>IFERROR(__xludf.DUMMYFUNCTION("""COMPUTED_VALUE"""),45737.64583333333)</f>
        <v>45737.64583</v>
      </c>
      <c r="B78" s="6">
        <f>IFERROR(__xludf.DUMMYFUNCTION("""COMPUTED_VALUE"""),2749.35)</f>
        <v>2749.35</v>
      </c>
      <c r="C78" s="6">
        <f>IFERROR(__xludf.DUMMYFUNCTION("""COMPUTED_VALUE"""),2835.1)</f>
        <v>2835.1</v>
      </c>
      <c r="D78" s="6">
        <f>IFERROR(__xludf.DUMMYFUNCTION("""COMPUTED_VALUE"""),2721.1)</f>
        <v>2721.1</v>
      </c>
      <c r="E78" s="6">
        <f>IFERROR(__xludf.DUMMYFUNCTION("""COMPUTED_VALUE"""),2825.5)</f>
        <v>2825.5</v>
      </c>
      <c r="F78" s="6">
        <f>IFERROR(__xludf.DUMMYFUNCTION("""COMPUTED_VALUE"""),1702763.0)</f>
        <v>1702763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IFERROR(__xludf.DUMMYFUNCTION("""COMPUTED_VALUE"""),2840.0)</f>
        <v>2840</v>
      </c>
      <c r="C79" s="6">
        <f>IFERROR(__xludf.DUMMYFUNCTION("""COMPUTED_VALUE"""),2924.0)</f>
        <v>2924</v>
      </c>
      <c r="D79" s="6">
        <f>IFERROR(__xludf.DUMMYFUNCTION("""COMPUTED_VALUE"""),2792.95)</f>
        <v>2792.95</v>
      </c>
      <c r="E79" s="6">
        <f>IFERROR(__xludf.DUMMYFUNCTION("""COMPUTED_VALUE"""),2849.3)</f>
        <v>2849.3</v>
      </c>
      <c r="F79" s="6">
        <f>IFERROR(__xludf.DUMMYFUNCTION("""COMPUTED_VALUE"""),1940058.0)</f>
        <v>1940058</v>
      </c>
    </row>
    <row r="80">
      <c r="A80" s="7">
        <f>IFERROR(__xludf.DUMMYFUNCTION("""COMPUTED_VALUE"""),45751.64583333333)</f>
        <v>45751.64583</v>
      </c>
      <c r="B80" s="6">
        <f>IFERROR(__xludf.DUMMYFUNCTION("""COMPUTED_VALUE"""),2849.3)</f>
        <v>2849.3</v>
      </c>
      <c r="C80" s="6">
        <f>IFERROR(__xludf.DUMMYFUNCTION("""COMPUTED_VALUE"""),2904.0)</f>
        <v>2904</v>
      </c>
      <c r="D80" s="6">
        <f>IFERROR(__xludf.DUMMYFUNCTION("""COMPUTED_VALUE"""),2815.6)</f>
        <v>2815.6</v>
      </c>
      <c r="E80" s="6">
        <f>IFERROR(__xludf.DUMMYFUNCTION("""COMPUTED_VALUE"""),2892.0)</f>
        <v>2892</v>
      </c>
      <c r="F80" s="6">
        <f>IFERROR(__xludf.DUMMYFUNCTION("""COMPUTED_VALUE"""),962682.0)</f>
        <v>962682</v>
      </c>
    </row>
    <row r="81">
      <c r="A81" s="7">
        <f>IFERROR(__xludf.DUMMYFUNCTION("""COMPUTED_VALUE"""),45758.64583333333)</f>
        <v>45758.64583</v>
      </c>
      <c r="B81" s="6">
        <f>IFERROR(__xludf.DUMMYFUNCTION("""COMPUTED_VALUE"""),2813.0)</f>
        <v>2813</v>
      </c>
      <c r="C81" s="6">
        <f>IFERROR(__xludf.DUMMYFUNCTION("""COMPUTED_VALUE"""),2995.0)</f>
        <v>2995</v>
      </c>
      <c r="D81" s="6">
        <f>IFERROR(__xludf.DUMMYFUNCTION("""COMPUTED_VALUE"""),2787.9)</f>
        <v>2787.9</v>
      </c>
      <c r="E81" s="6">
        <f>IFERROR(__xludf.DUMMYFUNCTION("""COMPUTED_VALUE"""),2952.6)</f>
        <v>2952.6</v>
      </c>
      <c r="F81" s="6">
        <f>IFERROR(__xludf.DUMMYFUNCTION("""COMPUTED_VALUE"""),1510802.0)</f>
        <v>1510802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IFERROR(__xludf.DUMMYFUNCTION("""COMPUTED_VALUE"""),2990.0)</f>
        <v>2990</v>
      </c>
      <c r="C82" s="6">
        <f>IFERROR(__xludf.DUMMYFUNCTION("""COMPUTED_VALUE"""),3053.3)</f>
        <v>3053.3</v>
      </c>
      <c r="D82" s="6">
        <f>IFERROR(__xludf.DUMMYFUNCTION("""COMPUTED_VALUE"""),2943.0)</f>
        <v>2943</v>
      </c>
      <c r="E82" s="6">
        <f>IFERROR(__xludf.DUMMYFUNCTION("""COMPUTED_VALUE"""),3034.3)</f>
        <v>3034.3</v>
      </c>
      <c r="F82" s="6">
        <f>IFERROR(__xludf.DUMMYFUNCTION("""COMPUTED_VALUE"""),807416.0)</f>
        <v>807416</v>
      </c>
    </row>
    <row r="83">
      <c r="A83" s="7">
        <f>IFERROR(__xludf.DUMMYFUNCTION("""COMPUTED_VALUE"""),45772.64583333333)</f>
        <v>45772.64583</v>
      </c>
      <c r="B83" s="6">
        <f>IFERROR(__xludf.DUMMYFUNCTION("""COMPUTED_VALUE"""),3034.3)</f>
        <v>3034.3</v>
      </c>
      <c r="C83" s="6">
        <f>IFERROR(__xludf.DUMMYFUNCTION("""COMPUTED_VALUE"""),3094.8)</f>
        <v>3094.8</v>
      </c>
      <c r="D83" s="6">
        <f>IFERROR(__xludf.DUMMYFUNCTION("""COMPUTED_VALUE"""),2985.0)</f>
        <v>2985</v>
      </c>
      <c r="E83" s="6">
        <f>IFERROR(__xludf.DUMMYFUNCTION("""COMPUTED_VALUE"""),3011.2)</f>
        <v>3011.2</v>
      </c>
      <c r="F83" s="6">
        <f>IFERROR(__xludf.DUMMYFUNCTION("""COMPUTED_VALUE"""),1238951.0)</f>
        <v>1238951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IFERROR(__xludf.DUMMYFUNCTION("""COMPUTED_VALUE"""),2991.5)</f>
        <v>2991.5</v>
      </c>
      <c r="C84" s="6">
        <f>IFERROR(__xludf.DUMMYFUNCTION("""COMPUTED_VALUE"""),3068.3)</f>
        <v>3068.3</v>
      </c>
      <c r="D84" s="6">
        <f>IFERROR(__xludf.DUMMYFUNCTION("""COMPUTED_VALUE"""),2988.3)</f>
        <v>2988.3</v>
      </c>
      <c r="E84" s="6">
        <f>IFERROR(__xludf.DUMMYFUNCTION("""COMPUTED_VALUE"""),3008.7)</f>
        <v>3008.7</v>
      </c>
      <c r="F84" s="6">
        <f>IFERROR(__xludf.DUMMYFUNCTION("""COMPUTED_VALUE"""),1245855.0)</f>
        <v>1245855</v>
      </c>
    </row>
    <row r="85">
      <c r="A85" s="7">
        <f>IFERROR(__xludf.DUMMYFUNCTION("""COMPUTED_VALUE"""),45786.64583333333)</f>
        <v>45786.64583</v>
      </c>
      <c r="B85" s="6">
        <f>IFERROR(__xludf.DUMMYFUNCTION("""COMPUTED_VALUE"""),3001.0)</f>
        <v>3001</v>
      </c>
      <c r="C85" s="6">
        <f>IFERROR(__xludf.DUMMYFUNCTION("""COMPUTED_VALUE"""),3078.1)</f>
        <v>3078.1</v>
      </c>
      <c r="D85" s="6">
        <f>IFERROR(__xludf.DUMMYFUNCTION("""COMPUTED_VALUE"""),2932.0)</f>
        <v>2932</v>
      </c>
      <c r="E85" s="6">
        <f>IFERROR(__xludf.DUMMYFUNCTION("""COMPUTED_VALUE"""),2980.0)</f>
        <v>2980</v>
      </c>
      <c r="F85" s="6">
        <f>IFERROR(__xludf.DUMMYFUNCTION("""COMPUTED_VALUE"""),1462838.0)</f>
        <v>1462838</v>
      </c>
    </row>
    <row r="86">
      <c r="A86" s="7">
        <f>IFERROR(__xludf.DUMMYFUNCTION("""COMPUTED_VALUE"""),45793.64583333333)</f>
        <v>45793.64583</v>
      </c>
      <c r="B86" s="6">
        <f>IFERROR(__xludf.DUMMYFUNCTION("""COMPUTED_VALUE"""),3040.0)</f>
        <v>3040</v>
      </c>
      <c r="C86" s="6">
        <f>IFERROR(__xludf.DUMMYFUNCTION("""COMPUTED_VALUE"""),3144.8)</f>
        <v>3144.8</v>
      </c>
      <c r="D86" s="6">
        <f>IFERROR(__xludf.DUMMYFUNCTION("""COMPUTED_VALUE"""),3025.0)</f>
        <v>3025</v>
      </c>
      <c r="E86" s="6">
        <f>IFERROR(__xludf.DUMMYFUNCTION("""COMPUTED_VALUE"""),3091.2)</f>
        <v>3091.2</v>
      </c>
      <c r="F86" s="6">
        <f>IFERROR(__xludf.DUMMYFUNCTION("""COMPUTED_VALUE"""),3058455.0)</f>
        <v>3058455</v>
      </c>
    </row>
    <row r="87">
      <c r="A87" s="7">
        <f>IFERROR(__xludf.DUMMYFUNCTION("""COMPUTED_VALUE"""),45800.64583333333)</f>
        <v>45800.64583</v>
      </c>
      <c r="B87" s="6">
        <f>IFERROR(__xludf.DUMMYFUNCTION("""COMPUTED_VALUE"""),3094.0)</f>
        <v>3094</v>
      </c>
      <c r="C87" s="6">
        <f>IFERROR(__xludf.DUMMYFUNCTION("""COMPUTED_VALUE"""),3105.0)</f>
        <v>3105</v>
      </c>
      <c r="D87" s="6">
        <f>IFERROR(__xludf.DUMMYFUNCTION("""COMPUTED_VALUE"""),2966.2)</f>
        <v>2966.2</v>
      </c>
      <c r="E87" s="6">
        <f>IFERROR(__xludf.DUMMYFUNCTION("""COMPUTED_VALUE"""),3031.7)</f>
        <v>3031.7</v>
      </c>
      <c r="F87" s="6">
        <f>IFERROR(__xludf.DUMMYFUNCTION("""COMPUTED_VALUE"""),1386230.0)</f>
        <v>1386230</v>
      </c>
    </row>
    <row r="88">
      <c r="A88" s="7">
        <f>IFERROR(__xludf.DUMMYFUNCTION("""COMPUTED_VALUE"""),45807.64583333333)</f>
        <v>45807.64583</v>
      </c>
      <c r="B88" s="6">
        <f>IFERROR(__xludf.DUMMYFUNCTION("""COMPUTED_VALUE"""),3049.0)</f>
        <v>3049</v>
      </c>
      <c r="C88" s="6">
        <f>IFERROR(__xludf.DUMMYFUNCTION("""COMPUTED_VALUE"""),3127.0)</f>
        <v>3127</v>
      </c>
      <c r="D88" s="6">
        <f>IFERROR(__xludf.DUMMYFUNCTION("""COMPUTED_VALUE"""),2992.0)</f>
        <v>2992</v>
      </c>
      <c r="E88" s="6">
        <f>IFERROR(__xludf.DUMMYFUNCTION("""COMPUTED_VALUE"""),3107.2)</f>
        <v>3107.2</v>
      </c>
      <c r="F88" s="6">
        <f>IFERROR(__xludf.DUMMYFUNCTION("""COMPUTED_VALUE"""),2606413.0)</f>
        <v>2606413</v>
      </c>
    </row>
    <row r="89">
      <c r="A89" s="7">
        <f>IFERROR(__xludf.DUMMYFUNCTION("""COMPUTED_VALUE"""),45814.64583333333)</f>
        <v>45814.64583</v>
      </c>
      <c r="B89" s="6">
        <f>IFERROR(__xludf.DUMMYFUNCTION("""COMPUTED_VALUE"""),3124.0)</f>
        <v>3124</v>
      </c>
      <c r="C89" s="6">
        <f>IFERROR(__xludf.DUMMYFUNCTION("""COMPUTED_VALUE"""),3135.7)</f>
        <v>3135.7</v>
      </c>
      <c r="D89" s="6">
        <f>IFERROR(__xludf.DUMMYFUNCTION("""COMPUTED_VALUE"""),3040.0)</f>
        <v>3040</v>
      </c>
      <c r="E89" s="6">
        <f>IFERROR(__xludf.DUMMYFUNCTION("""COMPUTED_VALUE"""),3049.8)</f>
        <v>3049.8</v>
      </c>
      <c r="F89" s="6">
        <f>IFERROR(__xludf.DUMMYFUNCTION("""COMPUTED_VALUE"""),1771455.0)</f>
        <v>1771455</v>
      </c>
    </row>
    <row r="90">
      <c r="A90" s="7">
        <f>IFERROR(__xludf.DUMMYFUNCTION("""COMPUTED_VALUE"""),45821.64583333333)</f>
        <v>45821.64583</v>
      </c>
      <c r="B90" s="6">
        <f>IFERROR(__xludf.DUMMYFUNCTION("""COMPUTED_VALUE"""),3042.0)</f>
        <v>3042</v>
      </c>
      <c r="C90" s="6">
        <f>IFERROR(__xludf.DUMMYFUNCTION("""COMPUTED_VALUE"""),3098.3)</f>
        <v>3098.3</v>
      </c>
      <c r="D90" s="6">
        <f>IFERROR(__xludf.DUMMYFUNCTION("""COMPUTED_VALUE"""),2880.0)</f>
        <v>2880</v>
      </c>
      <c r="E90" s="6">
        <f>IFERROR(__xludf.DUMMYFUNCTION("""COMPUTED_VALUE"""),3012.5)</f>
        <v>3012.5</v>
      </c>
      <c r="F90" s="6">
        <f>IFERROR(__xludf.DUMMYFUNCTION("""COMPUTED_VALUE"""),1426373.0)</f>
        <v>1426373</v>
      </c>
    </row>
    <row r="91">
      <c r="A91" s="7">
        <f>IFERROR(__xludf.DUMMYFUNCTION("""COMPUTED_VALUE"""),45828.64583333333)</f>
        <v>45828.64583</v>
      </c>
      <c r="B91" s="6">
        <f>IFERROR(__xludf.DUMMYFUNCTION("""COMPUTED_VALUE"""),3003.5)</f>
        <v>3003.5</v>
      </c>
      <c r="C91" s="6">
        <f>IFERROR(__xludf.DUMMYFUNCTION("""COMPUTED_VALUE"""),3041.5)</f>
        <v>3041.5</v>
      </c>
      <c r="D91" s="6">
        <f>IFERROR(__xludf.DUMMYFUNCTION("""COMPUTED_VALUE"""),2944.2)</f>
        <v>2944.2</v>
      </c>
      <c r="E91" s="6">
        <f>IFERROR(__xludf.DUMMYFUNCTION("""COMPUTED_VALUE"""),2956.1)</f>
        <v>2956.1</v>
      </c>
      <c r="F91" s="6">
        <f>IFERROR(__xludf.DUMMYFUNCTION("""COMPUTED_VALUE"""),1266125.0)</f>
        <v>1266125</v>
      </c>
    </row>
    <row r="92">
      <c r="A92" s="7">
        <f>IFERROR(__xludf.DUMMYFUNCTION("""COMPUTED_VALUE"""),45835.64583333333)</f>
        <v>45835.64583</v>
      </c>
      <c r="B92" s="6">
        <f>IFERROR(__xludf.DUMMYFUNCTION("""COMPUTED_VALUE"""),2933.2)</f>
        <v>2933.2</v>
      </c>
      <c r="C92" s="6">
        <f>IFERROR(__xludf.DUMMYFUNCTION("""COMPUTED_VALUE"""),3064.3)</f>
        <v>3064.3</v>
      </c>
      <c r="D92" s="6">
        <f>IFERROR(__xludf.DUMMYFUNCTION("""COMPUTED_VALUE"""),2931.6)</f>
        <v>2931.6</v>
      </c>
      <c r="E92" s="6">
        <f>IFERROR(__xludf.DUMMYFUNCTION("""COMPUTED_VALUE"""),3051.7)</f>
        <v>3051.7</v>
      </c>
      <c r="F92" s="6">
        <f>IFERROR(__xludf.DUMMYFUNCTION("""COMPUTED_VALUE"""),1666129.0)</f>
        <v>1666129</v>
      </c>
    </row>
    <row r="93">
      <c r="A93" s="7">
        <f>IFERROR(__xludf.DUMMYFUNCTION("""COMPUTED_VALUE"""),45842.64583333333)</f>
        <v>45842.64583</v>
      </c>
      <c r="B93" s="6">
        <f>IFERROR(__xludf.DUMMYFUNCTION("""COMPUTED_VALUE"""),3052.0)</f>
        <v>3052</v>
      </c>
      <c r="C93" s="6">
        <f>IFERROR(__xludf.DUMMYFUNCTION("""COMPUTED_VALUE"""),3124.9)</f>
        <v>3124.9</v>
      </c>
      <c r="D93" s="6">
        <f>IFERROR(__xludf.DUMMYFUNCTION("""COMPUTED_VALUE"""),3015.6)</f>
        <v>3015.6</v>
      </c>
      <c r="E93" s="6">
        <f>IFERROR(__xludf.DUMMYFUNCTION("""COMPUTED_VALUE"""),3080.2)</f>
        <v>3080.2</v>
      </c>
      <c r="F93" s="6">
        <f>IFERROR(__xludf.DUMMYFUNCTION("""COMPUTED_VALUE"""),1206818.0)</f>
        <v>1206818</v>
      </c>
    </row>
    <row r="94">
      <c r="A94" s="7">
        <f>IFERROR(__xludf.DUMMYFUNCTION("""COMPUTED_VALUE"""),45849.64583333333)</f>
        <v>45849.64583</v>
      </c>
      <c r="B94" s="6">
        <f>IFERROR(__xludf.DUMMYFUNCTION("""COMPUTED_VALUE"""),3081.1)</f>
        <v>3081.1</v>
      </c>
      <c r="C94" s="6">
        <f>IFERROR(__xludf.DUMMYFUNCTION("""COMPUTED_VALUE"""),3095.5)</f>
        <v>3095.5</v>
      </c>
      <c r="D94" s="6">
        <f>IFERROR(__xludf.DUMMYFUNCTION("""COMPUTED_VALUE"""),2990.5)</f>
        <v>2990.5</v>
      </c>
      <c r="E94" s="6">
        <f>IFERROR(__xludf.DUMMYFUNCTION("""COMPUTED_VALUE"""),3000.8)</f>
        <v>3000.8</v>
      </c>
      <c r="F94" s="6">
        <f>IFERROR(__xludf.DUMMYFUNCTION("""COMPUTED_VALUE"""),1322062.0)</f>
        <v>1322062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IFERROR(__xludf.DUMMYFUNCTION("""COMPUTED_VALUE"""),3000.7)</f>
        <v>3000.7</v>
      </c>
      <c r="C95" s="6">
        <f>IFERROR(__xludf.DUMMYFUNCTION("""COMPUTED_VALUE"""),3010.0)</f>
        <v>3010</v>
      </c>
      <c r="D95" s="6">
        <f>IFERROR(__xludf.DUMMYFUNCTION("""COMPUTED_VALUE"""),2940.0)</f>
        <v>2940</v>
      </c>
      <c r="E95" s="6">
        <f>IFERROR(__xludf.DUMMYFUNCTION("""COMPUTED_VALUE"""),2958.1)</f>
        <v>2958.1</v>
      </c>
      <c r="F95" s="6">
        <f>IFERROR(__xludf.DUMMYFUNCTION("""COMPUTED_VALUE"""),1205206.0)</f>
        <v>1205206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IFERROR(__xludf.DUMMYFUNCTION("""COMPUTED_VALUE"""),2959.9)</f>
        <v>2959.9</v>
      </c>
      <c r="C96" s="6">
        <f>IFERROR(__xludf.DUMMYFUNCTION("""COMPUTED_VALUE"""),2986.5)</f>
        <v>2986.5</v>
      </c>
      <c r="D96" s="6">
        <f>IFERROR(__xludf.DUMMYFUNCTION("""COMPUTED_VALUE"""),2875.0)</f>
        <v>2875</v>
      </c>
      <c r="E96" s="6">
        <f>IFERROR(__xludf.DUMMYFUNCTION("""COMPUTED_VALUE"""),2889.6)</f>
        <v>2889.6</v>
      </c>
      <c r="F96" s="6">
        <f>IFERROR(__xludf.DUMMYFUNCTION("""COMPUTED_VALUE"""),928083.0)</f>
        <v>928083</v>
      </c>
    </row>
    <row r="97">
      <c r="A97" s="7">
        <f>IFERROR(__xludf.DUMMYFUNCTION("""COMPUTED_VALUE"""),45870.64583333333)</f>
        <v>45870.64583</v>
      </c>
      <c r="B97" s="6">
        <f>IFERROR(__xludf.DUMMYFUNCTION("""COMPUTED_VALUE"""),2869.1)</f>
        <v>2869.1</v>
      </c>
      <c r="C97" s="6">
        <f>IFERROR(__xludf.DUMMYFUNCTION("""COMPUTED_VALUE"""),2905.9)</f>
        <v>2905.9</v>
      </c>
      <c r="D97" s="6">
        <f>IFERROR(__xludf.DUMMYFUNCTION("""COMPUTED_VALUE"""),2845.6)</f>
        <v>2845.6</v>
      </c>
      <c r="E97" s="6">
        <f>IFERROR(__xludf.DUMMYFUNCTION("""COMPUTED_VALUE"""),2858.9)</f>
        <v>2858.9</v>
      </c>
      <c r="F97" s="6">
        <f>IFERROR(__xludf.DUMMYFUNCTION("""COMPUTED_VALUE"""),1050428.0)</f>
        <v>1050428</v>
      </c>
    </row>
    <row r="98">
      <c r="A98" s="7">
        <f>IFERROR(__xludf.DUMMYFUNCTION("""COMPUTED_VALUE"""),45877.64583333333)</f>
        <v>45877.64583</v>
      </c>
      <c r="B98" s="6">
        <f>IFERROR(__xludf.DUMMYFUNCTION("""COMPUTED_VALUE"""),2885.0)</f>
        <v>2885</v>
      </c>
      <c r="C98" s="6">
        <f>IFERROR(__xludf.DUMMYFUNCTION("""COMPUTED_VALUE"""),3117.9)</f>
        <v>3117.9</v>
      </c>
      <c r="D98" s="6">
        <f>IFERROR(__xludf.DUMMYFUNCTION("""COMPUTED_VALUE"""),2866.1)</f>
        <v>2866.1</v>
      </c>
      <c r="E98" s="6">
        <f>IFERROR(__xludf.DUMMYFUNCTION("""COMPUTED_VALUE"""),3081.3)</f>
        <v>3081.3</v>
      </c>
      <c r="F98" s="6">
        <f>IFERROR(__xludf.DUMMYFUNCTION("""COMPUTED_VALUE"""),3619831.0)</f>
        <v>3619831</v>
      </c>
    </row>
    <row r="99">
      <c r="A99" s="7">
        <f>IFERROR(__xludf.DUMMYFUNCTION("""COMPUTED_VALUE"""),45883.64583333333)</f>
        <v>45883.64583</v>
      </c>
      <c r="B99" s="6">
        <f>IFERROR(__xludf.DUMMYFUNCTION("""COMPUTED_VALUE"""),3099.0)</f>
        <v>3099</v>
      </c>
      <c r="C99" s="6">
        <f>IFERROR(__xludf.DUMMYFUNCTION("""COMPUTED_VALUE"""),3114.1)</f>
        <v>3114.1</v>
      </c>
      <c r="D99" s="6">
        <f>IFERROR(__xludf.DUMMYFUNCTION("""COMPUTED_VALUE"""),3055.1)</f>
        <v>3055.1</v>
      </c>
      <c r="E99" s="6">
        <f>IFERROR(__xludf.DUMMYFUNCTION("""COMPUTED_VALUE"""),3085.4)</f>
        <v>3085.4</v>
      </c>
      <c r="F99" s="6">
        <f>IFERROR(__xludf.DUMMYFUNCTION("""COMPUTED_VALUE"""),1265509.0)</f>
        <v>1265509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IFERROR(__xludf.DUMMYFUNCTION("""COMPUTED_VALUE"""),3125.0)</f>
        <v>3125</v>
      </c>
      <c r="C100" s="6">
        <f>IFERROR(__xludf.DUMMYFUNCTION("""COMPUTED_VALUE"""),3125.0)</f>
        <v>3125</v>
      </c>
      <c r="D100" s="6">
        <f>IFERROR(__xludf.DUMMYFUNCTION("""COMPUTED_VALUE"""),3067.3)</f>
        <v>3067.3</v>
      </c>
      <c r="E100" s="6">
        <f>IFERROR(__xludf.DUMMYFUNCTION("""COMPUTED_VALUE"""),3087.2)</f>
        <v>3087.2</v>
      </c>
      <c r="F100" s="6">
        <f>IFERROR(__xludf.DUMMYFUNCTION("""COMPUTED_VALUE"""),1093828.0)</f>
        <v>1093828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IFERROR(__xludf.DUMMYFUNCTION("""COMPUTED_VALUE"""),3099.0)</f>
        <v>3099</v>
      </c>
      <c r="C101" s="6">
        <f>IFERROR(__xludf.DUMMYFUNCTION("""COMPUTED_VALUE"""),3144.0)</f>
        <v>3144</v>
      </c>
      <c r="D101" s="6">
        <f>IFERROR(__xludf.DUMMYFUNCTION("""COMPUTED_VALUE"""),3075.1)</f>
        <v>3075.1</v>
      </c>
      <c r="E101" s="6">
        <f>IFERROR(__xludf.DUMMYFUNCTION("""COMPUTED_VALUE"""),3100.4)</f>
        <v>3100.4</v>
      </c>
      <c r="F101" s="6">
        <f>IFERROR(__xludf.DUMMYFUNCTION("""COMPUTED_VALUE"""),7167366.0)</f>
        <v>7167366</v>
      </c>
    </row>
  </sheetData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IFERROR(__xludf.DUMMYFUNCTION("GOOGLEFINANCE(""NSE:PIIND"",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IFERROR(__xludf.DUMMYFUNCTION("""COMPUTED_VALUE"""),3642.0)</f>
        <v>3642</v>
      </c>
      <c r="C2" s="6">
        <f>IFERROR(__xludf.DUMMYFUNCTION("""COMPUTED_VALUE"""),3765.0)</f>
        <v>3765</v>
      </c>
      <c r="D2" s="6">
        <f>IFERROR(__xludf.DUMMYFUNCTION("""COMPUTED_VALUE"""),3596.65)</f>
        <v>3596.65</v>
      </c>
      <c r="E2" s="6">
        <f>IFERROR(__xludf.DUMMYFUNCTION("""COMPUTED_VALUE"""),3621.1)</f>
        <v>3621.1</v>
      </c>
      <c r="F2" s="6">
        <f>IFERROR(__xludf.DUMMYFUNCTION("""COMPUTED_VALUE"""),1775267.0)</f>
        <v>1775267</v>
      </c>
    </row>
    <row r="3">
      <c r="A3" s="7">
        <f>IFERROR(__xludf.DUMMYFUNCTION("""COMPUTED_VALUE"""),45177.64583333333)</f>
        <v>45177.64583</v>
      </c>
      <c r="B3" s="6">
        <f>IFERROR(__xludf.DUMMYFUNCTION("""COMPUTED_VALUE"""),3644.8)</f>
        <v>3644.8</v>
      </c>
      <c r="C3" s="6">
        <f>IFERROR(__xludf.DUMMYFUNCTION("""COMPUTED_VALUE"""),3677.35)</f>
        <v>3677.35</v>
      </c>
      <c r="D3" s="6">
        <f>IFERROR(__xludf.DUMMYFUNCTION("""COMPUTED_VALUE"""),3594.0)</f>
        <v>3594</v>
      </c>
      <c r="E3" s="6">
        <f>IFERROR(__xludf.DUMMYFUNCTION("""COMPUTED_VALUE"""),3655.5)</f>
        <v>3655.5</v>
      </c>
      <c r="F3" s="6">
        <f>IFERROR(__xludf.DUMMYFUNCTION("""COMPUTED_VALUE"""),1314352.0)</f>
        <v>1314352</v>
      </c>
    </row>
    <row r="4">
      <c r="A4" s="7">
        <f>IFERROR(__xludf.DUMMYFUNCTION("""COMPUTED_VALUE"""),45184.64583333333)</f>
        <v>45184.64583</v>
      </c>
      <c r="B4" s="6">
        <f>IFERROR(__xludf.DUMMYFUNCTION("""COMPUTED_VALUE"""),3675.0)</f>
        <v>3675</v>
      </c>
      <c r="C4" s="6">
        <f>IFERROR(__xludf.DUMMYFUNCTION("""COMPUTED_VALUE"""),3713.55)</f>
        <v>3713.55</v>
      </c>
      <c r="D4" s="6">
        <f>IFERROR(__xludf.DUMMYFUNCTION("""COMPUTED_VALUE"""),3565.4)</f>
        <v>3565.4</v>
      </c>
      <c r="E4" s="6">
        <f>IFERROR(__xludf.DUMMYFUNCTION("""COMPUTED_VALUE"""),3631.65)</f>
        <v>3631.65</v>
      </c>
      <c r="F4" s="6">
        <f>IFERROR(__xludf.DUMMYFUNCTION("""COMPUTED_VALUE"""),1018353.0)</f>
        <v>1018353</v>
      </c>
    </row>
    <row r="5">
      <c r="A5" s="7">
        <f>IFERROR(__xludf.DUMMYFUNCTION("""COMPUTED_VALUE"""),45191.64583333333)</f>
        <v>45191.64583</v>
      </c>
      <c r="B5" s="6">
        <f>IFERROR(__xludf.DUMMYFUNCTION("""COMPUTED_VALUE"""),3550.0)</f>
        <v>3550</v>
      </c>
      <c r="C5" s="6">
        <f>IFERROR(__xludf.DUMMYFUNCTION("""COMPUTED_VALUE"""),3620.0)</f>
        <v>3620</v>
      </c>
      <c r="D5" s="6">
        <f>IFERROR(__xludf.DUMMYFUNCTION("""COMPUTED_VALUE"""),3410.0)</f>
        <v>3410</v>
      </c>
      <c r="E5" s="6">
        <f>IFERROR(__xludf.DUMMYFUNCTION("""COMPUTED_VALUE"""),3415.6)</f>
        <v>3415.6</v>
      </c>
      <c r="F5" s="6">
        <f>IFERROR(__xludf.DUMMYFUNCTION("""COMPUTED_VALUE"""),1528908.0)</f>
        <v>1528908</v>
      </c>
    </row>
    <row r="6">
      <c r="A6" s="7">
        <f>IFERROR(__xludf.DUMMYFUNCTION("""COMPUTED_VALUE"""),45198.64583333333)</f>
        <v>45198.64583</v>
      </c>
      <c r="B6" s="6">
        <f>IFERROR(__xludf.DUMMYFUNCTION("""COMPUTED_VALUE"""),3415.6)</f>
        <v>3415.6</v>
      </c>
      <c r="C6" s="6">
        <f>IFERROR(__xludf.DUMMYFUNCTION("""COMPUTED_VALUE"""),3479.6)</f>
        <v>3479.6</v>
      </c>
      <c r="D6" s="6">
        <f>IFERROR(__xludf.DUMMYFUNCTION("""COMPUTED_VALUE"""),3376.0)</f>
        <v>3376</v>
      </c>
      <c r="E6" s="6">
        <f>IFERROR(__xludf.DUMMYFUNCTION("""COMPUTED_VALUE"""),3453.0)</f>
        <v>3453</v>
      </c>
      <c r="F6" s="6">
        <f>IFERROR(__xludf.DUMMYFUNCTION("""COMPUTED_VALUE"""),1382664.0)</f>
        <v>1382664</v>
      </c>
    </row>
    <row r="7">
      <c r="A7" s="7">
        <f>IFERROR(__xludf.DUMMYFUNCTION("""COMPUTED_VALUE"""),45205.64583333333)</f>
        <v>45205.64583</v>
      </c>
      <c r="B7" s="6">
        <f>IFERROR(__xludf.DUMMYFUNCTION("""COMPUTED_VALUE"""),3453.0)</f>
        <v>3453</v>
      </c>
      <c r="C7" s="6">
        <f>IFERROR(__xludf.DUMMYFUNCTION("""COMPUTED_VALUE"""),3453.0)</f>
        <v>3453</v>
      </c>
      <c r="D7" s="6">
        <f>IFERROR(__xludf.DUMMYFUNCTION("""COMPUTED_VALUE"""),3376.0)</f>
        <v>3376</v>
      </c>
      <c r="E7" s="6">
        <f>IFERROR(__xludf.DUMMYFUNCTION("""COMPUTED_VALUE"""),3420.7)</f>
        <v>3420.7</v>
      </c>
      <c r="F7" s="6">
        <f>IFERROR(__xludf.DUMMYFUNCTION("""COMPUTED_VALUE"""),642823.0)</f>
        <v>642823</v>
      </c>
    </row>
    <row r="8">
      <c r="A8" s="7">
        <f>IFERROR(__xludf.DUMMYFUNCTION("""COMPUTED_VALUE"""),45212.64583333333)</f>
        <v>45212.64583</v>
      </c>
      <c r="B8" s="6">
        <f>IFERROR(__xludf.DUMMYFUNCTION("""COMPUTED_VALUE"""),3402.05)</f>
        <v>3402.05</v>
      </c>
      <c r="C8" s="6">
        <f>IFERROR(__xludf.DUMMYFUNCTION("""COMPUTED_VALUE"""),3522.0)</f>
        <v>3522</v>
      </c>
      <c r="D8" s="6">
        <f>IFERROR(__xludf.DUMMYFUNCTION("""COMPUTED_VALUE"""),3365.1)</f>
        <v>3365.1</v>
      </c>
      <c r="E8" s="6">
        <f>IFERROR(__xludf.DUMMYFUNCTION("""COMPUTED_VALUE"""),3481.15)</f>
        <v>3481.15</v>
      </c>
      <c r="F8" s="6">
        <f>IFERROR(__xludf.DUMMYFUNCTION("""COMPUTED_VALUE"""),723803.0)</f>
        <v>723803</v>
      </c>
    </row>
    <row r="9">
      <c r="A9" s="7">
        <f>IFERROR(__xludf.DUMMYFUNCTION("""COMPUTED_VALUE"""),45219.64583333333)</f>
        <v>45219.64583</v>
      </c>
      <c r="B9" s="6">
        <f>IFERROR(__xludf.DUMMYFUNCTION("""COMPUTED_VALUE"""),3510.0)</f>
        <v>3510</v>
      </c>
      <c r="C9" s="6">
        <f>IFERROR(__xludf.DUMMYFUNCTION("""COMPUTED_VALUE"""),3543.0)</f>
        <v>3543</v>
      </c>
      <c r="D9" s="6">
        <f>IFERROR(__xludf.DUMMYFUNCTION("""COMPUTED_VALUE"""),3445.5)</f>
        <v>3445.5</v>
      </c>
      <c r="E9" s="6">
        <f>IFERROR(__xludf.DUMMYFUNCTION("""COMPUTED_VALUE"""),3467.2)</f>
        <v>3467.2</v>
      </c>
      <c r="F9" s="6">
        <f>IFERROR(__xludf.DUMMYFUNCTION("""COMPUTED_VALUE"""),610796.0)</f>
        <v>610796</v>
      </c>
    </row>
    <row r="10">
      <c r="A10" s="7">
        <f>IFERROR(__xludf.DUMMYFUNCTION("""COMPUTED_VALUE"""),45226.64583333333)</f>
        <v>45226.64583</v>
      </c>
      <c r="B10" s="6">
        <f>IFERROR(__xludf.DUMMYFUNCTION("""COMPUTED_VALUE"""),3467.25)</f>
        <v>3467.25</v>
      </c>
      <c r="C10" s="6">
        <f>IFERROR(__xludf.DUMMYFUNCTION("""COMPUTED_VALUE"""),3479.85)</f>
        <v>3479.85</v>
      </c>
      <c r="D10" s="6">
        <f>IFERROR(__xludf.DUMMYFUNCTION("""COMPUTED_VALUE"""),3271.05)</f>
        <v>3271.05</v>
      </c>
      <c r="E10" s="6">
        <f>IFERROR(__xludf.DUMMYFUNCTION("""COMPUTED_VALUE"""),3315.3)</f>
        <v>3315.3</v>
      </c>
      <c r="F10" s="6">
        <f>IFERROR(__xludf.DUMMYFUNCTION("""COMPUTED_VALUE"""),945939.0)</f>
        <v>945939</v>
      </c>
    </row>
    <row r="11">
      <c r="A11" s="7">
        <f>IFERROR(__xludf.DUMMYFUNCTION("""COMPUTED_VALUE"""),45233.64583333333)</f>
        <v>45233.64583</v>
      </c>
      <c r="B11" s="6">
        <f>IFERROR(__xludf.DUMMYFUNCTION("""COMPUTED_VALUE"""),3328.95)</f>
        <v>3328.95</v>
      </c>
      <c r="C11" s="6">
        <f>IFERROR(__xludf.DUMMYFUNCTION("""COMPUTED_VALUE"""),3503.75)</f>
        <v>3503.75</v>
      </c>
      <c r="D11" s="6">
        <f>IFERROR(__xludf.DUMMYFUNCTION("""COMPUTED_VALUE"""),3296.05)</f>
        <v>3296.05</v>
      </c>
      <c r="E11" s="6">
        <f>IFERROR(__xludf.DUMMYFUNCTION("""COMPUTED_VALUE"""),3489.2)</f>
        <v>3489.2</v>
      </c>
      <c r="F11" s="6">
        <f>IFERROR(__xludf.DUMMYFUNCTION("""COMPUTED_VALUE"""),829660.0)</f>
        <v>829660</v>
      </c>
    </row>
    <row r="12">
      <c r="A12" s="7">
        <f>IFERROR(__xludf.DUMMYFUNCTION("""COMPUTED_VALUE"""),45240.64583333333)</f>
        <v>45240.64583</v>
      </c>
      <c r="B12" s="6">
        <f>IFERROR(__xludf.DUMMYFUNCTION("""COMPUTED_VALUE"""),3415.1)</f>
        <v>3415.1</v>
      </c>
      <c r="C12" s="6">
        <f>IFERROR(__xludf.DUMMYFUNCTION("""COMPUTED_VALUE"""),3739.0)</f>
        <v>3739</v>
      </c>
      <c r="D12" s="6">
        <f>IFERROR(__xludf.DUMMYFUNCTION("""COMPUTED_VALUE"""),3381.2)</f>
        <v>3381.2</v>
      </c>
      <c r="E12" s="6">
        <f>IFERROR(__xludf.DUMMYFUNCTION("""COMPUTED_VALUE"""),3687.35)</f>
        <v>3687.35</v>
      </c>
      <c r="F12" s="6">
        <f>IFERROR(__xludf.DUMMYFUNCTION("""COMPUTED_VALUE"""),3045449.0)</f>
        <v>3045449</v>
      </c>
    </row>
    <row r="13">
      <c r="A13" s="7">
        <f>IFERROR(__xludf.DUMMYFUNCTION("""COMPUTED_VALUE"""),45247.64583333333)</f>
        <v>45247.64583</v>
      </c>
      <c r="B13" s="6">
        <f>IFERROR(__xludf.DUMMYFUNCTION("""COMPUTED_VALUE"""),3714.45)</f>
        <v>3714.45</v>
      </c>
      <c r="C13" s="6">
        <f>IFERROR(__xludf.DUMMYFUNCTION("""COMPUTED_VALUE"""),3768.0)</f>
        <v>3768</v>
      </c>
      <c r="D13" s="6">
        <f>IFERROR(__xludf.DUMMYFUNCTION("""COMPUTED_VALUE"""),3640.85)</f>
        <v>3640.85</v>
      </c>
      <c r="E13" s="6">
        <f>IFERROR(__xludf.DUMMYFUNCTION("""COMPUTED_VALUE"""),3726.5)</f>
        <v>3726.5</v>
      </c>
      <c r="F13" s="6">
        <f>IFERROR(__xludf.DUMMYFUNCTION("""COMPUTED_VALUE"""),992458.0)</f>
        <v>992458</v>
      </c>
    </row>
    <row r="14">
      <c r="A14" s="7">
        <f>IFERROR(__xludf.DUMMYFUNCTION("""COMPUTED_VALUE"""),45254.64583333333)</f>
        <v>45254.64583</v>
      </c>
      <c r="B14" s="6">
        <f>IFERROR(__xludf.DUMMYFUNCTION("""COMPUTED_VALUE"""),3726.5)</f>
        <v>3726.5</v>
      </c>
      <c r="C14" s="6">
        <f>IFERROR(__xludf.DUMMYFUNCTION("""COMPUTED_VALUE"""),3805.0)</f>
        <v>3805</v>
      </c>
      <c r="D14" s="6">
        <f>IFERROR(__xludf.DUMMYFUNCTION("""COMPUTED_VALUE"""),3640.85)</f>
        <v>3640.85</v>
      </c>
      <c r="E14" s="6">
        <f>IFERROR(__xludf.DUMMYFUNCTION("""COMPUTED_VALUE"""),3765.5)</f>
        <v>3765.5</v>
      </c>
      <c r="F14" s="6">
        <f>IFERROR(__xludf.DUMMYFUNCTION("""COMPUTED_VALUE"""),1534475.0)</f>
        <v>1534475</v>
      </c>
    </row>
    <row r="15">
      <c r="A15" s="7">
        <f>IFERROR(__xludf.DUMMYFUNCTION("""COMPUTED_VALUE"""),45261.64583333333)</f>
        <v>45261.64583</v>
      </c>
      <c r="B15" s="6">
        <f>IFERROR(__xludf.DUMMYFUNCTION("""COMPUTED_VALUE"""),3765.5)</f>
        <v>3765.5</v>
      </c>
      <c r="C15" s="6">
        <f>IFERROR(__xludf.DUMMYFUNCTION("""COMPUTED_VALUE"""),3822.0)</f>
        <v>3822</v>
      </c>
      <c r="D15" s="6">
        <f>IFERROR(__xludf.DUMMYFUNCTION("""COMPUTED_VALUE"""),3680.0)</f>
        <v>3680</v>
      </c>
      <c r="E15" s="6">
        <f>IFERROR(__xludf.DUMMYFUNCTION("""COMPUTED_VALUE"""),3816.85)</f>
        <v>3816.85</v>
      </c>
      <c r="F15" s="6">
        <f>IFERROR(__xludf.DUMMYFUNCTION("""COMPUTED_VALUE"""),1156328.0)</f>
        <v>1156328</v>
      </c>
    </row>
    <row r="16">
      <c r="A16" s="7">
        <f>IFERROR(__xludf.DUMMYFUNCTION("""COMPUTED_VALUE"""),45268.64583333333)</f>
        <v>45268.64583</v>
      </c>
      <c r="B16" s="6">
        <f>IFERROR(__xludf.DUMMYFUNCTION("""COMPUTED_VALUE"""),3842.75)</f>
        <v>3842.75</v>
      </c>
      <c r="C16" s="6">
        <f>IFERROR(__xludf.DUMMYFUNCTION("""COMPUTED_VALUE"""),3920.0)</f>
        <v>3920</v>
      </c>
      <c r="D16" s="6">
        <f>IFERROR(__xludf.DUMMYFUNCTION("""COMPUTED_VALUE"""),3793.8)</f>
        <v>3793.8</v>
      </c>
      <c r="E16" s="6">
        <f>IFERROR(__xludf.DUMMYFUNCTION("""COMPUTED_VALUE"""),3843.5)</f>
        <v>3843.5</v>
      </c>
      <c r="F16" s="6">
        <f>IFERROR(__xludf.DUMMYFUNCTION("""COMPUTED_VALUE"""),1552085.0)</f>
        <v>1552085</v>
      </c>
    </row>
    <row r="17">
      <c r="A17" s="7">
        <f>IFERROR(__xludf.DUMMYFUNCTION("""COMPUTED_VALUE"""),45275.64583333333)</f>
        <v>45275.64583</v>
      </c>
      <c r="B17" s="6">
        <f>IFERROR(__xludf.DUMMYFUNCTION("""COMPUTED_VALUE"""),3843.5)</f>
        <v>3843.5</v>
      </c>
      <c r="C17" s="6">
        <f>IFERROR(__xludf.DUMMYFUNCTION("""COMPUTED_VALUE"""),3899.0)</f>
        <v>3899</v>
      </c>
      <c r="D17" s="6">
        <f>IFERROR(__xludf.DUMMYFUNCTION("""COMPUTED_VALUE"""),3316.55)</f>
        <v>3316.55</v>
      </c>
      <c r="E17" s="6">
        <f>IFERROR(__xludf.DUMMYFUNCTION("""COMPUTED_VALUE"""),3400.7)</f>
        <v>3400.7</v>
      </c>
      <c r="F17" s="6">
        <f>IFERROR(__xludf.DUMMYFUNCTION("""COMPUTED_VALUE"""),9195534.0)</f>
        <v>9195534</v>
      </c>
    </row>
    <row r="18">
      <c r="A18" s="7">
        <f>IFERROR(__xludf.DUMMYFUNCTION("""COMPUTED_VALUE"""),45282.64583333333)</f>
        <v>45282.64583</v>
      </c>
      <c r="B18" s="6">
        <f>IFERROR(__xludf.DUMMYFUNCTION("""COMPUTED_VALUE"""),3401.0)</f>
        <v>3401</v>
      </c>
      <c r="C18" s="6">
        <f>IFERROR(__xludf.DUMMYFUNCTION("""COMPUTED_VALUE"""),3463.0)</f>
        <v>3463</v>
      </c>
      <c r="D18" s="6">
        <f>IFERROR(__xludf.DUMMYFUNCTION("""COMPUTED_VALUE"""),3329.55)</f>
        <v>3329.55</v>
      </c>
      <c r="E18" s="6">
        <f>IFERROR(__xludf.DUMMYFUNCTION("""COMPUTED_VALUE"""),3427.95)</f>
        <v>3427.95</v>
      </c>
      <c r="F18" s="6">
        <f>IFERROR(__xludf.DUMMYFUNCTION("""COMPUTED_VALUE"""),3010555.0)</f>
        <v>3010555</v>
      </c>
    </row>
    <row r="19">
      <c r="A19" s="7">
        <f>IFERROR(__xludf.DUMMYFUNCTION("""COMPUTED_VALUE"""),45289.64583333333)</f>
        <v>45289.64583</v>
      </c>
      <c r="B19" s="6">
        <f>IFERROR(__xludf.DUMMYFUNCTION("""COMPUTED_VALUE"""),3446.95)</f>
        <v>3446.95</v>
      </c>
      <c r="C19" s="6">
        <f>IFERROR(__xludf.DUMMYFUNCTION("""COMPUTED_VALUE"""),3521.95)</f>
        <v>3521.95</v>
      </c>
      <c r="D19" s="6">
        <f>IFERROR(__xludf.DUMMYFUNCTION("""COMPUTED_VALUE"""),3430.0)</f>
        <v>3430</v>
      </c>
      <c r="E19" s="6">
        <f>IFERROR(__xludf.DUMMYFUNCTION("""COMPUTED_VALUE"""),3515.9)</f>
        <v>3515.9</v>
      </c>
      <c r="F19" s="6">
        <f>IFERROR(__xludf.DUMMYFUNCTION("""COMPUTED_VALUE"""),1063508.0)</f>
        <v>1063508</v>
      </c>
    </row>
    <row r="20">
      <c r="A20" s="7">
        <f>IFERROR(__xludf.DUMMYFUNCTION("""COMPUTED_VALUE"""),45296.64583333333)</f>
        <v>45296.64583</v>
      </c>
      <c r="B20" s="6">
        <f>IFERROR(__xludf.DUMMYFUNCTION("""COMPUTED_VALUE"""),3529.0)</f>
        <v>3529</v>
      </c>
      <c r="C20" s="6">
        <f>IFERROR(__xludf.DUMMYFUNCTION("""COMPUTED_VALUE"""),3543.85)</f>
        <v>3543.85</v>
      </c>
      <c r="D20" s="6">
        <f>IFERROR(__xludf.DUMMYFUNCTION("""COMPUTED_VALUE"""),3418.85)</f>
        <v>3418.85</v>
      </c>
      <c r="E20" s="6">
        <f>IFERROR(__xludf.DUMMYFUNCTION("""COMPUTED_VALUE"""),3460.5)</f>
        <v>3460.5</v>
      </c>
      <c r="F20" s="6">
        <f>IFERROR(__xludf.DUMMYFUNCTION("""COMPUTED_VALUE"""),1522249.0)</f>
        <v>1522249</v>
      </c>
    </row>
    <row r="21">
      <c r="A21" s="7">
        <f>IFERROR(__xludf.DUMMYFUNCTION("""COMPUTED_VALUE"""),45303.64583333333)</f>
        <v>45303.64583</v>
      </c>
      <c r="B21" s="6">
        <f>IFERROR(__xludf.DUMMYFUNCTION("""COMPUTED_VALUE"""),3473.0)</f>
        <v>3473</v>
      </c>
      <c r="C21" s="6">
        <f>IFERROR(__xludf.DUMMYFUNCTION("""COMPUTED_VALUE"""),3508.5)</f>
        <v>3508.5</v>
      </c>
      <c r="D21" s="6">
        <f>IFERROR(__xludf.DUMMYFUNCTION("""COMPUTED_VALUE"""),3400.0)</f>
        <v>3400</v>
      </c>
      <c r="E21" s="6">
        <f>IFERROR(__xludf.DUMMYFUNCTION("""COMPUTED_VALUE"""),3451.3)</f>
        <v>3451.3</v>
      </c>
      <c r="F21" s="6">
        <f>IFERROR(__xludf.DUMMYFUNCTION("""COMPUTED_VALUE"""),1559295.0)</f>
        <v>1559295</v>
      </c>
    </row>
    <row r="22">
      <c r="A22" s="7">
        <f>IFERROR(__xludf.DUMMYFUNCTION("""COMPUTED_VALUE"""),45316.64583333333)</f>
        <v>45316.64583</v>
      </c>
      <c r="B22" s="6">
        <f>IFERROR(__xludf.DUMMYFUNCTION("""COMPUTED_VALUE"""),3382.4)</f>
        <v>3382.4</v>
      </c>
      <c r="C22" s="6">
        <f>IFERROR(__xludf.DUMMYFUNCTION("""COMPUTED_VALUE"""),3395.7)</f>
        <v>3395.7</v>
      </c>
      <c r="D22" s="6">
        <f>IFERROR(__xludf.DUMMYFUNCTION("""COMPUTED_VALUE"""),3220.0)</f>
        <v>3220</v>
      </c>
      <c r="E22" s="6">
        <f>IFERROR(__xludf.DUMMYFUNCTION("""COMPUTED_VALUE"""),3241.95)</f>
        <v>3241.95</v>
      </c>
      <c r="F22" s="6">
        <f>IFERROR(__xludf.DUMMYFUNCTION("""COMPUTED_VALUE"""),904039.0)</f>
        <v>904039</v>
      </c>
    </row>
    <row r="23">
      <c r="A23" s="7">
        <f>IFERROR(__xludf.DUMMYFUNCTION("""COMPUTED_VALUE"""),45324.64583333333)</f>
        <v>45324.64583</v>
      </c>
      <c r="B23" s="6">
        <f>IFERROR(__xludf.DUMMYFUNCTION("""COMPUTED_VALUE"""),3252.0)</f>
        <v>3252</v>
      </c>
      <c r="C23" s="6">
        <f>IFERROR(__xludf.DUMMYFUNCTION("""COMPUTED_VALUE"""),3446.0)</f>
        <v>3446</v>
      </c>
      <c r="D23" s="6">
        <f>IFERROR(__xludf.DUMMYFUNCTION("""COMPUTED_VALUE"""),3248.0)</f>
        <v>3248</v>
      </c>
      <c r="E23" s="6">
        <f>IFERROR(__xludf.DUMMYFUNCTION("""COMPUTED_VALUE"""),3376.25)</f>
        <v>3376.25</v>
      </c>
      <c r="F23" s="6">
        <f>IFERROR(__xludf.DUMMYFUNCTION("""COMPUTED_VALUE"""),1177432.0)</f>
        <v>1177432</v>
      </c>
    </row>
    <row r="24">
      <c r="A24" s="7">
        <f>IFERROR(__xludf.DUMMYFUNCTION("""COMPUTED_VALUE"""),45331.64583333333)</f>
        <v>45331.64583</v>
      </c>
      <c r="B24" s="6">
        <f>IFERROR(__xludf.DUMMYFUNCTION("""COMPUTED_VALUE"""),3366.0)</f>
        <v>3366</v>
      </c>
      <c r="C24" s="6">
        <f>IFERROR(__xludf.DUMMYFUNCTION("""COMPUTED_VALUE"""),3510.0)</f>
        <v>3510</v>
      </c>
      <c r="D24" s="6">
        <f>IFERROR(__xludf.DUMMYFUNCTION("""COMPUTED_VALUE"""),3264.0)</f>
        <v>3264</v>
      </c>
      <c r="E24" s="6">
        <f>IFERROR(__xludf.DUMMYFUNCTION("""COMPUTED_VALUE"""),3484.35)</f>
        <v>3484.35</v>
      </c>
      <c r="F24" s="6">
        <f>IFERROR(__xludf.DUMMYFUNCTION("""COMPUTED_VALUE"""),2548509.0)</f>
        <v>2548509</v>
      </c>
    </row>
    <row r="25">
      <c r="A25" s="7">
        <f>IFERROR(__xludf.DUMMYFUNCTION("""COMPUTED_VALUE"""),45338.64583333333)</f>
        <v>45338.64583</v>
      </c>
      <c r="B25" s="6">
        <f>IFERROR(__xludf.DUMMYFUNCTION("""COMPUTED_VALUE"""),3499.0)</f>
        <v>3499</v>
      </c>
      <c r="C25" s="6">
        <f>IFERROR(__xludf.DUMMYFUNCTION("""COMPUTED_VALUE"""),3662.55)</f>
        <v>3662.55</v>
      </c>
      <c r="D25" s="6">
        <f>IFERROR(__xludf.DUMMYFUNCTION("""COMPUTED_VALUE"""),3364.05)</f>
        <v>3364.05</v>
      </c>
      <c r="E25" s="6">
        <f>IFERROR(__xludf.DUMMYFUNCTION("""COMPUTED_VALUE"""),3645.3)</f>
        <v>3645.3</v>
      </c>
      <c r="F25" s="6">
        <f>IFERROR(__xludf.DUMMYFUNCTION("""COMPUTED_VALUE"""),4181404.0)</f>
        <v>4181404</v>
      </c>
    </row>
    <row r="26">
      <c r="A26" s="7">
        <f>IFERROR(__xludf.DUMMYFUNCTION("""COMPUTED_VALUE"""),45345.64583333333)</f>
        <v>45345.64583</v>
      </c>
      <c r="B26" s="6">
        <f>IFERROR(__xludf.DUMMYFUNCTION("""COMPUTED_VALUE"""),3668.85)</f>
        <v>3668.85</v>
      </c>
      <c r="C26" s="6">
        <f>IFERROR(__xludf.DUMMYFUNCTION("""COMPUTED_VALUE"""),3704.95)</f>
        <v>3704.95</v>
      </c>
      <c r="D26" s="6">
        <f>IFERROR(__xludf.DUMMYFUNCTION("""COMPUTED_VALUE"""),3620.0)</f>
        <v>3620</v>
      </c>
      <c r="E26" s="6">
        <f>IFERROR(__xludf.DUMMYFUNCTION("""COMPUTED_VALUE"""),3674.7)</f>
        <v>3674.7</v>
      </c>
      <c r="F26" s="6">
        <f>IFERROR(__xludf.DUMMYFUNCTION("""COMPUTED_VALUE"""),1220497.0)</f>
        <v>1220497</v>
      </c>
    </row>
    <row r="27">
      <c r="A27" s="7">
        <f>IFERROR(__xludf.DUMMYFUNCTION("""COMPUTED_VALUE"""),45358.64583333333)</f>
        <v>45358.64583</v>
      </c>
      <c r="B27" s="6">
        <f>IFERROR(__xludf.DUMMYFUNCTION("""COMPUTED_VALUE"""),3688.05)</f>
        <v>3688.05</v>
      </c>
      <c r="C27" s="6">
        <f>IFERROR(__xludf.DUMMYFUNCTION("""COMPUTED_VALUE"""),3715.0)</f>
        <v>3715</v>
      </c>
      <c r="D27" s="6">
        <f>IFERROR(__xludf.DUMMYFUNCTION("""COMPUTED_VALUE"""),3580.45)</f>
        <v>3580.45</v>
      </c>
      <c r="E27" s="6">
        <f>IFERROR(__xludf.DUMMYFUNCTION("""COMPUTED_VALUE"""),3626.0)</f>
        <v>3626</v>
      </c>
      <c r="F27" s="6">
        <f>IFERROR(__xludf.DUMMYFUNCTION("""COMPUTED_VALUE"""),959745.0)</f>
        <v>959745</v>
      </c>
    </row>
    <row r="28">
      <c r="A28" s="7">
        <f>IFERROR(__xludf.DUMMYFUNCTION("""COMPUTED_VALUE"""),45366.64583333333)</f>
        <v>45366.64583</v>
      </c>
      <c r="B28" s="6">
        <f>IFERROR(__xludf.DUMMYFUNCTION("""COMPUTED_VALUE"""),3629.95)</f>
        <v>3629.95</v>
      </c>
      <c r="C28" s="6">
        <f>IFERROR(__xludf.DUMMYFUNCTION("""COMPUTED_VALUE"""),3769.7)</f>
        <v>3769.7</v>
      </c>
      <c r="D28" s="6">
        <f>IFERROR(__xludf.DUMMYFUNCTION("""COMPUTED_VALUE"""),3533.0)</f>
        <v>3533</v>
      </c>
      <c r="E28" s="6">
        <f>IFERROR(__xludf.DUMMYFUNCTION("""COMPUTED_VALUE"""),3649.15)</f>
        <v>3649.15</v>
      </c>
      <c r="F28" s="6">
        <f>IFERROR(__xludf.DUMMYFUNCTION("""COMPUTED_VALUE"""),1782603.0)</f>
        <v>1782603</v>
      </c>
    </row>
    <row r="29">
      <c r="A29" s="7">
        <f>IFERROR(__xludf.DUMMYFUNCTION("""COMPUTED_VALUE"""),45373.64583333333)</f>
        <v>45373.64583</v>
      </c>
      <c r="B29" s="6">
        <f>IFERROR(__xludf.DUMMYFUNCTION("""COMPUTED_VALUE"""),3649.15)</f>
        <v>3649.15</v>
      </c>
      <c r="C29" s="6">
        <f>IFERROR(__xludf.DUMMYFUNCTION("""COMPUTED_VALUE"""),3802.45)</f>
        <v>3802.45</v>
      </c>
      <c r="D29" s="6">
        <f>IFERROR(__xludf.DUMMYFUNCTION("""COMPUTED_VALUE"""),3618.3)</f>
        <v>3618.3</v>
      </c>
      <c r="E29" s="6">
        <f>IFERROR(__xludf.DUMMYFUNCTION("""COMPUTED_VALUE"""),3791.15)</f>
        <v>3791.15</v>
      </c>
      <c r="F29" s="6">
        <f>IFERROR(__xludf.DUMMYFUNCTION("""COMPUTED_VALUE"""),1615945.0)</f>
        <v>1615945</v>
      </c>
    </row>
    <row r="30">
      <c r="A30" s="7">
        <f>IFERROR(__xludf.DUMMYFUNCTION("""COMPUTED_VALUE"""),45379.64583333333)</f>
        <v>45379.64583</v>
      </c>
      <c r="B30" s="6">
        <f>IFERROR(__xludf.DUMMYFUNCTION("""COMPUTED_VALUE"""),3800.35)</f>
        <v>3800.35</v>
      </c>
      <c r="C30" s="6">
        <f>IFERROR(__xludf.DUMMYFUNCTION("""COMPUTED_VALUE"""),3905.9)</f>
        <v>3905.9</v>
      </c>
      <c r="D30" s="6">
        <f>IFERROR(__xludf.DUMMYFUNCTION("""COMPUTED_VALUE"""),3749.95)</f>
        <v>3749.95</v>
      </c>
      <c r="E30" s="6">
        <f>IFERROR(__xludf.DUMMYFUNCTION("""COMPUTED_VALUE"""),3867.55)</f>
        <v>3867.55</v>
      </c>
      <c r="F30" s="6">
        <f>IFERROR(__xludf.DUMMYFUNCTION("""COMPUTED_VALUE"""),2205826.0)</f>
        <v>2205826</v>
      </c>
    </row>
    <row r="31">
      <c r="A31" s="7">
        <f>IFERROR(__xludf.DUMMYFUNCTION("""COMPUTED_VALUE"""),45387.64583333333)</f>
        <v>45387.64583</v>
      </c>
      <c r="B31" s="6">
        <f>IFERROR(__xludf.DUMMYFUNCTION("""COMPUTED_VALUE"""),3887.5)</f>
        <v>3887.5</v>
      </c>
      <c r="C31" s="6">
        <f>IFERROR(__xludf.DUMMYFUNCTION("""COMPUTED_VALUE"""),3938.0)</f>
        <v>3938</v>
      </c>
      <c r="D31" s="6">
        <f>IFERROR(__xludf.DUMMYFUNCTION("""COMPUTED_VALUE"""),3801.0)</f>
        <v>3801</v>
      </c>
      <c r="E31" s="6">
        <f>IFERROR(__xludf.DUMMYFUNCTION("""COMPUTED_VALUE"""),3869.8)</f>
        <v>3869.8</v>
      </c>
      <c r="F31" s="6">
        <f>IFERROR(__xludf.DUMMYFUNCTION("""COMPUTED_VALUE"""),1592393.0)</f>
        <v>1592393</v>
      </c>
    </row>
    <row r="32">
      <c r="A32" s="7">
        <f>IFERROR(__xludf.DUMMYFUNCTION("""COMPUTED_VALUE"""),45394.64583333333)</f>
        <v>45394.64583</v>
      </c>
      <c r="B32" s="6">
        <f>IFERROR(__xludf.DUMMYFUNCTION("""COMPUTED_VALUE"""),3899.95)</f>
        <v>3899.95</v>
      </c>
      <c r="C32" s="6">
        <f>IFERROR(__xludf.DUMMYFUNCTION("""COMPUTED_VALUE"""),4040.0)</f>
        <v>4040</v>
      </c>
      <c r="D32" s="6">
        <f>IFERROR(__xludf.DUMMYFUNCTION("""COMPUTED_VALUE"""),3829.15)</f>
        <v>3829.15</v>
      </c>
      <c r="E32" s="6">
        <f>IFERROR(__xludf.DUMMYFUNCTION("""COMPUTED_VALUE"""),3860.25)</f>
        <v>3860.25</v>
      </c>
      <c r="F32" s="6">
        <f>IFERROR(__xludf.DUMMYFUNCTION("""COMPUTED_VALUE"""),1698396.0)</f>
        <v>1698396</v>
      </c>
    </row>
    <row r="33">
      <c r="A33" s="7">
        <f>IFERROR(__xludf.DUMMYFUNCTION("""COMPUTED_VALUE"""),45401.64583333333)</f>
        <v>45401.64583</v>
      </c>
      <c r="B33" s="6">
        <f>IFERROR(__xludf.DUMMYFUNCTION("""COMPUTED_VALUE"""),3765.0)</f>
        <v>3765</v>
      </c>
      <c r="C33" s="6">
        <f>IFERROR(__xludf.DUMMYFUNCTION("""COMPUTED_VALUE"""),3833.1)</f>
        <v>3833.1</v>
      </c>
      <c r="D33" s="6">
        <f>IFERROR(__xludf.DUMMYFUNCTION("""COMPUTED_VALUE"""),3655.05)</f>
        <v>3655.05</v>
      </c>
      <c r="E33" s="6">
        <f>IFERROR(__xludf.DUMMYFUNCTION("""COMPUTED_VALUE"""),3709.25)</f>
        <v>3709.25</v>
      </c>
      <c r="F33" s="6">
        <f>IFERROR(__xludf.DUMMYFUNCTION("""COMPUTED_VALUE"""),1272959.0)</f>
        <v>1272959</v>
      </c>
    </row>
    <row r="34">
      <c r="A34" s="7">
        <f>IFERROR(__xludf.DUMMYFUNCTION("""COMPUTED_VALUE"""),45408.64583333333)</f>
        <v>45408.64583</v>
      </c>
      <c r="B34" s="6">
        <f>IFERROR(__xludf.DUMMYFUNCTION("""COMPUTED_VALUE"""),3732.95)</f>
        <v>3732.95</v>
      </c>
      <c r="C34" s="6">
        <f>IFERROR(__xludf.DUMMYFUNCTION("""COMPUTED_VALUE"""),3800.0)</f>
        <v>3800</v>
      </c>
      <c r="D34" s="6">
        <f>IFERROR(__xludf.DUMMYFUNCTION("""COMPUTED_VALUE"""),3674.35)</f>
        <v>3674.35</v>
      </c>
      <c r="E34" s="6">
        <f>IFERROR(__xludf.DUMMYFUNCTION("""COMPUTED_VALUE"""),3771.25)</f>
        <v>3771.25</v>
      </c>
      <c r="F34" s="6">
        <f>IFERROR(__xludf.DUMMYFUNCTION("""COMPUTED_VALUE"""),930011.0)</f>
        <v>930011</v>
      </c>
    </row>
    <row r="35">
      <c r="A35" s="7">
        <f>IFERROR(__xludf.DUMMYFUNCTION("""COMPUTED_VALUE"""),45415.64583333333)</f>
        <v>45415.64583</v>
      </c>
      <c r="B35" s="6">
        <f>IFERROR(__xludf.DUMMYFUNCTION("""COMPUTED_VALUE"""),3789.0)</f>
        <v>3789</v>
      </c>
      <c r="C35" s="6">
        <f>IFERROR(__xludf.DUMMYFUNCTION("""COMPUTED_VALUE"""),3842.45)</f>
        <v>3842.45</v>
      </c>
      <c r="D35" s="6">
        <f>IFERROR(__xludf.DUMMYFUNCTION("""COMPUTED_VALUE"""),3560.0)</f>
        <v>3560</v>
      </c>
      <c r="E35" s="6">
        <f>IFERROR(__xludf.DUMMYFUNCTION("""COMPUTED_VALUE"""),3594.25)</f>
        <v>3594.25</v>
      </c>
      <c r="F35" s="6">
        <f>IFERROR(__xludf.DUMMYFUNCTION("""COMPUTED_VALUE"""),1686744.0)</f>
        <v>1686744</v>
      </c>
    </row>
    <row r="36">
      <c r="A36" s="7">
        <f>IFERROR(__xludf.DUMMYFUNCTION("""COMPUTED_VALUE"""),45422.64583333333)</f>
        <v>45422.64583</v>
      </c>
      <c r="B36" s="6">
        <f>IFERROR(__xludf.DUMMYFUNCTION("""COMPUTED_VALUE"""),3611.55)</f>
        <v>3611.55</v>
      </c>
      <c r="C36" s="6">
        <f>IFERROR(__xludf.DUMMYFUNCTION("""COMPUTED_VALUE"""),3637.35)</f>
        <v>3637.35</v>
      </c>
      <c r="D36" s="6">
        <f>IFERROR(__xludf.DUMMYFUNCTION("""COMPUTED_VALUE"""),3475.0)</f>
        <v>3475</v>
      </c>
      <c r="E36" s="6">
        <f>IFERROR(__xludf.DUMMYFUNCTION("""COMPUTED_VALUE"""),3562.6)</f>
        <v>3562.6</v>
      </c>
      <c r="F36" s="6">
        <f>IFERROR(__xludf.DUMMYFUNCTION("""COMPUTED_VALUE"""),1849307.0)</f>
        <v>1849307</v>
      </c>
    </row>
    <row r="37">
      <c r="A37" s="7">
        <f>IFERROR(__xludf.DUMMYFUNCTION("""COMPUTED_VALUE"""),45436.64583333333)</f>
        <v>45436.64583</v>
      </c>
      <c r="B37" s="6">
        <f>IFERROR(__xludf.DUMMYFUNCTION("""COMPUTED_VALUE"""),3598.0)</f>
        <v>3598</v>
      </c>
      <c r="C37" s="6">
        <f>IFERROR(__xludf.DUMMYFUNCTION("""COMPUTED_VALUE"""),3724.5)</f>
        <v>3724.5</v>
      </c>
      <c r="D37" s="6">
        <f>IFERROR(__xludf.DUMMYFUNCTION("""COMPUTED_VALUE"""),3546.75)</f>
        <v>3546.75</v>
      </c>
      <c r="E37" s="6">
        <f>IFERROR(__xludf.DUMMYFUNCTION("""COMPUTED_VALUE"""),3630.9)</f>
        <v>3630.9</v>
      </c>
      <c r="F37" s="6">
        <f>IFERROR(__xludf.DUMMYFUNCTION("""COMPUTED_VALUE"""),1777286.0)</f>
        <v>1777286</v>
      </c>
    </row>
    <row r="38">
      <c r="A38" s="7">
        <f>IFERROR(__xludf.DUMMYFUNCTION("""COMPUTED_VALUE"""),45443.64583333333)</f>
        <v>45443.64583</v>
      </c>
      <c r="B38" s="6">
        <f>IFERROR(__xludf.DUMMYFUNCTION("""COMPUTED_VALUE"""),3649.0)</f>
        <v>3649</v>
      </c>
      <c r="C38" s="6">
        <f>IFERROR(__xludf.DUMMYFUNCTION("""COMPUTED_VALUE"""),3718.45)</f>
        <v>3718.45</v>
      </c>
      <c r="D38" s="6">
        <f>IFERROR(__xludf.DUMMYFUNCTION("""COMPUTED_VALUE"""),3511.4)</f>
        <v>3511.4</v>
      </c>
      <c r="E38" s="6">
        <f>IFERROR(__xludf.DUMMYFUNCTION("""COMPUTED_VALUE"""),3539.7)</f>
        <v>3539.7</v>
      </c>
      <c r="F38" s="6">
        <f>IFERROR(__xludf.DUMMYFUNCTION("""COMPUTED_VALUE"""),2703504.0)</f>
        <v>2703504</v>
      </c>
    </row>
    <row r="39">
      <c r="A39" s="7">
        <f>IFERROR(__xludf.DUMMYFUNCTION("""COMPUTED_VALUE"""),45450.64583333333)</f>
        <v>45450.64583</v>
      </c>
      <c r="B39" s="6">
        <f>IFERROR(__xludf.DUMMYFUNCTION("""COMPUTED_VALUE"""),3584.0)</f>
        <v>3584</v>
      </c>
      <c r="C39" s="6">
        <f>IFERROR(__xludf.DUMMYFUNCTION("""COMPUTED_VALUE"""),3711.1)</f>
        <v>3711.1</v>
      </c>
      <c r="D39" s="6">
        <f>IFERROR(__xludf.DUMMYFUNCTION("""COMPUTED_VALUE"""),3441.05)</f>
        <v>3441.05</v>
      </c>
      <c r="E39" s="6">
        <f>IFERROR(__xludf.DUMMYFUNCTION("""COMPUTED_VALUE"""),3642.6)</f>
        <v>3642.6</v>
      </c>
      <c r="F39" s="6">
        <f>IFERROR(__xludf.DUMMYFUNCTION("""COMPUTED_VALUE"""),2542551.0)</f>
        <v>2542551</v>
      </c>
    </row>
    <row r="40">
      <c r="A40" s="7">
        <f>IFERROR(__xludf.DUMMYFUNCTION("""COMPUTED_VALUE"""),45457.64583333333)</f>
        <v>45457.64583</v>
      </c>
      <c r="B40" s="6">
        <f>IFERROR(__xludf.DUMMYFUNCTION("""COMPUTED_VALUE"""),3585.0)</f>
        <v>3585</v>
      </c>
      <c r="C40" s="6">
        <f>IFERROR(__xludf.DUMMYFUNCTION("""COMPUTED_VALUE"""),3664.25)</f>
        <v>3664.25</v>
      </c>
      <c r="D40" s="6">
        <f>IFERROR(__xludf.DUMMYFUNCTION("""COMPUTED_VALUE"""),3550.0)</f>
        <v>3550</v>
      </c>
      <c r="E40" s="6">
        <f>IFERROR(__xludf.DUMMYFUNCTION("""COMPUTED_VALUE"""),3639.0)</f>
        <v>3639</v>
      </c>
      <c r="F40" s="6">
        <f>IFERROR(__xludf.DUMMYFUNCTION("""COMPUTED_VALUE"""),2143660.0)</f>
        <v>2143660</v>
      </c>
    </row>
    <row r="41">
      <c r="A41" s="7">
        <f>IFERROR(__xludf.DUMMYFUNCTION("""COMPUTED_VALUE"""),45464.64583333333)</f>
        <v>45464.64583</v>
      </c>
      <c r="B41" s="6">
        <f>IFERROR(__xludf.DUMMYFUNCTION("""COMPUTED_VALUE"""),3662.55)</f>
        <v>3662.55</v>
      </c>
      <c r="C41" s="6">
        <f>IFERROR(__xludf.DUMMYFUNCTION("""COMPUTED_VALUE"""),3805.9)</f>
        <v>3805.9</v>
      </c>
      <c r="D41" s="6">
        <f>IFERROR(__xludf.DUMMYFUNCTION("""COMPUTED_VALUE"""),3638.5)</f>
        <v>3638.5</v>
      </c>
      <c r="E41" s="6">
        <f>IFERROR(__xludf.DUMMYFUNCTION("""COMPUTED_VALUE"""),3753.7)</f>
        <v>3753.7</v>
      </c>
      <c r="F41" s="6">
        <f>IFERROR(__xludf.DUMMYFUNCTION("""COMPUTED_VALUE"""),1832416.0)</f>
        <v>1832416</v>
      </c>
    </row>
    <row r="42">
      <c r="A42" s="7">
        <f>IFERROR(__xludf.DUMMYFUNCTION("""COMPUTED_VALUE"""),45471.64583333333)</f>
        <v>45471.64583</v>
      </c>
      <c r="B42" s="6">
        <f>IFERROR(__xludf.DUMMYFUNCTION("""COMPUTED_VALUE"""),3753.0)</f>
        <v>3753</v>
      </c>
      <c r="C42" s="6">
        <f>IFERROR(__xludf.DUMMYFUNCTION("""COMPUTED_VALUE"""),3950.0)</f>
        <v>3950</v>
      </c>
      <c r="D42" s="6">
        <f>IFERROR(__xludf.DUMMYFUNCTION("""COMPUTED_VALUE"""),3684.95)</f>
        <v>3684.95</v>
      </c>
      <c r="E42" s="6">
        <f>IFERROR(__xludf.DUMMYFUNCTION("""COMPUTED_VALUE"""),3798.75)</f>
        <v>3798.75</v>
      </c>
      <c r="F42" s="6">
        <f>IFERROR(__xludf.DUMMYFUNCTION("""COMPUTED_VALUE"""),2554669.0)</f>
        <v>2554669</v>
      </c>
    </row>
    <row r="43">
      <c r="A43" s="7">
        <f>IFERROR(__xludf.DUMMYFUNCTION("""COMPUTED_VALUE"""),45478.64583333333)</f>
        <v>45478.64583</v>
      </c>
      <c r="B43" s="6">
        <f>IFERROR(__xludf.DUMMYFUNCTION("""COMPUTED_VALUE"""),3799.5)</f>
        <v>3799.5</v>
      </c>
      <c r="C43" s="6">
        <f>IFERROR(__xludf.DUMMYFUNCTION("""COMPUTED_VALUE"""),3845.85)</f>
        <v>3845.85</v>
      </c>
      <c r="D43" s="6">
        <f>IFERROR(__xludf.DUMMYFUNCTION("""COMPUTED_VALUE"""),3728.0)</f>
        <v>3728</v>
      </c>
      <c r="E43" s="6">
        <f>IFERROR(__xludf.DUMMYFUNCTION("""COMPUTED_VALUE"""),3788.5)</f>
        <v>3788.5</v>
      </c>
      <c r="F43" s="6">
        <f>IFERROR(__xludf.DUMMYFUNCTION("""COMPUTED_VALUE"""),1312657.0)</f>
        <v>1312657</v>
      </c>
    </row>
    <row r="44">
      <c r="A44" s="7">
        <f>IFERROR(__xludf.DUMMYFUNCTION("""COMPUTED_VALUE"""),45485.64583333333)</f>
        <v>45485.64583</v>
      </c>
      <c r="B44" s="6">
        <f>IFERROR(__xludf.DUMMYFUNCTION("""COMPUTED_VALUE"""),3765.15)</f>
        <v>3765.15</v>
      </c>
      <c r="C44" s="6">
        <f>IFERROR(__xludf.DUMMYFUNCTION("""COMPUTED_VALUE"""),3922.2)</f>
        <v>3922.2</v>
      </c>
      <c r="D44" s="6">
        <f>IFERROR(__xludf.DUMMYFUNCTION("""COMPUTED_VALUE"""),3730.1)</f>
        <v>3730.1</v>
      </c>
      <c r="E44" s="6">
        <f>IFERROR(__xludf.DUMMYFUNCTION("""COMPUTED_VALUE"""),3901.3)</f>
        <v>3901.3</v>
      </c>
      <c r="F44" s="6">
        <f>IFERROR(__xludf.DUMMYFUNCTION("""COMPUTED_VALUE"""),1849392.0)</f>
        <v>1849392</v>
      </c>
    </row>
    <row r="45">
      <c r="A45" s="7">
        <f>IFERROR(__xludf.DUMMYFUNCTION("""COMPUTED_VALUE"""),45492.64583333333)</f>
        <v>45492.64583</v>
      </c>
      <c r="B45" s="6">
        <f>IFERROR(__xludf.DUMMYFUNCTION("""COMPUTED_VALUE"""),3925.7)</f>
        <v>3925.7</v>
      </c>
      <c r="C45" s="6">
        <f>IFERROR(__xludf.DUMMYFUNCTION("""COMPUTED_VALUE"""),3928.3)</f>
        <v>3928.3</v>
      </c>
      <c r="D45" s="6">
        <f>IFERROR(__xludf.DUMMYFUNCTION("""COMPUTED_VALUE"""),3812.0)</f>
        <v>3812</v>
      </c>
      <c r="E45" s="6">
        <f>IFERROR(__xludf.DUMMYFUNCTION("""COMPUTED_VALUE"""),3835.3)</f>
        <v>3835.3</v>
      </c>
      <c r="F45" s="6">
        <f>IFERROR(__xludf.DUMMYFUNCTION("""COMPUTED_VALUE"""),1062468.0)</f>
        <v>1062468</v>
      </c>
    </row>
    <row r="46">
      <c r="A46" s="7">
        <f>IFERROR(__xludf.DUMMYFUNCTION("""COMPUTED_VALUE"""),45499.64583333333)</f>
        <v>45499.64583</v>
      </c>
      <c r="B46" s="6">
        <f>IFERROR(__xludf.DUMMYFUNCTION("""COMPUTED_VALUE"""),3849.95)</f>
        <v>3849.95</v>
      </c>
      <c r="C46" s="6">
        <f>IFERROR(__xludf.DUMMYFUNCTION("""COMPUTED_VALUE"""),4214.5)</f>
        <v>4214.5</v>
      </c>
      <c r="D46" s="6">
        <f>IFERROR(__xludf.DUMMYFUNCTION("""COMPUTED_VALUE"""),3777.0)</f>
        <v>3777</v>
      </c>
      <c r="E46" s="6">
        <f>IFERROR(__xludf.DUMMYFUNCTION("""COMPUTED_VALUE"""),4207.0)</f>
        <v>4207</v>
      </c>
      <c r="F46" s="6">
        <f>IFERROR(__xludf.DUMMYFUNCTION("""COMPUTED_VALUE"""),2483889.0)</f>
        <v>2483889</v>
      </c>
    </row>
    <row r="47">
      <c r="A47" s="7">
        <f>IFERROR(__xludf.DUMMYFUNCTION("""COMPUTED_VALUE"""),45506.64583333333)</f>
        <v>45506.64583</v>
      </c>
      <c r="B47" s="6">
        <f>IFERROR(__xludf.DUMMYFUNCTION("""COMPUTED_VALUE"""),4208.25)</f>
        <v>4208.25</v>
      </c>
      <c r="C47" s="6">
        <f>IFERROR(__xludf.DUMMYFUNCTION("""COMPUTED_VALUE"""),4467.05)</f>
        <v>4467.05</v>
      </c>
      <c r="D47" s="6">
        <f>IFERROR(__xludf.DUMMYFUNCTION("""COMPUTED_VALUE"""),4208.25)</f>
        <v>4208.25</v>
      </c>
      <c r="E47" s="6">
        <f>IFERROR(__xludf.DUMMYFUNCTION("""COMPUTED_VALUE"""),4278.9)</f>
        <v>4278.9</v>
      </c>
      <c r="F47" s="6">
        <f>IFERROR(__xludf.DUMMYFUNCTION("""COMPUTED_VALUE"""),2153698.0)</f>
        <v>2153698</v>
      </c>
    </row>
    <row r="48">
      <c r="A48" s="7">
        <f>IFERROR(__xludf.DUMMYFUNCTION("""COMPUTED_VALUE"""),45513.64583333333)</f>
        <v>45513.64583</v>
      </c>
      <c r="B48" s="6">
        <f>IFERROR(__xludf.DUMMYFUNCTION("""COMPUTED_VALUE"""),4220.0)</f>
        <v>4220</v>
      </c>
      <c r="C48" s="6">
        <f>IFERROR(__xludf.DUMMYFUNCTION("""COMPUTED_VALUE"""),4600.0)</f>
        <v>4600</v>
      </c>
      <c r="D48" s="6">
        <f>IFERROR(__xludf.DUMMYFUNCTION("""COMPUTED_VALUE"""),4185.15)</f>
        <v>4185.15</v>
      </c>
      <c r="E48" s="6">
        <f>IFERROR(__xludf.DUMMYFUNCTION("""COMPUTED_VALUE"""),4487.7)</f>
        <v>4487.7</v>
      </c>
      <c r="F48" s="6">
        <f>IFERROR(__xludf.DUMMYFUNCTION("""COMPUTED_VALUE"""),2753757.0)</f>
        <v>2753757</v>
      </c>
    </row>
    <row r="49">
      <c r="A49" s="7">
        <f>IFERROR(__xludf.DUMMYFUNCTION("""COMPUTED_VALUE"""),45520.64583333333)</f>
        <v>45520.64583</v>
      </c>
      <c r="B49" s="6">
        <f>IFERROR(__xludf.DUMMYFUNCTION("""COMPUTED_VALUE"""),4484.85)</f>
        <v>4484.85</v>
      </c>
      <c r="C49" s="6">
        <f>IFERROR(__xludf.DUMMYFUNCTION("""COMPUTED_VALUE"""),4517.85)</f>
        <v>4517.85</v>
      </c>
      <c r="D49" s="6">
        <f>IFERROR(__xludf.DUMMYFUNCTION("""COMPUTED_VALUE"""),4294.0)</f>
        <v>4294</v>
      </c>
      <c r="E49" s="6">
        <f>IFERROR(__xludf.DUMMYFUNCTION("""COMPUTED_VALUE"""),4436.5)</f>
        <v>4436.5</v>
      </c>
      <c r="F49" s="6">
        <f>IFERROR(__xludf.DUMMYFUNCTION("""COMPUTED_VALUE"""),1184436.0)</f>
        <v>1184436</v>
      </c>
    </row>
    <row r="50">
      <c r="A50" s="7">
        <f>IFERROR(__xludf.DUMMYFUNCTION("""COMPUTED_VALUE"""),45527.64583333333)</f>
        <v>45527.64583</v>
      </c>
      <c r="B50" s="6">
        <f>IFERROR(__xludf.DUMMYFUNCTION("""COMPUTED_VALUE"""),4450.0)</f>
        <v>4450</v>
      </c>
      <c r="C50" s="6">
        <f>IFERROR(__xludf.DUMMYFUNCTION("""COMPUTED_VALUE"""),4497.1)</f>
        <v>4497.1</v>
      </c>
      <c r="D50" s="6">
        <f>IFERROR(__xludf.DUMMYFUNCTION("""COMPUTED_VALUE"""),4257.0)</f>
        <v>4257</v>
      </c>
      <c r="E50" s="6">
        <f>IFERROR(__xludf.DUMMYFUNCTION("""COMPUTED_VALUE"""),4420.5)</f>
        <v>4420.5</v>
      </c>
      <c r="F50" s="6">
        <f>IFERROR(__xludf.DUMMYFUNCTION("""COMPUTED_VALUE"""),1768015.0)</f>
        <v>1768015</v>
      </c>
    </row>
    <row r="51">
      <c r="A51" s="7">
        <f>IFERROR(__xludf.DUMMYFUNCTION("""COMPUTED_VALUE"""),45534.64583333333)</f>
        <v>45534.64583</v>
      </c>
      <c r="B51" s="6">
        <f>IFERROR(__xludf.DUMMYFUNCTION("""COMPUTED_VALUE"""),4449.25)</f>
        <v>4449.25</v>
      </c>
      <c r="C51" s="6">
        <f>IFERROR(__xludf.DUMMYFUNCTION("""COMPUTED_VALUE"""),4526.95)</f>
        <v>4526.95</v>
      </c>
      <c r="D51" s="6">
        <f>IFERROR(__xludf.DUMMYFUNCTION("""COMPUTED_VALUE"""),4383.7)</f>
        <v>4383.7</v>
      </c>
      <c r="E51" s="6">
        <f>IFERROR(__xludf.DUMMYFUNCTION("""COMPUTED_VALUE"""),4495.45)</f>
        <v>4495.45</v>
      </c>
      <c r="F51" s="6">
        <f>IFERROR(__xludf.DUMMYFUNCTION("""COMPUTED_VALUE"""),1379162.0)</f>
        <v>1379162</v>
      </c>
    </row>
    <row r="52">
      <c r="A52" s="7">
        <f>IFERROR(__xludf.DUMMYFUNCTION("""COMPUTED_VALUE"""),45541.64583333333)</f>
        <v>45541.64583</v>
      </c>
      <c r="B52" s="6">
        <f>IFERROR(__xludf.DUMMYFUNCTION("""COMPUTED_VALUE"""),4524.9)</f>
        <v>4524.9</v>
      </c>
      <c r="C52" s="6">
        <f>IFERROR(__xludf.DUMMYFUNCTION("""COMPUTED_VALUE"""),4660.95)</f>
        <v>4660.95</v>
      </c>
      <c r="D52" s="6">
        <f>IFERROR(__xludf.DUMMYFUNCTION("""COMPUTED_VALUE"""),4476.6)</f>
        <v>4476.6</v>
      </c>
      <c r="E52" s="6">
        <f>IFERROR(__xludf.DUMMYFUNCTION("""COMPUTED_VALUE"""),4613.25)</f>
        <v>4613.25</v>
      </c>
      <c r="F52" s="6">
        <f>IFERROR(__xludf.DUMMYFUNCTION("""COMPUTED_VALUE"""),1615043.0)</f>
        <v>1615043</v>
      </c>
    </row>
    <row r="53">
      <c r="A53" s="7">
        <f>IFERROR(__xludf.DUMMYFUNCTION("""COMPUTED_VALUE"""),45548.64583333333)</f>
        <v>45548.64583</v>
      </c>
      <c r="B53" s="6">
        <f>IFERROR(__xludf.DUMMYFUNCTION("""COMPUTED_VALUE"""),4613.25)</f>
        <v>4613.25</v>
      </c>
      <c r="C53" s="6">
        <f>IFERROR(__xludf.DUMMYFUNCTION("""COMPUTED_VALUE"""),4748.9)</f>
        <v>4748.9</v>
      </c>
      <c r="D53" s="6">
        <f>IFERROR(__xludf.DUMMYFUNCTION("""COMPUTED_VALUE"""),4565.7)</f>
        <v>4565.7</v>
      </c>
      <c r="E53" s="6">
        <f>IFERROR(__xludf.DUMMYFUNCTION("""COMPUTED_VALUE"""),4660.25)</f>
        <v>4660.25</v>
      </c>
      <c r="F53" s="6">
        <f>IFERROR(__xludf.DUMMYFUNCTION("""COMPUTED_VALUE"""),1412314.0)</f>
        <v>1412314</v>
      </c>
    </row>
    <row r="54">
      <c r="A54" s="7">
        <f>IFERROR(__xludf.DUMMYFUNCTION("""COMPUTED_VALUE"""),45555.64583333333)</f>
        <v>45555.64583</v>
      </c>
      <c r="B54" s="6">
        <f>IFERROR(__xludf.DUMMYFUNCTION("""COMPUTED_VALUE"""),4675.0)</f>
        <v>4675</v>
      </c>
      <c r="C54" s="6">
        <f>IFERROR(__xludf.DUMMYFUNCTION("""COMPUTED_VALUE"""),4804.05)</f>
        <v>4804.05</v>
      </c>
      <c r="D54" s="6">
        <f>IFERROR(__xludf.DUMMYFUNCTION("""COMPUTED_VALUE"""),4598.2)</f>
        <v>4598.2</v>
      </c>
      <c r="E54" s="6">
        <f>IFERROR(__xludf.DUMMYFUNCTION("""COMPUTED_VALUE"""),4716.0)</f>
        <v>4716</v>
      </c>
      <c r="F54" s="6">
        <f>IFERROR(__xludf.DUMMYFUNCTION("""COMPUTED_VALUE"""),1437849.0)</f>
        <v>1437849</v>
      </c>
    </row>
    <row r="55">
      <c r="A55" s="7">
        <f>IFERROR(__xludf.DUMMYFUNCTION("""COMPUTED_VALUE"""),45562.64583333333)</f>
        <v>45562.64583</v>
      </c>
      <c r="B55" s="6">
        <f>IFERROR(__xludf.DUMMYFUNCTION("""COMPUTED_VALUE"""),4746.6)</f>
        <v>4746.6</v>
      </c>
      <c r="C55" s="6">
        <f>IFERROR(__xludf.DUMMYFUNCTION("""COMPUTED_VALUE"""),4765.95)</f>
        <v>4765.95</v>
      </c>
      <c r="D55" s="6">
        <f>IFERROR(__xludf.DUMMYFUNCTION("""COMPUTED_VALUE"""),4522.65)</f>
        <v>4522.65</v>
      </c>
      <c r="E55" s="6">
        <f>IFERROR(__xludf.DUMMYFUNCTION("""COMPUTED_VALUE"""),4652.95)</f>
        <v>4652.95</v>
      </c>
      <c r="F55" s="6">
        <f>IFERROR(__xludf.DUMMYFUNCTION("""COMPUTED_VALUE"""),963857.0)</f>
        <v>963857</v>
      </c>
    </row>
    <row r="56">
      <c r="A56" s="7">
        <f>IFERROR(__xludf.DUMMYFUNCTION("""COMPUTED_VALUE"""),45569.64583333333)</f>
        <v>45569.64583</v>
      </c>
      <c r="B56" s="6">
        <f>IFERROR(__xludf.DUMMYFUNCTION("""COMPUTED_VALUE"""),4652.95)</f>
        <v>4652.95</v>
      </c>
      <c r="C56" s="6">
        <f>IFERROR(__xludf.DUMMYFUNCTION("""COMPUTED_VALUE"""),4759.0)</f>
        <v>4759</v>
      </c>
      <c r="D56" s="6">
        <f>IFERROR(__xludf.DUMMYFUNCTION("""COMPUTED_VALUE"""),4570.55)</f>
        <v>4570.55</v>
      </c>
      <c r="E56" s="6">
        <f>IFERROR(__xludf.DUMMYFUNCTION("""COMPUTED_VALUE"""),4587.25)</f>
        <v>4587.25</v>
      </c>
      <c r="F56" s="6">
        <f>IFERROR(__xludf.DUMMYFUNCTION("""COMPUTED_VALUE"""),707949.0)</f>
        <v>707949</v>
      </c>
    </row>
    <row r="57">
      <c r="A57" s="7">
        <f>IFERROR(__xludf.DUMMYFUNCTION("""COMPUTED_VALUE"""),45576.64583333333)</f>
        <v>45576.64583</v>
      </c>
      <c r="B57" s="6">
        <f>IFERROR(__xludf.DUMMYFUNCTION("""COMPUTED_VALUE"""),4590.0)</f>
        <v>4590</v>
      </c>
      <c r="C57" s="6">
        <f>IFERROR(__xludf.DUMMYFUNCTION("""COMPUTED_VALUE"""),4657.6)</f>
        <v>4657.6</v>
      </c>
      <c r="D57" s="6">
        <f>IFERROR(__xludf.DUMMYFUNCTION("""COMPUTED_VALUE"""),4472.8)</f>
        <v>4472.8</v>
      </c>
      <c r="E57" s="6">
        <f>IFERROR(__xludf.DUMMYFUNCTION("""COMPUTED_VALUE"""),4523.6)</f>
        <v>4523.6</v>
      </c>
      <c r="F57" s="6">
        <f>IFERROR(__xludf.DUMMYFUNCTION("""COMPUTED_VALUE"""),578128.0)</f>
        <v>578128</v>
      </c>
    </row>
    <row r="58">
      <c r="A58" s="7">
        <f>IFERROR(__xludf.DUMMYFUNCTION("""COMPUTED_VALUE"""),45583.64583333333)</f>
        <v>45583.64583</v>
      </c>
      <c r="B58" s="6">
        <f>IFERROR(__xludf.DUMMYFUNCTION("""COMPUTED_VALUE"""),4543.45)</f>
        <v>4543.45</v>
      </c>
      <c r="C58" s="6">
        <f>IFERROR(__xludf.DUMMYFUNCTION("""COMPUTED_VALUE"""),4618.9)</f>
        <v>4618.9</v>
      </c>
      <c r="D58" s="6">
        <f>IFERROR(__xludf.DUMMYFUNCTION("""COMPUTED_VALUE"""),4407.05)</f>
        <v>4407.05</v>
      </c>
      <c r="E58" s="6">
        <f>IFERROR(__xludf.DUMMYFUNCTION("""COMPUTED_VALUE"""),4560.7)</f>
        <v>4560.7</v>
      </c>
      <c r="F58" s="6">
        <f>IFERROR(__xludf.DUMMYFUNCTION("""COMPUTED_VALUE"""),806309.0)</f>
        <v>806309</v>
      </c>
    </row>
    <row r="59">
      <c r="A59" s="7">
        <f>IFERROR(__xludf.DUMMYFUNCTION("""COMPUTED_VALUE"""),45590.64583333333)</f>
        <v>45590.64583</v>
      </c>
      <c r="B59" s="6">
        <f>IFERROR(__xludf.DUMMYFUNCTION("""COMPUTED_VALUE"""),4560.9)</f>
        <v>4560.9</v>
      </c>
      <c r="C59" s="6">
        <f>IFERROR(__xludf.DUMMYFUNCTION("""COMPUTED_VALUE"""),4635.1)</f>
        <v>4635.1</v>
      </c>
      <c r="D59" s="6">
        <f>IFERROR(__xludf.DUMMYFUNCTION("""COMPUTED_VALUE"""),4259.0)</f>
        <v>4259</v>
      </c>
      <c r="E59" s="6">
        <f>IFERROR(__xludf.DUMMYFUNCTION("""COMPUTED_VALUE"""),4327.65)</f>
        <v>4327.65</v>
      </c>
      <c r="F59" s="6">
        <f>IFERROR(__xludf.DUMMYFUNCTION("""COMPUTED_VALUE"""),833924.0)</f>
        <v>833924</v>
      </c>
    </row>
    <row r="60">
      <c r="A60" s="7">
        <f>IFERROR(__xludf.DUMMYFUNCTION("""COMPUTED_VALUE"""),45604.64583333333)</f>
        <v>45604.64583</v>
      </c>
      <c r="B60" s="6">
        <f>IFERROR(__xludf.DUMMYFUNCTION("""COMPUTED_VALUE"""),4503.75)</f>
        <v>4503.75</v>
      </c>
      <c r="C60" s="6">
        <f>IFERROR(__xludf.DUMMYFUNCTION("""COMPUTED_VALUE"""),4715.0)</f>
        <v>4715</v>
      </c>
      <c r="D60" s="6">
        <f>IFERROR(__xludf.DUMMYFUNCTION("""COMPUTED_VALUE"""),4414.6)</f>
        <v>4414.6</v>
      </c>
      <c r="E60" s="6">
        <f>IFERROR(__xludf.DUMMYFUNCTION("""COMPUTED_VALUE"""),4562.45)</f>
        <v>4562.45</v>
      </c>
      <c r="F60" s="6">
        <f>IFERROR(__xludf.DUMMYFUNCTION("""COMPUTED_VALUE"""),1112671.0)</f>
        <v>1112671</v>
      </c>
    </row>
    <row r="61">
      <c r="A61" s="7">
        <f>IFERROR(__xludf.DUMMYFUNCTION("""COMPUTED_VALUE"""),45610.64583333333)</f>
        <v>45610.64583</v>
      </c>
      <c r="B61" s="6">
        <f>IFERROR(__xludf.DUMMYFUNCTION("""COMPUTED_VALUE"""),4570.0)</f>
        <v>4570</v>
      </c>
      <c r="C61" s="6">
        <f>IFERROR(__xludf.DUMMYFUNCTION("""COMPUTED_VALUE"""),4648.35)</f>
        <v>4648.35</v>
      </c>
      <c r="D61" s="6">
        <f>IFERROR(__xludf.DUMMYFUNCTION("""COMPUTED_VALUE"""),4045.85)</f>
        <v>4045.85</v>
      </c>
      <c r="E61" s="6">
        <f>IFERROR(__xludf.DUMMYFUNCTION("""COMPUTED_VALUE"""),4265.25)</f>
        <v>4265.25</v>
      </c>
      <c r="F61" s="6">
        <f>IFERROR(__xludf.DUMMYFUNCTION("""COMPUTED_VALUE"""),2225020.0)</f>
        <v>2225020</v>
      </c>
    </row>
    <row r="62">
      <c r="A62" s="7">
        <f>IFERROR(__xludf.DUMMYFUNCTION("""COMPUTED_VALUE"""),45618.64583333333)</f>
        <v>45618.64583</v>
      </c>
      <c r="B62" s="6">
        <f>IFERROR(__xludf.DUMMYFUNCTION("""COMPUTED_VALUE"""),4260.0)</f>
        <v>4260</v>
      </c>
      <c r="C62" s="6">
        <f>IFERROR(__xludf.DUMMYFUNCTION("""COMPUTED_VALUE"""),4265.0)</f>
        <v>4265</v>
      </c>
      <c r="D62" s="6">
        <f>IFERROR(__xludf.DUMMYFUNCTION("""COMPUTED_VALUE"""),4073.6)</f>
        <v>4073.6</v>
      </c>
      <c r="E62" s="6">
        <f>IFERROR(__xludf.DUMMYFUNCTION("""COMPUTED_VALUE"""),4116.65)</f>
        <v>4116.65</v>
      </c>
      <c r="F62" s="6">
        <f>IFERROR(__xludf.DUMMYFUNCTION("""COMPUTED_VALUE"""),1329242.0)</f>
        <v>1329242</v>
      </c>
    </row>
    <row r="63">
      <c r="A63" s="7">
        <f>IFERROR(__xludf.DUMMYFUNCTION("""COMPUTED_VALUE"""),45625.64583333333)</f>
        <v>45625.64583</v>
      </c>
      <c r="B63" s="6">
        <f>IFERROR(__xludf.DUMMYFUNCTION("""COMPUTED_VALUE"""),4124.7)</f>
        <v>4124.7</v>
      </c>
      <c r="C63" s="6">
        <f>IFERROR(__xludf.DUMMYFUNCTION("""COMPUTED_VALUE"""),4215.4)</f>
        <v>4215.4</v>
      </c>
      <c r="D63" s="6">
        <f>IFERROR(__xludf.DUMMYFUNCTION("""COMPUTED_VALUE"""),4033.0)</f>
        <v>4033</v>
      </c>
      <c r="E63" s="6">
        <f>IFERROR(__xludf.DUMMYFUNCTION("""COMPUTED_VALUE"""),4065.5)</f>
        <v>4065.5</v>
      </c>
      <c r="F63" s="6">
        <f>IFERROR(__xludf.DUMMYFUNCTION("""COMPUTED_VALUE"""),951893.0)</f>
        <v>951893</v>
      </c>
    </row>
    <row r="64">
      <c r="A64" s="7">
        <f>IFERROR(__xludf.DUMMYFUNCTION("""COMPUTED_VALUE"""),45632.64583333333)</f>
        <v>45632.64583</v>
      </c>
      <c r="B64" s="6">
        <f>IFERROR(__xludf.DUMMYFUNCTION("""COMPUTED_VALUE"""),4090.0)</f>
        <v>4090</v>
      </c>
      <c r="C64" s="6">
        <f>IFERROR(__xludf.DUMMYFUNCTION("""COMPUTED_VALUE"""),4267.45)</f>
        <v>4267.45</v>
      </c>
      <c r="D64" s="6">
        <f>IFERROR(__xludf.DUMMYFUNCTION("""COMPUTED_VALUE"""),4032.0)</f>
        <v>4032</v>
      </c>
      <c r="E64" s="6">
        <f>IFERROR(__xludf.DUMMYFUNCTION("""COMPUTED_VALUE"""),4139.25)</f>
        <v>4139.25</v>
      </c>
      <c r="F64" s="6">
        <f>IFERROR(__xludf.DUMMYFUNCTION("""COMPUTED_VALUE"""),1001178.0)</f>
        <v>1001178</v>
      </c>
    </row>
    <row r="65">
      <c r="A65" s="7">
        <f>IFERROR(__xludf.DUMMYFUNCTION("""COMPUTED_VALUE"""),45639.64583333333)</f>
        <v>45639.64583</v>
      </c>
      <c r="B65" s="6">
        <f>IFERROR(__xludf.DUMMYFUNCTION("""COMPUTED_VALUE"""),4119.0)</f>
        <v>4119</v>
      </c>
      <c r="C65" s="6">
        <f>IFERROR(__xludf.DUMMYFUNCTION("""COMPUTED_VALUE"""),4141.05)</f>
        <v>4141.05</v>
      </c>
      <c r="D65" s="6">
        <f>IFERROR(__xludf.DUMMYFUNCTION("""COMPUTED_VALUE"""),3953.6)</f>
        <v>3953.6</v>
      </c>
      <c r="E65" s="6">
        <f>IFERROR(__xludf.DUMMYFUNCTION("""COMPUTED_VALUE"""),3997.0)</f>
        <v>3997</v>
      </c>
      <c r="F65" s="6">
        <f>IFERROR(__xludf.DUMMYFUNCTION("""COMPUTED_VALUE"""),1469900.0)</f>
        <v>1469900</v>
      </c>
    </row>
    <row r="66">
      <c r="A66" s="7">
        <f>IFERROR(__xludf.DUMMYFUNCTION("""COMPUTED_VALUE"""),45646.64583333333)</f>
        <v>45646.64583</v>
      </c>
      <c r="B66" s="6">
        <f>IFERROR(__xludf.DUMMYFUNCTION("""COMPUTED_VALUE"""),3961.05)</f>
        <v>3961.05</v>
      </c>
      <c r="C66" s="6">
        <f>IFERROR(__xludf.DUMMYFUNCTION("""COMPUTED_VALUE"""),4015.95)</f>
        <v>4015.95</v>
      </c>
      <c r="D66" s="6">
        <f>IFERROR(__xludf.DUMMYFUNCTION("""COMPUTED_VALUE"""),3801.0)</f>
        <v>3801</v>
      </c>
      <c r="E66" s="6">
        <f>IFERROR(__xludf.DUMMYFUNCTION("""COMPUTED_VALUE"""),3813.75)</f>
        <v>3813.75</v>
      </c>
      <c r="F66" s="6">
        <f>IFERROR(__xludf.DUMMYFUNCTION("""COMPUTED_VALUE"""),1998570.0)</f>
        <v>1998570</v>
      </c>
    </row>
    <row r="67">
      <c r="A67" s="7">
        <f>IFERROR(__xludf.DUMMYFUNCTION("""COMPUTED_VALUE"""),45653.64583333333)</f>
        <v>45653.64583</v>
      </c>
      <c r="B67" s="6">
        <f>IFERROR(__xludf.DUMMYFUNCTION("""COMPUTED_VALUE"""),3813.75)</f>
        <v>3813.75</v>
      </c>
      <c r="C67" s="6">
        <f>IFERROR(__xludf.DUMMYFUNCTION("""COMPUTED_VALUE"""),3850.55)</f>
        <v>3850.55</v>
      </c>
      <c r="D67" s="6">
        <f>IFERROR(__xludf.DUMMYFUNCTION("""COMPUTED_VALUE"""),3711.15)</f>
        <v>3711.15</v>
      </c>
      <c r="E67" s="6">
        <f>IFERROR(__xludf.DUMMYFUNCTION("""COMPUTED_VALUE"""),3744.25)</f>
        <v>3744.25</v>
      </c>
      <c r="F67" s="6">
        <f>IFERROR(__xludf.DUMMYFUNCTION("""COMPUTED_VALUE"""),1402647.0)</f>
        <v>1402647</v>
      </c>
    </row>
    <row r="68">
      <c r="A68" s="7">
        <f>IFERROR(__xludf.DUMMYFUNCTION("""COMPUTED_VALUE"""),45660.64583333333)</f>
        <v>45660.64583</v>
      </c>
      <c r="B68" s="6">
        <f>IFERROR(__xludf.DUMMYFUNCTION("""COMPUTED_VALUE"""),3744.9)</f>
        <v>3744.9</v>
      </c>
      <c r="C68" s="6">
        <f>IFERROR(__xludf.DUMMYFUNCTION("""COMPUTED_VALUE"""),3767.8)</f>
        <v>3767.8</v>
      </c>
      <c r="D68" s="6">
        <f>IFERROR(__xludf.DUMMYFUNCTION("""COMPUTED_VALUE"""),3626.05)</f>
        <v>3626.05</v>
      </c>
      <c r="E68" s="6">
        <f>IFERROR(__xludf.DUMMYFUNCTION("""COMPUTED_VALUE"""),3668.4)</f>
        <v>3668.4</v>
      </c>
      <c r="F68" s="6">
        <f>IFERROR(__xludf.DUMMYFUNCTION("""COMPUTED_VALUE"""),1678970.0)</f>
        <v>1678970</v>
      </c>
    </row>
    <row r="69">
      <c r="A69" s="7">
        <f>IFERROR(__xludf.DUMMYFUNCTION("""COMPUTED_VALUE"""),45667.64583333333)</f>
        <v>45667.64583</v>
      </c>
      <c r="B69" s="6">
        <f>IFERROR(__xludf.DUMMYFUNCTION("""COMPUTED_VALUE"""),3670.0)</f>
        <v>3670</v>
      </c>
      <c r="C69" s="6">
        <f>IFERROR(__xludf.DUMMYFUNCTION("""COMPUTED_VALUE"""),3731.25)</f>
        <v>3731.25</v>
      </c>
      <c r="D69" s="6">
        <f>IFERROR(__xludf.DUMMYFUNCTION("""COMPUTED_VALUE"""),3574.3)</f>
        <v>3574.3</v>
      </c>
      <c r="E69" s="6">
        <f>IFERROR(__xludf.DUMMYFUNCTION("""COMPUTED_VALUE"""),3614.5)</f>
        <v>3614.5</v>
      </c>
      <c r="F69" s="6">
        <f>IFERROR(__xludf.DUMMYFUNCTION("""COMPUTED_VALUE"""),2072633.0)</f>
        <v>2072633</v>
      </c>
    </row>
    <row r="70">
      <c r="A70" s="7">
        <f>IFERROR(__xludf.DUMMYFUNCTION("""COMPUTED_VALUE"""),45674.64583333333)</f>
        <v>45674.64583</v>
      </c>
      <c r="B70" s="6">
        <f>IFERROR(__xludf.DUMMYFUNCTION("""COMPUTED_VALUE"""),3602.0)</f>
        <v>3602</v>
      </c>
      <c r="C70" s="6">
        <f>IFERROR(__xludf.DUMMYFUNCTION("""COMPUTED_VALUE"""),3610.0)</f>
        <v>3610</v>
      </c>
      <c r="D70" s="6">
        <f>IFERROR(__xludf.DUMMYFUNCTION("""COMPUTED_VALUE"""),3395.0)</f>
        <v>3395</v>
      </c>
      <c r="E70" s="6">
        <f>IFERROR(__xludf.DUMMYFUNCTION("""COMPUTED_VALUE"""),3550.9)</f>
        <v>3550.9</v>
      </c>
      <c r="F70" s="6">
        <f>IFERROR(__xludf.DUMMYFUNCTION("""COMPUTED_VALUE"""),1182546.0)</f>
        <v>1182546</v>
      </c>
    </row>
    <row r="71">
      <c r="A71" s="7">
        <f>IFERROR(__xludf.DUMMYFUNCTION("""COMPUTED_VALUE"""),45681.64583333333)</f>
        <v>45681.64583</v>
      </c>
      <c r="B71" s="6">
        <f>IFERROR(__xludf.DUMMYFUNCTION("""COMPUTED_VALUE"""),3623.95)</f>
        <v>3623.95</v>
      </c>
      <c r="C71" s="6">
        <f>IFERROR(__xludf.DUMMYFUNCTION("""COMPUTED_VALUE"""),3623.95)</f>
        <v>3623.95</v>
      </c>
      <c r="D71" s="6">
        <f>IFERROR(__xludf.DUMMYFUNCTION("""COMPUTED_VALUE"""),3465.5)</f>
        <v>3465.5</v>
      </c>
      <c r="E71" s="6">
        <f>IFERROR(__xludf.DUMMYFUNCTION("""COMPUTED_VALUE"""),3501.6)</f>
        <v>3501.6</v>
      </c>
      <c r="F71" s="6">
        <f>IFERROR(__xludf.DUMMYFUNCTION("""COMPUTED_VALUE"""),899206.0)</f>
        <v>899206</v>
      </c>
    </row>
    <row r="72">
      <c r="A72" s="7">
        <f>IFERROR(__xludf.DUMMYFUNCTION("""COMPUTED_VALUE"""),45695.64583333333)</f>
        <v>45695.64583</v>
      </c>
      <c r="B72" s="6">
        <f>IFERROR(__xludf.DUMMYFUNCTION("""COMPUTED_VALUE"""),3476.1)</f>
        <v>3476.1</v>
      </c>
      <c r="C72" s="6">
        <f>IFERROR(__xludf.DUMMYFUNCTION("""COMPUTED_VALUE"""),3692.5)</f>
        <v>3692.5</v>
      </c>
      <c r="D72" s="6">
        <f>IFERROR(__xludf.DUMMYFUNCTION("""COMPUTED_VALUE"""),3451.0)</f>
        <v>3451</v>
      </c>
      <c r="E72" s="6">
        <f>IFERROR(__xludf.DUMMYFUNCTION("""COMPUTED_VALUE"""),3543.85)</f>
        <v>3543.85</v>
      </c>
      <c r="F72" s="6">
        <f>IFERROR(__xludf.DUMMYFUNCTION("""COMPUTED_VALUE"""),3414450.0)</f>
        <v>3414450</v>
      </c>
    </row>
    <row r="73">
      <c r="A73" s="7">
        <f>IFERROR(__xludf.DUMMYFUNCTION("""COMPUTED_VALUE"""),45702.64583333333)</f>
        <v>45702.64583</v>
      </c>
      <c r="B73" s="6">
        <f>IFERROR(__xludf.DUMMYFUNCTION("""COMPUTED_VALUE"""),3538.5)</f>
        <v>3538.5</v>
      </c>
      <c r="C73" s="6">
        <f>IFERROR(__xludf.DUMMYFUNCTION("""COMPUTED_VALUE"""),3599.95)</f>
        <v>3599.95</v>
      </c>
      <c r="D73" s="6">
        <f>IFERROR(__xludf.DUMMYFUNCTION("""COMPUTED_VALUE"""),3140.0)</f>
        <v>3140</v>
      </c>
      <c r="E73" s="6">
        <f>IFERROR(__xludf.DUMMYFUNCTION("""COMPUTED_VALUE"""),3162.8)</f>
        <v>3162.8</v>
      </c>
      <c r="F73" s="6">
        <f>IFERROR(__xludf.DUMMYFUNCTION("""COMPUTED_VALUE"""),1680701.0)</f>
        <v>1680701</v>
      </c>
    </row>
    <row r="74">
      <c r="A74" s="7">
        <f>IFERROR(__xludf.DUMMYFUNCTION("""COMPUTED_VALUE"""),45709.64583333333)</f>
        <v>45709.64583</v>
      </c>
      <c r="B74" s="6">
        <f>IFERROR(__xludf.DUMMYFUNCTION("""COMPUTED_VALUE"""),3135.0)</f>
        <v>3135</v>
      </c>
      <c r="C74" s="6">
        <f>IFERROR(__xludf.DUMMYFUNCTION("""COMPUTED_VALUE"""),3237.05)</f>
        <v>3237.05</v>
      </c>
      <c r="D74" s="6">
        <f>IFERROR(__xludf.DUMMYFUNCTION("""COMPUTED_VALUE"""),3097.6)</f>
        <v>3097.6</v>
      </c>
      <c r="E74" s="6">
        <f>IFERROR(__xludf.DUMMYFUNCTION("""COMPUTED_VALUE"""),3145.4)</f>
        <v>3145.4</v>
      </c>
      <c r="F74" s="6">
        <f>IFERROR(__xludf.DUMMYFUNCTION("""COMPUTED_VALUE"""),1551650.0)</f>
        <v>1551650</v>
      </c>
    </row>
    <row r="75">
      <c r="A75" s="7">
        <f>IFERROR(__xludf.DUMMYFUNCTION("""COMPUTED_VALUE"""),45716.64583333333)</f>
        <v>45716.64583</v>
      </c>
      <c r="B75" s="6">
        <f>IFERROR(__xludf.DUMMYFUNCTION("""COMPUTED_VALUE"""),3134.2)</f>
        <v>3134.2</v>
      </c>
      <c r="C75" s="6">
        <f>IFERROR(__xludf.DUMMYFUNCTION("""COMPUTED_VALUE"""),3138.4)</f>
        <v>3138.4</v>
      </c>
      <c r="D75" s="6">
        <f>IFERROR(__xludf.DUMMYFUNCTION("""COMPUTED_VALUE"""),2962.55)</f>
        <v>2962.55</v>
      </c>
      <c r="E75" s="6">
        <f>IFERROR(__xludf.DUMMYFUNCTION("""COMPUTED_VALUE"""),3013.95)</f>
        <v>3013.95</v>
      </c>
      <c r="F75" s="6">
        <f>IFERROR(__xludf.DUMMYFUNCTION("""COMPUTED_VALUE"""),1368578.0)</f>
        <v>1368578</v>
      </c>
    </row>
    <row r="76">
      <c r="A76" s="7">
        <f>IFERROR(__xludf.DUMMYFUNCTION("""COMPUTED_VALUE"""),45723.64583333333)</f>
        <v>45723.64583</v>
      </c>
      <c r="B76" s="6">
        <f>IFERROR(__xludf.DUMMYFUNCTION("""COMPUTED_VALUE"""),3017.2)</f>
        <v>3017.2</v>
      </c>
      <c r="C76" s="6">
        <f>IFERROR(__xludf.DUMMYFUNCTION("""COMPUTED_VALUE"""),3312.05)</f>
        <v>3312.05</v>
      </c>
      <c r="D76" s="6">
        <f>IFERROR(__xludf.DUMMYFUNCTION("""COMPUTED_VALUE"""),2951.1)</f>
        <v>2951.1</v>
      </c>
      <c r="E76" s="6">
        <f>IFERROR(__xludf.DUMMYFUNCTION("""COMPUTED_VALUE"""),3219.1)</f>
        <v>3219.1</v>
      </c>
      <c r="F76" s="6">
        <f>IFERROR(__xludf.DUMMYFUNCTION("""COMPUTED_VALUE"""),2492569.0)</f>
        <v>2492569</v>
      </c>
    </row>
    <row r="77">
      <c r="A77" s="7">
        <f>IFERROR(__xludf.DUMMYFUNCTION("""COMPUTED_VALUE"""),45729.64583333333)</f>
        <v>45729.64583</v>
      </c>
      <c r="B77" s="6">
        <f>IFERROR(__xludf.DUMMYFUNCTION("""COMPUTED_VALUE"""),3225.0)</f>
        <v>3225</v>
      </c>
      <c r="C77" s="6">
        <f>IFERROR(__xludf.DUMMYFUNCTION("""COMPUTED_VALUE"""),3433.9)</f>
        <v>3433.9</v>
      </c>
      <c r="D77" s="6">
        <f>IFERROR(__xludf.DUMMYFUNCTION("""COMPUTED_VALUE"""),3200.0)</f>
        <v>3200</v>
      </c>
      <c r="E77" s="6">
        <f>IFERROR(__xludf.DUMMYFUNCTION("""COMPUTED_VALUE"""),3297.3)</f>
        <v>3297.3</v>
      </c>
      <c r="F77" s="6">
        <f>IFERROR(__xludf.DUMMYFUNCTION("""COMPUTED_VALUE"""),1098046.0)</f>
        <v>1098046</v>
      </c>
    </row>
    <row r="78">
      <c r="A78" s="7">
        <f>IFERROR(__xludf.DUMMYFUNCTION("""COMPUTED_VALUE"""),45737.64583333333)</f>
        <v>45737.64583</v>
      </c>
      <c r="B78" s="6">
        <f>IFERROR(__xludf.DUMMYFUNCTION("""COMPUTED_VALUE"""),3271.0)</f>
        <v>3271</v>
      </c>
      <c r="C78" s="6">
        <f>IFERROR(__xludf.DUMMYFUNCTION("""COMPUTED_VALUE"""),3484.0)</f>
        <v>3484</v>
      </c>
      <c r="D78" s="6">
        <f>IFERROR(__xludf.DUMMYFUNCTION("""COMPUTED_VALUE"""),3270.75)</f>
        <v>3270.75</v>
      </c>
      <c r="E78" s="6">
        <f>IFERROR(__xludf.DUMMYFUNCTION("""COMPUTED_VALUE"""),3456.7)</f>
        <v>3456.7</v>
      </c>
      <c r="F78" s="6">
        <f>IFERROR(__xludf.DUMMYFUNCTION("""COMPUTED_VALUE"""),1075029.0)</f>
        <v>1075029</v>
      </c>
    </row>
    <row r="79">
      <c r="A79" s="7">
        <f>IFERROR(__xludf.DUMMYFUNCTION("""COMPUTED_VALUE"""),45744.64583333333)</f>
        <v>45744.64583</v>
      </c>
      <c r="B79" s="6">
        <f>IFERROR(__xludf.DUMMYFUNCTION("""COMPUTED_VALUE"""),3456.7)</f>
        <v>3456.7</v>
      </c>
      <c r="C79" s="6">
        <f>IFERROR(__xludf.DUMMYFUNCTION("""COMPUTED_VALUE"""),3523.95)</f>
        <v>3523.95</v>
      </c>
      <c r="D79" s="6">
        <f>IFERROR(__xludf.DUMMYFUNCTION("""COMPUTED_VALUE"""),3390.0)</f>
        <v>3390</v>
      </c>
      <c r="E79" s="6">
        <f>IFERROR(__xludf.DUMMYFUNCTION("""COMPUTED_VALUE"""),3428.2)</f>
        <v>3428.2</v>
      </c>
      <c r="F79" s="6">
        <f>IFERROR(__xludf.DUMMYFUNCTION("""COMPUTED_VALUE"""),1152494.0)</f>
        <v>1152494</v>
      </c>
    </row>
    <row r="80">
      <c r="A80" s="7">
        <f>IFERROR(__xludf.DUMMYFUNCTION("""COMPUTED_VALUE"""),45751.64583333333)</f>
        <v>45751.64583</v>
      </c>
      <c r="B80" s="6">
        <f>IFERROR(__xludf.DUMMYFUNCTION("""COMPUTED_VALUE"""),3420.0)</f>
        <v>3420</v>
      </c>
      <c r="C80" s="6">
        <f>IFERROR(__xludf.DUMMYFUNCTION("""COMPUTED_VALUE"""),3510.0)</f>
        <v>3510</v>
      </c>
      <c r="D80" s="6">
        <f>IFERROR(__xludf.DUMMYFUNCTION("""COMPUTED_VALUE"""),3292.0)</f>
        <v>3292</v>
      </c>
      <c r="E80" s="6">
        <f>IFERROR(__xludf.DUMMYFUNCTION("""COMPUTED_VALUE"""),3315.45)</f>
        <v>3315.45</v>
      </c>
      <c r="F80" s="6">
        <f>IFERROR(__xludf.DUMMYFUNCTION("""COMPUTED_VALUE"""),1435576.0)</f>
        <v>1435576</v>
      </c>
    </row>
    <row r="81">
      <c r="A81" s="7">
        <f>IFERROR(__xludf.DUMMYFUNCTION("""COMPUTED_VALUE"""),45758.64583333333)</f>
        <v>45758.64583</v>
      </c>
      <c r="B81" s="6">
        <f>IFERROR(__xludf.DUMMYFUNCTION("""COMPUTED_VALUE"""),3060.0)</f>
        <v>3060</v>
      </c>
      <c r="C81" s="6">
        <f>IFERROR(__xludf.DUMMYFUNCTION("""COMPUTED_VALUE"""),3699.0)</f>
        <v>3699</v>
      </c>
      <c r="D81" s="6">
        <f>IFERROR(__xludf.DUMMYFUNCTION("""COMPUTED_VALUE"""),3051.0)</f>
        <v>3051</v>
      </c>
      <c r="E81" s="6">
        <f>IFERROR(__xludf.DUMMYFUNCTION("""COMPUTED_VALUE"""),3607.45)</f>
        <v>3607.45</v>
      </c>
      <c r="F81" s="6">
        <f>IFERROR(__xludf.DUMMYFUNCTION("""COMPUTED_VALUE"""),2224374.0)</f>
        <v>2224374</v>
      </c>
    </row>
    <row r="82">
      <c r="A82" s="7">
        <f>IFERROR(__xludf.DUMMYFUNCTION("""COMPUTED_VALUE"""),45764.64583333333)</f>
        <v>45764.64583</v>
      </c>
      <c r="B82" s="6">
        <f>IFERROR(__xludf.DUMMYFUNCTION("""COMPUTED_VALUE"""),3664.0)</f>
        <v>3664</v>
      </c>
      <c r="C82" s="6">
        <f>IFERROR(__xludf.DUMMYFUNCTION("""COMPUTED_VALUE"""),3672.1)</f>
        <v>3672.1</v>
      </c>
      <c r="D82" s="6">
        <f>IFERROR(__xludf.DUMMYFUNCTION("""COMPUTED_VALUE"""),3565.0)</f>
        <v>3565</v>
      </c>
      <c r="E82" s="6">
        <f>IFERROR(__xludf.DUMMYFUNCTION("""COMPUTED_VALUE"""),3645.3)</f>
        <v>3645.3</v>
      </c>
      <c r="F82" s="6">
        <f>IFERROR(__xludf.DUMMYFUNCTION("""COMPUTED_VALUE"""),989948.0)</f>
        <v>989948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IFERROR(__xludf.DUMMYFUNCTION("""COMPUTED_VALUE"""),3645.3)</f>
        <v>3645.3</v>
      </c>
      <c r="C83" s="6">
        <f>IFERROR(__xludf.DUMMYFUNCTION("""COMPUTED_VALUE"""),3742.5)</f>
        <v>3742.5</v>
      </c>
      <c r="D83" s="6">
        <f>IFERROR(__xludf.DUMMYFUNCTION("""COMPUTED_VALUE"""),3520.0)</f>
        <v>3520</v>
      </c>
      <c r="E83" s="6">
        <f>IFERROR(__xludf.DUMMYFUNCTION("""COMPUTED_VALUE"""),3583.9)</f>
        <v>3583.9</v>
      </c>
      <c r="F83" s="6">
        <f>IFERROR(__xludf.DUMMYFUNCTION("""COMPUTED_VALUE"""),941566.0)</f>
        <v>941566</v>
      </c>
    </row>
    <row r="84">
      <c r="A84" s="7">
        <f>IFERROR(__xludf.DUMMYFUNCTION("""COMPUTED_VALUE"""),45779.64583333333)</f>
        <v>45779.64583</v>
      </c>
      <c r="B84" s="6">
        <f>IFERROR(__xludf.DUMMYFUNCTION("""COMPUTED_VALUE"""),3565.0)</f>
        <v>3565</v>
      </c>
      <c r="C84" s="6">
        <f>IFERROR(__xludf.DUMMYFUNCTION("""COMPUTED_VALUE"""),3707.4)</f>
        <v>3707.4</v>
      </c>
      <c r="D84" s="6">
        <f>IFERROR(__xludf.DUMMYFUNCTION("""COMPUTED_VALUE"""),3540.3)</f>
        <v>3540.3</v>
      </c>
      <c r="E84" s="6">
        <f>IFERROR(__xludf.DUMMYFUNCTION("""COMPUTED_VALUE"""),3709.9)</f>
        <v>3709.9</v>
      </c>
      <c r="F84" s="6">
        <f>IFERROR(__xludf.DUMMYFUNCTION("""COMPUTED_VALUE"""),613090.0)</f>
        <v>613090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IFERROR(__xludf.DUMMYFUNCTION("""COMPUTED_VALUE"""),3711.9)</f>
        <v>3711.9</v>
      </c>
      <c r="C85" s="6">
        <f>IFERROR(__xludf.DUMMYFUNCTION("""COMPUTED_VALUE"""),3738.8)</f>
        <v>3738.8</v>
      </c>
      <c r="D85" s="6">
        <f>IFERROR(__xludf.DUMMYFUNCTION("""COMPUTED_VALUE"""),3550.0)</f>
        <v>3550</v>
      </c>
      <c r="E85" s="6">
        <f>IFERROR(__xludf.DUMMYFUNCTION("""COMPUTED_VALUE"""),3639.7)</f>
        <v>3639.7</v>
      </c>
      <c r="F85" s="6">
        <f>IFERROR(__xludf.DUMMYFUNCTION("""COMPUTED_VALUE"""),850890.0)</f>
        <v>850890</v>
      </c>
    </row>
    <row r="86">
      <c r="A86" s="7">
        <f>IFERROR(__xludf.DUMMYFUNCTION("""COMPUTED_VALUE"""),45793.64583333333)</f>
        <v>45793.64583</v>
      </c>
      <c r="B86" s="6">
        <f>IFERROR(__xludf.DUMMYFUNCTION("""COMPUTED_VALUE"""),3685.2)</f>
        <v>3685.2</v>
      </c>
      <c r="C86" s="6">
        <f>IFERROR(__xludf.DUMMYFUNCTION("""COMPUTED_VALUE"""),3789.0)</f>
        <v>3789</v>
      </c>
      <c r="D86" s="6">
        <f>IFERROR(__xludf.DUMMYFUNCTION("""COMPUTED_VALUE"""),3607.2)</f>
        <v>3607.2</v>
      </c>
      <c r="E86" s="6">
        <f>IFERROR(__xludf.DUMMYFUNCTION("""COMPUTED_VALUE"""),3769.7)</f>
        <v>3769.7</v>
      </c>
      <c r="F86" s="6">
        <f>IFERROR(__xludf.DUMMYFUNCTION("""COMPUTED_VALUE"""),1359536.0)</f>
        <v>1359536</v>
      </c>
    </row>
    <row r="87">
      <c r="A87" s="7">
        <f>IFERROR(__xludf.DUMMYFUNCTION("""COMPUTED_VALUE"""),45800.64583333333)</f>
        <v>45800.64583</v>
      </c>
      <c r="B87" s="6">
        <f>IFERROR(__xludf.DUMMYFUNCTION("""COMPUTED_VALUE"""),3795.0)</f>
        <v>3795</v>
      </c>
      <c r="C87" s="6">
        <f>IFERROR(__xludf.DUMMYFUNCTION("""COMPUTED_VALUE"""),3834.9)</f>
        <v>3834.9</v>
      </c>
      <c r="D87" s="6">
        <f>IFERROR(__xludf.DUMMYFUNCTION("""COMPUTED_VALUE"""),3534.1)</f>
        <v>3534.1</v>
      </c>
      <c r="E87" s="6">
        <f>IFERROR(__xludf.DUMMYFUNCTION("""COMPUTED_VALUE"""),3680.8)</f>
        <v>3680.8</v>
      </c>
      <c r="F87" s="6">
        <f>IFERROR(__xludf.DUMMYFUNCTION("""COMPUTED_VALUE"""),2063505.0)</f>
        <v>2063505</v>
      </c>
    </row>
    <row r="88">
      <c r="A88" s="7">
        <f>IFERROR(__xludf.DUMMYFUNCTION("""COMPUTED_VALUE"""),45807.64583333333)</f>
        <v>45807.64583</v>
      </c>
      <c r="B88" s="6">
        <f>IFERROR(__xludf.DUMMYFUNCTION("""COMPUTED_VALUE"""),3703.5)</f>
        <v>3703.5</v>
      </c>
      <c r="C88" s="6">
        <f>IFERROR(__xludf.DUMMYFUNCTION("""COMPUTED_VALUE"""),3920.0)</f>
        <v>3920</v>
      </c>
      <c r="D88" s="6">
        <f>IFERROR(__xludf.DUMMYFUNCTION("""COMPUTED_VALUE"""),3660.0)</f>
        <v>3660</v>
      </c>
      <c r="E88" s="6">
        <f>IFERROR(__xludf.DUMMYFUNCTION("""COMPUTED_VALUE"""),3823.7)</f>
        <v>3823.7</v>
      </c>
      <c r="F88" s="6">
        <f>IFERROR(__xludf.DUMMYFUNCTION("""COMPUTED_VALUE"""),1953550.0)</f>
        <v>1953550</v>
      </c>
    </row>
    <row r="89">
      <c r="A89" s="7">
        <f>IFERROR(__xludf.DUMMYFUNCTION("""COMPUTED_VALUE"""),45814.64583333333)</f>
        <v>45814.64583</v>
      </c>
      <c r="B89" s="6">
        <f>IFERROR(__xludf.DUMMYFUNCTION("""COMPUTED_VALUE"""),3823.7)</f>
        <v>3823.7</v>
      </c>
      <c r="C89" s="6">
        <f>IFERROR(__xludf.DUMMYFUNCTION("""COMPUTED_VALUE"""),4015.0)</f>
        <v>4015</v>
      </c>
      <c r="D89" s="6">
        <f>IFERROR(__xludf.DUMMYFUNCTION("""COMPUTED_VALUE"""),3756.0)</f>
        <v>3756</v>
      </c>
      <c r="E89" s="6">
        <f>IFERROR(__xludf.DUMMYFUNCTION("""COMPUTED_VALUE"""),3897.9)</f>
        <v>3897.9</v>
      </c>
      <c r="F89" s="6">
        <f>IFERROR(__xludf.DUMMYFUNCTION("""COMPUTED_VALUE"""),1987142.0)</f>
        <v>1987142</v>
      </c>
    </row>
    <row r="90">
      <c r="A90" s="7">
        <f>IFERROR(__xludf.DUMMYFUNCTION("""COMPUTED_VALUE"""),45821.64583333333)</f>
        <v>45821.64583</v>
      </c>
      <c r="B90" s="6">
        <f>IFERROR(__xludf.DUMMYFUNCTION("""COMPUTED_VALUE"""),3922.0)</f>
        <v>3922</v>
      </c>
      <c r="C90" s="6">
        <f>IFERROR(__xludf.DUMMYFUNCTION("""COMPUTED_VALUE"""),3994.8)</f>
        <v>3994.8</v>
      </c>
      <c r="D90" s="6">
        <f>IFERROR(__xludf.DUMMYFUNCTION("""COMPUTED_VALUE"""),3850.0)</f>
        <v>3850</v>
      </c>
      <c r="E90" s="6">
        <f>IFERROR(__xludf.DUMMYFUNCTION("""COMPUTED_VALUE"""),3972.6)</f>
        <v>3972.6</v>
      </c>
      <c r="F90" s="6">
        <f>IFERROR(__xludf.DUMMYFUNCTION("""COMPUTED_VALUE"""),887585.0)</f>
        <v>887585</v>
      </c>
    </row>
    <row r="91">
      <c r="A91" s="7">
        <f>IFERROR(__xludf.DUMMYFUNCTION("""COMPUTED_VALUE"""),45828.64583333333)</f>
        <v>45828.64583</v>
      </c>
      <c r="B91" s="6">
        <f>IFERROR(__xludf.DUMMYFUNCTION("""COMPUTED_VALUE"""),4055.9)</f>
        <v>4055.9</v>
      </c>
      <c r="C91" s="6">
        <f>IFERROR(__xludf.DUMMYFUNCTION("""COMPUTED_VALUE"""),4198.0)</f>
        <v>4198</v>
      </c>
      <c r="D91" s="6">
        <f>IFERROR(__xludf.DUMMYFUNCTION("""COMPUTED_VALUE"""),4025.0)</f>
        <v>4025</v>
      </c>
      <c r="E91" s="6">
        <f>IFERROR(__xludf.DUMMYFUNCTION("""COMPUTED_VALUE"""),4121.5)</f>
        <v>4121.5</v>
      </c>
      <c r="F91" s="6">
        <f>IFERROR(__xludf.DUMMYFUNCTION("""COMPUTED_VALUE"""),2384219.0)</f>
        <v>2384219</v>
      </c>
    </row>
    <row r="92">
      <c r="A92" s="7">
        <f>IFERROR(__xludf.DUMMYFUNCTION("""COMPUTED_VALUE"""),45835.64583333333)</f>
        <v>45835.64583</v>
      </c>
      <c r="B92" s="6">
        <f>IFERROR(__xludf.DUMMYFUNCTION("""COMPUTED_VALUE"""),4067.0)</f>
        <v>4067</v>
      </c>
      <c r="C92" s="6">
        <f>IFERROR(__xludf.DUMMYFUNCTION("""COMPUTED_VALUE"""),4249.8)</f>
        <v>4249.8</v>
      </c>
      <c r="D92" s="6">
        <f>IFERROR(__xludf.DUMMYFUNCTION("""COMPUTED_VALUE"""),4066.6)</f>
        <v>4066.6</v>
      </c>
      <c r="E92" s="6">
        <f>IFERROR(__xludf.DUMMYFUNCTION("""COMPUTED_VALUE"""),4157.3)</f>
        <v>4157.3</v>
      </c>
      <c r="F92" s="6">
        <f>IFERROR(__xludf.DUMMYFUNCTION("""COMPUTED_VALUE"""),1102072.0)</f>
        <v>1102072</v>
      </c>
    </row>
    <row r="93">
      <c r="A93" s="7">
        <f>IFERROR(__xludf.DUMMYFUNCTION("""COMPUTED_VALUE"""),45842.64583333333)</f>
        <v>45842.64583</v>
      </c>
      <c r="B93" s="6">
        <f>IFERROR(__xludf.DUMMYFUNCTION("""COMPUTED_VALUE"""),4170.0)</f>
        <v>4170</v>
      </c>
      <c r="C93" s="6">
        <f>IFERROR(__xludf.DUMMYFUNCTION("""COMPUTED_VALUE"""),4274.1)</f>
        <v>4274.1</v>
      </c>
      <c r="D93" s="6">
        <f>IFERROR(__xludf.DUMMYFUNCTION("""COMPUTED_VALUE"""),4058.7)</f>
        <v>4058.7</v>
      </c>
      <c r="E93" s="6">
        <f>IFERROR(__xludf.DUMMYFUNCTION("""COMPUTED_VALUE"""),4220.0)</f>
        <v>4220</v>
      </c>
      <c r="F93" s="6">
        <f>IFERROR(__xludf.DUMMYFUNCTION("""COMPUTED_VALUE"""),847495.0)</f>
        <v>847495</v>
      </c>
    </row>
    <row r="94">
      <c r="A94" s="7">
        <f>IFERROR(__xludf.DUMMYFUNCTION("""COMPUTED_VALUE"""),45849.64583333333)</f>
        <v>45849.64583</v>
      </c>
      <c r="B94" s="6">
        <f>IFERROR(__xludf.DUMMYFUNCTION("""COMPUTED_VALUE"""),4220.0)</f>
        <v>4220</v>
      </c>
      <c r="C94" s="6">
        <f>IFERROR(__xludf.DUMMYFUNCTION("""COMPUTED_VALUE"""),4220.0)</f>
        <v>4220</v>
      </c>
      <c r="D94" s="6">
        <f>IFERROR(__xludf.DUMMYFUNCTION("""COMPUTED_VALUE"""),4026.5)</f>
        <v>4026.5</v>
      </c>
      <c r="E94" s="6">
        <f>IFERROR(__xludf.DUMMYFUNCTION("""COMPUTED_VALUE"""),4044.8)</f>
        <v>4044.8</v>
      </c>
      <c r="F94" s="6">
        <f>IFERROR(__xludf.DUMMYFUNCTION("""COMPUTED_VALUE"""),872812.0)</f>
        <v>872812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IFERROR(__xludf.DUMMYFUNCTION("""COMPUTED_VALUE"""),4011.9)</f>
        <v>4011.9</v>
      </c>
      <c r="C95" s="6">
        <f>IFERROR(__xludf.DUMMYFUNCTION("""COMPUTED_VALUE"""),4179.0)</f>
        <v>4179</v>
      </c>
      <c r="D95" s="6">
        <f>IFERROR(__xludf.DUMMYFUNCTION("""COMPUTED_VALUE"""),3975.4)</f>
        <v>3975.4</v>
      </c>
      <c r="E95" s="6">
        <f>IFERROR(__xludf.DUMMYFUNCTION("""COMPUTED_VALUE"""),4120.9)</f>
        <v>4120.9</v>
      </c>
      <c r="F95" s="6">
        <f>IFERROR(__xludf.DUMMYFUNCTION("""COMPUTED_VALUE"""),658440.0)</f>
        <v>658440</v>
      </c>
    </row>
    <row r="96">
      <c r="A96" s="7">
        <f>IFERROR(__xludf.DUMMYFUNCTION("""COMPUTED_VALUE"""),45863.64583333333)</f>
        <v>45863.64583</v>
      </c>
      <c r="B96" s="6">
        <f>IFERROR(__xludf.DUMMYFUNCTION("""COMPUTED_VALUE"""),4110.0)</f>
        <v>4110</v>
      </c>
      <c r="C96" s="6">
        <f>IFERROR(__xludf.DUMMYFUNCTION("""COMPUTED_VALUE"""),4197.5)</f>
        <v>4197.5</v>
      </c>
      <c r="D96" s="6">
        <f>IFERROR(__xludf.DUMMYFUNCTION("""COMPUTED_VALUE"""),4018.0)</f>
        <v>4018</v>
      </c>
      <c r="E96" s="6">
        <f>IFERROR(__xludf.DUMMYFUNCTION("""COMPUTED_VALUE"""),4092.1)</f>
        <v>4092.1</v>
      </c>
      <c r="F96" s="6">
        <f>IFERROR(__xludf.DUMMYFUNCTION("""COMPUTED_VALUE"""),421503.0)</f>
        <v>421503</v>
      </c>
    </row>
    <row r="97">
      <c r="A97" s="7">
        <f>IFERROR(__xludf.DUMMYFUNCTION("""COMPUTED_VALUE"""),45870.64583333333)</f>
        <v>45870.64583</v>
      </c>
      <c r="B97" s="6">
        <f>IFERROR(__xludf.DUMMYFUNCTION("""COMPUTED_VALUE"""),4086.4)</f>
        <v>4086.4</v>
      </c>
      <c r="C97" s="6">
        <f>IFERROR(__xludf.DUMMYFUNCTION("""COMPUTED_VALUE"""),4330.0)</f>
        <v>4330</v>
      </c>
      <c r="D97" s="6">
        <f>IFERROR(__xludf.DUMMYFUNCTION("""COMPUTED_VALUE"""),4039.7)</f>
        <v>4039.7</v>
      </c>
      <c r="E97" s="6">
        <f>IFERROR(__xludf.DUMMYFUNCTION("""COMPUTED_VALUE"""),4190.2)</f>
        <v>4190.2</v>
      </c>
      <c r="F97" s="6">
        <f>IFERROR(__xludf.DUMMYFUNCTION("""COMPUTED_VALUE"""),955752.0)</f>
        <v>955752</v>
      </c>
    </row>
    <row r="98">
      <c r="A98" s="7">
        <f>IFERROR(__xludf.DUMMYFUNCTION("""COMPUTED_VALUE"""),45877.64583333333)</f>
        <v>45877.64583</v>
      </c>
      <c r="B98" s="6">
        <f>IFERROR(__xludf.DUMMYFUNCTION("""COMPUTED_VALUE"""),4190.0)</f>
        <v>4190</v>
      </c>
      <c r="C98" s="6">
        <f>IFERROR(__xludf.DUMMYFUNCTION("""COMPUTED_VALUE"""),4190.1)</f>
        <v>4190.1</v>
      </c>
      <c r="D98" s="6">
        <f>IFERROR(__xludf.DUMMYFUNCTION("""COMPUTED_VALUE"""),3904.3)</f>
        <v>3904.3</v>
      </c>
      <c r="E98" s="6">
        <f>IFERROR(__xludf.DUMMYFUNCTION("""COMPUTED_VALUE"""),3919.1)</f>
        <v>3919.1</v>
      </c>
      <c r="F98" s="6">
        <f>IFERROR(__xludf.DUMMYFUNCTION("""COMPUTED_VALUE"""),599479.0)</f>
        <v>599479</v>
      </c>
    </row>
    <row r="99">
      <c r="A99" s="7">
        <f>IFERROR(__xludf.DUMMYFUNCTION("""COMPUTED_VALUE"""),45883.64583333333)</f>
        <v>45883.64583</v>
      </c>
      <c r="B99" s="6">
        <f>IFERROR(__xludf.DUMMYFUNCTION("""COMPUTED_VALUE"""),3875.0)</f>
        <v>3875</v>
      </c>
      <c r="C99" s="6">
        <f>IFERROR(__xludf.DUMMYFUNCTION("""COMPUTED_VALUE"""),3904.0)</f>
        <v>3904</v>
      </c>
      <c r="D99" s="6">
        <f>IFERROR(__xludf.DUMMYFUNCTION("""COMPUTED_VALUE"""),3664.1)</f>
        <v>3664.1</v>
      </c>
      <c r="E99" s="6">
        <f>IFERROR(__xludf.DUMMYFUNCTION("""COMPUTED_VALUE"""),3690.2)</f>
        <v>3690.2</v>
      </c>
      <c r="F99" s="6">
        <f>IFERROR(__xludf.DUMMYFUNCTION("""COMPUTED_VALUE"""),2509875.0)</f>
        <v>2509875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IFERROR(__xludf.DUMMYFUNCTION("""COMPUTED_VALUE"""),3700.0)</f>
        <v>3700</v>
      </c>
      <c r="C100" s="6">
        <f>IFERROR(__xludf.DUMMYFUNCTION("""COMPUTED_VALUE"""),3882.8)</f>
        <v>3882.8</v>
      </c>
      <c r="D100" s="6">
        <f>IFERROR(__xludf.DUMMYFUNCTION("""COMPUTED_VALUE"""),3681.0)</f>
        <v>3681</v>
      </c>
      <c r="E100" s="6">
        <f>IFERROR(__xludf.DUMMYFUNCTION("""COMPUTED_VALUE"""),3865.1)</f>
        <v>3865.1</v>
      </c>
      <c r="F100" s="6">
        <f>IFERROR(__xludf.DUMMYFUNCTION("""COMPUTED_VALUE"""),594198.0)</f>
        <v>594198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IFERROR(__xludf.DUMMYFUNCTION("""COMPUTED_VALUE"""),3866.0)</f>
        <v>3866</v>
      </c>
      <c r="C101" s="6">
        <f>IFERROR(__xludf.DUMMYFUNCTION("""COMPUTED_VALUE"""),3917.8)</f>
        <v>3917.8</v>
      </c>
      <c r="D101" s="6">
        <f>IFERROR(__xludf.DUMMYFUNCTION("""COMPUTED_VALUE"""),3774.7)</f>
        <v>3774.7</v>
      </c>
      <c r="E101" s="6">
        <f>IFERROR(__xludf.DUMMYFUNCTION("""COMPUTED_VALUE"""),3787.2)</f>
        <v>3787.2</v>
      </c>
      <c r="F101" s="6">
        <f>IFERROR(__xludf.DUMMYFUNCTION("""COMPUTED_VALUE"""),2815184.0)</f>
        <v>2815184</v>
      </c>
    </row>
  </sheetData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IFERROR(__xludf.DUMMYFUNCTION("GOOGLEFINANCE(""NSE:PNB"",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IFERROR(__xludf.DUMMYFUNCTION("""COMPUTED_VALUE"""),61.75)</f>
        <v>61.75</v>
      </c>
      <c r="C2" s="6">
        <f>IFERROR(__xludf.DUMMYFUNCTION("""COMPUTED_VALUE"""),66.2)</f>
        <v>66.2</v>
      </c>
      <c r="D2" s="6">
        <f>IFERROR(__xludf.DUMMYFUNCTION("""COMPUTED_VALUE"""),61.35)</f>
        <v>61.35</v>
      </c>
      <c r="E2" s="6">
        <f>IFERROR(__xludf.DUMMYFUNCTION("""COMPUTED_VALUE"""),65.4)</f>
        <v>65.4</v>
      </c>
      <c r="F2" s="6">
        <f>IFERROR(__xludf.DUMMYFUNCTION("""COMPUTED_VALUE"""),2.78780562E8)</f>
        <v>278780562</v>
      </c>
    </row>
    <row r="3">
      <c r="A3" s="7">
        <f>IFERROR(__xludf.DUMMYFUNCTION("""COMPUTED_VALUE"""),45177.64583333333)</f>
        <v>45177.64583</v>
      </c>
      <c r="B3" s="6">
        <f>IFERROR(__xludf.DUMMYFUNCTION("""COMPUTED_VALUE"""),66.05)</f>
        <v>66.05</v>
      </c>
      <c r="C3" s="6">
        <f>IFERROR(__xludf.DUMMYFUNCTION("""COMPUTED_VALUE"""),68.6)</f>
        <v>68.6</v>
      </c>
      <c r="D3" s="6">
        <f>IFERROR(__xludf.DUMMYFUNCTION("""COMPUTED_VALUE"""),65.5)</f>
        <v>65.5</v>
      </c>
      <c r="E3" s="6">
        <f>IFERROR(__xludf.DUMMYFUNCTION("""COMPUTED_VALUE"""),66.85)</f>
        <v>66.85</v>
      </c>
      <c r="F3" s="6">
        <f>IFERROR(__xludf.DUMMYFUNCTION("""COMPUTED_VALUE"""),2.84658817E8)</f>
        <v>284658817</v>
      </c>
    </row>
    <row r="4">
      <c r="A4" s="7">
        <f>IFERROR(__xludf.DUMMYFUNCTION("""COMPUTED_VALUE"""),45184.64583333333)</f>
        <v>45184.64583</v>
      </c>
      <c r="B4" s="6">
        <f>IFERROR(__xludf.DUMMYFUNCTION("""COMPUTED_VALUE"""),67.2)</f>
        <v>67.2</v>
      </c>
      <c r="C4" s="6">
        <f>IFERROR(__xludf.DUMMYFUNCTION("""COMPUTED_VALUE"""),74.85)</f>
        <v>74.85</v>
      </c>
      <c r="D4" s="6">
        <f>IFERROR(__xludf.DUMMYFUNCTION("""COMPUTED_VALUE"""),66.25)</f>
        <v>66.25</v>
      </c>
      <c r="E4" s="6">
        <f>IFERROR(__xludf.DUMMYFUNCTION("""COMPUTED_VALUE"""),74.15)</f>
        <v>74.15</v>
      </c>
      <c r="F4" s="6">
        <f>IFERROR(__xludf.DUMMYFUNCTION("""COMPUTED_VALUE"""),5.96061027E8)</f>
        <v>596061027</v>
      </c>
    </row>
    <row r="5">
      <c r="A5" s="7">
        <f>IFERROR(__xludf.DUMMYFUNCTION("""COMPUTED_VALUE"""),45191.64583333333)</f>
        <v>45191.64583</v>
      </c>
      <c r="B5" s="6">
        <f>IFERROR(__xludf.DUMMYFUNCTION("""COMPUTED_VALUE"""),74.15)</f>
        <v>74.15</v>
      </c>
      <c r="C5" s="6">
        <f>IFERROR(__xludf.DUMMYFUNCTION("""COMPUTED_VALUE"""),79.05)</f>
        <v>79.05</v>
      </c>
      <c r="D5" s="6">
        <f>IFERROR(__xludf.DUMMYFUNCTION("""COMPUTED_VALUE"""),73.8)</f>
        <v>73.8</v>
      </c>
      <c r="E5" s="6">
        <f>IFERROR(__xludf.DUMMYFUNCTION("""COMPUTED_VALUE"""),77.5)</f>
        <v>77.5</v>
      </c>
      <c r="F5" s="6">
        <f>IFERROR(__xludf.DUMMYFUNCTION("""COMPUTED_VALUE"""),4.62513577E8)</f>
        <v>462513577</v>
      </c>
    </row>
    <row r="6">
      <c r="A6" s="7">
        <f>IFERROR(__xludf.DUMMYFUNCTION("""COMPUTED_VALUE"""),45198.64583333333)</f>
        <v>45198.64583</v>
      </c>
      <c r="B6" s="6">
        <f>IFERROR(__xludf.DUMMYFUNCTION("""COMPUTED_VALUE"""),77.9)</f>
        <v>77.9</v>
      </c>
      <c r="C6" s="6">
        <f>IFERROR(__xludf.DUMMYFUNCTION("""COMPUTED_VALUE"""),82.65)</f>
        <v>82.65</v>
      </c>
      <c r="D6" s="6">
        <f>IFERROR(__xludf.DUMMYFUNCTION("""COMPUTED_VALUE"""),76.55)</f>
        <v>76.55</v>
      </c>
      <c r="E6" s="6">
        <f>IFERROR(__xludf.DUMMYFUNCTION("""COMPUTED_VALUE"""),80.2)</f>
        <v>80.2</v>
      </c>
      <c r="F6" s="6">
        <f>IFERROR(__xludf.DUMMYFUNCTION("""COMPUTED_VALUE"""),5.04300325E8)</f>
        <v>504300325</v>
      </c>
    </row>
    <row r="7">
      <c r="A7" s="7">
        <f>IFERROR(__xludf.DUMMYFUNCTION("""COMPUTED_VALUE"""),45205.64583333333)</f>
        <v>45205.64583</v>
      </c>
      <c r="B7" s="6">
        <f>IFERROR(__xludf.DUMMYFUNCTION("""COMPUTED_VALUE"""),80.2)</f>
        <v>80.2</v>
      </c>
      <c r="C7" s="6">
        <f>IFERROR(__xludf.DUMMYFUNCTION("""COMPUTED_VALUE"""),83.5)</f>
        <v>83.5</v>
      </c>
      <c r="D7" s="6">
        <f>IFERROR(__xludf.DUMMYFUNCTION("""COMPUTED_VALUE"""),76.05)</f>
        <v>76.05</v>
      </c>
      <c r="E7" s="6">
        <f>IFERROR(__xludf.DUMMYFUNCTION("""COMPUTED_VALUE"""),76.75)</f>
        <v>76.75</v>
      </c>
      <c r="F7" s="6">
        <f>IFERROR(__xludf.DUMMYFUNCTION("""COMPUTED_VALUE"""),3.72248602E8)</f>
        <v>372248602</v>
      </c>
    </row>
    <row r="8">
      <c r="A8" s="7">
        <f>IFERROR(__xludf.DUMMYFUNCTION("""COMPUTED_VALUE"""),45212.64583333333)</f>
        <v>45212.64583</v>
      </c>
      <c r="B8" s="6">
        <f>IFERROR(__xludf.DUMMYFUNCTION("""COMPUTED_VALUE"""),76.0)</f>
        <v>76</v>
      </c>
      <c r="C8" s="6">
        <f>IFERROR(__xludf.DUMMYFUNCTION("""COMPUTED_VALUE"""),77.85)</f>
        <v>77.85</v>
      </c>
      <c r="D8" s="6">
        <f>IFERROR(__xludf.DUMMYFUNCTION("""COMPUTED_VALUE"""),72.85)</f>
        <v>72.85</v>
      </c>
      <c r="E8" s="6">
        <f>IFERROR(__xludf.DUMMYFUNCTION("""COMPUTED_VALUE"""),75.2)</f>
        <v>75.2</v>
      </c>
      <c r="F8" s="6">
        <f>IFERROR(__xludf.DUMMYFUNCTION("""COMPUTED_VALUE"""),2.41361578E8)</f>
        <v>241361578</v>
      </c>
    </row>
    <row r="9">
      <c r="A9" s="7">
        <f>IFERROR(__xludf.DUMMYFUNCTION("""COMPUTED_VALUE"""),45219.64583333333)</f>
        <v>45219.64583</v>
      </c>
      <c r="B9" s="6">
        <f>IFERROR(__xludf.DUMMYFUNCTION("""COMPUTED_VALUE"""),75.15)</f>
        <v>75.15</v>
      </c>
      <c r="C9" s="6">
        <f>IFERROR(__xludf.DUMMYFUNCTION("""COMPUTED_VALUE"""),77.25)</f>
        <v>77.25</v>
      </c>
      <c r="D9" s="6">
        <f>IFERROR(__xludf.DUMMYFUNCTION("""COMPUTED_VALUE"""),71.85)</f>
        <v>71.85</v>
      </c>
      <c r="E9" s="6">
        <f>IFERROR(__xludf.DUMMYFUNCTION("""COMPUTED_VALUE"""),72.25)</f>
        <v>72.25</v>
      </c>
      <c r="F9" s="6">
        <f>IFERROR(__xludf.DUMMYFUNCTION("""COMPUTED_VALUE"""),2.23798662E8)</f>
        <v>223798662</v>
      </c>
    </row>
    <row r="10">
      <c r="A10" s="7">
        <f>IFERROR(__xludf.DUMMYFUNCTION("""COMPUTED_VALUE"""),45226.64583333333)</f>
        <v>45226.64583</v>
      </c>
      <c r="B10" s="6">
        <f>IFERROR(__xludf.DUMMYFUNCTION("""COMPUTED_VALUE"""),72.5)</f>
        <v>72.5</v>
      </c>
      <c r="C10" s="6">
        <f>IFERROR(__xludf.DUMMYFUNCTION("""COMPUTED_VALUE"""),74.15)</f>
        <v>74.15</v>
      </c>
      <c r="D10" s="6">
        <f>IFERROR(__xludf.DUMMYFUNCTION("""COMPUTED_VALUE"""),67.35)</f>
        <v>67.35</v>
      </c>
      <c r="E10" s="6">
        <f>IFERROR(__xludf.DUMMYFUNCTION("""COMPUTED_VALUE"""),73.15)</f>
        <v>73.15</v>
      </c>
      <c r="F10" s="6">
        <f>IFERROR(__xludf.DUMMYFUNCTION("""COMPUTED_VALUE"""),3.14421245E8)</f>
        <v>314421245</v>
      </c>
    </row>
    <row r="11">
      <c r="A11" s="7">
        <f>IFERROR(__xludf.DUMMYFUNCTION("""COMPUTED_VALUE"""),45233.64583333333)</f>
        <v>45233.64583</v>
      </c>
      <c r="B11" s="6">
        <f>IFERROR(__xludf.DUMMYFUNCTION("""COMPUTED_VALUE"""),73.55)</f>
        <v>73.55</v>
      </c>
      <c r="C11" s="6">
        <f>IFERROR(__xludf.DUMMYFUNCTION("""COMPUTED_VALUE"""),75.4)</f>
        <v>75.4</v>
      </c>
      <c r="D11" s="6">
        <f>IFERROR(__xludf.DUMMYFUNCTION("""COMPUTED_VALUE"""),72.35)</f>
        <v>72.35</v>
      </c>
      <c r="E11" s="6">
        <f>IFERROR(__xludf.DUMMYFUNCTION("""COMPUTED_VALUE"""),74.75)</f>
        <v>74.75</v>
      </c>
      <c r="F11" s="6">
        <f>IFERROR(__xludf.DUMMYFUNCTION("""COMPUTED_VALUE"""),2.07602456E8)</f>
        <v>207602456</v>
      </c>
    </row>
    <row r="12">
      <c r="A12" s="7">
        <f>IFERROR(__xludf.DUMMYFUNCTION("""COMPUTED_VALUE"""),45240.64583333333)</f>
        <v>45240.64583</v>
      </c>
      <c r="B12" s="6">
        <f>IFERROR(__xludf.DUMMYFUNCTION("""COMPUTED_VALUE"""),75.3)</f>
        <v>75.3</v>
      </c>
      <c r="C12" s="6">
        <f>IFERROR(__xludf.DUMMYFUNCTION("""COMPUTED_VALUE"""),76.85)</f>
        <v>76.85</v>
      </c>
      <c r="D12" s="6">
        <f>IFERROR(__xludf.DUMMYFUNCTION("""COMPUTED_VALUE"""),74.55)</f>
        <v>74.55</v>
      </c>
      <c r="E12" s="6">
        <f>IFERROR(__xludf.DUMMYFUNCTION("""COMPUTED_VALUE"""),76.25)</f>
        <v>76.25</v>
      </c>
      <c r="F12" s="6">
        <f>IFERROR(__xludf.DUMMYFUNCTION("""COMPUTED_VALUE"""),1.41333196E8)</f>
        <v>141333196</v>
      </c>
    </row>
    <row r="13">
      <c r="A13" s="7">
        <f>IFERROR(__xludf.DUMMYFUNCTION("""COMPUTED_VALUE"""),45247.64583333333)</f>
        <v>45247.64583</v>
      </c>
      <c r="B13" s="6">
        <f>IFERROR(__xludf.DUMMYFUNCTION("""COMPUTED_VALUE"""),76.8)</f>
        <v>76.8</v>
      </c>
      <c r="C13" s="6">
        <f>IFERROR(__xludf.DUMMYFUNCTION("""COMPUTED_VALUE"""),80.8)</f>
        <v>80.8</v>
      </c>
      <c r="D13" s="6">
        <f>IFERROR(__xludf.DUMMYFUNCTION("""COMPUTED_VALUE"""),76.1)</f>
        <v>76.1</v>
      </c>
      <c r="E13" s="6">
        <f>IFERROR(__xludf.DUMMYFUNCTION("""COMPUTED_VALUE"""),77.9)</f>
        <v>77.9</v>
      </c>
      <c r="F13" s="6">
        <f>IFERROR(__xludf.DUMMYFUNCTION("""COMPUTED_VALUE"""),2.11962275E8)</f>
        <v>211962275</v>
      </c>
    </row>
    <row r="14">
      <c r="A14" s="7">
        <f>IFERROR(__xludf.DUMMYFUNCTION("""COMPUTED_VALUE"""),45254.64583333333)</f>
        <v>45254.64583</v>
      </c>
      <c r="B14" s="6">
        <f>IFERROR(__xludf.DUMMYFUNCTION("""COMPUTED_VALUE"""),78.2)</f>
        <v>78.2</v>
      </c>
      <c r="C14" s="6">
        <f>IFERROR(__xludf.DUMMYFUNCTION("""COMPUTED_VALUE"""),79.5)</f>
        <v>79.5</v>
      </c>
      <c r="D14" s="6">
        <f>IFERROR(__xludf.DUMMYFUNCTION("""COMPUTED_VALUE"""),75.75)</f>
        <v>75.75</v>
      </c>
      <c r="E14" s="6">
        <f>IFERROR(__xludf.DUMMYFUNCTION("""COMPUTED_VALUE"""),75.95)</f>
        <v>75.95</v>
      </c>
      <c r="F14" s="6">
        <f>IFERROR(__xludf.DUMMYFUNCTION("""COMPUTED_VALUE"""),1.21282849E8)</f>
        <v>121282849</v>
      </c>
    </row>
    <row r="15">
      <c r="A15" s="7">
        <f>IFERROR(__xludf.DUMMYFUNCTION("""COMPUTED_VALUE"""),45261.64583333333)</f>
        <v>45261.64583</v>
      </c>
      <c r="B15" s="6">
        <f>IFERROR(__xludf.DUMMYFUNCTION("""COMPUTED_VALUE"""),75.95)</f>
        <v>75.95</v>
      </c>
      <c r="C15" s="6">
        <f>IFERROR(__xludf.DUMMYFUNCTION("""COMPUTED_VALUE"""),81.5)</f>
        <v>81.5</v>
      </c>
      <c r="D15" s="6">
        <f>IFERROR(__xludf.DUMMYFUNCTION("""COMPUTED_VALUE"""),75.6)</f>
        <v>75.6</v>
      </c>
      <c r="E15" s="6">
        <f>IFERROR(__xludf.DUMMYFUNCTION("""COMPUTED_VALUE"""),80.7)</f>
        <v>80.7</v>
      </c>
      <c r="F15" s="6">
        <f>IFERROR(__xludf.DUMMYFUNCTION("""COMPUTED_VALUE"""),2.24994489E8)</f>
        <v>224994489</v>
      </c>
    </row>
    <row r="16">
      <c r="A16" s="7">
        <f>IFERROR(__xludf.DUMMYFUNCTION("""COMPUTED_VALUE"""),45268.64583333333)</f>
        <v>45268.64583</v>
      </c>
      <c r="B16" s="6">
        <f>IFERROR(__xludf.DUMMYFUNCTION("""COMPUTED_VALUE"""),83.15)</f>
        <v>83.15</v>
      </c>
      <c r="C16" s="6">
        <f>IFERROR(__xludf.DUMMYFUNCTION("""COMPUTED_VALUE"""),88.1)</f>
        <v>88.1</v>
      </c>
      <c r="D16" s="6">
        <f>IFERROR(__xludf.DUMMYFUNCTION("""COMPUTED_VALUE"""),82.3)</f>
        <v>82.3</v>
      </c>
      <c r="E16" s="6">
        <f>IFERROR(__xludf.DUMMYFUNCTION("""COMPUTED_VALUE"""),86.55)</f>
        <v>86.55</v>
      </c>
      <c r="F16" s="6">
        <f>IFERROR(__xludf.DUMMYFUNCTION("""COMPUTED_VALUE"""),3.74348912E8)</f>
        <v>374348912</v>
      </c>
    </row>
    <row r="17">
      <c r="A17" s="7">
        <f>IFERROR(__xludf.DUMMYFUNCTION("""COMPUTED_VALUE"""),45275.64583333333)</f>
        <v>45275.64583</v>
      </c>
      <c r="B17" s="6">
        <f>IFERROR(__xludf.DUMMYFUNCTION("""COMPUTED_VALUE"""),86.6)</f>
        <v>86.6</v>
      </c>
      <c r="C17" s="6">
        <f>IFERROR(__xludf.DUMMYFUNCTION("""COMPUTED_VALUE"""),92.0)</f>
        <v>92</v>
      </c>
      <c r="D17" s="6">
        <f>IFERROR(__xludf.DUMMYFUNCTION("""COMPUTED_VALUE"""),86.55)</f>
        <v>86.55</v>
      </c>
      <c r="E17" s="6">
        <f>IFERROR(__xludf.DUMMYFUNCTION("""COMPUTED_VALUE"""),91.25)</f>
        <v>91.25</v>
      </c>
      <c r="F17" s="6">
        <f>IFERROR(__xludf.DUMMYFUNCTION("""COMPUTED_VALUE"""),2.58707715E8)</f>
        <v>258707715</v>
      </c>
    </row>
    <row r="18">
      <c r="A18" s="7">
        <f>IFERROR(__xludf.DUMMYFUNCTION("""COMPUTED_VALUE"""),45282.64583333333)</f>
        <v>45282.64583</v>
      </c>
      <c r="B18" s="6">
        <f>IFERROR(__xludf.DUMMYFUNCTION("""COMPUTED_VALUE"""),91.2)</f>
        <v>91.2</v>
      </c>
      <c r="C18" s="6">
        <f>IFERROR(__xludf.DUMMYFUNCTION("""COMPUTED_VALUE"""),92.4)</f>
        <v>92.4</v>
      </c>
      <c r="D18" s="6">
        <f>IFERROR(__xludf.DUMMYFUNCTION("""COMPUTED_VALUE"""),84.75)</f>
        <v>84.75</v>
      </c>
      <c r="E18" s="6">
        <f>IFERROR(__xludf.DUMMYFUNCTION("""COMPUTED_VALUE"""),89.25)</f>
        <v>89.25</v>
      </c>
      <c r="F18" s="6">
        <f>IFERROR(__xludf.DUMMYFUNCTION("""COMPUTED_VALUE"""),2.45839531E8)</f>
        <v>245839531</v>
      </c>
    </row>
    <row r="19">
      <c r="A19" s="7">
        <f>IFERROR(__xludf.DUMMYFUNCTION("""COMPUTED_VALUE"""),45289.64583333333)</f>
        <v>45289.64583</v>
      </c>
      <c r="B19" s="6">
        <f>IFERROR(__xludf.DUMMYFUNCTION("""COMPUTED_VALUE"""),90.0)</f>
        <v>90</v>
      </c>
      <c r="C19" s="6">
        <f>IFERROR(__xludf.DUMMYFUNCTION("""COMPUTED_VALUE"""),97.7)</f>
        <v>97.7</v>
      </c>
      <c r="D19" s="6">
        <f>IFERROR(__xludf.DUMMYFUNCTION("""COMPUTED_VALUE"""),88.25)</f>
        <v>88.25</v>
      </c>
      <c r="E19" s="6">
        <f>IFERROR(__xludf.DUMMYFUNCTION("""COMPUTED_VALUE"""),95.75)</f>
        <v>95.75</v>
      </c>
      <c r="F19" s="6">
        <f>IFERROR(__xludf.DUMMYFUNCTION("""COMPUTED_VALUE"""),3.42504118E8)</f>
        <v>342504118</v>
      </c>
    </row>
    <row r="20">
      <c r="A20" s="7">
        <f>IFERROR(__xludf.DUMMYFUNCTION("""COMPUTED_VALUE"""),45296.64583333333)</f>
        <v>45296.64583</v>
      </c>
      <c r="B20" s="6">
        <f>IFERROR(__xludf.DUMMYFUNCTION("""COMPUTED_VALUE"""),96.25)</f>
        <v>96.25</v>
      </c>
      <c r="C20" s="6">
        <f>IFERROR(__xludf.DUMMYFUNCTION("""COMPUTED_VALUE"""),99.25)</f>
        <v>99.25</v>
      </c>
      <c r="D20" s="6">
        <f>IFERROR(__xludf.DUMMYFUNCTION("""COMPUTED_VALUE"""),94.8)</f>
        <v>94.8</v>
      </c>
      <c r="E20" s="6">
        <f>IFERROR(__xludf.DUMMYFUNCTION("""COMPUTED_VALUE"""),97.25)</f>
        <v>97.25</v>
      </c>
      <c r="F20" s="6">
        <f>IFERROR(__xludf.DUMMYFUNCTION("""COMPUTED_VALUE"""),2.59237079E8)</f>
        <v>259237079</v>
      </c>
    </row>
    <row r="21">
      <c r="A21" s="7">
        <f>IFERROR(__xludf.DUMMYFUNCTION("""COMPUTED_VALUE"""),45303.64583333333)</f>
        <v>45303.64583</v>
      </c>
      <c r="B21" s="6">
        <f>IFERROR(__xludf.DUMMYFUNCTION("""COMPUTED_VALUE"""),97.25)</f>
        <v>97.25</v>
      </c>
      <c r="C21" s="6">
        <f>IFERROR(__xludf.DUMMYFUNCTION("""COMPUTED_VALUE"""),98.6)</f>
        <v>98.6</v>
      </c>
      <c r="D21" s="6">
        <f>IFERROR(__xludf.DUMMYFUNCTION("""COMPUTED_VALUE"""),93.35)</f>
        <v>93.35</v>
      </c>
      <c r="E21" s="6">
        <f>IFERROR(__xludf.DUMMYFUNCTION("""COMPUTED_VALUE"""),97.7)</f>
        <v>97.7</v>
      </c>
      <c r="F21" s="6">
        <f>IFERROR(__xludf.DUMMYFUNCTION("""COMPUTED_VALUE"""),2.42990473E8)</f>
        <v>242990473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IFERROR(__xludf.DUMMYFUNCTION("""COMPUTED_VALUE"""),106.65)</f>
        <v>106.65</v>
      </c>
      <c r="C22" s="6">
        <f>IFERROR(__xludf.DUMMYFUNCTION("""COMPUTED_VALUE"""),106.7)</f>
        <v>106.7</v>
      </c>
      <c r="D22" s="6">
        <f>IFERROR(__xludf.DUMMYFUNCTION("""COMPUTED_VALUE"""),97.8)</f>
        <v>97.8</v>
      </c>
      <c r="E22" s="6">
        <f>IFERROR(__xludf.DUMMYFUNCTION("""COMPUTED_VALUE"""),104.5)</f>
        <v>104.5</v>
      </c>
      <c r="F22" s="6">
        <f>IFERROR(__xludf.DUMMYFUNCTION("""COMPUTED_VALUE"""),2.60603321E8)</f>
        <v>260603321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IFERROR(__xludf.DUMMYFUNCTION("""COMPUTED_VALUE"""),107.5)</f>
        <v>107.5</v>
      </c>
      <c r="C23" s="6">
        <f>IFERROR(__xludf.DUMMYFUNCTION("""COMPUTED_VALUE"""),128.25)</f>
        <v>128.25</v>
      </c>
      <c r="D23" s="6">
        <f>IFERROR(__xludf.DUMMYFUNCTION("""COMPUTED_VALUE"""),105.45)</f>
        <v>105.45</v>
      </c>
      <c r="E23" s="6">
        <f>IFERROR(__xludf.DUMMYFUNCTION("""COMPUTED_VALUE"""),125.4)</f>
        <v>125.4</v>
      </c>
      <c r="F23" s="6">
        <f>IFERROR(__xludf.DUMMYFUNCTION("""COMPUTED_VALUE"""),5.99143944E8)</f>
        <v>599143944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IFERROR(__xludf.DUMMYFUNCTION("""COMPUTED_VALUE"""),125.9)</f>
        <v>125.9</v>
      </c>
      <c r="C24" s="6">
        <f>IFERROR(__xludf.DUMMYFUNCTION("""COMPUTED_VALUE"""),127.25)</f>
        <v>127.25</v>
      </c>
      <c r="D24" s="6">
        <f>IFERROR(__xludf.DUMMYFUNCTION("""COMPUTED_VALUE"""),117.8)</f>
        <v>117.8</v>
      </c>
      <c r="E24" s="6">
        <f>IFERROR(__xludf.DUMMYFUNCTION("""COMPUTED_VALUE"""),123.9)</f>
        <v>123.9</v>
      </c>
      <c r="F24" s="6">
        <f>IFERROR(__xludf.DUMMYFUNCTION("""COMPUTED_VALUE"""),3.64482032E8)</f>
        <v>364482032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IFERROR(__xludf.DUMMYFUNCTION("""COMPUTED_VALUE"""),124.85)</f>
        <v>124.85</v>
      </c>
      <c r="C25" s="6">
        <f>IFERROR(__xludf.DUMMYFUNCTION("""COMPUTED_VALUE"""),132.6)</f>
        <v>132.6</v>
      </c>
      <c r="D25" s="6">
        <f>IFERROR(__xludf.DUMMYFUNCTION("""COMPUTED_VALUE"""),115.7)</f>
        <v>115.7</v>
      </c>
      <c r="E25" s="6">
        <f>IFERROR(__xludf.DUMMYFUNCTION("""COMPUTED_VALUE"""),130.15)</f>
        <v>130.15</v>
      </c>
      <c r="F25" s="6">
        <f>IFERROR(__xludf.DUMMYFUNCTION("""COMPUTED_VALUE"""),4.12884342E8)</f>
        <v>412884342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IFERROR(__xludf.DUMMYFUNCTION("""COMPUTED_VALUE"""),130.9)</f>
        <v>130.9</v>
      </c>
      <c r="C26" s="6">
        <f>IFERROR(__xludf.DUMMYFUNCTION("""COMPUTED_VALUE"""),131.3)</f>
        <v>131.3</v>
      </c>
      <c r="D26" s="6">
        <f>IFERROR(__xludf.DUMMYFUNCTION("""COMPUTED_VALUE"""),125.65)</f>
        <v>125.65</v>
      </c>
      <c r="E26" s="6">
        <f>IFERROR(__xludf.DUMMYFUNCTION("""COMPUTED_VALUE"""),127.95)</f>
        <v>127.95</v>
      </c>
      <c r="F26" s="6">
        <f>IFERROR(__xludf.DUMMYFUNCTION("""COMPUTED_VALUE"""),2.21187224E8)</f>
        <v>221187224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IFERROR(__xludf.DUMMYFUNCTION("""COMPUTED_VALUE"""),126.45)</f>
        <v>126.45</v>
      </c>
      <c r="C27" s="6">
        <f>IFERROR(__xludf.DUMMYFUNCTION("""COMPUTED_VALUE"""),131.65)</f>
        <v>131.65</v>
      </c>
      <c r="D27" s="6">
        <f>IFERROR(__xludf.DUMMYFUNCTION("""COMPUTED_VALUE"""),124.75)</f>
        <v>124.75</v>
      </c>
      <c r="E27" s="6">
        <f>IFERROR(__xludf.DUMMYFUNCTION("""COMPUTED_VALUE"""),129.85)</f>
        <v>129.85</v>
      </c>
      <c r="F27" s="6">
        <f>IFERROR(__xludf.DUMMYFUNCTION("""COMPUTED_VALUE"""),2.25650526E8)</f>
        <v>225650526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IFERROR(__xludf.DUMMYFUNCTION("""COMPUTED_VALUE"""),130.4)</f>
        <v>130.4</v>
      </c>
      <c r="C28" s="6">
        <f>IFERROR(__xludf.DUMMYFUNCTION("""COMPUTED_VALUE"""),132.95)</f>
        <v>132.95</v>
      </c>
      <c r="D28" s="6">
        <f>IFERROR(__xludf.DUMMYFUNCTION("""COMPUTED_VALUE"""),114.9)</f>
        <v>114.9</v>
      </c>
      <c r="E28" s="6">
        <f>IFERROR(__xludf.DUMMYFUNCTION("""COMPUTED_VALUE"""),117.75)</f>
        <v>117.75</v>
      </c>
      <c r="F28" s="6">
        <f>IFERROR(__xludf.DUMMYFUNCTION("""COMPUTED_VALUE"""),2.84648971E8)</f>
        <v>284648971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IFERROR(__xludf.DUMMYFUNCTION("""COMPUTED_VALUE"""),117.95)</f>
        <v>117.95</v>
      </c>
      <c r="C29" s="6">
        <f>IFERROR(__xludf.DUMMYFUNCTION("""COMPUTED_VALUE"""),123.3)</f>
        <v>123.3</v>
      </c>
      <c r="D29" s="6">
        <f>IFERROR(__xludf.DUMMYFUNCTION("""COMPUTED_VALUE"""),114.15)</f>
        <v>114.15</v>
      </c>
      <c r="E29" s="6">
        <f>IFERROR(__xludf.DUMMYFUNCTION("""COMPUTED_VALUE"""),122.75)</f>
        <v>122.75</v>
      </c>
      <c r="F29" s="6">
        <f>IFERROR(__xludf.DUMMYFUNCTION("""COMPUTED_VALUE"""),1.81935028E8)</f>
        <v>181935028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IFERROR(__xludf.DUMMYFUNCTION("""COMPUTED_VALUE"""),122.8)</f>
        <v>122.8</v>
      </c>
      <c r="C30" s="6">
        <f>IFERROR(__xludf.DUMMYFUNCTION("""COMPUTED_VALUE"""),125.15)</f>
        <v>125.15</v>
      </c>
      <c r="D30" s="6">
        <f>IFERROR(__xludf.DUMMYFUNCTION("""COMPUTED_VALUE"""),122.15)</f>
        <v>122.15</v>
      </c>
      <c r="E30" s="6">
        <f>IFERROR(__xludf.DUMMYFUNCTION("""COMPUTED_VALUE"""),124.4)</f>
        <v>124.4</v>
      </c>
      <c r="F30" s="6">
        <f>IFERROR(__xludf.DUMMYFUNCTION("""COMPUTED_VALUE"""),1.02986761E8)</f>
        <v>102986761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IFERROR(__xludf.DUMMYFUNCTION("""COMPUTED_VALUE"""),125.45)</f>
        <v>125.45</v>
      </c>
      <c r="C31" s="6">
        <f>IFERROR(__xludf.DUMMYFUNCTION("""COMPUTED_VALUE"""),137.5)</f>
        <v>137.5</v>
      </c>
      <c r="D31" s="6">
        <f>IFERROR(__xludf.DUMMYFUNCTION("""COMPUTED_VALUE"""),124.9)</f>
        <v>124.9</v>
      </c>
      <c r="E31" s="6">
        <f>IFERROR(__xludf.DUMMYFUNCTION("""COMPUTED_VALUE"""),136.55)</f>
        <v>136.55</v>
      </c>
      <c r="F31" s="6">
        <f>IFERROR(__xludf.DUMMYFUNCTION("""COMPUTED_VALUE"""),2.80151768E8)</f>
        <v>280151768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IFERROR(__xludf.DUMMYFUNCTION("""COMPUTED_VALUE"""),136.5)</f>
        <v>136.5</v>
      </c>
      <c r="C32" s="6">
        <f>IFERROR(__xludf.DUMMYFUNCTION("""COMPUTED_VALUE"""),138.3)</f>
        <v>138.3</v>
      </c>
      <c r="D32" s="6">
        <f>IFERROR(__xludf.DUMMYFUNCTION("""COMPUTED_VALUE"""),131.25)</f>
        <v>131.25</v>
      </c>
      <c r="E32" s="6">
        <f>IFERROR(__xludf.DUMMYFUNCTION("""COMPUTED_VALUE"""),134.85)</f>
        <v>134.85</v>
      </c>
      <c r="F32" s="6">
        <f>IFERROR(__xludf.DUMMYFUNCTION("""COMPUTED_VALUE"""),1.57057971E8)</f>
        <v>157057971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IFERROR(__xludf.DUMMYFUNCTION("""COMPUTED_VALUE"""),132.2)</f>
        <v>132.2</v>
      </c>
      <c r="C33" s="6">
        <f>IFERROR(__xludf.DUMMYFUNCTION("""COMPUTED_VALUE"""),135.35)</f>
        <v>135.35</v>
      </c>
      <c r="D33" s="6">
        <f>IFERROR(__xludf.DUMMYFUNCTION("""COMPUTED_VALUE"""),125.25)</f>
        <v>125.25</v>
      </c>
      <c r="E33" s="6">
        <f>IFERROR(__xludf.DUMMYFUNCTION("""COMPUTED_VALUE"""),128.25)</f>
        <v>128.25</v>
      </c>
      <c r="F33" s="6">
        <f>IFERROR(__xludf.DUMMYFUNCTION("""COMPUTED_VALUE"""),1.63749091E8)</f>
        <v>163749091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IFERROR(__xludf.DUMMYFUNCTION("""COMPUTED_VALUE"""),130.8)</f>
        <v>130.8</v>
      </c>
      <c r="C34" s="6">
        <f>IFERROR(__xludf.DUMMYFUNCTION("""COMPUTED_VALUE"""),138.1)</f>
        <v>138.1</v>
      </c>
      <c r="D34" s="6">
        <f>IFERROR(__xludf.DUMMYFUNCTION("""COMPUTED_VALUE"""),129.85)</f>
        <v>129.85</v>
      </c>
      <c r="E34" s="6">
        <f>IFERROR(__xludf.DUMMYFUNCTION("""COMPUTED_VALUE"""),136.45)</f>
        <v>136.45</v>
      </c>
      <c r="F34" s="6">
        <f>IFERROR(__xludf.DUMMYFUNCTION("""COMPUTED_VALUE"""),1.76753868E8)</f>
        <v>176753868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IFERROR(__xludf.DUMMYFUNCTION("""COMPUTED_VALUE"""),137.5)</f>
        <v>137.5</v>
      </c>
      <c r="C35" s="6">
        <f>IFERROR(__xludf.DUMMYFUNCTION("""COMPUTED_VALUE"""),142.9)</f>
        <v>142.9</v>
      </c>
      <c r="D35" s="6">
        <f>IFERROR(__xludf.DUMMYFUNCTION("""COMPUTED_VALUE"""),134.25)</f>
        <v>134.25</v>
      </c>
      <c r="E35" s="6">
        <f>IFERROR(__xludf.DUMMYFUNCTION("""COMPUTED_VALUE"""),135.8)</f>
        <v>135.8</v>
      </c>
      <c r="F35" s="6">
        <f>IFERROR(__xludf.DUMMYFUNCTION("""COMPUTED_VALUE"""),2.66322477E8)</f>
        <v>266322477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IFERROR(__xludf.DUMMYFUNCTION("""COMPUTED_VALUE"""),136.9)</f>
        <v>136.9</v>
      </c>
      <c r="C36" s="6">
        <f>IFERROR(__xludf.DUMMYFUNCTION("""COMPUTED_VALUE"""),136.9)</f>
        <v>136.9</v>
      </c>
      <c r="D36" s="6">
        <f>IFERROR(__xludf.DUMMYFUNCTION("""COMPUTED_VALUE"""),120.5)</f>
        <v>120.5</v>
      </c>
      <c r="E36" s="6">
        <f>IFERROR(__xludf.DUMMYFUNCTION("""COMPUTED_VALUE"""),123.9)</f>
        <v>123.9</v>
      </c>
      <c r="F36" s="6">
        <f>IFERROR(__xludf.DUMMYFUNCTION("""COMPUTED_VALUE"""),4.29428873E8)</f>
        <v>429428873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IFERROR(__xludf.DUMMYFUNCTION("""COMPUTED_VALUE"""),126.4)</f>
        <v>126.4</v>
      </c>
      <c r="C37" s="6">
        <f>IFERROR(__xludf.DUMMYFUNCTION("""COMPUTED_VALUE"""),128.0)</f>
        <v>128</v>
      </c>
      <c r="D37" s="6">
        <f>IFERROR(__xludf.DUMMYFUNCTION("""COMPUTED_VALUE"""),123.5)</f>
        <v>123.5</v>
      </c>
      <c r="E37" s="6">
        <f>IFERROR(__xludf.DUMMYFUNCTION("""COMPUTED_VALUE"""),126.45)</f>
        <v>126.45</v>
      </c>
      <c r="F37" s="6">
        <f>IFERROR(__xludf.DUMMYFUNCTION("""COMPUTED_VALUE"""),1.08613336E8)</f>
        <v>108613336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IFERROR(__xludf.DUMMYFUNCTION("""COMPUTED_VALUE"""),126.25)</f>
        <v>126.25</v>
      </c>
      <c r="C38" s="6">
        <f>IFERROR(__xludf.DUMMYFUNCTION("""COMPUTED_VALUE"""),131.55)</f>
        <v>131.55</v>
      </c>
      <c r="D38" s="6">
        <f>IFERROR(__xludf.DUMMYFUNCTION("""COMPUTED_VALUE"""),125.9)</f>
        <v>125.9</v>
      </c>
      <c r="E38" s="6">
        <f>IFERROR(__xludf.DUMMYFUNCTION("""COMPUTED_VALUE"""),129.45)</f>
        <v>129.45</v>
      </c>
      <c r="F38" s="6">
        <f>IFERROR(__xludf.DUMMYFUNCTION("""COMPUTED_VALUE"""),2.50364013E8)</f>
        <v>250364013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IFERROR(__xludf.DUMMYFUNCTION("""COMPUTED_VALUE"""),135.0)</f>
        <v>135</v>
      </c>
      <c r="C39" s="6">
        <f>IFERROR(__xludf.DUMMYFUNCTION("""COMPUTED_VALUE"""),138.6)</f>
        <v>138.6</v>
      </c>
      <c r="D39" s="6">
        <f>IFERROR(__xludf.DUMMYFUNCTION("""COMPUTED_VALUE"""),104.2)</f>
        <v>104.2</v>
      </c>
      <c r="E39" s="6">
        <f>IFERROR(__xludf.DUMMYFUNCTION("""COMPUTED_VALUE"""),125.1)</f>
        <v>125.1</v>
      </c>
      <c r="F39" s="6">
        <f>IFERROR(__xludf.DUMMYFUNCTION("""COMPUTED_VALUE"""),4.58261323E8)</f>
        <v>458261323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IFERROR(__xludf.DUMMYFUNCTION("""COMPUTED_VALUE"""),125.85)</f>
        <v>125.85</v>
      </c>
      <c r="C40" s="6">
        <f>IFERROR(__xludf.DUMMYFUNCTION("""COMPUTED_VALUE"""),129.55)</f>
        <v>129.55</v>
      </c>
      <c r="D40" s="6">
        <f>IFERROR(__xludf.DUMMYFUNCTION("""COMPUTED_VALUE"""),125.0)</f>
        <v>125</v>
      </c>
      <c r="E40" s="6">
        <f>IFERROR(__xludf.DUMMYFUNCTION("""COMPUTED_VALUE"""),128.94)</f>
        <v>128.94</v>
      </c>
      <c r="F40" s="6">
        <f>IFERROR(__xludf.DUMMYFUNCTION("""COMPUTED_VALUE"""),1.50897146E8)</f>
        <v>150897146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IFERROR(__xludf.DUMMYFUNCTION("""COMPUTED_VALUE"""),129.0)</f>
        <v>129</v>
      </c>
      <c r="C41" s="6">
        <f>IFERROR(__xludf.DUMMYFUNCTION("""COMPUTED_VALUE"""),130.19)</f>
        <v>130.19</v>
      </c>
      <c r="D41" s="6">
        <f>IFERROR(__xludf.DUMMYFUNCTION("""COMPUTED_VALUE"""),125.5)</f>
        <v>125.5</v>
      </c>
      <c r="E41" s="6">
        <f>IFERROR(__xludf.DUMMYFUNCTION("""COMPUTED_VALUE"""),125.8)</f>
        <v>125.8</v>
      </c>
      <c r="F41" s="6">
        <f>IFERROR(__xludf.DUMMYFUNCTION("""COMPUTED_VALUE"""),1.27800288E8)</f>
        <v>127800288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IFERROR(__xludf.DUMMYFUNCTION("""COMPUTED_VALUE"""),125.7)</f>
        <v>125.7</v>
      </c>
      <c r="C42" s="6">
        <f>IFERROR(__xludf.DUMMYFUNCTION("""COMPUTED_VALUE"""),126.68)</f>
        <v>126.68</v>
      </c>
      <c r="D42" s="6">
        <f>IFERROR(__xludf.DUMMYFUNCTION("""COMPUTED_VALUE"""),117.81)</f>
        <v>117.81</v>
      </c>
      <c r="E42" s="6">
        <f>IFERROR(__xludf.DUMMYFUNCTION("""COMPUTED_VALUE"""),123.26)</f>
        <v>123.26</v>
      </c>
      <c r="F42" s="6">
        <f>IFERROR(__xludf.DUMMYFUNCTION("""COMPUTED_VALUE"""),3.43840145E8)</f>
        <v>343840145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IFERROR(__xludf.DUMMYFUNCTION("""COMPUTED_VALUE"""),123.15)</f>
        <v>123.15</v>
      </c>
      <c r="C43" s="6">
        <f>IFERROR(__xludf.DUMMYFUNCTION("""COMPUTED_VALUE"""),123.95)</f>
        <v>123.95</v>
      </c>
      <c r="D43" s="6">
        <f>IFERROR(__xludf.DUMMYFUNCTION("""COMPUTED_VALUE"""),119.9)</f>
        <v>119.9</v>
      </c>
      <c r="E43" s="6">
        <f>IFERROR(__xludf.DUMMYFUNCTION("""COMPUTED_VALUE"""),122.8)</f>
        <v>122.8</v>
      </c>
      <c r="F43" s="6">
        <f>IFERROR(__xludf.DUMMYFUNCTION("""COMPUTED_VALUE"""),1.76500039E8)</f>
        <v>176500039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IFERROR(__xludf.DUMMYFUNCTION("""COMPUTED_VALUE"""),122.65)</f>
        <v>122.65</v>
      </c>
      <c r="C44" s="6">
        <f>IFERROR(__xludf.DUMMYFUNCTION("""COMPUTED_VALUE"""),124.14)</f>
        <v>124.14</v>
      </c>
      <c r="D44" s="6">
        <f>IFERROR(__xludf.DUMMYFUNCTION("""COMPUTED_VALUE"""),117.5)</f>
        <v>117.5</v>
      </c>
      <c r="E44" s="6">
        <f>IFERROR(__xludf.DUMMYFUNCTION("""COMPUTED_VALUE"""),117.74)</f>
        <v>117.74</v>
      </c>
      <c r="F44" s="6">
        <f>IFERROR(__xludf.DUMMYFUNCTION("""COMPUTED_VALUE"""),1.55376885E8)</f>
        <v>155376885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IFERROR(__xludf.DUMMYFUNCTION("""COMPUTED_VALUE"""),118.1)</f>
        <v>118.1</v>
      </c>
      <c r="C45" s="6">
        <f>IFERROR(__xludf.DUMMYFUNCTION("""COMPUTED_VALUE"""),122.15)</f>
        <v>122.15</v>
      </c>
      <c r="D45" s="6">
        <f>IFERROR(__xludf.DUMMYFUNCTION("""COMPUTED_VALUE"""),116.2)</f>
        <v>116.2</v>
      </c>
      <c r="E45" s="6">
        <f>IFERROR(__xludf.DUMMYFUNCTION("""COMPUTED_VALUE"""),116.51)</f>
        <v>116.51</v>
      </c>
      <c r="F45" s="6">
        <f>IFERROR(__xludf.DUMMYFUNCTION("""COMPUTED_VALUE"""),1.16051483E8)</f>
        <v>116051483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IFERROR(__xludf.DUMMYFUNCTION("""COMPUTED_VALUE"""),116.4)</f>
        <v>116.4</v>
      </c>
      <c r="C46" s="6">
        <f>IFERROR(__xludf.DUMMYFUNCTION("""COMPUTED_VALUE"""),120.3)</f>
        <v>120.3</v>
      </c>
      <c r="D46" s="6">
        <f>IFERROR(__xludf.DUMMYFUNCTION("""COMPUTED_VALUE"""),112.52)</f>
        <v>112.52</v>
      </c>
      <c r="E46" s="6">
        <f>IFERROR(__xludf.DUMMYFUNCTION("""COMPUTED_VALUE"""),119.95)</f>
        <v>119.95</v>
      </c>
      <c r="F46" s="6">
        <f>IFERROR(__xludf.DUMMYFUNCTION("""COMPUTED_VALUE"""),1.36615447E8)</f>
        <v>136615447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IFERROR(__xludf.DUMMYFUNCTION("""COMPUTED_VALUE"""),124.86)</f>
        <v>124.86</v>
      </c>
      <c r="C47" s="6">
        <f>IFERROR(__xludf.DUMMYFUNCTION("""COMPUTED_VALUE"""),128.8)</f>
        <v>128.8</v>
      </c>
      <c r="D47" s="6">
        <f>IFERROR(__xludf.DUMMYFUNCTION("""COMPUTED_VALUE"""),119.56)</f>
        <v>119.56</v>
      </c>
      <c r="E47" s="6">
        <f>IFERROR(__xludf.DUMMYFUNCTION("""COMPUTED_VALUE"""),120.26)</f>
        <v>120.26</v>
      </c>
      <c r="F47" s="6">
        <f>IFERROR(__xludf.DUMMYFUNCTION("""COMPUTED_VALUE"""),2.77834512E8)</f>
        <v>277834512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IFERROR(__xludf.DUMMYFUNCTION("""COMPUTED_VALUE"""),117.97)</f>
        <v>117.97</v>
      </c>
      <c r="C48" s="6">
        <f>IFERROR(__xludf.DUMMYFUNCTION("""COMPUTED_VALUE"""),117.97)</f>
        <v>117.97</v>
      </c>
      <c r="D48" s="6">
        <f>IFERROR(__xludf.DUMMYFUNCTION("""COMPUTED_VALUE"""),113.2)</f>
        <v>113.2</v>
      </c>
      <c r="E48" s="6">
        <f>IFERROR(__xludf.DUMMYFUNCTION("""COMPUTED_VALUE"""),115.27)</f>
        <v>115.27</v>
      </c>
      <c r="F48" s="6">
        <f>IFERROR(__xludf.DUMMYFUNCTION("""COMPUTED_VALUE"""),1.57512918E8)</f>
        <v>157512918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IFERROR(__xludf.DUMMYFUNCTION("""COMPUTED_VALUE"""),114.95)</f>
        <v>114.95</v>
      </c>
      <c r="C49" s="6">
        <f>IFERROR(__xludf.DUMMYFUNCTION("""COMPUTED_VALUE"""),115.99)</f>
        <v>115.99</v>
      </c>
      <c r="D49" s="6">
        <f>IFERROR(__xludf.DUMMYFUNCTION("""COMPUTED_VALUE"""),111.9)</f>
        <v>111.9</v>
      </c>
      <c r="E49" s="6">
        <f>IFERROR(__xludf.DUMMYFUNCTION("""COMPUTED_VALUE"""),113.04)</f>
        <v>113.04</v>
      </c>
      <c r="F49" s="6">
        <f>IFERROR(__xludf.DUMMYFUNCTION("""COMPUTED_VALUE"""),8.1249721E7)</f>
        <v>81249721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IFERROR(__xludf.DUMMYFUNCTION("""COMPUTED_VALUE"""),114.34)</f>
        <v>114.34</v>
      </c>
      <c r="C50" s="6">
        <f>IFERROR(__xludf.DUMMYFUNCTION("""COMPUTED_VALUE"""),117.98)</f>
        <v>117.98</v>
      </c>
      <c r="D50" s="6">
        <f>IFERROR(__xludf.DUMMYFUNCTION("""COMPUTED_VALUE"""),113.85)</f>
        <v>113.85</v>
      </c>
      <c r="E50" s="6">
        <f>IFERROR(__xludf.DUMMYFUNCTION("""COMPUTED_VALUE"""),116.27)</f>
        <v>116.27</v>
      </c>
      <c r="F50" s="6">
        <f>IFERROR(__xludf.DUMMYFUNCTION("""COMPUTED_VALUE"""),1.01182184E8)</f>
        <v>101182184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IFERROR(__xludf.DUMMYFUNCTION("""COMPUTED_VALUE"""),116.32)</f>
        <v>116.32</v>
      </c>
      <c r="C51" s="6">
        <f>IFERROR(__xludf.DUMMYFUNCTION("""COMPUTED_VALUE"""),117.55)</f>
        <v>117.55</v>
      </c>
      <c r="D51" s="6">
        <f>IFERROR(__xludf.DUMMYFUNCTION("""COMPUTED_VALUE"""),114.5)</f>
        <v>114.5</v>
      </c>
      <c r="E51" s="6">
        <f>IFERROR(__xludf.DUMMYFUNCTION("""COMPUTED_VALUE"""),116.57)</f>
        <v>116.57</v>
      </c>
      <c r="F51" s="6">
        <f>IFERROR(__xludf.DUMMYFUNCTION("""COMPUTED_VALUE"""),7.6759362E7)</f>
        <v>76759362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IFERROR(__xludf.DUMMYFUNCTION("""COMPUTED_VALUE"""),116.94)</f>
        <v>116.94</v>
      </c>
      <c r="C52" s="6">
        <f>IFERROR(__xludf.DUMMYFUNCTION("""COMPUTED_VALUE"""),117.49)</f>
        <v>117.49</v>
      </c>
      <c r="D52" s="6">
        <f>IFERROR(__xludf.DUMMYFUNCTION("""COMPUTED_VALUE"""),109.75)</f>
        <v>109.75</v>
      </c>
      <c r="E52" s="6">
        <f>IFERROR(__xludf.DUMMYFUNCTION("""COMPUTED_VALUE"""),110.0)</f>
        <v>110</v>
      </c>
      <c r="F52" s="6">
        <f>IFERROR(__xludf.DUMMYFUNCTION("""COMPUTED_VALUE"""),9.868601E7)</f>
        <v>98686010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IFERROR(__xludf.DUMMYFUNCTION("""COMPUTED_VALUE"""),109.4)</f>
        <v>109.4</v>
      </c>
      <c r="C53" s="6">
        <f>IFERROR(__xludf.DUMMYFUNCTION("""COMPUTED_VALUE"""),112.6)</f>
        <v>112.6</v>
      </c>
      <c r="D53" s="6">
        <f>IFERROR(__xludf.DUMMYFUNCTION("""COMPUTED_VALUE"""),106.85)</f>
        <v>106.85</v>
      </c>
      <c r="E53" s="6">
        <f>IFERROR(__xludf.DUMMYFUNCTION("""COMPUTED_VALUE"""),111.11)</f>
        <v>111.11</v>
      </c>
      <c r="F53" s="6">
        <f>IFERROR(__xludf.DUMMYFUNCTION("""COMPUTED_VALUE"""),1.12093306E8)</f>
        <v>112093306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IFERROR(__xludf.DUMMYFUNCTION("""COMPUTED_VALUE"""),111.3)</f>
        <v>111.3</v>
      </c>
      <c r="C54" s="6">
        <f>IFERROR(__xludf.DUMMYFUNCTION("""COMPUTED_VALUE"""),112.2)</f>
        <v>112.2</v>
      </c>
      <c r="D54" s="6">
        <f>IFERROR(__xludf.DUMMYFUNCTION("""COMPUTED_VALUE"""),105.6)</f>
        <v>105.6</v>
      </c>
      <c r="E54" s="6">
        <f>IFERROR(__xludf.DUMMYFUNCTION("""COMPUTED_VALUE"""),108.41)</f>
        <v>108.41</v>
      </c>
      <c r="F54" s="6">
        <f>IFERROR(__xludf.DUMMYFUNCTION("""COMPUTED_VALUE"""),1.00533357E8)</f>
        <v>100533357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IFERROR(__xludf.DUMMYFUNCTION("""COMPUTED_VALUE"""),108.59)</f>
        <v>108.59</v>
      </c>
      <c r="C55" s="6">
        <f>IFERROR(__xludf.DUMMYFUNCTION("""COMPUTED_VALUE"""),111.9)</f>
        <v>111.9</v>
      </c>
      <c r="D55" s="6">
        <f>IFERROR(__xludf.DUMMYFUNCTION("""COMPUTED_VALUE"""),103.62)</f>
        <v>103.62</v>
      </c>
      <c r="E55" s="6">
        <f>IFERROR(__xludf.DUMMYFUNCTION("""COMPUTED_VALUE"""),109.22)</f>
        <v>109.22</v>
      </c>
      <c r="F55" s="6">
        <f>IFERROR(__xludf.DUMMYFUNCTION("""COMPUTED_VALUE"""),2.60613262E8)</f>
        <v>260613262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IFERROR(__xludf.DUMMYFUNCTION("""COMPUTED_VALUE"""),108.89)</f>
        <v>108.89</v>
      </c>
      <c r="C56" s="6">
        <f>IFERROR(__xludf.DUMMYFUNCTION("""COMPUTED_VALUE"""),109.26)</f>
        <v>109.26</v>
      </c>
      <c r="D56" s="6">
        <f>IFERROR(__xludf.DUMMYFUNCTION("""COMPUTED_VALUE"""),103.0)</f>
        <v>103</v>
      </c>
      <c r="E56" s="6">
        <f>IFERROR(__xludf.DUMMYFUNCTION("""COMPUTED_VALUE"""),105.85)</f>
        <v>105.85</v>
      </c>
      <c r="F56" s="6">
        <f>IFERROR(__xludf.DUMMYFUNCTION("""COMPUTED_VALUE"""),3.29971259E8)</f>
        <v>329971259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IFERROR(__xludf.DUMMYFUNCTION("""COMPUTED_VALUE"""),106.16)</f>
        <v>106.16</v>
      </c>
      <c r="C57" s="6">
        <f>IFERROR(__xludf.DUMMYFUNCTION("""COMPUTED_VALUE"""),107.4)</f>
        <v>107.4</v>
      </c>
      <c r="D57" s="6">
        <f>IFERROR(__xludf.DUMMYFUNCTION("""COMPUTED_VALUE"""),100.8)</f>
        <v>100.8</v>
      </c>
      <c r="E57" s="6">
        <f>IFERROR(__xludf.DUMMYFUNCTION("""COMPUTED_VALUE"""),104.91)</f>
        <v>104.91</v>
      </c>
      <c r="F57" s="6">
        <f>IFERROR(__xludf.DUMMYFUNCTION("""COMPUTED_VALUE"""),1.90344944E8)</f>
        <v>190344944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IFERROR(__xludf.DUMMYFUNCTION("""COMPUTED_VALUE"""),105.0)</f>
        <v>105</v>
      </c>
      <c r="C58" s="6">
        <f>IFERROR(__xludf.DUMMYFUNCTION("""COMPUTED_VALUE"""),105.7)</f>
        <v>105.7</v>
      </c>
      <c r="D58" s="6">
        <f>IFERROR(__xludf.DUMMYFUNCTION("""COMPUTED_VALUE"""),102.02)</f>
        <v>102.02</v>
      </c>
      <c r="E58" s="6">
        <f>IFERROR(__xludf.DUMMYFUNCTION("""COMPUTED_VALUE"""),103.27)</f>
        <v>103.27</v>
      </c>
      <c r="F58" s="6">
        <f>IFERROR(__xludf.DUMMYFUNCTION("""COMPUTED_VALUE"""),8.1689892E7)</f>
        <v>81689892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IFERROR(__xludf.DUMMYFUNCTION("""COMPUTED_VALUE"""),103.28)</f>
        <v>103.28</v>
      </c>
      <c r="C59" s="6">
        <f>IFERROR(__xludf.DUMMYFUNCTION("""COMPUTED_VALUE"""),104.45)</f>
        <v>104.45</v>
      </c>
      <c r="D59" s="6">
        <f>IFERROR(__xludf.DUMMYFUNCTION("""COMPUTED_VALUE"""),92.4)</f>
        <v>92.4</v>
      </c>
      <c r="E59" s="6">
        <f>IFERROR(__xludf.DUMMYFUNCTION("""COMPUTED_VALUE"""),95.72)</f>
        <v>95.72</v>
      </c>
      <c r="F59" s="6">
        <f>IFERROR(__xludf.DUMMYFUNCTION("""COMPUTED_VALUE"""),2.02121604E8)</f>
        <v>202121604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IFERROR(__xludf.DUMMYFUNCTION("""COMPUTED_VALUE"""),100.79)</f>
        <v>100.79</v>
      </c>
      <c r="C60" s="6">
        <f>IFERROR(__xludf.DUMMYFUNCTION("""COMPUTED_VALUE"""),107.9)</f>
        <v>107.9</v>
      </c>
      <c r="D60" s="6">
        <f>IFERROR(__xludf.DUMMYFUNCTION("""COMPUTED_VALUE"""),99.15)</f>
        <v>99.15</v>
      </c>
      <c r="E60" s="6">
        <f>IFERROR(__xludf.DUMMYFUNCTION("""COMPUTED_VALUE"""),104.79)</f>
        <v>104.79</v>
      </c>
      <c r="F60" s="6">
        <f>IFERROR(__xludf.DUMMYFUNCTION("""COMPUTED_VALUE"""),3.45623964E8)</f>
        <v>345623964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IFERROR(__xludf.DUMMYFUNCTION("""COMPUTED_VALUE"""),103.61)</f>
        <v>103.61</v>
      </c>
      <c r="C61" s="6">
        <f>IFERROR(__xludf.DUMMYFUNCTION("""COMPUTED_VALUE"""),106.34)</f>
        <v>106.34</v>
      </c>
      <c r="D61" s="6">
        <f>IFERROR(__xludf.DUMMYFUNCTION("""COMPUTED_VALUE"""),99.3)</f>
        <v>99.3</v>
      </c>
      <c r="E61" s="6">
        <f>IFERROR(__xludf.DUMMYFUNCTION("""COMPUTED_VALUE"""),99.49)</f>
        <v>99.49</v>
      </c>
      <c r="F61" s="6">
        <f>IFERROR(__xludf.DUMMYFUNCTION("""COMPUTED_VALUE"""),1.20646192E8)</f>
        <v>120646192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IFERROR(__xludf.DUMMYFUNCTION("""COMPUTED_VALUE"""),100.7)</f>
        <v>100.7</v>
      </c>
      <c r="C62" s="6">
        <f>IFERROR(__xludf.DUMMYFUNCTION("""COMPUTED_VALUE"""),103.72)</f>
        <v>103.72</v>
      </c>
      <c r="D62" s="6">
        <f>IFERROR(__xludf.DUMMYFUNCTION("""COMPUTED_VALUE"""),94.81)</f>
        <v>94.81</v>
      </c>
      <c r="E62" s="6">
        <f>IFERROR(__xludf.DUMMYFUNCTION("""COMPUTED_VALUE"""),99.82)</f>
        <v>99.82</v>
      </c>
      <c r="F62" s="6">
        <f>IFERROR(__xludf.DUMMYFUNCTION("""COMPUTED_VALUE"""),1.5804627E8)</f>
        <v>158046270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IFERROR(__xludf.DUMMYFUNCTION("""COMPUTED_VALUE"""),103.1)</f>
        <v>103.1</v>
      </c>
      <c r="C63" s="6">
        <f>IFERROR(__xludf.DUMMYFUNCTION("""COMPUTED_VALUE"""),107.25)</f>
        <v>107.25</v>
      </c>
      <c r="D63" s="6">
        <f>IFERROR(__xludf.DUMMYFUNCTION("""COMPUTED_VALUE"""),102.99)</f>
        <v>102.99</v>
      </c>
      <c r="E63" s="6">
        <f>IFERROR(__xludf.DUMMYFUNCTION("""COMPUTED_VALUE"""),104.9)</f>
        <v>104.9</v>
      </c>
      <c r="F63" s="6">
        <f>IFERROR(__xludf.DUMMYFUNCTION("""COMPUTED_VALUE"""),1.65281007E8)</f>
        <v>165281007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IFERROR(__xludf.DUMMYFUNCTION("""COMPUTED_VALUE"""),104.74)</f>
        <v>104.74</v>
      </c>
      <c r="C64" s="6">
        <f>IFERROR(__xludf.DUMMYFUNCTION("""COMPUTED_VALUE"""),111.13)</f>
        <v>111.13</v>
      </c>
      <c r="D64" s="6">
        <f>IFERROR(__xludf.DUMMYFUNCTION("""COMPUTED_VALUE"""),104.07)</f>
        <v>104.07</v>
      </c>
      <c r="E64" s="6">
        <f>IFERROR(__xludf.DUMMYFUNCTION("""COMPUTED_VALUE"""),110.1)</f>
        <v>110.1</v>
      </c>
      <c r="F64" s="6">
        <f>IFERROR(__xludf.DUMMYFUNCTION("""COMPUTED_VALUE"""),1.74370262E8)</f>
        <v>174370262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IFERROR(__xludf.DUMMYFUNCTION("""COMPUTED_VALUE"""),110.1)</f>
        <v>110.1</v>
      </c>
      <c r="C65" s="6">
        <f>IFERROR(__xludf.DUMMYFUNCTION("""COMPUTED_VALUE"""),111.04)</f>
        <v>111.04</v>
      </c>
      <c r="D65" s="6">
        <f>IFERROR(__xludf.DUMMYFUNCTION("""COMPUTED_VALUE"""),104.16)</f>
        <v>104.16</v>
      </c>
      <c r="E65" s="6">
        <f>IFERROR(__xludf.DUMMYFUNCTION("""COMPUTED_VALUE"""),107.73)</f>
        <v>107.73</v>
      </c>
      <c r="F65" s="6">
        <f>IFERROR(__xludf.DUMMYFUNCTION("""COMPUTED_VALUE"""),1.31688286E8)</f>
        <v>131688286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IFERROR(__xludf.DUMMYFUNCTION("""COMPUTED_VALUE"""),108.0)</f>
        <v>108</v>
      </c>
      <c r="C66" s="6">
        <f>IFERROR(__xludf.DUMMYFUNCTION("""COMPUTED_VALUE"""),108.9)</f>
        <v>108.9</v>
      </c>
      <c r="D66" s="6">
        <f>IFERROR(__xludf.DUMMYFUNCTION("""COMPUTED_VALUE"""),99.56)</f>
        <v>99.56</v>
      </c>
      <c r="E66" s="6">
        <f>IFERROR(__xludf.DUMMYFUNCTION("""COMPUTED_VALUE"""),100.77)</f>
        <v>100.77</v>
      </c>
      <c r="F66" s="6">
        <f>IFERROR(__xludf.DUMMYFUNCTION("""COMPUTED_VALUE"""),1.14296009E8)</f>
        <v>114296009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IFERROR(__xludf.DUMMYFUNCTION("""COMPUTED_VALUE"""),101.49)</f>
        <v>101.49</v>
      </c>
      <c r="C67" s="6">
        <f>IFERROR(__xludf.DUMMYFUNCTION("""COMPUTED_VALUE"""),103.29)</f>
        <v>103.29</v>
      </c>
      <c r="D67" s="6">
        <f>IFERROR(__xludf.DUMMYFUNCTION("""COMPUTED_VALUE"""),100.0)</f>
        <v>100</v>
      </c>
      <c r="E67" s="6">
        <f>IFERROR(__xludf.DUMMYFUNCTION("""COMPUTED_VALUE"""),101.44)</f>
        <v>101.44</v>
      </c>
      <c r="F67" s="6">
        <f>IFERROR(__xludf.DUMMYFUNCTION("""COMPUTED_VALUE"""),6.5336163E7)</f>
        <v>65336163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IFERROR(__xludf.DUMMYFUNCTION("""COMPUTED_VALUE"""),101.64)</f>
        <v>101.64</v>
      </c>
      <c r="C68" s="6">
        <f>IFERROR(__xludf.DUMMYFUNCTION("""COMPUTED_VALUE"""),107.25)</f>
        <v>107.25</v>
      </c>
      <c r="D68" s="6">
        <f>IFERROR(__xludf.DUMMYFUNCTION("""COMPUTED_VALUE"""),100.74)</f>
        <v>100.74</v>
      </c>
      <c r="E68" s="6">
        <f>IFERROR(__xludf.DUMMYFUNCTION("""COMPUTED_VALUE"""),106.4)</f>
        <v>106.4</v>
      </c>
      <c r="F68" s="6">
        <f>IFERROR(__xludf.DUMMYFUNCTION("""COMPUTED_VALUE"""),1.71440146E8)</f>
        <v>171440146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IFERROR(__xludf.DUMMYFUNCTION("""COMPUTED_VALUE"""),106.37)</f>
        <v>106.37</v>
      </c>
      <c r="C69" s="6">
        <f>IFERROR(__xludf.DUMMYFUNCTION("""COMPUTED_VALUE"""),106.37)</f>
        <v>106.37</v>
      </c>
      <c r="D69" s="6">
        <f>IFERROR(__xludf.DUMMYFUNCTION("""COMPUTED_VALUE"""),98.32)</f>
        <v>98.32</v>
      </c>
      <c r="E69" s="6">
        <f>IFERROR(__xludf.DUMMYFUNCTION("""COMPUTED_VALUE"""),98.64)</f>
        <v>98.64</v>
      </c>
      <c r="F69" s="6">
        <f>IFERROR(__xludf.DUMMYFUNCTION("""COMPUTED_VALUE"""),1.46231082E8)</f>
        <v>146231082</v>
      </c>
    </row>
    <row r="70">
      <c r="A70" s="7">
        <f>IFERROR(__xludf.DUMMYFUNCTION("""COMPUTED_VALUE"""),45674.64583333333)</f>
        <v>45674.64583</v>
      </c>
      <c r="B70" s="6">
        <f>IFERROR(__xludf.DUMMYFUNCTION("""COMPUTED_VALUE"""),98.0)</f>
        <v>98</v>
      </c>
      <c r="C70" s="6">
        <f>IFERROR(__xludf.DUMMYFUNCTION("""COMPUTED_VALUE"""),101.9)</f>
        <v>101.9</v>
      </c>
      <c r="D70" s="6">
        <f>IFERROR(__xludf.DUMMYFUNCTION("""COMPUTED_VALUE"""),94.65)</f>
        <v>94.65</v>
      </c>
      <c r="E70" s="6">
        <f>IFERROR(__xludf.DUMMYFUNCTION("""COMPUTED_VALUE"""),100.13)</f>
        <v>100.13</v>
      </c>
      <c r="F70" s="6">
        <f>IFERROR(__xludf.DUMMYFUNCTION("""COMPUTED_VALUE"""),1.19570507E8)</f>
        <v>119570507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IFERROR(__xludf.DUMMYFUNCTION("""COMPUTED_VALUE"""),100.8)</f>
        <v>100.8</v>
      </c>
      <c r="C71" s="6">
        <f>IFERROR(__xludf.DUMMYFUNCTION("""COMPUTED_VALUE"""),102.75)</f>
        <v>102.75</v>
      </c>
      <c r="D71" s="6">
        <f>IFERROR(__xludf.DUMMYFUNCTION("""COMPUTED_VALUE"""),96.25)</f>
        <v>96.25</v>
      </c>
      <c r="E71" s="6">
        <f>IFERROR(__xludf.DUMMYFUNCTION("""COMPUTED_VALUE"""),97.62)</f>
        <v>97.62</v>
      </c>
      <c r="F71" s="6">
        <f>IFERROR(__xludf.DUMMYFUNCTION("""COMPUTED_VALUE"""),1.30462459E8)</f>
        <v>130462459</v>
      </c>
    </row>
    <row r="72">
      <c r="A72" s="7">
        <f>IFERROR(__xludf.DUMMYFUNCTION("""COMPUTED_VALUE"""),45695.64583333333)</f>
        <v>45695.64583</v>
      </c>
      <c r="B72" s="6">
        <f>IFERROR(__xludf.DUMMYFUNCTION("""COMPUTED_VALUE"""),98.15)</f>
        <v>98.15</v>
      </c>
      <c r="C72" s="6">
        <f>IFERROR(__xludf.DUMMYFUNCTION("""COMPUTED_VALUE"""),101.2)</f>
        <v>101.2</v>
      </c>
      <c r="D72" s="6">
        <f>IFERROR(__xludf.DUMMYFUNCTION("""COMPUTED_VALUE"""),97.29)</f>
        <v>97.29</v>
      </c>
      <c r="E72" s="6">
        <f>IFERROR(__xludf.DUMMYFUNCTION("""COMPUTED_VALUE"""),99.27)</f>
        <v>99.27</v>
      </c>
      <c r="F72" s="6">
        <f>IFERROR(__xludf.DUMMYFUNCTION("""COMPUTED_VALUE"""),1.28320425E8)</f>
        <v>128320425</v>
      </c>
    </row>
    <row r="73">
      <c r="A73" s="7">
        <f>IFERROR(__xludf.DUMMYFUNCTION("""COMPUTED_VALUE"""),45702.64583333333)</f>
        <v>45702.64583</v>
      </c>
      <c r="B73" s="6">
        <f>IFERROR(__xludf.DUMMYFUNCTION("""COMPUTED_VALUE"""),99.25)</f>
        <v>99.25</v>
      </c>
      <c r="C73" s="6">
        <f>IFERROR(__xludf.DUMMYFUNCTION("""COMPUTED_VALUE"""),99.84)</f>
        <v>99.84</v>
      </c>
      <c r="D73" s="6">
        <f>IFERROR(__xludf.DUMMYFUNCTION("""COMPUTED_VALUE"""),91.01)</f>
        <v>91.01</v>
      </c>
      <c r="E73" s="6">
        <f>IFERROR(__xludf.DUMMYFUNCTION("""COMPUTED_VALUE"""),92.25)</f>
        <v>92.25</v>
      </c>
      <c r="F73" s="6">
        <f>IFERROR(__xludf.DUMMYFUNCTION("""COMPUTED_VALUE"""),1.03357954E8)</f>
        <v>103357954</v>
      </c>
    </row>
    <row r="74">
      <c r="A74" s="7">
        <f>IFERROR(__xludf.DUMMYFUNCTION("""COMPUTED_VALUE"""),45709.64583333333)</f>
        <v>45709.64583</v>
      </c>
      <c r="B74" s="6">
        <f>IFERROR(__xludf.DUMMYFUNCTION("""COMPUTED_VALUE"""),92.23)</f>
        <v>92.23</v>
      </c>
      <c r="C74" s="6">
        <f>IFERROR(__xludf.DUMMYFUNCTION("""COMPUTED_VALUE"""),96.29)</f>
        <v>96.29</v>
      </c>
      <c r="D74" s="6">
        <f>IFERROR(__xludf.DUMMYFUNCTION("""COMPUTED_VALUE"""),90.16)</f>
        <v>90.16</v>
      </c>
      <c r="E74" s="6">
        <f>IFERROR(__xludf.DUMMYFUNCTION("""COMPUTED_VALUE"""),94.25)</f>
        <v>94.25</v>
      </c>
      <c r="F74" s="6">
        <f>IFERROR(__xludf.DUMMYFUNCTION("""COMPUTED_VALUE"""),8.1761808E7)</f>
        <v>81761808</v>
      </c>
    </row>
    <row r="75">
      <c r="A75" s="7">
        <f>IFERROR(__xludf.DUMMYFUNCTION("""COMPUTED_VALUE"""),45716.64583333333)</f>
        <v>45716.64583</v>
      </c>
      <c r="B75" s="6">
        <f>IFERROR(__xludf.DUMMYFUNCTION("""COMPUTED_VALUE"""),93.5)</f>
        <v>93.5</v>
      </c>
      <c r="C75" s="6">
        <f>IFERROR(__xludf.DUMMYFUNCTION("""COMPUTED_VALUE"""),94.79)</f>
        <v>94.79</v>
      </c>
      <c r="D75" s="6">
        <f>IFERROR(__xludf.DUMMYFUNCTION("""COMPUTED_VALUE"""),87.0)</f>
        <v>87</v>
      </c>
      <c r="E75" s="6">
        <f>IFERROR(__xludf.DUMMYFUNCTION("""COMPUTED_VALUE"""),87.39)</f>
        <v>87.39</v>
      </c>
      <c r="F75" s="6">
        <f>IFERROR(__xludf.DUMMYFUNCTION("""COMPUTED_VALUE"""),9.6793936E7)</f>
        <v>96793936</v>
      </c>
    </row>
    <row r="76">
      <c r="A76" s="7">
        <f>IFERROR(__xludf.DUMMYFUNCTION("""COMPUTED_VALUE"""),45723.64583333333)</f>
        <v>45723.64583</v>
      </c>
      <c r="B76" s="6">
        <f>IFERROR(__xludf.DUMMYFUNCTION("""COMPUTED_VALUE"""),87.8)</f>
        <v>87.8</v>
      </c>
      <c r="C76" s="6">
        <f>IFERROR(__xludf.DUMMYFUNCTION("""COMPUTED_VALUE"""),92.0)</f>
        <v>92</v>
      </c>
      <c r="D76" s="6">
        <f>IFERROR(__xludf.DUMMYFUNCTION("""COMPUTED_VALUE"""),85.46)</f>
        <v>85.46</v>
      </c>
      <c r="E76" s="6">
        <f>IFERROR(__xludf.DUMMYFUNCTION("""COMPUTED_VALUE"""),91.17)</f>
        <v>91.17</v>
      </c>
      <c r="F76" s="6">
        <f>IFERROR(__xludf.DUMMYFUNCTION("""COMPUTED_VALUE"""),1.17297087E8)</f>
        <v>117297087</v>
      </c>
    </row>
    <row r="77">
      <c r="A77" s="7">
        <f>IFERROR(__xludf.DUMMYFUNCTION("""COMPUTED_VALUE"""),45729.64583333333)</f>
        <v>45729.64583</v>
      </c>
      <c r="B77" s="6">
        <f>IFERROR(__xludf.DUMMYFUNCTION("""COMPUTED_VALUE"""),91.0)</f>
        <v>91</v>
      </c>
      <c r="C77" s="6">
        <f>IFERROR(__xludf.DUMMYFUNCTION("""COMPUTED_VALUE"""),91.49)</f>
        <v>91.49</v>
      </c>
      <c r="D77" s="6">
        <f>IFERROR(__xludf.DUMMYFUNCTION("""COMPUTED_VALUE"""),85.7)</f>
        <v>85.7</v>
      </c>
      <c r="E77" s="6">
        <f>IFERROR(__xludf.DUMMYFUNCTION("""COMPUTED_VALUE"""),87.2)</f>
        <v>87.2</v>
      </c>
      <c r="F77" s="6">
        <f>IFERROR(__xludf.DUMMYFUNCTION("""COMPUTED_VALUE"""),6.7384809E7)</f>
        <v>67384809</v>
      </c>
    </row>
    <row r="78">
      <c r="A78" s="7">
        <f>IFERROR(__xludf.DUMMYFUNCTION("""COMPUTED_VALUE"""),45737.64583333333)</f>
        <v>45737.64583</v>
      </c>
      <c r="B78" s="6">
        <f>IFERROR(__xludf.DUMMYFUNCTION("""COMPUTED_VALUE"""),88.0)</f>
        <v>88</v>
      </c>
      <c r="C78" s="6">
        <f>IFERROR(__xludf.DUMMYFUNCTION("""COMPUTED_VALUE"""),93.43)</f>
        <v>93.43</v>
      </c>
      <c r="D78" s="6">
        <f>IFERROR(__xludf.DUMMYFUNCTION("""COMPUTED_VALUE"""),87.65)</f>
        <v>87.65</v>
      </c>
      <c r="E78" s="6">
        <f>IFERROR(__xludf.DUMMYFUNCTION("""COMPUTED_VALUE"""),93.14)</f>
        <v>93.14</v>
      </c>
      <c r="F78" s="6">
        <f>IFERROR(__xludf.DUMMYFUNCTION("""COMPUTED_VALUE"""),7.4992013E7)</f>
        <v>74992013</v>
      </c>
    </row>
    <row r="79">
      <c r="A79" s="7">
        <f>IFERROR(__xludf.DUMMYFUNCTION("""COMPUTED_VALUE"""),45744.64583333333)</f>
        <v>45744.64583</v>
      </c>
      <c r="B79" s="6">
        <f>IFERROR(__xludf.DUMMYFUNCTION("""COMPUTED_VALUE"""),94.2)</f>
        <v>94.2</v>
      </c>
      <c r="C79" s="6">
        <f>IFERROR(__xludf.DUMMYFUNCTION("""COMPUTED_VALUE"""),97.98)</f>
        <v>97.98</v>
      </c>
      <c r="D79" s="6">
        <f>IFERROR(__xludf.DUMMYFUNCTION("""COMPUTED_VALUE"""),91.92)</f>
        <v>91.92</v>
      </c>
      <c r="E79" s="6">
        <f>IFERROR(__xludf.DUMMYFUNCTION("""COMPUTED_VALUE"""),96.13)</f>
        <v>96.13</v>
      </c>
      <c r="F79" s="6">
        <f>IFERROR(__xludf.DUMMYFUNCTION("""COMPUTED_VALUE"""),1.4887954E8)</f>
        <v>148879540</v>
      </c>
    </row>
    <row r="80">
      <c r="A80" s="7">
        <f>IFERROR(__xludf.DUMMYFUNCTION("""COMPUTED_VALUE"""),45751.64583333333)</f>
        <v>45751.64583</v>
      </c>
      <c r="B80" s="6">
        <f>IFERROR(__xludf.DUMMYFUNCTION("""COMPUTED_VALUE"""),95.0)</f>
        <v>95</v>
      </c>
      <c r="C80" s="6">
        <f>IFERROR(__xludf.DUMMYFUNCTION("""COMPUTED_VALUE"""),99.9)</f>
        <v>99.9</v>
      </c>
      <c r="D80" s="6">
        <f>IFERROR(__xludf.DUMMYFUNCTION("""COMPUTED_VALUE"""),94.77)</f>
        <v>94.77</v>
      </c>
      <c r="E80" s="6">
        <f>IFERROR(__xludf.DUMMYFUNCTION("""COMPUTED_VALUE"""),96.61)</f>
        <v>96.61</v>
      </c>
      <c r="F80" s="6">
        <f>IFERROR(__xludf.DUMMYFUNCTION("""COMPUTED_VALUE"""),7.4296899E7)</f>
        <v>74296899</v>
      </c>
    </row>
    <row r="81">
      <c r="A81" s="7">
        <f>IFERROR(__xludf.DUMMYFUNCTION("""COMPUTED_VALUE"""),45758.64583333333)</f>
        <v>45758.64583</v>
      </c>
      <c r="B81" s="6">
        <f>IFERROR(__xludf.DUMMYFUNCTION("""COMPUTED_VALUE"""),90.98)</f>
        <v>90.98</v>
      </c>
      <c r="C81" s="6">
        <f>IFERROR(__xludf.DUMMYFUNCTION("""COMPUTED_VALUE"""),97.57)</f>
        <v>97.57</v>
      </c>
      <c r="D81" s="6">
        <f>IFERROR(__xludf.DUMMYFUNCTION("""COMPUTED_VALUE"""),90.08)</f>
        <v>90.08</v>
      </c>
      <c r="E81" s="6">
        <f>IFERROR(__xludf.DUMMYFUNCTION("""COMPUTED_VALUE"""),96.08)</f>
        <v>96.08</v>
      </c>
      <c r="F81" s="6">
        <f>IFERROR(__xludf.DUMMYFUNCTION("""COMPUTED_VALUE"""),7.9767613E7)</f>
        <v>79767613</v>
      </c>
    </row>
    <row r="82">
      <c r="A82" s="7">
        <f>IFERROR(__xludf.DUMMYFUNCTION("""COMPUTED_VALUE"""),45764.64583333333)</f>
        <v>45764.64583</v>
      </c>
      <c r="B82" s="6">
        <f>IFERROR(__xludf.DUMMYFUNCTION("""COMPUTED_VALUE"""),98.4)</f>
        <v>98.4</v>
      </c>
      <c r="C82" s="6">
        <f>IFERROR(__xludf.DUMMYFUNCTION("""COMPUTED_VALUE"""),100.1)</f>
        <v>100.1</v>
      </c>
      <c r="D82" s="6">
        <f>IFERROR(__xludf.DUMMYFUNCTION("""COMPUTED_VALUE"""),96.18)</f>
        <v>96.18</v>
      </c>
      <c r="E82" s="6">
        <f>IFERROR(__xludf.DUMMYFUNCTION("""COMPUTED_VALUE"""),99.5)</f>
        <v>99.5</v>
      </c>
      <c r="F82" s="6">
        <f>IFERROR(__xludf.DUMMYFUNCTION("""COMPUTED_VALUE"""),7.7454539E7)</f>
        <v>77454539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IFERROR(__xludf.DUMMYFUNCTION("""COMPUTED_VALUE"""),100.1)</f>
        <v>100.1</v>
      </c>
      <c r="C83" s="6">
        <f>IFERROR(__xludf.DUMMYFUNCTION("""COMPUTED_VALUE"""),104.75)</f>
        <v>104.75</v>
      </c>
      <c r="D83" s="6">
        <f>IFERROR(__xludf.DUMMYFUNCTION("""COMPUTED_VALUE"""),98.53)</f>
        <v>98.53</v>
      </c>
      <c r="E83" s="6">
        <f>IFERROR(__xludf.DUMMYFUNCTION("""COMPUTED_VALUE"""),99.29)</f>
        <v>99.29</v>
      </c>
      <c r="F83" s="6">
        <f>IFERROR(__xludf.DUMMYFUNCTION("""COMPUTED_VALUE"""),1.51460526E8)</f>
        <v>151460526</v>
      </c>
    </row>
    <row r="84">
      <c r="A84" s="7">
        <f>IFERROR(__xludf.DUMMYFUNCTION("""COMPUTED_VALUE"""),45779.64583333333)</f>
        <v>45779.64583</v>
      </c>
      <c r="B84" s="6">
        <f>IFERROR(__xludf.DUMMYFUNCTION("""COMPUTED_VALUE"""),99.29)</f>
        <v>99.29</v>
      </c>
      <c r="C84" s="6">
        <f>IFERROR(__xludf.DUMMYFUNCTION("""COMPUTED_VALUE"""),104.95)</f>
        <v>104.95</v>
      </c>
      <c r="D84" s="6">
        <f>IFERROR(__xludf.DUMMYFUNCTION("""COMPUTED_VALUE"""),99.1)</f>
        <v>99.1</v>
      </c>
      <c r="E84" s="6">
        <f>IFERROR(__xludf.DUMMYFUNCTION("""COMPUTED_VALUE"""),99.72)</f>
        <v>99.72</v>
      </c>
      <c r="F84" s="6">
        <f>IFERROR(__xludf.DUMMYFUNCTION("""COMPUTED_VALUE"""),7.4942923E7)</f>
        <v>74942923</v>
      </c>
    </row>
    <row r="85">
      <c r="A85" s="7">
        <f>IFERROR(__xludf.DUMMYFUNCTION("""COMPUTED_VALUE"""),45786.64583333333)</f>
        <v>45786.64583</v>
      </c>
      <c r="B85" s="6">
        <f>IFERROR(__xludf.DUMMYFUNCTION("""COMPUTED_VALUE"""),99.4)</f>
        <v>99.4</v>
      </c>
      <c r="C85" s="6">
        <f>IFERROR(__xludf.DUMMYFUNCTION("""COMPUTED_VALUE"""),100.57)</f>
        <v>100.57</v>
      </c>
      <c r="D85" s="6">
        <f>IFERROR(__xludf.DUMMYFUNCTION("""COMPUTED_VALUE"""),89.45)</f>
        <v>89.45</v>
      </c>
      <c r="E85" s="6">
        <f>IFERROR(__xludf.DUMMYFUNCTION("""COMPUTED_VALUE"""),91.97)</f>
        <v>91.97</v>
      </c>
      <c r="F85" s="6">
        <f>IFERROR(__xludf.DUMMYFUNCTION("""COMPUTED_VALUE"""),2.30186788E8)</f>
        <v>230186788</v>
      </c>
    </row>
    <row r="86">
      <c r="A86" s="7">
        <f>IFERROR(__xludf.DUMMYFUNCTION("""COMPUTED_VALUE"""),45793.64583333333)</f>
        <v>45793.64583</v>
      </c>
      <c r="B86" s="6">
        <f>IFERROR(__xludf.DUMMYFUNCTION("""COMPUTED_VALUE"""),95.5)</f>
        <v>95.5</v>
      </c>
      <c r="C86" s="6">
        <f>IFERROR(__xludf.DUMMYFUNCTION("""COMPUTED_VALUE"""),99.55)</f>
        <v>99.55</v>
      </c>
      <c r="D86" s="6">
        <f>IFERROR(__xludf.DUMMYFUNCTION("""COMPUTED_VALUE"""),94.55)</f>
        <v>94.55</v>
      </c>
      <c r="E86" s="6">
        <f>IFERROR(__xludf.DUMMYFUNCTION("""COMPUTED_VALUE"""),98.91)</f>
        <v>98.91</v>
      </c>
      <c r="F86" s="6">
        <f>IFERROR(__xludf.DUMMYFUNCTION("""COMPUTED_VALUE"""),1.0608172E8)</f>
        <v>106081720</v>
      </c>
    </row>
    <row r="87">
      <c r="A87" s="7">
        <f>IFERROR(__xludf.DUMMYFUNCTION("""COMPUTED_VALUE"""),45800.64583333333)</f>
        <v>45800.64583</v>
      </c>
      <c r="B87" s="6">
        <f>IFERROR(__xludf.DUMMYFUNCTION("""COMPUTED_VALUE"""),99.05)</f>
        <v>99.05</v>
      </c>
      <c r="C87" s="6">
        <f>IFERROR(__xludf.DUMMYFUNCTION("""COMPUTED_VALUE"""),102.9)</f>
        <v>102.9</v>
      </c>
      <c r="D87" s="6">
        <f>IFERROR(__xludf.DUMMYFUNCTION("""COMPUTED_VALUE"""),99.0)</f>
        <v>99</v>
      </c>
      <c r="E87" s="6">
        <f>IFERROR(__xludf.DUMMYFUNCTION("""COMPUTED_VALUE"""),100.38)</f>
        <v>100.38</v>
      </c>
      <c r="F87" s="6">
        <f>IFERROR(__xludf.DUMMYFUNCTION("""COMPUTED_VALUE"""),1.23003057E8)</f>
        <v>123003057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IFERROR(__xludf.DUMMYFUNCTION("""COMPUTED_VALUE"""),101.0)</f>
        <v>101</v>
      </c>
      <c r="C88" s="6">
        <f>IFERROR(__xludf.DUMMYFUNCTION("""COMPUTED_VALUE"""),106.25)</f>
        <v>106.25</v>
      </c>
      <c r="D88" s="6">
        <f>IFERROR(__xludf.DUMMYFUNCTION("""COMPUTED_VALUE"""),100.11)</f>
        <v>100.11</v>
      </c>
      <c r="E88" s="6">
        <f>IFERROR(__xludf.DUMMYFUNCTION("""COMPUTED_VALUE"""),105.82)</f>
        <v>105.82</v>
      </c>
      <c r="F88" s="6">
        <f>IFERROR(__xludf.DUMMYFUNCTION("""COMPUTED_VALUE"""),1.29083068E8)</f>
        <v>129083068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IFERROR(__xludf.DUMMYFUNCTION("""COMPUTED_VALUE"""),106.5)</f>
        <v>106.5</v>
      </c>
      <c r="C89" s="6">
        <f>IFERROR(__xludf.DUMMYFUNCTION("""COMPUTED_VALUE"""),111.8)</f>
        <v>111.8</v>
      </c>
      <c r="D89" s="6">
        <f>IFERROR(__xludf.DUMMYFUNCTION("""COMPUTED_VALUE"""),106.0)</f>
        <v>106</v>
      </c>
      <c r="E89" s="6">
        <f>IFERROR(__xludf.DUMMYFUNCTION("""COMPUTED_VALUE"""),110.18)</f>
        <v>110.18</v>
      </c>
      <c r="F89" s="6">
        <f>IFERROR(__xludf.DUMMYFUNCTION("""COMPUTED_VALUE"""),2.22550649E8)</f>
        <v>222550649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IFERROR(__xludf.DUMMYFUNCTION("""COMPUTED_VALUE"""),111.21)</f>
        <v>111.21</v>
      </c>
      <c r="C90" s="6">
        <f>IFERROR(__xludf.DUMMYFUNCTION("""COMPUTED_VALUE"""),112.89)</f>
        <v>112.89</v>
      </c>
      <c r="D90" s="6">
        <f>IFERROR(__xludf.DUMMYFUNCTION("""COMPUTED_VALUE"""),105.2)</f>
        <v>105.2</v>
      </c>
      <c r="E90" s="6">
        <f>IFERROR(__xludf.DUMMYFUNCTION("""COMPUTED_VALUE"""),106.61)</f>
        <v>106.61</v>
      </c>
      <c r="F90" s="6">
        <f>IFERROR(__xludf.DUMMYFUNCTION("""COMPUTED_VALUE"""),1.19025547E8)</f>
        <v>119025547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IFERROR(__xludf.DUMMYFUNCTION("""COMPUTED_VALUE"""),106.5)</f>
        <v>106.5</v>
      </c>
      <c r="C91" s="6">
        <f>IFERROR(__xludf.DUMMYFUNCTION("""COMPUTED_VALUE"""),108.42)</f>
        <v>108.42</v>
      </c>
      <c r="D91" s="6">
        <f>IFERROR(__xludf.DUMMYFUNCTION("""COMPUTED_VALUE"""),100.52)</f>
        <v>100.52</v>
      </c>
      <c r="E91" s="6">
        <f>IFERROR(__xludf.DUMMYFUNCTION("""COMPUTED_VALUE"""),103.04)</f>
        <v>103.04</v>
      </c>
      <c r="F91" s="6">
        <f>IFERROR(__xludf.DUMMYFUNCTION("""COMPUTED_VALUE"""),1.01120708E8)</f>
        <v>101120708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IFERROR(__xludf.DUMMYFUNCTION("""COMPUTED_VALUE"""),102.09)</f>
        <v>102.09</v>
      </c>
      <c r="C92" s="6">
        <f>IFERROR(__xludf.DUMMYFUNCTION("""COMPUTED_VALUE"""),108.49)</f>
        <v>108.49</v>
      </c>
      <c r="D92" s="6">
        <f>IFERROR(__xludf.DUMMYFUNCTION("""COMPUTED_VALUE"""),102.09)</f>
        <v>102.09</v>
      </c>
      <c r="E92" s="6">
        <f>IFERROR(__xludf.DUMMYFUNCTION("""COMPUTED_VALUE"""),106.34)</f>
        <v>106.34</v>
      </c>
      <c r="F92" s="6">
        <f>IFERROR(__xludf.DUMMYFUNCTION("""COMPUTED_VALUE"""),9.2065343E7)</f>
        <v>92065343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IFERROR(__xludf.DUMMYFUNCTION("""COMPUTED_VALUE"""),107.07)</f>
        <v>107.07</v>
      </c>
      <c r="C93" s="6">
        <f>IFERROR(__xludf.DUMMYFUNCTION("""COMPUTED_VALUE"""),114.17)</f>
        <v>114.17</v>
      </c>
      <c r="D93" s="6">
        <f>IFERROR(__xludf.DUMMYFUNCTION("""COMPUTED_VALUE"""),106.7)</f>
        <v>106.7</v>
      </c>
      <c r="E93" s="6">
        <f>IFERROR(__xludf.DUMMYFUNCTION("""COMPUTED_VALUE"""),110.85)</f>
        <v>110.85</v>
      </c>
      <c r="F93" s="6">
        <f>IFERROR(__xludf.DUMMYFUNCTION("""COMPUTED_VALUE"""),1.87932098E8)</f>
        <v>187932098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IFERROR(__xludf.DUMMYFUNCTION("""COMPUTED_VALUE"""),110.85)</f>
        <v>110.85</v>
      </c>
      <c r="C94" s="6">
        <f>IFERROR(__xludf.DUMMYFUNCTION("""COMPUTED_VALUE"""),112.85)</f>
        <v>112.85</v>
      </c>
      <c r="D94" s="6">
        <f>IFERROR(__xludf.DUMMYFUNCTION("""COMPUTED_VALUE"""),108.65)</f>
        <v>108.65</v>
      </c>
      <c r="E94" s="6">
        <f>IFERROR(__xludf.DUMMYFUNCTION("""COMPUTED_VALUE"""),110.21)</f>
        <v>110.21</v>
      </c>
      <c r="F94" s="6">
        <f>IFERROR(__xludf.DUMMYFUNCTION("""COMPUTED_VALUE"""),8.1453529E7)</f>
        <v>81453529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IFERROR(__xludf.DUMMYFUNCTION("""COMPUTED_VALUE"""),110.42)</f>
        <v>110.42</v>
      </c>
      <c r="C95" s="6">
        <f>IFERROR(__xludf.DUMMYFUNCTION("""COMPUTED_VALUE"""),115.71)</f>
        <v>115.71</v>
      </c>
      <c r="D95" s="6">
        <f>IFERROR(__xludf.DUMMYFUNCTION("""COMPUTED_VALUE"""),110.15)</f>
        <v>110.15</v>
      </c>
      <c r="E95" s="6">
        <f>IFERROR(__xludf.DUMMYFUNCTION("""COMPUTED_VALUE"""),113.35)</f>
        <v>113.35</v>
      </c>
      <c r="F95" s="6">
        <f>IFERROR(__xludf.DUMMYFUNCTION("""COMPUTED_VALUE"""),1.15324883E8)</f>
        <v>115324883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IFERROR(__xludf.DUMMYFUNCTION("""COMPUTED_VALUE"""),113.5)</f>
        <v>113.5</v>
      </c>
      <c r="C96" s="6">
        <f>IFERROR(__xludf.DUMMYFUNCTION("""COMPUTED_VALUE"""),113.8)</f>
        <v>113.8</v>
      </c>
      <c r="D96" s="6">
        <f>IFERROR(__xludf.DUMMYFUNCTION("""COMPUTED_VALUE"""),108.05)</f>
        <v>108.05</v>
      </c>
      <c r="E96" s="6">
        <f>IFERROR(__xludf.DUMMYFUNCTION("""COMPUTED_VALUE"""),108.41)</f>
        <v>108.41</v>
      </c>
      <c r="F96" s="6">
        <f>IFERROR(__xludf.DUMMYFUNCTION("""COMPUTED_VALUE"""),7.6426331E7)</f>
        <v>76426331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IFERROR(__xludf.DUMMYFUNCTION("""COMPUTED_VALUE"""),108.36)</f>
        <v>108.36</v>
      </c>
      <c r="C97" s="6">
        <f>IFERROR(__xludf.DUMMYFUNCTION("""COMPUTED_VALUE"""),111.15)</f>
        <v>111.15</v>
      </c>
      <c r="D97" s="6">
        <f>IFERROR(__xludf.DUMMYFUNCTION("""COMPUTED_VALUE"""),103.0)</f>
        <v>103</v>
      </c>
      <c r="E97" s="6">
        <f>IFERROR(__xludf.DUMMYFUNCTION("""COMPUTED_VALUE"""),103.18)</f>
        <v>103.18</v>
      </c>
      <c r="F97" s="6">
        <f>IFERROR(__xludf.DUMMYFUNCTION("""COMPUTED_VALUE"""),1.3471736E8)</f>
        <v>134717360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IFERROR(__xludf.DUMMYFUNCTION("""COMPUTED_VALUE"""),103.12)</f>
        <v>103.12</v>
      </c>
      <c r="C98" s="6">
        <f>IFERROR(__xludf.DUMMYFUNCTION("""COMPUTED_VALUE"""),105.14)</f>
        <v>105.14</v>
      </c>
      <c r="D98" s="6">
        <f>IFERROR(__xludf.DUMMYFUNCTION("""COMPUTED_VALUE"""),102.59)</f>
        <v>102.59</v>
      </c>
      <c r="E98" s="6">
        <f>IFERROR(__xludf.DUMMYFUNCTION("""COMPUTED_VALUE"""),103.95)</f>
        <v>103.95</v>
      </c>
      <c r="F98" s="6">
        <f>IFERROR(__xludf.DUMMYFUNCTION("""COMPUTED_VALUE"""),6.4481243E7)</f>
        <v>64481243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IFERROR(__xludf.DUMMYFUNCTION("""COMPUTED_VALUE"""),103.99)</f>
        <v>103.99</v>
      </c>
      <c r="C99" s="6">
        <f>IFERROR(__xludf.DUMMYFUNCTION("""COMPUTED_VALUE"""),107.38)</f>
        <v>107.38</v>
      </c>
      <c r="D99" s="6">
        <f>IFERROR(__xludf.DUMMYFUNCTION("""COMPUTED_VALUE"""),103.84)</f>
        <v>103.84</v>
      </c>
      <c r="E99" s="6">
        <f>IFERROR(__xludf.DUMMYFUNCTION("""COMPUTED_VALUE"""),106.28)</f>
        <v>106.28</v>
      </c>
      <c r="F99" s="6">
        <f>IFERROR(__xludf.DUMMYFUNCTION("""COMPUTED_VALUE"""),4.6178618E7)</f>
        <v>46178618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IFERROR(__xludf.DUMMYFUNCTION("""COMPUTED_VALUE"""),107.0)</f>
        <v>107</v>
      </c>
      <c r="C100" s="6">
        <f>IFERROR(__xludf.DUMMYFUNCTION("""COMPUTED_VALUE"""),108.06)</f>
        <v>108.06</v>
      </c>
      <c r="D100" s="6">
        <f>IFERROR(__xludf.DUMMYFUNCTION("""COMPUTED_VALUE"""),105.11)</f>
        <v>105.11</v>
      </c>
      <c r="E100" s="6">
        <f>IFERROR(__xludf.DUMMYFUNCTION("""COMPUTED_VALUE"""),105.29)</f>
        <v>105.29</v>
      </c>
      <c r="F100" s="6">
        <f>IFERROR(__xludf.DUMMYFUNCTION("""COMPUTED_VALUE"""),4.2214942E7)</f>
        <v>42214942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IFERROR(__xludf.DUMMYFUNCTION("""COMPUTED_VALUE"""),105.59)</f>
        <v>105.59</v>
      </c>
      <c r="C101" s="6">
        <f>IFERROR(__xludf.DUMMYFUNCTION("""COMPUTED_VALUE"""),106.38)</f>
        <v>106.38</v>
      </c>
      <c r="D101" s="6">
        <f>IFERROR(__xludf.DUMMYFUNCTION("""COMPUTED_VALUE"""),102.49)</f>
        <v>102.49</v>
      </c>
      <c r="E101" s="6">
        <f>IFERROR(__xludf.DUMMYFUNCTION("""COMPUTED_VALUE"""),102.77)</f>
        <v>102.77</v>
      </c>
      <c r="F101" s="6">
        <f>IFERROR(__xludf.DUMMYFUNCTION("""COMPUTED_VALUE"""),1.29298656E8)</f>
        <v>129298656</v>
      </c>
    </row>
  </sheetData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IFERROR(__xludf.DUMMYFUNCTION("GOOGLEFINANCE(""NSE:POLICYBZR"",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IFERROR(__xludf.DUMMYFUNCTION("""COMPUTED_VALUE"""),752.5)</f>
        <v>752.5</v>
      </c>
      <c r="C2" s="6">
        <f>IFERROR(__xludf.DUMMYFUNCTION("""COMPUTED_VALUE"""),783.2)</f>
        <v>783.2</v>
      </c>
      <c r="D2" s="6">
        <f>IFERROR(__xludf.DUMMYFUNCTION("""COMPUTED_VALUE"""),751.35)</f>
        <v>751.35</v>
      </c>
      <c r="E2" s="6">
        <f>IFERROR(__xludf.DUMMYFUNCTION("""COMPUTED_VALUE"""),769.9)</f>
        <v>769.9</v>
      </c>
      <c r="F2" s="6">
        <f>IFERROR(__xludf.DUMMYFUNCTION("""COMPUTED_VALUE"""),3190385.0)</f>
        <v>3190385</v>
      </c>
    </row>
    <row r="3">
      <c r="A3" s="7">
        <f>IFERROR(__xludf.DUMMYFUNCTION("""COMPUTED_VALUE"""),45177.64583333333)</f>
        <v>45177.64583</v>
      </c>
      <c r="B3" s="6">
        <f>IFERROR(__xludf.DUMMYFUNCTION("""COMPUTED_VALUE"""),769.15)</f>
        <v>769.15</v>
      </c>
      <c r="C3" s="6">
        <f>IFERROR(__xludf.DUMMYFUNCTION("""COMPUTED_VALUE"""),806.9)</f>
        <v>806.9</v>
      </c>
      <c r="D3" s="6">
        <f>IFERROR(__xludf.DUMMYFUNCTION("""COMPUTED_VALUE"""),752.65)</f>
        <v>752.65</v>
      </c>
      <c r="E3" s="6">
        <f>IFERROR(__xludf.DUMMYFUNCTION("""COMPUTED_VALUE"""),799.25)</f>
        <v>799.25</v>
      </c>
      <c r="F3" s="6">
        <f>IFERROR(__xludf.DUMMYFUNCTION("""COMPUTED_VALUE"""),4098510.0)</f>
        <v>4098510</v>
      </c>
    </row>
    <row r="4">
      <c r="A4" s="7">
        <f>IFERROR(__xludf.DUMMYFUNCTION("""COMPUTED_VALUE"""),45184.64583333333)</f>
        <v>45184.64583</v>
      </c>
      <c r="B4" s="6">
        <f>IFERROR(__xludf.DUMMYFUNCTION("""COMPUTED_VALUE"""),810.0)</f>
        <v>810</v>
      </c>
      <c r="C4" s="6">
        <f>IFERROR(__xludf.DUMMYFUNCTION("""COMPUTED_VALUE"""),814.9)</f>
        <v>814.9</v>
      </c>
      <c r="D4" s="6">
        <f>IFERROR(__xludf.DUMMYFUNCTION("""COMPUTED_VALUE"""),757.0)</f>
        <v>757</v>
      </c>
      <c r="E4" s="6">
        <f>IFERROR(__xludf.DUMMYFUNCTION("""COMPUTED_VALUE"""),772.3)</f>
        <v>772.3</v>
      </c>
      <c r="F4" s="6">
        <f>IFERROR(__xludf.DUMMYFUNCTION("""COMPUTED_VALUE"""),6330365.0)</f>
        <v>6330365</v>
      </c>
    </row>
    <row r="5">
      <c r="A5" s="7">
        <f>IFERROR(__xludf.DUMMYFUNCTION("""COMPUTED_VALUE"""),45191.64583333333)</f>
        <v>45191.64583</v>
      </c>
      <c r="B5" s="6">
        <f>IFERROR(__xludf.DUMMYFUNCTION("""COMPUTED_VALUE"""),772.0)</f>
        <v>772</v>
      </c>
      <c r="C5" s="6">
        <f>IFERROR(__xludf.DUMMYFUNCTION("""COMPUTED_VALUE"""),788.55)</f>
        <v>788.55</v>
      </c>
      <c r="D5" s="6">
        <f>IFERROR(__xludf.DUMMYFUNCTION("""COMPUTED_VALUE"""),746.05)</f>
        <v>746.05</v>
      </c>
      <c r="E5" s="6">
        <f>IFERROR(__xludf.DUMMYFUNCTION("""COMPUTED_VALUE"""),750.2)</f>
        <v>750.2</v>
      </c>
      <c r="F5" s="6">
        <f>IFERROR(__xludf.DUMMYFUNCTION("""COMPUTED_VALUE"""),3253895.0)</f>
        <v>3253895</v>
      </c>
    </row>
    <row r="6">
      <c r="A6" s="7">
        <f>IFERROR(__xludf.DUMMYFUNCTION("""COMPUTED_VALUE"""),45198.64583333333)</f>
        <v>45198.64583</v>
      </c>
      <c r="B6" s="6">
        <f>IFERROR(__xludf.DUMMYFUNCTION("""COMPUTED_VALUE"""),753.95)</f>
        <v>753.95</v>
      </c>
      <c r="C6" s="6">
        <f>IFERROR(__xludf.DUMMYFUNCTION("""COMPUTED_VALUE"""),779.5)</f>
        <v>779.5</v>
      </c>
      <c r="D6" s="6">
        <f>IFERROR(__xludf.DUMMYFUNCTION("""COMPUTED_VALUE"""),725.15)</f>
        <v>725.15</v>
      </c>
      <c r="E6" s="6">
        <f>IFERROR(__xludf.DUMMYFUNCTION("""COMPUTED_VALUE"""),765.25)</f>
        <v>765.25</v>
      </c>
      <c r="F6" s="6">
        <f>IFERROR(__xludf.DUMMYFUNCTION("""COMPUTED_VALUE"""),5960486.0)</f>
        <v>5960486</v>
      </c>
    </row>
    <row r="7">
      <c r="A7" s="7">
        <f>IFERROR(__xludf.DUMMYFUNCTION("""COMPUTED_VALUE"""),45205.64583333333)</f>
        <v>45205.64583</v>
      </c>
      <c r="B7" s="6">
        <f>IFERROR(__xludf.DUMMYFUNCTION("""COMPUTED_VALUE"""),762.0)</f>
        <v>762</v>
      </c>
      <c r="C7" s="6">
        <f>IFERROR(__xludf.DUMMYFUNCTION("""COMPUTED_VALUE"""),777.0)</f>
        <v>777</v>
      </c>
      <c r="D7" s="6">
        <f>IFERROR(__xludf.DUMMYFUNCTION("""COMPUTED_VALUE"""),754.4)</f>
        <v>754.4</v>
      </c>
      <c r="E7" s="6">
        <f>IFERROR(__xludf.DUMMYFUNCTION("""COMPUTED_VALUE"""),761.9)</f>
        <v>761.9</v>
      </c>
      <c r="F7" s="6">
        <f>IFERROR(__xludf.DUMMYFUNCTION("""COMPUTED_VALUE"""),3805759.0)</f>
        <v>3805759</v>
      </c>
    </row>
    <row r="8">
      <c r="A8" s="7">
        <f>IFERROR(__xludf.DUMMYFUNCTION("""COMPUTED_VALUE"""),45212.64583333333)</f>
        <v>45212.64583</v>
      </c>
      <c r="B8" s="6">
        <f>IFERROR(__xludf.DUMMYFUNCTION("""COMPUTED_VALUE"""),758.0)</f>
        <v>758</v>
      </c>
      <c r="C8" s="6">
        <f>IFERROR(__xludf.DUMMYFUNCTION("""COMPUTED_VALUE"""),768.0)</f>
        <v>768</v>
      </c>
      <c r="D8" s="6">
        <f>IFERROR(__xludf.DUMMYFUNCTION("""COMPUTED_VALUE"""),720.05)</f>
        <v>720.05</v>
      </c>
      <c r="E8" s="6">
        <f>IFERROR(__xludf.DUMMYFUNCTION("""COMPUTED_VALUE"""),738.6)</f>
        <v>738.6</v>
      </c>
      <c r="F8" s="6">
        <f>IFERROR(__xludf.DUMMYFUNCTION("""COMPUTED_VALUE"""),6646561.0)</f>
        <v>6646561</v>
      </c>
    </row>
    <row r="9">
      <c r="A9" s="7">
        <f>IFERROR(__xludf.DUMMYFUNCTION("""COMPUTED_VALUE"""),45219.64583333333)</f>
        <v>45219.64583</v>
      </c>
      <c r="B9" s="6">
        <f>IFERROR(__xludf.DUMMYFUNCTION("""COMPUTED_VALUE"""),739.0)</f>
        <v>739</v>
      </c>
      <c r="C9" s="6">
        <f>IFERROR(__xludf.DUMMYFUNCTION("""COMPUTED_VALUE"""),749.85)</f>
        <v>749.85</v>
      </c>
      <c r="D9" s="6">
        <f>IFERROR(__xludf.DUMMYFUNCTION("""COMPUTED_VALUE"""),716.25)</f>
        <v>716.25</v>
      </c>
      <c r="E9" s="6">
        <f>IFERROR(__xludf.DUMMYFUNCTION("""COMPUTED_VALUE"""),724.35)</f>
        <v>724.35</v>
      </c>
      <c r="F9" s="6">
        <f>IFERROR(__xludf.DUMMYFUNCTION("""COMPUTED_VALUE"""),4373477.0)</f>
        <v>4373477</v>
      </c>
    </row>
    <row r="10">
      <c r="A10" s="7">
        <f>IFERROR(__xludf.DUMMYFUNCTION("""COMPUTED_VALUE"""),45226.64583333333)</f>
        <v>45226.64583</v>
      </c>
      <c r="B10" s="6">
        <f>IFERROR(__xludf.DUMMYFUNCTION("""COMPUTED_VALUE"""),716.5)</f>
        <v>716.5</v>
      </c>
      <c r="C10" s="6">
        <f>IFERROR(__xludf.DUMMYFUNCTION("""COMPUTED_VALUE"""),725.0)</f>
        <v>725</v>
      </c>
      <c r="D10" s="6">
        <f>IFERROR(__xludf.DUMMYFUNCTION("""COMPUTED_VALUE"""),661.3)</f>
        <v>661.3</v>
      </c>
      <c r="E10" s="6">
        <f>IFERROR(__xludf.DUMMYFUNCTION("""COMPUTED_VALUE"""),668.55)</f>
        <v>668.55</v>
      </c>
      <c r="F10" s="6">
        <f>IFERROR(__xludf.DUMMYFUNCTION("""COMPUTED_VALUE"""),5800404.0)</f>
        <v>5800404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IFERROR(__xludf.DUMMYFUNCTION("""COMPUTED_VALUE"""),668.85)</f>
        <v>668.85</v>
      </c>
      <c r="C11" s="6">
        <f>IFERROR(__xludf.DUMMYFUNCTION("""COMPUTED_VALUE"""),725.0)</f>
        <v>725</v>
      </c>
      <c r="D11" s="6">
        <f>IFERROR(__xludf.DUMMYFUNCTION("""COMPUTED_VALUE"""),664.3)</f>
        <v>664.3</v>
      </c>
      <c r="E11" s="6">
        <f>IFERROR(__xludf.DUMMYFUNCTION("""COMPUTED_VALUE"""),702.05)</f>
        <v>702.05</v>
      </c>
      <c r="F11" s="6">
        <f>IFERROR(__xludf.DUMMYFUNCTION("""COMPUTED_VALUE"""),6629916.0)</f>
        <v>6629916</v>
      </c>
    </row>
    <row r="12">
      <c r="A12" s="7">
        <f>IFERROR(__xludf.DUMMYFUNCTION("""COMPUTED_VALUE"""),45240.64583333333)</f>
        <v>45240.64583</v>
      </c>
      <c r="B12" s="6">
        <f>IFERROR(__xludf.DUMMYFUNCTION("""COMPUTED_VALUE"""),715.0)</f>
        <v>715</v>
      </c>
      <c r="C12" s="6">
        <f>IFERROR(__xludf.DUMMYFUNCTION("""COMPUTED_VALUE"""),750.95)</f>
        <v>750.95</v>
      </c>
      <c r="D12" s="6">
        <f>IFERROR(__xludf.DUMMYFUNCTION("""COMPUTED_VALUE"""),699.45)</f>
        <v>699.45</v>
      </c>
      <c r="E12" s="6">
        <f>IFERROR(__xludf.DUMMYFUNCTION("""COMPUTED_VALUE"""),746.55)</f>
        <v>746.55</v>
      </c>
      <c r="F12" s="6">
        <f>IFERROR(__xludf.DUMMYFUNCTION("""COMPUTED_VALUE"""),8771601.0)</f>
        <v>8771601</v>
      </c>
    </row>
    <row r="13">
      <c r="A13" s="7">
        <f>IFERROR(__xludf.DUMMYFUNCTION("""COMPUTED_VALUE"""),45247.64583333333)</f>
        <v>45247.64583</v>
      </c>
      <c r="B13" s="6">
        <f>IFERROR(__xludf.DUMMYFUNCTION("""COMPUTED_VALUE"""),755.0)</f>
        <v>755</v>
      </c>
      <c r="C13" s="6">
        <f>IFERROR(__xludf.DUMMYFUNCTION("""COMPUTED_VALUE"""),809.0)</f>
        <v>809</v>
      </c>
      <c r="D13" s="6">
        <f>IFERROR(__xludf.DUMMYFUNCTION("""COMPUTED_VALUE"""),741.2)</f>
        <v>741.2</v>
      </c>
      <c r="E13" s="6">
        <f>IFERROR(__xludf.DUMMYFUNCTION("""COMPUTED_VALUE"""),802.7)</f>
        <v>802.7</v>
      </c>
      <c r="F13" s="6">
        <f>IFERROR(__xludf.DUMMYFUNCTION("""COMPUTED_VALUE"""),4215640.0)</f>
        <v>4215640</v>
      </c>
    </row>
    <row r="14">
      <c r="A14" s="7">
        <f>IFERROR(__xludf.DUMMYFUNCTION("""COMPUTED_VALUE"""),45254.64583333333)</f>
        <v>45254.64583</v>
      </c>
      <c r="B14" s="6">
        <f>IFERROR(__xludf.DUMMYFUNCTION("""COMPUTED_VALUE"""),809.35)</f>
        <v>809.35</v>
      </c>
      <c r="C14" s="6">
        <f>IFERROR(__xludf.DUMMYFUNCTION("""COMPUTED_VALUE"""),846.5)</f>
        <v>846.5</v>
      </c>
      <c r="D14" s="6">
        <f>IFERROR(__xludf.DUMMYFUNCTION("""COMPUTED_VALUE"""),798.2)</f>
        <v>798.2</v>
      </c>
      <c r="E14" s="6">
        <f>IFERROR(__xludf.DUMMYFUNCTION("""COMPUTED_VALUE"""),823.35)</f>
        <v>823.35</v>
      </c>
      <c r="F14" s="6">
        <f>IFERROR(__xludf.DUMMYFUNCTION("""COMPUTED_VALUE"""),5557794.0)</f>
        <v>5557794</v>
      </c>
    </row>
    <row r="15">
      <c r="A15" s="7">
        <f>IFERROR(__xludf.DUMMYFUNCTION("""COMPUTED_VALUE"""),45261.64583333333)</f>
        <v>45261.64583</v>
      </c>
      <c r="B15" s="6">
        <f>IFERROR(__xludf.DUMMYFUNCTION("""COMPUTED_VALUE"""),828.0)</f>
        <v>828</v>
      </c>
      <c r="C15" s="6">
        <f>IFERROR(__xludf.DUMMYFUNCTION("""COMPUTED_VALUE"""),873.5)</f>
        <v>873.5</v>
      </c>
      <c r="D15" s="6">
        <f>IFERROR(__xludf.DUMMYFUNCTION("""COMPUTED_VALUE"""),804.5)</f>
        <v>804.5</v>
      </c>
      <c r="E15" s="6">
        <f>IFERROR(__xludf.DUMMYFUNCTION("""COMPUTED_VALUE"""),861.3)</f>
        <v>861.3</v>
      </c>
      <c r="F15" s="6">
        <f>IFERROR(__xludf.DUMMYFUNCTION("""COMPUTED_VALUE"""),4756145.0)</f>
        <v>4756145</v>
      </c>
    </row>
    <row r="16">
      <c r="A16" s="7">
        <f>IFERROR(__xludf.DUMMYFUNCTION("""COMPUTED_VALUE"""),45268.64583333333)</f>
        <v>45268.64583</v>
      </c>
      <c r="B16" s="6">
        <f>IFERROR(__xludf.DUMMYFUNCTION("""COMPUTED_VALUE"""),885.75)</f>
        <v>885.75</v>
      </c>
      <c r="C16" s="6">
        <f>IFERROR(__xludf.DUMMYFUNCTION("""COMPUTED_VALUE"""),891.0)</f>
        <v>891</v>
      </c>
      <c r="D16" s="6">
        <f>IFERROR(__xludf.DUMMYFUNCTION("""COMPUTED_VALUE"""),811.8)</f>
        <v>811.8</v>
      </c>
      <c r="E16" s="6">
        <f>IFERROR(__xludf.DUMMYFUNCTION("""COMPUTED_VALUE"""),818.9)</f>
        <v>818.9</v>
      </c>
      <c r="F16" s="6">
        <f>IFERROR(__xludf.DUMMYFUNCTION("""COMPUTED_VALUE"""),8083139.0)</f>
        <v>8083139</v>
      </c>
    </row>
    <row r="17">
      <c r="A17" s="7">
        <f>IFERROR(__xludf.DUMMYFUNCTION("""COMPUTED_VALUE"""),45275.64583333333)</f>
        <v>45275.64583</v>
      </c>
      <c r="B17" s="6">
        <f>IFERROR(__xludf.DUMMYFUNCTION("""COMPUTED_VALUE"""),820.0)</f>
        <v>820</v>
      </c>
      <c r="C17" s="6">
        <f>IFERROR(__xludf.DUMMYFUNCTION("""COMPUTED_VALUE"""),854.8)</f>
        <v>854.8</v>
      </c>
      <c r="D17" s="6">
        <f>IFERROR(__xludf.DUMMYFUNCTION("""COMPUTED_VALUE"""),767.0)</f>
        <v>767</v>
      </c>
      <c r="E17" s="6">
        <f>IFERROR(__xludf.DUMMYFUNCTION("""COMPUTED_VALUE"""),789.35)</f>
        <v>789.35</v>
      </c>
      <c r="F17" s="6">
        <f>IFERROR(__xludf.DUMMYFUNCTION("""COMPUTED_VALUE"""),5693372.0)</f>
        <v>5693372</v>
      </c>
    </row>
    <row r="18">
      <c r="A18" s="7">
        <f>IFERROR(__xludf.DUMMYFUNCTION("""COMPUTED_VALUE"""),45282.64583333333)</f>
        <v>45282.64583</v>
      </c>
      <c r="B18" s="6">
        <f>IFERROR(__xludf.DUMMYFUNCTION("""COMPUTED_VALUE"""),796.45)</f>
        <v>796.45</v>
      </c>
      <c r="C18" s="6">
        <f>IFERROR(__xludf.DUMMYFUNCTION("""COMPUTED_VALUE"""),816.6)</f>
        <v>816.6</v>
      </c>
      <c r="D18" s="6">
        <f>IFERROR(__xludf.DUMMYFUNCTION("""COMPUTED_VALUE"""),725.25)</f>
        <v>725.25</v>
      </c>
      <c r="E18" s="6">
        <f>IFERROR(__xludf.DUMMYFUNCTION("""COMPUTED_VALUE"""),773.3)</f>
        <v>773.3</v>
      </c>
      <c r="F18" s="6">
        <f>IFERROR(__xludf.DUMMYFUNCTION("""COMPUTED_VALUE"""),7533486.0)</f>
        <v>7533486</v>
      </c>
    </row>
    <row r="19">
      <c r="A19" s="7">
        <f>IFERROR(__xludf.DUMMYFUNCTION("""COMPUTED_VALUE"""),45289.64583333333)</f>
        <v>45289.64583</v>
      </c>
      <c r="B19" s="6">
        <f>IFERROR(__xludf.DUMMYFUNCTION("""COMPUTED_VALUE"""),777.65)</f>
        <v>777.65</v>
      </c>
      <c r="C19" s="6">
        <f>IFERROR(__xludf.DUMMYFUNCTION("""COMPUTED_VALUE"""),811.8)</f>
        <v>811.8</v>
      </c>
      <c r="D19" s="6">
        <f>IFERROR(__xludf.DUMMYFUNCTION("""COMPUTED_VALUE"""),763.1)</f>
        <v>763.1</v>
      </c>
      <c r="E19" s="6">
        <f>IFERROR(__xludf.DUMMYFUNCTION("""COMPUTED_VALUE"""),794.65)</f>
        <v>794.65</v>
      </c>
      <c r="F19" s="6">
        <f>IFERROR(__xludf.DUMMYFUNCTION("""COMPUTED_VALUE"""),4125490.0)</f>
        <v>4125490</v>
      </c>
    </row>
    <row r="20">
      <c r="A20" s="7">
        <f>IFERROR(__xludf.DUMMYFUNCTION("""COMPUTED_VALUE"""),45296.64583333333)</f>
        <v>45296.64583</v>
      </c>
      <c r="B20" s="6">
        <f>IFERROR(__xludf.DUMMYFUNCTION("""COMPUTED_VALUE"""),794.65)</f>
        <v>794.65</v>
      </c>
      <c r="C20" s="6">
        <f>IFERROR(__xludf.DUMMYFUNCTION("""COMPUTED_VALUE"""),804.9)</f>
        <v>804.9</v>
      </c>
      <c r="D20" s="6">
        <f>IFERROR(__xludf.DUMMYFUNCTION("""COMPUTED_VALUE"""),767.25)</f>
        <v>767.25</v>
      </c>
      <c r="E20" s="6">
        <f>IFERROR(__xludf.DUMMYFUNCTION("""COMPUTED_VALUE"""),798.8)</f>
        <v>798.8</v>
      </c>
      <c r="F20" s="6">
        <f>IFERROR(__xludf.DUMMYFUNCTION("""COMPUTED_VALUE"""),3907184.0)</f>
        <v>3907184</v>
      </c>
    </row>
    <row r="21">
      <c r="A21" s="7">
        <f>IFERROR(__xludf.DUMMYFUNCTION("""COMPUTED_VALUE"""),45303.64583333333)</f>
        <v>45303.64583</v>
      </c>
      <c r="B21" s="6">
        <f>IFERROR(__xludf.DUMMYFUNCTION("""COMPUTED_VALUE"""),805.0)</f>
        <v>805</v>
      </c>
      <c r="C21" s="6">
        <f>IFERROR(__xludf.DUMMYFUNCTION("""COMPUTED_VALUE"""),857.0)</f>
        <v>857</v>
      </c>
      <c r="D21" s="6">
        <f>IFERROR(__xludf.DUMMYFUNCTION("""COMPUTED_VALUE"""),800.25)</f>
        <v>800.25</v>
      </c>
      <c r="E21" s="6">
        <f>IFERROR(__xludf.DUMMYFUNCTION("""COMPUTED_VALUE"""),852.05)</f>
        <v>852.05</v>
      </c>
      <c r="F21" s="6">
        <f>IFERROR(__xludf.DUMMYFUNCTION("""COMPUTED_VALUE"""),4172433.0)</f>
        <v>4172433</v>
      </c>
    </row>
    <row r="22">
      <c r="A22" s="7">
        <f>IFERROR(__xludf.DUMMYFUNCTION("""COMPUTED_VALUE"""),45316.64583333333)</f>
        <v>45316.64583</v>
      </c>
      <c r="B22" s="6">
        <f>IFERROR(__xludf.DUMMYFUNCTION("""COMPUTED_VALUE"""),869.7)</f>
        <v>869.7</v>
      </c>
      <c r="C22" s="6">
        <f>IFERROR(__xludf.DUMMYFUNCTION("""COMPUTED_VALUE"""),933.5)</f>
        <v>933.5</v>
      </c>
      <c r="D22" s="6">
        <f>IFERROR(__xludf.DUMMYFUNCTION("""COMPUTED_VALUE"""),845.0)</f>
        <v>845</v>
      </c>
      <c r="E22" s="6">
        <f>IFERROR(__xludf.DUMMYFUNCTION("""COMPUTED_VALUE"""),888.15)</f>
        <v>888.15</v>
      </c>
      <c r="F22" s="6">
        <f>IFERROR(__xludf.DUMMYFUNCTION("""COMPUTED_VALUE"""),3966016.0)</f>
        <v>3966016</v>
      </c>
    </row>
    <row r="23">
      <c r="A23" s="7">
        <f>IFERROR(__xludf.DUMMYFUNCTION("""COMPUTED_VALUE"""),45324.64583333333)</f>
        <v>45324.64583</v>
      </c>
      <c r="B23" s="6">
        <f>IFERROR(__xludf.DUMMYFUNCTION("""COMPUTED_VALUE"""),900.0)</f>
        <v>900</v>
      </c>
      <c r="C23" s="6">
        <f>IFERROR(__xludf.DUMMYFUNCTION("""COMPUTED_VALUE"""),1048.0)</f>
        <v>1048</v>
      </c>
      <c r="D23" s="6">
        <f>IFERROR(__xludf.DUMMYFUNCTION("""COMPUTED_VALUE"""),889.95)</f>
        <v>889.95</v>
      </c>
      <c r="E23" s="6">
        <f>IFERROR(__xludf.DUMMYFUNCTION("""COMPUTED_VALUE"""),981.25)</f>
        <v>981.25</v>
      </c>
      <c r="F23" s="6">
        <f>IFERROR(__xludf.DUMMYFUNCTION("""COMPUTED_VALUE"""),1.9220661E7)</f>
        <v>19220661</v>
      </c>
    </row>
    <row r="24">
      <c r="A24" s="7">
        <f>IFERROR(__xludf.DUMMYFUNCTION("""COMPUTED_VALUE"""),45331.64583333333)</f>
        <v>45331.64583</v>
      </c>
      <c r="B24" s="6">
        <f>IFERROR(__xludf.DUMMYFUNCTION("""COMPUTED_VALUE"""),981.25)</f>
        <v>981.25</v>
      </c>
      <c r="C24" s="6">
        <f>IFERROR(__xludf.DUMMYFUNCTION("""COMPUTED_VALUE"""),986.65)</f>
        <v>986.65</v>
      </c>
      <c r="D24" s="6">
        <f>IFERROR(__xludf.DUMMYFUNCTION("""COMPUTED_VALUE"""),852.0)</f>
        <v>852</v>
      </c>
      <c r="E24" s="6">
        <f>IFERROR(__xludf.DUMMYFUNCTION("""COMPUTED_VALUE"""),933.6)</f>
        <v>933.6</v>
      </c>
      <c r="F24" s="6">
        <f>IFERROR(__xludf.DUMMYFUNCTION("""COMPUTED_VALUE"""),1.4969053E7)</f>
        <v>14969053</v>
      </c>
    </row>
    <row r="25">
      <c r="A25" s="7">
        <f>IFERROR(__xludf.DUMMYFUNCTION("""COMPUTED_VALUE"""),45338.64583333333)</f>
        <v>45338.64583</v>
      </c>
      <c r="B25" s="6">
        <f>IFERROR(__xludf.DUMMYFUNCTION("""COMPUTED_VALUE"""),941.05)</f>
        <v>941.05</v>
      </c>
      <c r="C25" s="6">
        <f>IFERROR(__xludf.DUMMYFUNCTION("""COMPUTED_VALUE"""),969.9)</f>
        <v>969.9</v>
      </c>
      <c r="D25" s="6">
        <f>IFERROR(__xludf.DUMMYFUNCTION("""COMPUTED_VALUE"""),907.2)</f>
        <v>907.2</v>
      </c>
      <c r="E25" s="6">
        <f>IFERROR(__xludf.DUMMYFUNCTION("""COMPUTED_VALUE"""),931.3)</f>
        <v>931.3</v>
      </c>
      <c r="F25" s="6">
        <f>IFERROR(__xludf.DUMMYFUNCTION("""COMPUTED_VALUE"""),5769488.0)</f>
        <v>5769488</v>
      </c>
    </row>
    <row r="26">
      <c r="A26" s="7">
        <f>IFERROR(__xludf.DUMMYFUNCTION("""COMPUTED_VALUE"""),45345.64583333333)</f>
        <v>45345.64583</v>
      </c>
      <c r="B26" s="6">
        <f>IFERROR(__xludf.DUMMYFUNCTION("""COMPUTED_VALUE"""),985.4)</f>
        <v>985.4</v>
      </c>
      <c r="C26" s="6">
        <f>IFERROR(__xludf.DUMMYFUNCTION("""COMPUTED_VALUE"""),1053.4)</f>
        <v>1053.4</v>
      </c>
      <c r="D26" s="6">
        <f>IFERROR(__xludf.DUMMYFUNCTION("""COMPUTED_VALUE"""),960.35)</f>
        <v>960.35</v>
      </c>
      <c r="E26" s="6">
        <f>IFERROR(__xludf.DUMMYFUNCTION("""COMPUTED_VALUE"""),1024.95)</f>
        <v>1024.95</v>
      </c>
      <c r="F26" s="6">
        <f>IFERROR(__xludf.DUMMYFUNCTION("""COMPUTED_VALUE"""),1.2184846E7)</f>
        <v>12184846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IFERROR(__xludf.DUMMYFUNCTION("""COMPUTED_VALUE"""),1120.9)</f>
        <v>1120.9</v>
      </c>
      <c r="C27" s="6">
        <f>IFERROR(__xludf.DUMMYFUNCTION("""COMPUTED_VALUE"""),1153.0)</f>
        <v>1153</v>
      </c>
      <c r="D27" s="6">
        <f>IFERROR(__xludf.DUMMYFUNCTION("""COMPUTED_VALUE"""),1048.0)</f>
        <v>1048</v>
      </c>
      <c r="E27" s="6">
        <f>IFERROR(__xludf.DUMMYFUNCTION("""COMPUTED_VALUE"""),1101.5)</f>
        <v>1101.5</v>
      </c>
      <c r="F27" s="6">
        <f>IFERROR(__xludf.DUMMYFUNCTION("""COMPUTED_VALUE"""),7183286.0)</f>
        <v>7183286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IFERROR(__xludf.DUMMYFUNCTION("""COMPUTED_VALUE"""),1110.95)</f>
        <v>1110.95</v>
      </c>
      <c r="C28" s="6">
        <f>IFERROR(__xludf.DUMMYFUNCTION("""COMPUTED_VALUE"""),1155.0)</f>
        <v>1155</v>
      </c>
      <c r="D28" s="6">
        <f>IFERROR(__xludf.DUMMYFUNCTION("""COMPUTED_VALUE"""),1035.05)</f>
        <v>1035.05</v>
      </c>
      <c r="E28" s="6">
        <f>IFERROR(__xludf.DUMMYFUNCTION("""COMPUTED_VALUE"""),1099.8)</f>
        <v>1099.8</v>
      </c>
      <c r="F28" s="6">
        <f>IFERROR(__xludf.DUMMYFUNCTION("""COMPUTED_VALUE"""),1.3179462E7)</f>
        <v>13179462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IFERROR(__xludf.DUMMYFUNCTION("""COMPUTED_VALUE"""),1099.8)</f>
        <v>1099.8</v>
      </c>
      <c r="C29" s="6">
        <f>IFERROR(__xludf.DUMMYFUNCTION("""COMPUTED_VALUE"""),1166.85)</f>
        <v>1166.85</v>
      </c>
      <c r="D29" s="6">
        <f>IFERROR(__xludf.DUMMYFUNCTION("""COMPUTED_VALUE"""),1090.0)</f>
        <v>1090</v>
      </c>
      <c r="E29" s="6">
        <f>IFERROR(__xludf.DUMMYFUNCTION("""COMPUTED_VALUE"""),1152.1)</f>
        <v>1152.1</v>
      </c>
      <c r="F29" s="6">
        <f>IFERROR(__xludf.DUMMYFUNCTION("""COMPUTED_VALUE"""),8330757.0)</f>
        <v>8330757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IFERROR(__xludf.DUMMYFUNCTION("""COMPUTED_VALUE"""),1160.6)</f>
        <v>1160.6</v>
      </c>
      <c r="C30" s="6">
        <f>IFERROR(__xludf.DUMMYFUNCTION("""COMPUTED_VALUE"""),1210.95)</f>
        <v>1210.95</v>
      </c>
      <c r="D30" s="6">
        <f>IFERROR(__xludf.DUMMYFUNCTION("""COMPUTED_VALUE"""),1101.05)</f>
        <v>1101.05</v>
      </c>
      <c r="E30" s="6">
        <f>IFERROR(__xludf.DUMMYFUNCTION("""COMPUTED_VALUE"""),1124.25)</f>
        <v>1124.25</v>
      </c>
      <c r="F30" s="6">
        <f>IFERROR(__xludf.DUMMYFUNCTION("""COMPUTED_VALUE"""),5363094.0)</f>
        <v>5363094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IFERROR(__xludf.DUMMYFUNCTION("""COMPUTED_VALUE"""),1124.25)</f>
        <v>1124.25</v>
      </c>
      <c r="C31" s="6">
        <f>IFERROR(__xludf.DUMMYFUNCTION("""COMPUTED_VALUE"""),1287.7)</f>
        <v>1287.7</v>
      </c>
      <c r="D31" s="6">
        <f>IFERROR(__xludf.DUMMYFUNCTION("""COMPUTED_VALUE"""),1108.05)</f>
        <v>1108.05</v>
      </c>
      <c r="E31" s="6">
        <f>IFERROR(__xludf.DUMMYFUNCTION("""COMPUTED_VALUE"""),1278.3)</f>
        <v>1278.3</v>
      </c>
      <c r="F31" s="6">
        <f>IFERROR(__xludf.DUMMYFUNCTION("""COMPUTED_VALUE"""),8857657.0)</f>
        <v>8857657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IFERROR(__xludf.DUMMYFUNCTION("""COMPUTED_VALUE"""),1274.05)</f>
        <v>1274.05</v>
      </c>
      <c r="C32" s="6">
        <f>IFERROR(__xludf.DUMMYFUNCTION("""COMPUTED_VALUE"""),1400.35)</f>
        <v>1400.35</v>
      </c>
      <c r="D32" s="6">
        <f>IFERROR(__xludf.DUMMYFUNCTION("""COMPUTED_VALUE"""),1256.1)</f>
        <v>1256.1</v>
      </c>
      <c r="E32" s="6">
        <f>IFERROR(__xludf.DUMMYFUNCTION("""COMPUTED_VALUE"""),1264.15)</f>
        <v>1264.15</v>
      </c>
      <c r="F32" s="6">
        <f>IFERROR(__xludf.DUMMYFUNCTION("""COMPUTED_VALUE"""),1.0799632E7)</f>
        <v>10799632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IFERROR(__xludf.DUMMYFUNCTION("""COMPUTED_VALUE"""),1211.0)</f>
        <v>1211</v>
      </c>
      <c r="C33" s="6">
        <f>IFERROR(__xludf.DUMMYFUNCTION("""COMPUTED_VALUE"""),1255.9)</f>
        <v>1255.9</v>
      </c>
      <c r="D33" s="6">
        <f>IFERROR(__xludf.DUMMYFUNCTION("""COMPUTED_VALUE"""),1180.25)</f>
        <v>1180.25</v>
      </c>
      <c r="E33" s="6">
        <f>IFERROR(__xludf.DUMMYFUNCTION("""COMPUTED_VALUE"""),1197.45)</f>
        <v>1197.45</v>
      </c>
      <c r="F33" s="6">
        <f>IFERROR(__xludf.DUMMYFUNCTION("""COMPUTED_VALUE"""),6744576.0)</f>
        <v>6744576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IFERROR(__xludf.DUMMYFUNCTION("""COMPUTED_VALUE"""),1221.85)</f>
        <v>1221.85</v>
      </c>
      <c r="C34" s="6">
        <f>IFERROR(__xludf.DUMMYFUNCTION("""COMPUTED_VALUE"""),1275.0)</f>
        <v>1275</v>
      </c>
      <c r="D34" s="6">
        <f>IFERROR(__xludf.DUMMYFUNCTION("""COMPUTED_VALUE"""),1178.0)</f>
        <v>1178</v>
      </c>
      <c r="E34" s="6">
        <f>IFERROR(__xludf.DUMMYFUNCTION("""COMPUTED_VALUE"""),1257.7)</f>
        <v>1257.7</v>
      </c>
      <c r="F34" s="6">
        <f>IFERROR(__xludf.DUMMYFUNCTION("""COMPUTED_VALUE"""),7647355.0)</f>
        <v>7647355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IFERROR(__xludf.DUMMYFUNCTION("""COMPUTED_VALUE"""),1240.0)</f>
        <v>1240</v>
      </c>
      <c r="C35" s="6">
        <f>IFERROR(__xludf.DUMMYFUNCTION("""COMPUTED_VALUE"""),1318.0)</f>
        <v>1318</v>
      </c>
      <c r="D35" s="6">
        <f>IFERROR(__xludf.DUMMYFUNCTION("""COMPUTED_VALUE"""),1227.3)</f>
        <v>1227.3</v>
      </c>
      <c r="E35" s="6">
        <f>IFERROR(__xludf.DUMMYFUNCTION("""COMPUTED_VALUE"""),1293.85)</f>
        <v>1293.85</v>
      </c>
      <c r="F35" s="6">
        <f>IFERROR(__xludf.DUMMYFUNCTION("""COMPUTED_VALUE"""),5174589.0)</f>
        <v>5174589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IFERROR(__xludf.DUMMYFUNCTION("""COMPUTED_VALUE"""),1293.85)</f>
        <v>1293.85</v>
      </c>
      <c r="C36" s="6">
        <f>IFERROR(__xludf.DUMMYFUNCTION("""COMPUTED_VALUE"""),1301.2)</f>
        <v>1301.2</v>
      </c>
      <c r="D36" s="6">
        <f>IFERROR(__xludf.DUMMYFUNCTION("""COMPUTED_VALUE"""),1159.05)</f>
        <v>1159.05</v>
      </c>
      <c r="E36" s="6">
        <f>IFERROR(__xludf.DUMMYFUNCTION("""COMPUTED_VALUE"""),1202.25)</f>
        <v>1202.25</v>
      </c>
      <c r="F36" s="6">
        <f>IFERROR(__xludf.DUMMYFUNCTION("""COMPUTED_VALUE"""),9573602.0)</f>
        <v>9573602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IFERROR(__xludf.DUMMYFUNCTION("""COMPUTED_VALUE"""),1375.0)</f>
        <v>1375</v>
      </c>
      <c r="C37" s="6">
        <f>IFERROR(__xludf.DUMMYFUNCTION("""COMPUTED_VALUE"""),1375.0)</f>
        <v>1375</v>
      </c>
      <c r="D37" s="6">
        <f>IFERROR(__xludf.DUMMYFUNCTION("""COMPUTED_VALUE"""),1231.2)</f>
        <v>1231.2</v>
      </c>
      <c r="E37" s="6">
        <f>IFERROR(__xludf.DUMMYFUNCTION("""COMPUTED_VALUE"""),1275.65)</f>
        <v>1275.65</v>
      </c>
      <c r="F37" s="6">
        <f>IFERROR(__xludf.DUMMYFUNCTION("""COMPUTED_VALUE"""),7780879.0)</f>
        <v>7780879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IFERROR(__xludf.DUMMYFUNCTION("""COMPUTED_VALUE"""),1277.3)</f>
        <v>1277.3</v>
      </c>
      <c r="C38" s="6">
        <f>IFERROR(__xludf.DUMMYFUNCTION("""COMPUTED_VALUE"""),1345.0)</f>
        <v>1345</v>
      </c>
      <c r="D38" s="6">
        <f>IFERROR(__xludf.DUMMYFUNCTION("""COMPUTED_VALUE"""),1161.3)</f>
        <v>1161.3</v>
      </c>
      <c r="E38" s="6">
        <f>IFERROR(__xludf.DUMMYFUNCTION("""COMPUTED_VALUE"""),1294.4)</f>
        <v>1294.4</v>
      </c>
      <c r="F38" s="6">
        <f>IFERROR(__xludf.DUMMYFUNCTION("""COMPUTED_VALUE"""),5.5697895E7)</f>
        <v>55697895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IFERROR(__xludf.DUMMYFUNCTION("""COMPUTED_VALUE"""),1292.9)</f>
        <v>1292.9</v>
      </c>
      <c r="C39" s="6">
        <f>IFERROR(__xludf.DUMMYFUNCTION("""COMPUTED_VALUE"""),1360.5)</f>
        <v>1360.5</v>
      </c>
      <c r="D39" s="6">
        <f>IFERROR(__xludf.DUMMYFUNCTION("""COMPUTED_VALUE"""),1193.05)</f>
        <v>1193.05</v>
      </c>
      <c r="E39" s="6">
        <f>IFERROR(__xludf.DUMMYFUNCTION("""COMPUTED_VALUE"""),1292.1)</f>
        <v>1292.1</v>
      </c>
      <c r="F39" s="6">
        <f>IFERROR(__xludf.DUMMYFUNCTION("""COMPUTED_VALUE"""),1.0964704E7)</f>
        <v>10964704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IFERROR(__xludf.DUMMYFUNCTION("""COMPUTED_VALUE"""),1294.0)</f>
        <v>1294</v>
      </c>
      <c r="C40" s="6">
        <f>IFERROR(__xludf.DUMMYFUNCTION("""COMPUTED_VALUE"""),1378.7)</f>
        <v>1378.7</v>
      </c>
      <c r="D40" s="6">
        <f>IFERROR(__xludf.DUMMYFUNCTION("""COMPUTED_VALUE"""),1282.45)</f>
        <v>1282.45</v>
      </c>
      <c r="E40" s="6">
        <f>IFERROR(__xludf.DUMMYFUNCTION("""COMPUTED_VALUE"""),1372.05)</f>
        <v>1372.05</v>
      </c>
      <c r="F40" s="6">
        <f>IFERROR(__xludf.DUMMYFUNCTION("""COMPUTED_VALUE"""),4368441.0)</f>
        <v>4368441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IFERROR(__xludf.DUMMYFUNCTION("""COMPUTED_VALUE"""),1386.25)</f>
        <v>1386.25</v>
      </c>
      <c r="C41" s="6">
        <f>IFERROR(__xludf.DUMMYFUNCTION("""COMPUTED_VALUE"""),1404.5)</f>
        <v>1404.5</v>
      </c>
      <c r="D41" s="6">
        <f>IFERROR(__xludf.DUMMYFUNCTION("""COMPUTED_VALUE"""),1322.0)</f>
        <v>1322</v>
      </c>
      <c r="E41" s="6">
        <f>IFERROR(__xludf.DUMMYFUNCTION("""COMPUTED_VALUE"""),1335.2)</f>
        <v>1335.2</v>
      </c>
      <c r="F41" s="6">
        <f>IFERROR(__xludf.DUMMYFUNCTION("""COMPUTED_VALUE"""),3711326.0)</f>
        <v>3711326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IFERROR(__xludf.DUMMYFUNCTION("""COMPUTED_VALUE"""),1340.75)</f>
        <v>1340.75</v>
      </c>
      <c r="C42" s="6">
        <f>IFERROR(__xludf.DUMMYFUNCTION("""COMPUTED_VALUE"""),1458.0)</f>
        <v>1458</v>
      </c>
      <c r="D42" s="6">
        <f>IFERROR(__xludf.DUMMYFUNCTION("""COMPUTED_VALUE"""),1272.8)</f>
        <v>1272.8</v>
      </c>
      <c r="E42" s="6">
        <f>IFERROR(__xludf.DUMMYFUNCTION("""COMPUTED_VALUE"""),1397.25)</f>
        <v>1397.25</v>
      </c>
      <c r="F42" s="6">
        <f>IFERROR(__xludf.DUMMYFUNCTION("""COMPUTED_VALUE"""),1.1607647E7)</f>
        <v>11607647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IFERROR(__xludf.DUMMYFUNCTION("""COMPUTED_VALUE"""),1400.2)</f>
        <v>1400.2</v>
      </c>
      <c r="C43" s="6">
        <f>IFERROR(__xludf.DUMMYFUNCTION("""COMPUTED_VALUE"""),1543.0)</f>
        <v>1543</v>
      </c>
      <c r="D43" s="6">
        <f>IFERROR(__xludf.DUMMYFUNCTION("""COMPUTED_VALUE"""),1375.0)</f>
        <v>1375</v>
      </c>
      <c r="E43" s="6">
        <f>IFERROR(__xludf.DUMMYFUNCTION("""COMPUTED_VALUE"""),1379.45)</f>
        <v>1379.45</v>
      </c>
      <c r="F43" s="6">
        <f>IFERROR(__xludf.DUMMYFUNCTION("""COMPUTED_VALUE"""),1.0484491E7)</f>
        <v>10484491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IFERROR(__xludf.DUMMYFUNCTION("""COMPUTED_VALUE"""),1381.15)</f>
        <v>1381.15</v>
      </c>
      <c r="C44" s="6">
        <f>IFERROR(__xludf.DUMMYFUNCTION("""COMPUTED_VALUE"""),1475.0)</f>
        <v>1475</v>
      </c>
      <c r="D44" s="6">
        <f>IFERROR(__xludf.DUMMYFUNCTION("""COMPUTED_VALUE"""),1362.55)</f>
        <v>1362.55</v>
      </c>
      <c r="E44" s="6">
        <f>IFERROR(__xludf.DUMMYFUNCTION("""COMPUTED_VALUE"""),1464.2)</f>
        <v>1464.2</v>
      </c>
      <c r="F44" s="6">
        <f>IFERROR(__xludf.DUMMYFUNCTION("""COMPUTED_VALUE"""),4797721.0)</f>
        <v>4797721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IFERROR(__xludf.DUMMYFUNCTION("""COMPUTED_VALUE"""),1464.2)</f>
        <v>1464.2</v>
      </c>
      <c r="C45" s="6">
        <f>IFERROR(__xludf.DUMMYFUNCTION("""COMPUTED_VALUE"""),1487.0)</f>
        <v>1487</v>
      </c>
      <c r="D45" s="6">
        <f>IFERROR(__xludf.DUMMYFUNCTION("""COMPUTED_VALUE"""),1386.0)</f>
        <v>1386</v>
      </c>
      <c r="E45" s="6">
        <f>IFERROR(__xludf.DUMMYFUNCTION("""COMPUTED_VALUE"""),1413.05)</f>
        <v>1413.05</v>
      </c>
      <c r="F45" s="6">
        <f>IFERROR(__xludf.DUMMYFUNCTION("""COMPUTED_VALUE"""),2681589.0)</f>
        <v>2681589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IFERROR(__xludf.DUMMYFUNCTION("""COMPUTED_VALUE"""),1423.7)</f>
        <v>1423.7</v>
      </c>
      <c r="C46" s="6">
        <f>IFERROR(__xludf.DUMMYFUNCTION("""COMPUTED_VALUE"""),1512.0)</f>
        <v>1512</v>
      </c>
      <c r="D46" s="6">
        <f>IFERROR(__xludf.DUMMYFUNCTION("""COMPUTED_VALUE"""),1394.15)</f>
        <v>1394.15</v>
      </c>
      <c r="E46" s="6">
        <f>IFERROR(__xludf.DUMMYFUNCTION("""COMPUTED_VALUE"""),1498.9)</f>
        <v>1498.9</v>
      </c>
      <c r="F46" s="6">
        <f>IFERROR(__xludf.DUMMYFUNCTION("""COMPUTED_VALUE"""),3125642.0)</f>
        <v>3125642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IFERROR(__xludf.DUMMYFUNCTION("""COMPUTED_VALUE"""),1499.0)</f>
        <v>1499</v>
      </c>
      <c r="C47" s="6">
        <f>IFERROR(__xludf.DUMMYFUNCTION("""COMPUTED_VALUE"""),1521.7)</f>
        <v>1521.7</v>
      </c>
      <c r="D47" s="6">
        <f>IFERROR(__xludf.DUMMYFUNCTION("""COMPUTED_VALUE"""),1424.2)</f>
        <v>1424.2</v>
      </c>
      <c r="E47" s="6">
        <f>IFERROR(__xludf.DUMMYFUNCTION("""COMPUTED_VALUE"""),1500.8)</f>
        <v>1500.8</v>
      </c>
      <c r="F47" s="6">
        <f>IFERROR(__xludf.DUMMYFUNCTION("""COMPUTED_VALUE"""),5131474.0)</f>
        <v>5131474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IFERROR(__xludf.DUMMYFUNCTION("""COMPUTED_VALUE"""),1484.45)</f>
        <v>1484.45</v>
      </c>
      <c r="C48" s="6">
        <f>IFERROR(__xludf.DUMMYFUNCTION("""COMPUTED_VALUE"""),1551.95)</f>
        <v>1551.95</v>
      </c>
      <c r="D48" s="6">
        <f>IFERROR(__xludf.DUMMYFUNCTION("""COMPUTED_VALUE"""),1416.0)</f>
        <v>1416</v>
      </c>
      <c r="E48" s="6">
        <f>IFERROR(__xludf.DUMMYFUNCTION("""COMPUTED_VALUE"""),1462.45)</f>
        <v>1462.45</v>
      </c>
      <c r="F48" s="6">
        <f>IFERROR(__xludf.DUMMYFUNCTION("""COMPUTED_VALUE"""),6932463.0)</f>
        <v>6932463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IFERROR(__xludf.DUMMYFUNCTION("""COMPUTED_VALUE"""),1435.0)</f>
        <v>1435</v>
      </c>
      <c r="C49" s="6">
        <f>IFERROR(__xludf.DUMMYFUNCTION("""COMPUTED_VALUE"""),1709.95)</f>
        <v>1709.95</v>
      </c>
      <c r="D49" s="6">
        <f>IFERROR(__xludf.DUMMYFUNCTION("""COMPUTED_VALUE"""),1421.3)</f>
        <v>1421.3</v>
      </c>
      <c r="E49" s="6">
        <f>IFERROR(__xludf.DUMMYFUNCTION("""COMPUTED_VALUE"""),1691.95)</f>
        <v>1691.95</v>
      </c>
      <c r="F49" s="6">
        <f>IFERROR(__xludf.DUMMYFUNCTION("""COMPUTED_VALUE"""),1.5935405E7)</f>
        <v>15935405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IFERROR(__xludf.DUMMYFUNCTION("""COMPUTED_VALUE"""),1703.85)</f>
        <v>1703.85</v>
      </c>
      <c r="C50" s="6">
        <f>IFERROR(__xludf.DUMMYFUNCTION("""COMPUTED_VALUE"""),1763.2)</f>
        <v>1763.2</v>
      </c>
      <c r="D50" s="6">
        <f>IFERROR(__xludf.DUMMYFUNCTION("""COMPUTED_VALUE"""),1590.15)</f>
        <v>1590.15</v>
      </c>
      <c r="E50" s="6">
        <f>IFERROR(__xludf.DUMMYFUNCTION("""COMPUTED_VALUE"""),1685.95)</f>
        <v>1685.95</v>
      </c>
      <c r="F50" s="6">
        <f>IFERROR(__xludf.DUMMYFUNCTION("""COMPUTED_VALUE"""),6507244.0)</f>
        <v>6507244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IFERROR(__xludf.DUMMYFUNCTION("""COMPUTED_VALUE"""),1701.1)</f>
        <v>1701.1</v>
      </c>
      <c r="C51" s="6">
        <f>IFERROR(__xludf.DUMMYFUNCTION("""COMPUTED_VALUE"""),1849.9)</f>
        <v>1849.9</v>
      </c>
      <c r="D51" s="6">
        <f>IFERROR(__xludf.DUMMYFUNCTION("""COMPUTED_VALUE"""),1670.05)</f>
        <v>1670.05</v>
      </c>
      <c r="E51" s="6">
        <f>IFERROR(__xludf.DUMMYFUNCTION("""COMPUTED_VALUE"""),1772.25)</f>
        <v>1772.25</v>
      </c>
      <c r="F51" s="6">
        <f>IFERROR(__xludf.DUMMYFUNCTION("""COMPUTED_VALUE"""),8838039.0)</f>
        <v>8838039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IFERROR(__xludf.DUMMYFUNCTION("""COMPUTED_VALUE"""),1783.0)</f>
        <v>1783</v>
      </c>
      <c r="C52" s="6">
        <f>IFERROR(__xludf.DUMMYFUNCTION("""COMPUTED_VALUE"""),1783.5)</f>
        <v>1783.5</v>
      </c>
      <c r="D52" s="6">
        <f>IFERROR(__xludf.DUMMYFUNCTION("""COMPUTED_VALUE"""),1709.1)</f>
        <v>1709.1</v>
      </c>
      <c r="E52" s="6">
        <f>IFERROR(__xludf.DUMMYFUNCTION("""COMPUTED_VALUE"""),1715.0)</f>
        <v>1715</v>
      </c>
      <c r="F52" s="6">
        <f>IFERROR(__xludf.DUMMYFUNCTION("""COMPUTED_VALUE"""),5085548.0)</f>
        <v>5085548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IFERROR(__xludf.DUMMYFUNCTION("""COMPUTED_VALUE"""),1715.0)</f>
        <v>1715</v>
      </c>
      <c r="C53" s="6">
        <f>IFERROR(__xludf.DUMMYFUNCTION("""COMPUTED_VALUE"""),1837.3)</f>
        <v>1837.3</v>
      </c>
      <c r="D53" s="6">
        <f>IFERROR(__xludf.DUMMYFUNCTION("""COMPUTED_VALUE"""),1680.55)</f>
        <v>1680.55</v>
      </c>
      <c r="E53" s="6">
        <f>IFERROR(__xludf.DUMMYFUNCTION("""COMPUTED_VALUE"""),1814.1)</f>
        <v>1814.1</v>
      </c>
      <c r="F53" s="6">
        <f>IFERROR(__xludf.DUMMYFUNCTION("""COMPUTED_VALUE"""),3846462.0)</f>
        <v>3846462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IFERROR(__xludf.DUMMYFUNCTION("""COMPUTED_VALUE"""),1839.25)</f>
        <v>1839.25</v>
      </c>
      <c r="C54" s="6">
        <f>IFERROR(__xludf.DUMMYFUNCTION("""COMPUTED_VALUE"""),1966.5)</f>
        <v>1966.5</v>
      </c>
      <c r="D54" s="6">
        <f>IFERROR(__xludf.DUMMYFUNCTION("""COMPUTED_VALUE"""),1751.85)</f>
        <v>1751.85</v>
      </c>
      <c r="E54" s="6">
        <f>IFERROR(__xludf.DUMMYFUNCTION("""COMPUTED_VALUE"""),1931.45)</f>
        <v>1931.45</v>
      </c>
      <c r="F54" s="6">
        <f>IFERROR(__xludf.DUMMYFUNCTION("""COMPUTED_VALUE"""),6555866.0)</f>
        <v>6555866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IFERROR(__xludf.DUMMYFUNCTION("""COMPUTED_VALUE"""),1930.3)</f>
        <v>1930.3</v>
      </c>
      <c r="C55" s="6">
        <f>IFERROR(__xludf.DUMMYFUNCTION("""COMPUTED_VALUE"""),1933.9)</f>
        <v>1933.9</v>
      </c>
      <c r="D55" s="6">
        <f>IFERROR(__xludf.DUMMYFUNCTION("""COMPUTED_VALUE"""),1545.05)</f>
        <v>1545.05</v>
      </c>
      <c r="E55" s="6">
        <f>IFERROR(__xludf.DUMMYFUNCTION("""COMPUTED_VALUE"""),1640.8)</f>
        <v>1640.8</v>
      </c>
      <c r="F55" s="6">
        <f>IFERROR(__xludf.DUMMYFUNCTION("""COMPUTED_VALUE"""),2.1284103E7)</f>
        <v>21284103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IFERROR(__xludf.DUMMYFUNCTION("""COMPUTED_VALUE"""),1660.0)</f>
        <v>1660</v>
      </c>
      <c r="C56" s="6">
        <f>IFERROR(__xludf.DUMMYFUNCTION("""COMPUTED_VALUE"""),1779.0)</f>
        <v>1779</v>
      </c>
      <c r="D56" s="6">
        <f>IFERROR(__xludf.DUMMYFUNCTION("""COMPUTED_VALUE"""),1595.4)</f>
        <v>1595.4</v>
      </c>
      <c r="E56" s="6">
        <f>IFERROR(__xludf.DUMMYFUNCTION("""COMPUTED_VALUE"""),1713.55)</f>
        <v>1713.55</v>
      </c>
      <c r="F56" s="6">
        <f>IFERROR(__xludf.DUMMYFUNCTION("""COMPUTED_VALUE"""),1.420052E7)</f>
        <v>14200520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IFERROR(__xludf.DUMMYFUNCTION("""COMPUTED_VALUE"""),1705.0)</f>
        <v>1705</v>
      </c>
      <c r="C57" s="6">
        <f>IFERROR(__xludf.DUMMYFUNCTION("""COMPUTED_VALUE"""),1747.8)</f>
        <v>1747.8</v>
      </c>
      <c r="D57" s="6">
        <f>IFERROR(__xludf.DUMMYFUNCTION("""COMPUTED_VALUE"""),1605.0)</f>
        <v>1605</v>
      </c>
      <c r="E57" s="6">
        <f>IFERROR(__xludf.DUMMYFUNCTION("""COMPUTED_VALUE"""),1639.05)</f>
        <v>1639.05</v>
      </c>
      <c r="F57" s="6">
        <f>IFERROR(__xludf.DUMMYFUNCTION("""COMPUTED_VALUE"""),8033772.0)</f>
        <v>8033772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IFERROR(__xludf.DUMMYFUNCTION("""COMPUTED_VALUE"""),1654.0)</f>
        <v>1654</v>
      </c>
      <c r="C58" s="6">
        <f>IFERROR(__xludf.DUMMYFUNCTION("""COMPUTED_VALUE"""),1730.0)</f>
        <v>1730</v>
      </c>
      <c r="D58" s="6">
        <f>IFERROR(__xludf.DUMMYFUNCTION("""COMPUTED_VALUE"""),1642.45)</f>
        <v>1642.45</v>
      </c>
      <c r="E58" s="6">
        <f>IFERROR(__xludf.DUMMYFUNCTION("""COMPUTED_VALUE"""),1683.6)</f>
        <v>1683.6</v>
      </c>
      <c r="F58" s="6">
        <f>IFERROR(__xludf.DUMMYFUNCTION("""COMPUTED_VALUE"""),5761619.0)</f>
        <v>5761619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IFERROR(__xludf.DUMMYFUNCTION("""COMPUTED_VALUE"""),1689.9)</f>
        <v>1689.9</v>
      </c>
      <c r="C59" s="6">
        <f>IFERROR(__xludf.DUMMYFUNCTION("""COMPUTED_VALUE"""),1710.0)</f>
        <v>1710</v>
      </c>
      <c r="D59" s="6">
        <f>IFERROR(__xludf.DUMMYFUNCTION("""COMPUTED_VALUE"""),1605.3)</f>
        <v>1605.3</v>
      </c>
      <c r="E59" s="6">
        <f>IFERROR(__xludf.DUMMYFUNCTION("""COMPUTED_VALUE"""),1639.75)</f>
        <v>1639.75</v>
      </c>
      <c r="F59" s="6">
        <f>IFERROR(__xludf.DUMMYFUNCTION("""COMPUTED_VALUE"""),4004567.0)</f>
        <v>4004567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IFERROR(__xludf.DUMMYFUNCTION("""COMPUTED_VALUE"""),1706.8)</f>
        <v>1706.8</v>
      </c>
      <c r="C60" s="6">
        <f>IFERROR(__xludf.DUMMYFUNCTION("""COMPUTED_VALUE"""),1764.75)</f>
        <v>1764.75</v>
      </c>
      <c r="D60" s="6">
        <f>IFERROR(__xludf.DUMMYFUNCTION("""COMPUTED_VALUE"""),1596.6)</f>
        <v>1596.6</v>
      </c>
      <c r="E60" s="6">
        <f>IFERROR(__xludf.DUMMYFUNCTION("""COMPUTED_VALUE"""),1678.7)</f>
        <v>1678.7</v>
      </c>
      <c r="F60" s="6">
        <f>IFERROR(__xludf.DUMMYFUNCTION("""COMPUTED_VALUE"""),9374954.0)</f>
        <v>9374954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IFERROR(__xludf.DUMMYFUNCTION("""COMPUTED_VALUE"""),1663.1)</f>
        <v>1663.1</v>
      </c>
      <c r="C61" s="6">
        <f>IFERROR(__xludf.DUMMYFUNCTION("""COMPUTED_VALUE"""),1745.0)</f>
        <v>1745</v>
      </c>
      <c r="D61" s="6">
        <f>IFERROR(__xludf.DUMMYFUNCTION("""COMPUTED_VALUE"""),1625.05)</f>
        <v>1625.05</v>
      </c>
      <c r="E61" s="6">
        <f>IFERROR(__xludf.DUMMYFUNCTION("""COMPUTED_VALUE"""),1724.5)</f>
        <v>1724.5</v>
      </c>
      <c r="F61" s="6">
        <f>IFERROR(__xludf.DUMMYFUNCTION("""COMPUTED_VALUE"""),2642472.0)</f>
        <v>2642472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IFERROR(__xludf.DUMMYFUNCTION("""COMPUTED_VALUE"""),1683.85)</f>
        <v>1683.85</v>
      </c>
      <c r="C62" s="6">
        <f>IFERROR(__xludf.DUMMYFUNCTION("""COMPUTED_VALUE"""),1807.7)</f>
        <v>1807.7</v>
      </c>
      <c r="D62" s="6">
        <f>IFERROR(__xludf.DUMMYFUNCTION("""COMPUTED_VALUE"""),1672.3)</f>
        <v>1672.3</v>
      </c>
      <c r="E62" s="6">
        <f>IFERROR(__xludf.DUMMYFUNCTION("""COMPUTED_VALUE"""),1729.25)</f>
        <v>1729.25</v>
      </c>
      <c r="F62" s="6">
        <f>IFERROR(__xludf.DUMMYFUNCTION("""COMPUTED_VALUE"""),3860675.0)</f>
        <v>3860675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IFERROR(__xludf.DUMMYFUNCTION("""COMPUTED_VALUE"""),1763.0)</f>
        <v>1763</v>
      </c>
      <c r="C63" s="6">
        <f>IFERROR(__xludf.DUMMYFUNCTION("""COMPUTED_VALUE"""),1920.2)</f>
        <v>1920.2</v>
      </c>
      <c r="D63" s="6">
        <f>IFERROR(__xludf.DUMMYFUNCTION("""COMPUTED_VALUE"""),1712.4)</f>
        <v>1712.4</v>
      </c>
      <c r="E63" s="6">
        <f>IFERROR(__xludf.DUMMYFUNCTION("""COMPUTED_VALUE"""),1893.9)</f>
        <v>1893.9</v>
      </c>
      <c r="F63" s="6">
        <f>IFERROR(__xludf.DUMMYFUNCTION("""COMPUTED_VALUE"""),9015497.0)</f>
        <v>9015497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IFERROR(__xludf.DUMMYFUNCTION("""COMPUTED_VALUE"""),1888.4)</f>
        <v>1888.4</v>
      </c>
      <c r="C64" s="6">
        <f>IFERROR(__xludf.DUMMYFUNCTION("""COMPUTED_VALUE"""),2150.0)</f>
        <v>2150</v>
      </c>
      <c r="D64" s="6">
        <f>IFERROR(__xludf.DUMMYFUNCTION("""COMPUTED_VALUE"""),1848.15)</f>
        <v>1848.15</v>
      </c>
      <c r="E64" s="6">
        <f>IFERROR(__xludf.DUMMYFUNCTION("""COMPUTED_VALUE"""),2142.3)</f>
        <v>2142.3</v>
      </c>
      <c r="F64" s="6">
        <f>IFERROR(__xludf.DUMMYFUNCTION("""COMPUTED_VALUE"""),1.160895E7)</f>
        <v>11608950</v>
      </c>
    </row>
    <row r="65">
      <c r="A65" s="7">
        <f>IFERROR(__xludf.DUMMYFUNCTION("""COMPUTED_VALUE"""),45639.64583333333)</f>
        <v>45639.64583</v>
      </c>
      <c r="B65" s="6">
        <f>IFERROR(__xludf.DUMMYFUNCTION("""COMPUTED_VALUE"""),2117.45)</f>
        <v>2117.45</v>
      </c>
      <c r="C65" s="6">
        <f>IFERROR(__xludf.DUMMYFUNCTION("""COMPUTED_VALUE"""),2210.0)</f>
        <v>2210</v>
      </c>
      <c r="D65" s="6">
        <f>IFERROR(__xludf.DUMMYFUNCTION("""COMPUTED_VALUE"""),2048.3)</f>
        <v>2048.3</v>
      </c>
      <c r="E65" s="6">
        <f>IFERROR(__xludf.DUMMYFUNCTION("""COMPUTED_VALUE"""),2104.05)</f>
        <v>2104.05</v>
      </c>
      <c r="F65" s="6">
        <f>IFERROR(__xludf.DUMMYFUNCTION("""COMPUTED_VALUE"""),7386177.0)</f>
        <v>7386177</v>
      </c>
    </row>
    <row r="66">
      <c r="A66" s="7">
        <f>IFERROR(__xludf.DUMMYFUNCTION("""COMPUTED_VALUE"""),45646.64583333333)</f>
        <v>45646.64583</v>
      </c>
      <c r="B66" s="6">
        <f>IFERROR(__xludf.DUMMYFUNCTION("""COMPUTED_VALUE"""),2094.1)</f>
        <v>2094.1</v>
      </c>
      <c r="C66" s="6">
        <f>IFERROR(__xludf.DUMMYFUNCTION("""COMPUTED_VALUE"""),2179.55)</f>
        <v>2179.55</v>
      </c>
      <c r="D66" s="6">
        <f>IFERROR(__xludf.DUMMYFUNCTION("""COMPUTED_VALUE"""),2056.2)</f>
        <v>2056.2</v>
      </c>
      <c r="E66" s="6">
        <f>IFERROR(__xludf.DUMMYFUNCTION("""COMPUTED_VALUE"""),2092.15)</f>
        <v>2092.15</v>
      </c>
      <c r="F66" s="6">
        <f>IFERROR(__xludf.DUMMYFUNCTION("""COMPUTED_VALUE"""),6088012.0)</f>
        <v>6088012</v>
      </c>
    </row>
    <row r="67">
      <c r="A67" s="7">
        <f>IFERROR(__xludf.DUMMYFUNCTION("""COMPUTED_VALUE"""),45653.64583333333)</f>
        <v>45653.64583</v>
      </c>
      <c r="B67" s="6">
        <f>IFERROR(__xludf.DUMMYFUNCTION("""COMPUTED_VALUE"""),2092.15)</f>
        <v>2092.15</v>
      </c>
      <c r="C67" s="6">
        <f>IFERROR(__xludf.DUMMYFUNCTION("""COMPUTED_VALUE"""),2141.75)</f>
        <v>2141.75</v>
      </c>
      <c r="D67" s="6">
        <f>IFERROR(__xludf.DUMMYFUNCTION("""COMPUTED_VALUE"""),2025.05)</f>
        <v>2025.05</v>
      </c>
      <c r="E67" s="6">
        <f>IFERROR(__xludf.DUMMYFUNCTION("""COMPUTED_VALUE"""),2052.75)</f>
        <v>2052.75</v>
      </c>
      <c r="F67" s="6">
        <f>IFERROR(__xludf.DUMMYFUNCTION("""COMPUTED_VALUE"""),3642349.0)</f>
        <v>3642349</v>
      </c>
    </row>
    <row r="68">
      <c r="A68" s="7">
        <f>IFERROR(__xludf.DUMMYFUNCTION("""COMPUTED_VALUE"""),45660.64583333333)</f>
        <v>45660.64583</v>
      </c>
      <c r="B68" s="6">
        <f>IFERROR(__xludf.DUMMYFUNCTION("""COMPUTED_VALUE"""),2035.0)</f>
        <v>2035</v>
      </c>
      <c r="C68" s="6">
        <f>IFERROR(__xludf.DUMMYFUNCTION("""COMPUTED_VALUE"""),2246.9)</f>
        <v>2246.9</v>
      </c>
      <c r="D68" s="6">
        <f>IFERROR(__xludf.DUMMYFUNCTION("""COMPUTED_VALUE"""),2031.95)</f>
        <v>2031.95</v>
      </c>
      <c r="E68" s="6">
        <f>IFERROR(__xludf.DUMMYFUNCTION("""COMPUTED_VALUE"""),2215.85)</f>
        <v>2215.85</v>
      </c>
      <c r="F68" s="6">
        <f>IFERROR(__xludf.DUMMYFUNCTION("""COMPUTED_VALUE"""),1.0001233E7)</f>
        <v>10001233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IFERROR(__xludf.DUMMYFUNCTION("""COMPUTED_VALUE"""),2220.0)</f>
        <v>2220</v>
      </c>
      <c r="C69" s="6">
        <f>IFERROR(__xludf.DUMMYFUNCTION("""COMPUTED_VALUE"""),2236.95)</f>
        <v>2236.95</v>
      </c>
      <c r="D69" s="6">
        <f>IFERROR(__xludf.DUMMYFUNCTION("""COMPUTED_VALUE"""),1840.85)</f>
        <v>1840.85</v>
      </c>
      <c r="E69" s="6">
        <f>IFERROR(__xludf.DUMMYFUNCTION("""COMPUTED_VALUE"""),1862.95)</f>
        <v>1862.95</v>
      </c>
      <c r="F69" s="6">
        <f>IFERROR(__xludf.DUMMYFUNCTION("""COMPUTED_VALUE"""),6903101.0)</f>
        <v>6903101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IFERROR(__xludf.DUMMYFUNCTION("""COMPUTED_VALUE"""),1784.8)</f>
        <v>1784.8</v>
      </c>
      <c r="C70" s="6">
        <f>IFERROR(__xludf.DUMMYFUNCTION("""COMPUTED_VALUE"""),1841.35)</f>
        <v>1841.35</v>
      </c>
      <c r="D70" s="6">
        <f>IFERROR(__xludf.DUMMYFUNCTION("""COMPUTED_VALUE"""),1676.0)</f>
        <v>1676</v>
      </c>
      <c r="E70" s="6">
        <f>IFERROR(__xludf.DUMMYFUNCTION("""COMPUTED_VALUE"""),1724.4)</f>
        <v>1724.4</v>
      </c>
      <c r="F70" s="6">
        <f>IFERROR(__xludf.DUMMYFUNCTION("""COMPUTED_VALUE"""),1.1130402E7)</f>
        <v>11130402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IFERROR(__xludf.DUMMYFUNCTION("""COMPUTED_VALUE"""),1714.4)</f>
        <v>1714.4</v>
      </c>
      <c r="C71" s="6">
        <f>IFERROR(__xludf.DUMMYFUNCTION("""COMPUTED_VALUE"""),1774.0)</f>
        <v>1774</v>
      </c>
      <c r="D71" s="6">
        <f>IFERROR(__xludf.DUMMYFUNCTION("""COMPUTED_VALUE"""),1547.25)</f>
        <v>1547.25</v>
      </c>
      <c r="E71" s="6">
        <f>IFERROR(__xludf.DUMMYFUNCTION("""COMPUTED_VALUE"""),1694.7)</f>
        <v>1694.7</v>
      </c>
      <c r="F71" s="6">
        <f>IFERROR(__xludf.DUMMYFUNCTION("""COMPUTED_VALUE"""),7924126.0)</f>
        <v>7924126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IFERROR(__xludf.DUMMYFUNCTION("""COMPUTED_VALUE"""),1662.65)</f>
        <v>1662.65</v>
      </c>
      <c r="C72" s="6">
        <f>IFERROR(__xludf.DUMMYFUNCTION("""COMPUTED_VALUE"""),1777.1)</f>
        <v>1777.1</v>
      </c>
      <c r="D72" s="6">
        <f>IFERROR(__xludf.DUMMYFUNCTION("""COMPUTED_VALUE"""),1647.35)</f>
        <v>1647.35</v>
      </c>
      <c r="E72" s="6">
        <f>IFERROR(__xludf.DUMMYFUNCTION("""COMPUTED_VALUE"""),1725.4)</f>
        <v>1725.4</v>
      </c>
      <c r="F72" s="6">
        <f>IFERROR(__xludf.DUMMYFUNCTION("""COMPUTED_VALUE"""),5484844.0)</f>
        <v>5484844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IFERROR(__xludf.DUMMYFUNCTION("""COMPUTED_VALUE"""),1725.0)</f>
        <v>1725</v>
      </c>
      <c r="C73" s="6">
        <f>IFERROR(__xludf.DUMMYFUNCTION("""COMPUTED_VALUE"""),1732.5)</f>
        <v>1732.5</v>
      </c>
      <c r="D73" s="6">
        <f>IFERROR(__xludf.DUMMYFUNCTION("""COMPUTED_VALUE"""),1487.5)</f>
        <v>1487.5</v>
      </c>
      <c r="E73" s="6">
        <f>IFERROR(__xludf.DUMMYFUNCTION("""COMPUTED_VALUE"""),1574.0)</f>
        <v>1574</v>
      </c>
      <c r="F73" s="6">
        <f>IFERROR(__xludf.DUMMYFUNCTION("""COMPUTED_VALUE"""),8562204.0)</f>
        <v>8562204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IFERROR(__xludf.DUMMYFUNCTION("""COMPUTED_VALUE"""),1542.1)</f>
        <v>1542.1</v>
      </c>
      <c r="C74" s="6">
        <f>IFERROR(__xludf.DUMMYFUNCTION("""COMPUTED_VALUE"""),1575.55)</f>
        <v>1575.55</v>
      </c>
      <c r="D74" s="6">
        <f>IFERROR(__xludf.DUMMYFUNCTION("""COMPUTED_VALUE"""),1470.25)</f>
        <v>1470.25</v>
      </c>
      <c r="E74" s="6">
        <f>IFERROR(__xludf.DUMMYFUNCTION("""COMPUTED_VALUE"""),1562.75)</f>
        <v>1562.75</v>
      </c>
      <c r="F74" s="6">
        <f>IFERROR(__xludf.DUMMYFUNCTION("""COMPUTED_VALUE"""),1.0386705E7)</f>
        <v>10386705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IFERROR(__xludf.DUMMYFUNCTION("""COMPUTED_VALUE"""),1540.0)</f>
        <v>1540</v>
      </c>
      <c r="C75" s="6">
        <f>IFERROR(__xludf.DUMMYFUNCTION("""COMPUTED_VALUE"""),1565.65)</f>
        <v>1565.65</v>
      </c>
      <c r="D75" s="6">
        <f>IFERROR(__xludf.DUMMYFUNCTION("""COMPUTED_VALUE"""),1442.05)</f>
        <v>1442.05</v>
      </c>
      <c r="E75" s="6">
        <f>IFERROR(__xludf.DUMMYFUNCTION("""COMPUTED_VALUE"""),1463.6)</f>
        <v>1463.6</v>
      </c>
      <c r="F75" s="6">
        <f>IFERROR(__xludf.DUMMYFUNCTION("""COMPUTED_VALUE"""),9010766.0)</f>
        <v>9010766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IFERROR(__xludf.DUMMYFUNCTION("""COMPUTED_VALUE"""),1457.0)</f>
        <v>1457</v>
      </c>
      <c r="C76" s="6">
        <f>IFERROR(__xludf.DUMMYFUNCTION("""COMPUTED_VALUE"""),1485.5)</f>
        <v>1485.5</v>
      </c>
      <c r="D76" s="6">
        <f>IFERROR(__xludf.DUMMYFUNCTION("""COMPUTED_VALUE"""),1364.0)</f>
        <v>1364</v>
      </c>
      <c r="E76" s="6">
        <f>IFERROR(__xludf.DUMMYFUNCTION("""COMPUTED_VALUE"""),1397.8)</f>
        <v>1397.8</v>
      </c>
      <c r="F76" s="6">
        <f>IFERROR(__xludf.DUMMYFUNCTION("""COMPUTED_VALUE"""),9160665.0)</f>
        <v>9160665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IFERROR(__xludf.DUMMYFUNCTION("""COMPUTED_VALUE"""),1393.5)</f>
        <v>1393.5</v>
      </c>
      <c r="C77" s="6">
        <f>IFERROR(__xludf.DUMMYFUNCTION("""COMPUTED_VALUE"""),1483.25)</f>
        <v>1483.25</v>
      </c>
      <c r="D77" s="6">
        <f>IFERROR(__xludf.DUMMYFUNCTION("""COMPUTED_VALUE"""),1320.0)</f>
        <v>1320</v>
      </c>
      <c r="E77" s="6">
        <f>IFERROR(__xludf.DUMMYFUNCTION("""COMPUTED_VALUE"""),1331.9)</f>
        <v>1331.9</v>
      </c>
      <c r="F77" s="6">
        <f>IFERROR(__xludf.DUMMYFUNCTION("""COMPUTED_VALUE"""),1.3975149E7)</f>
        <v>13975149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IFERROR(__xludf.DUMMYFUNCTION("""COMPUTED_VALUE"""),1371.05)</f>
        <v>1371.05</v>
      </c>
      <c r="C78" s="6">
        <f>IFERROR(__xludf.DUMMYFUNCTION("""COMPUTED_VALUE"""),1608.4)</f>
        <v>1608.4</v>
      </c>
      <c r="D78" s="6">
        <f>IFERROR(__xludf.DUMMYFUNCTION("""COMPUTED_VALUE"""),1371.0)</f>
        <v>1371</v>
      </c>
      <c r="E78" s="6">
        <f>IFERROR(__xludf.DUMMYFUNCTION("""COMPUTED_VALUE"""),1603.0)</f>
        <v>1603</v>
      </c>
      <c r="F78" s="6">
        <f>IFERROR(__xludf.DUMMYFUNCTION("""COMPUTED_VALUE"""),1.2097952E7)</f>
        <v>12097952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IFERROR(__xludf.DUMMYFUNCTION("""COMPUTED_VALUE"""),1603.0)</f>
        <v>1603</v>
      </c>
      <c r="C79" s="6">
        <f>IFERROR(__xludf.DUMMYFUNCTION("""COMPUTED_VALUE"""),1698.0)</f>
        <v>1698</v>
      </c>
      <c r="D79" s="6">
        <f>IFERROR(__xludf.DUMMYFUNCTION("""COMPUTED_VALUE"""),1571.0)</f>
        <v>1571</v>
      </c>
      <c r="E79" s="6">
        <f>IFERROR(__xludf.DUMMYFUNCTION("""COMPUTED_VALUE"""),1589.75)</f>
        <v>1589.75</v>
      </c>
      <c r="F79" s="6">
        <f>IFERROR(__xludf.DUMMYFUNCTION("""COMPUTED_VALUE"""),8883911.0)</f>
        <v>8883911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IFERROR(__xludf.DUMMYFUNCTION("""COMPUTED_VALUE"""),1586.0)</f>
        <v>1586</v>
      </c>
      <c r="C80" s="6">
        <f>IFERROR(__xludf.DUMMYFUNCTION("""COMPUTED_VALUE"""),1601.7)</f>
        <v>1601.7</v>
      </c>
      <c r="D80" s="6">
        <f>IFERROR(__xludf.DUMMYFUNCTION("""COMPUTED_VALUE"""),1493.2)</f>
        <v>1493.2</v>
      </c>
      <c r="E80" s="6">
        <f>IFERROR(__xludf.DUMMYFUNCTION("""COMPUTED_VALUE"""),1504.2)</f>
        <v>1504.2</v>
      </c>
      <c r="F80" s="6">
        <f>IFERROR(__xludf.DUMMYFUNCTION("""COMPUTED_VALUE"""),4636203.0)</f>
        <v>4636203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IFERROR(__xludf.DUMMYFUNCTION("""COMPUTED_VALUE"""),1381.9)</f>
        <v>1381.9</v>
      </c>
      <c r="C81" s="6">
        <f>IFERROR(__xludf.DUMMYFUNCTION("""COMPUTED_VALUE"""),1551.7)</f>
        <v>1551.7</v>
      </c>
      <c r="D81" s="6">
        <f>IFERROR(__xludf.DUMMYFUNCTION("""COMPUTED_VALUE"""),1381.9)</f>
        <v>1381.9</v>
      </c>
      <c r="E81" s="6">
        <f>IFERROR(__xludf.DUMMYFUNCTION("""COMPUTED_VALUE"""),1533.15)</f>
        <v>1533.15</v>
      </c>
      <c r="F81" s="6">
        <f>IFERROR(__xludf.DUMMYFUNCTION("""COMPUTED_VALUE"""),7945135.0)</f>
        <v>7945135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IFERROR(__xludf.DUMMYFUNCTION("""COMPUTED_VALUE"""),1567.6)</f>
        <v>1567.6</v>
      </c>
      <c r="C82" s="6">
        <f>IFERROR(__xludf.DUMMYFUNCTION("""COMPUTED_VALUE"""),1688.0)</f>
        <v>1688</v>
      </c>
      <c r="D82" s="6">
        <f>IFERROR(__xludf.DUMMYFUNCTION("""COMPUTED_VALUE"""),1546.6)</f>
        <v>1546.6</v>
      </c>
      <c r="E82" s="6">
        <f>IFERROR(__xludf.DUMMYFUNCTION("""COMPUTED_VALUE"""),1653.0)</f>
        <v>1653</v>
      </c>
      <c r="F82" s="6">
        <f>IFERROR(__xludf.DUMMYFUNCTION("""COMPUTED_VALUE"""),5381293.0)</f>
        <v>5381293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IFERROR(__xludf.DUMMYFUNCTION("""COMPUTED_VALUE"""),1686.0)</f>
        <v>1686</v>
      </c>
      <c r="C83" s="6">
        <f>IFERROR(__xludf.DUMMYFUNCTION("""COMPUTED_VALUE"""),1709.8)</f>
        <v>1709.8</v>
      </c>
      <c r="D83" s="6">
        <f>IFERROR(__xludf.DUMMYFUNCTION("""COMPUTED_VALUE"""),1578.1)</f>
        <v>1578.1</v>
      </c>
      <c r="E83" s="6">
        <f>IFERROR(__xludf.DUMMYFUNCTION("""COMPUTED_VALUE"""),1594.2)</f>
        <v>1594.2</v>
      </c>
      <c r="F83" s="6">
        <f>IFERROR(__xludf.DUMMYFUNCTION("""COMPUTED_VALUE"""),7639180.0)</f>
        <v>7639180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IFERROR(__xludf.DUMMYFUNCTION("""COMPUTED_VALUE"""),1600.0)</f>
        <v>1600</v>
      </c>
      <c r="C84" s="6">
        <f>IFERROR(__xludf.DUMMYFUNCTION("""COMPUTED_VALUE"""),1653.2)</f>
        <v>1653.2</v>
      </c>
      <c r="D84" s="6">
        <f>IFERROR(__xludf.DUMMYFUNCTION("""COMPUTED_VALUE"""),1583.0)</f>
        <v>1583</v>
      </c>
      <c r="E84" s="6">
        <f>IFERROR(__xludf.DUMMYFUNCTION("""COMPUTED_VALUE"""),1593.5)</f>
        <v>1593.5</v>
      </c>
      <c r="F84" s="6">
        <f>IFERROR(__xludf.DUMMYFUNCTION("""COMPUTED_VALUE"""),4423061.0)</f>
        <v>4423061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IFERROR(__xludf.DUMMYFUNCTION("""COMPUTED_VALUE"""),1597.0)</f>
        <v>1597</v>
      </c>
      <c r="C85" s="6">
        <f>IFERROR(__xludf.DUMMYFUNCTION("""COMPUTED_VALUE"""),1683.0)</f>
        <v>1683</v>
      </c>
      <c r="D85" s="6">
        <f>IFERROR(__xludf.DUMMYFUNCTION("""COMPUTED_VALUE"""),1558.4)</f>
        <v>1558.4</v>
      </c>
      <c r="E85" s="6">
        <f>IFERROR(__xludf.DUMMYFUNCTION("""COMPUTED_VALUE"""),1619.9)</f>
        <v>1619.9</v>
      </c>
      <c r="F85" s="6">
        <f>IFERROR(__xludf.DUMMYFUNCTION("""COMPUTED_VALUE"""),4133589.0)</f>
        <v>4133589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IFERROR(__xludf.DUMMYFUNCTION("""COMPUTED_VALUE"""),1651.0)</f>
        <v>1651</v>
      </c>
      <c r="C86" s="6">
        <f>IFERROR(__xludf.DUMMYFUNCTION("""COMPUTED_VALUE"""),1853.7)</f>
        <v>1853.7</v>
      </c>
      <c r="D86" s="6">
        <f>IFERROR(__xludf.DUMMYFUNCTION("""COMPUTED_VALUE"""),1645.3)</f>
        <v>1645.3</v>
      </c>
      <c r="E86" s="6">
        <f>IFERROR(__xludf.DUMMYFUNCTION("""COMPUTED_VALUE"""),1756.2)</f>
        <v>1756.2</v>
      </c>
      <c r="F86" s="6">
        <f>IFERROR(__xludf.DUMMYFUNCTION("""COMPUTED_VALUE"""),1.232761E7)</f>
        <v>12327610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IFERROR(__xludf.DUMMYFUNCTION("""COMPUTED_VALUE"""),1748.0)</f>
        <v>1748</v>
      </c>
      <c r="C87" s="6">
        <f>IFERROR(__xludf.DUMMYFUNCTION("""COMPUTED_VALUE"""),1789.0)</f>
        <v>1789</v>
      </c>
      <c r="D87" s="6">
        <f>IFERROR(__xludf.DUMMYFUNCTION("""COMPUTED_VALUE"""),1629.5)</f>
        <v>1629.5</v>
      </c>
      <c r="E87" s="6">
        <f>IFERROR(__xludf.DUMMYFUNCTION("""COMPUTED_VALUE"""),1777.6)</f>
        <v>1777.6</v>
      </c>
      <c r="F87" s="6">
        <f>IFERROR(__xludf.DUMMYFUNCTION("""COMPUTED_VALUE"""),8751067.0)</f>
        <v>8751067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IFERROR(__xludf.DUMMYFUNCTION("""COMPUTED_VALUE"""),1778.0)</f>
        <v>1778</v>
      </c>
      <c r="C88" s="6">
        <f>IFERROR(__xludf.DUMMYFUNCTION("""COMPUTED_VALUE"""),1807.9)</f>
        <v>1807.9</v>
      </c>
      <c r="D88" s="6">
        <f>IFERROR(__xludf.DUMMYFUNCTION("""COMPUTED_VALUE"""),1740.0)</f>
        <v>1740</v>
      </c>
      <c r="E88" s="6">
        <f>IFERROR(__xludf.DUMMYFUNCTION("""COMPUTED_VALUE"""),1761.6)</f>
        <v>1761.6</v>
      </c>
      <c r="F88" s="6">
        <f>IFERROR(__xludf.DUMMYFUNCTION("""COMPUTED_VALUE"""),6346655.0)</f>
        <v>6346655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IFERROR(__xludf.DUMMYFUNCTION("""COMPUTED_VALUE"""),1755.0)</f>
        <v>1755</v>
      </c>
      <c r="C89" s="6">
        <f>IFERROR(__xludf.DUMMYFUNCTION("""COMPUTED_VALUE"""),1924.5)</f>
        <v>1924.5</v>
      </c>
      <c r="D89" s="6">
        <f>IFERROR(__xludf.DUMMYFUNCTION("""COMPUTED_VALUE"""),1724.8)</f>
        <v>1724.8</v>
      </c>
      <c r="E89" s="6">
        <f>IFERROR(__xludf.DUMMYFUNCTION("""COMPUTED_VALUE"""),1916.7)</f>
        <v>1916.7</v>
      </c>
      <c r="F89" s="6">
        <f>IFERROR(__xludf.DUMMYFUNCTION("""COMPUTED_VALUE"""),8261653.0)</f>
        <v>8261653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IFERROR(__xludf.DUMMYFUNCTION("""COMPUTED_VALUE"""),1945.0)</f>
        <v>1945</v>
      </c>
      <c r="C90" s="6">
        <f>IFERROR(__xludf.DUMMYFUNCTION("""COMPUTED_VALUE"""),1955.0)</f>
        <v>1955</v>
      </c>
      <c r="D90" s="6">
        <f>IFERROR(__xludf.DUMMYFUNCTION("""COMPUTED_VALUE"""),1801.0)</f>
        <v>1801</v>
      </c>
      <c r="E90" s="6">
        <f>IFERROR(__xludf.DUMMYFUNCTION("""COMPUTED_VALUE"""),1890.4)</f>
        <v>1890.4</v>
      </c>
      <c r="F90" s="6">
        <f>IFERROR(__xludf.DUMMYFUNCTION("""COMPUTED_VALUE"""),6478620.0)</f>
        <v>6478620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IFERROR(__xludf.DUMMYFUNCTION("""COMPUTED_VALUE"""),1894.8)</f>
        <v>1894.8</v>
      </c>
      <c r="C91" s="6">
        <f>IFERROR(__xludf.DUMMYFUNCTION("""COMPUTED_VALUE"""),1978.0)</f>
        <v>1978</v>
      </c>
      <c r="D91" s="6">
        <f>IFERROR(__xludf.DUMMYFUNCTION("""COMPUTED_VALUE"""),1848.0)</f>
        <v>1848</v>
      </c>
      <c r="E91" s="6">
        <f>IFERROR(__xludf.DUMMYFUNCTION("""COMPUTED_VALUE"""),1901.3)</f>
        <v>1901.3</v>
      </c>
      <c r="F91" s="6">
        <f>IFERROR(__xludf.DUMMYFUNCTION("""COMPUTED_VALUE"""),7218947.0)</f>
        <v>7218947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IFERROR(__xludf.DUMMYFUNCTION("""COMPUTED_VALUE"""),1880.1)</f>
        <v>1880.1</v>
      </c>
      <c r="C92" s="6">
        <f>IFERROR(__xludf.DUMMYFUNCTION("""COMPUTED_VALUE"""),1941.1)</f>
        <v>1941.1</v>
      </c>
      <c r="D92" s="6">
        <f>IFERROR(__xludf.DUMMYFUNCTION("""COMPUTED_VALUE"""),1803.5)</f>
        <v>1803.5</v>
      </c>
      <c r="E92" s="6">
        <f>IFERROR(__xludf.DUMMYFUNCTION("""COMPUTED_VALUE"""),1819.9)</f>
        <v>1819.9</v>
      </c>
      <c r="F92" s="6">
        <f>IFERROR(__xludf.DUMMYFUNCTION("""COMPUTED_VALUE"""),1.1131322E7)</f>
        <v>11131322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IFERROR(__xludf.DUMMYFUNCTION("""COMPUTED_VALUE"""),1838.0)</f>
        <v>1838</v>
      </c>
      <c r="C93" s="6">
        <f>IFERROR(__xludf.DUMMYFUNCTION("""COMPUTED_VALUE"""),1865.0)</f>
        <v>1865</v>
      </c>
      <c r="D93" s="6">
        <f>IFERROR(__xludf.DUMMYFUNCTION("""COMPUTED_VALUE"""),1763.0)</f>
        <v>1763</v>
      </c>
      <c r="E93" s="6">
        <f>IFERROR(__xludf.DUMMYFUNCTION("""COMPUTED_VALUE"""),1794.0)</f>
        <v>1794</v>
      </c>
      <c r="F93" s="6">
        <f>IFERROR(__xludf.DUMMYFUNCTION("""COMPUTED_VALUE"""),7036489.0)</f>
        <v>7036489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IFERROR(__xludf.DUMMYFUNCTION("""COMPUTED_VALUE"""),1803.3)</f>
        <v>1803.3</v>
      </c>
      <c r="C94" s="6">
        <f>IFERROR(__xludf.DUMMYFUNCTION("""COMPUTED_VALUE"""),1875.0)</f>
        <v>1875</v>
      </c>
      <c r="D94" s="6">
        <f>IFERROR(__xludf.DUMMYFUNCTION("""COMPUTED_VALUE"""),1776.0)</f>
        <v>1776</v>
      </c>
      <c r="E94" s="6">
        <f>IFERROR(__xludf.DUMMYFUNCTION("""COMPUTED_VALUE"""),1793.8)</f>
        <v>1793.8</v>
      </c>
      <c r="F94" s="6">
        <f>IFERROR(__xludf.DUMMYFUNCTION("""COMPUTED_VALUE"""),4457122.0)</f>
        <v>4457122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IFERROR(__xludf.DUMMYFUNCTION("""COMPUTED_VALUE"""),1790.3)</f>
        <v>1790.3</v>
      </c>
      <c r="C95" s="6">
        <f>IFERROR(__xludf.DUMMYFUNCTION("""COMPUTED_VALUE"""),1863.7)</f>
        <v>1863.7</v>
      </c>
      <c r="D95" s="6">
        <f>IFERROR(__xludf.DUMMYFUNCTION("""COMPUTED_VALUE"""),1741.3)</f>
        <v>1741.3</v>
      </c>
      <c r="E95" s="6">
        <f>IFERROR(__xludf.DUMMYFUNCTION("""COMPUTED_VALUE"""),1762.4)</f>
        <v>1762.4</v>
      </c>
      <c r="F95" s="6">
        <f>IFERROR(__xludf.DUMMYFUNCTION("""COMPUTED_VALUE"""),5309311.0)</f>
        <v>5309311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IFERROR(__xludf.DUMMYFUNCTION("""COMPUTED_VALUE"""),1762.4)</f>
        <v>1762.4</v>
      </c>
      <c r="C96" s="6">
        <f>IFERROR(__xludf.DUMMYFUNCTION("""COMPUTED_VALUE"""),1837.1)</f>
        <v>1837.1</v>
      </c>
      <c r="D96" s="6">
        <f>IFERROR(__xludf.DUMMYFUNCTION("""COMPUTED_VALUE"""),1737.6)</f>
        <v>1737.6</v>
      </c>
      <c r="E96" s="6">
        <f>IFERROR(__xludf.DUMMYFUNCTION("""COMPUTED_VALUE"""),1781.4)</f>
        <v>1781.4</v>
      </c>
      <c r="F96" s="6">
        <f>IFERROR(__xludf.DUMMYFUNCTION("""COMPUTED_VALUE"""),6232472.0)</f>
        <v>6232472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IFERROR(__xludf.DUMMYFUNCTION("""COMPUTED_VALUE"""),1784.6)</f>
        <v>1784.6</v>
      </c>
      <c r="C97" s="6">
        <f>IFERROR(__xludf.DUMMYFUNCTION("""COMPUTED_VALUE"""),1836.7)</f>
        <v>1836.7</v>
      </c>
      <c r="D97" s="6">
        <f>IFERROR(__xludf.DUMMYFUNCTION("""COMPUTED_VALUE"""),1739.0)</f>
        <v>1739</v>
      </c>
      <c r="E97" s="6">
        <f>IFERROR(__xludf.DUMMYFUNCTION("""COMPUTED_VALUE"""),1780.9)</f>
        <v>1780.9</v>
      </c>
      <c r="F97" s="6">
        <f>IFERROR(__xludf.DUMMYFUNCTION("""COMPUTED_VALUE"""),5476471.0)</f>
        <v>5476471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IFERROR(__xludf.DUMMYFUNCTION("""COMPUTED_VALUE"""),1784.9)</f>
        <v>1784.9</v>
      </c>
      <c r="C98" s="6">
        <f>IFERROR(__xludf.DUMMYFUNCTION("""COMPUTED_VALUE"""),1790.3)</f>
        <v>1790.3</v>
      </c>
      <c r="D98" s="6">
        <f>IFERROR(__xludf.DUMMYFUNCTION("""COMPUTED_VALUE"""),1725.0)</f>
        <v>1725</v>
      </c>
      <c r="E98" s="6">
        <f>IFERROR(__xludf.DUMMYFUNCTION("""COMPUTED_VALUE"""),1769.4)</f>
        <v>1769.4</v>
      </c>
      <c r="F98" s="6">
        <f>IFERROR(__xludf.DUMMYFUNCTION("""COMPUTED_VALUE"""),4463372.0)</f>
        <v>4463372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IFERROR(__xludf.DUMMYFUNCTION("""COMPUTED_VALUE"""),1779.1)</f>
        <v>1779.1</v>
      </c>
      <c r="C99" s="6">
        <f>IFERROR(__xludf.DUMMYFUNCTION("""COMPUTED_VALUE"""),1889.5)</f>
        <v>1889.5</v>
      </c>
      <c r="D99" s="6">
        <f>IFERROR(__xludf.DUMMYFUNCTION("""COMPUTED_VALUE"""),1769.9)</f>
        <v>1769.9</v>
      </c>
      <c r="E99" s="6">
        <f>IFERROR(__xludf.DUMMYFUNCTION("""COMPUTED_VALUE"""),1834.2)</f>
        <v>1834.2</v>
      </c>
      <c r="F99" s="6">
        <f>IFERROR(__xludf.DUMMYFUNCTION("""COMPUTED_VALUE"""),5371719.0)</f>
        <v>5371719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IFERROR(__xludf.DUMMYFUNCTION("""COMPUTED_VALUE"""),1879.8)</f>
        <v>1879.8</v>
      </c>
      <c r="C100" s="6">
        <f>IFERROR(__xludf.DUMMYFUNCTION("""COMPUTED_VALUE"""),1940.0)</f>
        <v>1940</v>
      </c>
      <c r="D100" s="6">
        <f>IFERROR(__xludf.DUMMYFUNCTION("""COMPUTED_VALUE"""),1857.0)</f>
        <v>1857</v>
      </c>
      <c r="E100" s="6">
        <f>IFERROR(__xludf.DUMMYFUNCTION("""COMPUTED_VALUE"""),1911.2)</f>
        <v>1911.2</v>
      </c>
      <c r="F100" s="6">
        <f>IFERROR(__xludf.DUMMYFUNCTION("""COMPUTED_VALUE"""),5428526.0)</f>
        <v>5428526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IFERROR(__xludf.DUMMYFUNCTION("""COMPUTED_VALUE"""),1911.2)</f>
        <v>1911.2</v>
      </c>
      <c r="C101" s="6">
        <f>IFERROR(__xludf.DUMMYFUNCTION("""COMPUTED_VALUE"""),1922.0)</f>
        <v>1922</v>
      </c>
      <c r="D101" s="6">
        <f>IFERROR(__xludf.DUMMYFUNCTION("""COMPUTED_VALUE"""),1828.8)</f>
        <v>1828.8</v>
      </c>
      <c r="E101" s="6">
        <f>IFERROR(__xludf.DUMMYFUNCTION("""COMPUTED_VALUE"""),1835.1)</f>
        <v>1835.1</v>
      </c>
      <c r="F101" s="6">
        <f>IFERROR(__xludf.DUMMYFUNCTION("""COMPUTED_VALUE"""),1.2156382E7)</f>
        <v>12156382</v>
      </c>
    </row>
  </sheetData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IFERROR(__xludf.DUMMYFUNCTION("GOOGLEFINANCE(""NSE:POLYCAB"",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IFERROR(__xludf.DUMMYFUNCTION("""COMPUTED_VALUE"""),5011.95)</f>
        <v>5011.95</v>
      </c>
      <c r="C2" s="6">
        <f>IFERROR(__xludf.DUMMYFUNCTION("""COMPUTED_VALUE"""),5220.0)</f>
        <v>5220</v>
      </c>
      <c r="D2" s="6">
        <f>IFERROR(__xludf.DUMMYFUNCTION("""COMPUTED_VALUE"""),4990.05)</f>
        <v>4990.05</v>
      </c>
      <c r="E2" s="6">
        <f>IFERROR(__xludf.DUMMYFUNCTION("""COMPUTED_VALUE"""),5208.25)</f>
        <v>5208.25</v>
      </c>
      <c r="F2" s="6">
        <f>IFERROR(__xludf.DUMMYFUNCTION("""COMPUTED_VALUE"""),2355514.0)</f>
        <v>2355514</v>
      </c>
    </row>
    <row r="3">
      <c r="A3" s="7">
        <f>IFERROR(__xludf.DUMMYFUNCTION("""COMPUTED_VALUE"""),45177.64583333333)</f>
        <v>45177.64583</v>
      </c>
      <c r="B3" s="6">
        <f>IFERROR(__xludf.DUMMYFUNCTION("""COMPUTED_VALUE"""),5235.0)</f>
        <v>5235</v>
      </c>
      <c r="C3" s="6">
        <f>IFERROR(__xludf.DUMMYFUNCTION("""COMPUTED_VALUE"""),5333.0)</f>
        <v>5333</v>
      </c>
      <c r="D3" s="6">
        <f>IFERROR(__xludf.DUMMYFUNCTION("""COMPUTED_VALUE"""),5140.0)</f>
        <v>5140</v>
      </c>
      <c r="E3" s="6">
        <f>IFERROR(__xludf.DUMMYFUNCTION("""COMPUTED_VALUE"""),5199.3)</f>
        <v>5199.3</v>
      </c>
      <c r="F3" s="6">
        <f>IFERROR(__xludf.DUMMYFUNCTION("""COMPUTED_VALUE"""),2082387.0)</f>
        <v>2082387</v>
      </c>
    </row>
    <row r="4">
      <c r="A4" s="7">
        <f>IFERROR(__xludf.DUMMYFUNCTION("""COMPUTED_VALUE"""),45184.64583333333)</f>
        <v>45184.64583</v>
      </c>
      <c r="B4" s="6">
        <f>IFERROR(__xludf.DUMMYFUNCTION("""COMPUTED_VALUE"""),5213.15)</f>
        <v>5213.15</v>
      </c>
      <c r="C4" s="6">
        <f>IFERROR(__xludf.DUMMYFUNCTION("""COMPUTED_VALUE"""),5221.7)</f>
        <v>5221.7</v>
      </c>
      <c r="D4" s="6">
        <f>IFERROR(__xludf.DUMMYFUNCTION("""COMPUTED_VALUE"""),4849.45)</f>
        <v>4849.45</v>
      </c>
      <c r="E4" s="6">
        <f>IFERROR(__xludf.DUMMYFUNCTION("""COMPUTED_VALUE"""),5166.8)</f>
        <v>5166.8</v>
      </c>
      <c r="F4" s="6">
        <f>IFERROR(__xludf.DUMMYFUNCTION("""COMPUTED_VALUE"""),2758193.0)</f>
        <v>2758193</v>
      </c>
    </row>
    <row r="5">
      <c r="A5" s="7">
        <f>IFERROR(__xludf.DUMMYFUNCTION("""COMPUTED_VALUE"""),45191.64583333333)</f>
        <v>45191.64583</v>
      </c>
      <c r="B5" s="6">
        <f>IFERROR(__xludf.DUMMYFUNCTION("""COMPUTED_VALUE"""),5182.0)</f>
        <v>5182</v>
      </c>
      <c r="C5" s="6">
        <f>IFERROR(__xludf.DUMMYFUNCTION("""COMPUTED_VALUE"""),5358.55)</f>
        <v>5358.55</v>
      </c>
      <c r="D5" s="6">
        <f>IFERROR(__xludf.DUMMYFUNCTION("""COMPUTED_VALUE"""),5085.0)</f>
        <v>5085</v>
      </c>
      <c r="E5" s="6">
        <f>IFERROR(__xludf.DUMMYFUNCTION("""COMPUTED_VALUE"""),5130.0)</f>
        <v>5130</v>
      </c>
      <c r="F5" s="6">
        <f>IFERROR(__xludf.DUMMYFUNCTION("""COMPUTED_VALUE"""),2523582.0)</f>
        <v>2523582</v>
      </c>
    </row>
    <row r="6">
      <c r="A6" s="7">
        <f>IFERROR(__xludf.DUMMYFUNCTION("""COMPUTED_VALUE"""),45198.64583333333)</f>
        <v>45198.64583</v>
      </c>
      <c r="B6" s="6">
        <f>IFERROR(__xludf.DUMMYFUNCTION("""COMPUTED_VALUE"""),5151.0)</f>
        <v>5151</v>
      </c>
      <c r="C6" s="6">
        <f>IFERROR(__xludf.DUMMYFUNCTION("""COMPUTED_VALUE"""),5398.0)</f>
        <v>5398</v>
      </c>
      <c r="D6" s="6">
        <f>IFERROR(__xludf.DUMMYFUNCTION("""COMPUTED_VALUE"""),5086.05)</f>
        <v>5086.05</v>
      </c>
      <c r="E6" s="6">
        <f>IFERROR(__xludf.DUMMYFUNCTION("""COMPUTED_VALUE"""),5343.05)</f>
        <v>5343.05</v>
      </c>
      <c r="F6" s="6">
        <f>IFERROR(__xludf.DUMMYFUNCTION("""COMPUTED_VALUE"""),3219887.0)</f>
        <v>3219887</v>
      </c>
    </row>
    <row r="7">
      <c r="A7" s="7">
        <f>IFERROR(__xludf.DUMMYFUNCTION("""COMPUTED_VALUE"""),45205.64583333333)</f>
        <v>45205.64583</v>
      </c>
      <c r="B7" s="6">
        <f>IFERROR(__xludf.DUMMYFUNCTION("""COMPUTED_VALUE"""),5325.0)</f>
        <v>5325</v>
      </c>
      <c r="C7" s="6">
        <f>IFERROR(__xludf.DUMMYFUNCTION("""COMPUTED_VALUE"""),5422.7)</f>
        <v>5422.7</v>
      </c>
      <c r="D7" s="6">
        <f>IFERROR(__xludf.DUMMYFUNCTION("""COMPUTED_VALUE"""),5230.2)</f>
        <v>5230.2</v>
      </c>
      <c r="E7" s="6">
        <f>IFERROR(__xludf.DUMMYFUNCTION("""COMPUTED_VALUE"""),5259.25)</f>
        <v>5259.25</v>
      </c>
      <c r="F7" s="6">
        <f>IFERROR(__xludf.DUMMYFUNCTION("""COMPUTED_VALUE"""),1855035.0)</f>
        <v>1855035</v>
      </c>
    </row>
    <row r="8">
      <c r="A8" s="7">
        <f>IFERROR(__xludf.DUMMYFUNCTION("""COMPUTED_VALUE"""),45212.64583333333)</f>
        <v>45212.64583</v>
      </c>
      <c r="B8" s="6">
        <f>IFERROR(__xludf.DUMMYFUNCTION("""COMPUTED_VALUE"""),5202.1)</f>
        <v>5202.1</v>
      </c>
      <c r="C8" s="6">
        <f>IFERROR(__xludf.DUMMYFUNCTION("""COMPUTED_VALUE"""),5344.0)</f>
        <v>5344</v>
      </c>
      <c r="D8" s="6">
        <f>IFERROR(__xludf.DUMMYFUNCTION("""COMPUTED_VALUE"""),5140.15)</f>
        <v>5140.15</v>
      </c>
      <c r="E8" s="6">
        <f>IFERROR(__xludf.DUMMYFUNCTION("""COMPUTED_VALUE"""),5323.3)</f>
        <v>5323.3</v>
      </c>
      <c r="F8" s="6">
        <f>IFERROR(__xludf.DUMMYFUNCTION("""COMPUTED_VALUE"""),1803866.0)</f>
        <v>1803866</v>
      </c>
    </row>
    <row r="9">
      <c r="A9" s="7">
        <f>IFERROR(__xludf.DUMMYFUNCTION("""COMPUTED_VALUE"""),45219.64583333333)</f>
        <v>45219.64583</v>
      </c>
      <c r="B9" s="6">
        <f>IFERROR(__xludf.DUMMYFUNCTION("""COMPUTED_VALUE"""),5345.0)</f>
        <v>5345</v>
      </c>
      <c r="C9" s="6">
        <f>IFERROR(__xludf.DUMMYFUNCTION("""COMPUTED_VALUE"""),5493.65)</f>
        <v>5493.65</v>
      </c>
      <c r="D9" s="6">
        <f>IFERROR(__xludf.DUMMYFUNCTION("""COMPUTED_VALUE"""),5160.05)</f>
        <v>5160.05</v>
      </c>
      <c r="E9" s="6">
        <f>IFERROR(__xludf.DUMMYFUNCTION("""COMPUTED_VALUE"""),5227.3)</f>
        <v>5227.3</v>
      </c>
      <c r="F9" s="6">
        <f>IFERROR(__xludf.DUMMYFUNCTION("""COMPUTED_VALUE"""),4809125.0)</f>
        <v>4809125</v>
      </c>
    </row>
    <row r="10">
      <c r="A10" s="7">
        <f>IFERROR(__xludf.DUMMYFUNCTION("""COMPUTED_VALUE"""),45226.64583333333)</f>
        <v>45226.64583</v>
      </c>
      <c r="B10" s="6">
        <f>IFERROR(__xludf.DUMMYFUNCTION("""COMPUTED_VALUE"""),5244.85)</f>
        <v>5244.85</v>
      </c>
      <c r="C10" s="6">
        <f>IFERROR(__xludf.DUMMYFUNCTION("""COMPUTED_VALUE"""),5244.85)</f>
        <v>5244.85</v>
      </c>
      <c r="D10" s="6">
        <f>IFERROR(__xludf.DUMMYFUNCTION("""COMPUTED_VALUE"""),4811.1)</f>
        <v>4811.1</v>
      </c>
      <c r="E10" s="6">
        <f>IFERROR(__xludf.DUMMYFUNCTION("""COMPUTED_VALUE"""),4976.7)</f>
        <v>4976.7</v>
      </c>
      <c r="F10" s="6">
        <f>IFERROR(__xludf.DUMMYFUNCTION("""COMPUTED_VALUE"""),2833081.0)</f>
        <v>2833081</v>
      </c>
    </row>
    <row r="11">
      <c r="A11" s="7">
        <f>IFERROR(__xludf.DUMMYFUNCTION("""COMPUTED_VALUE"""),45233.64583333333)</f>
        <v>45233.64583</v>
      </c>
      <c r="B11" s="6">
        <f>IFERROR(__xludf.DUMMYFUNCTION("""COMPUTED_VALUE"""),4999.0)</f>
        <v>4999</v>
      </c>
      <c r="C11" s="6">
        <f>IFERROR(__xludf.DUMMYFUNCTION("""COMPUTED_VALUE"""),5098.8)</f>
        <v>5098.8</v>
      </c>
      <c r="D11" s="6">
        <f>IFERROR(__xludf.DUMMYFUNCTION("""COMPUTED_VALUE"""),4890.8)</f>
        <v>4890.8</v>
      </c>
      <c r="E11" s="6">
        <f>IFERROR(__xludf.DUMMYFUNCTION("""COMPUTED_VALUE"""),5036.55)</f>
        <v>5036.55</v>
      </c>
      <c r="F11" s="6">
        <f>IFERROR(__xludf.DUMMYFUNCTION("""COMPUTED_VALUE"""),2229945.0)</f>
        <v>2229945</v>
      </c>
    </row>
    <row r="12">
      <c r="A12" s="7">
        <f>IFERROR(__xludf.DUMMYFUNCTION("""COMPUTED_VALUE"""),45240.64583333333)</f>
        <v>45240.64583</v>
      </c>
      <c r="B12" s="6">
        <f>IFERROR(__xludf.DUMMYFUNCTION("""COMPUTED_VALUE"""),5068.05)</f>
        <v>5068.05</v>
      </c>
      <c r="C12" s="6">
        <f>IFERROR(__xludf.DUMMYFUNCTION("""COMPUTED_VALUE"""),5171.0)</f>
        <v>5171</v>
      </c>
      <c r="D12" s="6">
        <f>IFERROR(__xludf.DUMMYFUNCTION("""COMPUTED_VALUE"""),5049.35)</f>
        <v>5049.35</v>
      </c>
      <c r="E12" s="6">
        <f>IFERROR(__xludf.DUMMYFUNCTION("""COMPUTED_VALUE"""),5135.8)</f>
        <v>5135.8</v>
      </c>
      <c r="F12" s="6">
        <f>IFERROR(__xludf.DUMMYFUNCTION("""COMPUTED_VALUE"""),1509137.0)</f>
        <v>1509137</v>
      </c>
    </row>
    <row r="13">
      <c r="A13" s="7">
        <f>IFERROR(__xludf.DUMMYFUNCTION("""COMPUTED_VALUE"""),45247.64583333333)</f>
        <v>45247.64583</v>
      </c>
      <c r="B13" s="6">
        <f>IFERROR(__xludf.DUMMYFUNCTION("""COMPUTED_VALUE"""),5179.95)</f>
        <v>5179.95</v>
      </c>
      <c r="C13" s="6">
        <f>IFERROR(__xludf.DUMMYFUNCTION("""COMPUTED_VALUE"""),5318.0)</f>
        <v>5318</v>
      </c>
      <c r="D13" s="6">
        <f>IFERROR(__xludf.DUMMYFUNCTION("""COMPUTED_VALUE"""),5073.0)</f>
        <v>5073</v>
      </c>
      <c r="E13" s="6">
        <f>IFERROR(__xludf.DUMMYFUNCTION("""COMPUTED_VALUE"""),5288.05)</f>
        <v>5288.05</v>
      </c>
      <c r="F13" s="6">
        <f>IFERROR(__xludf.DUMMYFUNCTION("""COMPUTED_VALUE"""),1783159.0)</f>
        <v>1783159</v>
      </c>
    </row>
    <row r="14">
      <c r="A14" s="7">
        <f>IFERROR(__xludf.DUMMYFUNCTION("""COMPUTED_VALUE"""),45254.64583333333)</f>
        <v>45254.64583</v>
      </c>
      <c r="B14" s="6">
        <f>IFERROR(__xludf.DUMMYFUNCTION("""COMPUTED_VALUE"""),5307.9)</f>
        <v>5307.9</v>
      </c>
      <c r="C14" s="6">
        <f>IFERROR(__xludf.DUMMYFUNCTION("""COMPUTED_VALUE"""),5433.0)</f>
        <v>5433</v>
      </c>
      <c r="D14" s="6">
        <f>IFERROR(__xludf.DUMMYFUNCTION("""COMPUTED_VALUE"""),5204.55)</f>
        <v>5204.55</v>
      </c>
      <c r="E14" s="6">
        <f>IFERROR(__xludf.DUMMYFUNCTION("""COMPUTED_VALUE"""),5280.2)</f>
        <v>5280.2</v>
      </c>
      <c r="F14" s="6">
        <f>IFERROR(__xludf.DUMMYFUNCTION("""COMPUTED_VALUE"""),2375478.0)</f>
        <v>2375478</v>
      </c>
    </row>
    <row r="15">
      <c r="A15" s="7">
        <f>IFERROR(__xludf.DUMMYFUNCTION("""COMPUTED_VALUE"""),45261.64583333333)</f>
        <v>45261.64583</v>
      </c>
      <c r="B15" s="6">
        <f>IFERROR(__xludf.DUMMYFUNCTION("""COMPUTED_VALUE"""),5309.0)</f>
        <v>5309</v>
      </c>
      <c r="C15" s="6">
        <f>IFERROR(__xludf.DUMMYFUNCTION("""COMPUTED_VALUE"""),5344.0)</f>
        <v>5344</v>
      </c>
      <c r="D15" s="6">
        <f>IFERROR(__xludf.DUMMYFUNCTION("""COMPUTED_VALUE"""),5150.15)</f>
        <v>5150.15</v>
      </c>
      <c r="E15" s="6">
        <f>IFERROR(__xludf.DUMMYFUNCTION("""COMPUTED_VALUE"""),5234.55)</f>
        <v>5234.55</v>
      </c>
      <c r="F15" s="6">
        <f>IFERROR(__xludf.DUMMYFUNCTION("""COMPUTED_VALUE"""),8739223.0)</f>
        <v>8739223</v>
      </c>
    </row>
    <row r="16">
      <c r="A16" s="7">
        <f>IFERROR(__xludf.DUMMYFUNCTION("""COMPUTED_VALUE"""),45268.64583333333)</f>
        <v>45268.64583</v>
      </c>
      <c r="B16" s="6">
        <f>IFERROR(__xludf.DUMMYFUNCTION("""COMPUTED_VALUE"""),5300.0)</f>
        <v>5300</v>
      </c>
      <c r="C16" s="6">
        <f>IFERROR(__xludf.DUMMYFUNCTION("""COMPUTED_VALUE"""),5520.8)</f>
        <v>5520.8</v>
      </c>
      <c r="D16" s="6">
        <f>IFERROR(__xludf.DUMMYFUNCTION("""COMPUTED_VALUE"""),5268.05)</f>
        <v>5268.05</v>
      </c>
      <c r="E16" s="6">
        <f>IFERROR(__xludf.DUMMYFUNCTION("""COMPUTED_VALUE"""),5446.65)</f>
        <v>5446.65</v>
      </c>
      <c r="F16" s="6">
        <f>IFERROR(__xludf.DUMMYFUNCTION("""COMPUTED_VALUE"""),1964930.0)</f>
        <v>1964930</v>
      </c>
    </row>
    <row r="17">
      <c r="A17" s="7">
        <f>IFERROR(__xludf.DUMMYFUNCTION("""COMPUTED_VALUE"""),45275.64583333333)</f>
        <v>45275.64583</v>
      </c>
      <c r="B17" s="6">
        <f>IFERROR(__xludf.DUMMYFUNCTION("""COMPUTED_VALUE"""),5464.95)</f>
        <v>5464.95</v>
      </c>
      <c r="C17" s="6">
        <f>IFERROR(__xludf.DUMMYFUNCTION("""COMPUTED_VALUE"""),5733.0)</f>
        <v>5733</v>
      </c>
      <c r="D17" s="6">
        <f>IFERROR(__xludf.DUMMYFUNCTION("""COMPUTED_VALUE"""),5446.0)</f>
        <v>5446</v>
      </c>
      <c r="E17" s="6">
        <f>IFERROR(__xludf.DUMMYFUNCTION("""COMPUTED_VALUE"""),5670.0)</f>
        <v>5670</v>
      </c>
      <c r="F17" s="6">
        <f>IFERROR(__xludf.DUMMYFUNCTION("""COMPUTED_VALUE"""),2437968.0)</f>
        <v>2437968</v>
      </c>
    </row>
    <row r="18">
      <c r="A18" s="7">
        <f>IFERROR(__xludf.DUMMYFUNCTION("""COMPUTED_VALUE"""),45282.64583333333)</f>
        <v>45282.64583</v>
      </c>
      <c r="B18" s="6">
        <f>IFERROR(__xludf.DUMMYFUNCTION("""COMPUTED_VALUE"""),5686.0)</f>
        <v>5686</v>
      </c>
      <c r="C18" s="6">
        <f>IFERROR(__xludf.DUMMYFUNCTION("""COMPUTED_VALUE"""),5713.45)</f>
        <v>5713.45</v>
      </c>
      <c r="D18" s="6">
        <f>IFERROR(__xludf.DUMMYFUNCTION("""COMPUTED_VALUE"""),5305.65)</f>
        <v>5305.65</v>
      </c>
      <c r="E18" s="6">
        <f>IFERROR(__xludf.DUMMYFUNCTION("""COMPUTED_VALUE"""),5359.3)</f>
        <v>5359.3</v>
      </c>
      <c r="F18" s="6">
        <f>IFERROR(__xludf.DUMMYFUNCTION("""COMPUTED_VALUE"""),3103541.0)</f>
        <v>3103541</v>
      </c>
    </row>
    <row r="19">
      <c r="A19" s="7">
        <f>IFERROR(__xludf.DUMMYFUNCTION("""COMPUTED_VALUE"""),45289.64583333333)</f>
        <v>45289.64583</v>
      </c>
      <c r="B19" s="6">
        <f>IFERROR(__xludf.DUMMYFUNCTION("""COMPUTED_VALUE"""),5359.3)</f>
        <v>5359.3</v>
      </c>
      <c r="C19" s="6">
        <f>IFERROR(__xludf.DUMMYFUNCTION("""COMPUTED_VALUE"""),5564.55)</f>
        <v>5564.55</v>
      </c>
      <c r="D19" s="6">
        <f>IFERROR(__xludf.DUMMYFUNCTION("""COMPUTED_VALUE"""),5309.0)</f>
        <v>5309</v>
      </c>
      <c r="E19" s="6">
        <f>IFERROR(__xludf.DUMMYFUNCTION("""COMPUTED_VALUE"""),5484.85)</f>
        <v>5484.85</v>
      </c>
      <c r="F19" s="6">
        <f>IFERROR(__xludf.DUMMYFUNCTION("""COMPUTED_VALUE"""),1620565.0)</f>
        <v>1620565</v>
      </c>
    </row>
    <row r="20">
      <c r="A20" s="7">
        <f>IFERROR(__xludf.DUMMYFUNCTION("""COMPUTED_VALUE"""),45296.64583333333)</f>
        <v>45296.64583</v>
      </c>
      <c r="B20" s="6">
        <f>IFERROR(__xludf.DUMMYFUNCTION("""COMPUTED_VALUE"""),5500.0)</f>
        <v>5500</v>
      </c>
      <c r="C20" s="6">
        <f>IFERROR(__xludf.DUMMYFUNCTION("""COMPUTED_VALUE"""),5530.45)</f>
        <v>5530.45</v>
      </c>
      <c r="D20" s="6">
        <f>IFERROR(__xludf.DUMMYFUNCTION("""COMPUTED_VALUE"""),5309.0)</f>
        <v>5309</v>
      </c>
      <c r="E20" s="6">
        <f>IFERROR(__xludf.DUMMYFUNCTION("""COMPUTED_VALUE"""),5401.3)</f>
        <v>5401.3</v>
      </c>
      <c r="F20" s="6">
        <f>IFERROR(__xludf.DUMMYFUNCTION("""COMPUTED_VALUE"""),1101502.0)</f>
        <v>1101502</v>
      </c>
    </row>
    <row r="21">
      <c r="A21" s="7">
        <f>IFERROR(__xludf.DUMMYFUNCTION("""COMPUTED_VALUE"""),45303.64583333333)</f>
        <v>45303.64583</v>
      </c>
      <c r="B21" s="6">
        <f>IFERROR(__xludf.DUMMYFUNCTION("""COMPUTED_VALUE"""),5400.0)</f>
        <v>5400</v>
      </c>
      <c r="C21" s="6">
        <f>IFERROR(__xludf.DUMMYFUNCTION("""COMPUTED_VALUE"""),5469.9)</f>
        <v>5469.9</v>
      </c>
      <c r="D21" s="6">
        <f>IFERROR(__xludf.DUMMYFUNCTION("""COMPUTED_VALUE"""),3801.0)</f>
        <v>3801</v>
      </c>
      <c r="E21" s="6">
        <f>IFERROR(__xludf.DUMMYFUNCTION("""COMPUTED_VALUE"""),3980.9)</f>
        <v>3980.9</v>
      </c>
      <c r="F21" s="6">
        <f>IFERROR(__xludf.DUMMYFUNCTION("""COMPUTED_VALUE"""),3.1457304E7)</f>
        <v>31457304</v>
      </c>
    </row>
    <row r="22">
      <c r="A22" s="7">
        <f>IFERROR(__xludf.DUMMYFUNCTION("""COMPUTED_VALUE"""),45316.64583333333)</f>
        <v>45316.64583</v>
      </c>
      <c r="B22" s="6">
        <f>IFERROR(__xludf.DUMMYFUNCTION("""COMPUTED_VALUE"""),4350.0)</f>
        <v>4350</v>
      </c>
      <c r="C22" s="6">
        <f>IFERROR(__xludf.DUMMYFUNCTION("""COMPUTED_VALUE"""),4455.0)</f>
        <v>4455</v>
      </c>
      <c r="D22" s="6">
        <f>IFERROR(__xludf.DUMMYFUNCTION("""COMPUTED_VALUE"""),4050.0)</f>
        <v>4050</v>
      </c>
      <c r="E22" s="6">
        <f>IFERROR(__xludf.DUMMYFUNCTION("""COMPUTED_VALUE"""),4343.85)</f>
        <v>4343.85</v>
      </c>
      <c r="F22" s="6">
        <f>IFERROR(__xludf.DUMMYFUNCTION("""COMPUTED_VALUE"""),4461380.0)</f>
        <v>4461380</v>
      </c>
    </row>
    <row r="23">
      <c r="A23" s="7">
        <f>IFERROR(__xludf.DUMMYFUNCTION("""COMPUTED_VALUE"""),45324.64583333333)</f>
        <v>45324.64583</v>
      </c>
      <c r="B23" s="6">
        <f>IFERROR(__xludf.DUMMYFUNCTION("""COMPUTED_VALUE"""),4384.95)</f>
        <v>4384.95</v>
      </c>
      <c r="C23" s="6">
        <f>IFERROR(__xludf.DUMMYFUNCTION("""COMPUTED_VALUE"""),4437.9)</f>
        <v>4437.9</v>
      </c>
      <c r="D23" s="6">
        <f>IFERROR(__xludf.DUMMYFUNCTION("""COMPUTED_VALUE"""),4236.0)</f>
        <v>4236</v>
      </c>
      <c r="E23" s="6">
        <f>IFERROR(__xludf.DUMMYFUNCTION("""COMPUTED_VALUE"""),4383.7)</f>
        <v>4383.7</v>
      </c>
      <c r="F23" s="6">
        <f>IFERROR(__xludf.DUMMYFUNCTION("""COMPUTED_VALUE"""),3329499.0)</f>
        <v>3329499</v>
      </c>
    </row>
    <row r="24">
      <c r="A24" s="7">
        <f>IFERROR(__xludf.DUMMYFUNCTION("""COMPUTED_VALUE"""),45331.64583333333)</f>
        <v>45331.64583</v>
      </c>
      <c r="B24" s="6">
        <f>IFERROR(__xludf.DUMMYFUNCTION("""COMPUTED_VALUE"""),4370.0)</f>
        <v>4370</v>
      </c>
      <c r="C24" s="6">
        <f>IFERROR(__xludf.DUMMYFUNCTION("""COMPUTED_VALUE"""),4430.0)</f>
        <v>4430</v>
      </c>
      <c r="D24" s="6">
        <f>IFERROR(__xludf.DUMMYFUNCTION("""COMPUTED_VALUE"""),4250.0)</f>
        <v>4250</v>
      </c>
      <c r="E24" s="6">
        <f>IFERROR(__xludf.DUMMYFUNCTION("""COMPUTED_VALUE"""),4307.35)</f>
        <v>4307.35</v>
      </c>
      <c r="F24" s="6">
        <f>IFERROR(__xludf.DUMMYFUNCTION("""COMPUTED_VALUE"""),2025613.0)</f>
        <v>2025613</v>
      </c>
    </row>
    <row r="25">
      <c r="A25" s="7">
        <f>IFERROR(__xludf.DUMMYFUNCTION("""COMPUTED_VALUE"""),45338.64583333333)</f>
        <v>45338.64583</v>
      </c>
      <c r="B25" s="6">
        <f>IFERROR(__xludf.DUMMYFUNCTION("""COMPUTED_VALUE"""),4309.0)</f>
        <v>4309</v>
      </c>
      <c r="C25" s="6">
        <f>IFERROR(__xludf.DUMMYFUNCTION("""COMPUTED_VALUE"""),4734.0)</f>
        <v>4734</v>
      </c>
      <c r="D25" s="6">
        <f>IFERROR(__xludf.DUMMYFUNCTION("""COMPUTED_VALUE"""),4278.0)</f>
        <v>4278</v>
      </c>
      <c r="E25" s="6">
        <f>IFERROR(__xludf.DUMMYFUNCTION("""COMPUTED_VALUE"""),4670.0)</f>
        <v>4670</v>
      </c>
      <c r="F25" s="6">
        <f>IFERROR(__xludf.DUMMYFUNCTION("""COMPUTED_VALUE"""),4378468.0)</f>
        <v>4378468</v>
      </c>
    </row>
    <row r="26">
      <c r="A26" s="7">
        <f>IFERROR(__xludf.DUMMYFUNCTION("""COMPUTED_VALUE"""),45345.64583333333)</f>
        <v>45345.64583</v>
      </c>
      <c r="B26" s="6">
        <f>IFERROR(__xludf.DUMMYFUNCTION("""COMPUTED_VALUE"""),4709.95)</f>
        <v>4709.95</v>
      </c>
      <c r="C26" s="6">
        <f>IFERROR(__xludf.DUMMYFUNCTION("""COMPUTED_VALUE"""),4830.0)</f>
        <v>4830</v>
      </c>
      <c r="D26" s="6">
        <f>IFERROR(__xludf.DUMMYFUNCTION("""COMPUTED_VALUE"""),4643.9)</f>
        <v>4643.9</v>
      </c>
      <c r="E26" s="6">
        <f>IFERROR(__xludf.DUMMYFUNCTION("""COMPUTED_VALUE"""),4801.8)</f>
        <v>4801.8</v>
      </c>
      <c r="F26" s="6">
        <f>IFERROR(__xludf.DUMMYFUNCTION("""COMPUTED_VALUE"""),3451256.0)</f>
        <v>3451256</v>
      </c>
    </row>
    <row r="27">
      <c r="A27" s="7">
        <f>IFERROR(__xludf.DUMMYFUNCTION("""COMPUTED_VALUE"""),45358.64583333333)</f>
        <v>45358.64583</v>
      </c>
      <c r="B27" s="6">
        <f>IFERROR(__xludf.DUMMYFUNCTION("""COMPUTED_VALUE"""),4777.0)</f>
        <v>4777</v>
      </c>
      <c r="C27" s="6">
        <f>IFERROR(__xludf.DUMMYFUNCTION("""COMPUTED_VALUE"""),4954.0)</f>
        <v>4954</v>
      </c>
      <c r="D27" s="6">
        <f>IFERROR(__xludf.DUMMYFUNCTION("""COMPUTED_VALUE"""),4730.95)</f>
        <v>4730.95</v>
      </c>
      <c r="E27" s="6">
        <f>IFERROR(__xludf.DUMMYFUNCTION("""COMPUTED_VALUE"""),4891.0)</f>
        <v>4891</v>
      </c>
      <c r="F27" s="6">
        <f>IFERROR(__xludf.DUMMYFUNCTION("""COMPUTED_VALUE"""),1906538.0)</f>
        <v>1906538</v>
      </c>
    </row>
    <row r="28">
      <c r="A28" s="7">
        <f>IFERROR(__xludf.DUMMYFUNCTION("""COMPUTED_VALUE"""),45366.64583333333)</f>
        <v>45366.64583</v>
      </c>
      <c r="B28" s="6">
        <f>IFERROR(__xludf.DUMMYFUNCTION("""COMPUTED_VALUE"""),4910.0)</f>
        <v>4910</v>
      </c>
      <c r="C28" s="6">
        <f>IFERROR(__xludf.DUMMYFUNCTION("""COMPUTED_VALUE"""),4992.0)</f>
        <v>4992</v>
      </c>
      <c r="D28" s="6">
        <f>IFERROR(__xludf.DUMMYFUNCTION("""COMPUTED_VALUE"""),4730.25)</f>
        <v>4730.25</v>
      </c>
      <c r="E28" s="6">
        <f>IFERROR(__xludf.DUMMYFUNCTION("""COMPUTED_VALUE"""),4894.5)</f>
        <v>4894.5</v>
      </c>
      <c r="F28" s="6">
        <f>IFERROR(__xludf.DUMMYFUNCTION("""COMPUTED_VALUE"""),2164343.0)</f>
        <v>2164343</v>
      </c>
    </row>
    <row r="29">
      <c r="A29" s="7">
        <f>IFERROR(__xludf.DUMMYFUNCTION("""COMPUTED_VALUE"""),45373.64583333333)</f>
        <v>45373.64583</v>
      </c>
      <c r="B29" s="6">
        <f>IFERROR(__xludf.DUMMYFUNCTION("""COMPUTED_VALUE"""),4885.0)</f>
        <v>4885</v>
      </c>
      <c r="C29" s="6">
        <f>IFERROR(__xludf.DUMMYFUNCTION("""COMPUTED_VALUE"""),5037.65)</f>
        <v>5037.65</v>
      </c>
      <c r="D29" s="6">
        <f>IFERROR(__xludf.DUMMYFUNCTION("""COMPUTED_VALUE"""),4635.05)</f>
        <v>4635.05</v>
      </c>
      <c r="E29" s="6">
        <f>IFERROR(__xludf.DUMMYFUNCTION("""COMPUTED_VALUE"""),4909.9)</f>
        <v>4909.9</v>
      </c>
      <c r="F29" s="6">
        <f>IFERROR(__xludf.DUMMYFUNCTION("""COMPUTED_VALUE"""),2458972.0)</f>
        <v>2458972</v>
      </c>
    </row>
    <row r="30">
      <c r="A30" s="7">
        <f>IFERROR(__xludf.DUMMYFUNCTION("""COMPUTED_VALUE"""),45379.64583333333)</f>
        <v>45379.64583</v>
      </c>
      <c r="B30" s="6">
        <f>IFERROR(__xludf.DUMMYFUNCTION("""COMPUTED_VALUE"""),4929.9)</f>
        <v>4929.9</v>
      </c>
      <c r="C30" s="6">
        <f>IFERROR(__xludf.DUMMYFUNCTION("""COMPUTED_VALUE"""),5136.3)</f>
        <v>5136.3</v>
      </c>
      <c r="D30" s="6">
        <f>IFERROR(__xludf.DUMMYFUNCTION("""COMPUTED_VALUE"""),4886.5)</f>
        <v>4886.5</v>
      </c>
      <c r="E30" s="6">
        <f>IFERROR(__xludf.DUMMYFUNCTION("""COMPUTED_VALUE"""),5065.0)</f>
        <v>5065</v>
      </c>
      <c r="F30" s="6">
        <f>IFERROR(__xludf.DUMMYFUNCTION("""COMPUTED_VALUE"""),1264128.0)</f>
        <v>1264128</v>
      </c>
    </row>
    <row r="31">
      <c r="A31" s="7">
        <f>IFERROR(__xludf.DUMMYFUNCTION("""COMPUTED_VALUE"""),45387.64583333333)</f>
        <v>45387.64583</v>
      </c>
      <c r="B31" s="6">
        <f>IFERROR(__xludf.DUMMYFUNCTION("""COMPUTED_VALUE"""),5073.0)</f>
        <v>5073</v>
      </c>
      <c r="C31" s="6">
        <f>IFERROR(__xludf.DUMMYFUNCTION("""COMPUTED_VALUE"""),5323.3)</f>
        <v>5323.3</v>
      </c>
      <c r="D31" s="6">
        <f>IFERROR(__xludf.DUMMYFUNCTION("""COMPUTED_VALUE"""),5073.0)</f>
        <v>5073</v>
      </c>
      <c r="E31" s="6">
        <f>IFERROR(__xludf.DUMMYFUNCTION("""COMPUTED_VALUE"""),5316.6)</f>
        <v>5316.6</v>
      </c>
      <c r="F31" s="6">
        <f>IFERROR(__xludf.DUMMYFUNCTION("""COMPUTED_VALUE"""),1526142.0)</f>
        <v>1526142</v>
      </c>
    </row>
    <row r="32">
      <c r="A32" s="7">
        <f>IFERROR(__xludf.DUMMYFUNCTION("""COMPUTED_VALUE"""),45394.64583333333)</f>
        <v>45394.64583</v>
      </c>
      <c r="B32" s="6">
        <f>IFERROR(__xludf.DUMMYFUNCTION("""COMPUTED_VALUE"""),5349.85)</f>
        <v>5349.85</v>
      </c>
      <c r="C32" s="6">
        <f>IFERROR(__xludf.DUMMYFUNCTION("""COMPUTED_VALUE"""),5390.0)</f>
        <v>5390</v>
      </c>
      <c r="D32" s="6">
        <f>IFERROR(__xludf.DUMMYFUNCTION("""COMPUTED_VALUE"""),5196.9)</f>
        <v>5196.9</v>
      </c>
      <c r="E32" s="6">
        <f>IFERROR(__xludf.DUMMYFUNCTION("""COMPUTED_VALUE"""),5302.35)</f>
        <v>5302.35</v>
      </c>
      <c r="F32" s="6">
        <f>IFERROR(__xludf.DUMMYFUNCTION("""COMPUTED_VALUE"""),1302648.0)</f>
        <v>1302648</v>
      </c>
    </row>
    <row r="33">
      <c r="A33" s="7">
        <f>IFERROR(__xludf.DUMMYFUNCTION("""COMPUTED_VALUE"""),45401.64583333333)</f>
        <v>45401.64583</v>
      </c>
      <c r="B33" s="6">
        <f>IFERROR(__xludf.DUMMYFUNCTION("""COMPUTED_VALUE"""),5226.1)</f>
        <v>5226.1</v>
      </c>
      <c r="C33" s="6">
        <f>IFERROR(__xludf.DUMMYFUNCTION("""COMPUTED_VALUE"""),5434.15)</f>
        <v>5434.15</v>
      </c>
      <c r="D33" s="6">
        <f>IFERROR(__xludf.DUMMYFUNCTION("""COMPUTED_VALUE"""),5226.1)</f>
        <v>5226.1</v>
      </c>
      <c r="E33" s="6">
        <f>IFERROR(__xludf.DUMMYFUNCTION("""COMPUTED_VALUE"""),5290.05)</f>
        <v>5290.05</v>
      </c>
      <c r="F33" s="6">
        <f>IFERROR(__xludf.DUMMYFUNCTION("""COMPUTED_VALUE"""),1667566.0)</f>
        <v>1667566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IFERROR(__xludf.DUMMYFUNCTION("""COMPUTED_VALUE"""),5331.0)</f>
        <v>5331</v>
      </c>
      <c r="C34" s="6">
        <f>IFERROR(__xludf.DUMMYFUNCTION("""COMPUTED_VALUE"""),5689.9)</f>
        <v>5689.9</v>
      </c>
      <c r="D34" s="6">
        <f>IFERROR(__xludf.DUMMYFUNCTION("""COMPUTED_VALUE"""),5315.9)</f>
        <v>5315.9</v>
      </c>
      <c r="E34" s="6">
        <f>IFERROR(__xludf.DUMMYFUNCTION("""COMPUTED_VALUE"""),5593.65)</f>
        <v>5593.65</v>
      </c>
      <c r="F34" s="6">
        <f>IFERROR(__xludf.DUMMYFUNCTION("""COMPUTED_VALUE"""),2044939.0)</f>
        <v>2044939</v>
      </c>
    </row>
    <row r="35">
      <c r="A35" s="7">
        <f>IFERROR(__xludf.DUMMYFUNCTION("""COMPUTED_VALUE"""),45415.64583333333)</f>
        <v>45415.64583</v>
      </c>
      <c r="B35" s="6">
        <f>IFERROR(__xludf.DUMMYFUNCTION("""COMPUTED_VALUE"""),5600.0)</f>
        <v>5600</v>
      </c>
      <c r="C35" s="6">
        <f>IFERROR(__xludf.DUMMYFUNCTION("""COMPUTED_VALUE"""),5869.9)</f>
        <v>5869.9</v>
      </c>
      <c r="D35" s="6">
        <f>IFERROR(__xludf.DUMMYFUNCTION("""COMPUTED_VALUE"""),5573.0)</f>
        <v>5573</v>
      </c>
      <c r="E35" s="6">
        <f>IFERROR(__xludf.DUMMYFUNCTION("""COMPUTED_VALUE"""),5832.15)</f>
        <v>5832.15</v>
      </c>
      <c r="F35" s="6">
        <f>IFERROR(__xludf.DUMMYFUNCTION("""COMPUTED_VALUE"""),1423420.0)</f>
        <v>1423420</v>
      </c>
    </row>
    <row r="36">
      <c r="A36" s="7">
        <f>IFERROR(__xludf.DUMMYFUNCTION("""COMPUTED_VALUE"""),45422.64583333333)</f>
        <v>45422.64583</v>
      </c>
      <c r="B36" s="6">
        <f>IFERROR(__xludf.DUMMYFUNCTION("""COMPUTED_VALUE"""),5863.0)</f>
        <v>5863</v>
      </c>
      <c r="C36" s="6">
        <f>IFERROR(__xludf.DUMMYFUNCTION("""COMPUTED_VALUE"""),6362.95)</f>
        <v>6362.95</v>
      </c>
      <c r="D36" s="6">
        <f>IFERROR(__xludf.DUMMYFUNCTION("""COMPUTED_VALUE"""),5680.0)</f>
        <v>5680</v>
      </c>
      <c r="E36" s="6">
        <f>IFERROR(__xludf.DUMMYFUNCTION("""COMPUTED_VALUE"""),6155.65)</f>
        <v>6155.65</v>
      </c>
      <c r="F36" s="6">
        <f>IFERROR(__xludf.DUMMYFUNCTION("""COMPUTED_VALUE"""),4932036.0)</f>
        <v>4932036</v>
      </c>
    </row>
    <row r="37">
      <c r="A37" s="7">
        <f>IFERROR(__xludf.DUMMYFUNCTION("""COMPUTED_VALUE"""),45436.64583333333)</f>
        <v>45436.64583</v>
      </c>
      <c r="B37" s="6">
        <f>IFERROR(__xludf.DUMMYFUNCTION("""COMPUTED_VALUE"""),6500.5)</f>
        <v>6500.5</v>
      </c>
      <c r="C37" s="6">
        <f>IFERROR(__xludf.DUMMYFUNCTION("""COMPUTED_VALUE"""),6843.95)</f>
        <v>6843.95</v>
      </c>
      <c r="D37" s="6">
        <f>IFERROR(__xludf.DUMMYFUNCTION("""COMPUTED_VALUE"""),6500.5)</f>
        <v>6500.5</v>
      </c>
      <c r="E37" s="6">
        <f>IFERROR(__xludf.DUMMYFUNCTION("""COMPUTED_VALUE"""),6684.15)</f>
        <v>6684.15</v>
      </c>
      <c r="F37" s="6">
        <f>IFERROR(__xludf.DUMMYFUNCTION("""COMPUTED_VALUE"""),2099313.0)</f>
        <v>2099313</v>
      </c>
    </row>
    <row r="38">
      <c r="A38" s="7">
        <f>IFERROR(__xludf.DUMMYFUNCTION("""COMPUTED_VALUE"""),45443.64583333333)</f>
        <v>45443.64583</v>
      </c>
      <c r="B38" s="6">
        <f>IFERROR(__xludf.DUMMYFUNCTION("""COMPUTED_VALUE"""),6722.0)</f>
        <v>6722</v>
      </c>
      <c r="C38" s="6">
        <f>IFERROR(__xludf.DUMMYFUNCTION("""COMPUTED_VALUE"""),6900.0)</f>
        <v>6900</v>
      </c>
      <c r="D38" s="6">
        <f>IFERROR(__xludf.DUMMYFUNCTION("""COMPUTED_VALUE"""),6621.55)</f>
        <v>6621.55</v>
      </c>
      <c r="E38" s="6">
        <f>IFERROR(__xludf.DUMMYFUNCTION("""COMPUTED_VALUE"""),6741.65)</f>
        <v>6741.65</v>
      </c>
      <c r="F38" s="6">
        <f>IFERROR(__xludf.DUMMYFUNCTION("""COMPUTED_VALUE"""),2646063.0)</f>
        <v>2646063</v>
      </c>
    </row>
    <row r="39">
      <c r="A39" s="7">
        <f>IFERROR(__xludf.DUMMYFUNCTION("""COMPUTED_VALUE"""),45450.64583333333)</f>
        <v>45450.64583</v>
      </c>
      <c r="B39" s="6">
        <f>IFERROR(__xludf.DUMMYFUNCTION("""COMPUTED_VALUE"""),7000.0)</f>
        <v>7000</v>
      </c>
      <c r="C39" s="6">
        <f>IFERROR(__xludf.DUMMYFUNCTION("""COMPUTED_VALUE"""),7116.2)</f>
        <v>7116.2</v>
      </c>
      <c r="D39" s="6">
        <f>IFERROR(__xludf.DUMMYFUNCTION("""COMPUTED_VALUE"""),6137.0)</f>
        <v>6137</v>
      </c>
      <c r="E39" s="6">
        <f>IFERROR(__xludf.DUMMYFUNCTION("""COMPUTED_VALUE"""),6846.45)</f>
        <v>6846.45</v>
      </c>
      <c r="F39" s="6">
        <f>IFERROR(__xludf.DUMMYFUNCTION("""COMPUTED_VALUE"""),3015023.0)</f>
        <v>3015023</v>
      </c>
    </row>
    <row r="40">
      <c r="A40" s="7">
        <f>IFERROR(__xludf.DUMMYFUNCTION("""COMPUTED_VALUE"""),45457.64583333333)</f>
        <v>45457.64583</v>
      </c>
      <c r="B40" s="6">
        <f>IFERROR(__xludf.DUMMYFUNCTION("""COMPUTED_VALUE"""),6887.6)</f>
        <v>6887.6</v>
      </c>
      <c r="C40" s="6">
        <f>IFERROR(__xludf.DUMMYFUNCTION("""COMPUTED_VALUE"""),7140.0)</f>
        <v>7140</v>
      </c>
      <c r="D40" s="6">
        <f>IFERROR(__xludf.DUMMYFUNCTION("""COMPUTED_VALUE"""),6730.0)</f>
        <v>6730</v>
      </c>
      <c r="E40" s="6">
        <f>IFERROR(__xludf.DUMMYFUNCTION("""COMPUTED_VALUE"""),7079.9)</f>
        <v>7079.9</v>
      </c>
      <c r="F40" s="6">
        <f>IFERROR(__xludf.DUMMYFUNCTION("""COMPUTED_VALUE"""),2157642.0)</f>
        <v>2157642</v>
      </c>
    </row>
    <row r="41">
      <c r="A41" s="7">
        <f>IFERROR(__xludf.DUMMYFUNCTION("""COMPUTED_VALUE"""),45464.64583333333)</f>
        <v>45464.64583</v>
      </c>
      <c r="B41" s="6">
        <f>IFERROR(__xludf.DUMMYFUNCTION("""COMPUTED_VALUE"""),7120.0)</f>
        <v>7120</v>
      </c>
      <c r="C41" s="6">
        <f>IFERROR(__xludf.DUMMYFUNCTION("""COMPUTED_VALUE"""),7215.0)</f>
        <v>7215</v>
      </c>
      <c r="D41" s="6">
        <f>IFERROR(__xludf.DUMMYFUNCTION("""COMPUTED_VALUE"""),6905.0)</f>
        <v>6905</v>
      </c>
      <c r="E41" s="6">
        <f>IFERROR(__xludf.DUMMYFUNCTION("""COMPUTED_VALUE"""),7091.55)</f>
        <v>7091.55</v>
      </c>
      <c r="F41" s="6">
        <f>IFERROR(__xludf.DUMMYFUNCTION("""COMPUTED_VALUE"""),1514641.0)</f>
        <v>1514641</v>
      </c>
    </row>
    <row r="42">
      <c r="A42" s="7">
        <f>IFERROR(__xludf.DUMMYFUNCTION("""COMPUTED_VALUE"""),45471.64583333333)</f>
        <v>45471.64583</v>
      </c>
      <c r="B42" s="6">
        <f>IFERROR(__xludf.DUMMYFUNCTION("""COMPUTED_VALUE"""),7000.0)</f>
        <v>7000</v>
      </c>
      <c r="C42" s="6">
        <f>IFERROR(__xludf.DUMMYFUNCTION("""COMPUTED_VALUE"""),7331.45)</f>
        <v>7331.45</v>
      </c>
      <c r="D42" s="6">
        <f>IFERROR(__xludf.DUMMYFUNCTION("""COMPUTED_VALUE"""),6616.0)</f>
        <v>6616</v>
      </c>
      <c r="E42" s="6">
        <f>IFERROR(__xludf.DUMMYFUNCTION("""COMPUTED_VALUE"""),6739.5)</f>
        <v>6739.5</v>
      </c>
      <c r="F42" s="6">
        <f>IFERROR(__xludf.DUMMYFUNCTION("""COMPUTED_VALUE"""),1.1211342E7)</f>
        <v>11211342</v>
      </c>
    </row>
    <row r="43">
      <c r="A43" s="7">
        <f>IFERROR(__xludf.DUMMYFUNCTION("""COMPUTED_VALUE"""),45478.64583333333)</f>
        <v>45478.64583</v>
      </c>
      <c r="B43" s="6">
        <f>IFERROR(__xludf.DUMMYFUNCTION("""COMPUTED_VALUE"""),6750.0)</f>
        <v>6750</v>
      </c>
      <c r="C43" s="6">
        <f>IFERROR(__xludf.DUMMYFUNCTION("""COMPUTED_VALUE"""),6786.0)</f>
        <v>6786</v>
      </c>
      <c r="D43" s="6">
        <f>IFERROR(__xludf.DUMMYFUNCTION("""COMPUTED_VALUE"""),6544.1)</f>
        <v>6544.1</v>
      </c>
      <c r="E43" s="6">
        <f>IFERROR(__xludf.DUMMYFUNCTION("""COMPUTED_VALUE"""),6634.1)</f>
        <v>6634.1</v>
      </c>
      <c r="F43" s="6">
        <f>IFERROR(__xludf.DUMMYFUNCTION("""COMPUTED_VALUE"""),2533461.0)</f>
        <v>2533461</v>
      </c>
    </row>
    <row r="44">
      <c r="A44" s="7">
        <f>IFERROR(__xludf.DUMMYFUNCTION("""COMPUTED_VALUE"""),45485.64583333333)</f>
        <v>45485.64583</v>
      </c>
      <c r="B44" s="6">
        <f>IFERROR(__xludf.DUMMYFUNCTION("""COMPUTED_VALUE"""),6639.0)</f>
        <v>6639</v>
      </c>
      <c r="C44" s="6">
        <f>IFERROR(__xludf.DUMMYFUNCTION("""COMPUTED_VALUE"""),6675.0)</f>
        <v>6675</v>
      </c>
      <c r="D44" s="6">
        <f>IFERROR(__xludf.DUMMYFUNCTION("""COMPUTED_VALUE"""),6311.1)</f>
        <v>6311.1</v>
      </c>
      <c r="E44" s="6">
        <f>IFERROR(__xludf.DUMMYFUNCTION("""COMPUTED_VALUE"""),6581.0)</f>
        <v>6581</v>
      </c>
      <c r="F44" s="6">
        <f>IFERROR(__xludf.DUMMYFUNCTION("""COMPUTED_VALUE"""),2962781.0)</f>
        <v>2962781</v>
      </c>
    </row>
    <row r="45">
      <c r="A45" s="7">
        <f>IFERROR(__xludf.DUMMYFUNCTION("""COMPUTED_VALUE"""),45492.64583333333)</f>
        <v>45492.64583</v>
      </c>
      <c r="B45" s="6">
        <f>IFERROR(__xludf.DUMMYFUNCTION("""COMPUTED_VALUE"""),6591.0)</f>
        <v>6591</v>
      </c>
      <c r="C45" s="6">
        <f>IFERROR(__xludf.DUMMYFUNCTION("""COMPUTED_VALUE"""),6717.85)</f>
        <v>6717.85</v>
      </c>
      <c r="D45" s="6">
        <f>IFERROR(__xludf.DUMMYFUNCTION("""COMPUTED_VALUE"""),6257.5)</f>
        <v>6257.5</v>
      </c>
      <c r="E45" s="6">
        <f>IFERROR(__xludf.DUMMYFUNCTION("""COMPUTED_VALUE"""),6349.85)</f>
        <v>6349.85</v>
      </c>
      <c r="F45" s="6">
        <f>IFERROR(__xludf.DUMMYFUNCTION("""COMPUTED_VALUE"""),3202220.0)</f>
        <v>3202220</v>
      </c>
    </row>
    <row r="46">
      <c r="A46" s="7">
        <f>IFERROR(__xludf.DUMMYFUNCTION("""COMPUTED_VALUE"""),45499.64583333333)</f>
        <v>45499.64583</v>
      </c>
      <c r="B46" s="6">
        <f>IFERROR(__xludf.DUMMYFUNCTION("""COMPUTED_VALUE"""),6330.0)</f>
        <v>6330</v>
      </c>
      <c r="C46" s="6">
        <f>IFERROR(__xludf.DUMMYFUNCTION("""COMPUTED_VALUE"""),6564.75)</f>
        <v>6564.75</v>
      </c>
      <c r="D46" s="6">
        <f>IFERROR(__xludf.DUMMYFUNCTION("""COMPUTED_VALUE"""),5930.05)</f>
        <v>5930.05</v>
      </c>
      <c r="E46" s="6">
        <f>IFERROR(__xludf.DUMMYFUNCTION("""COMPUTED_VALUE"""),6548.5)</f>
        <v>6548.5</v>
      </c>
      <c r="F46" s="6">
        <f>IFERROR(__xludf.DUMMYFUNCTION("""COMPUTED_VALUE"""),3003488.0)</f>
        <v>3003488</v>
      </c>
    </row>
    <row r="47">
      <c r="A47" s="7">
        <f>IFERROR(__xludf.DUMMYFUNCTION("""COMPUTED_VALUE"""),45506.64583333333)</f>
        <v>45506.64583</v>
      </c>
      <c r="B47" s="6">
        <f>IFERROR(__xludf.DUMMYFUNCTION("""COMPUTED_VALUE"""),6584.95)</f>
        <v>6584.95</v>
      </c>
      <c r="C47" s="6">
        <f>IFERROR(__xludf.DUMMYFUNCTION("""COMPUTED_VALUE"""),6906.0)</f>
        <v>6906</v>
      </c>
      <c r="D47" s="6">
        <f>IFERROR(__xludf.DUMMYFUNCTION("""COMPUTED_VALUE"""),6540.0)</f>
        <v>6540</v>
      </c>
      <c r="E47" s="6">
        <f>IFERROR(__xludf.DUMMYFUNCTION("""COMPUTED_VALUE"""),6751.5)</f>
        <v>6751.5</v>
      </c>
      <c r="F47" s="6">
        <f>IFERROR(__xludf.DUMMYFUNCTION("""COMPUTED_VALUE"""),2258587.0)</f>
        <v>2258587</v>
      </c>
    </row>
    <row r="48">
      <c r="A48" s="7">
        <f>IFERROR(__xludf.DUMMYFUNCTION("""COMPUTED_VALUE"""),45513.64583333333)</f>
        <v>45513.64583</v>
      </c>
      <c r="B48" s="6">
        <f>IFERROR(__xludf.DUMMYFUNCTION("""COMPUTED_VALUE"""),6525.0)</f>
        <v>6525</v>
      </c>
      <c r="C48" s="6">
        <f>IFERROR(__xludf.DUMMYFUNCTION("""COMPUTED_VALUE"""),6750.0)</f>
        <v>6750</v>
      </c>
      <c r="D48" s="6">
        <f>IFERROR(__xludf.DUMMYFUNCTION("""COMPUTED_VALUE"""),6386.45)</f>
        <v>6386.45</v>
      </c>
      <c r="E48" s="6">
        <f>IFERROR(__xludf.DUMMYFUNCTION("""COMPUTED_VALUE"""),6650.7)</f>
        <v>6650.7</v>
      </c>
      <c r="F48" s="6">
        <f>IFERROR(__xludf.DUMMYFUNCTION("""COMPUTED_VALUE"""),1405922.0)</f>
        <v>1405922</v>
      </c>
    </row>
    <row r="49">
      <c r="A49" s="7">
        <f>IFERROR(__xludf.DUMMYFUNCTION("""COMPUTED_VALUE"""),45520.64583333333)</f>
        <v>45520.64583</v>
      </c>
      <c r="B49" s="6">
        <f>IFERROR(__xludf.DUMMYFUNCTION("""COMPUTED_VALUE"""),6632.0)</f>
        <v>6632</v>
      </c>
      <c r="C49" s="6">
        <f>IFERROR(__xludf.DUMMYFUNCTION("""COMPUTED_VALUE"""),6709.0)</f>
        <v>6709</v>
      </c>
      <c r="D49" s="6">
        <f>IFERROR(__xludf.DUMMYFUNCTION("""COMPUTED_VALUE"""),6308.75)</f>
        <v>6308.75</v>
      </c>
      <c r="E49" s="6">
        <f>IFERROR(__xludf.DUMMYFUNCTION("""COMPUTED_VALUE"""),6674.35)</f>
        <v>6674.35</v>
      </c>
      <c r="F49" s="6">
        <f>IFERROR(__xludf.DUMMYFUNCTION("""COMPUTED_VALUE"""),1336665.0)</f>
        <v>1336665</v>
      </c>
    </row>
    <row r="50">
      <c r="A50" s="7">
        <f>IFERROR(__xludf.DUMMYFUNCTION("""COMPUTED_VALUE"""),45527.64583333333)</f>
        <v>45527.64583</v>
      </c>
      <c r="B50" s="6">
        <f>IFERROR(__xludf.DUMMYFUNCTION("""COMPUTED_VALUE"""),6700.0)</f>
        <v>6700</v>
      </c>
      <c r="C50" s="6">
        <f>IFERROR(__xludf.DUMMYFUNCTION("""COMPUTED_VALUE"""),6884.0)</f>
        <v>6884</v>
      </c>
      <c r="D50" s="6">
        <f>IFERROR(__xludf.DUMMYFUNCTION("""COMPUTED_VALUE"""),6495.05)</f>
        <v>6495.05</v>
      </c>
      <c r="E50" s="6">
        <f>IFERROR(__xludf.DUMMYFUNCTION("""COMPUTED_VALUE"""),6754.15)</f>
        <v>6754.15</v>
      </c>
      <c r="F50" s="6">
        <f>IFERROR(__xludf.DUMMYFUNCTION("""COMPUTED_VALUE"""),2536247.0)</f>
        <v>2536247</v>
      </c>
    </row>
    <row r="51">
      <c r="A51" s="7">
        <f>IFERROR(__xludf.DUMMYFUNCTION("""COMPUTED_VALUE"""),45534.64583333333)</f>
        <v>45534.64583</v>
      </c>
      <c r="B51" s="6">
        <f>IFERROR(__xludf.DUMMYFUNCTION("""COMPUTED_VALUE"""),6804.9)</f>
        <v>6804.9</v>
      </c>
      <c r="C51" s="6">
        <f>IFERROR(__xludf.DUMMYFUNCTION("""COMPUTED_VALUE"""),6862.3)</f>
        <v>6862.3</v>
      </c>
      <c r="D51" s="6">
        <f>IFERROR(__xludf.DUMMYFUNCTION("""COMPUTED_VALUE"""),6706.2)</f>
        <v>6706.2</v>
      </c>
      <c r="E51" s="6">
        <f>IFERROR(__xludf.DUMMYFUNCTION("""COMPUTED_VALUE"""),6813.4)</f>
        <v>6813.4</v>
      </c>
      <c r="F51" s="6">
        <f>IFERROR(__xludf.DUMMYFUNCTION("""COMPUTED_VALUE"""),1404882.0)</f>
        <v>1404882</v>
      </c>
    </row>
    <row r="52">
      <c r="A52" s="7">
        <f>IFERROR(__xludf.DUMMYFUNCTION("""COMPUTED_VALUE"""),45541.64583333333)</f>
        <v>45541.64583</v>
      </c>
      <c r="B52" s="6">
        <f>IFERROR(__xludf.DUMMYFUNCTION("""COMPUTED_VALUE"""),6839.95)</f>
        <v>6839.95</v>
      </c>
      <c r="C52" s="6">
        <f>IFERROR(__xludf.DUMMYFUNCTION("""COMPUTED_VALUE"""),6840.8)</f>
        <v>6840.8</v>
      </c>
      <c r="D52" s="6">
        <f>IFERROR(__xludf.DUMMYFUNCTION("""COMPUTED_VALUE"""),6476.3)</f>
        <v>6476.3</v>
      </c>
      <c r="E52" s="6">
        <f>IFERROR(__xludf.DUMMYFUNCTION("""COMPUTED_VALUE"""),6620.7)</f>
        <v>6620.7</v>
      </c>
      <c r="F52" s="6">
        <f>IFERROR(__xludf.DUMMYFUNCTION("""COMPUTED_VALUE"""),1441495.0)</f>
        <v>1441495</v>
      </c>
    </row>
    <row r="53">
      <c r="A53" s="7">
        <f>IFERROR(__xludf.DUMMYFUNCTION("""COMPUTED_VALUE"""),45548.64583333333)</f>
        <v>45548.64583</v>
      </c>
      <c r="B53" s="6">
        <f>IFERROR(__xludf.DUMMYFUNCTION("""COMPUTED_VALUE"""),6580.0)</f>
        <v>6580</v>
      </c>
      <c r="C53" s="6">
        <f>IFERROR(__xludf.DUMMYFUNCTION("""COMPUTED_VALUE"""),6924.5)</f>
        <v>6924.5</v>
      </c>
      <c r="D53" s="6">
        <f>IFERROR(__xludf.DUMMYFUNCTION("""COMPUTED_VALUE"""),6575.0)</f>
        <v>6575</v>
      </c>
      <c r="E53" s="6">
        <f>IFERROR(__xludf.DUMMYFUNCTION("""COMPUTED_VALUE"""),6752.85)</f>
        <v>6752.85</v>
      </c>
      <c r="F53" s="6">
        <f>IFERROR(__xludf.DUMMYFUNCTION("""COMPUTED_VALUE"""),1915899.0)</f>
        <v>1915899</v>
      </c>
    </row>
    <row r="54">
      <c r="A54" s="7">
        <f>IFERROR(__xludf.DUMMYFUNCTION("""COMPUTED_VALUE"""),45555.64583333333)</f>
        <v>45555.64583</v>
      </c>
      <c r="B54" s="6">
        <f>IFERROR(__xludf.DUMMYFUNCTION("""COMPUTED_VALUE"""),6800.0)</f>
        <v>6800</v>
      </c>
      <c r="C54" s="6">
        <f>IFERROR(__xludf.DUMMYFUNCTION("""COMPUTED_VALUE"""),6828.0)</f>
        <v>6828</v>
      </c>
      <c r="D54" s="6">
        <f>IFERROR(__xludf.DUMMYFUNCTION("""COMPUTED_VALUE"""),6425.55)</f>
        <v>6425.55</v>
      </c>
      <c r="E54" s="6">
        <f>IFERROR(__xludf.DUMMYFUNCTION("""COMPUTED_VALUE"""),6559.35)</f>
        <v>6559.35</v>
      </c>
      <c r="F54" s="6">
        <f>IFERROR(__xludf.DUMMYFUNCTION("""COMPUTED_VALUE"""),1425987.0)</f>
        <v>1425987</v>
      </c>
    </row>
    <row r="55">
      <c r="A55" s="7">
        <f>IFERROR(__xludf.DUMMYFUNCTION("""COMPUTED_VALUE"""),45562.64583333333)</f>
        <v>45562.64583</v>
      </c>
      <c r="B55" s="6">
        <f>IFERROR(__xludf.DUMMYFUNCTION("""COMPUTED_VALUE"""),6600.0)</f>
        <v>6600</v>
      </c>
      <c r="C55" s="6">
        <f>IFERROR(__xludf.DUMMYFUNCTION("""COMPUTED_VALUE"""),7119.0)</f>
        <v>7119</v>
      </c>
      <c r="D55" s="6">
        <f>IFERROR(__xludf.DUMMYFUNCTION("""COMPUTED_VALUE"""),6525.0)</f>
        <v>6525</v>
      </c>
      <c r="E55" s="6">
        <f>IFERROR(__xludf.DUMMYFUNCTION("""COMPUTED_VALUE"""),7054.8)</f>
        <v>7054.8</v>
      </c>
      <c r="F55" s="6">
        <f>IFERROR(__xludf.DUMMYFUNCTION("""COMPUTED_VALUE"""),2799974.0)</f>
        <v>2799974</v>
      </c>
    </row>
    <row r="56">
      <c r="A56" s="7">
        <f>IFERROR(__xludf.DUMMYFUNCTION("""COMPUTED_VALUE"""),45569.64583333333)</f>
        <v>45569.64583</v>
      </c>
      <c r="B56" s="6">
        <f>IFERROR(__xludf.DUMMYFUNCTION("""COMPUTED_VALUE"""),7065.0)</f>
        <v>7065</v>
      </c>
      <c r="C56" s="6">
        <f>IFERROR(__xludf.DUMMYFUNCTION("""COMPUTED_VALUE"""),7430.0)</f>
        <v>7430</v>
      </c>
      <c r="D56" s="6">
        <f>IFERROR(__xludf.DUMMYFUNCTION("""COMPUTED_VALUE"""),6902.4)</f>
        <v>6902.4</v>
      </c>
      <c r="E56" s="6">
        <f>IFERROR(__xludf.DUMMYFUNCTION("""COMPUTED_VALUE"""),7184.95)</f>
        <v>7184.95</v>
      </c>
      <c r="F56" s="6">
        <f>IFERROR(__xludf.DUMMYFUNCTION("""COMPUTED_VALUE"""),2878361.0)</f>
        <v>2878361</v>
      </c>
    </row>
    <row r="57">
      <c r="A57" s="7">
        <f>IFERROR(__xludf.DUMMYFUNCTION("""COMPUTED_VALUE"""),45576.64583333333)</f>
        <v>45576.64583</v>
      </c>
      <c r="B57" s="6">
        <f>IFERROR(__xludf.DUMMYFUNCTION("""COMPUTED_VALUE"""),7187.0)</f>
        <v>7187</v>
      </c>
      <c r="C57" s="6">
        <f>IFERROR(__xludf.DUMMYFUNCTION("""COMPUTED_VALUE"""),7585.5)</f>
        <v>7585.5</v>
      </c>
      <c r="D57" s="6">
        <f>IFERROR(__xludf.DUMMYFUNCTION("""COMPUTED_VALUE"""),6980.1)</f>
        <v>6980.1</v>
      </c>
      <c r="E57" s="6">
        <f>IFERROR(__xludf.DUMMYFUNCTION("""COMPUTED_VALUE"""),7446.85)</f>
        <v>7446.85</v>
      </c>
      <c r="F57" s="6">
        <f>IFERROR(__xludf.DUMMYFUNCTION("""COMPUTED_VALUE"""),1866356.0)</f>
        <v>1866356</v>
      </c>
    </row>
    <row r="58">
      <c r="A58" s="7">
        <f>IFERROR(__xludf.DUMMYFUNCTION("""COMPUTED_VALUE"""),45583.64583333333)</f>
        <v>45583.64583</v>
      </c>
      <c r="B58" s="6">
        <f>IFERROR(__xludf.DUMMYFUNCTION("""COMPUTED_VALUE"""),7385.0)</f>
        <v>7385</v>
      </c>
      <c r="C58" s="6">
        <f>IFERROR(__xludf.DUMMYFUNCTION("""COMPUTED_VALUE"""),7605.0)</f>
        <v>7605</v>
      </c>
      <c r="D58" s="6">
        <f>IFERROR(__xludf.DUMMYFUNCTION("""COMPUTED_VALUE"""),6612.0)</f>
        <v>6612</v>
      </c>
      <c r="E58" s="6">
        <f>IFERROR(__xludf.DUMMYFUNCTION("""COMPUTED_VALUE"""),7120.4)</f>
        <v>7120.4</v>
      </c>
      <c r="F58" s="6">
        <f>IFERROR(__xludf.DUMMYFUNCTION("""COMPUTED_VALUE"""),3705519.0)</f>
        <v>3705519</v>
      </c>
    </row>
    <row r="59">
      <c r="A59" s="7">
        <f>IFERROR(__xludf.DUMMYFUNCTION("""COMPUTED_VALUE"""),45590.64583333333)</f>
        <v>45590.64583</v>
      </c>
      <c r="B59" s="6">
        <f>IFERROR(__xludf.DUMMYFUNCTION("""COMPUTED_VALUE"""),7155.0)</f>
        <v>7155</v>
      </c>
      <c r="C59" s="6">
        <f>IFERROR(__xludf.DUMMYFUNCTION("""COMPUTED_VALUE"""),7243.95)</f>
        <v>7243.95</v>
      </c>
      <c r="D59" s="6">
        <f>IFERROR(__xludf.DUMMYFUNCTION("""COMPUTED_VALUE"""),6382.0)</f>
        <v>6382</v>
      </c>
      <c r="E59" s="6">
        <f>IFERROR(__xludf.DUMMYFUNCTION("""COMPUTED_VALUE"""),6455.4)</f>
        <v>6455.4</v>
      </c>
      <c r="F59" s="6">
        <f>IFERROR(__xludf.DUMMYFUNCTION("""COMPUTED_VALUE"""),2662254.0)</f>
        <v>2662254</v>
      </c>
    </row>
    <row r="60">
      <c r="A60" s="7">
        <f>IFERROR(__xludf.DUMMYFUNCTION("""COMPUTED_VALUE"""),45604.64583333333)</f>
        <v>45604.64583</v>
      </c>
      <c r="B60" s="6">
        <f>IFERROR(__xludf.DUMMYFUNCTION("""COMPUTED_VALUE"""),6505.0)</f>
        <v>6505</v>
      </c>
      <c r="C60" s="6">
        <f>IFERROR(__xludf.DUMMYFUNCTION("""COMPUTED_VALUE"""),6950.0)</f>
        <v>6950</v>
      </c>
      <c r="D60" s="6">
        <f>IFERROR(__xludf.DUMMYFUNCTION("""COMPUTED_VALUE"""),6371.4)</f>
        <v>6371.4</v>
      </c>
      <c r="E60" s="6">
        <f>IFERROR(__xludf.DUMMYFUNCTION("""COMPUTED_VALUE"""),6725.8)</f>
        <v>6725.8</v>
      </c>
      <c r="F60" s="6">
        <f>IFERROR(__xludf.DUMMYFUNCTION("""COMPUTED_VALUE"""),1891768.0)</f>
        <v>1891768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IFERROR(__xludf.DUMMYFUNCTION("""COMPUTED_VALUE"""),6725.8)</f>
        <v>6725.8</v>
      </c>
      <c r="C61" s="6">
        <f>IFERROR(__xludf.DUMMYFUNCTION("""COMPUTED_VALUE"""),6798.75)</f>
        <v>6798.75</v>
      </c>
      <c r="D61" s="6">
        <f>IFERROR(__xludf.DUMMYFUNCTION("""COMPUTED_VALUE"""),6264.15)</f>
        <v>6264.15</v>
      </c>
      <c r="E61" s="6">
        <f>IFERROR(__xludf.DUMMYFUNCTION("""COMPUTED_VALUE"""),6301.9)</f>
        <v>6301.9</v>
      </c>
      <c r="F61" s="6">
        <f>IFERROR(__xludf.DUMMYFUNCTION("""COMPUTED_VALUE"""),799524.0)</f>
        <v>799524</v>
      </c>
    </row>
    <row r="62">
      <c r="A62" s="7">
        <f>IFERROR(__xludf.DUMMYFUNCTION("""COMPUTED_VALUE"""),45618.64583333333)</f>
        <v>45618.64583</v>
      </c>
      <c r="B62" s="6">
        <f>IFERROR(__xludf.DUMMYFUNCTION("""COMPUTED_VALUE"""),6295.9)</f>
        <v>6295.9</v>
      </c>
      <c r="C62" s="6">
        <f>IFERROR(__xludf.DUMMYFUNCTION("""COMPUTED_VALUE"""),6645.5)</f>
        <v>6645.5</v>
      </c>
      <c r="D62" s="6">
        <f>IFERROR(__xludf.DUMMYFUNCTION("""COMPUTED_VALUE"""),6257.5)</f>
        <v>6257.5</v>
      </c>
      <c r="E62" s="6">
        <f>IFERROR(__xludf.DUMMYFUNCTION("""COMPUTED_VALUE"""),6620.5)</f>
        <v>6620.5</v>
      </c>
      <c r="F62" s="6">
        <f>IFERROR(__xludf.DUMMYFUNCTION("""COMPUTED_VALUE"""),1043777.0)</f>
        <v>1043777</v>
      </c>
    </row>
    <row r="63">
      <c r="A63" s="7">
        <f>IFERROR(__xludf.DUMMYFUNCTION("""COMPUTED_VALUE"""),45625.64583333333)</f>
        <v>45625.64583</v>
      </c>
      <c r="B63" s="6">
        <f>IFERROR(__xludf.DUMMYFUNCTION("""COMPUTED_VALUE"""),6810.0)</f>
        <v>6810</v>
      </c>
      <c r="C63" s="6">
        <f>IFERROR(__xludf.DUMMYFUNCTION("""COMPUTED_VALUE"""),7320.0)</f>
        <v>7320</v>
      </c>
      <c r="D63" s="6">
        <f>IFERROR(__xludf.DUMMYFUNCTION("""COMPUTED_VALUE"""),6701.2)</f>
        <v>6701.2</v>
      </c>
      <c r="E63" s="6">
        <f>IFERROR(__xludf.DUMMYFUNCTION("""COMPUTED_VALUE"""),7297.9)</f>
        <v>7297.9</v>
      </c>
      <c r="F63" s="6">
        <f>IFERROR(__xludf.DUMMYFUNCTION("""COMPUTED_VALUE"""),2207204.0)</f>
        <v>2207204</v>
      </c>
    </row>
    <row r="64">
      <c r="A64" s="7">
        <f>IFERROR(__xludf.DUMMYFUNCTION("""COMPUTED_VALUE"""),45632.64583333333)</f>
        <v>45632.64583</v>
      </c>
      <c r="B64" s="6">
        <f>IFERROR(__xludf.DUMMYFUNCTION("""COMPUTED_VALUE"""),7308.0)</f>
        <v>7308</v>
      </c>
      <c r="C64" s="6">
        <f>IFERROR(__xludf.DUMMYFUNCTION("""COMPUTED_VALUE"""),7479.0)</f>
        <v>7479</v>
      </c>
      <c r="D64" s="6">
        <f>IFERROR(__xludf.DUMMYFUNCTION("""COMPUTED_VALUE"""),7272.0)</f>
        <v>7272</v>
      </c>
      <c r="E64" s="6">
        <f>IFERROR(__xludf.DUMMYFUNCTION("""COMPUTED_VALUE"""),7317.95)</f>
        <v>7317.95</v>
      </c>
      <c r="F64" s="6">
        <f>IFERROR(__xludf.DUMMYFUNCTION("""COMPUTED_VALUE"""),1119747.0)</f>
        <v>1119747</v>
      </c>
    </row>
    <row r="65">
      <c r="A65" s="7">
        <f>IFERROR(__xludf.DUMMYFUNCTION("""COMPUTED_VALUE"""),45639.64583333333)</f>
        <v>45639.64583</v>
      </c>
      <c r="B65" s="6">
        <f>IFERROR(__xludf.DUMMYFUNCTION("""COMPUTED_VALUE"""),7317.95)</f>
        <v>7317.95</v>
      </c>
      <c r="C65" s="6">
        <f>IFERROR(__xludf.DUMMYFUNCTION("""COMPUTED_VALUE"""),7565.0)</f>
        <v>7565</v>
      </c>
      <c r="D65" s="6">
        <f>IFERROR(__xludf.DUMMYFUNCTION("""COMPUTED_VALUE"""),7295.1)</f>
        <v>7295.1</v>
      </c>
      <c r="E65" s="6">
        <f>IFERROR(__xludf.DUMMYFUNCTION("""COMPUTED_VALUE"""),7522.15)</f>
        <v>7522.15</v>
      </c>
      <c r="F65" s="6">
        <f>IFERROR(__xludf.DUMMYFUNCTION("""COMPUTED_VALUE"""),1084875.0)</f>
        <v>1084875</v>
      </c>
    </row>
    <row r="66">
      <c r="A66" s="7">
        <f>IFERROR(__xludf.DUMMYFUNCTION("""COMPUTED_VALUE"""),45646.64583333333)</f>
        <v>45646.64583</v>
      </c>
      <c r="B66" s="6">
        <f>IFERROR(__xludf.DUMMYFUNCTION("""COMPUTED_VALUE"""),7529.35)</f>
        <v>7529.35</v>
      </c>
      <c r="C66" s="6">
        <f>IFERROR(__xludf.DUMMYFUNCTION("""COMPUTED_VALUE"""),7595.0)</f>
        <v>7595</v>
      </c>
      <c r="D66" s="6">
        <f>IFERROR(__xludf.DUMMYFUNCTION("""COMPUTED_VALUE"""),7150.1)</f>
        <v>7150.1</v>
      </c>
      <c r="E66" s="6">
        <f>IFERROR(__xludf.DUMMYFUNCTION("""COMPUTED_VALUE"""),7178.25)</f>
        <v>7178.25</v>
      </c>
      <c r="F66" s="6">
        <f>IFERROR(__xludf.DUMMYFUNCTION("""COMPUTED_VALUE"""),1098318.0)</f>
        <v>1098318</v>
      </c>
    </row>
    <row r="67">
      <c r="A67" s="7">
        <f>IFERROR(__xludf.DUMMYFUNCTION("""COMPUTED_VALUE"""),45653.64583333333)</f>
        <v>45653.64583</v>
      </c>
      <c r="B67" s="6">
        <f>IFERROR(__xludf.DUMMYFUNCTION("""COMPUTED_VALUE"""),7180.0)</f>
        <v>7180</v>
      </c>
      <c r="C67" s="6">
        <f>IFERROR(__xludf.DUMMYFUNCTION("""COMPUTED_VALUE"""),7268.45)</f>
        <v>7268.45</v>
      </c>
      <c r="D67" s="6">
        <f>IFERROR(__xludf.DUMMYFUNCTION("""COMPUTED_VALUE"""),7022.0)</f>
        <v>7022</v>
      </c>
      <c r="E67" s="6">
        <f>IFERROR(__xludf.DUMMYFUNCTION("""COMPUTED_VALUE"""),7149.25)</f>
        <v>7149.25</v>
      </c>
      <c r="F67" s="6">
        <f>IFERROR(__xludf.DUMMYFUNCTION("""COMPUTED_VALUE"""),670006.0)</f>
        <v>670006</v>
      </c>
    </row>
    <row r="68">
      <c r="A68" s="7">
        <f>IFERROR(__xludf.DUMMYFUNCTION("""COMPUTED_VALUE"""),45660.64583333333)</f>
        <v>45660.64583</v>
      </c>
      <c r="B68" s="6">
        <f>IFERROR(__xludf.DUMMYFUNCTION("""COMPUTED_VALUE"""),7185.0)</f>
        <v>7185</v>
      </c>
      <c r="C68" s="6">
        <f>IFERROR(__xludf.DUMMYFUNCTION("""COMPUTED_VALUE"""),7440.0)</f>
        <v>7440</v>
      </c>
      <c r="D68" s="6">
        <f>IFERROR(__xludf.DUMMYFUNCTION("""COMPUTED_VALUE"""),7145.2)</f>
        <v>7145.2</v>
      </c>
      <c r="E68" s="6">
        <f>IFERROR(__xludf.DUMMYFUNCTION("""COMPUTED_VALUE"""),7208.0)</f>
        <v>7208</v>
      </c>
      <c r="F68" s="6">
        <f>IFERROR(__xludf.DUMMYFUNCTION("""COMPUTED_VALUE"""),1029639.0)</f>
        <v>1029639</v>
      </c>
    </row>
    <row r="69">
      <c r="A69" s="7">
        <f>IFERROR(__xludf.DUMMYFUNCTION("""COMPUTED_VALUE"""),45667.64583333333)</f>
        <v>45667.64583</v>
      </c>
      <c r="B69" s="6">
        <f>IFERROR(__xludf.DUMMYFUNCTION("""COMPUTED_VALUE"""),7215.0)</f>
        <v>7215</v>
      </c>
      <c r="C69" s="6">
        <f>IFERROR(__xludf.DUMMYFUNCTION("""COMPUTED_VALUE"""),7235.55)</f>
        <v>7235.55</v>
      </c>
      <c r="D69" s="6">
        <f>IFERROR(__xludf.DUMMYFUNCTION("""COMPUTED_VALUE"""),6500.0)</f>
        <v>6500</v>
      </c>
      <c r="E69" s="6">
        <f>IFERROR(__xludf.DUMMYFUNCTION("""COMPUTED_VALUE"""),6538.95)</f>
        <v>6538.95</v>
      </c>
      <c r="F69" s="6">
        <f>IFERROR(__xludf.DUMMYFUNCTION("""COMPUTED_VALUE"""),1155441.0)</f>
        <v>1155441</v>
      </c>
    </row>
    <row r="70">
      <c r="A70" s="7">
        <f>IFERROR(__xludf.DUMMYFUNCTION("""COMPUTED_VALUE"""),45674.64583333333)</f>
        <v>45674.64583</v>
      </c>
      <c r="B70" s="6">
        <f>IFERROR(__xludf.DUMMYFUNCTION("""COMPUTED_VALUE"""),6451.05)</f>
        <v>6451.05</v>
      </c>
      <c r="C70" s="6">
        <f>IFERROR(__xludf.DUMMYFUNCTION("""COMPUTED_VALUE"""),6824.0)</f>
        <v>6824</v>
      </c>
      <c r="D70" s="6">
        <f>IFERROR(__xludf.DUMMYFUNCTION("""COMPUTED_VALUE"""),6185.55)</f>
        <v>6185.55</v>
      </c>
      <c r="E70" s="6">
        <f>IFERROR(__xludf.DUMMYFUNCTION("""COMPUTED_VALUE"""),6779.7)</f>
        <v>6779.7</v>
      </c>
      <c r="F70" s="6">
        <f>IFERROR(__xludf.DUMMYFUNCTION("""COMPUTED_VALUE"""),1747130.0)</f>
        <v>1747130</v>
      </c>
    </row>
    <row r="71">
      <c r="A71" s="7">
        <f>IFERROR(__xludf.DUMMYFUNCTION("""COMPUTED_VALUE"""),45681.64583333333)</f>
        <v>45681.64583</v>
      </c>
      <c r="B71" s="6">
        <f>IFERROR(__xludf.DUMMYFUNCTION("""COMPUTED_VALUE"""),6790.0)</f>
        <v>6790</v>
      </c>
      <c r="C71" s="6">
        <f>IFERROR(__xludf.DUMMYFUNCTION("""COMPUTED_VALUE"""),6825.0)</f>
        <v>6825</v>
      </c>
      <c r="D71" s="6">
        <f>IFERROR(__xludf.DUMMYFUNCTION("""COMPUTED_VALUE"""),5891.2)</f>
        <v>5891.2</v>
      </c>
      <c r="E71" s="6">
        <f>IFERROR(__xludf.DUMMYFUNCTION("""COMPUTED_VALUE"""),5915.8)</f>
        <v>5915.8</v>
      </c>
      <c r="F71" s="6">
        <f>IFERROR(__xludf.DUMMYFUNCTION("""COMPUTED_VALUE"""),4743193.0)</f>
        <v>4743193</v>
      </c>
    </row>
    <row r="72">
      <c r="A72" s="7">
        <f>IFERROR(__xludf.DUMMYFUNCTION("""COMPUTED_VALUE"""),45695.64583333333)</f>
        <v>45695.64583</v>
      </c>
      <c r="B72" s="6">
        <f>IFERROR(__xludf.DUMMYFUNCTION("""COMPUTED_VALUE"""),5834.45)</f>
        <v>5834.45</v>
      </c>
      <c r="C72" s="6">
        <f>IFERROR(__xludf.DUMMYFUNCTION("""COMPUTED_VALUE"""),6092.25)</f>
        <v>6092.25</v>
      </c>
      <c r="D72" s="6">
        <f>IFERROR(__xludf.DUMMYFUNCTION("""COMPUTED_VALUE"""),5745.05)</f>
        <v>5745.05</v>
      </c>
      <c r="E72" s="6">
        <f>IFERROR(__xludf.DUMMYFUNCTION("""COMPUTED_VALUE"""),5869.7)</f>
        <v>5869.7</v>
      </c>
      <c r="F72" s="6">
        <f>IFERROR(__xludf.DUMMYFUNCTION("""COMPUTED_VALUE"""),1423335.0)</f>
        <v>1423335</v>
      </c>
    </row>
    <row r="73">
      <c r="A73" s="7">
        <f>IFERROR(__xludf.DUMMYFUNCTION("""COMPUTED_VALUE"""),45702.64583333333)</f>
        <v>45702.64583</v>
      </c>
      <c r="B73" s="6">
        <f>IFERROR(__xludf.DUMMYFUNCTION("""COMPUTED_VALUE"""),5910.85)</f>
        <v>5910.85</v>
      </c>
      <c r="C73" s="6">
        <f>IFERROR(__xludf.DUMMYFUNCTION("""COMPUTED_VALUE"""),5910.85)</f>
        <v>5910.85</v>
      </c>
      <c r="D73" s="6">
        <f>IFERROR(__xludf.DUMMYFUNCTION("""COMPUTED_VALUE"""),5354.05)</f>
        <v>5354.05</v>
      </c>
      <c r="E73" s="6">
        <f>IFERROR(__xludf.DUMMYFUNCTION("""COMPUTED_VALUE"""),5416.25)</f>
        <v>5416.25</v>
      </c>
      <c r="F73" s="6">
        <f>IFERROR(__xludf.DUMMYFUNCTION("""COMPUTED_VALUE"""),2344618.0)</f>
        <v>2344618</v>
      </c>
    </row>
    <row r="74">
      <c r="A74" s="7">
        <f>IFERROR(__xludf.DUMMYFUNCTION("""COMPUTED_VALUE"""),45709.64583333333)</f>
        <v>45709.64583</v>
      </c>
      <c r="B74" s="6">
        <f>IFERROR(__xludf.DUMMYFUNCTION("""COMPUTED_VALUE"""),5379.45)</f>
        <v>5379.45</v>
      </c>
      <c r="C74" s="6">
        <f>IFERROR(__xludf.DUMMYFUNCTION("""COMPUTED_VALUE"""),5869.15)</f>
        <v>5869.15</v>
      </c>
      <c r="D74" s="6">
        <f>IFERROR(__xludf.DUMMYFUNCTION("""COMPUTED_VALUE"""),5269.25)</f>
        <v>5269.25</v>
      </c>
      <c r="E74" s="6">
        <f>IFERROR(__xludf.DUMMYFUNCTION("""COMPUTED_VALUE"""),5840.1)</f>
        <v>5840.1</v>
      </c>
      <c r="F74" s="6">
        <f>IFERROR(__xludf.DUMMYFUNCTION("""COMPUTED_VALUE"""),1846676.0)</f>
        <v>1846676</v>
      </c>
    </row>
    <row r="75">
      <c r="A75" s="7">
        <f>IFERROR(__xludf.DUMMYFUNCTION("""COMPUTED_VALUE"""),45716.64583333333)</f>
        <v>45716.64583</v>
      </c>
      <c r="B75" s="6">
        <f>IFERROR(__xludf.DUMMYFUNCTION("""COMPUTED_VALUE"""),5771.0)</f>
        <v>5771</v>
      </c>
      <c r="C75" s="6">
        <f>IFERROR(__xludf.DUMMYFUNCTION("""COMPUTED_VALUE"""),5852.0)</f>
        <v>5852</v>
      </c>
      <c r="D75" s="6">
        <f>IFERROR(__xludf.DUMMYFUNCTION("""COMPUTED_VALUE"""),4555.0)</f>
        <v>4555</v>
      </c>
      <c r="E75" s="6">
        <f>IFERROR(__xludf.DUMMYFUNCTION("""COMPUTED_VALUE"""),4713.4)</f>
        <v>4713.4</v>
      </c>
      <c r="F75" s="6">
        <f>IFERROR(__xludf.DUMMYFUNCTION("""COMPUTED_VALUE"""),1.1685332E7)</f>
        <v>11685332</v>
      </c>
    </row>
    <row r="76">
      <c r="A76" s="7">
        <f>IFERROR(__xludf.DUMMYFUNCTION("""COMPUTED_VALUE"""),45723.64583333333)</f>
        <v>45723.64583</v>
      </c>
      <c r="B76" s="6">
        <f>IFERROR(__xludf.DUMMYFUNCTION("""COMPUTED_VALUE"""),4830.75)</f>
        <v>4830.75</v>
      </c>
      <c r="C76" s="6">
        <f>IFERROR(__xludf.DUMMYFUNCTION("""COMPUTED_VALUE"""),5155.0)</f>
        <v>5155</v>
      </c>
      <c r="D76" s="6">
        <f>IFERROR(__xludf.DUMMYFUNCTION("""COMPUTED_VALUE"""),4581.05)</f>
        <v>4581.05</v>
      </c>
      <c r="E76" s="6">
        <f>IFERROR(__xludf.DUMMYFUNCTION("""COMPUTED_VALUE"""),5063.45)</f>
        <v>5063.45</v>
      </c>
      <c r="F76" s="6">
        <f>IFERROR(__xludf.DUMMYFUNCTION("""COMPUTED_VALUE"""),7595128.0)</f>
        <v>7595128</v>
      </c>
    </row>
    <row r="77">
      <c r="A77" s="7">
        <f>IFERROR(__xludf.DUMMYFUNCTION("""COMPUTED_VALUE"""),45729.64583333333)</f>
        <v>45729.64583</v>
      </c>
      <c r="B77" s="6">
        <f>IFERROR(__xludf.DUMMYFUNCTION("""COMPUTED_VALUE"""),5079.0)</f>
        <v>5079</v>
      </c>
      <c r="C77" s="6">
        <f>IFERROR(__xludf.DUMMYFUNCTION("""COMPUTED_VALUE"""),5114.0)</f>
        <v>5114</v>
      </c>
      <c r="D77" s="6">
        <f>IFERROR(__xludf.DUMMYFUNCTION("""COMPUTED_VALUE"""),4810.0)</f>
        <v>4810</v>
      </c>
      <c r="E77" s="6">
        <f>IFERROR(__xludf.DUMMYFUNCTION("""COMPUTED_VALUE"""),5003.1)</f>
        <v>5003.1</v>
      </c>
      <c r="F77" s="6">
        <f>IFERROR(__xludf.DUMMYFUNCTION("""COMPUTED_VALUE"""),1502191.0)</f>
        <v>1502191</v>
      </c>
    </row>
    <row r="78">
      <c r="A78" s="7">
        <f>IFERROR(__xludf.DUMMYFUNCTION("""COMPUTED_VALUE"""),45737.64583333333)</f>
        <v>45737.64583</v>
      </c>
      <c r="B78" s="6">
        <f>IFERROR(__xludf.DUMMYFUNCTION("""COMPUTED_VALUE"""),5003.1)</f>
        <v>5003.1</v>
      </c>
      <c r="C78" s="6">
        <f>IFERROR(__xludf.DUMMYFUNCTION("""COMPUTED_VALUE"""),5456.1)</f>
        <v>5456.1</v>
      </c>
      <c r="D78" s="6">
        <f>IFERROR(__xludf.DUMMYFUNCTION("""COMPUTED_VALUE"""),4894.2)</f>
        <v>4894.2</v>
      </c>
      <c r="E78" s="6">
        <f>IFERROR(__xludf.DUMMYFUNCTION("""COMPUTED_VALUE"""),4992.3)</f>
        <v>4992.3</v>
      </c>
      <c r="F78" s="6">
        <f>IFERROR(__xludf.DUMMYFUNCTION("""COMPUTED_VALUE"""),7286480.0)</f>
        <v>7286480</v>
      </c>
    </row>
    <row r="79">
      <c r="A79" s="7">
        <f>IFERROR(__xludf.DUMMYFUNCTION("""COMPUTED_VALUE"""),45744.64583333333)</f>
        <v>45744.64583</v>
      </c>
      <c r="B79" s="6">
        <f>IFERROR(__xludf.DUMMYFUNCTION("""COMPUTED_VALUE"""),5020.0)</f>
        <v>5020</v>
      </c>
      <c r="C79" s="6">
        <f>IFERROR(__xludf.DUMMYFUNCTION("""COMPUTED_VALUE"""),5258.0)</f>
        <v>5258</v>
      </c>
      <c r="D79" s="6">
        <f>IFERROR(__xludf.DUMMYFUNCTION("""COMPUTED_VALUE"""),4977.05)</f>
        <v>4977.05</v>
      </c>
      <c r="E79" s="6">
        <f>IFERROR(__xludf.DUMMYFUNCTION("""COMPUTED_VALUE"""),5147.95)</f>
        <v>5147.95</v>
      </c>
      <c r="F79" s="6">
        <f>IFERROR(__xludf.DUMMYFUNCTION("""COMPUTED_VALUE"""),3802958.0)</f>
        <v>3802958</v>
      </c>
    </row>
    <row r="80">
      <c r="A80" s="7">
        <f>IFERROR(__xludf.DUMMYFUNCTION("""COMPUTED_VALUE"""),45751.64583333333)</f>
        <v>45751.64583</v>
      </c>
      <c r="B80" s="6">
        <f>IFERROR(__xludf.DUMMYFUNCTION("""COMPUTED_VALUE"""),5091.0)</f>
        <v>5091</v>
      </c>
      <c r="C80" s="6">
        <f>IFERROR(__xludf.DUMMYFUNCTION("""COMPUTED_VALUE"""),5305.0)</f>
        <v>5305</v>
      </c>
      <c r="D80" s="6">
        <f>IFERROR(__xludf.DUMMYFUNCTION("""COMPUTED_VALUE"""),4981.0)</f>
        <v>4981</v>
      </c>
      <c r="E80" s="6">
        <f>IFERROR(__xludf.DUMMYFUNCTION("""COMPUTED_VALUE"""),5040.75)</f>
        <v>5040.75</v>
      </c>
      <c r="F80" s="6">
        <f>IFERROR(__xludf.DUMMYFUNCTION("""COMPUTED_VALUE"""),1684971.0)</f>
        <v>1684971</v>
      </c>
    </row>
    <row r="81">
      <c r="A81" s="7">
        <f>IFERROR(__xludf.DUMMYFUNCTION("""COMPUTED_VALUE"""),45758.64583333333)</f>
        <v>45758.64583</v>
      </c>
      <c r="B81" s="6">
        <f>IFERROR(__xludf.DUMMYFUNCTION("""COMPUTED_VALUE"""),4650.0)</f>
        <v>4650</v>
      </c>
      <c r="C81" s="6">
        <f>IFERROR(__xludf.DUMMYFUNCTION("""COMPUTED_VALUE"""),5178.7)</f>
        <v>5178.7</v>
      </c>
      <c r="D81" s="6">
        <f>IFERROR(__xludf.DUMMYFUNCTION("""COMPUTED_VALUE"""),4567.0)</f>
        <v>4567</v>
      </c>
      <c r="E81" s="6">
        <f>IFERROR(__xludf.DUMMYFUNCTION("""COMPUTED_VALUE"""),5093.25)</f>
        <v>5093.25</v>
      </c>
      <c r="F81" s="6">
        <f>IFERROR(__xludf.DUMMYFUNCTION("""COMPUTED_VALUE"""),1314216.0)</f>
        <v>1314216</v>
      </c>
    </row>
    <row r="82">
      <c r="A82" s="7">
        <f>IFERROR(__xludf.DUMMYFUNCTION("""COMPUTED_VALUE"""),45764.64583333333)</f>
        <v>45764.64583</v>
      </c>
      <c r="B82" s="6">
        <f>IFERROR(__xludf.DUMMYFUNCTION("""COMPUTED_VALUE"""),5180.0)</f>
        <v>5180</v>
      </c>
      <c r="C82" s="6">
        <f>IFERROR(__xludf.DUMMYFUNCTION("""COMPUTED_VALUE"""),5336.5)</f>
        <v>5336.5</v>
      </c>
      <c r="D82" s="6">
        <f>IFERROR(__xludf.DUMMYFUNCTION("""COMPUTED_VALUE"""),5124.0)</f>
        <v>5124</v>
      </c>
      <c r="E82" s="6">
        <f>IFERROR(__xludf.DUMMYFUNCTION("""COMPUTED_VALUE"""),5293.0)</f>
        <v>5293</v>
      </c>
      <c r="F82" s="6">
        <f>IFERROR(__xludf.DUMMYFUNCTION("""COMPUTED_VALUE"""),944116.0)</f>
        <v>944116</v>
      </c>
    </row>
    <row r="83">
      <c r="A83" s="7">
        <f>IFERROR(__xludf.DUMMYFUNCTION("""COMPUTED_VALUE"""),45772.64583333333)</f>
        <v>45772.64583</v>
      </c>
      <c r="B83" s="6">
        <f>IFERROR(__xludf.DUMMYFUNCTION("""COMPUTED_VALUE"""),5301.0)</f>
        <v>5301</v>
      </c>
      <c r="C83" s="6">
        <f>IFERROR(__xludf.DUMMYFUNCTION("""COMPUTED_VALUE"""),5630.0)</f>
        <v>5630</v>
      </c>
      <c r="D83" s="6">
        <f>IFERROR(__xludf.DUMMYFUNCTION("""COMPUTED_VALUE"""),5280.0)</f>
        <v>5280</v>
      </c>
      <c r="E83" s="6">
        <f>IFERROR(__xludf.DUMMYFUNCTION("""COMPUTED_VALUE"""),5507.0)</f>
        <v>5507</v>
      </c>
      <c r="F83" s="6">
        <f>IFERROR(__xludf.DUMMYFUNCTION("""COMPUTED_VALUE"""),2166675.0)</f>
        <v>2166675</v>
      </c>
    </row>
    <row r="84">
      <c r="A84" s="7">
        <f>IFERROR(__xludf.DUMMYFUNCTION("""COMPUTED_VALUE"""),45779.64583333333)</f>
        <v>45779.64583</v>
      </c>
      <c r="B84" s="6">
        <f>IFERROR(__xludf.DUMMYFUNCTION("""COMPUTED_VALUE"""),5483.5)</f>
        <v>5483.5</v>
      </c>
      <c r="C84" s="6">
        <f>IFERROR(__xludf.DUMMYFUNCTION("""COMPUTED_VALUE"""),5694.0)</f>
        <v>5694</v>
      </c>
      <c r="D84" s="6">
        <f>IFERROR(__xludf.DUMMYFUNCTION("""COMPUTED_VALUE"""),5445.5)</f>
        <v>5445.5</v>
      </c>
      <c r="E84" s="6">
        <f>IFERROR(__xludf.DUMMYFUNCTION("""COMPUTED_VALUE"""),5465.0)</f>
        <v>5465</v>
      </c>
      <c r="F84" s="6">
        <f>IFERROR(__xludf.DUMMYFUNCTION("""COMPUTED_VALUE"""),955162.0)</f>
        <v>955162</v>
      </c>
    </row>
    <row r="85">
      <c r="A85" s="7">
        <f>IFERROR(__xludf.DUMMYFUNCTION("""COMPUTED_VALUE"""),45786.64583333333)</f>
        <v>45786.64583</v>
      </c>
      <c r="B85" s="6">
        <f>IFERROR(__xludf.DUMMYFUNCTION("""COMPUTED_VALUE"""),5535.5)</f>
        <v>5535.5</v>
      </c>
      <c r="C85" s="6">
        <f>IFERROR(__xludf.DUMMYFUNCTION("""COMPUTED_VALUE"""),6077.5)</f>
        <v>6077.5</v>
      </c>
      <c r="D85" s="6">
        <f>IFERROR(__xludf.DUMMYFUNCTION("""COMPUTED_VALUE"""),5535.5)</f>
        <v>5535.5</v>
      </c>
      <c r="E85" s="6">
        <f>IFERROR(__xludf.DUMMYFUNCTION("""COMPUTED_VALUE"""),5766.5)</f>
        <v>5766.5</v>
      </c>
      <c r="F85" s="6">
        <f>IFERROR(__xludf.DUMMYFUNCTION("""COMPUTED_VALUE"""),4873592.0)</f>
        <v>4873592</v>
      </c>
    </row>
    <row r="86">
      <c r="A86" s="7">
        <f>IFERROR(__xludf.DUMMYFUNCTION("""COMPUTED_VALUE"""),45793.64583333333)</f>
        <v>45793.64583</v>
      </c>
      <c r="B86" s="6">
        <f>IFERROR(__xludf.DUMMYFUNCTION("""COMPUTED_VALUE"""),5964.5)</f>
        <v>5964.5</v>
      </c>
      <c r="C86" s="6">
        <f>IFERROR(__xludf.DUMMYFUNCTION("""COMPUTED_VALUE"""),6116.0)</f>
        <v>6116</v>
      </c>
      <c r="D86" s="6">
        <f>IFERROR(__xludf.DUMMYFUNCTION("""COMPUTED_VALUE"""),5881.5)</f>
        <v>5881.5</v>
      </c>
      <c r="E86" s="6">
        <f>IFERROR(__xludf.DUMMYFUNCTION("""COMPUTED_VALUE"""),6094.5)</f>
        <v>6094.5</v>
      </c>
      <c r="F86" s="6">
        <f>IFERROR(__xludf.DUMMYFUNCTION("""COMPUTED_VALUE"""),1285509.0)</f>
        <v>1285509</v>
      </c>
    </row>
    <row r="87">
      <c r="A87" s="7">
        <f>IFERROR(__xludf.DUMMYFUNCTION("""COMPUTED_VALUE"""),45800.64583333333)</f>
        <v>45800.64583</v>
      </c>
      <c r="B87" s="6">
        <f>IFERROR(__xludf.DUMMYFUNCTION("""COMPUTED_VALUE"""),6100.0)</f>
        <v>6100</v>
      </c>
      <c r="C87" s="6">
        <f>IFERROR(__xludf.DUMMYFUNCTION("""COMPUTED_VALUE"""),6167.0)</f>
        <v>6167</v>
      </c>
      <c r="D87" s="6">
        <f>IFERROR(__xludf.DUMMYFUNCTION("""COMPUTED_VALUE"""),5866.0)</f>
        <v>5866</v>
      </c>
      <c r="E87" s="6">
        <f>IFERROR(__xludf.DUMMYFUNCTION("""COMPUTED_VALUE"""),5883.5)</f>
        <v>5883.5</v>
      </c>
      <c r="F87" s="6">
        <f>IFERROR(__xludf.DUMMYFUNCTION("""COMPUTED_VALUE"""),1195466.0)</f>
        <v>1195466</v>
      </c>
    </row>
    <row r="88">
      <c r="A88" s="7">
        <f>IFERROR(__xludf.DUMMYFUNCTION("""COMPUTED_VALUE"""),45807.64583333333)</f>
        <v>45807.64583</v>
      </c>
      <c r="B88" s="6">
        <f>IFERROR(__xludf.DUMMYFUNCTION("""COMPUTED_VALUE"""),5940.0)</f>
        <v>5940</v>
      </c>
      <c r="C88" s="6">
        <f>IFERROR(__xludf.DUMMYFUNCTION("""COMPUTED_VALUE"""),6099.5)</f>
        <v>6099.5</v>
      </c>
      <c r="D88" s="6">
        <f>IFERROR(__xludf.DUMMYFUNCTION("""COMPUTED_VALUE"""),5908.5)</f>
        <v>5908.5</v>
      </c>
      <c r="E88" s="6">
        <f>IFERROR(__xludf.DUMMYFUNCTION("""COMPUTED_VALUE"""),5991.0)</f>
        <v>5991</v>
      </c>
      <c r="F88" s="6">
        <f>IFERROR(__xludf.DUMMYFUNCTION("""COMPUTED_VALUE"""),1128217.0)</f>
        <v>1128217</v>
      </c>
    </row>
    <row r="89">
      <c r="A89" s="7">
        <f>IFERROR(__xludf.DUMMYFUNCTION("""COMPUTED_VALUE"""),45814.64583333333)</f>
        <v>45814.64583</v>
      </c>
      <c r="B89" s="6">
        <f>IFERROR(__xludf.DUMMYFUNCTION("""COMPUTED_VALUE"""),5982.0)</f>
        <v>5982</v>
      </c>
      <c r="C89" s="6">
        <f>IFERROR(__xludf.DUMMYFUNCTION("""COMPUTED_VALUE"""),6119.0)</f>
        <v>6119</v>
      </c>
      <c r="D89" s="6">
        <f>IFERROR(__xludf.DUMMYFUNCTION("""COMPUTED_VALUE"""),5830.0)</f>
        <v>5830</v>
      </c>
      <c r="E89" s="6">
        <f>IFERROR(__xludf.DUMMYFUNCTION("""COMPUTED_VALUE"""),6108.5)</f>
        <v>6108.5</v>
      </c>
      <c r="F89" s="6">
        <f>IFERROR(__xludf.DUMMYFUNCTION("""COMPUTED_VALUE"""),997044.0)</f>
        <v>997044</v>
      </c>
    </row>
    <row r="90">
      <c r="A90" s="7">
        <f>IFERROR(__xludf.DUMMYFUNCTION("""COMPUTED_VALUE"""),45821.64583333333)</f>
        <v>45821.64583</v>
      </c>
      <c r="B90" s="6">
        <f>IFERROR(__xludf.DUMMYFUNCTION("""COMPUTED_VALUE"""),6158.0)</f>
        <v>6158</v>
      </c>
      <c r="C90" s="6">
        <f>IFERROR(__xludf.DUMMYFUNCTION("""COMPUTED_VALUE"""),6260.0)</f>
        <v>6260</v>
      </c>
      <c r="D90" s="6">
        <f>IFERROR(__xludf.DUMMYFUNCTION("""COMPUTED_VALUE"""),5760.0)</f>
        <v>5760</v>
      </c>
      <c r="E90" s="6">
        <f>IFERROR(__xludf.DUMMYFUNCTION("""COMPUTED_VALUE"""),6030.5)</f>
        <v>6030.5</v>
      </c>
      <c r="F90" s="6">
        <f>IFERROR(__xludf.DUMMYFUNCTION("""COMPUTED_VALUE"""),1032868.0)</f>
        <v>1032868</v>
      </c>
    </row>
    <row r="91">
      <c r="A91" s="7">
        <f>IFERROR(__xludf.DUMMYFUNCTION("""COMPUTED_VALUE"""),45828.64583333333)</f>
        <v>45828.64583</v>
      </c>
      <c r="B91" s="6">
        <f>IFERROR(__xludf.DUMMYFUNCTION("""COMPUTED_VALUE"""),6005.0)</f>
        <v>6005</v>
      </c>
      <c r="C91" s="6">
        <f>IFERROR(__xludf.DUMMYFUNCTION("""COMPUTED_VALUE"""),6229.5)</f>
        <v>6229.5</v>
      </c>
      <c r="D91" s="6">
        <f>IFERROR(__xludf.DUMMYFUNCTION("""COMPUTED_VALUE"""),5787.0)</f>
        <v>5787</v>
      </c>
      <c r="E91" s="6">
        <f>IFERROR(__xludf.DUMMYFUNCTION("""COMPUTED_VALUE"""),6000.5)</f>
        <v>6000.5</v>
      </c>
      <c r="F91" s="6">
        <f>IFERROR(__xludf.DUMMYFUNCTION("""COMPUTED_VALUE"""),2293131.0)</f>
        <v>2293131</v>
      </c>
    </row>
    <row r="92">
      <c r="A92" s="7">
        <f>IFERROR(__xludf.DUMMYFUNCTION("""COMPUTED_VALUE"""),45835.64583333333)</f>
        <v>45835.64583</v>
      </c>
      <c r="B92" s="6">
        <f>IFERROR(__xludf.DUMMYFUNCTION("""COMPUTED_VALUE"""),6000.5)</f>
        <v>6000.5</v>
      </c>
      <c r="C92" s="6">
        <f>IFERROR(__xludf.DUMMYFUNCTION("""COMPUTED_VALUE"""),6586.0)</f>
        <v>6586</v>
      </c>
      <c r="D92" s="6">
        <f>IFERROR(__xludf.DUMMYFUNCTION("""COMPUTED_VALUE"""),5975.0)</f>
        <v>5975</v>
      </c>
      <c r="E92" s="6">
        <f>IFERROR(__xludf.DUMMYFUNCTION("""COMPUTED_VALUE"""),6486.0)</f>
        <v>6486</v>
      </c>
      <c r="F92" s="6">
        <f>IFERROR(__xludf.DUMMYFUNCTION("""COMPUTED_VALUE"""),2736317.0)</f>
        <v>2736317</v>
      </c>
    </row>
    <row r="93">
      <c r="A93" s="7">
        <f>IFERROR(__xludf.DUMMYFUNCTION("""COMPUTED_VALUE"""),45842.64583333333)</f>
        <v>45842.64583</v>
      </c>
      <c r="B93" s="6">
        <f>IFERROR(__xludf.DUMMYFUNCTION("""COMPUTED_VALUE"""),6486.0)</f>
        <v>6486</v>
      </c>
      <c r="C93" s="6">
        <f>IFERROR(__xludf.DUMMYFUNCTION("""COMPUTED_VALUE"""),6871.0)</f>
        <v>6871</v>
      </c>
      <c r="D93" s="6">
        <f>IFERROR(__xludf.DUMMYFUNCTION("""COMPUTED_VALUE"""),6468.5)</f>
        <v>6468.5</v>
      </c>
      <c r="E93" s="6">
        <f>IFERROR(__xludf.DUMMYFUNCTION("""COMPUTED_VALUE"""),6717.5)</f>
        <v>6717.5</v>
      </c>
      <c r="F93" s="6">
        <f>IFERROR(__xludf.DUMMYFUNCTION("""COMPUTED_VALUE"""),1711723.0)</f>
        <v>1711723</v>
      </c>
    </row>
    <row r="94">
      <c r="A94" s="7">
        <f>IFERROR(__xludf.DUMMYFUNCTION("""COMPUTED_VALUE"""),45849.64583333333)</f>
        <v>45849.64583</v>
      </c>
      <c r="B94" s="6">
        <f>IFERROR(__xludf.DUMMYFUNCTION("""COMPUTED_VALUE"""),6700.0)</f>
        <v>6700</v>
      </c>
      <c r="C94" s="6">
        <f>IFERROR(__xludf.DUMMYFUNCTION("""COMPUTED_VALUE"""),6809.0)</f>
        <v>6809</v>
      </c>
      <c r="D94" s="6">
        <f>IFERROR(__xludf.DUMMYFUNCTION("""COMPUTED_VALUE"""),6605.0)</f>
        <v>6605</v>
      </c>
      <c r="E94" s="6">
        <f>IFERROR(__xludf.DUMMYFUNCTION("""COMPUTED_VALUE"""),6705.5)</f>
        <v>6705.5</v>
      </c>
      <c r="F94" s="6">
        <f>IFERROR(__xludf.DUMMYFUNCTION("""COMPUTED_VALUE"""),1207929.0)</f>
        <v>1207929</v>
      </c>
    </row>
    <row r="95">
      <c r="A95" s="7">
        <f>IFERROR(__xludf.DUMMYFUNCTION("""COMPUTED_VALUE"""),45856.64583333333)</f>
        <v>45856.64583</v>
      </c>
      <c r="B95" s="6">
        <f>IFERROR(__xludf.DUMMYFUNCTION("""COMPUTED_VALUE"""),6782.5)</f>
        <v>6782.5</v>
      </c>
      <c r="C95" s="6">
        <f>IFERROR(__xludf.DUMMYFUNCTION("""COMPUTED_VALUE"""),7080.0)</f>
        <v>7080</v>
      </c>
      <c r="D95" s="6">
        <f>IFERROR(__xludf.DUMMYFUNCTION("""COMPUTED_VALUE"""),6722.5)</f>
        <v>6722.5</v>
      </c>
      <c r="E95" s="6">
        <f>IFERROR(__xludf.DUMMYFUNCTION("""COMPUTED_VALUE"""),6926.0)</f>
        <v>6926</v>
      </c>
      <c r="F95" s="6">
        <f>IFERROR(__xludf.DUMMYFUNCTION("""COMPUTED_VALUE"""),3621806.0)</f>
        <v>3621806</v>
      </c>
    </row>
    <row r="96">
      <c r="A96" s="7">
        <f>IFERROR(__xludf.DUMMYFUNCTION("""COMPUTED_VALUE"""),45863.64583333333)</f>
        <v>45863.64583</v>
      </c>
      <c r="B96" s="6">
        <f>IFERROR(__xludf.DUMMYFUNCTION("""COMPUTED_VALUE"""),6955.0)</f>
        <v>6955</v>
      </c>
      <c r="C96" s="6">
        <f>IFERROR(__xludf.DUMMYFUNCTION("""COMPUTED_VALUE"""),7079.5)</f>
        <v>7079.5</v>
      </c>
      <c r="D96" s="6">
        <f>IFERROR(__xludf.DUMMYFUNCTION("""COMPUTED_VALUE"""),6714.5)</f>
        <v>6714.5</v>
      </c>
      <c r="E96" s="6">
        <f>IFERROR(__xludf.DUMMYFUNCTION("""COMPUTED_VALUE"""),6734.5)</f>
        <v>6734.5</v>
      </c>
      <c r="F96" s="6">
        <f>IFERROR(__xludf.DUMMYFUNCTION("""COMPUTED_VALUE"""),1345120.0)</f>
        <v>1345120</v>
      </c>
    </row>
    <row r="97">
      <c r="A97" s="7">
        <f>IFERROR(__xludf.DUMMYFUNCTION("""COMPUTED_VALUE"""),45870.64583333333)</f>
        <v>45870.64583</v>
      </c>
      <c r="B97" s="6">
        <f>IFERROR(__xludf.DUMMYFUNCTION("""COMPUTED_VALUE"""),6749.5)</f>
        <v>6749.5</v>
      </c>
      <c r="C97" s="6">
        <f>IFERROR(__xludf.DUMMYFUNCTION("""COMPUTED_VALUE"""),6986.0)</f>
        <v>6986</v>
      </c>
      <c r="D97" s="6">
        <f>IFERROR(__xludf.DUMMYFUNCTION("""COMPUTED_VALUE"""),6680.0)</f>
        <v>6680</v>
      </c>
      <c r="E97" s="6">
        <f>IFERROR(__xludf.DUMMYFUNCTION("""COMPUTED_VALUE"""),6698.0)</f>
        <v>6698</v>
      </c>
      <c r="F97" s="6">
        <f>IFERROR(__xludf.DUMMYFUNCTION("""COMPUTED_VALUE"""),1654801.0)</f>
        <v>1654801</v>
      </c>
    </row>
    <row r="98">
      <c r="A98" s="7">
        <f>IFERROR(__xludf.DUMMYFUNCTION("""COMPUTED_VALUE"""),45877.64583333333)</f>
        <v>45877.64583</v>
      </c>
      <c r="B98" s="6">
        <f>IFERROR(__xludf.DUMMYFUNCTION("""COMPUTED_VALUE"""),6744.5)</f>
        <v>6744.5</v>
      </c>
      <c r="C98" s="6">
        <f>IFERROR(__xludf.DUMMYFUNCTION("""COMPUTED_VALUE"""),6953.5)</f>
        <v>6953.5</v>
      </c>
      <c r="D98" s="6">
        <f>IFERROR(__xludf.DUMMYFUNCTION("""COMPUTED_VALUE"""),6680.0)</f>
        <v>6680</v>
      </c>
      <c r="E98" s="6">
        <f>IFERROR(__xludf.DUMMYFUNCTION("""COMPUTED_VALUE"""),6741.0)</f>
        <v>6741</v>
      </c>
      <c r="F98" s="6">
        <f>IFERROR(__xludf.DUMMYFUNCTION("""COMPUTED_VALUE"""),1362895.0)</f>
        <v>1362895</v>
      </c>
    </row>
    <row r="99">
      <c r="A99" s="7">
        <f>IFERROR(__xludf.DUMMYFUNCTION("""COMPUTED_VALUE"""),45883.64583333333)</f>
        <v>45883.64583</v>
      </c>
      <c r="B99" s="6">
        <f>IFERROR(__xludf.DUMMYFUNCTION("""COMPUTED_VALUE"""),6759.5)</f>
        <v>6759.5</v>
      </c>
      <c r="C99" s="6">
        <f>IFERROR(__xludf.DUMMYFUNCTION("""COMPUTED_VALUE"""),6983.0)</f>
        <v>6983</v>
      </c>
      <c r="D99" s="6">
        <f>IFERROR(__xludf.DUMMYFUNCTION("""COMPUTED_VALUE"""),6620.0)</f>
        <v>6620</v>
      </c>
      <c r="E99" s="6">
        <f>IFERROR(__xludf.DUMMYFUNCTION("""COMPUTED_VALUE"""),6970.0)</f>
        <v>6970</v>
      </c>
      <c r="F99" s="6">
        <f>IFERROR(__xludf.DUMMYFUNCTION("""COMPUTED_VALUE"""),1062295.0)</f>
        <v>1062295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IFERROR(__xludf.DUMMYFUNCTION("""COMPUTED_VALUE"""),7025.0)</f>
        <v>7025</v>
      </c>
      <c r="C100" s="6">
        <f>IFERROR(__xludf.DUMMYFUNCTION("""COMPUTED_VALUE"""),7208.0)</f>
        <v>7208</v>
      </c>
      <c r="D100" s="6">
        <f>IFERROR(__xludf.DUMMYFUNCTION("""COMPUTED_VALUE"""),7009.0)</f>
        <v>7009</v>
      </c>
      <c r="E100" s="6">
        <f>IFERROR(__xludf.DUMMYFUNCTION("""COMPUTED_VALUE"""),7100.5)</f>
        <v>7100.5</v>
      </c>
      <c r="F100" s="6">
        <f>IFERROR(__xludf.DUMMYFUNCTION("""COMPUTED_VALUE"""),1175426.0)</f>
        <v>1175426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IFERROR(__xludf.DUMMYFUNCTION("""COMPUTED_VALUE"""),7148.5)</f>
        <v>7148.5</v>
      </c>
      <c r="C101" s="6">
        <f>IFERROR(__xludf.DUMMYFUNCTION("""COMPUTED_VALUE"""),7155.5)</f>
        <v>7155.5</v>
      </c>
      <c r="D101" s="6">
        <f>IFERROR(__xludf.DUMMYFUNCTION("""COMPUTED_VALUE"""),6985.0)</f>
        <v>6985</v>
      </c>
      <c r="E101" s="6">
        <f>IFERROR(__xludf.DUMMYFUNCTION("""COMPUTED_VALUE"""),7064.0)</f>
        <v>7064</v>
      </c>
      <c r="F101" s="6">
        <f>IFERROR(__xludf.DUMMYFUNCTION("""COMPUTED_VALUE"""),2141680.0)</f>
        <v>2141680</v>
      </c>
    </row>
  </sheetData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IFERROR(__xludf.DUMMYFUNCTION("GOOGLEFINANCE(""NSE:POWERGRID"",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IFERROR(__xludf.DUMMYFUNCTION("""COMPUTED_VALUE"""),182.25)</f>
        <v>182.25</v>
      </c>
      <c r="C2" s="6">
        <f>IFERROR(__xludf.DUMMYFUNCTION("""COMPUTED_VALUE"""),189.75)</f>
        <v>189.75</v>
      </c>
      <c r="D2" s="6">
        <f>IFERROR(__xludf.DUMMYFUNCTION("""COMPUTED_VALUE"""),181.91)</f>
        <v>181.91</v>
      </c>
      <c r="E2" s="6">
        <f>IFERROR(__xludf.DUMMYFUNCTION("""COMPUTED_VALUE"""),189.15)</f>
        <v>189.15</v>
      </c>
      <c r="F2" s="6">
        <f>IFERROR(__xludf.DUMMYFUNCTION("""COMPUTED_VALUE"""),4.8642404E7)</f>
        <v>48642404</v>
      </c>
    </row>
    <row r="3">
      <c r="A3" s="7">
        <f>IFERROR(__xludf.DUMMYFUNCTION("""COMPUTED_VALUE"""),45177.64583333333)</f>
        <v>45177.64583</v>
      </c>
      <c r="B3" s="6">
        <f>IFERROR(__xludf.DUMMYFUNCTION("""COMPUTED_VALUE"""),190.2)</f>
        <v>190.2</v>
      </c>
      <c r="C3" s="6">
        <f>IFERROR(__xludf.DUMMYFUNCTION("""COMPUTED_VALUE"""),195.98)</f>
        <v>195.98</v>
      </c>
      <c r="D3" s="6">
        <f>IFERROR(__xludf.DUMMYFUNCTION("""COMPUTED_VALUE"""),188.1)</f>
        <v>188.1</v>
      </c>
      <c r="E3" s="6">
        <f>IFERROR(__xludf.DUMMYFUNCTION("""COMPUTED_VALUE"""),193.99)</f>
        <v>193.99</v>
      </c>
      <c r="F3" s="6">
        <f>IFERROR(__xludf.DUMMYFUNCTION("""COMPUTED_VALUE"""),4.6270423E7)</f>
        <v>46270423</v>
      </c>
    </row>
    <row r="4">
      <c r="A4" s="7">
        <f>IFERROR(__xludf.DUMMYFUNCTION("""COMPUTED_VALUE"""),45184.64583333333)</f>
        <v>45184.64583</v>
      </c>
      <c r="B4" s="6">
        <f>IFERROR(__xludf.DUMMYFUNCTION("""COMPUTED_VALUE"""),195.26)</f>
        <v>195.26</v>
      </c>
      <c r="C4" s="6">
        <f>IFERROR(__xludf.DUMMYFUNCTION("""COMPUTED_VALUE"""),204.25)</f>
        <v>204.25</v>
      </c>
      <c r="D4" s="6">
        <f>IFERROR(__xludf.DUMMYFUNCTION("""COMPUTED_VALUE"""),190.65)</f>
        <v>190.65</v>
      </c>
      <c r="E4" s="6">
        <f>IFERROR(__xludf.DUMMYFUNCTION("""COMPUTED_VALUE"""),194.1)</f>
        <v>194.1</v>
      </c>
      <c r="F4" s="6">
        <f>IFERROR(__xludf.DUMMYFUNCTION("""COMPUTED_VALUE"""),8.5239579E7)</f>
        <v>85239579</v>
      </c>
    </row>
    <row r="5">
      <c r="A5" s="7">
        <f>IFERROR(__xludf.DUMMYFUNCTION("""COMPUTED_VALUE"""),45191.64583333333)</f>
        <v>45191.64583</v>
      </c>
      <c r="B5" s="6">
        <f>IFERROR(__xludf.DUMMYFUNCTION("""COMPUTED_VALUE"""),195.25)</f>
        <v>195.25</v>
      </c>
      <c r="C5" s="6">
        <f>IFERROR(__xludf.DUMMYFUNCTION("""COMPUTED_VALUE"""),205.95)</f>
        <v>205.95</v>
      </c>
      <c r="D5" s="6">
        <f>IFERROR(__xludf.DUMMYFUNCTION("""COMPUTED_VALUE"""),194.1)</f>
        <v>194.1</v>
      </c>
      <c r="E5" s="6">
        <f>IFERROR(__xludf.DUMMYFUNCTION("""COMPUTED_VALUE"""),199.15)</f>
        <v>199.15</v>
      </c>
      <c r="F5" s="6">
        <f>IFERROR(__xludf.DUMMYFUNCTION("""COMPUTED_VALUE"""),1.00523111E8)</f>
        <v>100523111</v>
      </c>
    </row>
    <row r="6">
      <c r="A6" s="7">
        <f>IFERROR(__xludf.DUMMYFUNCTION("""COMPUTED_VALUE"""),45198.64583333333)</f>
        <v>45198.64583</v>
      </c>
      <c r="B6" s="6">
        <f>IFERROR(__xludf.DUMMYFUNCTION("""COMPUTED_VALUE"""),200.0)</f>
        <v>200</v>
      </c>
      <c r="C6" s="6">
        <f>IFERROR(__xludf.DUMMYFUNCTION("""COMPUTED_VALUE"""),204.45)</f>
        <v>204.45</v>
      </c>
      <c r="D6" s="6">
        <f>IFERROR(__xludf.DUMMYFUNCTION("""COMPUTED_VALUE"""),196.7)</f>
        <v>196.7</v>
      </c>
      <c r="E6" s="6">
        <f>IFERROR(__xludf.DUMMYFUNCTION("""COMPUTED_VALUE"""),199.75)</f>
        <v>199.75</v>
      </c>
      <c r="F6" s="6">
        <f>IFERROR(__xludf.DUMMYFUNCTION("""COMPUTED_VALUE"""),9.2607807E7)</f>
        <v>92607807</v>
      </c>
    </row>
    <row r="7">
      <c r="A7" s="7">
        <f>IFERROR(__xludf.DUMMYFUNCTION("""COMPUTED_VALUE"""),45205.64583333333)</f>
        <v>45205.64583</v>
      </c>
      <c r="B7" s="6">
        <f>IFERROR(__xludf.DUMMYFUNCTION("""COMPUTED_VALUE"""),198.75)</f>
        <v>198.75</v>
      </c>
      <c r="C7" s="6">
        <f>IFERROR(__xludf.DUMMYFUNCTION("""COMPUTED_VALUE"""),200.0)</f>
        <v>200</v>
      </c>
      <c r="D7" s="6">
        <f>IFERROR(__xludf.DUMMYFUNCTION("""COMPUTED_VALUE"""),194.85)</f>
        <v>194.85</v>
      </c>
      <c r="E7" s="6">
        <f>IFERROR(__xludf.DUMMYFUNCTION("""COMPUTED_VALUE"""),197.05)</f>
        <v>197.05</v>
      </c>
      <c r="F7" s="6">
        <f>IFERROR(__xludf.DUMMYFUNCTION("""COMPUTED_VALUE"""),5.2383587E7)</f>
        <v>52383587</v>
      </c>
    </row>
    <row r="8">
      <c r="A8" s="7">
        <f>IFERROR(__xludf.DUMMYFUNCTION("""COMPUTED_VALUE"""),45212.64583333333)</f>
        <v>45212.64583</v>
      </c>
      <c r="B8" s="6">
        <f>IFERROR(__xludf.DUMMYFUNCTION("""COMPUTED_VALUE"""),196.5)</f>
        <v>196.5</v>
      </c>
      <c r="C8" s="6">
        <f>IFERROR(__xludf.DUMMYFUNCTION("""COMPUTED_VALUE"""),202.4)</f>
        <v>202.4</v>
      </c>
      <c r="D8" s="6">
        <f>IFERROR(__xludf.DUMMYFUNCTION("""COMPUTED_VALUE"""),193.75)</f>
        <v>193.75</v>
      </c>
      <c r="E8" s="6">
        <f>IFERROR(__xludf.DUMMYFUNCTION("""COMPUTED_VALUE"""),201.8)</f>
        <v>201.8</v>
      </c>
      <c r="F8" s="6">
        <f>IFERROR(__xludf.DUMMYFUNCTION("""COMPUTED_VALUE"""),6.0304452E7)</f>
        <v>60304452</v>
      </c>
    </row>
    <row r="9">
      <c r="A9" s="7">
        <f>IFERROR(__xludf.DUMMYFUNCTION("""COMPUTED_VALUE"""),45219.64583333333)</f>
        <v>45219.64583</v>
      </c>
      <c r="B9" s="6">
        <f>IFERROR(__xludf.DUMMYFUNCTION("""COMPUTED_VALUE"""),200.3)</f>
        <v>200.3</v>
      </c>
      <c r="C9" s="6">
        <f>IFERROR(__xludf.DUMMYFUNCTION("""COMPUTED_VALUE"""),209.0)</f>
        <v>209</v>
      </c>
      <c r="D9" s="6">
        <f>IFERROR(__xludf.DUMMYFUNCTION("""COMPUTED_VALUE"""),200.1)</f>
        <v>200.1</v>
      </c>
      <c r="E9" s="6">
        <f>IFERROR(__xludf.DUMMYFUNCTION("""COMPUTED_VALUE"""),202.85)</f>
        <v>202.85</v>
      </c>
      <c r="F9" s="6">
        <f>IFERROR(__xludf.DUMMYFUNCTION("""COMPUTED_VALUE"""),8.791232E7)</f>
        <v>87912320</v>
      </c>
    </row>
    <row r="10">
      <c r="A10" s="7">
        <f>IFERROR(__xludf.DUMMYFUNCTION("""COMPUTED_VALUE"""),45226.64583333333)</f>
        <v>45226.64583</v>
      </c>
      <c r="B10" s="6">
        <f>IFERROR(__xludf.DUMMYFUNCTION("""COMPUTED_VALUE"""),202.0)</f>
        <v>202</v>
      </c>
      <c r="C10" s="6">
        <f>IFERROR(__xludf.DUMMYFUNCTION("""COMPUTED_VALUE"""),205.15)</f>
        <v>205.15</v>
      </c>
      <c r="D10" s="6">
        <f>IFERROR(__xludf.DUMMYFUNCTION("""COMPUTED_VALUE"""),196.3)</f>
        <v>196.3</v>
      </c>
      <c r="E10" s="6">
        <f>IFERROR(__xludf.DUMMYFUNCTION("""COMPUTED_VALUE"""),200.95)</f>
        <v>200.95</v>
      </c>
      <c r="F10" s="6">
        <f>IFERROR(__xludf.DUMMYFUNCTION("""COMPUTED_VALUE"""),4.4870954E7)</f>
        <v>44870954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IFERROR(__xludf.DUMMYFUNCTION("""COMPUTED_VALUE"""),200.95)</f>
        <v>200.95</v>
      </c>
      <c r="C11" s="6">
        <f>IFERROR(__xludf.DUMMYFUNCTION("""COMPUTED_VALUE"""),206.5)</f>
        <v>206.5</v>
      </c>
      <c r="D11" s="6">
        <f>IFERROR(__xludf.DUMMYFUNCTION("""COMPUTED_VALUE"""),197.65)</f>
        <v>197.65</v>
      </c>
      <c r="E11" s="6">
        <f>IFERROR(__xludf.DUMMYFUNCTION("""COMPUTED_VALUE"""),204.4)</f>
        <v>204.4</v>
      </c>
      <c r="F11" s="6">
        <f>IFERROR(__xludf.DUMMYFUNCTION("""COMPUTED_VALUE"""),4.2362178E7)</f>
        <v>42362178</v>
      </c>
    </row>
    <row r="12">
      <c r="A12" s="7">
        <f>IFERROR(__xludf.DUMMYFUNCTION("""COMPUTED_VALUE"""),45240.64583333333)</f>
        <v>45240.64583</v>
      </c>
      <c r="B12" s="6">
        <f>IFERROR(__xludf.DUMMYFUNCTION("""COMPUTED_VALUE"""),205.0)</f>
        <v>205</v>
      </c>
      <c r="C12" s="6">
        <f>IFERROR(__xludf.DUMMYFUNCTION("""COMPUTED_VALUE"""),213.0)</f>
        <v>213</v>
      </c>
      <c r="D12" s="6">
        <f>IFERROR(__xludf.DUMMYFUNCTION("""COMPUTED_VALUE"""),204.95)</f>
        <v>204.95</v>
      </c>
      <c r="E12" s="6">
        <f>IFERROR(__xludf.DUMMYFUNCTION("""COMPUTED_VALUE"""),211.15)</f>
        <v>211.15</v>
      </c>
      <c r="F12" s="6">
        <f>IFERROR(__xludf.DUMMYFUNCTION("""COMPUTED_VALUE"""),5.3814219E7)</f>
        <v>53814219</v>
      </c>
    </row>
    <row r="13">
      <c r="A13" s="7">
        <f>IFERROR(__xludf.DUMMYFUNCTION("""COMPUTED_VALUE"""),45247.64583333333)</f>
        <v>45247.64583</v>
      </c>
      <c r="B13" s="6">
        <f>IFERROR(__xludf.DUMMYFUNCTION("""COMPUTED_VALUE"""),213.6)</f>
        <v>213.6</v>
      </c>
      <c r="C13" s="6">
        <f>IFERROR(__xludf.DUMMYFUNCTION("""COMPUTED_VALUE"""),215.1)</f>
        <v>215.1</v>
      </c>
      <c r="D13" s="6">
        <f>IFERROR(__xludf.DUMMYFUNCTION("""COMPUTED_VALUE"""),205.7)</f>
        <v>205.7</v>
      </c>
      <c r="E13" s="6">
        <f>IFERROR(__xludf.DUMMYFUNCTION("""COMPUTED_VALUE"""),209.5)</f>
        <v>209.5</v>
      </c>
      <c r="F13" s="6">
        <f>IFERROR(__xludf.DUMMYFUNCTION("""COMPUTED_VALUE"""),7.5781999E7)</f>
        <v>75781999</v>
      </c>
    </row>
    <row r="14">
      <c r="A14" s="7">
        <f>IFERROR(__xludf.DUMMYFUNCTION("""COMPUTED_VALUE"""),45254.64583333333)</f>
        <v>45254.64583</v>
      </c>
      <c r="B14" s="6">
        <f>IFERROR(__xludf.DUMMYFUNCTION("""COMPUTED_VALUE"""),210.1)</f>
        <v>210.1</v>
      </c>
      <c r="C14" s="6">
        <f>IFERROR(__xludf.DUMMYFUNCTION("""COMPUTED_VALUE"""),213.1)</f>
        <v>213.1</v>
      </c>
      <c r="D14" s="6">
        <f>IFERROR(__xludf.DUMMYFUNCTION("""COMPUTED_VALUE"""),207.95)</f>
        <v>207.95</v>
      </c>
      <c r="E14" s="6">
        <f>IFERROR(__xludf.DUMMYFUNCTION("""COMPUTED_VALUE"""),210.45)</f>
        <v>210.45</v>
      </c>
      <c r="F14" s="6">
        <f>IFERROR(__xludf.DUMMYFUNCTION("""COMPUTED_VALUE"""),5.247747E7)</f>
        <v>52477470</v>
      </c>
    </row>
    <row r="15">
      <c r="A15" s="7">
        <f>IFERROR(__xludf.DUMMYFUNCTION("""COMPUTED_VALUE"""),45261.64583333333)</f>
        <v>45261.64583</v>
      </c>
      <c r="B15" s="6">
        <f>IFERROR(__xludf.DUMMYFUNCTION("""COMPUTED_VALUE"""),214.45)</f>
        <v>214.45</v>
      </c>
      <c r="C15" s="6">
        <f>IFERROR(__xludf.DUMMYFUNCTION("""COMPUTED_VALUE"""),214.45)</f>
        <v>214.45</v>
      </c>
      <c r="D15" s="6">
        <f>IFERROR(__xludf.DUMMYFUNCTION("""COMPUTED_VALUE"""),208.25)</f>
        <v>208.25</v>
      </c>
      <c r="E15" s="6">
        <f>IFERROR(__xludf.DUMMYFUNCTION("""COMPUTED_VALUE"""),210.2)</f>
        <v>210.2</v>
      </c>
      <c r="F15" s="6">
        <f>IFERROR(__xludf.DUMMYFUNCTION("""COMPUTED_VALUE"""),1.06765463E8)</f>
        <v>106765463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IFERROR(__xludf.DUMMYFUNCTION("""COMPUTED_VALUE"""),211.7)</f>
        <v>211.7</v>
      </c>
      <c r="C16" s="6">
        <f>IFERROR(__xludf.DUMMYFUNCTION("""COMPUTED_VALUE"""),233.4)</f>
        <v>233.4</v>
      </c>
      <c r="D16" s="6">
        <f>IFERROR(__xludf.DUMMYFUNCTION("""COMPUTED_VALUE"""),211.55)</f>
        <v>211.55</v>
      </c>
      <c r="E16" s="6">
        <f>IFERROR(__xludf.DUMMYFUNCTION("""COMPUTED_VALUE"""),228.6)</f>
        <v>228.6</v>
      </c>
      <c r="F16" s="6">
        <f>IFERROR(__xludf.DUMMYFUNCTION("""COMPUTED_VALUE"""),1.44908613E8)</f>
        <v>144908613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IFERROR(__xludf.DUMMYFUNCTION("""COMPUTED_VALUE"""),228.0)</f>
        <v>228</v>
      </c>
      <c r="C17" s="6">
        <f>IFERROR(__xludf.DUMMYFUNCTION("""COMPUTED_VALUE"""),238.1)</f>
        <v>238.1</v>
      </c>
      <c r="D17" s="6">
        <f>IFERROR(__xludf.DUMMYFUNCTION("""COMPUTED_VALUE"""),226.55)</f>
        <v>226.55</v>
      </c>
      <c r="E17" s="6">
        <f>IFERROR(__xludf.DUMMYFUNCTION("""COMPUTED_VALUE"""),237.35)</f>
        <v>237.35</v>
      </c>
      <c r="F17" s="6">
        <f>IFERROR(__xludf.DUMMYFUNCTION("""COMPUTED_VALUE"""),1.31653713E8)</f>
        <v>131653713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IFERROR(__xludf.DUMMYFUNCTION("""COMPUTED_VALUE"""),236.9)</f>
        <v>236.9</v>
      </c>
      <c r="C18" s="6">
        <f>IFERROR(__xludf.DUMMYFUNCTION("""COMPUTED_VALUE"""),236.9)</f>
        <v>236.9</v>
      </c>
      <c r="D18" s="6">
        <f>IFERROR(__xludf.DUMMYFUNCTION("""COMPUTED_VALUE"""),222.7)</f>
        <v>222.7</v>
      </c>
      <c r="E18" s="6">
        <f>IFERROR(__xludf.DUMMYFUNCTION("""COMPUTED_VALUE"""),231.75)</f>
        <v>231.75</v>
      </c>
      <c r="F18" s="6">
        <f>IFERROR(__xludf.DUMMYFUNCTION("""COMPUTED_VALUE"""),8.9554888E7)</f>
        <v>89554888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IFERROR(__xludf.DUMMYFUNCTION("""COMPUTED_VALUE"""),232.0)</f>
        <v>232</v>
      </c>
      <c r="C19" s="6">
        <f>IFERROR(__xludf.DUMMYFUNCTION("""COMPUTED_VALUE"""),239.95)</f>
        <v>239.95</v>
      </c>
      <c r="D19" s="6">
        <f>IFERROR(__xludf.DUMMYFUNCTION("""COMPUTED_VALUE"""),231.05)</f>
        <v>231.05</v>
      </c>
      <c r="E19" s="6">
        <f>IFERROR(__xludf.DUMMYFUNCTION("""COMPUTED_VALUE"""),237.2)</f>
        <v>237.2</v>
      </c>
      <c r="F19" s="6">
        <f>IFERROR(__xludf.DUMMYFUNCTION("""COMPUTED_VALUE"""),6.8834312E7)</f>
        <v>68834312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IFERROR(__xludf.DUMMYFUNCTION("""COMPUTED_VALUE"""),237.9)</f>
        <v>237.9</v>
      </c>
      <c r="C20" s="6">
        <f>IFERROR(__xludf.DUMMYFUNCTION("""COMPUTED_VALUE"""),245.0)</f>
        <v>245</v>
      </c>
      <c r="D20" s="6">
        <f>IFERROR(__xludf.DUMMYFUNCTION("""COMPUTED_VALUE"""),234.6)</f>
        <v>234.6</v>
      </c>
      <c r="E20" s="6">
        <f>IFERROR(__xludf.DUMMYFUNCTION("""COMPUTED_VALUE"""),241.25)</f>
        <v>241.25</v>
      </c>
      <c r="F20" s="6">
        <f>IFERROR(__xludf.DUMMYFUNCTION("""COMPUTED_VALUE"""),5.9374944E7)</f>
        <v>59374944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IFERROR(__xludf.DUMMYFUNCTION("""COMPUTED_VALUE"""),242.4)</f>
        <v>242.4</v>
      </c>
      <c r="C21" s="6">
        <f>IFERROR(__xludf.DUMMYFUNCTION("""COMPUTED_VALUE"""),245.25)</f>
        <v>245.25</v>
      </c>
      <c r="D21" s="6">
        <f>IFERROR(__xludf.DUMMYFUNCTION("""COMPUTED_VALUE"""),238.0)</f>
        <v>238</v>
      </c>
      <c r="E21" s="6">
        <f>IFERROR(__xludf.DUMMYFUNCTION("""COMPUTED_VALUE"""),239.5)</f>
        <v>239.5</v>
      </c>
      <c r="F21" s="6">
        <f>IFERROR(__xludf.DUMMYFUNCTION("""COMPUTED_VALUE"""),6.9255316E7)</f>
        <v>69255316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IFERROR(__xludf.DUMMYFUNCTION("""COMPUTED_VALUE"""),241.0)</f>
        <v>241</v>
      </c>
      <c r="C22" s="6">
        <f>IFERROR(__xludf.DUMMYFUNCTION("""COMPUTED_VALUE"""),248.7)</f>
        <v>248.7</v>
      </c>
      <c r="D22" s="6">
        <f>IFERROR(__xludf.DUMMYFUNCTION("""COMPUTED_VALUE"""),235.0)</f>
        <v>235</v>
      </c>
      <c r="E22" s="6">
        <f>IFERROR(__xludf.DUMMYFUNCTION("""COMPUTED_VALUE"""),245.5)</f>
        <v>245.5</v>
      </c>
      <c r="F22" s="6">
        <f>IFERROR(__xludf.DUMMYFUNCTION("""COMPUTED_VALUE"""),7.6453472E7)</f>
        <v>76453472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IFERROR(__xludf.DUMMYFUNCTION("""COMPUTED_VALUE"""),245.45)</f>
        <v>245.45</v>
      </c>
      <c r="C23" s="6">
        <f>IFERROR(__xludf.DUMMYFUNCTION("""COMPUTED_VALUE"""),281.4)</f>
        <v>281.4</v>
      </c>
      <c r="D23" s="6">
        <f>IFERROR(__xludf.DUMMYFUNCTION("""COMPUTED_VALUE"""),245.15)</f>
        <v>245.15</v>
      </c>
      <c r="E23" s="6">
        <f>IFERROR(__xludf.DUMMYFUNCTION("""COMPUTED_VALUE"""),277.1)</f>
        <v>277.1</v>
      </c>
      <c r="F23" s="6">
        <f>IFERROR(__xludf.DUMMYFUNCTION("""COMPUTED_VALUE"""),1.40411649E8)</f>
        <v>140411649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IFERROR(__xludf.DUMMYFUNCTION("""COMPUTED_VALUE"""),277.5)</f>
        <v>277.5</v>
      </c>
      <c r="C24" s="6">
        <f>IFERROR(__xludf.DUMMYFUNCTION("""COMPUTED_VALUE"""),289.4)</f>
        <v>289.4</v>
      </c>
      <c r="D24" s="6">
        <f>IFERROR(__xludf.DUMMYFUNCTION("""COMPUTED_VALUE"""),266.8)</f>
        <v>266.8</v>
      </c>
      <c r="E24" s="6">
        <f>IFERROR(__xludf.DUMMYFUNCTION("""COMPUTED_VALUE"""),273.0)</f>
        <v>273</v>
      </c>
      <c r="F24" s="6">
        <f>IFERROR(__xludf.DUMMYFUNCTION("""COMPUTED_VALUE"""),1.78718025E8)</f>
        <v>178718025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IFERROR(__xludf.DUMMYFUNCTION("""COMPUTED_VALUE"""),273.2)</f>
        <v>273.2</v>
      </c>
      <c r="C25" s="6">
        <f>IFERROR(__xludf.DUMMYFUNCTION("""COMPUTED_VALUE"""),283.35)</f>
        <v>283.35</v>
      </c>
      <c r="D25" s="6">
        <f>IFERROR(__xludf.DUMMYFUNCTION("""COMPUTED_VALUE"""),264.25)</f>
        <v>264.25</v>
      </c>
      <c r="E25" s="6">
        <f>IFERROR(__xludf.DUMMYFUNCTION("""COMPUTED_VALUE"""),274.55)</f>
        <v>274.55</v>
      </c>
      <c r="F25" s="6">
        <f>IFERROR(__xludf.DUMMYFUNCTION("""COMPUTED_VALUE"""),1.05323669E8)</f>
        <v>105323669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IFERROR(__xludf.DUMMYFUNCTION("""COMPUTED_VALUE"""),275.1)</f>
        <v>275.1</v>
      </c>
      <c r="C26" s="6">
        <f>IFERROR(__xludf.DUMMYFUNCTION("""COMPUTED_VALUE"""),289.45)</f>
        <v>289.45</v>
      </c>
      <c r="D26" s="6">
        <f>IFERROR(__xludf.DUMMYFUNCTION("""COMPUTED_VALUE"""),273.25)</f>
        <v>273.25</v>
      </c>
      <c r="E26" s="6">
        <f>IFERROR(__xludf.DUMMYFUNCTION("""COMPUTED_VALUE"""),281.95)</f>
        <v>281.95</v>
      </c>
      <c r="F26" s="6">
        <f>IFERROR(__xludf.DUMMYFUNCTION("""COMPUTED_VALUE"""),1.20241645E8)</f>
        <v>120241645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IFERROR(__xludf.DUMMYFUNCTION("""COMPUTED_VALUE"""),288.0)</f>
        <v>288</v>
      </c>
      <c r="C27" s="6">
        <f>IFERROR(__xludf.DUMMYFUNCTION("""COMPUTED_VALUE"""),298.9)</f>
        <v>298.9</v>
      </c>
      <c r="D27" s="6">
        <f>IFERROR(__xludf.DUMMYFUNCTION("""COMPUTED_VALUE"""),286.5)</f>
        <v>286.5</v>
      </c>
      <c r="E27" s="6">
        <f>IFERROR(__xludf.DUMMYFUNCTION("""COMPUTED_VALUE"""),292.65)</f>
        <v>292.65</v>
      </c>
      <c r="F27" s="6">
        <f>IFERROR(__xludf.DUMMYFUNCTION("""COMPUTED_VALUE"""),6.7230146E7)</f>
        <v>67230146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IFERROR(__xludf.DUMMYFUNCTION("""COMPUTED_VALUE"""),288.4)</f>
        <v>288.4</v>
      </c>
      <c r="C28" s="6">
        <f>IFERROR(__xludf.DUMMYFUNCTION("""COMPUTED_VALUE"""),291.95)</f>
        <v>291.95</v>
      </c>
      <c r="D28" s="6">
        <f>IFERROR(__xludf.DUMMYFUNCTION("""COMPUTED_VALUE"""),257.65)</f>
        <v>257.65</v>
      </c>
      <c r="E28" s="6">
        <f>IFERROR(__xludf.DUMMYFUNCTION("""COMPUTED_VALUE"""),265.95)</f>
        <v>265.95</v>
      </c>
      <c r="F28" s="6">
        <f>IFERROR(__xludf.DUMMYFUNCTION("""COMPUTED_VALUE"""),1.46140071E8)</f>
        <v>146140071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IFERROR(__xludf.DUMMYFUNCTION("""COMPUTED_VALUE"""),265.95)</f>
        <v>265.95</v>
      </c>
      <c r="C29" s="6">
        <f>IFERROR(__xludf.DUMMYFUNCTION("""COMPUTED_VALUE"""),278.25)</f>
        <v>278.25</v>
      </c>
      <c r="D29" s="6">
        <f>IFERROR(__xludf.DUMMYFUNCTION("""COMPUTED_VALUE"""),258.3)</f>
        <v>258.3</v>
      </c>
      <c r="E29" s="6">
        <f>IFERROR(__xludf.DUMMYFUNCTION("""COMPUTED_VALUE"""),275.75)</f>
        <v>275.75</v>
      </c>
      <c r="F29" s="6">
        <f>IFERROR(__xludf.DUMMYFUNCTION("""COMPUTED_VALUE"""),8.9420349E7)</f>
        <v>89420349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IFERROR(__xludf.DUMMYFUNCTION("""COMPUTED_VALUE"""),270.1)</f>
        <v>270.1</v>
      </c>
      <c r="C30" s="6">
        <f>IFERROR(__xludf.DUMMYFUNCTION("""COMPUTED_VALUE"""),279.5)</f>
        <v>279.5</v>
      </c>
      <c r="D30" s="6">
        <f>IFERROR(__xludf.DUMMYFUNCTION("""COMPUTED_VALUE"""),266.1)</f>
        <v>266.1</v>
      </c>
      <c r="E30" s="6">
        <f>IFERROR(__xludf.DUMMYFUNCTION("""COMPUTED_VALUE"""),276.9)</f>
        <v>276.9</v>
      </c>
      <c r="F30" s="6">
        <f>IFERROR(__xludf.DUMMYFUNCTION("""COMPUTED_VALUE"""),7.3218164E7)</f>
        <v>73218164</v>
      </c>
    </row>
    <row r="31">
      <c r="A31" s="7">
        <f>IFERROR(__xludf.DUMMYFUNCTION("""COMPUTED_VALUE"""),45387.64583333333)</f>
        <v>45387.64583</v>
      </c>
      <c r="B31" s="6">
        <f>IFERROR(__xludf.DUMMYFUNCTION("""COMPUTED_VALUE"""),280.75)</f>
        <v>280.75</v>
      </c>
      <c r="C31" s="6">
        <f>IFERROR(__xludf.DUMMYFUNCTION("""COMPUTED_VALUE"""),286.7)</f>
        <v>286.7</v>
      </c>
      <c r="D31" s="6">
        <f>IFERROR(__xludf.DUMMYFUNCTION("""COMPUTED_VALUE"""),275.05)</f>
        <v>275.05</v>
      </c>
      <c r="E31" s="6">
        <f>IFERROR(__xludf.DUMMYFUNCTION("""COMPUTED_VALUE"""),278.4)</f>
        <v>278.4</v>
      </c>
      <c r="F31" s="6">
        <f>IFERROR(__xludf.DUMMYFUNCTION("""COMPUTED_VALUE"""),6.9704948E7)</f>
        <v>69704948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IFERROR(__xludf.DUMMYFUNCTION("""COMPUTED_VALUE"""),280.55)</f>
        <v>280.55</v>
      </c>
      <c r="C32" s="6">
        <f>IFERROR(__xludf.DUMMYFUNCTION("""COMPUTED_VALUE"""),285.35)</f>
        <v>285.35</v>
      </c>
      <c r="D32" s="6">
        <f>IFERROR(__xludf.DUMMYFUNCTION("""COMPUTED_VALUE"""),274.65)</f>
        <v>274.65</v>
      </c>
      <c r="E32" s="6">
        <f>IFERROR(__xludf.DUMMYFUNCTION("""COMPUTED_VALUE"""),275.25)</f>
        <v>275.25</v>
      </c>
      <c r="F32" s="6">
        <f>IFERROR(__xludf.DUMMYFUNCTION("""COMPUTED_VALUE"""),4.6795678E7)</f>
        <v>46795678</v>
      </c>
    </row>
    <row r="33">
      <c r="A33" s="7">
        <f>IFERROR(__xludf.DUMMYFUNCTION("""COMPUTED_VALUE"""),45401.64583333333)</f>
        <v>45401.64583</v>
      </c>
      <c r="B33" s="6">
        <f>IFERROR(__xludf.DUMMYFUNCTION("""COMPUTED_VALUE"""),270.25)</f>
        <v>270.25</v>
      </c>
      <c r="C33" s="6">
        <f>IFERROR(__xludf.DUMMYFUNCTION("""COMPUTED_VALUE"""),289.9)</f>
        <v>289.9</v>
      </c>
      <c r="D33" s="6">
        <f>IFERROR(__xludf.DUMMYFUNCTION("""COMPUTED_VALUE"""),268.4)</f>
        <v>268.4</v>
      </c>
      <c r="E33" s="6">
        <f>IFERROR(__xludf.DUMMYFUNCTION("""COMPUTED_VALUE"""),281.65)</f>
        <v>281.65</v>
      </c>
      <c r="F33" s="6">
        <f>IFERROR(__xludf.DUMMYFUNCTION("""COMPUTED_VALUE"""),9.2835957E7)</f>
        <v>92835957</v>
      </c>
    </row>
    <row r="34">
      <c r="A34" s="7">
        <f>IFERROR(__xludf.DUMMYFUNCTION("""COMPUTED_VALUE"""),45408.64583333333)</f>
        <v>45408.64583</v>
      </c>
      <c r="B34" s="6">
        <f>IFERROR(__xludf.DUMMYFUNCTION("""COMPUTED_VALUE"""),284.0)</f>
        <v>284</v>
      </c>
      <c r="C34" s="6">
        <f>IFERROR(__xludf.DUMMYFUNCTION("""COMPUTED_VALUE"""),296.15)</f>
        <v>296.15</v>
      </c>
      <c r="D34" s="6">
        <f>IFERROR(__xludf.DUMMYFUNCTION("""COMPUTED_VALUE"""),280.7)</f>
        <v>280.7</v>
      </c>
      <c r="E34" s="6">
        <f>IFERROR(__xludf.DUMMYFUNCTION("""COMPUTED_VALUE"""),292.25)</f>
        <v>292.25</v>
      </c>
      <c r="F34" s="6">
        <f>IFERROR(__xludf.DUMMYFUNCTION("""COMPUTED_VALUE"""),8.3357394E7)</f>
        <v>83357394</v>
      </c>
    </row>
    <row r="35">
      <c r="A35" s="7">
        <f>IFERROR(__xludf.DUMMYFUNCTION("""COMPUTED_VALUE"""),45415.64583333333)</f>
        <v>45415.64583</v>
      </c>
      <c r="B35" s="6">
        <f>IFERROR(__xludf.DUMMYFUNCTION("""COMPUTED_VALUE"""),292.3)</f>
        <v>292.3</v>
      </c>
      <c r="C35" s="6">
        <f>IFERROR(__xludf.DUMMYFUNCTION("""COMPUTED_VALUE"""),317.25)</f>
        <v>317.25</v>
      </c>
      <c r="D35" s="6">
        <f>IFERROR(__xludf.DUMMYFUNCTION("""COMPUTED_VALUE"""),289.6)</f>
        <v>289.6</v>
      </c>
      <c r="E35" s="6">
        <f>IFERROR(__xludf.DUMMYFUNCTION("""COMPUTED_VALUE"""),310.85)</f>
        <v>310.85</v>
      </c>
      <c r="F35" s="6">
        <f>IFERROR(__xludf.DUMMYFUNCTION("""COMPUTED_VALUE"""),1.14227206E8)</f>
        <v>114227206</v>
      </c>
    </row>
    <row r="36">
      <c r="A36" s="7">
        <f>IFERROR(__xludf.DUMMYFUNCTION("""COMPUTED_VALUE"""),45422.64583333333)</f>
        <v>45422.64583</v>
      </c>
      <c r="B36" s="6">
        <f>IFERROR(__xludf.DUMMYFUNCTION("""COMPUTED_VALUE"""),310.2)</f>
        <v>310.2</v>
      </c>
      <c r="C36" s="6">
        <f>IFERROR(__xludf.DUMMYFUNCTION("""COMPUTED_VALUE"""),310.8)</f>
        <v>310.8</v>
      </c>
      <c r="D36" s="6">
        <f>IFERROR(__xludf.DUMMYFUNCTION("""COMPUTED_VALUE"""),292.0)</f>
        <v>292</v>
      </c>
      <c r="E36" s="6">
        <f>IFERROR(__xludf.DUMMYFUNCTION("""COMPUTED_VALUE"""),303.75)</f>
        <v>303.75</v>
      </c>
      <c r="F36" s="6">
        <f>IFERROR(__xludf.DUMMYFUNCTION("""COMPUTED_VALUE"""),7.2451369E7)</f>
        <v>72451369</v>
      </c>
    </row>
    <row r="37">
      <c r="A37" s="7">
        <f>IFERROR(__xludf.DUMMYFUNCTION("""COMPUTED_VALUE"""),45436.64583333333)</f>
        <v>45436.64583</v>
      </c>
      <c r="B37" s="6">
        <f>IFERROR(__xludf.DUMMYFUNCTION("""COMPUTED_VALUE"""),311.0)</f>
        <v>311</v>
      </c>
      <c r="C37" s="6">
        <f>IFERROR(__xludf.DUMMYFUNCTION("""COMPUTED_VALUE"""),327.75)</f>
        <v>327.75</v>
      </c>
      <c r="D37" s="6">
        <f>IFERROR(__xludf.DUMMYFUNCTION("""COMPUTED_VALUE"""),309.0)</f>
        <v>309</v>
      </c>
      <c r="E37" s="6">
        <f>IFERROR(__xludf.DUMMYFUNCTION("""COMPUTED_VALUE"""),318.8)</f>
        <v>318.8</v>
      </c>
      <c r="F37" s="6">
        <f>IFERROR(__xludf.DUMMYFUNCTION("""COMPUTED_VALUE"""),8.3027209E7)</f>
        <v>83027209</v>
      </c>
    </row>
    <row r="38">
      <c r="A38" s="7">
        <f>IFERROR(__xludf.DUMMYFUNCTION("""COMPUTED_VALUE"""),45443.64583333333)</f>
        <v>45443.64583</v>
      </c>
      <c r="B38" s="6">
        <f>IFERROR(__xludf.DUMMYFUNCTION("""COMPUTED_VALUE"""),321.5)</f>
        <v>321.5</v>
      </c>
      <c r="C38" s="6">
        <f>IFERROR(__xludf.DUMMYFUNCTION("""COMPUTED_VALUE"""),321.5)</f>
        <v>321.5</v>
      </c>
      <c r="D38" s="6">
        <f>IFERROR(__xludf.DUMMYFUNCTION("""COMPUTED_VALUE"""),303.8)</f>
        <v>303.8</v>
      </c>
      <c r="E38" s="6">
        <f>IFERROR(__xludf.DUMMYFUNCTION("""COMPUTED_VALUE"""),310.0)</f>
        <v>310</v>
      </c>
      <c r="F38" s="6">
        <f>IFERROR(__xludf.DUMMYFUNCTION("""COMPUTED_VALUE"""),1.00304261E8)</f>
        <v>100304261</v>
      </c>
    </row>
    <row r="39">
      <c r="A39" s="7">
        <f>IFERROR(__xludf.DUMMYFUNCTION("""COMPUTED_VALUE"""),45450.64583333333)</f>
        <v>45450.64583</v>
      </c>
      <c r="B39" s="6">
        <f>IFERROR(__xludf.DUMMYFUNCTION("""COMPUTED_VALUE"""),335.0)</f>
        <v>335</v>
      </c>
      <c r="C39" s="6">
        <f>IFERROR(__xludf.DUMMYFUNCTION("""COMPUTED_VALUE"""),348.7)</f>
        <v>348.7</v>
      </c>
      <c r="D39" s="6">
        <f>IFERROR(__xludf.DUMMYFUNCTION("""COMPUTED_VALUE"""),279.2)</f>
        <v>279.2</v>
      </c>
      <c r="E39" s="6">
        <f>IFERROR(__xludf.DUMMYFUNCTION("""COMPUTED_VALUE"""),309.35)</f>
        <v>309.35</v>
      </c>
      <c r="F39" s="6">
        <f>IFERROR(__xludf.DUMMYFUNCTION("""COMPUTED_VALUE"""),2.48318178E8)</f>
        <v>248318178</v>
      </c>
    </row>
    <row r="40">
      <c r="A40" s="7">
        <f>IFERROR(__xludf.DUMMYFUNCTION("""COMPUTED_VALUE"""),45457.64583333333)</f>
        <v>45457.64583</v>
      </c>
      <c r="B40" s="6">
        <f>IFERROR(__xludf.DUMMYFUNCTION("""COMPUTED_VALUE"""),313.0)</f>
        <v>313</v>
      </c>
      <c r="C40" s="6">
        <f>IFERROR(__xludf.DUMMYFUNCTION("""COMPUTED_VALUE"""),327.95)</f>
        <v>327.95</v>
      </c>
      <c r="D40" s="6">
        <f>IFERROR(__xludf.DUMMYFUNCTION("""COMPUTED_VALUE"""),311.6)</f>
        <v>311.6</v>
      </c>
      <c r="E40" s="6">
        <f>IFERROR(__xludf.DUMMYFUNCTION("""COMPUTED_VALUE"""),321.5)</f>
        <v>321.5</v>
      </c>
      <c r="F40" s="6">
        <f>IFERROR(__xludf.DUMMYFUNCTION("""COMPUTED_VALUE"""),8.3980117E7)</f>
        <v>83980117</v>
      </c>
    </row>
    <row r="41">
      <c r="A41" s="7">
        <f>IFERROR(__xludf.DUMMYFUNCTION("""COMPUTED_VALUE"""),45464.64583333333)</f>
        <v>45464.64583</v>
      </c>
      <c r="B41" s="6">
        <f>IFERROR(__xludf.DUMMYFUNCTION("""COMPUTED_VALUE"""),322.0)</f>
        <v>322</v>
      </c>
      <c r="C41" s="6">
        <f>IFERROR(__xludf.DUMMYFUNCTION("""COMPUTED_VALUE"""),334.85)</f>
        <v>334.85</v>
      </c>
      <c r="D41" s="6">
        <f>IFERROR(__xludf.DUMMYFUNCTION("""COMPUTED_VALUE"""),322.0)</f>
        <v>322</v>
      </c>
      <c r="E41" s="6">
        <f>IFERROR(__xludf.DUMMYFUNCTION("""COMPUTED_VALUE"""),325.95)</f>
        <v>325.95</v>
      </c>
      <c r="F41" s="6">
        <f>IFERROR(__xludf.DUMMYFUNCTION("""COMPUTED_VALUE"""),6.48479E7)</f>
        <v>64847900</v>
      </c>
    </row>
    <row r="42">
      <c r="A42" s="7">
        <f>IFERROR(__xludf.DUMMYFUNCTION("""COMPUTED_VALUE"""),45471.64583333333)</f>
        <v>45471.64583</v>
      </c>
      <c r="B42" s="6">
        <f>IFERROR(__xludf.DUMMYFUNCTION("""COMPUTED_VALUE"""),323.1)</f>
        <v>323.1</v>
      </c>
      <c r="C42" s="6">
        <f>IFERROR(__xludf.DUMMYFUNCTION("""COMPUTED_VALUE"""),337.35)</f>
        <v>337.35</v>
      </c>
      <c r="D42" s="6">
        <f>IFERROR(__xludf.DUMMYFUNCTION("""COMPUTED_VALUE"""),322.55)</f>
        <v>322.55</v>
      </c>
      <c r="E42" s="6">
        <f>IFERROR(__xludf.DUMMYFUNCTION("""COMPUTED_VALUE"""),330.95)</f>
        <v>330.95</v>
      </c>
      <c r="F42" s="6">
        <f>IFERROR(__xludf.DUMMYFUNCTION("""COMPUTED_VALUE"""),9.3707914E7)</f>
        <v>93707914</v>
      </c>
    </row>
    <row r="43">
      <c r="A43" s="7">
        <f>IFERROR(__xludf.DUMMYFUNCTION("""COMPUTED_VALUE"""),45478.64583333333)</f>
        <v>45478.64583</v>
      </c>
      <c r="B43" s="6">
        <f>IFERROR(__xludf.DUMMYFUNCTION("""COMPUTED_VALUE"""),331.0)</f>
        <v>331</v>
      </c>
      <c r="C43" s="6">
        <f>IFERROR(__xludf.DUMMYFUNCTION("""COMPUTED_VALUE"""),339.9)</f>
        <v>339.9</v>
      </c>
      <c r="D43" s="6">
        <f>IFERROR(__xludf.DUMMYFUNCTION("""COMPUTED_VALUE"""),325.25)</f>
        <v>325.25</v>
      </c>
      <c r="E43" s="6">
        <f>IFERROR(__xludf.DUMMYFUNCTION("""COMPUTED_VALUE"""),339.4)</f>
        <v>339.4</v>
      </c>
      <c r="F43" s="6">
        <f>IFERROR(__xludf.DUMMYFUNCTION("""COMPUTED_VALUE"""),5.7786378E7)</f>
        <v>57786378</v>
      </c>
    </row>
    <row r="44">
      <c r="A44" s="7">
        <f>IFERROR(__xludf.DUMMYFUNCTION("""COMPUTED_VALUE"""),45485.64583333333)</f>
        <v>45485.64583</v>
      </c>
      <c r="B44" s="6">
        <f>IFERROR(__xludf.DUMMYFUNCTION("""COMPUTED_VALUE"""),341.0)</f>
        <v>341</v>
      </c>
      <c r="C44" s="6">
        <f>IFERROR(__xludf.DUMMYFUNCTION("""COMPUTED_VALUE"""),348.75)</f>
        <v>348.75</v>
      </c>
      <c r="D44" s="6">
        <f>IFERROR(__xludf.DUMMYFUNCTION("""COMPUTED_VALUE"""),335.5)</f>
        <v>335.5</v>
      </c>
      <c r="E44" s="6">
        <f>IFERROR(__xludf.DUMMYFUNCTION("""COMPUTED_VALUE"""),343.1)</f>
        <v>343.1</v>
      </c>
      <c r="F44" s="6">
        <f>IFERROR(__xludf.DUMMYFUNCTION("""COMPUTED_VALUE"""),5.1727985E7)</f>
        <v>51727985</v>
      </c>
    </row>
    <row r="45">
      <c r="A45" s="7">
        <f>IFERROR(__xludf.DUMMYFUNCTION("""COMPUTED_VALUE"""),45492.64583333333)</f>
        <v>45492.64583</v>
      </c>
      <c r="B45" s="6">
        <f>IFERROR(__xludf.DUMMYFUNCTION("""COMPUTED_VALUE"""),345.4)</f>
        <v>345.4</v>
      </c>
      <c r="C45" s="6">
        <f>IFERROR(__xludf.DUMMYFUNCTION("""COMPUTED_VALUE"""),347.0)</f>
        <v>347</v>
      </c>
      <c r="D45" s="6">
        <f>IFERROR(__xludf.DUMMYFUNCTION("""COMPUTED_VALUE"""),331.0)</f>
        <v>331</v>
      </c>
      <c r="E45" s="6">
        <f>IFERROR(__xludf.DUMMYFUNCTION("""COMPUTED_VALUE"""),332.2)</f>
        <v>332.2</v>
      </c>
      <c r="F45" s="6">
        <f>IFERROR(__xludf.DUMMYFUNCTION("""COMPUTED_VALUE"""),4.3486777E7)</f>
        <v>43486777</v>
      </c>
    </row>
    <row r="46">
      <c r="A46" s="7">
        <f>IFERROR(__xludf.DUMMYFUNCTION("""COMPUTED_VALUE"""),45499.64583333333)</f>
        <v>45499.64583</v>
      </c>
      <c r="B46" s="6">
        <f>IFERROR(__xludf.DUMMYFUNCTION("""COMPUTED_VALUE"""),330.0)</f>
        <v>330</v>
      </c>
      <c r="C46" s="6">
        <f>IFERROR(__xludf.DUMMYFUNCTION("""COMPUTED_VALUE"""),345.55)</f>
        <v>345.55</v>
      </c>
      <c r="D46" s="6">
        <f>IFERROR(__xludf.DUMMYFUNCTION("""COMPUTED_VALUE"""),321.1)</f>
        <v>321.1</v>
      </c>
      <c r="E46" s="6">
        <f>IFERROR(__xludf.DUMMYFUNCTION("""COMPUTED_VALUE"""),344.2)</f>
        <v>344.2</v>
      </c>
      <c r="F46" s="6">
        <f>IFERROR(__xludf.DUMMYFUNCTION("""COMPUTED_VALUE"""),6.6946798E7)</f>
        <v>66946798</v>
      </c>
    </row>
    <row r="47">
      <c r="A47" s="7">
        <f>IFERROR(__xludf.DUMMYFUNCTION("""COMPUTED_VALUE"""),45506.64583333333)</f>
        <v>45506.64583</v>
      </c>
      <c r="B47" s="6">
        <f>IFERROR(__xludf.DUMMYFUNCTION("""COMPUTED_VALUE"""),339.8)</f>
        <v>339.8</v>
      </c>
      <c r="C47" s="6">
        <f>IFERROR(__xludf.DUMMYFUNCTION("""COMPUTED_VALUE"""),362.5)</f>
        <v>362.5</v>
      </c>
      <c r="D47" s="6">
        <f>IFERROR(__xludf.DUMMYFUNCTION("""COMPUTED_VALUE"""),337.75)</f>
        <v>337.75</v>
      </c>
      <c r="E47" s="6">
        <f>IFERROR(__xludf.DUMMYFUNCTION("""COMPUTED_VALUE"""),358.25)</f>
        <v>358.25</v>
      </c>
      <c r="F47" s="6">
        <f>IFERROR(__xludf.DUMMYFUNCTION("""COMPUTED_VALUE"""),1.16203415E8)</f>
        <v>116203415</v>
      </c>
    </row>
    <row r="48">
      <c r="A48" s="7">
        <f>IFERROR(__xludf.DUMMYFUNCTION("""COMPUTED_VALUE"""),45513.64583333333)</f>
        <v>45513.64583</v>
      </c>
      <c r="B48" s="6">
        <f>IFERROR(__xludf.DUMMYFUNCTION("""COMPUTED_VALUE"""),352.75)</f>
        <v>352.75</v>
      </c>
      <c r="C48" s="6">
        <f>IFERROR(__xludf.DUMMYFUNCTION("""COMPUTED_VALUE"""),355.0)</f>
        <v>355</v>
      </c>
      <c r="D48" s="6">
        <f>IFERROR(__xludf.DUMMYFUNCTION("""COMPUTED_VALUE"""),339.25)</f>
        <v>339.25</v>
      </c>
      <c r="E48" s="6">
        <f>IFERROR(__xludf.DUMMYFUNCTION("""COMPUTED_VALUE"""),346.0)</f>
        <v>346</v>
      </c>
      <c r="F48" s="6">
        <f>IFERROR(__xludf.DUMMYFUNCTION("""COMPUTED_VALUE"""),6.2492441E7)</f>
        <v>62492441</v>
      </c>
    </row>
    <row r="49">
      <c r="A49" s="7">
        <f>IFERROR(__xludf.DUMMYFUNCTION("""COMPUTED_VALUE"""),45520.64583333333)</f>
        <v>45520.64583</v>
      </c>
      <c r="B49" s="6">
        <f>IFERROR(__xludf.DUMMYFUNCTION("""COMPUTED_VALUE"""),343.0)</f>
        <v>343</v>
      </c>
      <c r="C49" s="6">
        <f>IFERROR(__xludf.DUMMYFUNCTION("""COMPUTED_VALUE"""),343.8)</f>
        <v>343.8</v>
      </c>
      <c r="D49" s="6">
        <f>IFERROR(__xludf.DUMMYFUNCTION("""COMPUTED_VALUE"""),330.6)</f>
        <v>330.6</v>
      </c>
      <c r="E49" s="6">
        <f>IFERROR(__xludf.DUMMYFUNCTION("""COMPUTED_VALUE"""),338.6)</f>
        <v>338.6</v>
      </c>
      <c r="F49" s="6">
        <f>IFERROR(__xludf.DUMMYFUNCTION("""COMPUTED_VALUE"""),4.8356911E7)</f>
        <v>48356911</v>
      </c>
    </row>
    <row r="50">
      <c r="A50" s="7">
        <f>IFERROR(__xludf.DUMMYFUNCTION("""COMPUTED_VALUE"""),45527.64583333333)</f>
        <v>45527.64583</v>
      </c>
      <c r="B50" s="6">
        <f>IFERROR(__xludf.DUMMYFUNCTION("""COMPUTED_VALUE"""),342.65)</f>
        <v>342.65</v>
      </c>
      <c r="C50" s="6">
        <f>IFERROR(__xludf.DUMMYFUNCTION("""COMPUTED_VALUE"""),343.3)</f>
        <v>343.3</v>
      </c>
      <c r="D50" s="6">
        <f>IFERROR(__xludf.DUMMYFUNCTION("""COMPUTED_VALUE"""),330.5)</f>
        <v>330.5</v>
      </c>
      <c r="E50" s="6">
        <f>IFERROR(__xludf.DUMMYFUNCTION("""COMPUTED_VALUE"""),336.25)</f>
        <v>336.25</v>
      </c>
      <c r="F50" s="6">
        <f>IFERROR(__xludf.DUMMYFUNCTION("""COMPUTED_VALUE"""),4.8268672E7)</f>
        <v>48268672</v>
      </c>
    </row>
    <row r="51">
      <c r="A51" s="7">
        <f>IFERROR(__xludf.DUMMYFUNCTION("""COMPUTED_VALUE"""),45534.64583333333)</f>
        <v>45534.64583</v>
      </c>
      <c r="B51" s="6">
        <f>IFERROR(__xludf.DUMMYFUNCTION("""COMPUTED_VALUE"""),336.45)</f>
        <v>336.45</v>
      </c>
      <c r="C51" s="6">
        <f>IFERROR(__xludf.DUMMYFUNCTION("""COMPUTED_VALUE"""),341.5)</f>
        <v>341.5</v>
      </c>
      <c r="D51" s="6">
        <f>IFERROR(__xludf.DUMMYFUNCTION("""COMPUTED_VALUE"""),328.8)</f>
        <v>328.8</v>
      </c>
      <c r="E51" s="6">
        <f>IFERROR(__xludf.DUMMYFUNCTION("""COMPUTED_VALUE"""),337.4)</f>
        <v>337.4</v>
      </c>
      <c r="F51" s="6">
        <f>IFERROR(__xludf.DUMMYFUNCTION("""COMPUTED_VALUE"""),6.6741313E7)</f>
        <v>66741313</v>
      </c>
    </row>
    <row r="52">
      <c r="A52" s="7">
        <f>IFERROR(__xludf.DUMMYFUNCTION("""COMPUTED_VALUE"""),45541.64583333333)</f>
        <v>45541.64583</v>
      </c>
      <c r="B52" s="6">
        <f>IFERROR(__xludf.DUMMYFUNCTION("""COMPUTED_VALUE"""),338.4)</f>
        <v>338.4</v>
      </c>
      <c r="C52" s="6">
        <f>IFERROR(__xludf.DUMMYFUNCTION("""COMPUTED_VALUE"""),339.9)</f>
        <v>339.9</v>
      </c>
      <c r="D52" s="6">
        <f>IFERROR(__xludf.DUMMYFUNCTION("""COMPUTED_VALUE"""),325.0)</f>
        <v>325</v>
      </c>
      <c r="E52" s="6">
        <f>IFERROR(__xludf.DUMMYFUNCTION("""COMPUTED_VALUE"""),329.8)</f>
        <v>329.8</v>
      </c>
      <c r="F52" s="6">
        <f>IFERROR(__xludf.DUMMYFUNCTION("""COMPUTED_VALUE"""),6.4917819E7)</f>
        <v>64917819</v>
      </c>
    </row>
    <row r="53">
      <c r="A53" s="7">
        <f>IFERROR(__xludf.DUMMYFUNCTION("""COMPUTED_VALUE"""),45548.64583333333)</f>
        <v>45548.64583</v>
      </c>
      <c r="B53" s="6">
        <f>IFERROR(__xludf.DUMMYFUNCTION("""COMPUTED_VALUE"""),327.7)</f>
        <v>327.7</v>
      </c>
      <c r="C53" s="6">
        <f>IFERROR(__xludf.DUMMYFUNCTION("""COMPUTED_VALUE"""),341.25)</f>
        <v>341.25</v>
      </c>
      <c r="D53" s="6">
        <f>IFERROR(__xludf.DUMMYFUNCTION("""COMPUTED_VALUE"""),323.55)</f>
        <v>323.55</v>
      </c>
      <c r="E53" s="6">
        <f>IFERROR(__xludf.DUMMYFUNCTION("""COMPUTED_VALUE"""),337.25)</f>
        <v>337.25</v>
      </c>
      <c r="F53" s="6">
        <f>IFERROR(__xludf.DUMMYFUNCTION("""COMPUTED_VALUE"""),7.3031893E7)</f>
        <v>73031893</v>
      </c>
    </row>
    <row r="54">
      <c r="A54" s="7">
        <f>IFERROR(__xludf.DUMMYFUNCTION("""COMPUTED_VALUE"""),45555.64583333333)</f>
        <v>45555.64583</v>
      </c>
      <c r="B54" s="6">
        <f>IFERROR(__xludf.DUMMYFUNCTION("""COMPUTED_VALUE"""),337.25)</f>
        <v>337.25</v>
      </c>
      <c r="C54" s="6">
        <f>IFERROR(__xludf.DUMMYFUNCTION("""COMPUTED_VALUE"""),342.95)</f>
        <v>342.95</v>
      </c>
      <c r="D54" s="6">
        <f>IFERROR(__xludf.DUMMYFUNCTION("""COMPUTED_VALUE"""),333.1)</f>
        <v>333.1</v>
      </c>
      <c r="E54" s="6">
        <f>IFERROR(__xludf.DUMMYFUNCTION("""COMPUTED_VALUE"""),340.85)</f>
        <v>340.85</v>
      </c>
      <c r="F54" s="6">
        <f>IFERROR(__xludf.DUMMYFUNCTION("""COMPUTED_VALUE"""),6.7609403E7)</f>
        <v>67609403</v>
      </c>
    </row>
    <row r="55">
      <c r="A55" s="7">
        <f>IFERROR(__xludf.DUMMYFUNCTION("""COMPUTED_VALUE"""),45562.64583333333)</f>
        <v>45562.64583</v>
      </c>
      <c r="B55" s="6">
        <f>IFERROR(__xludf.DUMMYFUNCTION("""COMPUTED_VALUE"""),342.0)</f>
        <v>342</v>
      </c>
      <c r="C55" s="6">
        <f>IFERROR(__xludf.DUMMYFUNCTION("""COMPUTED_VALUE"""),366.25)</f>
        <v>366.25</v>
      </c>
      <c r="D55" s="6">
        <f>IFERROR(__xludf.DUMMYFUNCTION("""COMPUTED_VALUE"""),340.25)</f>
        <v>340.25</v>
      </c>
      <c r="E55" s="6">
        <f>IFERROR(__xludf.DUMMYFUNCTION("""COMPUTED_VALUE"""),354.25)</f>
        <v>354.25</v>
      </c>
      <c r="F55" s="6">
        <f>IFERROR(__xludf.DUMMYFUNCTION("""COMPUTED_VALUE"""),1.25341174E8)</f>
        <v>125341174</v>
      </c>
    </row>
    <row r="56">
      <c r="A56" s="7">
        <f>IFERROR(__xludf.DUMMYFUNCTION("""COMPUTED_VALUE"""),45569.64583333333)</f>
        <v>45569.64583</v>
      </c>
      <c r="B56" s="6">
        <f>IFERROR(__xludf.DUMMYFUNCTION("""COMPUTED_VALUE"""),354.25)</f>
        <v>354.25</v>
      </c>
      <c r="C56" s="6">
        <f>IFERROR(__xludf.DUMMYFUNCTION("""COMPUTED_VALUE"""),357.45)</f>
        <v>357.45</v>
      </c>
      <c r="D56" s="6">
        <f>IFERROR(__xludf.DUMMYFUNCTION("""COMPUTED_VALUE"""),337.75)</f>
        <v>337.75</v>
      </c>
      <c r="E56" s="6">
        <f>IFERROR(__xludf.DUMMYFUNCTION("""COMPUTED_VALUE"""),338.85)</f>
        <v>338.85</v>
      </c>
      <c r="F56" s="6">
        <f>IFERROR(__xludf.DUMMYFUNCTION("""COMPUTED_VALUE"""),6.5684634E7)</f>
        <v>65684634</v>
      </c>
    </row>
    <row r="57">
      <c r="A57" s="7">
        <f>IFERROR(__xludf.DUMMYFUNCTION("""COMPUTED_VALUE"""),45576.64583333333)</f>
        <v>45576.64583</v>
      </c>
      <c r="B57" s="6">
        <f>IFERROR(__xludf.DUMMYFUNCTION("""COMPUTED_VALUE"""),340.0)</f>
        <v>340</v>
      </c>
      <c r="C57" s="6">
        <f>IFERROR(__xludf.DUMMYFUNCTION("""COMPUTED_VALUE"""),340.0)</f>
        <v>340</v>
      </c>
      <c r="D57" s="6">
        <f>IFERROR(__xludf.DUMMYFUNCTION("""COMPUTED_VALUE"""),322.35)</f>
        <v>322.35</v>
      </c>
      <c r="E57" s="6">
        <f>IFERROR(__xludf.DUMMYFUNCTION("""COMPUTED_VALUE"""),330.05)</f>
        <v>330.05</v>
      </c>
      <c r="F57" s="6">
        <f>IFERROR(__xludf.DUMMYFUNCTION("""COMPUTED_VALUE"""),7.1100545E7)</f>
        <v>71100545</v>
      </c>
    </row>
    <row r="58">
      <c r="A58" s="7">
        <f>IFERROR(__xludf.DUMMYFUNCTION("""COMPUTED_VALUE"""),45583.64583333333)</f>
        <v>45583.64583</v>
      </c>
      <c r="B58" s="6">
        <f>IFERROR(__xludf.DUMMYFUNCTION("""COMPUTED_VALUE"""),330.05)</f>
        <v>330.05</v>
      </c>
      <c r="C58" s="6">
        <f>IFERROR(__xludf.DUMMYFUNCTION("""COMPUTED_VALUE"""),333.85)</f>
        <v>333.85</v>
      </c>
      <c r="D58" s="6">
        <f>IFERROR(__xludf.DUMMYFUNCTION("""COMPUTED_VALUE"""),324.6)</f>
        <v>324.6</v>
      </c>
      <c r="E58" s="6">
        <f>IFERROR(__xludf.DUMMYFUNCTION("""COMPUTED_VALUE"""),332.05)</f>
        <v>332.05</v>
      </c>
      <c r="F58" s="6">
        <f>IFERROR(__xludf.DUMMYFUNCTION("""COMPUTED_VALUE"""),6.8053753E7)</f>
        <v>68053753</v>
      </c>
    </row>
    <row r="59">
      <c r="A59" s="7">
        <f>IFERROR(__xludf.DUMMYFUNCTION("""COMPUTED_VALUE"""),45590.64583333333)</f>
        <v>45590.64583</v>
      </c>
      <c r="B59" s="6">
        <f>IFERROR(__xludf.DUMMYFUNCTION("""COMPUTED_VALUE"""),333.0)</f>
        <v>333</v>
      </c>
      <c r="C59" s="6">
        <f>IFERROR(__xludf.DUMMYFUNCTION("""COMPUTED_VALUE"""),335.65)</f>
        <v>335.65</v>
      </c>
      <c r="D59" s="6">
        <f>IFERROR(__xludf.DUMMYFUNCTION("""COMPUTED_VALUE"""),313.25)</f>
        <v>313.25</v>
      </c>
      <c r="E59" s="6">
        <f>IFERROR(__xludf.DUMMYFUNCTION("""COMPUTED_VALUE"""),315.8)</f>
        <v>315.8</v>
      </c>
      <c r="F59" s="6">
        <f>IFERROR(__xludf.DUMMYFUNCTION("""COMPUTED_VALUE"""),5.3814513E7)</f>
        <v>53814513</v>
      </c>
    </row>
    <row r="60">
      <c r="A60" s="7">
        <f>IFERROR(__xludf.DUMMYFUNCTION("""COMPUTED_VALUE"""),45604.64583333333)</f>
        <v>45604.64583</v>
      </c>
      <c r="B60" s="6">
        <f>IFERROR(__xludf.DUMMYFUNCTION("""COMPUTED_VALUE"""),324.55)</f>
        <v>324.55</v>
      </c>
      <c r="C60" s="6">
        <f>IFERROR(__xludf.DUMMYFUNCTION("""COMPUTED_VALUE"""),324.7)</f>
        <v>324.7</v>
      </c>
      <c r="D60" s="6">
        <f>IFERROR(__xludf.DUMMYFUNCTION("""COMPUTED_VALUE"""),308.7)</f>
        <v>308.7</v>
      </c>
      <c r="E60" s="6">
        <f>IFERROR(__xludf.DUMMYFUNCTION("""COMPUTED_VALUE"""),316.25)</f>
        <v>316.25</v>
      </c>
      <c r="F60" s="6">
        <f>IFERROR(__xludf.DUMMYFUNCTION("""COMPUTED_VALUE"""),5.8031601E7)</f>
        <v>58031601</v>
      </c>
    </row>
    <row r="61">
      <c r="A61" s="7">
        <f>IFERROR(__xludf.DUMMYFUNCTION("""COMPUTED_VALUE"""),45610.64583333333)</f>
        <v>45610.64583</v>
      </c>
      <c r="B61" s="6">
        <f>IFERROR(__xludf.DUMMYFUNCTION("""COMPUTED_VALUE"""),313.55)</f>
        <v>313.55</v>
      </c>
      <c r="C61" s="6">
        <f>IFERROR(__xludf.DUMMYFUNCTION("""COMPUTED_VALUE"""),332.5)</f>
        <v>332.5</v>
      </c>
      <c r="D61" s="6">
        <f>IFERROR(__xludf.DUMMYFUNCTION("""COMPUTED_VALUE"""),310.6)</f>
        <v>310.6</v>
      </c>
      <c r="E61" s="6">
        <f>IFERROR(__xludf.DUMMYFUNCTION("""COMPUTED_VALUE"""),312.1)</f>
        <v>312.1</v>
      </c>
      <c r="F61" s="6">
        <f>IFERROR(__xludf.DUMMYFUNCTION("""COMPUTED_VALUE"""),6.0327184E7)</f>
        <v>60327184</v>
      </c>
    </row>
    <row r="62">
      <c r="A62" s="7">
        <f>IFERROR(__xludf.DUMMYFUNCTION("""COMPUTED_VALUE"""),45618.64583333333)</f>
        <v>45618.64583</v>
      </c>
      <c r="B62" s="6">
        <f>IFERROR(__xludf.DUMMYFUNCTION("""COMPUTED_VALUE"""),314.0)</f>
        <v>314</v>
      </c>
      <c r="C62" s="6">
        <f>IFERROR(__xludf.DUMMYFUNCTION("""COMPUTED_VALUE"""),337.6)</f>
        <v>337.6</v>
      </c>
      <c r="D62" s="6">
        <f>IFERROR(__xludf.DUMMYFUNCTION("""COMPUTED_VALUE"""),310.1)</f>
        <v>310.1</v>
      </c>
      <c r="E62" s="6">
        <f>IFERROR(__xludf.DUMMYFUNCTION("""COMPUTED_VALUE"""),336.95)</f>
        <v>336.95</v>
      </c>
      <c r="F62" s="6">
        <f>IFERROR(__xludf.DUMMYFUNCTION("""COMPUTED_VALUE"""),7.9494914E7)</f>
        <v>79494914</v>
      </c>
    </row>
    <row r="63">
      <c r="A63" s="7">
        <f>IFERROR(__xludf.DUMMYFUNCTION("""COMPUTED_VALUE"""),45625.64583333333)</f>
        <v>45625.64583</v>
      </c>
      <c r="B63" s="6">
        <f>IFERROR(__xludf.DUMMYFUNCTION("""COMPUTED_VALUE"""),341.85)</f>
        <v>341.85</v>
      </c>
      <c r="C63" s="6">
        <f>IFERROR(__xludf.DUMMYFUNCTION("""COMPUTED_VALUE"""),345.4)</f>
        <v>345.4</v>
      </c>
      <c r="D63" s="6">
        <f>IFERROR(__xludf.DUMMYFUNCTION("""COMPUTED_VALUE"""),326.5)</f>
        <v>326.5</v>
      </c>
      <c r="E63" s="6">
        <f>IFERROR(__xludf.DUMMYFUNCTION("""COMPUTED_VALUE"""),329.4)</f>
        <v>329.4</v>
      </c>
      <c r="F63" s="6">
        <f>IFERROR(__xludf.DUMMYFUNCTION("""COMPUTED_VALUE"""),8.6404359E7)</f>
        <v>86404359</v>
      </c>
    </row>
    <row r="64">
      <c r="A64" s="7">
        <f>IFERROR(__xludf.DUMMYFUNCTION("""COMPUTED_VALUE"""),45632.64583333333)</f>
        <v>45632.64583</v>
      </c>
      <c r="B64" s="6">
        <f>IFERROR(__xludf.DUMMYFUNCTION("""COMPUTED_VALUE"""),328.15)</f>
        <v>328.15</v>
      </c>
      <c r="C64" s="6">
        <f>IFERROR(__xludf.DUMMYFUNCTION("""COMPUTED_VALUE"""),332.75)</f>
        <v>332.75</v>
      </c>
      <c r="D64" s="6">
        <f>IFERROR(__xludf.DUMMYFUNCTION("""COMPUTED_VALUE"""),319.55)</f>
        <v>319.55</v>
      </c>
      <c r="E64" s="6">
        <f>IFERROR(__xludf.DUMMYFUNCTION("""COMPUTED_VALUE"""),328.9)</f>
        <v>328.9</v>
      </c>
      <c r="F64" s="6">
        <f>IFERROR(__xludf.DUMMYFUNCTION("""COMPUTED_VALUE"""),8.5645134E7)</f>
        <v>85645134</v>
      </c>
    </row>
    <row r="65">
      <c r="A65" s="7">
        <f>IFERROR(__xludf.DUMMYFUNCTION("""COMPUTED_VALUE"""),45639.64583333333)</f>
        <v>45639.64583</v>
      </c>
      <c r="B65" s="6">
        <f>IFERROR(__xludf.DUMMYFUNCTION("""COMPUTED_VALUE"""),327.75)</f>
        <v>327.75</v>
      </c>
      <c r="C65" s="6">
        <f>IFERROR(__xludf.DUMMYFUNCTION("""COMPUTED_VALUE"""),334.3)</f>
        <v>334.3</v>
      </c>
      <c r="D65" s="6">
        <f>IFERROR(__xludf.DUMMYFUNCTION("""COMPUTED_VALUE"""),325.05)</f>
        <v>325.05</v>
      </c>
      <c r="E65" s="6">
        <f>IFERROR(__xludf.DUMMYFUNCTION("""COMPUTED_VALUE"""),333.85)</f>
        <v>333.85</v>
      </c>
      <c r="F65" s="6">
        <f>IFERROR(__xludf.DUMMYFUNCTION("""COMPUTED_VALUE"""),5.4772043E7)</f>
        <v>54772043</v>
      </c>
    </row>
    <row r="66">
      <c r="A66" s="7">
        <f>IFERROR(__xludf.DUMMYFUNCTION("""COMPUTED_VALUE"""),45646.64583333333)</f>
        <v>45646.64583</v>
      </c>
      <c r="B66" s="6">
        <f>IFERROR(__xludf.DUMMYFUNCTION("""COMPUTED_VALUE"""),333.85)</f>
        <v>333.85</v>
      </c>
      <c r="C66" s="6">
        <f>IFERROR(__xludf.DUMMYFUNCTION("""COMPUTED_VALUE"""),336.25)</f>
        <v>336.25</v>
      </c>
      <c r="D66" s="6">
        <f>IFERROR(__xludf.DUMMYFUNCTION("""COMPUTED_VALUE"""),313.6)</f>
        <v>313.6</v>
      </c>
      <c r="E66" s="6">
        <f>IFERROR(__xludf.DUMMYFUNCTION("""COMPUTED_VALUE"""),315.8)</f>
        <v>315.8</v>
      </c>
      <c r="F66" s="6">
        <f>IFERROR(__xludf.DUMMYFUNCTION("""COMPUTED_VALUE"""),6.9300597E7)</f>
        <v>69300597</v>
      </c>
    </row>
    <row r="67">
      <c r="A67" s="7">
        <f>IFERROR(__xludf.DUMMYFUNCTION("""COMPUTED_VALUE"""),45653.64583333333)</f>
        <v>45653.64583</v>
      </c>
      <c r="B67" s="6">
        <f>IFERROR(__xludf.DUMMYFUNCTION("""COMPUTED_VALUE"""),318.0)</f>
        <v>318</v>
      </c>
      <c r="C67" s="6">
        <f>IFERROR(__xludf.DUMMYFUNCTION("""COMPUTED_VALUE"""),318.3)</f>
        <v>318.3</v>
      </c>
      <c r="D67" s="6">
        <f>IFERROR(__xludf.DUMMYFUNCTION("""COMPUTED_VALUE"""),308.75)</f>
        <v>308.75</v>
      </c>
      <c r="E67" s="6">
        <f>IFERROR(__xludf.DUMMYFUNCTION("""COMPUTED_VALUE"""),309.4)</f>
        <v>309.4</v>
      </c>
      <c r="F67" s="6">
        <f>IFERROR(__xludf.DUMMYFUNCTION("""COMPUTED_VALUE"""),1.8574552E7)</f>
        <v>18574552</v>
      </c>
    </row>
    <row r="68">
      <c r="A68" s="7">
        <f>IFERROR(__xludf.DUMMYFUNCTION("""COMPUTED_VALUE"""),45660.64583333333)</f>
        <v>45660.64583</v>
      </c>
      <c r="B68" s="6">
        <f>IFERROR(__xludf.DUMMYFUNCTION("""COMPUTED_VALUE"""),309.0)</f>
        <v>309</v>
      </c>
      <c r="C68" s="6">
        <f>IFERROR(__xludf.DUMMYFUNCTION("""COMPUTED_VALUE"""),318.0)</f>
        <v>318</v>
      </c>
      <c r="D68" s="6">
        <f>IFERROR(__xludf.DUMMYFUNCTION("""COMPUTED_VALUE"""),305.15)</f>
        <v>305.15</v>
      </c>
      <c r="E68" s="6">
        <f>IFERROR(__xludf.DUMMYFUNCTION("""COMPUTED_VALUE"""),316.05)</f>
        <v>316.05</v>
      </c>
      <c r="F68" s="6">
        <f>IFERROR(__xludf.DUMMYFUNCTION("""COMPUTED_VALUE"""),4.3534875E7)</f>
        <v>43534875</v>
      </c>
    </row>
    <row r="69">
      <c r="A69" s="7">
        <f>IFERROR(__xludf.DUMMYFUNCTION("""COMPUTED_VALUE"""),45667.64583333333)</f>
        <v>45667.64583</v>
      </c>
      <c r="B69" s="6">
        <f>IFERROR(__xludf.DUMMYFUNCTION("""COMPUTED_VALUE"""),315.8)</f>
        <v>315.8</v>
      </c>
      <c r="C69" s="6">
        <f>IFERROR(__xludf.DUMMYFUNCTION("""COMPUTED_VALUE"""),316.5)</f>
        <v>316.5</v>
      </c>
      <c r="D69" s="6">
        <f>IFERROR(__xludf.DUMMYFUNCTION("""COMPUTED_VALUE"""),298.5)</f>
        <v>298.5</v>
      </c>
      <c r="E69" s="6">
        <f>IFERROR(__xludf.DUMMYFUNCTION("""COMPUTED_VALUE"""),299.7)</f>
        <v>299.7</v>
      </c>
      <c r="F69" s="6">
        <f>IFERROR(__xludf.DUMMYFUNCTION("""COMPUTED_VALUE"""),3.8553922E7)</f>
        <v>38553922</v>
      </c>
    </row>
    <row r="70">
      <c r="A70" s="7">
        <f>IFERROR(__xludf.DUMMYFUNCTION("""COMPUTED_VALUE"""),45674.64583333333)</f>
        <v>45674.64583</v>
      </c>
      <c r="B70" s="6">
        <f>IFERROR(__xludf.DUMMYFUNCTION("""COMPUTED_VALUE"""),295.0)</f>
        <v>295</v>
      </c>
      <c r="C70" s="6">
        <f>IFERROR(__xludf.DUMMYFUNCTION("""COMPUTED_VALUE"""),305.0)</f>
        <v>305</v>
      </c>
      <c r="D70" s="6">
        <f>IFERROR(__xludf.DUMMYFUNCTION("""COMPUTED_VALUE"""),286.75)</f>
        <v>286.75</v>
      </c>
      <c r="E70" s="6">
        <f>IFERROR(__xludf.DUMMYFUNCTION("""COMPUTED_VALUE"""),302.6)</f>
        <v>302.6</v>
      </c>
      <c r="F70" s="6">
        <f>IFERROR(__xludf.DUMMYFUNCTION("""COMPUTED_VALUE"""),6.6915237E7)</f>
        <v>66915237</v>
      </c>
    </row>
    <row r="71">
      <c r="A71" s="7">
        <f>IFERROR(__xludf.DUMMYFUNCTION("""COMPUTED_VALUE"""),45681.64583333333)</f>
        <v>45681.64583</v>
      </c>
      <c r="B71" s="6">
        <f>IFERROR(__xludf.DUMMYFUNCTION("""COMPUTED_VALUE"""),302.6)</f>
        <v>302.6</v>
      </c>
      <c r="C71" s="6">
        <f>IFERROR(__xludf.DUMMYFUNCTION("""COMPUTED_VALUE"""),309.95)</f>
        <v>309.95</v>
      </c>
      <c r="D71" s="6">
        <f>IFERROR(__xludf.DUMMYFUNCTION("""COMPUTED_VALUE"""),293.6)</f>
        <v>293.6</v>
      </c>
      <c r="E71" s="6">
        <f>IFERROR(__xludf.DUMMYFUNCTION("""COMPUTED_VALUE"""),295.85)</f>
        <v>295.85</v>
      </c>
      <c r="F71" s="6">
        <f>IFERROR(__xludf.DUMMYFUNCTION("""COMPUTED_VALUE"""),5.6442016E7)</f>
        <v>56442016</v>
      </c>
    </row>
    <row r="72">
      <c r="A72" s="7">
        <f>IFERROR(__xludf.DUMMYFUNCTION("""COMPUTED_VALUE"""),45695.64583333333)</f>
        <v>45695.64583</v>
      </c>
      <c r="B72" s="6">
        <f>IFERROR(__xludf.DUMMYFUNCTION("""COMPUTED_VALUE"""),290.0)</f>
        <v>290</v>
      </c>
      <c r="C72" s="6">
        <f>IFERROR(__xludf.DUMMYFUNCTION("""COMPUTED_VALUE"""),292.0)</f>
        <v>292</v>
      </c>
      <c r="D72" s="6">
        <f>IFERROR(__xludf.DUMMYFUNCTION("""COMPUTED_VALUE"""),270.0)</f>
        <v>270</v>
      </c>
      <c r="E72" s="6">
        <f>IFERROR(__xludf.DUMMYFUNCTION("""COMPUTED_VALUE"""),278.15)</f>
        <v>278.15</v>
      </c>
      <c r="F72" s="6">
        <f>IFERROR(__xludf.DUMMYFUNCTION("""COMPUTED_VALUE"""),8.8764558E7)</f>
        <v>88764558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IFERROR(__xludf.DUMMYFUNCTION("""COMPUTED_VALUE"""),275.0)</f>
        <v>275</v>
      </c>
      <c r="C73" s="6">
        <f>IFERROR(__xludf.DUMMYFUNCTION("""COMPUTED_VALUE"""),276.0)</f>
        <v>276</v>
      </c>
      <c r="D73" s="6">
        <f>IFERROR(__xludf.DUMMYFUNCTION("""COMPUTED_VALUE"""),254.0)</f>
        <v>254</v>
      </c>
      <c r="E73" s="6">
        <f>IFERROR(__xludf.DUMMYFUNCTION("""COMPUTED_VALUE"""),257.35)</f>
        <v>257.35</v>
      </c>
      <c r="F73" s="6">
        <f>IFERROR(__xludf.DUMMYFUNCTION("""COMPUTED_VALUE"""),8.0251679E7)</f>
        <v>80251679</v>
      </c>
    </row>
    <row r="74">
      <c r="A74" s="7">
        <f>IFERROR(__xludf.DUMMYFUNCTION("""COMPUTED_VALUE"""),45709.64583333333)</f>
        <v>45709.64583</v>
      </c>
      <c r="B74" s="6">
        <f>IFERROR(__xludf.DUMMYFUNCTION("""COMPUTED_VALUE"""),256.9)</f>
        <v>256.9</v>
      </c>
      <c r="C74" s="6">
        <f>IFERROR(__xludf.DUMMYFUNCTION("""COMPUTED_VALUE"""),268.5)</f>
        <v>268.5</v>
      </c>
      <c r="D74" s="6">
        <f>IFERROR(__xludf.DUMMYFUNCTION("""COMPUTED_VALUE"""),252.2)</f>
        <v>252.2</v>
      </c>
      <c r="E74" s="6">
        <f>IFERROR(__xludf.DUMMYFUNCTION("""COMPUTED_VALUE"""),261.9)</f>
        <v>261.9</v>
      </c>
      <c r="F74" s="6">
        <f>IFERROR(__xludf.DUMMYFUNCTION("""COMPUTED_VALUE"""),5.9488261E7)</f>
        <v>59488261</v>
      </c>
    </row>
    <row r="75">
      <c r="A75" s="7">
        <f>IFERROR(__xludf.DUMMYFUNCTION("""COMPUTED_VALUE"""),45716.64583333333)</f>
        <v>45716.64583</v>
      </c>
      <c r="B75" s="6">
        <f>IFERROR(__xludf.DUMMYFUNCTION("""COMPUTED_VALUE"""),258.0)</f>
        <v>258</v>
      </c>
      <c r="C75" s="6">
        <f>IFERROR(__xludf.DUMMYFUNCTION("""COMPUTED_VALUE"""),261.8)</f>
        <v>261.8</v>
      </c>
      <c r="D75" s="6">
        <f>IFERROR(__xludf.DUMMYFUNCTION("""COMPUTED_VALUE"""),247.3)</f>
        <v>247.3</v>
      </c>
      <c r="E75" s="6">
        <f>IFERROR(__xludf.DUMMYFUNCTION("""COMPUTED_VALUE"""),250.85)</f>
        <v>250.85</v>
      </c>
      <c r="F75" s="6">
        <f>IFERROR(__xludf.DUMMYFUNCTION("""COMPUTED_VALUE"""),8.8014215E7)</f>
        <v>88014215</v>
      </c>
    </row>
    <row r="76">
      <c r="A76" s="7">
        <f>IFERROR(__xludf.DUMMYFUNCTION("""COMPUTED_VALUE"""),45723.64583333333)</f>
        <v>45723.64583</v>
      </c>
      <c r="B76" s="6">
        <f>IFERROR(__xludf.DUMMYFUNCTION("""COMPUTED_VALUE"""),253.0)</f>
        <v>253</v>
      </c>
      <c r="C76" s="6">
        <f>IFERROR(__xludf.DUMMYFUNCTION("""COMPUTED_VALUE"""),268.65)</f>
        <v>268.65</v>
      </c>
      <c r="D76" s="6">
        <f>IFERROR(__xludf.DUMMYFUNCTION("""COMPUTED_VALUE"""),248.5)</f>
        <v>248.5</v>
      </c>
      <c r="E76" s="6">
        <f>IFERROR(__xludf.DUMMYFUNCTION("""COMPUTED_VALUE"""),263.3)</f>
        <v>263.3</v>
      </c>
      <c r="F76" s="6">
        <f>IFERROR(__xludf.DUMMYFUNCTION("""COMPUTED_VALUE"""),5.8327145E7)</f>
        <v>58327145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IFERROR(__xludf.DUMMYFUNCTION("""COMPUTED_VALUE"""),261.05)</f>
        <v>261.05</v>
      </c>
      <c r="C77" s="6">
        <f>IFERROR(__xludf.DUMMYFUNCTION("""COMPUTED_VALUE"""),274.25)</f>
        <v>274.25</v>
      </c>
      <c r="D77" s="6">
        <f>IFERROR(__xludf.DUMMYFUNCTION("""COMPUTED_VALUE"""),261.05)</f>
        <v>261.05</v>
      </c>
      <c r="E77" s="6">
        <f>IFERROR(__xludf.DUMMYFUNCTION("""COMPUTED_VALUE"""),267.65)</f>
        <v>267.65</v>
      </c>
      <c r="F77" s="6">
        <f>IFERROR(__xludf.DUMMYFUNCTION("""COMPUTED_VALUE"""),6.0635252E7)</f>
        <v>60635252</v>
      </c>
    </row>
    <row r="78">
      <c r="A78" s="7">
        <f>IFERROR(__xludf.DUMMYFUNCTION("""COMPUTED_VALUE"""),45737.64583333333)</f>
        <v>45737.64583</v>
      </c>
      <c r="B78" s="6">
        <f>IFERROR(__xludf.DUMMYFUNCTION("""COMPUTED_VALUE"""),270.0)</f>
        <v>270</v>
      </c>
      <c r="C78" s="6">
        <f>IFERROR(__xludf.DUMMYFUNCTION("""COMPUTED_VALUE"""),285.15)</f>
        <v>285.15</v>
      </c>
      <c r="D78" s="6">
        <f>IFERROR(__xludf.DUMMYFUNCTION("""COMPUTED_VALUE"""),264.95)</f>
        <v>264.95</v>
      </c>
      <c r="E78" s="6">
        <f>IFERROR(__xludf.DUMMYFUNCTION("""COMPUTED_VALUE"""),283.1)</f>
        <v>283.1</v>
      </c>
      <c r="F78" s="6">
        <f>IFERROR(__xludf.DUMMYFUNCTION("""COMPUTED_VALUE"""),7.3690519E7)</f>
        <v>73690519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IFERROR(__xludf.DUMMYFUNCTION("""COMPUTED_VALUE"""),285.0)</f>
        <v>285</v>
      </c>
      <c r="C79" s="6">
        <f>IFERROR(__xludf.DUMMYFUNCTION("""COMPUTED_VALUE"""),297.25)</f>
        <v>297.25</v>
      </c>
      <c r="D79" s="6">
        <f>IFERROR(__xludf.DUMMYFUNCTION("""COMPUTED_VALUE"""),284.45)</f>
        <v>284.45</v>
      </c>
      <c r="E79" s="6">
        <f>IFERROR(__xludf.DUMMYFUNCTION("""COMPUTED_VALUE"""),290.35)</f>
        <v>290.35</v>
      </c>
      <c r="F79" s="6">
        <f>IFERROR(__xludf.DUMMYFUNCTION("""COMPUTED_VALUE"""),1.0535575E8)</f>
        <v>105355750</v>
      </c>
    </row>
    <row r="80">
      <c r="A80" s="7">
        <f>IFERROR(__xludf.DUMMYFUNCTION("""COMPUTED_VALUE"""),45751.64583333333)</f>
        <v>45751.64583</v>
      </c>
      <c r="B80" s="6">
        <f>IFERROR(__xludf.DUMMYFUNCTION("""COMPUTED_VALUE"""),289.6)</f>
        <v>289.6</v>
      </c>
      <c r="C80" s="6">
        <f>IFERROR(__xludf.DUMMYFUNCTION("""COMPUTED_VALUE"""),300.9)</f>
        <v>300.9</v>
      </c>
      <c r="D80" s="6">
        <f>IFERROR(__xludf.DUMMYFUNCTION("""COMPUTED_VALUE"""),284.5)</f>
        <v>284.5</v>
      </c>
      <c r="E80" s="6">
        <f>IFERROR(__xludf.DUMMYFUNCTION("""COMPUTED_VALUE"""),293.9)</f>
        <v>293.9</v>
      </c>
      <c r="F80" s="6">
        <f>IFERROR(__xludf.DUMMYFUNCTION("""COMPUTED_VALUE"""),6.7782843E7)</f>
        <v>67782843</v>
      </c>
    </row>
    <row r="81">
      <c r="A81" s="7">
        <f>IFERROR(__xludf.DUMMYFUNCTION("""COMPUTED_VALUE"""),45758.64583333333)</f>
        <v>45758.64583</v>
      </c>
      <c r="B81" s="6">
        <f>IFERROR(__xludf.DUMMYFUNCTION("""COMPUTED_VALUE"""),283.6)</f>
        <v>283.6</v>
      </c>
      <c r="C81" s="6">
        <f>IFERROR(__xludf.DUMMYFUNCTION("""COMPUTED_VALUE"""),305.0)</f>
        <v>305</v>
      </c>
      <c r="D81" s="6">
        <f>IFERROR(__xludf.DUMMYFUNCTION("""COMPUTED_VALUE"""),282.3)</f>
        <v>282.3</v>
      </c>
      <c r="E81" s="6">
        <f>IFERROR(__xludf.DUMMYFUNCTION("""COMPUTED_VALUE"""),304.1)</f>
        <v>304.1</v>
      </c>
      <c r="F81" s="6">
        <f>IFERROR(__xludf.DUMMYFUNCTION("""COMPUTED_VALUE"""),8.4852679E7)</f>
        <v>84852679</v>
      </c>
    </row>
    <row r="82">
      <c r="A82" s="7">
        <f>IFERROR(__xludf.DUMMYFUNCTION("""COMPUTED_VALUE"""),45764.64583333333)</f>
        <v>45764.64583</v>
      </c>
      <c r="B82" s="6">
        <f>IFERROR(__xludf.DUMMYFUNCTION("""COMPUTED_VALUE"""),307.2)</f>
        <v>307.2</v>
      </c>
      <c r="C82" s="6">
        <f>IFERROR(__xludf.DUMMYFUNCTION("""COMPUTED_VALUE"""),310.45)</f>
        <v>310.45</v>
      </c>
      <c r="D82" s="6">
        <f>IFERROR(__xludf.DUMMYFUNCTION("""COMPUTED_VALUE"""),302.0)</f>
        <v>302</v>
      </c>
      <c r="E82" s="6">
        <f>IFERROR(__xludf.DUMMYFUNCTION("""COMPUTED_VALUE"""),309.0)</f>
        <v>309</v>
      </c>
      <c r="F82" s="6">
        <f>IFERROR(__xludf.DUMMYFUNCTION("""COMPUTED_VALUE"""),3.2124835E7)</f>
        <v>32124835</v>
      </c>
    </row>
    <row r="83">
      <c r="A83" s="7">
        <f>IFERROR(__xludf.DUMMYFUNCTION("""COMPUTED_VALUE"""),45772.64583333333)</f>
        <v>45772.64583</v>
      </c>
      <c r="B83" s="6">
        <f>IFERROR(__xludf.DUMMYFUNCTION("""COMPUTED_VALUE"""),310.0)</f>
        <v>310</v>
      </c>
      <c r="C83" s="6">
        <f>IFERROR(__xludf.DUMMYFUNCTION("""COMPUTED_VALUE"""),322.0)</f>
        <v>322</v>
      </c>
      <c r="D83" s="6">
        <f>IFERROR(__xludf.DUMMYFUNCTION("""COMPUTED_VALUE"""),303.4)</f>
        <v>303.4</v>
      </c>
      <c r="E83" s="6">
        <f>IFERROR(__xludf.DUMMYFUNCTION("""COMPUTED_VALUE"""),306.5)</f>
        <v>306.5</v>
      </c>
      <c r="F83" s="6">
        <f>IFERROR(__xludf.DUMMYFUNCTION("""COMPUTED_VALUE"""),5.1118874E7)</f>
        <v>51118874</v>
      </c>
    </row>
    <row r="84">
      <c r="A84" s="7">
        <f>IFERROR(__xludf.DUMMYFUNCTION("""COMPUTED_VALUE"""),45779.64583333333)</f>
        <v>45779.64583</v>
      </c>
      <c r="B84" s="6">
        <f>IFERROR(__xludf.DUMMYFUNCTION("""COMPUTED_VALUE"""),304.2)</f>
        <v>304.2</v>
      </c>
      <c r="C84" s="6">
        <f>IFERROR(__xludf.DUMMYFUNCTION("""COMPUTED_VALUE"""),310.95)</f>
        <v>310.95</v>
      </c>
      <c r="D84" s="6">
        <f>IFERROR(__xludf.DUMMYFUNCTION("""COMPUTED_VALUE"""),301.2)</f>
        <v>301.2</v>
      </c>
      <c r="E84" s="6">
        <f>IFERROR(__xludf.DUMMYFUNCTION("""COMPUTED_VALUE"""),303.95)</f>
        <v>303.95</v>
      </c>
      <c r="F84" s="6">
        <f>IFERROR(__xludf.DUMMYFUNCTION("""COMPUTED_VALUE"""),4.5301101E7)</f>
        <v>45301101</v>
      </c>
    </row>
    <row r="85">
      <c r="A85" s="7">
        <f>IFERROR(__xludf.DUMMYFUNCTION("""COMPUTED_VALUE"""),45786.64583333333)</f>
        <v>45786.64583</v>
      </c>
      <c r="B85" s="6">
        <f>IFERROR(__xludf.DUMMYFUNCTION("""COMPUTED_VALUE"""),304.8)</f>
        <v>304.8</v>
      </c>
      <c r="C85" s="6">
        <f>IFERROR(__xludf.DUMMYFUNCTION("""COMPUTED_VALUE"""),317.4)</f>
        <v>317.4</v>
      </c>
      <c r="D85" s="6">
        <f>IFERROR(__xludf.DUMMYFUNCTION("""COMPUTED_VALUE"""),296.4)</f>
        <v>296.4</v>
      </c>
      <c r="E85" s="6">
        <f>IFERROR(__xludf.DUMMYFUNCTION("""COMPUTED_VALUE"""),299.3)</f>
        <v>299.3</v>
      </c>
      <c r="F85" s="6">
        <f>IFERROR(__xludf.DUMMYFUNCTION("""COMPUTED_VALUE"""),5.9382066E7)</f>
        <v>59382066</v>
      </c>
    </row>
    <row r="86">
      <c r="A86" s="7">
        <f>IFERROR(__xludf.DUMMYFUNCTION("""COMPUTED_VALUE"""),45793.64583333333)</f>
        <v>45793.64583</v>
      </c>
      <c r="B86" s="6">
        <f>IFERROR(__xludf.DUMMYFUNCTION("""COMPUTED_VALUE"""),304.05)</f>
        <v>304.05</v>
      </c>
      <c r="C86" s="6">
        <f>IFERROR(__xludf.DUMMYFUNCTION("""COMPUTED_VALUE"""),311.1)</f>
        <v>311.1</v>
      </c>
      <c r="D86" s="6">
        <f>IFERROR(__xludf.DUMMYFUNCTION("""COMPUTED_VALUE"""),291.05)</f>
        <v>291.05</v>
      </c>
      <c r="E86" s="6">
        <f>IFERROR(__xludf.DUMMYFUNCTION("""COMPUTED_VALUE"""),300.2)</f>
        <v>300.2</v>
      </c>
      <c r="F86" s="6">
        <f>IFERROR(__xludf.DUMMYFUNCTION("""COMPUTED_VALUE"""),7.4897772E7)</f>
        <v>74897772</v>
      </c>
    </row>
    <row r="87">
      <c r="A87" s="7">
        <f>IFERROR(__xludf.DUMMYFUNCTION("""COMPUTED_VALUE"""),45800.64583333333)</f>
        <v>45800.64583</v>
      </c>
      <c r="B87" s="6">
        <f>IFERROR(__xludf.DUMMYFUNCTION("""COMPUTED_VALUE"""),302.0)</f>
        <v>302</v>
      </c>
      <c r="C87" s="6">
        <f>IFERROR(__xludf.DUMMYFUNCTION("""COMPUTED_VALUE"""),305.3)</f>
        <v>305.3</v>
      </c>
      <c r="D87" s="6">
        <f>IFERROR(__xludf.DUMMYFUNCTION("""COMPUTED_VALUE"""),286.55)</f>
        <v>286.55</v>
      </c>
      <c r="E87" s="6">
        <f>IFERROR(__xludf.DUMMYFUNCTION("""COMPUTED_VALUE"""),298.1)</f>
        <v>298.1</v>
      </c>
      <c r="F87" s="6">
        <f>IFERROR(__xludf.DUMMYFUNCTION("""COMPUTED_VALUE"""),8.1942879E7)</f>
        <v>81942879</v>
      </c>
    </row>
    <row r="88">
      <c r="A88" s="7">
        <f>IFERROR(__xludf.DUMMYFUNCTION("""COMPUTED_VALUE"""),45807.64583333333)</f>
        <v>45807.64583</v>
      </c>
      <c r="B88" s="6">
        <f>IFERROR(__xludf.DUMMYFUNCTION("""COMPUTED_VALUE"""),300.05)</f>
        <v>300.05</v>
      </c>
      <c r="C88" s="6">
        <f>IFERROR(__xludf.DUMMYFUNCTION("""COMPUTED_VALUE"""),303.8)</f>
        <v>303.8</v>
      </c>
      <c r="D88" s="6">
        <f>IFERROR(__xludf.DUMMYFUNCTION("""COMPUTED_VALUE"""),288.25)</f>
        <v>288.25</v>
      </c>
      <c r="E88" s="6">
        <f>IFERROR(__xludf.DUMMYFUNCTION("""COMPUTED_VALUE"""),289.75)</f>
        <v>289.75</v>
      </c>
      <c r="F88" s="6">
        <f>IFERROR(__xludf.DUMMYFUNCTION("""COMPUTED_VALUE"""),7.5205677E7)</f>
        <v>75205677</v>
      </c>
    </row>
    <row r="89">
      <c r="A89" s="7">
        <f>IFERROR(__xludf.DUMMYFUNCTION("""COMPUTED_VALUE"""),45814.64583333333)</f>
        <v>45814.64583</v>
      </c>
      <c r="B89" s="6">
        <f>IFERROR(__xludf.DUMMYFUNCTION("""COMPUTED_VALUE"""),290.3)</f>
        <v>290.3</v>
      </c>
      <c r="C89" s="6">
        <f>IFERROR(__xludf.DUMMYFUNCTION("""COMPUTED_VALUE"""),297.0)</f>
        <v>297</v>
      </c>
      <c r="D89" s="6">
        <f>IFERROR(__xludf.DUMMYFUNCTION("""COMPUTED_VALUE"""),287.05)</f>
        <v>287.05</v>
      </c>
      <c r="E89" s="6">
        <f>IFERROR(__xludf.DUMMYFUNCTION("""COMPUTED_VALUE"""),295.8)</f>
        <v>295.8</v>
      </c>
      <c r="F89" s="6">
        <f>IFERROR(__xludf.DUMMYFUNCTION("""COMPUTED_VALUE"""),4.7870912E7)</f>
        <v>47870912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IFERROR(__xludf.DUMMYFUNCTION("""COMPUTED_VALUE"""),298.0)</f>
        <v>298</v>
      </c>
      <c r="C90" s="6">
        <f>IFERROR(__xludf.DUMMYFUNCTION("""COMPUTED_VALUE"""),301.8)</f>
        <v>301.8</v>
      </c>
      <c r="D90" s="6">
        <f>IFERROR(__xludf.DUMMYFUNCTION("""COMPUTED_VALUE"""),281.8)</f>
        <v>281.8</v>
      </c>
      <c r="E90" s="6">
        <f>IFERROR(__xludf.DUMMYFUNCTION("""COMPUTED_VALUE"""),285.5)</f>
        <v>285.5</v>
      </c>
      <c r="F90" s="6">
        <f>IFERROR(__xludf.DUMMYFUNCTION("""COMPUTED_VALUE"""),5.6981258E7)</f>
        <v>56981258</v>
      </c>
    </row>
    <row r="91">
      <c r="A91" s="7">
        <f>IFERROR(__xludf.DUMMYFUNCTION("""COMPUTED_VALUE"""),45828.64583333333)</f>
        <v>45828.64583</v>
      </c>
      <c r="B91" s="6">
        <f>IFERROR(__xludf.DUMMYFUNCTION("""COMPUTED_VALUE"""),287.95)</f>
        <v>287.95</v>
      </c>
      <c r="C91" s="6">
        <f>IFERROR(__xludf.DUMMYFUNCTION("""COMPUTED_VALUE"""),294.5)</f>
        <v>294.5</v>
      </c>
      <c r="D91" s="6">
        <f>IFERROR(__xludf.DUMMYFUNCTION("""COMPUTED_VALUE"""),285.05)</f>
        <v>285.05</v>
      </c>
      <c r="E91" s="6">
        <f>IFERROR(__xludf.DUMMYFUNCTION("""COMPUTED_VALUE"""),293.1)</f>
        <v>293.1</v>
      </c>
      <c r="F91" s="6">
        <f>IFERROR(__xludf.DUMMYFUNCTION("""COMPUTED_VALUE"""),7.6846997E7)</f>
        <v>76846997</v>
      </c>
    </row>
    <row r="92">
      <c r="A92" s="7">
        <f>IFERROR(__xludf.DUMMYFUNCTION("""COMPUTED_VALUE"""),45835.64583333333)</f>
        <v>45835.64583</v>
      </c>
      <c r="B92" s="6">
        <f>IFERROR(__xludf.DUMMYFUNCTION("""COMPUTED_VALUE"""),291.4)</f>
        <v>291.4</v>
      </c>
      <c r="C92" s="6">
        <f>IFERROR(__xludf.DUMMYFUNCTION("""COMPUTED_VALUE"""),300.7)</f>
        <v>300.7</v>
      </c>
      <c r="D92" s="6">
        <f>IFERROR(__xludf.DUMMYFUNCTION("""COMPUTED_VALUE"""),285.35)</f>
        <v>285.35</v>
      </c>
      <c r="E92" s="6">
        <f>IFERROR(__xludf.DUMMYFUNCTION("""COMPUTED_VALUE"""),299.25)</f>
        <v>299.25</v>
      </c>
      <c r="F92" s="6">
        <f>IFERROR(__xludf.DUMMYFUNCTION("""COMPUTED_VALUE"""),5.843569E7)</f>
        <v>58435690</v>
      </c>
    </row>
    <row r="93">
      <c r="A93" s="7">
        <f>IFERROR(__xludf.DUMMYFUNCTION("""COMPUTED_VALUE"""),45842.64583333333)</f>
        <v>45842.64583</v>
      </c>
      <c r="B93" s="6">
        <f>IFERROR(__xludf.DUMMYFUNCTION("""COMPUTED_VALUE"""),300.4)</f>
        <v>300.4</v>
      </c>
      <c r="C93" s="6">
        <f>IFERROR(__xludf.DUMMYFUNCTION("""COMPUTED_VALUE"""),301.5)</f>
        <v>301.5</v>
      </c>
      <c r="D93" s="6">
        <f>IFERROR(__xludf.DUMMYFUNCTION("""COMPUTED_VALUE"""),291.65)</f>
        <v>291.65</v>
      </c>
      <c r="E93" s="6">
        <f>IFERROR(__xludf.DUMMYFUNCTION("""COMPUTED_VALUE"""),294.0)</f>
        <v>294</v>
      </c>
      <c r="F93" s="6">
        <f>IFERROR(__xludf.DUMMYFUNCTION("""COMPUTED_VALUE"""),5.6157518E7)</f>
        <v>56157518</v>
      </c>
    </row>
    <row r="94">
      <c r="A94" s="7">
        <f>IFERROR(__xludf.DUMMYFUNCTION("""COMPUTED_VALUE"""),45849.64583333333)</f>
        <v>45849.64583</v>
      </c>
      <c r="B94" s="6">
        <f>IFERROR(__xludf.DUMMYFUNCTION("""COMPUTED_VALUE"""),294.7)</f>
        <v>294.7</v>
      </c>
      <c r="C94" s="6">
        <f>IFERROR(__xludf.DUMMYFUNCTION("""COMPUTED_VALUE"""),302.7)</f>
        <v>302.7</v>
      </c>
      <c r="D94" s="6">
        <f>IFERROR(__xludf.DUMMYFUNCTION("""COMPUTED_VALUE"""),293.05)</f>
        <v>293.05</v>
      </c>
      <c r="E94" s="6">
        <f>IFERROR(__xludf.DUMMYFUNCTION("""COMPUTED_VALUE"""),298.55)</f>
        <v>298.55</v>
      </c>
      <c r="F94" s="6">
        <f>IFERROR(__xludf.DUMMYFUNCTION("""COMPUTED_VALUE"""),3.4506724E7)</f>
        <v>34506724</v>
      </c>
    </row>
    <row r="95">
      <c r="A95" s="7">
        <f>IFERROR(__xludf.DUMMYFUNCTION("""COMPUTED_VALUE"""),45856.64583333333)</f>
        <v>45856.64583</v>
      </c>
      <c r="B95" s="6">
        <f>IFERROR(__xludf.DUMMYFUNCTION("""COMPUTED_VALUE"""),299.5)</f>
        <v>299.5</v>
      </c>
      <c r="C95" s="6">
        <f>IFERROR(__xludf.DUMMYFUNCTION("""COMPUTED_VALUE"""),301.5)</f>
        <v>301.5</v>
      </c>
      <c r="D95" s="6">
        <f>IFERROR(__xludf.DUMMYFUNCTION("""COMPUTED_VALUE"""),293.5)</f>
        <v>293.5</v>
      </c>
      <c r="E95" s="6">
        <f>IFERROR(__xludf.DUMMYFUNCTION("""COMPUTED_VALUE"""),294.15)</f>
        <v>294.15</v>
      </c>
      <c r="F95" s="6">
        <f>IFERROR(__xludf.DUMMYFUNCTION("""COMPUTED_VALUE"""),3.6822653E7)</f>
        <v>36822653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IFERROR(__xludf.DUMMYFUNCTION("""COMPUTED_VALUE"""),294.0)</f>
        <v>294</v>
      </c>
      <c r="C96" s="6">
        <f>IFERROR(__xludf.DUMMYFUNCTION("""COMPUTED_VALUE"""),301.35)</f>
        <v>301.35</v>
      </c>
      <c r="D96" s="6">
        <f>IFERROR(__xludf.DUMMYFUNCTION("""COMPUTED_VALUE"""),290.9)</f>
        <v>290.9</v>
      </c>
      <c r="E96" s="6">
        <f>IFERROR(__xludf.DUMMYFUNCTION("""COMPUTED_VALUE"""),292.1)</f>
        <v>292.1</v>
      </c>
      <c r="F96" s="6">
        <f>IFERROR(__xludf.DUMMYFUNCTION("""COMPUTED_VALUE"""),3.288191E7)</f>
        <v>32881910</v>
      </c>
    </row>
    <row r="97">
      <c r="A97" s="7">
        <f>IFERROR(__xludf.DUMMYFUNCTION("""COMPUTED_VALUE"""),45870.64583333333)</f>
        <v>45870.64583</v>
      </c>
      <c r="B97" s="6">
        <f>IFERROR(__xludf.DUMMYFUNCTION("""COMPUTED_VALUE"""),292.0)</f>
        <v>292</v>
      </c>
      <c r="C97" s="6">
        <f>IFERROR(__xludf.DUMMYFUNCTION("""COMPUTED_VALUE"""),296.5)</f>
        <v>296.5</v>
      </c>
      <c r="D97" s="6">
        <f>IFERROR(__xludf.DUMMYFUNCTION("""COMPUTED_VALUE"""),284.95)</f>
        <v>284.95</v>
      </c>
      <c r="E97" s="6">
        <f>IFERROR(__xludf.DUMMYFUNCTION("""COMPUTED_VALUE"""),291.25)</f>
        <v>291.25</v>
      </c>
      <c r="F97" s="6">
        <f>IFERROR(__xludf.DUMMYFUNCTION("""COMPUTED_VALUE"""),4.5120306E7)</f>
        <v>45120306</v>
      </c>
    </row>
    <row r="98">
      <c r="A98" s="7">
        <f>IFERROR(__xludf.DUMMYFUNCTION("""COMPUTED_VALUE"""),45877.64583333333)</f>
        <v>45877.64583</v>
      </c>
      <c r="B98" s="6">
        <f>IFERROR(__xludf.DUMMYFUNCTION("""COMPUTED_VALUE"""),291.2)</f>
        <v>291.2</v>
      </c>
      <c r="C98" s="6">
        <f>IFERROR(__xludf.DUMMYFUNCTION("""COMPUTED_VALUE"""),291.55)</f>
        <v>291.55</v>
      </c>
      <c r="D98" s="6">
        <f>IFERROR(__xludf.DUMMYFUNCTION("""COMPUTED_VALUE"""),283.4)</f>
        <v>283.4</v>
      </c>
      <c r="E98" s="6">
        <f>IFERROR(__xludf.DUMMYFUNCTION("""COMPUTED_VALUE"""),284.85)</f>
        <v>284.85</v>
      </c>
      <c r="F98" s="6">
        <f>IFERROR(__xludf.DUMMYFUNCTION("""COMPUTED_VALUE"""),5.4010931E7)</f>
        <v>54010931</v>
      </c>
    </row>
    <row r="99">
      <c r="A99" s="7">
        <f>IFERROR(__xludf.DUMMYFUNCTION("""COMPUTED_VALUE"""),45883.64583333333)</f>
        <v>45883.64583</v>
      </c>
      <c r="B99" s="6">
        <f>IFERROR(__xludf.DUMMYFUNCTION("""COMPUTED_VALUE"""),284.85)</f>
        <v>284.85</v>
      </c>
      <c r="C99" s="6">
        <f>IFERROR(__xludf.DUMMYFUNCTION("""COMPUTED_VALUE"""),290.15)</f>
        <v>290.15</v>
      </c>
      <c r="D99" s="6">
        <f>IFERROR(__xludf.DUMMYFUNCTION("""COMPUTED_VALUE"""),283.3)</f>
        <v>283.3</v>
      </c>
      <c r="E99" s="6">
        <f>IFERROR(__xludf.DUMMYFUNCTION("""COMPUTED_VALUE"""),288.7)</f>
        <v>288.7</v>
      </c>
      <c r="F99" s="6">
        <f>IFERROR(__xludf.DUMMYFUNCTION("""COMPUTED_VALUE"""),4.0332715E7)</f>
        <v>40332715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IFERROR(__xludf.DUMMYFUNCTION("""COMPUTED_VALUE"""),289.5)</f>
        <v>289.5</v>
      </c>
      <c r="C100" s="6">
        <f>IFERROR(__xludf.DUMMYFUNCTION("""COMPUTED_VALUE"""),291.3)</f>
        <v>291.3</v>
      </c>
      <c r="D100" s="6">
        <f>IFERROR(__xludf.DUMMYFUNCTION("""COMPUTED_VALUE"""),281.8)</f>
        <v>281.8</v>
      </c>
      <c r="E100" s="6">
        <f>IFERROR(__xludf.DUMMYFUNCTION("""COMPUTED_VALUE"""),283.35)</f>
        <v>283.35</v>
      </c>
      <c r="F100" s="6">
        <f>IFERROR(__xludf.DUMMYFUNCTION("""COMPUTED_VALUE"""),3.4353014E7)</f>
        <v>34353014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IFERROR(__xludf.DUMMYFUNCTION("""COMPUTED_VALUE"""),283.35)</f>
        <v>283.35</v>
      </c>
      <c r="C101" s="6">
        <f>IFERROR(__xludf.DUMMYFUNCTION("""COMPUTED_VALUE"""),284.6)</f>
        <v>284.6</v>
      </c>
      <c r="D101" s="6">
        <f>IFERROR(__xludf.DUMMYFUNCTION("""COMPUTED_VALUE"""),278.9)</f>
        <v>278.9</v>
      </c>
      <c r="E101" s="6">
        <f>IFERROR(__xludf.DUMMYFUNCTION("""COMPUTED_VALUE"""),279.9)</f>
        <v>279.9</v>
      </c>
      <c r="F101" s="6">
        <f>IFERROR(__xludf.DUMMYFUNCTION("""COMPUTED_VALUE"""),1.80744805E8)</f>
        <v>180744805</v>
      </c>
    </row>
  </sheetData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IFERROR(__xludf.DUMMYFUNCTION("GOOGLEFINANCE(""NSE:PREMIERENE"",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IFERROR(__xludf.DUMMYFUNCTION("""COMPUTED_VALUE"""),45541.64583333333)</f>
        <v>45541.64583</v>
      </c>
      <c r="B2" s="6">
        <f>IFERROR(__xludf.DUMMYFUNCTION("""COMPUTED_VALUE"""),990.0)</f>
        <v>990</v>
      </c>
      <c r="C2" s="6">
        <f>IFERROR(__xludf.DUMMYFUNCTION("""COMPUTED_VALUE"""),1188.9)</f>
        <v>1188.9</v>
      </c>
      <c r="D2" s="6">
        <f>IFERROR(__xludf.DUMMYFUNCTION("""COMPUTED_VALUE"""),802.1)</f>
        <v>802.1</v>
      </c>
      <c r="E2" s="6">
        <f>IFERROR(__xludf.DUMMYFUNCTION("""COMPUTED_VALUE"""),1096.05)</f>
        <v>1096.05</v>
      </c>
      <c r="F2" s="6">
        <f>IFERROR(__xludf.DUMMYFUNCTION("""COMPUTED_VALUE"""),1.5203181E8)</f>
        <v>152031810</v>
      </c>
    </row>
    <row r="3">
      <c r="A3" s="7">
        <f>IFERROR(__xludf.DUMMYFUNCTION("""COMPUTED_VALUE"""),45548.64583333333)</f>
        <v>45548.64583</v>
      </c>
      <c r="B3" s="6">
        <f>IFERROR(__xludf.DUMMYFUNCTION("""COMPUTED_VALUE"""),1120.0)</f>
        <v>1120</v>
      </c>
      <c r="C3" s="6">
        <f>IFERROR(__xludf.DUMMYFUNCTION("""COMPUTED_VALUE"""),1267.95)</f>
        <v>1267.95</v>
      </c>
      <c r="D3" s="6">
        <f>IFERROR(__xludf.DUMMYFUNCTION("""COMPUTED_VALUE"""),1082.65)</f>
        <v>1082.65</v>
      </c>
      <c r="E3" s="6">
        <f>IFERROR(__xludf.DUMMYFUNCTION("""COMPUTED_VALUE"""),1112.15)</f>
        <v>1112.15</v>
      </c>
      <c r="F3" s="6">
        <f>IFERROR(__xludf.DUMMYFUNCTION("""COMPUTED_VALUE"""),7.1906349E7)</f>
        <v>71906349</v>
      </c>
    </row>
    <row r="4">
      <c r="A4" s="7">
        <f>IFERROR(__xludf.DUMMYFUNCTION("""COMPUTED_VALUE"""),45555.64583333333)</f>
        <v>45555.64583</v>
      </c>
      <c r="B4" s="6">
        <f>IFERROR(__xludf.DUMMYFUNCTION("""COMPUTED_VALUE"""),1110.0)</f>
        <v>1110</v>
      </c>
      <c r="C4" s="6">
        <f>IFERROR(__xludf.DUMMYFUNCTION("""COMPUTED_VALUE"""),1157.35)</f>
        <v>1157.35</v>
      </c>
      <c r="D4" s="6">
        <f>IFERROR(__xludf.DUMMYFUNCTION("""COMPUTED_VALUE"""),1045.0)</f>
        <v>1045</v>
      </c>
      <c r="E4" s="6">
        <f>IFERROR(__xludf.DUMMYFUNCTION("""COMPUTED_VALUE"""),1109.2)</f>
        <v>1109.2</v>
      </c>
      <c r="F4" s="6">
        <f>IFERROR(__xludf.DUMMYFUNCTION("""COMPUTED_VALUE"""),1.862373E7)</f>
        <v>18623730</v>
      </c>
    </row>
    <row r="5">
      <c r="A5" s="7">
        <f>IFERROR(__xludf.DUMMYFUNCTION("""COMPUTED_VALUE"""),45562.64583333333)</f>
        <v>45562.64583</v>
      </c>
      <c r="B5" s="6">
        <f>IFERROR(__xludf.DUMMYFUNCTION("""COMPUTED_VALUE"""),1116.0)</f>
        <v>1116</v>
      </c>
      <c r="C5" s="6">
        <f>IFERROR(__xludf.DUMMYFUNCTION("""COMPUTED_VALUE"""),1120.0)</f>
        <v>1120</v>
      </c>
      <c r="D5" s="6">
        <f>IFERROR(__xludf.DUMMYFUNCTION("""COMPUTED_VALUE"""),1017.0)</f>
        <v>1017</v>
      </c>
      <c r="E5" s="6">
        <f>IFERROR(__xludf.DUMMYFUNCTION("""COMPUTED_VALUE"""),1051.65)</f>
        <v>1051.65</v>
      </c>
      <c r="F5" s="6">
        <f>IFERROR(__xludf.DUMMYFUNCTION("""COMPUTED_VALUE"""),1.0865345E7)</f>
        <v>10865345</v>
      </c>
    </row>
    <row r="6">
      <c r="A6" s="7">
        <f>IFERROR(__xludf.DUMMYFUNCTION("""COMPUTED_VALUE"""),45569.64583333333)</f>
        <v>45569.64583</v>
      </c>
      <c r="B6" s="6">
        <f>IFERROR(__xludf.DUMMYFUNCTION("""COMPUTED_VALUE"""),1045.0)</f>
        <v>1045</v>
      </c>
      <c r="C6" s="6">
        <f>IFERROR(__xludf.DUMMYFUNCTION("""COMPUTED_VALUE"""),1122.0)</f>
        <v>1122</v>
      </c>
      <c r="D6" s="6">
        <f>IFERROR(__xludf.DUMMYFUNCTION("""COMPUTED_VALUE"""),1012.05)</f>
        <v>1012.05</v>
      </c>
      <c r="E6" s="6">
        <f>IFERROR(__xludf.DUMMYFUNCTION("""COMPUTED_VALUE"""),1047.4)</f>
        <v>1047.4</v>
      </c>
      <c r="F6" s="6">
        <f>IFERROR(__xludf.DUMMYFUNCTION("""COMPUTED_VALUE"""),1.3928023E7)</f>
        <v>13928023</v>
      </c>
    </row>
    <row r="7">
      <c r="A7" s="7">
        <f>IFERROR(__xludf.DUMMYFUNCTION("""COMPUTED_VALUE"""),45576.64583333333)</f>
        <v>45576.64583</v>
      </c>
      <c r="B7" s="6">
        <f>IFERROR(__xludf.DUMMYFUNCTION("""COMPUTED_VALUE"""),1045.75)</f>
        <v>1045.75</v>
      </c>
      <c r="C7" s="6">
        <f>IFERROR(__xludf.DUMMYFUNCTION("""COMPUTED_VALUE"""),1119.3)</f>
        <v>1119.3</v>
      </c>
      <c r="D7" s="6">
        <f>IFERROR(__xludf.DUMMYFUNCTION("""COMPUTED_VALUE"""),973.0)</f>
        <v>973</v>
      </c>
      <c r="E7" s="6">
        <f>IFERROR(__xludf.DUMMYFUNCTION("""COMPUTED_VALUE"""),1107.4)</f>
        <v>1107.4</v>
      </c>
      <c r="F7" s="6">
        <f>IFERROR(__xludf.DUMMYFUNCTION("""COMPUTED_VALUE"""),1.3831534E7)</f>
        <v>13831534</v>
      </c>
    </row>
    <row r="8">
      <c r="A8" s="7">
        <f>IFERROR(__xludf.DUMMYFUNCTION("""COMPUTED_VALUE"""),45583.64583333333)</f>
        <v>45583.64583</v>
      </c>
      <c r="B8" s="6">
        <f>IFERROR(__xludf.DUMMYFUNCTION("""COMPUTED_VALUE"""),1120.0)</f>
        <v>1120</v>
      </c>
      <c r="C8" s="6">
        <f>IFERROR(__xludf.DUMMYFUNCTION("""COMPUTED_VALUE"""),1216.8)</f>
        <v>1216.8</v>
      </c>
      <c r="D8" s="6">
        <f>IFERROR(__xludf.DUMMYFUNCTION("""COMPUTED_VALUE"""),1055.1)</f>
        <v>1055.1</v>
      </c>
      <c r="E8" s="6">
        <f>IFERROR(__xludf.DUMMYFUNCTION("""COMPUTED_VALUE"""),1094.65)</f>
        <v>1094.65</v>
      </c>
      <c r="F8" s="6">
        <f>IFERROR(__xludf.DUMMYFUNCTION("""COMPUTED_VALUE"""),1.5066192E7)</f>
        <v>15066192</v>
      </c>
    </row>
    <row r="9">
      <c r="A9" s="7">
        <f>IFERROR(__xludf.DUMMYFUNCTION("""COMPUTED_VALUE"""),45590.64583333333)</f>
        <v>45590.64583</v>
      </c>
      <c r="B9" s="6">
        <f>IFERROR(__xludf.DUMMYFUNCTION("""COMPUTED_VALUE"""),1100.0)</f>
        <v>1100</v>
      </c>
      <c r="C9" s="6">
        <f>IFERROR(__xludf.DUMMYFUNCTION("""COMPUTED_VALUE"""),1106.0)</f>
        <v>1106</v>
      </c>
      <c r="D9" s="6">
        <f>IFERROR(__xludf.DUMMYFUNCTION("""COMPUTED_VALUE"""),925.1)</f>
        <v>925.1</v>
      </c>
      <c r="E9" s="6">
        <f>IFERROR(__xludf.DUMMYFUNCTION("""COMPUTED_VALUE"""),945.05)</f>
        <v>945.05</v>
      </c>
      <c r="F9" s="6">
        <f>IFERROR(__xludf.DUMMYFUNCTION("""COMPUTED_VALUE"""),7542187.0)</f>
        <v>7542187</v>
      </c>
    </row>
    <row r="10">
      <c r="A10" s="7">
        <f>IFERROR(__xludf.DUMMYFUNCTION("""COMPUTED_VALUE"""),45604.64583333333)</f>
        <v>45604.64583</v>
      </c>
      <c r="B10" s="6">
        <f>IFERROR(__xludf.DUMMYFUNCTION("""COMPUTED_VALUE"""),1103.35)</f>
        <v>1103.35</v>
      </c>
      <c r="C10" s="6">
        <f>IFERROR(__xludf.DUMMYFUNCTION("""COMPUTED_VALUE"""),1245.0)</f>
        <v>1245</v>
      </c>
      <c r="D10" s="6">
        <f>IFERROR(__xludf.DUMMYFUNCTION("""COMPUTED_VALUE"""),1045.0)</f>
        <v>1045</v>
      </c>
      <c r="E10" s="6">
        <f>IFERROR(__xludf.DUMMYFUNCTION("""COMPUTED_VALUE"""),1127.95)</f>
        <v>1127.95</v>
      </c>
      <c r="F10" s="6">
        <f>IFERROR(__xludf.DUMMYFUNCTION("""COMPUTED_VALUE"""),2.6508711E7)</f>
        <v>26508711</v>
      </c>
    </row>
    <row r="11">
      <c r="A11" s="7">
        <f>IFERROR(__xludf.DUMMYFUNCTION("""COMPUTED_VALUE"""),45610.64583333333)</f>
        <v>45610.64583</v>
      </c>
      <c r="B11" s="6">
        <f>IFERROR(__xludf.DUMMYFUNCTION("""COMPUTED_VALUE"""),1100.0)</f>
        <v>1100</v>
      </c>
      <c r="C11" s="6">
        <f>IFERROR(__xludf.DUMMYFUNCTION("""COMPUTED_VALUE"""),1100.0)</f>
        <v>1100</v>
      </c>
      <c r="D11" s="6">
        <f>IFERROR(__xludf.DUMMYFUNCTION("""COMPUTED_VALUE"""),957.1)</f>
        <v>957.1</v>
      </c>
      <c r="E11" s="6">
        <f>IFERROR(__xludf.DUMMYFUNCTION("""COMPUTED_VALUE"""),968.95)</f>
        <v>968.95</v>
      </c>
      <c r="F11" s="6">
        <f>IFERROR(__xludf.DUMMYFUNCTION("""COMPUTED_VALUE"""),1.5925355E7)</f>
        <v>15925355</v>
      </c>
    </row>
    <row r="12">
      <c r="A12" s="7">
        <f>IFERROR(__xludf.DUMMYFUNCTION("""COMPUTED_VALUE"""),45618.64583333333)</f>
        <v>45618.64583</v>
      </c>
      <c r="B12" s="6">
        <f>IFERROR(__xludf.DUMMYFUNCTION("""COMPUTED_VALUE"""),985.0)</f>
        <v>985</v>
      </c>
      <c r="C12" s="6">
        <f>IFERROR(__xludf.DUMMYFUNCTION("""COMPUTED_VALUE"""),1137.9)</f>
        <v>1137.9</v>
      </c>
      <c r="D12" s="6">
        <f>IFERROR(__xludf.DUMMYFUNCTION("""COMPUTED_VALUE"""),969.45)</f>
        <v>969.45</v>
      </c>
      <c r="E12" s="6">
        <f>IFERROR(__xludf.DUMMYFUNCTION("""COMPUTED_VALUE"""),1061.4)</f>
        <v>1061.4</v>
      </c>
      <c r="F12" s="6">
        <f>IFERROR(__xludf.DUMMYFUNCTION("""COMPUTED_VALUE"""),1.7999821E7)</f>
        <v>17999821</v>
      </c>
    </row>
    <row r="13">
      <c r="A13" s="7">
        <f>IFERROR(__xludf.DUMMYFUNCTION("""COMPUTED_VALUE"""),45625.64583333333)</f>
        <v>45625.64583</v>
      </c>
      <c r="B13" s="6">
        <f>IFERROR(__xludf.DUMMYFUNCTION("""COMPUTED_VALUE"""),1087.0)</f>
        <v>1087</v>
      </c>
      <c r="C13" s="6">
        <f>IFERROR(__xludf.DUMMYFUNCTION("""COMPUTED_VALUE"""),1242.0)</f>
        <v>1242</v>
      </c>
      <c r="D13" s="6">
        <f>IFERROR(__xludf.DUMMYFUNCTION("""COMPUTED_VALUE"""),1052.2)</f>
        <v>1052.2</v>
      </c>
      <c r="E13" s="6">
        <f>IFERROR(__xludf.DUMMYFUNCTION("""COMPUTED_VALUE"""),1222.95)</f>
        <v>1222.95</v>
      </c>
      <c r="F13" s="6">
        <f>IFERROR(__xludf.DUMMYFUNCTION("""COMPUTED_VALUE"""),2.0547371E7)</f>
        <v>20547371</v>
      </c>
    </row>
    <row r="14">
      <c r="A14" s="7">
        <f>IFERROR(__xludf.DUMMYFUNCTION("""COMPUTED_VALUE"""),45632.64583333333)</f>
        <v>45632.64583</v>
      </c>
      <c r="B14" s="6">
        <f>IFERROR(__xludf.DUMMYFUNCTION("""COMPUTED_VALUE"""),1235.0)</f>
        <v>1235</v>
      </c>
      <c r="C14" s="6">
        <f>IFERROR(__xludf.DUMMYFUNCTION("""COMPUTED_VALUE"""),1329.0)</f>
        <v>1329</v>
      </c>
      <c r="D14" s="6">
        <f>IFERROR(__xludf.DUMMYFUNCTION("""COMPUTED_VALUE"""),1182.1)</f>
        <v>1182.1</v>
      </c>
      <c r="E14" s="6">
        <f>IFERROR(__xludf.DUMMYFUNCTION("""COMPUTED_VALUE"""),1263.75)</f>
        <v>1263.75</v>
      </c>
      <c r="F14" s="6">
        <f>IFERROR(__xludf.DUMMYFUNCTION("""COMPUTED_VALUE"""),2.8222642E7)</f>
        <v>28222642</v>
      </c>
    </row>
    <row r="15">
      <c r="A15" s="7">
        <f>IFERROR(__xludf.DUMMYFUNCTION("""COMPUTED_VALUE"""),45639.64583333333)</f>
        <v>45639.64583</v>
      </c>
      <c r="B15" s="6">
        <f>IFERROR(__xludf.DUMMYFUNCTION("""COMPUTED_VALUE"""),1267.6)</f>
        <v>1267.6</v>
      </c>
      <c r="C15" s="6">
        <f>IFERROR(__xludf.DUMMYFUNCTION("""COMPUTED_VALUE"""),1348.9)</f>
        <v>1348.9</v>
      </c>
      <c r="D15" s="6">
        <f>IFERROR(__xludf.DUMMYFUNCTION("""COMPUTED_VALUE"""),1251.4)</f>
        <v>1251.4</v>
      </c>
      <c r="E15" s="6">
        <f>IFERROR(__xludf.DUMMYFUNCTION("""COMPUTED_VALUE"""),1294.85)</f>
        <v>1294.85</v>
      </c>
      <c r="F15" s="6">
        <f>IFERROR(__xludf.DUMMYFUNCTION("""COMPUTED_VALUE"""),1.9517046E7)</f>
        <v>19517046</v>
      </c>
    </row>
    <row r="16">
      <c r="A16" s="7">
        <f>IFERROR(__xludf.DUMMYFUNCTION("""COMPUTED_VALUE"""),45646.64583333333)</f>
        <v>45646.64583</v>
      </c>
      <c r="B16" s="6">
        <f>IFERROR(__xludf.DUMMYFUNCTION("""COMPUTED_VALUE"""),1299.75)</f>
        <v>1299.75</v>
      </c>
      <c r="C16" s="6">
        <f>IFERROR(__xludf.DUMMYFUNCTION("""COMPUTED_VALUE"""),1388.0)</f>
        <v>1388</v>
      </c>
      <c r="D16" s="6">
        <f>IFERROR(__xludf.DUMMYFUNCTION("""COMPUTED_VALUE"""),1252.1)</f>
        <v>1252.1</v>
      </c>
      <c r="E16" s="6">
        <f>IFERROR(__xludf.DUMMYFUNCTION("""COMPUTED_VALUE"""),1296.4)</f>
        <v>1296.4</v>
      </c>
      <c r="F16" s="6">
        <f>IFERROR(__xludf.DUMMYFUNCTION("""COMPUTED_VALUE"""),1.5407533E7)</f>
        <v>15407533</v>
      </c>
    </row>
    <row r="17">
      <c r="A17" s="7">
        <f>IFERROR(__xludf.DUMMYFUNCTION("""COMPUTED_VALUE"""),45653.64583333333)</f>
        <v>45653.64583</v>
      </c>
      <c r="B17" s="6">
        <f>IFERROR(__xludf.DUMMYFUNCTION("""COMPUTED_VALUE"""),1312.4)</f>
        <v>1312.4</v>
      </c>
      <c r="C17" s="6">
        <f>IFERROR(__xludf.DUMMYFUNCTION("""COMPUTED_VALUE"""),1339.0)</f>
        <v>1339</v>
      </c>
      <c r="D17" s="6">
        <f>IFERROR(__xludf.DUMMYFUNCTION("""COMPUTED_VALUE"""),1274.8)</f>
        <v>1274.8</v>
      </c>
      <c r="E17" s="6">
        <f>IFERROR(__xludf.DUMMYFUNCTION("""COMPUTED_VALUE"""),1310.35)</f>
        <v>1310.35</v>
      </c>
      <c r="F17" s="6">
        <f>IFERROR(__xludf.DUMMYFUNCTION("""COMPUTED_VALUE"""),6918376.0)</f>
        <v>6918376</v>
      </c>
    </row>
    <row r="18">
      <c r="A18" s="7">
        <f>IFERROR(__xludf.DUMMYFUNCTION("""COMPUTED_VALUE"""),45660.64583333333)</f>
        <v>45660.64583</v>
      </c>
      <c r="B18" s="6">
        <f>IFERROR(__xludf.DUMMYFUNCTION("""COMPUTED_VALUE"""),1310.5)</f>
        <v>1310.5</v>
      </c>
      <c r="C18" s="6">
        <f>IFERROR(__xludf.DUMMYFUNCTION("""COMPUTED_VALUE"""),1384.0)</f>
        <v>1384</v>
      </c>
      <c r="D18" s="6">
        <f>IFERROR(__xludf.DUMMYFUNCTION("""COMPUTED_VALUE"""),1297.5)</f>
        <v>1297.5</v>
      </c>
      <c r="E18" s="6">
        <f>IFERROR(__xludf.DUMMYFUNCTION("""COMPUTED_VALUE"""),1324.7)</f>
        <v>1324.7</v>
      </c>
      <c r="F18" s="6">
        <f>IFERROR(__xludf.DUMMYFUNCTION("""COMPUTED_VALUE"""),9459398.0)</f>
        <v>9459398</v>
      </c>
    </row>
    <row r="19">
      <c r="A19" s="7">
        <f>IFERROR(__xludf.DUMMYFUNCTION("""COMPUTED_VALUE"""),45667.64583333333)</f>
        <v>45667.64583</v>
      </c>
      <c r="B19" s="6">
        <f>IFERROR(__xludf.DUMMYFUNCTION("""COMPUTED_VALUE"""),1334.0)</f>
        <v>1334</v>
      </c>
      <c r="C19" s="6">
        <f>IFERROR(__xludf.DUMMYFUNCTION("""COMPUTED_VALUE"""),1339.0)</f>
        <v>1339</v>
      </c>
      <c r="D19" s="6">
        <f>IFERROR(__xludf.DUMMYFUNCTION("""COMPUTED_VALUE"""),1116.0)</f>
        <v>1116</v>
      </c>
      <c r="E19" s="6">
        <f>IFERROR(__xludf.DUMMYFUNCTION("""COMPUTED_VALUE"""),1127.1)</f>
        <v>1127.1</v>
      </c>
      <c r="F19" s="6">
        <f>IFERROR(__xludf.DUMMYFUNCTION("""COMPUTED_VALUE"""),8219768.0)</f>
        <v>8219768</v>
      </c>
    </row>
    <row r="20">
      <c r="A20" s="7">
        <f>IFERROR(__xludf.DUMMYFUNCTION("""COMPUTED_VALUE"""),45674.64583333333)</f>
        <v>45674.64583</v>
      </c>
      <c r="B20" s="6">
        <f>IFERROR(__xludf.DUMMYFUNCTION("""COMPUTED_VALUE"""),1115.0)</f>
        <v>1115</v>
      </c>
      <c r="C20" s="6">
        <f>IFERROR(__xludf.DUMMYFUNCTION("""COMPUTED_VALUE"""),1183.5)</f>
        <v>1183.5</v>
      </c>
      <c r="D20" s="6">
        <f>IFERROR(__xludf.DUMMYFUNCTION("""COMPUTED_VALUE"""),1086.1)</f>
        <v>1086.1</v>
      </c>
      <c r="E20" s="6">
        <f>IFERROR(__xludf.DUMMYFUNCTION("""COMPUTED_VALUE"""),1140.9)</f>
        <v>1140.9</v>
      </c>
      <c r="F20" s="6">
        <f>IFERROR(__xludf.DUMMYFUNCTION("""COMPUTED_VALUE"""),8926901.0)</f>
        <v>8926901</v>
      </c>
    </row>
    <row r="21">
      <c r="A21" s="7">
        <f>IFERROR(__xludf.DUMMYFUNCTION("""COMPUTED_VALUE"""),45681.64583333333)</f>
        <v>45681.64583</v>
      </c>
      <c r="B21" s="6">
        <f>IFERROR(__xludf.DUMMYFUNCTION("""COMPUTED_VALUE"""),1148.0)</f>
        <v>1148</v>
      </c>
      <c r="C21" s="6">
        <f>IFERROR(__xludf.DUMMYFUNCTION("""COMPUTED_VALUE"""),1212.0)</f>
        <v>1212</v>
      </c>
      <c r="D21" s="6">
        <f>IFERROR(__xludf.DUMMYFUNCTION("""COMPUTED_VALUE"""),971.15)</f>
        <v>971.15</v>
      </c>
      <c r="E21" s="6">
        <f>IFERROR(__xludf.DUMMYFUNCTION("""COMPUTED_VALUE"""),999.35)</f>
        <v>999.35</v>
      </c>
      <c r="F21" s="6">
        <f>IFERROR(__xludf.DUMMYFUNCTION("""COMPUTED_VALUE"""),1.0859622E7)</f>
        <v>10859622</v>
      </c>
    </row>
    <row r="22">
      <c r="A22" s="7">
        <f>IFERROR(__xludf.DUMMYFUNCTION("""COMPUTED_VALUE"""),45695.64583333333)</f>
        <v>45695.64583</v>
      </c>
      <c r="B22" s="6">
        <f>IFERROR(__xludf.DUMMYFUNCTION("""COMPUTED_VALUE"""),1079.85)</f>
        <v>1079.85</v>
      </c>
      <c r="C22" s="6">
        <f>IFERROR(__xludf.DUMMYFUNCTION("""COMPUTED_VALUE"""),1170.0)</f>
        <v>1170</v>
      </c>
      <c r="D22" s="6">
        <f>IFERROR(__xludf.DUMMYFUNCTION("""COMPUTED_VALUE"""),997.15)</f>
        <v>997.15</v>
      </c>
      <c r="E22" s="6">
        <f>IFERROR(__xludf.DUMMYFUNCTION("""COMPUTED_VALUE"""),1036.45)</f>
        <v>1036.45</v>
      </c>
      <c r="F22" s="6">
        <f>IFERROR(__xludf.DUMMYFUNCTION("""COMPUTED_VALUE"""),1.649907E7)</f>
        <v>16499070</v>
      </c>
    </row>
    <row r="23">
      <c r="A23" s="7">
        <f>IFERROR(__xludf.DUMMYFUNCTION("""COMPUTED_VALUE"""),45702.64583333333)</f>
        <v>45702.64583</v>
      </c>
      <c r="B23" s="6">
        <f>IFERROR(__xludf.DUMMYFUNCTION("""COMPUTED_VALUE"""),1028.55)</f>
        <v>1028.55</v>
      </c>
      <c r="C23" s="6">
        <f>IFERROR(__xludf.DUMMYFUNCTION("""COMPUTED_VALUE"""),1034.5)</f>
        <v>1034.5</v>
      </c>
      <c r="D23" s="6">
        <f>IFERROR(__xludf.DUMMYFUNCTION("""COMPUTED_VALUE"""),894.5)</f>
        <v>894.5</v>
      </c>
      <c r="E23" s="6">
        <f>IFERROR(__xludf.DUMMYFUNCTION("""COMPUTED_VALUE"""),961.8)</f>
        <v>961.8</v>
      </c>
      <c r="F23" s="6">
        <f>IFERROR(__xludf.DUMMYFUNCTION("""COMPUTED_VALUE"""),1.0556697E7)</f>
        <v>10556697</v>
      </c>
    </row>
    <row r="24">
      <c r="A24" s="7">
        <f>IFERROR(__xludf.DUMMYFUNCTION("""COMPUTED_VALUE"""),45709.64583333333)</f>
        <v>45709.64583</v>
      </c>
      <c r="B24" s="6">
        <f>IFERROR(__xludf.DUMMYFUNCTION("""COMPUTED_VALUE"""),961.0)</f>
        <v>961</v>
      </c>
      <c r="C24" s="6">
        <f>IFERROR(__xludf.DUMMYFUNCTION("""COMPUTED_VALUE"""),1018.35)</f>
        <v>1018.35</v>
      </c>
      <c r="D24" s="6">
        <f>IFERROR(__xludf.DUMMYFUNCTION("""COMPUTED_VALUE"""),927.55)</f>
        <v>927.55</v>
      </c>
      <c r="E24" s="6">
        <f>IFERROR(__xludf.DUMMYFUNCTION("""COMPUTED_VALUE"""),970.85)</f>
        <v>970.85</v>
      </c>
      <c r="F24" s="6">
        <f>IFERROR(__xludf.DUMMYFUNCTION("""COMPUTED_VALUE"""),6120614.0)</f>
        <v>6120614</v>
      </c>
    </row>
    <row r="25">
      <c r="A25" s="7">
        <f>IFERROR(__xludf.DUMMYFUNCTION("""COMPUTED_VALUE"""),45716.64583333333)</f>
        <v>45716.64583</v>
      </c>
      <c r="B25" s="6">
        <f>IFERROR(__xludf.DUMMYFUNCTION("""COMPUTED_VALUE"""),954.0)</f>
        <v>954</v>
      </c>
      <c r="C25" s="6">
        <f>IFERROR(__xludf.DUMMYFUNCTION("""COMPUTED_VALUE"""),964.4)</f>
        <v>964.4</v>
      </c>
      <c r="D25" s="6">
        <f>IFERROR(__xludf.DUMMYFUNCTION("""COMPUTED_VALUE"""),840.15)</f>
        <v>840.15</v>
      </c>
      <c r="E25" s="6">
        <f>IFERROR(__xludf.DUMMYFUNCTION("""COMPUTED_VALUE"""),873.3)</f>
        <v>873.3</v>
      </c>
      <c r="F25" s="6">
        <f>IFERROR(__xludf.DUMMYFUNCTION("""COMPUTED_VALUE"""),5035432.0)</f>
        <v>5035432</v>
      </c>
    </row>
    <row r="26">
      <c r="A26" s="7">
        <f>IFERROR(__xludf.DUMMYFUNCTION("""COMPUTED_VALUE"""),45723.64583333333)</f>
        <v>45723.64583</v>
      </c>
      <c r="B26" s="6">
        <f>IFERROR(__xludf.DUMMYFUNCTION("""COMPUTED_VALUE"""),878.0)</f>
        <v>878</v>
      </c>
      <c r="C26" s="6">
        <f>IFERROR(__xludf.DUMMYFUNCTION("""COMPUTED_VALUE"""),959.6)</f>
        <v>959.6</v>
      </c>
      <c r="D26" s="6">
        <f>IFERROR(__xludf.DUMMYFUNCTION("""COMPUTED_VALUE"""),827.1)</f>
        <v>827.1</v>
      </c>
      <c r="E26" s="6">
        <f>IFERROR(__xludf.DUMMYFUNCTION("""COMPUTED_VALUE"""),940.45)</f>
        <v>940.45</v>
      </c>
      <c r="F26" s="6">
        <f>IFERROR(__xludf.DUMMYFUNCTION("""COMPUTED_VALUE"""),7757676.0)</f>
        <v>7757676</v>
      </c>
    </row>
    <row r="27">
      <c r="A27" s="7">
        <f>IFERROR(__xludf.DUMMYFUNCTION("""COMPUTED_VALUE"""),45729.64583333333)</f>
        <v>45729.64583</v>
      </c>
      <c r="B27" s="6">
        <f>IFERROR(__xludf.DUMMYFUNCTION("""COMPUTED_VALUE"""),940.0)</f>
        <v>940</v>
      </c>
      <c r="C27" s="6">
        <f>IFERROR(__xludf.DUMMYFUNCTION("""COMPUTED_VALUE"""),948.75)</f>
        <v>948.75</v>
      </c>
      <c r="D27" s="6">
        <f>IFERROR(__xludf.DUMMYFUNCTION("""COMPUTED_VALUE"""),878.8)</f>
        <v>878.8</v>
      </c>
      <c r="E27" s="6">
        <f>IFERROR(__xludf.DUMMYFUNCTION("""COMPUTED_VALUE"""),888.15)</f>
        <v>888.15</v>
      </c>
      <c r="F27" s="6">
        <f>IFERROR(__xludf.DUMMYFUNCTION("""COMPUTED_VALUE"""),2595799.0)</f>
        <v>2595799</v>
      </c>
    </row>
    <row r="28">
      <c r="A28" s="7">
        <f>IFERROR(__xludf.DUMMYFUNCTION("""COMPUTED_VALUE"""),45737.64583333333)</f>
        <v>45737.64583</v>
      </c>
      <c r="B28" s="6">
        <f>IFERROR(__xludf.DUMMYFUNCTION("""COMPUTED_VALUE"""),890.6)</f>
        <v>890.6</v>
      </c>
      <c r="C28" s="6">
        <f>IFERROR(__xludf.DUMMYFUNCTION("""COMPUTED_VALUE"""),953.9)</f>
        <v>953.9</v>
      </c>
      <c r="D28" s="6">
        <f>IFERROR(__xludf.DUMMYFUNCTION("""COMPUTED_VALUE"""),883.3)</f>
        <v>883.3</v>
      </c>
      <c r="E28" s="6">
        <f>IFERROR(__xludf.DUMMYFUNCTION("""COMPUTED_VALUE"""),915.7)</f>
        <v>915.7</v>
      </c>
      <c r="F28" s="6">
        <f>IFERROR(__xludf.DUMMYFUNCTION("""COMPUTED_VALUE"""),1.1255955E7)</f>
        <v>11255955</v>
      </c>
    </row>
    <row r="29">
      <c r="A29" s="7">
        <f>IFERROR(__xludf.DUMMYFUNCTION("""COMPUTED_VALUE"""),45744.64583333333)</f>
        <v>45744.64583</v>
      </c>
      <c r="B29" s="6">
        <f>IFERROR(__xludf.DUMMYFUNCTION("""COMPUTED_VALUE"""),928.7)</f>
        <v>928.7</v>
      </c>
      <c r="C29" s="6">
        <f>IFERROR(__xludf.DUMMYFUNCTION("""COMPUTED_VALUE"""),961.3)</f>
        <v>961.3</v>
      </c>
      <c r="D29" s="6">
        <f>IFERROR(__xludf.DUMMYFUNCTION("""COMPUTED_VALUE"""),883.3)</f>
        <v>883.3</v>
      </c>
      <c r="E29" s="6">
        <f>IFERROR(__xludf.DUMMYFUNCTION("""COMPUTED_VALUE"""),937.95)</f>
        <v>937.95</v>
      </c>
      <c r="F29" s="6">
        <f>IFERROR(__xludf.DUMMYFUNCTION("""COMPUTED_VALUE"""),7321012.0)</f>
        <v>7321012</v>
      </c>
    </row>
    <row r="30">
      <c r="A30" s="7">
        <f>IFERROR(__xludf.DUMMYFUNCTION("""COMPUTED_VALUE"""),45751.64583333333)</f>
        <v>45751.64583</v>
      </c>
      <c r="B30" s="6">
        <f>IFERROR(__xludf.DUMMYFUNCTION("""COMPUTED_VALUE"""),924.0)</f>
        <v>924</v>
      </c>
      <c r="C30" s="6">
        <f>IFERROR(__xludf.DUMMYFUNCTION("""COMPUTED_VALUE"""),935.65)</f>
        <v>935.65</v>
      </c>
      <c r="D30" s="6">
        <f>IFERROR(__xludf.DUMMYFUNCTION("""COMPUTED_VALUE"""),840.0)</f>
        <v>840</v>
      </c>
      <c r="E30" s="6">
        <f>IFERROR(__xludf.DUMMYFUNCTION("""COMPUTED_VALUE"""),879.25)</f>
        <v>879.25</v>
      </c>
      <c r="F30" s="6">
        <f>IFERROR(__xludf.DUMMYFUNCTION("""COMPUTED_VALUE"""),3385430.0)</f>
        <v>3385430</v>
      </c>
    </row>
    <row r="31">
      <c r="A31" s="7">
        <f>IFERROR(__xludf.DUMMYFUNCTION("""COMPUTED_VALUE"""),45758.64583333333)</f>
        <v>45758.64583</v>
      </c>
      <c r="B31" s="6">
        <f>IFERROR(__xludf.DUMMYFUNCTION("""COMPUTED_VALUE"""),776.0)</f>
        <v>776</v>
      </c>
      <c r="C31" s="6">
        <f>IFERROR(__xludf.DUMMYFUNCTION("""COMPUTED_VALUE"""),895.0)</f>
        <v>895</v>
      </c>
      <c r="D31" s="6">
        <f>IFERROR(__xludf.DUMMYFUNCTION("""COMPUTED_VALUE"""),774.05)</f>
        <v>774.05</v>
      </c>
      <c r="E31" s="6">
        <f>IFERROR(__xludf.DUMMYFUNCTION("""COMPUTED_VALUE"""),892.95)</f>
        <v>892.95</v>
      </c>
      <c r="F31" s="6">
        <f>IFERROR(__xludf.DUMMYFUNCTION("""COMPUTED_VALUE"""),3501217.0)</f>
        <v>3501217</v>
      </c>
    </row>
    <row r="32">
      <c r="A32" s="7">
        <f>IFERROR(__xludf.DUMMYFUNCTION("""COMPUTED_VALUE"""),45764.64583333333)</f>
        <v>45764.64583</v>
      </c>
      <c r="B32" s="6">
        <f>IFERROR(__xludf.DUMMYFUNCTION("""COMPUTED_VALUE"""),905.0)</f>
        <v>905</v>
      </c>
      <c r="C32" s="6">
        <f>IFERROR(__xludf.DUMMYFUNCTION("""COMPUTED_VALUE"""),974.85)</f>
        <v>974.85</v>
      </c>
      <c r="D32" s="6">
        <f>IFERROR(__xludf.DUMMYFUNCTION("""COMPUTED_VALUE"""),901.15)</f>
        <v>901.15</v>
      </c>
      <c r="E32" s="6">
        <f>IFERROR(__xludf.DUMMYFUNCTION("""COMPUTED_VALUE"""),967.25)</f>
        <v>967.25</v>
      </c>
      <c r="F32" s="6">
        <f>IFERROR(__xludf.DUMMYFUNCTION("""COMPUTED_VALUE"""),3986269.0)</f>
        <v>3986269</v>
      </c>
    </row>
    <row r="33">
      <c r="A33" s="7">
        <f>IFERROR(__xludf.DUMMYFUNCTION("""COMPUTED_VALUE"""),45772.64583333333)</f>
        <v>45772.64583</v>
      </c>
      <c r="B33" s="6">
        <f>IFERROR(__xludf.DUMMYFUNCTION("""COMPUTED_VALUE"""),974.0)</f>
        <v>974</v>
      </c>
      <c r="C33" s="6">
        <f>IFERROR(__xludf.DUMMYFUNCTION("""COMPUTED_VALUE"""),1097.7)</f>
        <v>1097.7</v>
      </c>
      <c r="D33" s="6">
        <f>IFERROR(__xludf.DUMMYFUNCTION("""COMPUTED_VALUE"""),963.85)</f>
        <v>963.85</v>
      </c>
      <c r="E33" s="6">
        <f>IFERROR(__xludf.DUMMYFUNCTION("""COMPUTED_VALUE"""),989.35)</f>
        <v>989.35</v>
      </c>
      <c r="F33" s="6">
        <f>IFERROR(__xludf.DUMMYFUNCTION("""COMPUTED_VALUE"""),1.7486085E7)</f>
        <v>17486085</v>
      </c>
    </row>
    <row r="34">
      <c r="A34" s="7">
        <f>IFERROR(__xludf.DUMMYFUNCTION("""COMPUTED_VALUE"""),45779.64583333333)</f>
        <v>45779.64583</v>
      </c>
      <c r="B34" s="6">
        <f>IFERROR(__xludf.DUMMYFUNCTION("""COMPUTED_VALUE"""),989.65)</f>
        <v>989.65</v>
      </c>
      <c r="C34" s="6">
        <f>IFERROR(__xludf.DUMMYFUNCTION("""COMPUTED_VALUE"""),1024.0)</f>
        <v>1024</v>
      </c>
      <c r="D34" s="6">
        <f>IFERROR(__xludf.DUMMYFUNCTION("""COMPUTED_VALUE"""),967.0)</f>
        <v>967</v>
      </c>
      <c r="E34" s="6">
        <f>IFERROR(__xludf.DUMMYFUNCTION("""COMPUTED_VALUE"""),999.3)</f>
        <v>999.3</v>
      </c>
      <c r="F34" s="6">
        <f>IFERROR(__xludf.DUMMYFUNCTION("""COMPUTED_VALUE"""),3087640.0)</f>
        <v>3087640</v>
      </c>
    </row>
    <row r="35">
      <c r="A35" s="7">
        <f>IFERROR(__xludf.DUMMYFUNCTION("""COMPUTED_VALUE"""),45786.64583333333)</f>
        <v>45786.64583</v>
      </c>
      <c r="B35" s="6">
        <f>IFERROR(__xludf.DUMMYFUNCTION("""COMPUTED_VALUE"""),999.7)</f>
        <v>999.7</v>
      </c>
      <c r="C35" s="6">
        <f>IFERROR(__xludf.DUMMYFUNCTION("""COMPUTED_VALUE"""),1019.0)</f>
        <v>1019</v>
      </c>
      <c r="D35" s="6">
        <f>IFERROR(__xludf.DUMMYFUNCTION("""COMPUTED_VALUE"""),917.05)</f>
        <v>917.05</v>
      </c>
      <c r="E35" s="6">
        <f>IFERROR(__xludf.DUMMYFUNCTION("""COMPUTED_VALUE"""),945.65)</f>
        <v>945.65</v>
      </c>
      <c r="F35" s="6">
        <f>IFERROR(__xludf.DUMMYFUNCTION("""COMPUTED_VALUE"""),4449787.0)</f>
        <v>4449787</v>
      </c>
    </row>
    <row r="36">
      <c r="A36" s="7">
        <f>IFERROR(__xludf.DUMMYFUNCTION("""COMPUTED_VALUE"""),45793.64583333333)</f>
        <v>45793.64583</v>
      </c>
      <c r="B36" s="6">
        <f>IFERROR(__xludf.DUMMYFUNCTION("""COMPUTED_VALUE"""),990.0)</f>
        <v>990</v>
      </c>
      <c r="C36" s="6">
        <f>IFERROR(__xludf.DUMMYFUNCTION("""COMPUTED_VALUE"""),1135.0)</f>
        <v>1135</v>
      </c>
      <c r="D36" s="6">
        <f>IFERROR(__xludf.DUMMYFUNCTION("""COMPUTED_VALUE"""),979.0)</f>
        <v>979</v>
      </c>
      <c r="E36" s="6">
        <f>IFERROR(__xludf.DUMMYFUNCTION("""COMPUTED_VALUE"""),1125.95)</f>
        <v>1125.95</v>
      </c>
      <c r="F36" s="6">
        <f>IFERROR(__xludf.DUMMYFUNCTION("""COMPUTED_VALUE"""),8003761.0)</f>
        <v>8003761</v>
      </c>
    </row>
    <row r="37">
      <c r="A37" s="7">
        <f>IFERROR(__xludf.DUMMYFUNCTION("""COMPUTED_VALUE"""),45800.64583333333)</f>
        <v>45800.64583</v>
      </c>
      <c r="B37" s="6">
        <f>IFERROR(__xludf.DUMMYFUNCTION("""COMPUTED_VALUE"""),1135.0)</f>
        <v>1135</v>
      </c>
      <c r="C37" s="6">
        <f>IFERROR(__xludf.DUMMYFUNCTION("""COMPUTED_VALUE"""),1163.9)</f>
        <v>1163.9</v>
      </c>
      <c r="D37" s="6">
        <f>IFERROR(__xludf.DUMMYFUNCTION("""COMPUTED_VALUE"""),1022.0)</f>
        <v>1022</v>
      </c>
      <c r="E37" s="6">
        <f>IFERROR(__xludf.DUMMYFUNCTION("""COMPUTED_VALUE"""),1062.25)</f>
        <v>1062.25</v>
      </c>
      <c r="F37" s="6">
        <f>IFERROR(__xludf.DUMMYFUNCTION("""COMPUTED_VALUE"""),1.0165834E7)</f>
        <v>10165834</v>
      </c>
    </row>
    <row r="38">
      <c r="A38" s="7">
        <f>IFERROR(__xludf.DUMMYFUNCTION("""COMPUTED_VALUE"""),45807.64583333333)</f>
        <v>45807.64583</v>
      </c>
      <c r="B38" s="6">
        <f>IFERROR(__xludf.DUMMYFUNCTION("""COMPUTED_VALUE"""),1062.0)</f>
        <v>1062</v>
      </c>
      <c r="C38" s="6">
        <f>IFERROR(__xludf.DUMMYFUNCTION("""COMPUTED_VALUE"""),1090.9)</f>
        <v>1090.9</v>
      </c>
      <c r="D38" s="6">
        <f>IFERROR(__xludf.DUMMYFUNCTION("""COMPUTED_VALUE"""),1035.0)</f>
        <v>1035</v>
      </c>
      <c r="E38" s="6">
        <f>IFERROR(__xludf.DUMMYFUNCTION("""COMPUTED_VALUE"""),1061.6)</f>
        <v>1061.6</v>
      </c>
      <c r="F38" s="6">
        <f>IFERROR(__xludf.DUMMYFUNCTION("""COMPUTED_VALUE"""),3525970.0)</f>
        <v>3525970</v>
      </c>
    </row>
    <row r="39">
      <c r="A39" s="7">
        <f>IFERROR(__xludf.DUMMYFUNCTION("""COMPUTED_VALUE"""),45814.64583333333)</f>
        <v>45814.64583</v>
      </c>
      <c r="B39" s="6">
        <f>IFERROR(__xludf.DUMMYFUNCTION("""COMPUTED_VALUE"""),1063.9)</f>
        <v>1063.9</v>
      </c>
      <c r="C39" s="6">
        <f>IFERROR(__xludf.DUMMYFUNCTION("""COMPUTED_VALUE"""),1098.0)</f>
        <v>1098</v>
      </c>
      <c r="D39" s="6">
        <f>IFERROR(__xludf.DUMMYFUNCTION("""COMPUTED_VALUE"""),1046.0)</f>
        <v>1046</v>
      </c>
      <c r="E39" s="6">
        <f>IFERROR(__xludf.DUMMYFUNCTION("""COMPUTED_VALUE"""),1053.7)</f>
        <v>1053.7</v>
      </c>
      <c r="F39" s="6">
        <f>IFERROR(__xludf.DUMMYFUNCTION("""COMPUTED_VALUE"""),4592424.0)</f>
        <v>4592424</v>
      </c>
    </row>
    <row r="40">
      <c r="A40" s="7">
        <f>IFERROR(__xludf.DUMMYFUNCTION("""COMPUTED_VALUE"""),45821.64583333333)</f>
        <v>45821.64583</v>
      </c>
      <c r="B40" s="6">
        <f>IFERROR(__xludf.DUMMYFUNCTION("""COMPUTED_VALUE"""),1060.1)</f>
        <v>1060.1</v>
      </c>
      <c r="C40" s="6">
        <f>IFERROR(__xludf.DUMMYFUNCTION("""COMPUTED_VALUE"""),1119.8)</f>
        <v>1119.8</v>
      </c>
      <c r="D40" s="6">
        <f>IFERROR(__xludf.DUMMYFUNCTION("""COMPUTED_VALUE"""),990.2)</f>
        <v>990.2</v>
      </c>
      <c r="E40" s="6">
        <f>IFERROR(__xludf.DUMMYFUNCTION("""COMPUTED_VALUE"""),1011.9)</f>
        <v>1011.9</v>
      </c>
      <c r="F40" s="6">
        <f>IFERROR(__xludf.DUMMYFUNCTION("""COMPUTED_VALUE"""),2.46682E7)</f>
        <v>24668200</v>
      </c>
    </row>
    <row r="41">
      <c r="A41" s="7">
        <f>IFERROR(__xludf.DUMMYFUNCTION("""COMPUTED_VALUE"""),45828.64583333333)</f>
        <v>45828.64583</v>
      </c>
      <c r="B41" s="6">
        <f>IFERROR(__xludf.DUMMYFUNCTION("""COMPUTED_VALUE"""),1011.9)</f>
        <v>1011.9</v>
      </c>
      <c r="C41" s="6">
        <f>IFERROR(__xludf.DUMMYFUNCTION("""COMPUTED_VALUE"""),1038.3)</f>
        <v>1038.3</v>
      </c>
      <c r="D41" s="6">
        <f>IFERROR(__xludf.DUMMYFUNCTION("""COMPUTED_VALUE"""),958.1)</f>
        <v>958.1</v>
      </c>
      <c r="E41" s="6">
        <f>IFERROR(__xludf.DUMMYFUNCTION("""COMPUTED_VALUE"""),1028.4)</f>
        <v>1028.4</v>
      </c>
      <c r="F41" s="6">
        <f>IFERROR(__xludf.DUMMYFUNCTION("""COMPUTED_VALUE"""),1.399678E7)</f>
        <v>13996780</v>
      </c>
    </row>
    <row r="42">
      <c r="A42" s="7">
        <f>IFERROR(__xludf.DUMMYFUNCTION("""COMPUTED_VALUE"""),45835.64583333333)</f>
        <v>45835.64583</v>
      </c>
      <c r="B42" s="6">
        <f>IFERROR(__xludf.DUMMYFUNCTION("""COMPUTED_VALUE"""),1015.7)</f>
        <v>1015.7</v>
      </c>
      <c r="C42" s="6">
        <f>IFERROR(__xludf.DUMMYFUNCTION("""COMPUTED_VALUE"""),1057.0)</f>
        <v>1057</v>
      </c>
      <c r="D42" s="6">
        <f>IFERROR(__xludf.DUMMYFUNCTION("""COMPUTED_VALUE"""),1007.0)</f>
        <v>1007</v>
      </c>
      <c r="E42" s="6">
        <f>IFERROR(__xludf.DUMMYFUNCTION("""COMPUTED_VALUE"""),1044.5)</f>
        <v>1044.5</v>
      </c>
      <c r="F42" s="6">
        <f>IFERROR(__xludf.DUMMYFUNCTION("""COMPUTED_VALUE"""),6338228.0)</f>
        <v>6338228</v>
      </c>
    </row>
    <row r="43">
      <c r="A43" s="7">
        <f>IFERROR(__xludf.DUMMYFUNCTION("""COMPUTED_VALUE"""),45842.64583333333)</f>
        <v>45842.64583</v>
      </c>
      <c r="B43" s="6">
        <f>IFERROR(__xludf.DUMMYFUNCTION("""COMPUTED_VALUE"""),1050.5)</f>
        <v>1050.5</v>
      </c>
      <c r="C43" s="6">
        <f>IFERROR(__xludf.DUMMYFUNCTION("""COMPUTED_VALUE"""),1079.8)</f>
        <v>1079.8</v>
      </c>
      <c r="D43" s="6">
        <f>IFERROR(__xludf.DUMMYFUNCTION("""COMPUTED_VALUE"""),1037.6)</f>
        <v>1037.6</v>
      </c>
      <c r="E43" s="6">
        <f>IFERROR(__xludf.DUMMYFUNCTION("""COMPUTED_VALUE"""),1058.3)</f>
        <v>1058.3</v>
      </c>
      <c r="F43" s="6">
        <f>IFERROR(__xludf.DUMMYFUNCTION("""COMPUTED_VALUE"""),8009436.0)</f>
        <v>8009436</v>
      </c>
    </row>
    <row r="44">
      <c r="A44" s="7">
        <f>IFERROR(__xludf.DUMMYFUNCTION("""COMPUTED_VALUE"""),45849.64583333333)</f>
        <v>45849.64583</v>
      </c>
      <c r="B44" s="6">
        <f>IFERROR(__xludf.DUMMYFUNCTION("""COMPUTED_VALUE"""),1057.7)</f>
        <v>1057.7</v>
      </c>
      <c r="C44" s="6">
        <f>IFERROR(__xludf.DUMMYFUNCTION("""COMPUTED_VALUE"""),1119.4)</f>
        <v>1119.4</v>
      </c>
      <c r="D44" s="6">
        <f>IFERROR(__xludf.DUMMYFUNCTION("""COMPUTED_VALUE"""),1031.0)</f>
        <v>1031</v>
      </c>
      <c r="E44" s="6">
        <f>IFERROR(__xludf.DUMMYFUNCTION("""COMPUTED_VALUE"""),1105.0)</f>
        <v>1105</v>
      </c>
      <c r="F44" s="6">
        <f>IFERROR(__xludf.DUMMYFUNCTION("""COMPUTED_VALUE"""),9094678.0)</f>
        <v>9094678</v>
      </c>
    </row>
    <row r="45">
      <c r="A45" s="7">
        <f>IFERROR(__xludf.DUMMYFUNCTION("""COMPUTED_VALUE"""),45856.64583333333)</f>
        <v>45856.64583</v>
      </c>
      <c r="B45" s="6">
        <f>IFERROR(__xludf.DUMMYFUNCTION("""COMPUTED_VALUE"""),1101.9)</f>
        <v>1101.9</v>
      </c>
      <c r="C45" s="6">
        <f>IFERROR(__xludf.DUMMYFUNCTION("""COMPUTED_VALUE"""),1136.4)</f>
        <v>1136.4</v>
      </c>
      <c r="D45" s="6">
        <f>IFERROR(__xludf.DUMMYFUNCTION("""COMPUTED_VALUE"""),1051.0)</f>
        <v>1051</v>
      </c>
      <c r="E45" s="6">
        <f>IFERROR(__xludf.DUMMYFUNCTION("""COMPUTED_VALUE"""),1058.4)</f>
        <v>1058.4</v>
      </c>
      <c r="F45" s="6">
        <f>IFERROR(__xludf.DUMMYFUNCTION("""COMPUTED_VALUE"""),5126271.0)</f>
        <v>5126271</v>
      </c>
    </row>
    <row r="46">
      <c r="A46" s="7">
        <f>IFERROR(__xludf.DUMMYFUNCTION("""COMPUTED_VALUE"""),45863.64583333333)</f>
        <v>45863.64583</v>
      </c>
      <c r="B46" s="6">
        <f>IFERROR(__xludf.DUMMYFUNCTION("""COMPUTED_VALUE"""),1059.0)</f>
        <v>1059</v>
      </c>
      <c r="C46" s="6">
        <f>IFERROR(__xludf.DUMMYFUNCTION("""COMPUTED_VALUE"""),1122.7)</f>
        <v>1122.7</v>
      </c>
      <c r="D46" s="6">
        <f>IFERROR(__xludf.DUMMYFUNCTION("""COMPUTED_VALUE"""),1036.0)</f>
        <v>1036</v>
      </c>
      <c r="E46" s="6">
        <f>IFERROR(__xludf.DUMMYFUNCTION("""COMPUTED_VALUE"""),1089.1)</f>
        <v>1089.1</v>
      </c>
      <c r="F46" s="6">
        <f>IFERROR(__xludf.DUMMYFUNCTION("""COMPUTED_VALUE"""),5615128.0)</f>
        <v>5615128</v>
      </c>
    </row>
    <row r="47">
      <c r="A47" s="7">
        <f>IFERROR(__xludf.DUMMYFUNCTION("""COMPUTED_VALUE"""),45870.64583333333)</f>
        <v>45870.64583</v>
      </c>
      <c r="B47" s="6">
        <f>IFERROR(__xludf.DUMMYFUNCTION("""COMPUTED_VALUE"""),1094.0)</f>
        <v>1094</v>
      </c>
      <c r="C47" s="6">
        <f>IFERROR(__xludf.DUMMYFUNCTION("""COMPUTED_VALUE"""),1099.9)</f>
        <v>1099.9</v>
      </c>
      <c r="D47" s="6">
        <f>IFERROR(__xludf.DUMMYFUNCTION("""COMPUTED_VALUE"""),1005.0)</f>
        <v>1005</v>
      </c>
      <c r="E47" s="6">
        <f>IFERROR(__xludf.DUMMYFUNCTION("""COMPUTED_VALUE"""),1010.3)</f>
        <v>1010.3</v>
      </c>
      <c r="F47" s="6">
        <f>IFERROR(__xludf.DUMMYFUNCTION("""COMPUTED_VALUE"""),7575048.0)</f>
        <v>7575048</v>
      </c>
    </row>
    <row r="48">
      <c r="A48" s="7">
        <f>IFERROR(__xludf.DUMMYFUNCTION("""COMPUTED_VALUE"""),45877.64583333333)</f>
        <v>45877.64583</v>
      </c>
      <c r="B48" s="6">
        <f>IFERROR(__xludf.DUMMYFUNCTION("""COMPUTED_VALUE"""),1019.0)</f>
        <v>1019</v>
      </c>
      <c r="C48" s="6">
        <f>IFERROR(__xludf.DUMMYFUNCTION("""COMPUTED_VALUE"""),1034.3)</f>
        <v>1034.3</v>
      </c>
      <c r="D48" s="6">
        <f>IFERROR(__xludf.DUMMYFUNCTION("""COMPUTED_VALUE"""),975.5)</f>
        <v>975.5</v>
      </c>
      <c r="E48" s="6">
        <f>IFERROR(__xludf.DUMMYFUNCTION("""COMPUTED_VALUE"""),984.9)</f>
        <v>984.9</v>
      </c>
      <c r="F48" s="6">
        <f>IFERROR(__xludf.DUMMYFUNCTION("""COMPUTED_VALUE"""),3448693.0)</f>
        <v>3448693</v>
      </c>
    </row>
    <row r="49">
      <c r="A49" s="7">
        <f>IFERROR(__xludf.DUMMYFUNCTION("""COMPUTED_VALUE"""),45883.64583333333)</f>
        <v>45883.64583</v>
      </c>
      <c r="B49" s="6">
        <f>IFERROR(__xludf.DUMMYFUNCTION("""COMPUTED_VALUE"""),985.1)</f>
        <v>985.1</v>
      </c>
      <c r="C49" s="6">
        <f>IFERROR(__xludf.DUMMYFUNCTION("""COMPUTED_VALUE"""),1023.8)</f>
        <v>1023.8</v>
      </c>
      <c r="D49" s="6">
        <f>IFERROR(__xludf.DUMMYFUNCTION("""COMPUTED_VALUE"""),981.0)</f>
        <v>981</v>
      </c>
      <c r="E49" s="6">
        <f>IFERROR(__xludf.DUMMYFUNCTION("""COMPUTED_VALUE"""),986.3)</f>
        <v>986.3</v>
      </c>
      <c r="F49" s="6">
        <f>IFERROR(__xludf.DUMMYFUNCTION("""COMPUTED_VALUE"""),2115233.0)</f>
        <v>2115233</v>
      </c>
    </row>
    <row r="50">
      <c r="A50" s="7">
        <f>IFERROR(__xludf.DUMMYFUNCTION("""COMPUTED_VALUE"""),45891.64583333333)</f>
        <v>45891.64583</v>
      </c>
      <c r="B50" s="6">
        <f>IFERROR(__xludf.DUMMYFUNCTION("""COMPUTED_VALUE"""),1002.2)</f>
        <v>1002.2</v>
      </c>
      <c r="C50" s="6">
        <f>IFERROR(__xludf.DUMMYFUNCTION("""COMPUTED_VALUE"""),1055.0)</f>
        <v>1055</v>
      </c>
      <c r="D50" s="6">
        <f>IFERROR(__xludf.DUMMYFUNCTION("""COMPUTED_VALUE"""),992.4)</f>
        <v>992.4</v>
      </c>
      <c r="E50" s="6">
        <f>IFERROR(__xludf.DUMMYFUNCTION("""COMPUTED_VALUE"""),1008.6)</f>
        <v>1008.6</v>
      </c>
      <c r="F50" s="6">
        <f>IFERROR(__xludf.DUMMYFUNCTION("""COMPUTED_VALUE"""),3777819.0)</f>
        <v>3777819</v>
      </c>
    </row>
    <row r="51">
      <c r="A51" s="7">
        <f>IFERROR(__xludf.DUMMYFUNCTION("""COMPUTED_VALUE"""),45895.64583333333)</f>
        <v>45895.64583</v>
      </c>
      <c r="B51" s="6">
        <f>IFERROR(__xludf.DUMMYFUNCTION("""COMPUTED_VALUE"""),1011.0)</f>
        <v>1011</v>
      </c>
      <c r="C51" s="6">
        <f>IFERROR(__xludf.DUMMYFUNCTION("""COMPUTED_VALUE"""),1019.0)</f>
        <v>1019</v>
      </c>
      <c r="D51" s="6">
        <f>IFERROR(__xludf.DUMMYFUNCTION("""COMPUTED_VALUE"""),981.3)</f>
        <v>981.3</v>
      </c>
      <c r="E51" s="6">
        <f>IFERROR(__xludf.DUMMYFUNCTION("""COMPUTED_VALUE"""),1011.2)</f>
        <v>1011.2</v>
      </c>
      <c r="F51" s="6">
        <f>IFERROR(__xludf.DUMMYFUNCTION("""COMPUTED_VALUE"""),1.4284599E7)</f>
        <v>14284599</v>
      </c>
    </row>
  </sheetData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IFERROR(__xludf.DUMMYFUNCTION("GOOGLEFINANCE(""NSE:PRESTIGE"",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IFERROR(__xludf.DUMMYFUNCTION("""COMPUTED_VALUE"""),570.75)</f>
        <v>570.75</v>
      </c>
      <c r="C2" s="6">
        <f>IFERROR(__xludf.DUMMYFUNCTION("""COMPUTED_VALUE"""),691.95)</f>
        <v>691.95</v>
      </c>
      <c r="D2" s="6">
        <f>IFERROR(__xludf.DUMMYFUNCTION("""COMPUTED_VALUE"""),567.3)</f>
        <v>567.3</v>
      </c>
      <c r="E2" s="6">
        <f>IFERROR(__xludf.DUMMYFUNCTION("""COMPUTED_VALUE"""),668.45)</f>
        <v>668.45</v>
      </c>
      <c r="F2" s="6">
        <f>IFERROR(__xludf.DUMMYFUNCTION("""COMPUTED_VALUE"""),4848021.0)</f>
        <v>4848021</v>
      </c>
    </row>
    <row r="3">
      <c r="A3" s="7">
        <f>IFERROR(__xludf.DUMMYFUNCTION("""COMPUTED_VALUE"""),45177.64583333333)</f>
        <v>45177.64583</v>
      </c>
      <c r="B3" s="6">
        <f>IFERROR(__xludf.DUMMYFUNCTION("""COMPUTED_VALUE"""),653.0)</f>
        <v>653</v>
      </c>
      <c r="C3" s="6">
        <f>IFERROR(__xludf.DUMMYFUNCTION("""COMPUTED_VALUE"""),670.4)</f>
        <v>670.4</v>
      </c>
      <c r="D3" s="6">
        <f>IFERROR(__xludf.DUMMYFUNCTION("""COMPUTED_VALUE"""),628.0)</f>
        <v>628</v>
      </c>
      <c r="E3" s="6">
        <f>IFERROR(__xludf.DUMMYFUNCTION("""COMPUTED_VALUE"""),647.8)</f>
        <v>647.8</v>
      </c>
      <c r="F3" s="6">
        <f>IFERROR(__xludf.DUMMYFUNCTION("""COMPUTED_VALUE"""),2298850.0)</f>
        <v>2298850</v>
      </c>
    </row>
    <row r="4">
      <c r="A4" s="7">
        <f>IFERROR(__xludf.DUMMYFUNCTION("""COMPUTED_VALUE"""),45184.64583333333)</f>
        <v>45184.64583</v>
      </c>
      <c r="B4" s="6">
        <f>IFERROR(__xludf.DUMMYFUNCTION("""COMPUTED_VALUE"""),655.0)</f>
        <v>655</v>
      </c>
      <c r="C4" s="6">
        <f>IFERROR(__xludf.DUMMYFUNCTION("""COMPUTED_VALUE"""),658.0)</f>
        <v>658</v>
      </c>
      <c r="D4" s="6">
        <f>IFERROR(__xludf.DUMMYFUNCTION("""COMPUTED_VALUE"""),598.05)</f>
        <v>598.05</v>
      </c>
      <c r="E4" s="6">
        <f>IFERROR(__xludf.DUMMYFUNCTION("""COMPUTED_VALUE"""),619.9)</f>
        <v>619.9</v>
      </c>
      <c r="F4" s="6">
        <f>IFERROR(__xludf.DUMMYFUNCTION("""COMPUTED_VALUE"""),2059397.0)</f>
        <v>2059397</v>
      </c>
    </row>
    <row r="5">
      <c r="A5" s="7">
        <f>IFERROR(__xludf.DUMMYFUNCTION("""COMPUTED_VALUE"""),45191.64583333333)</f>
        <v>45191.64583</v>
      </c>
      <c r="B5" s="6">
        <f>IFERROR(__xludf.DUMMYFUNCTION("""COMPUTED_VALUE"""),619.9)</f>
        <v>619.9</v>
      </c>
      <c r="C5" s="6">
        <f>IFERROR(__xludf.DUMMYFUNCTION("""COMPUTED_VALUE"""),627.4)</f>
        <v>627.4</v>
      </c>
      <c r="D5" s="6">
        <f>IFERROR(__xludf.DUMMYFUNCTION("""COMPUTED_VALUE"""),591.25)</f>
        <v>591.25</v>
      </c>
      <c r="E5" s="6">
        <f>IFERROR(__xludf.DUMMYFUNCTION("""COMPUTED_VALUE"""),598.4)</f>
        <v>598.4</v>
      </c>
      <c r="F5" s="6">
        <f>IFERROR(__xludf.DUMMYFUNCTION("""COMPUTED_VALUE"""),896853.0)</f>
        <v>896853</v>
      </c>
    </row>
    <row r="6">
      <c r="A6" s="7">
        <f>IFERROR(__xludf.DUMMYFUNCTION("""COMPUTED_VALUE"""),45198.64583333333)</f>
        <v>45198.64583</v>
      </c>
      <c r="B6" s="6">
        <f>IFERROR(__xludf.DUMMYFUNCTION("""COMPUTED_VALUE"""),597.85)</f>
        <v>597.85</v>
      </c>
      <c r="C6" s="6">
        <f>IFERROR(__xludf.DUMMYFUNCTION("""COMPUTED_VALUE"""),625.0)</f>
        <v>625</v>
      </c>
      <c r="D6" s="6">
        <f>IFERROR(__xludf.DUMMYFUNCTION("""COMPUTED_VALUE"""),591.8)</f>
        <v>591.8</v>
      </c>
      <c r="E6" s="6">
        <f>IFERROR(__xludf.DUMMYFUNCTION("""COMPUTED_VALUE"""),602.6)</f>
        <v>602.6</v>
      </c>
      <c r="F6" s="6">
        <f>IFERROR(__xludf.DUMMYFUNCTION("""COMPUTED_VALUE"""),1097298.0)</f>
        <v>1097298</v>
      </c>
    </row>
    <row r="7">
      <c r="A7" s="7">
        <f>IFERROR(__xludf.DUMMYFUNCTION("""COMPUTED_VALUE"""),45205.64583333333)</f>
        <v>45205.64583</v>
      </c>
      <c r="B7" s="6">
        <f>IFERROR(__xludf.DUMMYFUNCTION("""COMPUTED_VALUE"""),602.0)</f>
        <v>602</v>
      </c>
      <c r="C7" s="6">
        <f>IFERROR(__xludf.DUMMYFUNCTION("""COMPUTED_VALUE"""),683.0)</f>
        <v>683</v>
      </c>
      <c r="D7" s="6">
        <f>IFERROR(__xludf.DUMMYFUNCTION("""COMPUTED_VALUE"""),592.1)</f>
        <v>592.1</v>
      </c>
      <c r="E7" s="6">
        <f>IFERROR(__xludf.DUMMYFUNCTION("""COMPUTED_VALUE"""),667.7)</f>
        <v>667.7</v>
      </c>
      <c r="F7" s="6">
        <f>IFERROR(__xludf.DUMMYFUNCTION("""COMPUTED_VALUE"""),5322181.0)</f>
        <v>5322181</v>
      </c>
    </row>
    <row r="8">
      <c r="A8" s="7">
        <f>IFERROR(__xludf.DUMMYFUNCTION("""COMPUTED_VALUE"""),45212.64583333333)</f>
        <v>45212.64583</v>
      </c>
      <c r="B8" s="6">
        <f>IFERROR(__xludf.DUMMYFUNCTION("""COMPUTED_VALUE"""),697.0)</f>
        <v>697</v>
      </c>
      <c r="C8" s="6">
        <f>IFERROR(__xludf.DUMMYFUNCTION("""COMPUTED_VALUE"""),796.4)</f>
        <v>796.4</v>
      </c>
      <c r="D8" s="6">
        <f>IFERROR(__xludf.DUMMYFUNCTION("""COMPUTED_VALUE"""),663.85)</f>
        <v>663.85</v>
      </c>
      <c r="E8" s="6">
        <f>IFERROR(__xludf.DUMMYFUNCTION("""COMPUTED_VALUE"""),716.05)</f>
        <v>716.05</v>
      </c>
      <c r="F8" s="6">
        <f>IFERROR(__xludf.DUMMYFUNCTION("""COMPUTED_VALUE"""),1.7789594E7)</f>
        <v>17789594</v>
      </c>
    </row>
    <row r="9">
      <c r="A9" s="7">
        <f>IFERROR(__xludf.DUMMYFUNCTION("""COMPUTED_VALUE"""),45219.64583333333)</f>
        <v>45219.64583</v>
      </c>
      <c r="B9" s="6">
        <f>IFERROR(__xludf.DUMMYFUNCTION("""COMPUTED_VALUE"""),725.7)</f>
        <v>725.7</v>
      </c>
      <c r="C9" s="6">
        <f>IFERROR(__xludf.DUMMYFUNCTION("""COMPUTED_VALUE"""),754.2)</f>
        <v>754.2</v>
      </c>
      <c r="D9" s="6">
        <f>IFERROR(__xludf.DUMMYFUNCTION("""COMPUTED_VALUE"""),711.1)</f>
        <v>711.1</v>
      </c>
      <c r="E9" s="6">
        <f>IFERROR(__xludf.DUMMYFUNCTION("""COMPUTED_VALUE"""),743.8)</f>
        <v>743.8</v>
      </c>
      <c r="F9" s="6">
        <f>IFERROR(__xludf.DUMMYFUNCTION("""COMPUTED_VALUE"""),3620833.0)</f>
        <v>3620833</v>
      </c>
    </row>
    <row r="10">
      <c r="A10" s="7">
        <f>IFERROR(__xludf.DUMMYFUNCTION("""COMPUTED_VALUE"""),45226.64583333333)</f>
        <v>45226.64583</v>
      </c>
      <c r="B10" s="6">
        <f>IFERROR(__xludf.DUMMYFUNCTION("""COMPUTED_VALUE"""),745.4)</f>
        <v>745.4</v>
      </c>
      <c r="C10" s="6">
        <f>IFERROR(__xludf.DUMMYFUNCTION("""COMPUTED_VALUE"""),819.6)</f>
        <v>819.6</v>
      </c>
      <c r="D10" s="6">
        <f>IFERROR(__xludf.DUMMYFUNCTION("""COMPUTED_VALUE"""),711.0)</f>
        <v>711</v>
      </c>
      <c r="E10" s="6">
        <f>IFERROR(__xludf.DUMMYFUNCTION("""COMPUTED_VALUE"""),748.1)</f>
        <v>748.1</v>
      </c>
      <c r="F10" s="6">
        <f>IFERROR(__xludf.DUMMYFUNCTION("""COMPUTED_VALUE"""),8388709.0)</f>
        <v>8388709</v>
      </c>
    </row>
    <row r="11">
      <c r="A11" s="7">
        <f>IFERROR(__xludf.DUMMYFUNCTION("""COMPUTED_VALUE"""),45233.64583333333)</f>
        <v>45233.64583</v>
      </c>
      <c r="B11" s="6">
        <f>IFERROR(__xludf.DUMMYFUNCTION("""COMPUTED_VALUE"""),743.0)</f>
        <v>743</v>
      </c>
      <c r="C11" s="6">
        <f>IFERROR(__xludf.DUMMYFUNCTION("""COMPUTED_VALUE"""),787.0)</f>
        <v>787</v>
      </c>
      <c r="D11" s="6">
        <f>IFERROR(__xludf.DUMMYFUNCTION("""COMPUTED_VALUE"""),733.75)</f>
        <v>733.75</v>
      </c>
      <c r="E11" s="6">
        <f>IFERROR(__xludf.DUMMYFUNCTION("""COMPUTED_VALUE"""),780.15)</f>
        <v>780.15</v>
      </c>
      <c r="F11" s="6">
        <f>IFERROR(__xludf.DUMMYFUNCTION("""COMPUTED_VALUE"""),5815752.0)</f>
        <v>5815752</v>
      </c>
    </row>
    <row r="12">
      <c r="A12" s="7">
        <f>IFERROR(__xludf.DUMMYFUNCTION("""COMPUTED_VALUE"""),45240.64583333333)</f>
        <v>45240.64583</v>
      </c>
      <c r="B12" s="6">
        <f>IFERROR(__xludf.DUMMYFUNCTION("""COMPUTED_VALUE"""),780.05)</f>
        <v>780.05</v>
      </c>
      <c r="C12" s="6">
        <f>IFERROR(__xludf.DUMMYFUNCTION("""COMPUTED_VALUE"""),887.4)</f>
        <v>887.4</v>
      </c>
      <c r="D12" s="6">
        <f>IFERROR(__xludf.DUMMYFUNCTION("""COMPUTED_VALUE"""),773.0)</f>
        <v>773</v>
      </c>
      <c r="E12" s="6">
        <f>IFERROR(__xludf.DUMMYFUNCTION("""COMPUTED_VALUE"""),873.15)</f>
        <v>873.15</v>
      </c>
      <c r="F12" s="6">
        <f>IFERROR(__xludf.DUMMYFUNCTION("""COMPUTED_VALUE"""),1.0110059E7)</f>
        <v>10110059</v>
      </c>
    </row>
    <row r="13">
      <c r="A13" s="7">
        <f>IFERROR(__xludf.DUMMYFUNCTION("""COMPUTED_VALUE"""),45247.64583333333)</f>
        <v>45247.64583</v>
      </c>
      <c r="B13" s="6">
        <f>IFERROR(__xludf.DUMMYFUNCTION("""COMPUTED_VALUE"""),873.8)</f>
        <v>873.8</v>
      </c>
      <c r="C13" s="6">
        <f>IFERROR(__xludf.DUMMYFUNCTION("""COMPUTED_VALUE"""),924.9)</f>
        <v>924.9</v>
      </c>
      <c r="D13" s="6">
        <f>IFERROR(__xludf.DUMMYFUNCTION("""COMPUTED_VALUE"""),840.0)</f>
        <v>840</v>
      </c>
      <c r="E13" s="6">
        <f>IFERROR(__xludf.DUMMYFUNCTION("""COMPUTED_VALUE"""),878.05)</f>
        <v>878.05</v>
      </c>
      <c r="F13" s="6">
        <f>IFERROR(__xludf.DUMMYFUNCTION("""COMPUTED_VALUE"""),3735359.0)</f>
        <v>3735359</v>
      </c>
    </row>
    <row r="14">
      <c r="A14" s="7">
        <f>IFERROR(__xludf.DUMMYFUNCTION("""COMPUTED_VALUE"""),45254.64583333333)</f>
        <v>45254.64583</v>
      </c>
      <c r="B14" s="6">
        <f>IFERROR(__xludf.DUMMYFUNCTION("""COMPUTED_VALUE"""),880.6)</f>
        <v>880.6</v>
      </c>
      <c r="C14" s="6">
        <f>IFERROR(__xludf.DUMMYFUNCTION("""COMPUTED_VALUE"""),957.4)</f>
        <v>957.4</v>
      </c>
      <c r="D14" s="6">
        <f>IFERROR(__xludf.DUMMYFUNCTION("""COMPUTED_VALUE"""),872.1)</f>
        <v>872.1</v>
      </c>
      <c r="E14" s="6">
        <f>IFERROR(__xludf.DUMMYFUNCTION("""COMPUTED_VALUE"""),925.05)</f>
        <v>925.05</v>
      </c>
      <c r="F14" s="6">
        <f>IFERROR(__xludf.DUMMYFUNCTION("""COMPUTED_VALUE"""),5686376.0)</f>
        <v>5686376</v>
      </c>
    </row>
    <row r="15">
      <c r="A15" s="7">
        <f>IFERROR(__xludf.DUMMYFUNCTION("""COMPUTED_VALUE"""),45261.64583333333)</f>
        <v>45261.64583</v>
      </c>
      <c r="B15" s="6">
        <f>IFERROR(__xludf.DUMMYFUNCTION("""COMPUTED_VALUE"""),932.0)</f>
        <v>932</v>
      </c>
      <c r="C15" s="6">
        <f>IFERROR(__xludf.DUMMYFUNCTION("""COMPUTED_VALUE"""),1050.0)</f>
        <v>1050</v>
      </c>
      <c r="D15" s="6">
        <f>IFERROR(__xludf.DUMMYFUNCTION("""COMPUTED_VALUE"""),930.6)</f>
        <v>930.6</v>
      </c>
      <c r="E15" s="6">
        <f>IFERROR(__xludf.DUMMYFUNCTION("""COMPUTED_VALUE"""),1037.8)</f>
        <v>1037.8</v>
      </c>
      <c r="F15" s="6">
        <f>IFERROR(__xludf.DUMMYFUNCTION("""COMPUTED_VALUE"""),5903493.0)</f>
        <v>5903493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IFERROR(__xludf.DUMMYFUNCTION("""COMPUTED_VALUE"""),1050.0)</f>
        <v>1050</v>
      </c>
      <c r="C16" s="6">
        <f>IFERROR(__xludf.DUMMYFUNCTION("""COMPUTED_VALUE"""),1192.5)</f>
        <v>1192.5</v>
      </c>
      <c r="D16" s="6">
        <f>IFERROR(__xludf.DUMMYFUNCTION("""COMPUTED_VALUE"""),1022.2)</f>
        <v>1022.2</v>
      </c>
      <c r="E16" s="6">
        <f>IFERROR(__xludf.DUMMYFUNCTION("""COMPUTED_VALUE"""),1186.45)</f>
        <v>1186.45</v>
      </c>
      <c r="F16" s="6">
        <f>IFERROR(__xludf.DUMMYFUNCTION("""COMPUTED_VALUE"""),1.112165E7)</f>
        <v>11121650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IFERROR(__xludf.DUMMYFUNCTION("""COMPUTED_VALUE"""),1194.0)</f>
        <v>1194</v>
      </c>
      <c r="C17" s="6">
        <f>IFERROR(__xludf.DUMMYFUNCTION("""COMPUTED_VALUE"""),1231.3)</f>
        <v>1231.3</v>
      </c>
      <c r="D17" s="6">
        <f>IFERROR(__xludf.DUMMYFUNCTION("""COMPUTED_VALUE"""),1062.1)</f>
        <v>1062.1</v>
      </c>
      <c r="E17" s="6">
        <f>IFERROR(__xludf.DUMMYFUNCTION("""COMPUTED_VALUE"""),1113.9)</f>
        <v>1113.9</v>
      </c>
      <c r="F17" s="6">
        <f>IFERROR(__xludf.DUMMYFUNCTION("""COMPUTED_VALUE"""),1.1332609E7)</f>
        <v>11332609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IFERROR(__xludf.DUMMYFUNCTION("""COMPUTED_VALUE"""),1132.9)</f>
        <v>1132.9</v>
      </c>
      <c r="C18" s="6">
        <f>IFERROR(__xludf.DUMMYFUNCTION("""COMPUTED_VALUE"""),1153.9)</f>
        <v>1153.9</v>
      </c>
      <c r="D18" s="6">
        <f>IFERROR(__xludf.DUMMYFUNCTION("""COMPUTED_VALUE"""),1041.05)</f>
        <v>1041.05</v>
      </c>
      <c r="E18" s="6">
        <f>IFERROR(__xludf.DUMMYFUNCTION("""COMPUTED_VALUE"""),1114.9)</f>
        <v>1114.9</v>
      </c>
      <c r="F18" s="6">
        <f>IFERROR(__xludf.DUMMYFUNCTION("""COMPUTED_VALUE"""),3276141.0)</f>
        <v>3276141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IFERROR(__xludf.DUMMYFUNCTION("""COMPUTED_VALUE"""),1115.5)</f>
        <v>1115.5</v>
      </c>
      <c r="C19" s="6">
        <f>IFERROR(__xludf.DUMMYFUNCTION("""COMPUTED_VALUE"""),1185.85)</f>
        <v>1185.85</v>
      </c>
      <c r="D19" s="6">
        <f>IFERROR(__xludf.DUMMYFUNCTION("""COMPUTED_VALUE"""),1109.0)</f>
        <v>1109</v>
      </c>
      <c r="E19" s="6">
        <f>IFERROR(__xludf.DUMMYFUNCTION("""COMPUTED_VALUE"""),1178.9)</f>
        <v>1178.9</v>
      </c>
      <c r="F19" s="6">
        <f>IFERROR(__xludf.DUMMYFUNCTION("""COMPUTED_VALUE"""),2350162.0)</f>
        <v>2350162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IFERROR(__xludf.DUMMYFUNCTION("""COMPUTED_VALUE"""),1162.9)</f>
        <v>1162.9</v>
      </c>
      <c r="C20" s="6">
        <f>IFERROR(__xludf.DUMMYFUNCTION("""COMPUTED_VALUE"""),1416.9)</f>
        <v>1416.9</v>
      </c>
      <c r="D20" s="6">
        <f>IFERROR(__xludf.DUMMYFUNCTION("""COMPUTED_VALUE"""),1160.0)</f>
        <v>1160</v>
      </c>
      <c r="E20" s="6">
        <f>IFERROR(__xludf.DUMMYFUNCTION("""COMPUTED_VALUE"""),1329.65)</f>
        <v>1329.65</v>
      </c>
      <c r="F20" s="6">
        <f>IFERROR(__xludf.DUMMYFUNCTION("""COMPUTED_VALUE"""),5476379.0)</f>
        <v>5476379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IFERROR(__xludf.DUMMYFUNCTION("""COMPUTED_VALUE"""),1336.05)</f>
        <v>1336.05</v>
      </c>
      <c r="C21" s="6">
        <f>IFERROR(__xludf.DUMMYFUNCTION("""COMPUTED_VALUE"""),1412.0)</f>
        <v>1412</v>
      </c>
      <c r="D21" s="6">
        <f>IFERROR(__xludf.DUMMYFUNCTION("""COMPUTED_VALUE"""),1305.3)</f>
        <v>1305.3</v>
      </c>
      <c r="E21" s="6">
        <f>IFERROR(__xludf.DUMMYFUNCTION("""COMPUTED_VALUE"""),1380.55)</f>
        <v>1380.55</v>
      </c>
      <c r="F21" s="6">
        <f>IFERROR(__xludf.DUMMYFUNCTION("""COMPUTED_VALUE"""),5642556.0)</f>
        <v>5642556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IFERROR(__xludf.DUMMYFUNCTION("""COMPUTED_VALUE"""),1295.6)</f>
        <v>1295.6</v>
      </c>
      <c r="C22" s="6">
        <f>IFERROR(__xludf.DUMMYFUNCTION("""COMPUTED_VALUE"""),1299.9)</f>
        <v>1299.9</v>
      </c>
      <c r="D22" s="6">
        <f>IFERROR(__xludf.DUMMYFUNCTION("""COMPUTED_VALUE"""),1065.2)</f>
        <v>1065.2</v>
      </c>
      <c r="E22" s="6">
        <f>IFERROR(__xludf.DUMMYFUNCTION("""COMPUTED_VALUE"""),1204.7)</f>
        <v>1204.7</v>
      </c>
      <c r="F22" s="6">
        <f>IFERROR(__xludf.DUMMYFUNCTION("""COMPUTED_VALUE"""),5201121.0)</f>
        <v>5201121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IFERROR(__xludf.DUMMYFUNCTION("""COMPUTED_VALUE"""),1205.0)</f>
        <v>1205</v>
      </c>
      <c r="C23" s="6">
        <f>IFERROR(__xludf.DUMMYFUNCTION("""COMPUTED_VALUE"""),1302.95)</f>
        <v>1302.95</v>
      </c>
      <c r="D23" s="6">
        <f>IFERROR(__xludf.DUMMYFUNCTION("""COMPUTED_VALUE"""),1162.8)</f>
        <v>1162.8</v>
      </c>
      <c r="E23" s="6">
        <f>IFERROR(__xludf.DUMMYFUNCTION("""COMPUTED_VALUE"""),1211.8)</f>
        <v>1211.8</v>
      </c>
      <c r="F23" s="6">
        <f>IFERROR(__xludf.DUMMYFUNCTION("""COMPUTED_VALUE"""),3715463.0)</f>
        <v>3715463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IFERROR(__xludf.DUMMYFUNCTION("""COMPUTED_VALUE"""),1180.0)</f>
        <v>1180</v>
      </c>
      <c r="C24" s="6">
        <f>IFERROR(__xludf.DUMMYFUNCTION("""COMPUTED_VALUE"""),1254.85)</f>
        <v>1254.85</v>
      </c>
      <c r="D24" s="6">
        <f>IFERROR(__xludf.DUMMYFUNCTION("""COMPUTED_VALUE"""),1157.5)</f>
        <v>1157.5</v>
      </c>
      <c r="E24" s="6">
        <f>IFERROR(__xludf.DUMMYFUNCTION("""COMPUTED_VALUE"""),1202.5)</f>
        <v>1202.5</v>
      </c>
      <c r="F24" s="6">
        <f>IFERROR(__xludf.DUMMYFUNCTION("""COMPUTED_VALUE"""),2504821.0)</f>
        <v>2504821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IFERROR(__xludf.DUMMYFUNCTION("""COMPUTED_VALUE"""),1203.1)</f>
        <v>1203.1</v>
      </c>
      <c r="C25" s="6">
        <f>IFERROR(__xludf.DUMMYFUNCTION("""COMPUTED_VALUE"""),1224.3)</f>
        <v>1224.3</v>
      </c>
      <c r="D25" s="6">
        <f>IFERROR(__xludf.DUMMYFUNCTION("""COMPUTED_VALUE"""),1043.3)</f>
        <v>1043.3</v>
      </c>
      <c r="E25" s="6">
        <f>IFERROR(__xludf.DUMMYFUNCTION("""COMPUTED_VALUE"""),1197.85)</f>
        <v>1197.85</v>
      </c>
      <c r="F25" s="6">
        <f>IFERROR(__xludf.DUMMYFUNCTION("""COMPUTED_VALUE"""),3766154.0)</f>
        <v>3766154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IFERROR(__xludf.DUMMYFUNCTION("""COMPUTED_VALUE"""),1215.0)</f>
        <v>1215</v>
      </c>
      <c r="C26" s="6">
        <f>IFERROR(__xludf.DUMMYFUNCTION("""COMPUTED_VALUE"""),1267.0)</f>
        <v>1267</v>
      </c>
      <c r="D26" s="6">
        <f>IFERROR(__xludf.DUMMYFUNCTION("""COMPUTED_VALUE"""),1133.8)</f>
        <v>1133.8</v>
      </c>
      <c r="E26" s="6">
        <f>IFERROR(__xludf.DUMMYFUNCTION("""COMPUTED_VALUE"""),1230.4)</f>
        <v>1230.4</v>
      </c>
      <c r="F26" s="6">
        <f>IFERROR(__xludf.DUMMYFUNCTION("""COMPUTED_VALUE"""),4166008.0)</f>
        <v>4166008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IFERROR(__xludf.DUMMYFUNCTION("""COMPUTED_VALUE"""),1213.0)</f>
        <v>1213</v>
      </c>
      <c r="C27" s="6">
        <f>IFERROR(__xludf.DUMMYFUNCTION("""COMPUTED_VALUE"""),1246.75)</f>
        <v>1246.75</v>
      </c>
      <c r="D27" s="6">
        <f>IFERROR(__xludf.DUMMYFUNCTION("""COMPUTED_VALUE"""),1159.05)</f>
        <v>1159.05</v>
      </c>
      <c r="E27" s="6">
        <f>IFERROR(__xludf.DUMMYFUNCTION("""COMPUTED_VALUE"""),1181.15)</f>
        <v>1181.15</v>
      </c>
      <c r="F27" s="6">
        <f>IFERROR(__xludf.DUMMYFUNCTION("""COMPUTED_VALUE"""),2636719.0)</f>
        <v>2636719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IFERROR(__xludf.DUMMYFUNCTION("""COMPUTED_VALUE"""),1181.15)</f>
        <v>1181.15</v>
      </c>
      <c r="C28" s="6">
        <f>IFERROR(__xludf.DUMMYFUNCTION("""COMPUTED_VALUE"""),1202.75)</f>
        <v>1202.75</v>
      </c>
      <c r="D28" s="6">
        <f>IFERROR(__xludf.DUMMYFUNCTION("""COMPUTED_VALUE"""),1025.0)</f>
        <v>1025</v>
      </c>
      <c r="E28" s="6">
        <f>IFERROR(__xludf.DUMMYFUNCTION("""COMPUTED_VALUE"""),1043.5)</f>
        <v>1043.5</v>
      </c>
      <c r="F28" s="6">
        <f>IFERROR(__xludf.DUMMYFUNCTION("""COMPUTED_VALUE"""),7567778.0)</f>
        <v>7567778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IFERROR(__xludf.DUMMYFUNCTION("""COMPUTED_VALUE"""),1020.0)</f>
        <v>1020</v>
      </c>
      <c r="C29" s="6">
        <f>IFERROR(__xludf.DUMMYFUNCTION("""COMPUTED_VALUE"""),1119.4)</f>
        <v>1119.4</v>
      </c>
      <c r="D29" s="6">
        <f>IFERROR(__xludf.DUMMYFUNCTION("""COMPUTED_VALUE"""),967.3)</f>
        <v>967.3</v>
      </c>
      <c r="E29" s="6">
        <f>IFERROR(__xludf.DUMMYFUNCTION("""COMPUTED_VALUE"""),1100.5)</f>
        <v>1100.5</v>
      </c>
      <c r="F29" s="6">
        <f>IFERROR(__xludf.DUMMYFUNCTION("""COMPUTED_VALUE"""),5037864.0)</f>
        <v>5037864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IFERROR(__xludf.DUMMYFUNCTION("""COMPUTED_VALUE"""),1119.0)</f>
        <v>1119</v>
      </c>
      <c r="C30" s="6">
        <f>IFERROR(__xludf.DUMMYFUNCTION("""COMPUTED_VALUE"""),1197.9)</f>
        <v>1197.9</v>
      </c>
      <c r="D30" s="6">
        <f>IFERROR(__xludf.DUMMYFUNCTION("""COMPUTED_VALUE"""),1112.05)</f>
        <v>1112.05</v>
      </c>
      <c r="E30" s="6">
        <f>IFERROR(__xludf.DUMMYFUNCTION("""COMPUTED_VALUE"""),1170.0)</f>
        <v>1170</v>
      </c>
      <c r="F30" s="6">
        <f>IFERROR(__xludf.DUMMYFUNCTION("""COMPUTED_VALUE"""),2769761.0)</f>
        <v>2769761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IFERROR(__xludf.DUMMYFUNCTION("""COMPUTED_VALUE"""),1188.0)</f>
        <v>1188</v>
      </c>
      <c r="C31" s="6">
        <f>IFERROR(__xludf.DUMMYFUNCTION("""COMPUTED_VALUE"""),1349.8)</f>
        <v>1349.8</v>
      </c>
      <c r="D31" s="6">
        <f>IFERROR(__xludf.DUMMYFUNCTION("""COMPUTED_VALUE"""),1188.0)</f>
        <v>1188</v>
      </c>
      <c r="E31" s="6">
        <f>IFERROR(__xludf.DUMMYFUNCTION("""COMPUTED_VALUE"""),1291.8)</f>
        <v>1291.8</v>
      </c>
      <c r="F31" s="6">
        <f>IFERROR(__xludf.DUMMYFUNCTION("""COMPUTED_VALUE"""),5134080.0)</f>
        <v>5134080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IFERROR(__xludf.DUMMYFUNCTION("""COMPUTED_VALUE"""),1309.0)</f>
        <v>1309</v>
      </c>
      <c r="C32" s="6">
        <f>IFERROR(__xludf.DUMMYFUNCTION("""COMPUTED_VALUE"""),1328.0)</f>
        <v>1328</v>
      </c>
      <c r="D32" s="6">
        <f>IFERROR(__xludf.DUMMYFUNCTION("""COMPUTED_VALUE"""),1180.0)</f>
        <v>1180</v>
      </c>
      <c r="E32" s="6">
        <f>IFERROR(__xludf.DUMMYFUNCTION("""COMPUTED_VALUE"""),1190.65)</f>
        <v>1190.65</v>
      </c>
      <c r="F32" s="6">
        <f>IFERROR(__xludf.DUMMYFUNCTION("""COMPUTED_VALUE"""),3159646.0)</f>
        <v>3159646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IFERROR(__xludf.DUMMYFUNCTION("""COMPUTED_VALUE"""),1166.0)</f>
        <v>1166</v>
      </c>
      <c r="C33" s="6">
        <f>IFERROR(__xludf.DUMMYFUNCTION("""COMPUTED_VALUE"""),1249.8)</f>
        <v>1249.8</v>
      </c>
      <c r="D33" s="6">
        <f>IFERROR(__xludf.DUMMYFUNCTION("""COMPUTED_VALUE"""),1160.05)</f>
        <v>1160.05</v>
      </c>
      <c r="E33" s="6">
        <f>IFERROR(__xludf.DUMMYFUNCTION("""COMPUTED_VALUE"""),1231.05)</f>
        <v>1231.05</v>
      </c>
      <c r="F33" s="6">
        <f>IFERROR(__xludf.DUMMYFUNCTION("""COMPUTED_VALUE"""),2817608.0)</f>
        <v>2817608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IFERROR(__xludf.DUMMYFUNCTION("""COMPUTED_VALUE"""),1234.5)</f>
        <v>1234.5</v>
      </c>
      <c r="C34" s="6">
        <f>IFERROR(__xludf.DUMMYFUNCTION("""COMPUTED_VALUE"""),1360.0)</f>
        <v>1360</v>
      </c>
      <c r="D34" s="6">
        <f>IFERROR(__xludf.DUMMYFUNCTION("""COMPUTED_VALUE"""),1231.0)</f>
        <v>1231</v>
      </c>
      <c r="E34" s="6">
        <f>IFERROR(__xludf.DUMMYFUNCTION("""COMPUTED_VALUE"""),1354.9)</f>
        <v>1354.9</v>
      </c>
      <c r="F34" s="6">
        <f>IFERROR(__xludf.DUMMYFUNCTION("""COMPUTED_VALUE"""),3552450.0)</f>
        <v>3552450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IFERROR(__xludf.DUMMYFUNCTION("""COMPUTED_VALUE"""),1362.8)</f>
        <v>1362.8</v>
      </c>
      <c r="C35" s="6">
        <f>IFERROR(__xludf.DUMMYFUNCTION("""COMPUTED_VALUE"""),1478.25)</f>
        <v>1478.25</v>
      </c>
      <c r="D35" s="6">
        <f>IFERROR(__xludf.DUMMYFUNCTION("""COMPUTED_VALUE"""),1318.6)</f>
        <v>1318.6</v>
      </c>
      <c r="E35" s="6">
        <f>IFERROR(__xludf.DUMMYFUNCTION("""COMPUTED_VALUE"""),1460.6)</f>
        <v>1460.6</v>
      </c>
      <c r="F35" s="6">
        <f>IFERROR(__xludf.DUMMYFUNCTION("""COMPUTED_VALUE"""),4543071.0)</f>
        <v>4543071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IFERROR(__xludf.DUMMYFUNCTION("""COMPUTED_VALUE"""),1482.0)</f>
        <v>1482</v>
      </c>
      <c r="C36" s="6">
        <f>IFERROR(__xludf.DUMMYFUNCTION("""COMPUTED_VALUE"""),1566.0)</f>
        <v>1566</v>
      </c>
      <c r="D36" s="6">
        <f>IFERROR(__xludf.DUMMYFUNCTION("""COMPUTED_VALUE"""),1421.65)</f>
        <v>1421.65</v>
      </c>
      <c r="E36" s="6">
        <f>IFERROR(__xludf.DUMMYFUNCTION("""COMPUTED_VALUE"""),1519.6)</f>
        <v>1519.6</v>
      </c>
      <c r="F36" s="6">
        <f>IFERROR(__xludf.DUMMYFUNCTION("""COMPUTED_VALUE"""),7559111.0)</f>
        <v>7559111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IFERROR(__xludf.DUMMYFUNCTION("""COMPUTED_VALUE"""),1600.2)</f>
        <v>1600.2</v>
      </c>
      <c r="C37" s="6">
        <f>IFERROR(__xludf.DUMMYFUNCTION("""COMPUTED_VALUE"""),1676.0)</f>
        <v>1676</v>
      </c>
      <c r="D37" s="6">
        <f>IFERROR(__xludf.DUMMYFUNCTION("""COMPUTED_VALUE"""),1556.35)</f>
        <v>1556.35</v>
      </c>
      <c r="E37" s="6">
        <f>IFERROR(__xludf.DUMMYFUNCTION("""COMPUTED_VALUE"""),1618.45)</f>
        <v>1618.45</v>
      </c>
      <c r="F37" s="6">
        <f>IFERROR(__xludf.DUMMYFUNCTION("""COMPUTED_VALUE"""),3783280.0)</f>
        <v>3783280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IFERROR(__xludf.DUMMYFUNCTION("""COMPUTED_VALUE"""),1637.9)</f>
        <v>1637.9</v>
      </c>
      <c r="C38" s="6">
        <f>IFERROR(__xludf.DUMMYFUNCTION("""COMPUTED_VALUE"""),1649.4)</f>
        <v>1649.4</v>
      </c>
      <c r="D38" s="6">
        <f>IFERROR(__xludf.DUMMYFUNCTION("""COMPUTED_VALUE"""),1496.9)</f>
        <v>1496.9</v>
      </c>
      <c r="E38" s="6">
        <f>IFERROR(__xludf.DUMMYFUNCTION("""COMPUTED_VALUE"""),1597.55)</f>
        <v>1597.55</v>
      </c>
      <c r="F38" s="6">
        <f>IFERROR(__xludf.DUMMYFUNCTION("""COMPUTED_VALUE"""),5376263.0)</f>
        <v>5376263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IFERROR(__xludf.DUMMYFUNCTION("""COMPUTED_VALUE"""),1675.0)</f>
        <v>1675</v>
      </c>
      <c r="C39" s="6">
        <f>IFERROR(__xludf.DUMMYFUNCTION("""COMPUTED_VALUE"""),1822.0)</f>
        <v>1822</v>
      </c>
      <c r="D39" s="6">
        <f>IFERROR(__xludf.DUMMYFUNCTION("""COMPUTED_VALUE"""),1386.05)</f>
        <v>1386.05</v>
      </c>
      <c r="E39" s="6">
        <f>IFERROR(__xludf.DUMMYFUNCTION("""COMPUTED_VALUE"""),1761.0)</f>
        <v>1761</v>
      </c>
      <c r="F39" s="6">
        <f>IFERROR(__xludf.DUMMYFUNCTION("""COMPUTED_VALUE"""),8493564.0)</f>
        <v>8493564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IFERROR(__xludf.DUMMYFUNCTION("""COMPUTED_VALUE"""),1771.95)</f>
        <v>1771.95</v>
      </c>
      <c r="C40" s="6">
        <f>IFERROR(__xludf.DUMMYFUNCTION("""COMPUTED_VALUE"""),1998.0)</f>
        <v>1998</v>
      </c>
      <c r="D40" s="6">
        <f>IFERROR(__xludf.DUMMYFUNCTION("""COMPUTED_VALUE"""),1767.6)</f>
        <v>1767.6</v>
      </c>
      <c r="E40" s="6">
        <f>IFERROR(__xludf.DUMMYFUNCTION("""COMPUTED_VALUE"""),1926.85)</f>
        <v>1926.85</v>
      </c>
      <c r="F40" s="6">
        <f>IFERROR(__xludf.DUMMYFUNCTION("""COMPUTED_VALUE"""),7121000.0)</f>
        <v>7121000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IFERROR(__xludf.DUMMYFUNCTION("""COMPUTED_VALUE"""),1940.0)</f>
        <v>1940</v>
      </c>
      <c r="C41" s="6">
        <f>IFERROR(__xludf.DUMMYFUNCTION("""COMPUTED_VALUE"""),2050.55)</f>
        <v>2050.55</v>
      </c>
      <c r="D41" s="6">
        <f>IFERROR(__xludf.DUMMYFUNCTION("""COMPUTED_VALUE"""),1837.0)</f>
        <v>1837</v>
      </c>
      <c r="E41" s="6">
        <f>IFERROR(__xludf.DUMMYFUNCTION("""COMPUTED_VALUE"""),1983.2)</f>
        <v>1983.2</v>
      </c>
      <c r="F41" s="6">
        <f>IFERROR(__xludf.DUMMYFUNCTION("""COMPUTED_VALUE"""),7353781.0)</f>
        <v>7353781</v>
      </c>
    </row>
    <row r="42">
      <c r="A42" s="7">
        <f>IFERROR(__xludf.DUMMYFUNCTION("""COMPUTED_VALUE"""),45471.64583333333)</f>
        <v>45471.64583</v>
      </c>
      <c r="B42" s="6">
        <f>IFERROR(__xludf.DUMMYFUNCTION("""COMPUTED_VALUE"""),2039.0)</f>
        <v>2039</v>
      </c>
      <c r="C42" s="6">
        <f>IFERROR(__xludf.DUMMYFUNCTION("""COMPUTED_VALUE"""),2074.8)</f>
        <v>2074.8</v>
      </c>
      <c r="D42" s="6">
        <f>IFERROR(__xludf.DUMMYFUNCTION("""COMPUTED_VALUE"""),1815.05)</f>
        <v>1815.05</v>
      </c>
      <c r="E42" s="6">
        <f>IFERROR(__xludf.DUMMYFUNCTION("""COMPUTED_VALUE"""),1892.6)</f>
        <v>1892.6</v>
      </c>
      <c r="F42" s="6">
        <f>IFERROR(__xludf.DUMMYFUNCTION("""COMPUTED_VALUE"""),7779252.0)</f>
        <v>7779252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IFERROR(__xludf.DUMMYFUNCTION("""COMPUTED_VALUE"""),1892.95)</f>
        <v>1892.95</v>
      </c>
      <c r="C43" s="6">
        <f>IFERROR(__xludf.DUMMYFUNCTION("""COMPUTED_VALUE"""),1893.4)</f>
        <v>1893.4</v>
      </c>
      <c r="D43" s="6">
        <f>IFERROR(__xludf.DUMMYFUNCTION("""COMPUTED_VALUE"""),1766.0)</f>
        <v>1766</v>
      </c>
      <c r="E43" s="6">
        <f>IFERROR(__xludf.DUMMYFUNCTION("""COMPUTED_VALUE"""),1815.2)</f>
        <v>1815.2</v>
      </c>
      <c r="F43" s="6">
        <f>IFERROR(__xludf.DUMMYFUNCTION("""COMPUTED_VALUE"""),6352121.0)</f>
        <v>6352121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IFERROR(__xludf.DUMMYFUNCTION("""COMPUTED_VALUE"""),1820.8)</f>
        <v>1820.8</v>
      </c>
      <c r="C44" s="6">
        <f>IFERROR(__xludf.DUMMYFUNCTION("""COMPUTED_VALUE"""),1842.65)</f>
        <v>1842.65</v>
      </c>
      <c r="D44" s="6">
        <f>IFERROR(__xludf.DUMMYFUNCTION("""COMPUTED_VALUE"""),1739.45)</f>
        <v>1739.45</v>
      </c>
      <c r="E44" s="6">
        <f>IFERROR(__xludf.DUMMYFUNCTION("""COMPUTED_VALUE"""),1765.15)</f>
        <v>1765.15</v>
      </c>
      <c r="F44" s="6">
        <f>IFERROR(__xludf.DUMMYFUNCTION("""COMPUTED_VALUE"""),4397074.0)</f>
        <v>4397074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IFERROR(__xludf.DUMMYFUNCTION("""COMPUTED_VALUE"""),1751.0)</f>
        <v>1751</v>
      </c>
      <c r="C45" s="6">
        <f>IFERROR(__xludf.DUMMYFUNCTION("""COMPUTED_VALUE"""),1854.7)</f>
        <v>1854.7</v>
      </c>
      <c r="D45" s="6">
        <f>IFERROR(__xludf.DUMMYFUNCTION("""COMPUTED_VALUE"""),1701.55)</f>
        <v>1701.55</v>
      </c>
      <c r="E45" s="6">
        <f>IFERROR(__xludf.DUMMYFUNCTION("""COMPUTED_VALUE"""),1787.5)</f>
        <v>1787.5</v>
      </c>
      <c r="F45" s="6">
        <f>IFERROR(__xludf.DUMMYFUNCTION("""COMPUTED_VALUE"""),5480177.0)</f>
        <v>5480177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IFERROR(__xludf.DUMMYFUNCTION("""COMPUTED_VALUE"""),1746.05)</f>
        <v>1746.05</v>
      </c>
      <c r="C46" s="6">
        <f>IFERROR(__xludf.DUMMYFUNCTION("""COMPUTED_VALUE"""),1917.0)</f>
        <v>1917</v>
      </c>
      <c r="D46" s="6">
        <f>IFERROR(__xludf.DUMMYFUNCTION("""COMPUTED_VALUE"""),1669.2)</f>
        <v>1669.2</v>
      </c>
      <c r="E46" s="6">
        <f>IFERROR(__xludf.DUMMYFUNCTION("""COMPUTED_VALUE"""),1833.45)</f>
        <v>1833.45</v>
      </c>
      <c r="F46" s="6">
        <f>IFERROR(__xludf.DUMMYFUNCTION("""COMPUTED_VALUE"""),6044401.0)</f>
        <v>6044401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IFERROR(__xludf.DUMMYFUNCTION("""COMPUTED_VALUE"""),1834.6)</f>
        <v>1834.6</v>
      </c>
      <c r="C47" s="6">
        <f>IFERROR(__xludf.DUMMYFUNCTION("""COMPUTED_VALUE"""),1904.95)</f>
        <v>1904.95</v>
      </c>
      <c r="D47" s="6">
        <f>IFERROR(__xludf.DUMMYFUNCTION("""COMPUTED_VALUE"""),1670.9)</f>
        <v>1670.9</v>
      </c>
      <c r="E47" s="6">
        <f>IFERROR(__xludf.DUMMYFUNCTION("""COMPUTED_VALUE"""),1695.75)</f>
        <v>1695.75</v>
      </c>
      <c r="F47" s="6">
        <f>IFERROR(__xludf.DUMMYFUNCTION("""COMPUTED_VALUE"""),5341945.0)</f>
        <v>5341945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IFERROR(__xludf.DUMMYFUNCTION("""COMPUTED_VALUE"""),1651.0)</f>
        <v>1651</v>
      </c>
      <c r="C48" s="6">
        <f>IFERROR(__xludf.DUMMYFUNCTION("""COMPUTED_VALUE"""),1725.0)</f>
        <v>1725</v>
      </c>
      <c r="D48" s="6">
        <f>IFERROR(__xludf.DUMMYFUNCTION("""COMPUTED_VALUE"""),1592.35)</f>
        <v>1592.35</v>
      </c>
      <c r="E48" s="6">
        <f>IFERROR(__xludf.DUMMYFUNCTION("""COMPUTED_VALUE"""),1718.15)</f>
        <v>1718.15</v>
      </c>
      <c r="F48" s="6">
        <f>IFERROR(__xludf.DUMMYFUNCTION("""COMPUTED_VALUE"""),5453115.0)</f>
        <v>5453115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IFERROR(__xludf.DUMMYFUNCTION("""COMPUTED_VALUE"""),1715.1)</f>
        <v>1715.1</v>
      </c>
      <c r="C49" s="6">
        <f>IFERROR(__xludf.DUMMYFUNCTION("""COMPUTED_VALUE"""),1858.5)</f>
        <v>1858.5</v>
      </c>
      <c r="D49" s="6">
        <f>IFERROR(__xludf.DUMMYFUNCTION("""COMPUTED_VALUE"""),1693.2)</f>
        <v>1693.2</v>
      </c>
      <c r="E49" s="6">
        <f>IFERROR(__xludf.DUMMYFUNCTION("""COMPUTED_VALUE"""),1817.25)</f>
        <v>1817.25</v>
      </c>
      <c r="F49" s="6">
        <f>IFERROR(__xludf.DUMMYFUNCTION("""COMPUTED_VALUE"""),4790309.0)</f>
        <v>4790309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IFERROR(__xludf.DUMMYFUNCTION("""COMPUTED_VALUE"""),1847.25)</f>
        <v>1847.25</v>
      </c>
      <c r="C50" s="6">
        <f>IFERROR(__xludf.DUMMYFUNCTION("""COMPUTED_VALUE"""),1878.5)</f>
        <v>1878.5</v>
      </c>
      <c r="D50" s="6">
        <f>IFERROR(__xludf.DUMMYFUNCTION("""COMPUTED_VALUE"""),1668.6)</f>
        <v>1668.6</v>
      </c>
      <c r="E50" s="6">
        <f>IFERROR(__xludf.DUMMYFUNCTION("""COMPUTED_VALUE"""),1677.65)</f>
        <v>1677.65</v>
      </c>
      <c r="F50" s="6">
        <f>IFERROR(__xludf.DUMMYFUNCTION("""COMPUTED_VALUE"""),4105475.0)</f>
        <v>4105475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IFERROR(__xludf.DUMMYFUNCTION("""COMPUTED_VALUE"""),1681.4)</f>
        <v>1681.4</v>
      </c>
      <c r="C51" s="6">
        <f>IFERROR(__xludf.DUMMYFUNCTION("""COMPUTED_VALUE"""),1871.65)</f>
        <v>1871.65</v>
      </c>
      <c r="D51" s="6">
        <f>IFERROR(__xludf.DUMMYFUNCTION("""COMPUTED_VALUE"""),1655.0)</f>
        <v>1655</v>
      </c>
      <c r="E51" s="6">
        <f>IFERROR(__xludf.DUMMYFUNCTION("""COMPUTED_VALUE"""),1813.15)</f>
        <v>1813.15</v>
      </c>
      <c r="F51" s="6">
        <f>IFERROR(__xludf.DUMMYFUNCTION("""COMPUTED_VALUE"""),2.9583386E7)</f>
        <v>29583386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IFERROR(__xludf.DUMMYFUNCTION("""COMPUTED_VALUE"""),1789.7)</f>
        <v>1789.7</v>
      </c>
      <c r="C52" s="6">
        <f>IFERROR(__xludf.DUMMYFUNCTION("""COMPUTED_VALUE"""),1884.9)</f>
        <v>1884.9</v>
      </c>
      <c r="D52" s="6">
        <f>IFERROR(__xludf.DUMMYFUNCTION("""COMPUTED_VALUE"""),1757.25)</f>
        <v>1757.25</v>
      </c>
      <c r="E52" s="6">
        <f>IFERROR(__xludf.DUMMYFUNCTION("""COMPUTED_VALUE"""),1819.0)</f>
        <v>1819</v>
      </c>
      <c r="F52" s="6">
        <f>IFERROR(__xludf.DUMMYFUNCTION("""COMPUTED_VALUE"""),8218184.0)</f>
        <v>8218184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IFERROR(__xludf.DUMMYFUNCTION("""COMPUTED_VALUE"""),1795.0)</f>
        <v>1795</v>
      </c>
      <c r="C53" s="6">
        <f>IFERROR(__xludf.DUMMYFUNCTION("""COMPUTED_VALUE"""),1919.4)</f>
        <v>1919.4</v>
      </c>
      <c r="D53" s="6">
        <f>IFERROR(__xludf.DUMMYFUNCTION("""COMPUTED_VALUE"""),1740.05)</f>
        <v>1740.05</v>
      </c>
      <c r="E53" s="6">
        <f>IFERROR(__xludf.DUMMYFUNCTION("""COMPUTED_VALUE"""),1858.6)</f>
        <v>1858.6</v>
      </c>
      <c r="F53" s="6">
        <f>IFERROR(__xludf.DUMMYFUNCTION("""COMPUTED_VALUE"""),7619623.0)</f>
        <v>7619623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IFERROR(__xludf.DUMMYFUNCTION("""COMPUTED_VALUE"""),1851.2)</f>
        <v>1851.2</v>
      </c>
      <c r="C54" s="6">
        <f>IFERROR(__xludf.DUMMYFUNCTION("""COMPUTED_VALUE"""),1972.0)</f>
        <v>1972</v>
      </c>
      <c r="D54" s="6">
        <f>IFERROR(__xludf.DUMMYFUNCTION("""COMPUTED_VALUE"""),1801.15)</f>
        <v>1801.15</v>
      </c>
      <c r="E54" s="6">
        <f>IFERROR(__xludf.DUMMYFUNCTION("""COMPUTED_VALUE"""),1878.9)</f>
        <v>1878.9</v>
      </c>
      <c r="F54" s="6">
        <f>IFERROR(__xludf.DUMMYFUNCTION("""COMPUTED_VALUE"""),8383293.0)</f>
        <v>8383293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IFERROR(__xludf.DUMMYFUNCTION("""COMPUTED_VALUE"""),1893.9)</f>
        <v>1893.9</v>
      </c>
      <c r="C55" s="6">
        <f>IFERROR(__xludf.DUMMYFUNCTION("""COMPUTED_VALUE"""),1928.8)</f>
        <v>1928.8</v>
      </c>
      <c r="D55" s="6">
        <f>IFERROR(__xludf.DUMMYFUNCTION("""COMPUTED_VALUE"""),1781.35)</f>
        <v>1781.35</v>
      </c>
      <c r="E55" s="6">
        <f>IFERROR(__xludf.DUMMYFUNCTION("""COMPUTED_VALUE"""),1868.5)</f>
        <v>1868.5</v>
      </c>
      <c r="F55" s="6">
        <f>IFERROR(__xludf.DUMMYFUNCTION("""COMPUTED_VALUE"""),6385277.0)</f>
        <v>6385277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IFERROR(__xludf.DUMMYFUNCTION("""COMPUTED_VALUE"""),1838.0)</f>
        <v>1838</v>
      </c>
      <c r="C56" s="6">
        <f>IFERROR(__xludf.DUMMYFUNCTION("""COMPUTED_VALUE"""),1870.0)</f>
        <v>1870</v>
      </c>
      <c r="D56" s="6">
        <f>IFERROR(__xludf.DUMMYFUNCTION("""COMPUTED_VALUE"""),1687.1)</f>
        <v>1687.1</v>
      </c>
      <c r="E56" s="6">
        <f>IFERROR(__xludf.DUMMYFUNCTION("""COMPUTED_VALUE"""),1750.8)</f>
        <v>1750.8</v>
      </c>
      <c r="F56" s="6">
        <f>IFERROR(__xludf.DUMMYFUNCTION("""COMPUTED_VALUE"""),3472220.0)</f>
        <v>3472220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IFERROR(__xludf.DUMMYFUNCTION("""COMPUTED_VALUE"""),1735.0)</f>
        <v>1735</v>
      </c>
      <c r="C57" s="6">
        <f>IFERROR(__xludf.DUMMYFUNCTION("""COMPUTED_VALUE"""),1878.9)</f>
        <v>1878.9</v>
      </c>
      <c r="D57" s="6">
        <f>IFERROR(__xludf.DUMMYFUNCTION("""COMPUTED_VALUE"""),1700.55)</f>
        <v>1700.55</v>
      </c>
      <c r="E57" s="6">
        <f>IFERROR(__xludf.DUMMYFUNCTION("""COMPUTED_VALUE"""),1854.5)</f>
        <v>1854.5</v>
      </c>
      <c r="F57" s="6">
        <f>IFERROR(__xludf.DUMMYFUNCTION("""COMPUTED_VALUE"""),3059234.0)</f>
        <v>3059234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IFERROR(__xludf.DUMMYFUNCTION("""COMPUTED_VALUE"""),1864.95)</f>
        <v>1864.95</v>
      </c>
      <c r="C58" s="6">
        <f>IFERROR(__xludf.DUMMYFUNCTION("""COMPUTED_VALUE"""),1909.85)</f>
        <v>1909.85</v>
      </c>
      <c r="D58" s="6">
        <f>IFERROR(__xludf.DUMMYFUNCTION("""COMPUTED_VALUE"""),1732.0)</f>
        <v>1732</v>
      </c>
      <c r="E58" s="6">
        <f>IFERROR(__xludf.DUMMYFUNCTION("""COMPUTED_VALUE"""),1766.8)</f>
        <v>1766.8</v>
      </c>
      <c r="F58" s="6">
        <f>IFERROR(__xludf.DUMMYFUNCTION("""COMPUTED_VALUE"""),2998638.0)</f>
        <v>2998638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IFERROR(__xludf.DUMMYFUNCTION("""COMPUTED_VALUE"""),1773.0)</f>
        <v>1773</v>
      </c>
      <c r="C59" s="6">
        <f>IFERROR(__xludf.DUMMYFUNCTION("""COMPUTED_VALUE"""),1791.9)</f>
        <v>1791.9</v>
      </c>
      <c r="D59" s="6">
        <f>IFERROR(__xludf.DUMMYFUNCTION("""COMPUTED_VALUE"""),1645.2)</f>
        <v>1645.2</v>
      </c>
      <c r="E59" s="6">
        <f>IFERROR(__xludf.DUMMYFUNCTION("""COMPUTED_VALUE"""),1706.95)</f>
        <v>1706.95</v>
      </c>
      <c r="F59" s="6">
        <f>IFERROR(__xludf.DUMMYFUNCTION("""COMPUTED_VALUE"""),1934330.0)</f>
        <v>1934330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IFERROR(__xludf.DUMMYFUNCTION("""COMPUTED_VALUE"""),1640.0)</f>
        <v>1640</v>
      </c>
      <c r="C60" s="6">
        <f>IFERROR(__xludf.DUMMYFUNCTION("""COMPUTED_VALUE"""),1713.0)</f>
        <v>1713</v>
      </c>
      <c r="D60" s="6">
        <f>IFERROR(__xludf.DUMMYFUNCTION("""COMPUTED_VALUE"""),1555.15)</f>
        <v>1555.15</v>
      </c>
      <c r="E60" s="6">
        <f>IFERROR(__xludf.DUMMYFUNCTION("""COMPUTED_VALUE"""),1579.85)</f>
        <v>1579.85</v>
      </c>
      <c r="F60" s="6">
        <f>IFERROR(__xludf.DUMMYFUNCTION("""COMPUTED_VALUE"""),3321426.0)</f>
        <v>3321426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IFERROR(__xludf.DUMMYFUNCTION("""COMPUTED_VALUE"""),1580.0)</f>
        <v>1580</v>
      </c>
      <c r="C61" s="6">
        <f>IFERROR(__xludf.DUMMYFUNCTION("""COMPUTED_VALUE"""),1646.0)</f>
        <v>1646</v>
      </c>
      <c r="D61" s="6">
        <f>IFERROR(__xludf.DUMMYFUNCTION("""COMPUTED_VALUE"""),1505.95)</f>
        <v>1505.95</v>
      </c>
      <c r="E61" s="6">
        <f>IFERROR(__xludf.DUMMYFUNCTION("""COMPUTED_VALUE"""),1547.2)</f>
        <v>1547.2</v>
      </c>
      <c r="F61" s="6">
        <f>IFERROR(__xludf.DUMMYFUNCTION("""COMPUTED_VALUE"""),2555075.0)</f>
        <v>2555075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IFERROR(__xludf.DUMMYFUNCTION("""COMPUTED_VALUE"""),1569.95)</f>
        <v>1569.95</v>
      </c>
      <c r="C62" s="6">
        <f>IFERROR(__xludf.DUMMYFUNCTION("""COMPUTED_VALUE"""),1655.05)</f>
        <v>1655.05</v>
      </c>
      <c r="D62" s="6">
        <f>IFERROR(__xludf.DUMMYFUNCTION("""COMPUTED_VALUE"""),1526.05)</f>
        <v>1526.05</v>
      </c>
      <c r="E62" s="6">
        <f>IFERROR(__xludf.DUMMYFUNCTION("""COMPUTED_VALUE"""),1631.05)</f>
        <v>1631.05</v>
      </c>
      <c r="F62" s="6">
        <f>IFERROR(__xludf.DUMMYFUNCTION("""COMPUTED_VALUE"""),2400588.0)</f>
        <v>2400588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IFERROR(__xludf.DUMMYFUNCTION("""COMPUTED_VALUE"""),1665.0)</f>
        <v>1665</v>
      </c>
      <c r="C63" s="6">
        <f>IFERROR(__xludf.DUMMYFUNCTION("""COMPUTED_VALUE"""),1755.0)</f>
        <v>1755</v>
      </c>
      <c r="D63" s="6">
        <f>IFERROR(__xludf.DUMMYFUNCTION("""COMPUTED_VALUE"""),1620.0)</f>
        <v>1620</v>
      </c>
      <c r="E63" s="6">
        <f>IFERROR(__xludf.DUMMYFUNCTION("""COMPUTED_VALUE"""),1650.55)</f>
        <v>1650.55</v>
      </c>
      <c r="F63" s="6">
        <f>IFERROR(__xludf.DUMMYFUNCTION("""COMPUTED_VALUE"""),4655646.0)</f>
        <v>4655646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IFERROR(__xludf.DUMMYFUNCTION("""COMPUTED_VALUE"""),1634.7)</f>
        <v>1634.7</v>
      </c>
      <c r="C64" s="6">
        <f>IFERROR(__xludf.DUMMYFUNCTION("""COMPUTED_VALUE"""),1780.0)</f>
        <v>1780</v>
      </c>
      <c r="D64" s="6">
        <f>IFERROR(__xludf.DUMMYFUNCTION("""COMPUTED_VALUE"""),1615.9)</f>
        <v>1615.9</v>
      </c>
      <c r="E64" s="6">
        <f>IFERROR(__xludf.DUMMYFUNCTION("""COMPUTED_VALUE"""),1738.15)</f>
        <v>1738.15</v>
      </c>
      <c r="F64" s="6">
        <f>IFERROR(__xludf.DUMMYFUNCTION("""COMPUTED_VALUE"""),3250269.0)</f>
        <v>3250269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IFERROR(__xludf.DUMMYFUNCTION("""COMPUTED_VALUE"""),1738.45)</f>
        <v>1738.45</v>
      </c>
      <c r="C65" s="6">
        <f>IFERROR(__xludf.DUMMYFUNCTION("""COMPUTED_VALUE"""),1777.35)</f>
        <v>1777.35</v>
      </c>
      <c r="D65" s="6">
        <f>IFERROR(__xludf.DUMMYFUNCTION("""COMPUTED_VALUE"""),1710.0)</f>
        <v>1710</v>
      </c>
      <c r="E65" s="6">
        <f>IFERROR(__xludf.DUMMYFUNCTION("""COMPUTED_VALUE"""),1754.65)</f>
        <v>1754.65</v>
      </c>
      <c r="F65" s="6">
        <f>IFERROR(__xludf.DUMMYFUNCTION("""COMPUTED_VALUE"""),2426758.0)</f>
        <v>2426758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IFERROR(__xludf.DUMMYFUNCTION("""COMPUTED_VALUE"""),1764.2)</f>
        <v>1764.2</v>
      </c>
      <c r="C66" s="6">
        <f>IFERROR(__xludf.DUMMYFUNCTION("""COMPUTED_VALUE"""),1900.0)</f>
        <v>1900</v>
      </c>
      <c r="D66" s="6">
        <f>IFERROR(__xludf.DUMMYFUNCTION("""COMPUTED_VALUE"""),1760.0)</f>
        <v>1760</v>
      </c>
      <c r="E66" s="6">
        <f>IFERROR(__xludf.DUMMYFUNCTION("""COMPUTED_VALUE"""),1794.5)</f>
        <v>1794.5</v>
      </c>
      <c r="F66" s="6">
        <f>IFERROR(__xludf.DUMMYFUNCTION("""COMPUTED_VALUE"""),8956765.0)</f>
        <v>8956765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IFERROR(__xludf.DUMMYFUNCTION("""COMPUTED_VALUE"""),1777.75)</f>
        <v>1777.75</v>
      </c>
      <c r="C67" s="6">
        <f>IFERROR(__xludf.DUMMYFUNCTION("""COMPUTED_VALUE"""),1787.0)</f>
        <v>1787</v>
      </c>
      <c r="D67" s="6">
        <f>IFERROR(__xludf.DUMMYFUNCTION("""COMPUTED_VALUE"""),1698.45)</f>
        <v>1698.45</v>
      </c>
      <c r="E67" s="6">
        <f>IFERROR(__xludf.DUMMYFUNCTION("""COMPUTED_VALUE"""),1752.5)</f>
        <v>1752.5</v>
      </c>
      <c r="F67" s="6">
        <f>IFERROR(__xludf.DUMMYFUNCTION("""COMPUTED_VALUE"""),2162528.0)</f>
        <v>2162528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IFERROR(__xludf.DUMMYFUNCTION("""COMPUTED_VALUE"""),1751.9)</f>
        <v>1751.9</v>
      </c>
      <c r="C68" s="6">
        <f>IFERROR(__xludf.DUMMYFUNCTION("""COMPUTED_VALUE"""),1774.1)</f>
        <v>1774.1</v>
      </c>
      <c r="D68" s="6">
        <f>IFERROR(__xludf.DUMMYFUNCTION("""COMPUTED_VALUE"""),1632.05)</f>
        <v>1632.05</v>
      </c>
      <c r="E68" s="6">
        <f>IFERROR(__xludf.DUMMYFUNCTION("""COMPUTED_VALUE"""),1656.25)</f>
        <v>1656.25</v>
      </c>
      <c r="F68" s="6">
        <f>IFERROR(__xludf.DUMMYFUNCTION("""COMPUTED_VALUE"""),2701397.0)</f>
        <v>2701397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IFERROR(__xludf.DUMMYFUNCTION("""COMPUTED_VALUE"""),1660.05)</f>
        <v>1660.05</v>
      </c>
      <c r="C69" s="6">
        <f>IFERROR(__xludf.DUMMYFUNCTION("""COMPUTED_VALUE"""),1670.0)</f>
        <v>1670</v>
      </c>
      <c r="D69" s="6">
        <f>IFERROR(__xludf.DUMMYFUNCTION("""COMPUTED_VALUE"""),1485.65)</f>
        <v>1485.65</v>
      </c>
      <c r="E69" s="6">
        <f>IFERROR(__xludf.DUMMYFUNCTION("""COMPUTED_VALUE"""),1492.4)</f>
        <v>1492.4</v>
      </c>
      <c r="F69" s="6">
        <f>IFERROR(__xludf.DUMMYFUNCTION("""COMPUTED_VALUE"""),3059012.0)</f>
        <v>3059012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IFERROR(__xludf.DUMMYFUNCTION("""COMPUTED_VALUE"""),1450.1)</f>
        <v>1450.1</v>
      </c>
      <c r="C70" s="6">
        <f>IFERROR(__xludf.DUMMYFUNCTION("""COMPUTED_VALUE"""),1497.0)</f>
        <v>1497</v>
      </c>
      <c r="D70" s="6">
        <f>IFERROR(__xludf.DUMMYFUNCTION("""COMPUTED_VALUE"""),1406.95)</f>
        <v>1406.95</v>
      </c>
      <c r="E70" s="6">
        <f>IFERROR(__xludf.DUMMYFUNCTION("""COMPUTED_VALUE"""),1472.2)</f>
        <v>1472.2</v>
      </c>
      <c r="F70" s="6">
        <f>IFERROR(__xludf.DUMMYFUNCTION("""COMPUTED_VALUE"""),3285201.0)</f>
        <v>3285201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IFERROR(__xludf.DUMMYFUNCTION("""COMPUTED_VALUE"""),1472.9)</f>
        <v>1472.9</v>
      </c>
      <c r="C71" s="6">
        <f>IFERROR(__xludf.DUMMYFUNCTION("""COMPUTED_VALUE"""),1484.4)</f>
        <v>1484.4</v>
      </c>
      <c r="D71" s="6">
        <f>IFERROR(__xludf.DUMMYFUNCTION("""COMPUTED_VALUE"""),1235.0)</f>
        <v>1235</v>
      </c>
      <c r="E71" s="6">
        <f>IFERROR(__xludf.DUMMYFUNCTION("""COMPUTED_VALUE"""),1255.65)</f>
        <v>1255.65</v>
      </c>
      <c r="F71" s="6">
        <f>IFERROR(__xludf.DUMMYFUNCTION("""COMPUTED_VALUE"""),7400624.0)</f>
        <v>7400624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IFERROR(__xludf.DUMMYFUNCTION("""COMPUTED_VALUE"""),1421.0)</f>
        <v>1421</v>
      </c>
      <c r="C72" s="6">
        <f>IFERROR(__xludf.DUMMYFUNCTION("""COMPUTED_VALUE"""),1457.35)</f>
        <v>1457.35</v>
      </c>
      <c r="D72" s="6">
        <f>IFERROR(__xludf.DUMMYFUNCTION("""COMPUTED_VALUE"""),1331.0)</f>
        <v>1331</v>
      </c>
      <c r="E72" s="6">
        <f>IFERROR(__xludf.DUMMYFUNCTION("""COMPUTED_VALUE"""),1347.7)</f>
        <v>1347.7</v>
      </c>
      <c r="F72" s="6">
        <f>IFERROR(__xludf.DUMMYFUNCTION("""COMPUTED_VALUE"""),5130989.0)</f>
        <v>5130989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IFERROR(__xludf.DUMMYFUNCTION("""COMPUTED_VALUE"""),1347.35)</f>
        <v>1347.35</v>
      </c>
      <c r="C73" s="6">
        <f>IFERROR(__xludf.DUMMYFUNCTION("""COMPUTED_VALUE"""),1348.95)</f>
        <v>1348.95</v>
      </c>
      <c r="D73" s="6">
        <f>IFERROR(__xludf.DUMMYFUNCTION("""COMPUTED_VALUE"""),1192.15)</f>
        <v>1192.15</v>
      </c>
      <c r="E73" s="6">
        <f>IFERROR(__xludf.DUMMYFUNCTION("""COMPUTED_VALUE"""),1227.15)</f>
        <v>1227.15</v>
      </c>
      <c r="F73" s="6">
        <f>IFERROR(__xludf.DUMMYFUNCTION("""COMPUTED_VALUE"""),7431589.0)</f>
        <v>7431589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IFERROR(__xludf.DUMMYFUNCTION("""COMPUTED_VALUE"""),1202.7)</f>
        <v>1202.7</v>
      </c>
      <c r="C74" s="6">
        <f>IFERROR(__xludf.DUMMYFUNCTION("""COMPUTED_VALUE"""),1262.9)</f>
        <v>1262.9</v>
      </c>
      <c r="D74" s="6">
        <f>IFERROR(__xludf.DUMMYFUNCTION("""COMPUTED_VALUE"""),1185.5)</f>
        <v>1185.5</v>
      </c>
      <c r="E74" s="6">
        <f>IFERROR(__xludf.DUMMYFUNCTION("""COMPUTED_VALUE"""),1216.3)</f>
        <v>1216.3</v>
      </c>
      <c r="F74" s="6">
        <f>IFERROR(__xludf.DUMMYFUNCTION("""COMPUTED_VALUE"""),5193302.0)</f>
        <v>5193302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IFERROR(__xludf.DUMMYFUNCTION("""COMPUTED_VALUE"""),1209.6)</f>
        <v>1209.6</v>
      </c>
      <c r="C75" s="6">
        <f>IFERROR(__xludf.DUMMYFUNCTION("""COMPUTED_VALUE"""),1212.45)</f>
        <v>1212.45</v>
      </c>
      <c r="D75" s="6">
        <f>IFERROR(__xludf.DUMMYFUNCTION("""COMPUTED_VALUE"""),1083.65)</f>
        <v>1083.65</v>
      </c>
      <c r="E75" s="6">
        <f>IFERROR(__xludf.DUMMYFUNCTION("""COMPUTED_VALUE"""),1126.6)</f>
        <v>1126.6</v>
      </c>
      <c r="F75" s="6">
        <f>IFERROR(__xludf.DUMMYFUNCTION("""COMPUTED_VALUE"""),6681108.0)</f>
        <v>6681108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IFERROR(__xludf.DUMMYFUNCTION("""COMPUTED_VALUE"""),1110.0)</f>
        <v>1110</v>
      </c>
      <c r="C76" s="6">
        <f>IFERROR(__xludf.DUMMYFUNCTION("""COMPUTED_VALUE"""),1215.65)</f>
        <v>1215.65</v>
      </c>
      <c r="D76" s="6">
        <f>IFERROR(__xludf.DUMMYFUNCTION("""COMPUTED_VALUE"""),1108.15)</f>
        <v>1108.15</v>
      </c>
      <c r="E76" s="6">
        <f>IFERROR(__xludf.DUMMYFUNCTION("""COMPUTED_VALUE"""),1144.85)</f>
        <v>1144.85</v>
      </c>
      <c r="F76" s="6">
        <f>IFERROR(__xludf.DUMMYFUNCTION("""COMPUTED_VALUE"""),4586934.0)</f>
        <v>4586934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IFERROR(__xludf.DUMMYFUNCTION("""COMPUTED_VALUE"""),1142.0)</f>
        <v>1142</v>
      </c>
      <c r="C77" s="6">
        <f>IFERROR(__xludf.DUMMYFUNCTION("""COMPUTED_VALUE"""),1158.65)</f>
        <v>1158.65</v>
      </c>
      <c r="D77" s="6">
        <f>IFERROR(__xludf.DUMMYFUNCTION("""COMPUTED_VALUE"""),1099.5)</f>
        <v>1099.5</v>
      </c>
      <c r="E77" s="6">
        <f>IFERROR(__xludf.DUMMYFUNCTION("""COMPUTED_VALUE"""),1129.6)</f>
        <v>1129.6</v>
      </c>
      <c r="F77" s="6">
        <f>IFERROR(__xludf.DUMMYFUNCTION("""COMPUTED_VALUE"""),3066580.0)</f>
        <v>3066580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IFERROR(__xludf.DUMMYFUNCTION("""COMPUTED_VALUE"""),1139.9)</f>
        <v>1139.9</v>
      </c>
      <c r="C78" s="6">
        <f>IFERROR(__xludf.DUMMYFUNCTION("""COMPUTED_VALUE"""),1258.9)</f>
        <v>1258.9</v>
      </c>
      <c r="D78" s="6">
        <f>IFERROR(__xludf.DUMMYFUNCTION("""COMPUTED_VALUE"""),1092.0)</f>
        <v>1092</v>
      </c>
      <c r="E78" s="6">
        <f>IFERROR(__xludf.DUMMYFUNCTION("""COMPUTED_VALUE"""),1226.15)</f>
        <v>1226.15</v>
      </c>
      <c r="F78" s="6">
        <f>IFERROR(__xludf.DUMMYFUNCTION("""COMPUTED_VALUE"""),4670244.0)</f>
        <v>4670244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IFERROR(__xludf.DUMMYFUNCTION("""COMPUTED_VALUE"""),1231.3)</f>
        <v>1231.3</v>
      </c>
      <c r="C79" s="6">
        <f>IFERROR(__xludf.DUMMYFUNCTION("""COMPUTED_VALUE"""),1272.0)</f>
        <v>1272</v>
      </c>
      <c r="D79" s="6">
        <f>IFERROR(__xludf.DUMMYFUNCTION("""COMPUTED_VALUE"""),1169.2)</f>
        <v>1169.2</v>
      </c>
      <c r="E79" s="6">
        <f>IFERROR(__xludf.DUMMYFUNCTION("""COMPUTED_VALUE"""),1184.4)</f>
        <v>1184.4</v>
      </c>
      <c r="F79" s="6">
        <f>IFERROR(__xludf.DUMMYFUNCTION("""COMPUTED_VALUE"""),4541114.0)</f>
        <v>4541114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IFERROR(__xludf.DUMMYFUNCTION("""COMPUTED_VALUE"""),1184.4)</f>
        <v>1184.4</v>
      </c>
      <c r="C80" s="6">
        <f>IFERROR(__xludf.DUMMYFUNCTION("""COMPUTED_VALUE"""),1199.9)</f>
        <v>1199.9</v>
      </c>
      <c r="D80" s="6">
        <f>IFERROR(__xludf.DUMMYFUNCTION("""COMPUTED_VALUE"""),1111.0)</f>
        <v>1111</v>
      </c>
      <c r="E80" s="6">
        <f>IFERROR(__xludf.DUMMYFUNCTION("""COMPUTED_VALUE"""),1127.05)</f>
        <v>1127.05</v>
      </c>
      <c r="F80" s="6">
        <f>IFERROR(__xludf.DUMMYFUNCTION("""COMPUTED_VALUE"""),2668930.0)</f>
        <v>2668930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IFERROR(__xludf.DUMMYFUNCTION("""COMPUTED_VALUE"""),1060.0)</f>
        <v>1060</v>
      </c>
      <c r="C81" s="6">
        <f>IFERROR(__xludf.DUMMYFUNCTION("""COMPUTED_VALUE"""),1126.9)</f>
        <v>1126.9</v>
      </c>
      <c r="D81" s="6">
        <f>IFERROR(__xludf.DUMMYFUNCTION("""COMPUTED_VALUE"""),1048.05)</f>
        <v>1048.05</v>
      </c>
      <c r="E81" s="6">
        <f>IFERROR(__xludf.DUMMYFUNCTION("""COMPUTED_VALUE"""),1122.85)</f>
        <v>1122.85</v>
      </c>
      <c r="F81" s="6">
        <f>IFERROR(__xludf.DUMMYFUNCTION("""COMPUTED_VALUE"""),2438525.0)</f>
        <v>2438525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IFERROR(__xludf.DUMMYFUNCTION("""COMPUTED_VALUE"""),1135.0)</f>
        <v>1135</v>
      </c>
      <c r="C82" s="6">
        <f>IFERROR(__xludf.DUMMYFUNCTION("""COMPUTED_VALUE"""),1232.0)</f>
        <v>1232</v>
      </c>
      <c r="D82" s="6">
        <f>IFERROR(__xludf.DUMMYFUNCTION("""COMPUTED_VALUE"""),1126.0)</f>
        <v>1126</v>
      </c>
      <c r="E82" s="6">
        <f>IFERROR(__xludf.DUMMYFUNCTION("""COMPUTED_VALUE"""),1215.2)</f>
        <v>1215.2</v>
      </c>
      <c r="F82" s="6">
        <f>IFERROR(__xludf.DUMMYFUNCTION("""COMPUTED_VALUE"""),2295948.0)</f>
        <v>2295948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IFERROR(__xludf.DUMMYFUNCTION("""COMPUTED_VALUE"""),1223.3)</f>
        <v>1223.3</v>
      </c>
      <c r="C83" s="6">
        <f>IFERROR(__xludf.DUMMYFUNCTION("""COMPUTED_VALUE"""),1354.8)</f>
        <v>1354.8</v>
      </c>
      <c r="D83" s="6">
        <f>IFERROR(__xludf.DUMMYFUNCTION("""COMPUTED_VALUE"""),1207.4)</f>
        <v>1207.4</v>
      </c>
      <c r="E83" s="6">
        <f>IFERROR(__xludf.DUMMYFUNCTION("""COMPUTED_VALUE"""),1261.8)</f>
        <v>1261.8</v>
      </c>
      <c r="F83" s="6">
        <f>IFERROR(__xludf.DUMMYFUNCTION("""COMPUTED_VALUE"""),4452101.0)</f>
        <v>4452101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IFERROR(__xludf.DUMMYFUNCTION("""COMPUTED_VALUE"""),1264.6)</f>
        <v>1264.6</v>
      </c>
      <c r="C84" s="6">
        <f>IFERROR(__xludf.DUMMYFUNCTION("""COMPUTED_VALUE"""),1444.9)</f>
        <v>1444.9</v>
      </c>
      <c r="D84" s="6">
        <f>IFERROR(__xludf.DUMMYFUNCTION("""COMPUTED_VALUE"""),1249.6)</f>
        <v>1249.6</v>
      </c>
      <c r="E84" s="6">
        <f>IFERROR(__xludf.DUMMYFUNCTION("""COMPUTED_VALUE"""),1363.0)</f>
        <v>1363</v>
      </c>
      <c r="F84" s="6">
        <f>IFERROR(__xludf.DUMMYFUNCTION("""COMPUTED_VALUE"""),6301067.0)</f>
        <v>6301067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IFERROR(__xludf.DUMMYFUNCTION("""COMPUTED_VALUE"""),1364.6)</f>
        <v>1364.6</v>
      </c>
      <c r="C85" s="6">
        <f>IFERROR(__xludf.DUMMYFUNCTION("""COMPUTED_VALUE"""),1398.9)</f>
        <v>1398.9</v>
      </c>
      <c r="D85" s="6">
        <f>IFERROR(__xludf.DUMMYFUNCTION("""COMPUTED_VALUE"""),1255.0)</f>
        <v>1255</v>
      </c>
      <c r="E85" s="6">
        <f>IFERROR(__xludf.DUMMYFUNCTION("""COMPUTED_VALUE"""),1281.6)</f>
        <v>1281.6</v>
      </c>
      <c r="F85" s="6">
        <f>IFERROR(__xludf.DUMMYFUNCTION("""COMPUTED_VALUE"""),2927960.0)</f>
        <v>2927960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IFERROR(__xludf.DUMMYFUNCTION("""COMPUTED_VALUE"""),1339.9)</f>
        <v>1339.9</v>
      </c>
      <c r="C86" s="6">
        <f>IFERROR(__xludf.DUMMYFUNCTION("""COMPUTED_VALUE"""),1453.0)</f>
        <v>1453</v>
      </c>
      <c r="D86" s="6">
        <f>IFERROR(__xludf.DUMMYFUNCTION("""COMPUTED_VALUE"""),1325.0)</f>
        <v>1325</v>
      </c>
      <c r="E86" s="6">
        <f>IFERROR(__xludf.DUMMYFUNCTION("""COMPUTED_VALUE"""),1433.2)</f>
        <v>1433.2</v>
      </c>
      <c r="F86" s="6">
        <f>IFERROR(__xludf.DUMMYFUNCTION("""COMPUTED_VALUE"""),3099081.0)</f>
        <v>3099081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IFERROR(__xludf.DUMMYFUNCTION("""COMPUTED_VALUE"""),1433.0)</f>
        <v>1433</v>
      </c>
      <c r="C87" s="6">
        <f>IFERROR(__xludf.DUMMYFUNCTION("""COMPUTED_VALUE"""),1458.4)</f>
        <v>1458.4</v>
      </c>
      <c r="D87" s="6">
        <f>IFERROR(__xludf.DUMMYFUNCTION("""COMPUTED_VALUE"""),1402.5)</f>
        <v>1402.5</v>
      </c>
      <c r="E87" s="6">
        <f>IFERROR(__xludf.DUMMYFUNCTION("""COMPUTED_VALUE"""),1436.2)</f>
        <v>1436.2</v>
      </c>
      <c r="F87" s="6">
        <f>IFERROR(__xludf.DUMMYFUNCTION("""COMPUTED_VALUE"""),2394639.0)</f>
        <v>2394639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IFERROR(__xludf.DUMMYFUNCTION("""COMPUTED_VALUE"""),1444.0)</f>
        <v>1444</v>
      </c>
      <c r="C88" s="6">
        <f>IFERROR(__xludf.DUMMYFUNCTION("""COMPUTED_VALUE"""),1534.8)</f>
        <v>1534.8</v>
      </c>
      <c r="D88" s="6">
        <f>IFERROR(__xludf.DUMMYFUNCTION("""COMPUTED_VALUE"""),1410.0)</f>
        <v>1410</v>
      </c>
      <c r="E88" s="6">
        <f>IFERROR(__xludf.DUMMYFUNCTION("""COMPUTED_VALUE"""),1466.6)</f>
        <v>1466.6</v>
      </c>
      <c r="F88" s="6">
        <f>IFERROR(__xludf.DUMMYFUNCTION("""COMPUTED_VALUE"""),5123881.0)</f>
        <v>5123881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IFERROR(__xludf.DUMMYFUNCTION("""COMPUTED_VALUE"""),1484.0)</f>
        <v>1484</v>
      </c>
      <c r="C89" s="6">
        <f>IFERROR(__xludf.DUMMYFUNCTION("""COMPUTED_VALUE"""),1732.4)</f>
        <v>1732.4</v>
      </c>
      <c r="D89" s="6">
        <f>IFERROR(__xludf.DUMMYFUNCTION("""COMPUTED_VALUE"""),1484.0)</f>
        <v>1484</v>
      </c>
      <c r="E89" s="6">
        <f>IFERROR(__xludf.DUMMYFUNCTION("""COMPUTED_VALUE"""),1714.6)</f>
        <v>1714.6</v>
      </c>
      <c r="F89" s="6">
        <f>IFERROR(__xludf.DUMMYFUNCTION("""COMPUTED_VALUE"""),1.1300018E7)</f>
        <v>11300018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IFERROR(__xludf.DUMMYFUNCTION("""COMPUTED_VALUE"""),1754.7)</f>
        <v>1754.7</v>
      </c>
      <c r="C90" s="6">
        <f>IFERROR(__xludf.DUMMYFUNCTION("""COMPUTED_VALUE"""),1754.7)</f>
        <v>1754.7</v>
      </c>
      <c r="D90" s="6">
        <f>IFERROR(__xludf.DUMMYFUNCTION("""COMPUTED_VALUE"""),1590.1)</f>
        <v>1590.1</v>
      </c>
      <c r="E90" s="6">
        <f>IFERROR(__xludf.DUMMYFUNCTION("""COMPUTED_VALUE"""),1656.1)</f>
        <v>1656.1</v>
      </c>
      <c r="F90" s="6">
        <f>IFERROR(__xludf.DUMMYFUNCTION("""COMPUTED_VALUE"""),3803136.0)</f>
        <v>3803136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IFERROR(__xludf.DUMMYFUNCTION("""COMPUTED_VALUE"""),1645.0)</f>
        <v>1645</v>
      </c>
      <c r="C91" s="6">
        <f>IFERROR(__xludf.DUMMYFUNCTION("""COMPUTED_VALUE"""),1744.8)</f>
        <v>1744.8</v>
      </c>
      <c r="D91" s="6">
        <f>IFERROR(__xludf.DUMMYFUNCTION("""COMPUTED_VALUE"""),1617.0)</f>
        <v>1617</v>
      </c>
      <c r="E91" s="6">
        <f>IFERROR(__xludf.DUMMYFUNCTION("""COMPUTED_VALUE"""),1716.3)</f>
        <v>1716.3</v>
      </c>
      <c r="F91" s="6">
        <f>IFERROR(__xludf.DUMMYFUNCTION("""COMPUTED_VALUE"""),4271465.0)</f>
        <v>4271465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IFERROR(__xludf.DUMMYFUNCTION("""COMPUTED_VALUE"""),1698.0)</f>
        <v>1698</v>
      </c>
      <c r="C92" s="6">
        <f>IFERROR(__xludf.DUMMYFUNCTION("""COMPUTED_VALUE"""),1761.0)</f>
        <v>1761</v>
      </c>
      <c r="D92" s="6">
        <f>IFERROR(__xludf.DUMMYFUNCTION("""COMPUTED_VALUE"""),1660.1)</f>
        <v>1660.1</v>
      </c>
      <c r="E92" s="6">
        <f>IFERROR(__xludf.DUMMYFUNCTION("""COMPUTED_VALUE"""),1665.4)</f>
        <v>1665.4</v>
      </c>
      <c r="F92" s="6">
        <f>IFERROR(__xludf.DUMMYFUNCTION("""COMPUTED_VALUE"""),3929484.0)</f>
        <v>3929484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IFERROR(__xludf.DUMMYFUNCTION("""COMPUTED_VALUE"""),1680.0)</f>
        <v>1680</v>
      </c>
      <c r="C93" s="6">
        <f>IFERROR(__xludf.DUMMYFUNCTION("""COMPUTED_VALUE"""),1689.8)</f>
        <v>1689.8</v>
      </c>
      <c r="D93" s="6">
        <f>IFERROR(__xludf.DUMMYFUNCTION("""COMPUTED_VALUE"""),1582.0)</f>
        <v>1582</v>
      </c>
      <c r="E93" s="6">
        <f>IFERROR(__xludf.DUMMYFUNCTION("""COMPUTED_VALUE"""),1613.0)</f>
        <v>1613</v>
      </c>
      <c r="F93" s="6">
        <f>IFERROR(__xludf.DUMMYFUNCTION("""COMPUTED_VALUE"""),3114946.0)</f>
        <v>3114946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IFERROR(__xludf.DUMMYFUNCTION("""COMPUTED_VALUE"""),1619.0)</f>
        <v>1619</v>
      </c>
      <c r="C94" s="6">
        <f>IFERROR(__xludf.DUMMYFUNCTION("""COMPUTED_VALUE"""),1713.4)</f>
        <v>1713.4</v>
      </c>
      <c r="D94" s="6">
        <f>IFERROR(__xludf.DUMMYFUNCTION("""COMPUTED_VALUE"""),1601.4)</f>
        <v>1601.4</v>
      </c>
      <c r="E94" s="6">
        <f>IFERROR(__xludf.DUMMYFUNCTION("""COMPUTED_VALUE"""),1695.0)</f>
        <v>1695</v>
      </c>
      <c r="F94" s="6">
        <f>IFERROR(__xludf.DUMMYFUNCTION("""COMPUTED_VALUE"""),3498529.0)</f>
        <v>3498529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IFERROR(__xludf.DUMMYFUNCTION("""COMPUTED_VALUE"""),1695.0)</f>
        <v>1695</v>
      </c>
      <c r="C95" s="6">
        <f>IFERROR(__xludf.DUMMYFUNCTION("""COMPUTED_VALUE"""),1810.2)</f>
        <v>1810.2</v>
      </c>
      <c r="D95" s="6">
        <f>IFERROR(__xludf.DUMMYFUNCTION("""COMPUTED_VALUE"""),1684.3)</f>
        <v>1684.3</v>
      </c>
      <c r="E95" s="6">
        <f>IFERROR(__xludf.DUMMYFUNCTION("""COMPUTED_VALUE"""),1782.2)</f>
        <v>1782.2</v>
      </c>
      <c r="F95" s="6">
        <f>IFERROR(__xludf.DUMMYFUNCTION("""COMPUTED_VALUE"""),7426594.0)</f>
        <v>7426594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IFERROR(__xludf.DUMMYFUNCTION("""COMPUTED_VALUE"""),1782.2)</f>
        <v>1782.2</v>
      </c>
      <c r="C96" s="6">
        <f>IFERROR(__xludf.DUMMYFUNCTION("""COMPUTED_VALUE"""),1814.0)</f>
        <v>1814</v>
      </c>
      <c r="D96" s="6">
        <f>IFERROR(__xludf.DUMMYFUNCTION("""COMPUTED_VALUE"""),1650.0)</f>
        <v>1650</v>
      </c>
      <c r="E96" s="6">
        <f>IFERROR(__xludf.DUMMYFUNCTION("""COMPUTED_VALUE"""),1669.1)</f>
        <v>1669.1</v>
      </c>
      <c r="F96" s="6">
        <f>IFERROR(__xludf.DUMMYFUNCTION("""COMPUTED_VALUE"""),3632103.0)</f>
        <v>3632103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IFERROR(__xludf.DUMMYFUNCTION("""COMPUTED_VALUE"""),1649.1)</f>
        <v>1649.1</v>
      </c>
      <c r="C97" s="6">
        <f>IFERROR(__xludf.DUMMYFUNCTION("""COMPUTED_VALUE"""),1660.9)</f>
        <v>1660.9</v>
      </c>
      <c r="D97" s="6">
        <f>IFERROR(__xludf.DUMMYFUNCTION("""COMPUTED_VALUE"""),1582.5)</f>
        <v>1582.5</v>
      </c>
      <c r="E97" s="6">
        <f>IFERROR(__xludf.DUMMYFUNCTION("""COMPUTED_VALUE"""),1596.5)</f>
        <v>1596.5</v>
      </c>
      <c r="F97" s="6">
        <f>IFERROR(__xludf.DUMMYFUNCTION("""COMPUTED_VALUE"""),4753174.0)</f>
        <v>4753174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IFERROR(__xludf.DUMMYFUNCTION("""COMPUTED_VALUE"""),1603.0)</f>
        <v>1603</v>
      </c>
      <c r="C98" s="6">
        <f>IFERROR(__xludf.DUMMYFUNCTION("""COMPUTED_VALUE"""),1641.9)</f>
        <v>1641.9</v>
      </c>
      <c r="D98" s="6">
        <f>IFERROR(__xludf.DUMMYFUNCTION("""COMPUTED_VALUE"""),1538.3)</f>
        <v>1538.3</v>
      </c>
      <c r="E98" s="6">
        <f>IFERROR(__xludf.DUMMYFUNCTION("""COMPUTED_VALUE"""),1603.6)</f>
        <v>1603.6</v>
      </c>
      <c r="F98" s="6">
        <f>IFERROR(__xludf.DUMMYFUNCTION("""COMPUTED_VALUE"""),3851304.0)</f>
        <v>3851304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IFERROR(__xludf.DUMMYFUNCTION("""COMPUTED_VALUE"""),1603.7)</f>
        <v>1603.7</v>
      </c>
      <c r="C99" s="6">
        <f>IFERROR(__xludf.DUMMYFUNCTION("""COMPUTED_VALUE"""),1659.4)</f>
        <v>1659.4</v>
      </c>
      <c r="D99" s="6">
        <f>IFERROR(__xludf.DUMMYFUNCTION("""COMPUTED_VALUE"""),1596.0)</f>
        <v>1596</v>
      </c>
      <c r="E99" s="6">
        <f>IFERROR(__xludf.DUMMYFUNCTION("""COMPUTED_VALUE"""),1600.9)</f>
        <v>1600.9</v>
      </c>
      <c r="F99" s="6">
        <f>IFERROR(__xludf.DUMMYFUNCTION("""COMPUTED_VALUE"""),2056760.0)</f>
        <v>2056760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IFERROR(__xludf.DUMMYFUNCTION("""COMPUTED_VALUE"""),1613.1)</f>
        <v>1613.1</v>
      </c>
      <c r="C100" s="6">
        <f>IFERROR(__xludf.DUMMYFUNCTION("""COMPUTED_VALUE"""),1687.0)</f>
        <v>1687</v>
      </c>
      <c r="D100" s="6">
        <f>IFERROR(__xludf.DUMMYFUNCTION("""COMPUTED_VALUE"""),1601.0)</f>
        <v>1601</v>
      </c>
      <c r="E100" s="6">
        <f>IFERROR(__xludf.DUMMYFUNCTION("""COMPUTED_VALUE"""),1635.6)</f>
        <v>1635.6</v>
      </c>
      <c r="F100" s="6">
        <f>IFERROR(__xludf.DUMMYFUNCTION("""COMPUTED_VALUE"""),2692876.0)</f>
        <v>2692876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IFERROR(__xludf.DUMMYFUNCTION("""COMPUTED_VALUE"""),1645.6)</f>
        <v>1645.6</v>
      </c>
      <c r="C101" s="6">
        <f>IFERROR(__xludf.DUMMYFUNCTION("""COMPUTED_VALUE"""),1664.6)</f>
        <v>1664.6</v>
      </c>
      <c r="D101" s="6">
        <f>IFERROR(__xludf.DUMMYFUNCTION("""COMPUTED_VALUE"""),1599.0)</f>
        <v>1599</v>
      </c>
      <c r="E101" s="6">
        <f>IFERROR(__xludf.DUMMYFUNCTION("""COMPUTED_VALUE"""),1609.0)</f>
        <v>1609</v>
      </c>
      <c r="F101" s="6">
        <f>IFERROR(__xludf.DUMMYFUNCTION("""COMPUTED_VALUE"""),6266098.0)</f>
        <v>6266098</v>
      </c>
    </row>
  </sheetData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IFERROR(__xludf.DUMMYFUNCTION("GOOGLEFINANCE(""NSE:RECLTD"",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IFERROR(__xludf.DUMMYFUNCTION("""COMPUTED_VALUE"""),240.45)</f>
        <v>240.45</v>
      </c>
      <c r="C2" s="6">
        <f>IFERROR(__xludf.DUMMYFUNCTION("""COMPUTED_VALUE"""),249.25)</f>
        <v>249.25</v>
      </c>
      <c r="D2" s="6">
        <f>IFERROR(__xludf.DUMMYFUNCTION("""COMPUTED_VALUE"""),230.55)</f>
        <v>230.55</v>
      </c>
      <c r="E2" s="6">
        <f>IFERROR(__xludf.DUMMYFUNCTION("""COMPUTED_VALUE"""),238.8)</f>
        <v>238.8</v>
      </c>
      <c r="F2" s="6">
        <f>IFERROR(__xludf.DUMMYFUNCTION("""COMPUTED_VALUE"""),2.21077042E8)</f>
        <v>221077042</v>
      </c>
    </row>
    <row r="3">
      <c r="A3" s="7">
        <f>IFERROR(__xludf.DUMMYFUNCTION("""COMPUTED_VALUE"""),45177.64583333333)</f>
        <v>45177.64583</v>
      </c>
      <c r="B3" s="6">
        <f>IFERROR(__xludf.DUMMYFUNCTION("""COMPUTED_VALUE"""),240.2)</f>
        <v>240.2</v>
      </c>
      <c r="C3" s="6">
        <f>IFERROR(__xludf.DUMMYFUNCTION("""COMPUTED_VALUE"""),272.8)</f>
        <v>272.8</v>
      </c>
      <c r="D3" s="6">
        <f>IFERROR(__xludf.DUMMYFUNCTION("""COMPUTED_VALUE"""),233.65)</f>
        <v>233.65</v>
      </c>
      <c r="E3" s="6">
        <f>IFERROR(__xludf.DUMMYFUNCTION("""COMPUTED_VALUE"""),270.15)</f>
        <v>270.15</v>
      </c>
      <c r="F3" s="6">
        <f>IFERROR(__xludf.DUMMYFUNCTION("""COMPUTED_VALUE"""),1.28390268E8)</f>
        <v>128390268</v>
      </c>
    </row>
    <row r="4">
      <c r="A4" s="7">
        <f>IFERROR(__xludf.DUMMYFUNCTION("""COMPUTED_VALUE"""),45184.64583333333)</f>
        <v>45184.64583</v>
      </c>
      <c r="B4" s="6">
        <f>IFERROR(__xludf.DUMMYFUNCTION("""COMPUTED_VALUE"""),272.9)</f>
        <v>272.9</v>
      </c>
      <c r="C4" s="6">
        <f>IFERROR(__xludf.DUMMYFUNCTION("""COMPUTED_VALUE"""),284.7)</f>
        <v>284.7</v>
      </c>
      <c r="D4" s="6">
        <f>IFERROR(__xludf.DUMMYFUNCTION("""COMPUTED_VALUE"""),239.9)</f>
        <v>239.9</v>
      </c>
      <c r="E4" s="6">
        <f>IFERROR(__xludf.DUMMYFUNCTION("""COMPUTED_VALUE"""),244.9)</f>
        <v>244.9</v>
      </c>
      <c r="F4" s="6">
        <f>IFERROR(__xludf.DUMMYFUNCTION("""COMPUTED_VALUE"""),1.52494519E8)</f>
        <v>152494519</v>
      </c>
    </row>
    <row r="5">
      <c r="A5" s="7">
        <f>IFERROR(__xludf.DUMMYFUNCTION("""COMPUTED_VALUE"""),45191.64583333333)</f>
        <v>45191.64583</v>
      </c>
      <c r="B5" s="6">
        <f>IFERROR(__xludf.DUMMYFUNCTION("""COMPUTED_VALUE"""),247.0)</f>
        <v>247</v>
      </c>
      <c r="C5" s="6">
        <f>IFERROR(__xludf.DUMMYFUNCTION("""COMPUTED_VALUE"""),272.0)</f>
        <v>272</v>
      </c>
      <c r="D5" s="6">
        <f>IFERROR(__xludf.DUMMYFUNCTION("""COMPUTED_VALUE"""),239.6)</f>
        <v>239.6</v>
      </c>
      <c r="E5" s="6">
        <f>IFERROR(__xludf.DUMMYFUNCTION("""COMPUTED_VALUE"""),270.9)</f>
        <v>270.9</v>
      </c>
      <c r="F5" s="6">
        <f>IFERROR(__xludf.DUMMYFUNCTION("""COMPUTED_VALUE"""),9.8017565E7)</f>
        <v>98017565</v>
      </c>
    </row>
    <row r="6">
      <c r="A6" s="7">
        <f>IFERROR(__xludf.DUMMYFUNCTION("""COMPUTED_VALUE"""),45198.64583333333)</f>
        <v>45198.64583</v>
      </c>
      <c r="B6" s="6">
        <f>IFERROR(__xludf.DUMMYFUNCTION("""COMPUTED_VALUE"""),271.8)</f>
        <v>271.8</v>
      </c>
      <c r="C6" s="6">
        <f>IFERROR(__xludf.DUMMYFUNCTION("""COMPUTED_VALUE"""),291.95)</f>
        <v>291.95</v>
      </c>
      <c r="D6" s="6">
        <f>IFERROR(__xludf.DUMMYFUNCTION("""COMPUTED_VALUE"""),265.7)</f>
        <v>265.7</v>
      </c>
      <c r="E6" s="6">
        <f>IFERROR(__xludf.DUMMYFUNCTION("""COMPUTED_VALUE"""),287.4)</f>
        <v>287.4</v>
      </c>
      <c r="F6" s="6">
        <f>IFERROR(__xludf.DUMMYFUNCTION("""COMPUTED_VALUE"""),1.15044434E8)</f>
        <v>115044434</v>
      </c>
    </row>
    <row r="7">
      <c r="A7" s="7">
        <f>IFERROR(__xludf.DUMMYFUNCTION("""COMPUTED_VALUE"""),45205.64583333333)</f>
        <v>45205.64583</v>
      </c>
      <c r="B7" s="6">
        <f>IFERROR(__xludf.DUMMYFUNCTION("""COMPUTED_VALUE"""),287.95)</f>
        <v>287.95</v>
      </c>
      <c r="C7" s="6">
        <f>IFERROR(__xludf.DUMMYFUNCTION("""COMPUTED_VALUE"""),294.3)</f>
        <v>294.3</v>
      </c>
      <c r="D7" s="6">
        <f>IFERROR(__xludf.DUMMYFUNCTION("""COMPUTED_VALUE"""),277.7)</f>
        <v>277.7</v>
      </c>
      <c r="E7" s="6">
        <f>IFERROR(__xludf.DUMMYFUNCTION("""COMPUTED_VALUE"""),285.5)</f>
        <v>285.5</v>
      </c>
      <c r="F7" s="6">
        <f>IFERROR(__xludf.DUMMYFUNCTION("""COMPUTED_VALUE"""),6.1052063E7)</f>
        <v>61052063</v>
      </c>
    </row>
    <row r="8">
      <c r="A8" s="7">
        <f>IFERROR(__xludf.DUMMYFUNCTION("""COMPUTED_VALUE"""),45212.64583333333)</f>
        <v>45212.64583</v>
      </c>
      <c r="B8" s="6">
        <f>IFERROR(__xludf.DUMMYFUNCTION("""COMPUTED_VALUE"""),282.25)</f>
        <v>282.25</v>
      </c>
      <c r="C8" s="6">
        <f>IFERROR(__xludf.DUMMYFUNCTION("""COMPUTED_VALUE"""),296.95)</f>
        <v>296.95</v>
      </c>
      <c r="D8" s="6">
        <f>IFERROR(__xludf.DUMMYFUNCTION("""COMPUTED_VALUE"""),278.5)</f>
        <v>278.5</v>
      </c>
      <c r="E8" s="6">
        <f>IFERROR(__xludf.DUMMYFUNCTION("""COMPUTED_VALUE"""),293.25)</f>
        <v>293.25</v>
      </c>
      <c r="F8" s="6">
        <f>IFERROR(__xludf.DUMMYFUNCTION("""COMPUTED_VALUE"""),5.8586372E7)</f>
        <v>58586372</v>
      </c>
    </row>
    <row r="9">
      <c r="A9" s="7">
        <f>IFERROR(__xludf.DUMMYFUNCTION("""COMPUTED_VALUE"""),45219.64583333333)</f>
        <v>45219.64583</v>
      </c>
      <c r="B9" s="6">
        <f>IFERROR(__xludf.DUMMYFUNCTION("""COMPUTED_VALUE"""),294.85)</f>
        <v>294.85</v>
      </c>
      <c r="C9" s="6">
        <f>IFERROR(__xludf.DUMMYFUNCTION("""COMPUTED_VALUE"""),299.2)</f>
        <v>299.2</v>
      </c>
      <c r="D9" s="6">
        <f>IFERROR(__xludf.DUMMYFUNCTION("""COMPUTED_VALUE"""),284.35)</f>
        <v>284.35</v>
      </c>
      <c r="E9" s="6">
        <f>IFERROR(__xludf.DUMMYFUNCTION("""COMPUTED_VALUE"""),287.85)</f>
        <v>287.85</v>
      </c>
      <c r="F9" s="6">
        <f>IFERROR(__xludf.DUMMYFUNCTION("""COMPUTED_VALUE"""),4.5439048E7)</f>
        <v>45439048</v>
      </c>
    </row>
    <row r="10">
      <c r="A10" s="7">
        <f>IFERROR(__xludf.DUMMYFUNCTION("""COMPUTED_VALUE"""),45226.64583333333)</f>
        <v>45226.64583</v>
      </c>
      <c r="B10" s="6">
        <f>IFERROR(__xludf.DUMMYFUNCTION("""COMPUTED_VALUE"""),287.85)</f>
        <v>287.85</v>
      </c>
      <c r="C10" s="6">
        <f>IFERROR(__xludf.DUMMYFUNCTION("""COMPUTED_VALUE"""),291.15)</f>
        <v>291.15</v>
      </c>
      <c r="D10" s="6">
        <f>IFERROR(__xludf.DUMMYFUNCTION("""COMPUTED_VALUE"""),259.45)</f>
        <v>259.45</v>
      </c>
      <c r="E10" s="6">
        <f>IFERROR(__xludf.DUMMYFUNCTION("""COMPUTED_VALUE"""),273.05)</f>
        <v>273.05</v>
      </c>
      <c r="F10" s="6">
        <f>IFERROR(__xludf.DUMMYFUNCTION("""COMPUTED_VALUE"""),6.2846471E7)</f>
        <v>62846471</v>
      </c>
    </row>
    <row r="11">
      <c r="A11" s="7">
        <f>IFERROR(__xludf.DUMMYFUNCTION("""COMPUTED_VALUE"""),45233.64583333333)</f>
        <v>45233.64583</v>
      </c>
      <c r="B11" s="6">
        <f>IFERROR(__xludf.DUMMYFUNCTION("""COMPUTED_VALUE"""),275.8)</f>
        <v>275.8</v>
      </c>
      <c r="C11" s="6">
        <f>IFERROR(__xludf.DUMMYFUNCTION("""COMPUTED_VALUE"""),307.4)</f>
        <v>307.4</v>
      </c>
      <c r="D11" s="6">
        <f>IFERROR(__xludf.DUMMYFUNCTION("""COMPUTED_VALUE"""),268.0)</f>
        <v>268</v>
      </c>
      <c r="E11" s="6">
        <f>IFERROR(__xludf.DUMMYFUNCTION("""COMPUTED_VALUE"""),303.85)</f>
        <v>303.85</v>
      </c>
      <c r="F11" s="6">
        <f>IFERROR(__xludf.DUMMYFUNCTION("""COMPUTED_VALUE"""),1.14906008E8)</f>
        <v>114906008</v>
      </c>
    </row>
    <row r="12">
      <c r="A12" s="7">
        <f>IFERROR(__xludf.DUMMYFUNCTION("""COMPUTED_VALUE"""),45240.64583333333)</f>
        <v>45240.64583</v>
      </c>
      <c r="B12" s="6">
        <f>IFERROR(__xludf.DUMMYFUNCTION("""COMPUTED_VALUE"""),307.0)</f>
        <v>307</v>
      </c>
      <c r="C12" s="6">
        <f>IFERROR(__xludf.DUMMYFUNCTION("""COMPUTED_VALUE"""),326.9)</f>
        <v>326.9</v>
      </c>
      <c r="D12" s="6">
        <f>IFERROR(__xludf.DUMMYFUNCTION("""COMPUTED_VALUE"""),300.5)</f>
        <v>300.5</v>
      </c>
      <c r="E12" s="6">
        <f>IFERROR(__xludf.DUMMYFUNCTION("""COMPUTED_VALUE"""),325.7)</f>
        <v>325.7</v>
      </c>
      <c r="F12" s="6">
        <f>IFERROR(__xludf.DUMMYFUNCTION("""COMPUTED_VALUE"""),6.58536E7)</f>
        <v>65853600</v>
      </c>
    </row>
    <row r="13">
      <c r="A13" s="7">
        <f>IFERROR(__xludf.DUMMYFUNCTION("""COMPUTED_VALUE"""),45247.64583333333)</f>
        <v>45247.64583</v>
      </c>
      <c r="B13" s="6">
        <f>IFERROR(__xludf.DUMMYFUNCTION("""COMPUTED_VALUE"""),329.0)</f>
        <v>329</v>
      </c>
      <c r="C13" s="6">
        <f>IFERROR(__xludf.DUMMYFUNCTION("""COMPUTED_VALUE"""),345.15)</f>
        <v>345.15</v>
      </c>
      <c r="D13" s="6">
        <f>IFERROR(__xludf.DUMMYFUNCTION("""COMPUTED_VALUE"""),324.2)</f>
        <v>324.2</v>
      </c>
      <c r="E13" s="6">
        <f>IFERROR(__xludf.DUMMYFUNCTION("""COMPUTED_VALUE"""),339.8)</f>
        <v>339.8</v>
      </c>
      <c r="F13" s="6">
        <f>IFERROR(__xludf.DUMMYFUNCTION("""COMPUTED_VALUE"""),5.6924493E7)</f>
        <v>56924493</v>
      </c>
    </row>
    <row r="14">
      <c r="A14" s="7">
        <f>IFERROR(__xludf.DUMMYFUNCTION("""COMPUTED_VALUE"""),45254.64583333333)</f>
        <v>45254.64583</v>
      </c>
      <c r="B14" s="6">
        <f>IFERROR(__xludf.DUMMYFUNCTION("""COMPUTED_VALUE"""),340.45)</f>
        <v>340.45</v>
      </c>
      <c r="C14" s="6">
        <f>IFERROR(__xludf.DUMMYFUNCTION("""COMPUTED_VALUE"""),351.0)</f>
        <v>351</v>
      </c>
      <c r="D14" s="6">
        <f>IFERROR(__xludf.DUMMYFUNCTION("""COMPUTED_VALUE"""),332.25)</f>
        <v>332.25</v>
      </c>
      <c r="E14" s="6">
        <f>IFERROR(__xludf.DUMMYFUNCTION("""COMPUTED_VALUE"""),337.95)</f>
        <v>337.95</v>
      </c>
      <c r="F14" s="6">
        <f>IFERROR(__xludf.DUMMYFUNCTION("""COMPUTED_VALUE"""),5.0750721E7)</f>
        <v>50750721</v>
      </c>
    </row>
    <row r="15">
      <c r="A15" s="7">
        <f>IFERROR(__xludf.DUMMYFUNCTION("""COMPUTED_VALUE"""),45261.64583333333)</f>
        <v>45261.64583</v>
      </c>
      <c r="B15" s="6">
        <f>IFERROR(__xludf.DUMMYFUNCTION("""COMPUTED_VALUE"""),339.0)</f>
        <v>339</v>
      </c>
      <c r="C15" s="6">
        <f>IFERROR(__xludf.DUMMYFUNCTION("""COMPUTED_VALUE"""),382.7)</f>
        <v>382.7</v>
      </c>
      <c r="D15" s="6">
        <f>IFERROR(__xludf.DUMMYFUNCTION("""COMPUTED_VALUE"""),331.85)</f>
        <v>331.85</v>
      </c>
      <c r="E15" s="6">
        <f>IFERROR(__xludf.DUMMYFUNCTION("""COMPUTED_VALUE"""),374.0)</f>
        <v>374</v>
      </c>
      <c r="F15" s="6">
        <f>IFERROR(__xludf.DUMMYFUNCTION("""COMPUTED_VALUE"""),8.5708962E7)</f>
        <v>85708962</v>
      </c>
    </row>
    <row r="16">
      <c r="A16" s="7">
        <f>IFERROR(__xludf.DUMMYFUNCTION("""COMPUTED_VALUE"""),45268.64583333333)</f>
        <v>45268.64583</v>
      </c>
      <c r="B16" s="6">
        <f>IFERROR(__xludf.DUMMYFUNCTION("""COMPUTED_VALUE"""),385.5)</f>
        <v>385.5</v>
      </c>
      <c r="C16" s="6">
        <f>IFERROR(__xludf.DUMMYFUNCTION("""COMPUTED_VALUE"""),409.2)</f>
        <v>409.2</v>
      </c>
      <c r="D16" s="6">
        <f>IFERROR(__xludf.DUMMYFUNCTION("""COMPUTED_VALUE"""),376.15)</f>
        <v>376.15</v>
      </c>
      <c r="E16" s="6">
        <f>IFERROR(__xludf.DUMMYFUNCTION("""COMPUTED_VALUE"""),405.45)</f>
        <v>405.45</v>
      </c>
      <c r="F16" s="6">
        <f>IFERROR(__xludf.DUMMYFUNCTION("""COMPUTED_VALUE"""),8.9705441E7)</f>
        <v>89705441</v>
      </c>
    </row>
    <row r="17">
      <c r="A17" s="7">
        <f>IFERROR(__xludf.DUMMYFUNCTION("""COMPUTED_VALUE"""),45275.64583333333)</f>
        <v>45275.64583</v>
      </c>
      <c r="B17" s="6">
        <f>IFERROR(__xludf.DUMMYFUNCTION("""COMPUTED_VALUE"""),407.2)</f>
        <v>407.2</v>
      </c>
      <c r="C17" s="6">
        <f>IFERROR(__xludf.DUMMYFUNCTION("""COMPUTED_VALUE"""),454.75)</f>
        <v>454.75</v>
      </c>
      <c r="D17" s="6">
        <f>IFERROR(__xludf.DUMMYFUNCTION("""COMPUTED_VALUE"""),403.4)</f>
        <v>403.4</v>
      </c>
      <c r="E17" s="6">
        <f>IFERROR(__xludf.DUMMYFUNCTION("""COMPUTED_VALUE"""),431.85)</f>
        <v>431.85</v>
      </c>
      <c r="F17" s="6">
        <f>IFERROR(__xludf.DUMMYFUNCTION("""COMPUTED_VALUE"""),1.09580266E8)</f>
        <v>109580266</v>
      </c>
    </row>
    <row r="18">
      <c r="A18" s="7">
        <f>IFERROR(__xludf.DUMMYFUNCTION("""COMPUTED_VALUE"""),45282.64583333333)</f>
        <v>45282.64583</v>
      </c>
      <c r="B18" s="6">
        <f>IFERROR(__xludf.DUMMYFUNCTION("""COMPUTED_VALUE"""),431.85)</f>
        <v>431.85</v>
      </c>
      <c r="C18" s="6">
        <f>IFERROR(__xludf.DUMMYFUNCTION("""COMPUTED_VALUE"""),441.6)</f>
        <v>441.6</v>
      </c>
      <c r="D18" s="6">
        <f>IFERROR(__xludf.DUMMYFUNCTION("""COMPUTED_VALUE"""),389.2)</f>
        <v>389.2</v>
      </c>
      <c r="E18" s="6">
        <f>IFERROR(__xludf.DUMMYFUNCTION("""COMPUTED_VALUE"""),406.6)</f>
        <v>406.6</v>
      </c>
      <c r="F18" s="6">
        <f>IFERROR(__xludf.DUMMYFUNCTION("""COMPUTED_VALUE"""),7.4529415E7)</f>
        <v>74529415</v>
      </c>
    </row>
    <row r="19">
      <c r="A19" s="7">
        <f>IFERROR(__xludf.DUMMYFUNCTION("""COMPUTED_VALUE"""),45289.64583333333)</f>
        <v>45289.64583</v>
      </c>
      <c r="B19" s="6">
        <f>IFERROR(__xludf.DUMMYFUNCTION("""COMPUTED_VALUE"""),408.25)</f>
        <v>408.25</v>
      </c>
      <c r="C19" s="6">
        <f>IFERROR(__xludf.DUMMYFUNCTION("""COMPUTED_VALUE"""),422.7)</f>
        <v>422.7</v>
      </c>
      <c r="D19" s="6">
        <f>IFERROR(__xludf.DUMMYFUNCTION("""COMPUTED_VALUE"""),405.25)</f>
        <v>405.25</v>
      </c>
      <c r="E19" s="6">
        <f>IFERROR(__xludf.DUMMYFUNCTION("""COMPUTED_VALUE"""),412.85)</f>
        <v>412.85</v>
      </c>
      <c r="F19" s="6">
        <f>IFERROR(__xludf.DUMMYFUNCTION("""COMPUTED_VALUE"""),3.7591827E7)</f>
        <v>37591827</v>
      </c>
    </row>
    <row r="20">
      <c r="A20" s="7">
        <f>IFERROR(__xludf.DUMMYFUNCTION("""COMPUTED_VALUE"""),45296.64583333333)</f>
        <v>45296.64583</v>
      </c>
      <c r="B20" s="6">
        <f>IFERROR(__xludf.DUMMYFUNCTION("""COMPUTED_VALUE"""),413.7)</f>
        <v>413.7</v>
      </c>
      <c r="C20" s="6">
        <f>IFERROR(__xludf.DUMMYFUNCTION("""COMPUTED_VALUE"""),440.15)</f>
        <v>440.15</v>
      </c>
      <c r="D20" s="6">
        <f>IFERROR(__xludf.DUMMYFUNCTION("""COMPUTED_VALUE"""),410.7)</f>
        <v>410.7</v>
      </c>
      <c r="E20" s="6">
        <f>IFERROR(__xludf.DUMMYFUNCTION("""COMPUTED_VALUE"""),434.3)</f>
        <v>434.3</v>
      </c>
      <c r="F20" s="6">
        <f>IFERROR(__xludf.DUMMYFUNCTION("""COMPUTED_VALUE"""),5.3808596E7)</f>
        <v>53808596</v>
      </c>
    </row>
    <row r="21">
      <c r="A21" s="7">
        <f>IFERROR(__xludf.DUMMYFUNCTION("""COMPUTED_VALUE"""),45303.64583333333)</f>
        <v>45303.64583</v>
      </c>
      <c r="B21" s="6">
        <f>IFERROR(__xludf.DUMMYFUNCTION("""COMPUTED_VALUE"""),435.5)</f>
        <v>435.5</v>
      </c>
      <c r="C21" s="6">
        <f>IFERROR(__xludf.DUMMYFUNCTION("""COMPUTED_VALUE"""),444.8)</f>
        <v>444.8</v>
      </c>
      <c r="D21" s="6">
        <f>IFERROR(__xludf.DUMMYFUNCTION("""COMPUTED_VALUE"""),411.7)</f>
        <v>411.7</v>
      </c>
      <c r="E21" s="6">
        <f>IFERROR(__xludf.DUMMYFUNCTION("""COMPUTED_VALUE"""),428.55)</f>
        <v>428.55</v>
      </c>
      <c r="F21" s="6">
        <f>IFERROR(__xludf.DUMMYFUNCTION("""COMPUTED_VALUE"""),4.6453552E7)</f>
        <v>46453552</v>
      </c>
    </row>
    <row r="22">
      <c r="A22" s="7">
        <f>IFERROR(__xludf.DUMMYFUNCTION("""COMPUTED_VALUE"""),45316.64583333333)</f>
        <v>45316.64583</v>
      </c>
      <c r="B22" s="6">
        <f>IFERROR(__xludf.DUMMYFUNCTION("""COMPUTED_VALUE"""),482.0)</f>
        <v>482</v>
      </c>
      <c r="C22" s="6">
        <f>IFERROR(__xludf.DUMMYFUNCTION("""COMPUTED_VALUE"""),482.0)</f>
        <v>482</v>
      </c>
      <c r="D22" s="6">
        <f>IFERROR(__xludf.DUMMYFUNCTION("""COMPUTED_VALUE"""),416.2)</f>
        <v>416.2</v>
      </c>
      <c r="E22" s="6">
        <f>IFERROR(__xludf.DUMMYFUNCTION("""COMPUTED_VALUE"""),470.15)</f>
        <v>470.15</v>
      </c>
      <c r="F22" s="6">
        <f>IFERROR(__xludf.DUMMYFUNCTION("""COMPUTED_VALUE"""),8.6875356E7)</f>
        <v>86875356</v>
      </c>
    </row>
    <row r="23">
      <c r="A23" s="7">
        <f>IFERROR(__xludf.DUMMYFUNCTION("""COMPUTED_VALUE"""),45324.64583333333)</f>
        <v>45324.64583</v>
      </c>
      <c r="B23" s="6">
        <f>IFERROR(__xludf.DUMMYFUNCTION("""COMPUTED_VALUE"""),477.2)</f>
        <v>477.2</v>
      </c>
      <c r="C23" s="6">
        <f>IFERROR(__xludf.DUMMYFUNCTION("""COMPUTED_VALUE"""),513.8)</f>
        <v>513.8</v>
      </c>
      <c r="D23" s="6">
        <f>IFERROR(__xludf.DUMMYFUNCTION("""COMPUTED_VALUE"""),472.5)</f>
        <v>472.5</v>
      </c>
      <c r="E23" s="6">
        <f>IFERROR(__xludf.DUMMYFUNCTION("""COMPUTED_VALUE"""),496.9)</f>
        <v>496.9</v>
      </c>
      <c r="F23" s="6">
        <f>IFERROR(__xludf.DUMMYFUNCTION("""COMPUTED_VALUE"""),8.4683022E7)</f>
        <v>84683022</v>
      </c>
    </row>
    <row r="24">
      <c r="A24" s="7">
        <f>IFERROR(__xludf.DUMMYFUNCTION("""COMPUTED_VALUE"""),45331.64583333333)</f>
        <v>45331.64583</v>
      </c>
      <c r="B24" s="6">
        <f>IFERROR(__xludf.DUMMYFUNCTION("""COMPUTED_VALUE"""),499.5)</f>
        <v>499.5</v>
      </c>
      <c r="C24" s="6">
        <f>IFERROR(__xludf.DUMMYFUNCTION("""COMPUTED_VALUE"""),524.0)</f>
        <v>524</v>
      </c>
      <c r="D24" s="6">
        <f>IFERROR(__xludf.DUMMYFUNCTION("""COMPUTED_VALUE"""),463.3)</f>
        <v>463.3</v>
      </c>
      <c r="E24" s="6">
        <f>IFERROR(__xludf.DUMMYFUNCTION("""COMPUTED_VALUE"""),482.4)</f>
        <v>482.4</v>
      </c>
      <c r="F24" s="6">
        <f>IFERROR(__xludf.DUMMYFUNCTION("""COMPUTED_VALUE"""),6.7090711E7)</f>
        <v>67090711</v>
      </c>
    </row>
    <row r="25">
      <c r="A25" s="7">
        <f>IFERROR(__xludf.DUMMYFUNCTION("""COMPUTED_VALUE"""),45338.64583333333)</f>
        <v>45338.64583</v>
      </c>
      <c r="B25" s="6">
        <f>IFERROR(__xludf.DUMMYFUNCTION("""COMPUTED_VALUE"""),482.4)</f>
        <v>482.4</v>
      </c>
      <c r="C25" s="6">
        <f>IFERROR(__xludf.DUMMYFUNCTION("""COMPUTED_VALUE"""),489.4)</f>
        <v>489.4</v>
      </c>
      <c r="D25" s="6">
        <f>IFERROR(__xludf.DUMMYFUNCTION("""COMPUTED_VALUE"""),446.0)</f>
        <v>446</v>
      </c>
      <c r="E25" s="6">
        <f>IFERROR(__xludf.DUMMYFUNCTION("""COMPUTED_VALUE"""),473.65)</f>
        <v>473.65</v>
      </c>
      <c r="F25" s="6">
        <f>IFERROR(__xludf.DUMMYFUNCTION("""COMPUTED_VALUE"""),6.3430624E7)</f>
        <v>63430624</v>
      </c>
    </row>
    <row r="26">
      <c r="A26" s="7">
        <f>IFERROR(__xludf.DUMMYFUNCTION("""COMPUTED_VALUE"""),45345.64583333333)</f>
        <v>45345.64583</v>
      </c>
      <c r="B26" s="6">
        <f>IFERROR(__xludf.DUMMYFUNCTION("""COMPUTED_VALUE"""),475.0)</f>
        <v>475</v>
      </c>
      <c r="C26" s="6">
        <f>IFERROR(__xludf.DUMMYFUNCTION("""COMPUTED_VALUE"""),480.65)</f>
        <v>480.65</v>
      </c>
      <c r="D26" s="6">
        <f>IFERROR(__xludf.DUMMYFUNCTION("""COMPUTED_VALUE"""),441.35)</f>
        <v>441.35</v>
      </c>
      <c r="E26" s="6">
        <f>IFERROR(__xludf.DUMMYFUNCTION("""COMPUTED_VALUE"""),463.95)</f>
        <v>463.95</v>
      </c>
      <c r="F26" s="6">
        <f>IFERROR(__xludf.DUMMYFUNCTION("""COMPUTED_VALUE"""),3.83065E7)</f>
        <v>38306500</v>
      </c>
    </row>
    <row r="27">
      <c r="A27" s="7">
        <f>IFERROR(__xludf.DUMMYFUNCTION("""COMPUTED_VALUE"""),45358.64583333333)</f>
        <v>45358.64583</v>
      </c>
      <c r="B27" s="6">
        <f>IFERROR(__xludf.DUMMYFUNCTION("""COMPUTED_VALUE"""),464.8)</f>
        <v>464.8</v>
      </c>
      <c r="C27" s="6">
        <f>IFERROR(__xludf.DUMMYFUNCTION("""COMPUTED_VALUE"""),481.0)</f>
        <v>481</v>
      </c>
      <c r="D27" s="6">
        <f>IFERROR(__xludf.DUMMYFUNCTION("""COMPUTED_VALUE"""),453.0)</f>
        <v>453</v>
      </c>
      <c r="E27" s="6">
        <f>IFERROR(__xludf.DUMMYFUNCTION("""COMPUTED_VALUE"""),472.9)</f>
        <v>472.9</v>
      </c>
      <c r="F27" s="6">
        <f>IFERROR(__xludf.DUMMYFUNCTION("""COMPUTED_VALUE"""),4.6318089E7)</f>
        <v>46318089</v>
      </c>
    </row>
    <row r="28">
      <c r="A28" s="7">
        <f>IFERROR(__xludf.DUMMYFUNCTION("""COMPUTED_VALUE"""),45366.64583333333)</f>
        <v>45366.64583</v>
      </c>
      <c r="B28" s="6">
        <f>IFERROR(__xludf.DUMMYFUNCTION("""COMPUTED_VALUE"""),474.45)</f>
        <v>474.45</v>
      </c>
      <c r="C28" s="6">
        <f>IFERROR(__xludf.DUMMYFUNCTION("""COMPUTED_VALUE"""),492.1)</f>
        <v>492.1</v>
      </c>
      <c r="D28" s="6">
        <f>IFERROR(__xludf.DUMMYFUNCTION("""COMPUTED_VALUE"""),430.35)</f>
        <v>430.35</v>
      </c>
      <c r="E28" s="6">
        <f>IFERROR(__xludf.DUMMYFUNCTION("""COMPUTED_VALUE"""),446.7)</f>
        <v>446.7</v>
      </c>
      <c r="F28" s="6">
        <f>IFERROR(__xludf.DUMMYFUNCTION("""COMPUTED_VALUE"""),1.04154851E8)</f>
        <v>104154851</v>
      </c>
    </row>
    <row r="29">
      <c r="A29" s="7">
        <f>IFERROR(__xludf.DUMMYFUNCTION("""COMPUTED_VALUE"""),45373.64583333333)</f>
        <v>45373.64583</v>
      </c>
      <c r="B29" s="6">
        <f>IFERROR(__xludf.DUMMYFUNCTION("""COMPUTED_VALUE"""),441.0)</f>
        <v>441</v>
      </c>
      <c r="C29" s="6">
        <f>IFERROR(__xludf.DUMMYFUNCTION("""COMPUTED_VALUE"""),464.75)</f>
        <v>464.75</v>
      </c>
      <c r="D29" s="6">
        <f>IFERROR(__xludf.DUMMYFUNCTION("""COMPUTED_VALUE"""),414.55)</f>
        <v>414.55</v>
      </c>
      <c r="E29" s="6">
        <f>IFERROR(__xludf.DUMMYFUNCTION("""COMPUTED_VALUE"""),460.1)</f>
        <v>460.1</v>
      </c>
      <c r="F29" s="6">
        <f>IFERROR(__xludf.DUMMYFUNCTION("""COMPUTED_VALUE"""),7.5818022E7)</f>
        <v>75818022</v>
      </c>
    </row>
    <row r="30">
      <c r="A30" s="7">
        <f>IFERROR(__xludf.DUMMYFUNCTION("""COMPUTED_VALUE"""),45379.64583333333)</f>
        <v>45379.64583</v>
      </c>
      <c r="B30" s="6">
        <f>IFERROR(__xludf.DUMMYFUNCTION("""COMPUTED_VALUE"""),455.2)</f>
        <v>455.2</v>
      </c>
      <c r="C30" s="6">
        <f>IFERROR(__xludf.DUMMYFUNCTION("""COMPUTED_VALUE"""),466.55)</f>
        <v>466.55</v>
      </c>
      <c r="D30" s="6">
        <f>IFERROR(__xludf.DUMMYFUNCTION("""COMPUTED_VALUE"""),440.8)</f>
        <v>440.8</v>
      </c>
      <c r="E30" s="6">
        <f>IFERROR(__xludf.DUMMYFUNCTION("""COMPUTED_VALUE"""),451.0)</f>
        <v>451</v>
      </c>
      <c r="F30" s="6">
        <f>IFERROR(__xludf.DUMMYFUNCTION("""COMPUTED_VALUE"""),5.1251762E7)</f>
        <v>51251762</v>
      </c>
    </row>
    <row r="31">
      <c r="A31" s="7">
        <f>IFERROR(__xludf.DUMMYFUNCTION("""COMPUTED_VALUE"""),45387.64583333333)</f>
        <v>45387.64583</v>
      </c>
      <c r="B31" s="6">
        <f>IFERROR(__xludf.DUMMYFUNCTION("""COMPUTED_VALUE"""),453.0)</f>
        <v>453</v>
      </c>
      <c r="C31" s="6">
        <f>IFERROR(__xludf.DUMMYFUNCTION("""COMPUTED_VALUE"""),482.4)</f>
        <v>482.4</v>
      </c>
      <c r="D31" s="6">
        <f>IFERROR(__xludf.DUMMYFUNCTION("""COMPUTED_VALUE"""),452.45)</f>
        <v>452.45</v>
      </c>
      <c r="E31" s="6">
        <f>IFERROR(__xludf.DUMMYFUNCTION("""COMPUTED_VALUE"""),471.6)</f>
        <v>471.6</v>
      </c>
      <c r="F31" s="6">
        <f>IFERROR(__xludf.DUMMYFUNCTION("""COMPUTED_VALUE"""),5.0888812E7)</f>
        <v>50888812</v>
      </c>
    </row>
    <row r="32">
      <c r="A32" s="7">
        <f>IFERROR(__xludf.DUMMYFUNCTION("""COMPUTED_VALUE"""),45394.64583333333)</f>
        <v>45394.64583</v>
      </c>
      <c r="B32" s="6">
        <f>IFERROR(__xludf.DUMMYFUNCTION("""COMPUTED_VALUE"""),472.45)</f>
        <v>472.45</v>
      </c>
      <c r="C32" s="6">
        <f>IFERROR(__xludf.DUMMYFUNCTION("""COMPUTED_VALUE"""),474.15)</f>
        <v>474.15</v>
      </c>
      <c r="D32" s="6">
        <f>IFERROR(__xludf.DUMMYFUNCTION("""COMPUTED_VALUE"""),438.25)</f>
        <v>438.25</v>
      </c>
      <c r="E32" s="6">
        <f>IFERROR(__xludf.DUMMYFUNCTION("""COMPUTED_VALUE"""),439.25)</f>
        <v>439.25</v>
      </c>
      <c r="F32" s="6">
        <f>IFERROR(__xludf.DUMMYFUNCTION("""COMPUTED_VALUE"""),4.962813E7)</f>
        <v>49628130</v>
      </c>
    </row>
    <row r="33">
      <c r="A33" s="7">
        <f>IFERROR(__xludf.DUMMYFUNCTION("""COMPUTED_VALUE"""),45401.64583333333)</f>
        <v>45401.64583</v>
      </c>
      <c r="B33" s="6">
        <f>IFERROR(__xludf.DUMMYFUNCTION("""COMPUTED_VALUE"""),431.0)</f>
        <v>431</v>
      </c>
      <c r="C33" s="6">
        <f>IFERROR(__xludf.DUMMYFUNCTION("""COMPUTED_VALUE"""),440.3)</f>
        <v>440.3</v>
      </c>
      <c r="D33" s="6">
        <f>IFERROR(__xludf.DUMMYFUNCTION("""COMPUTED_VALUE"""),414.8)</f>
        <v>414.8</v>
      </c>
      <c r="E33" s="6">
        <f>IFERROR(__xludf.DUMMYFUNCTION("""COMPUTED_VALUE"""),425.75)</f>
        <v>425.75</v>
      </c>
      <c r="F33" s="6">
        <f>IFERROR(__xludf.DUMMYFUNCTION("""COMPUTED_VALUE"""),3.8511018E7)</f>
        <v>38511018</v>
      </c>
    </row>
    <row r="34">
      <c r="A34" s="7">
        <f>IFERROR(__xludf.DUMMYFUNCTION("""COMPUTED_VALUE"""),45408.64583333333)</f>
        <v>45408.64583</v>
      </c>
      <c r="B34" s="6">
        <f>IFERROR(__xludf.DUMMYFUNCTION("""COMPUTED_VALUE"""),427.4)</f>
        <v>427.4</v>
      </c>
      <c r="C34" s="6">
        <f>IFERROR(__xludf.DUMMYFUNCTION("""COMPUTED_VALUE"""),461.75)</f>
        <v>461.75</v>
      </c>
      <c r="D34" s="6">
        <f>IFERROR(__xludf.DUMMYFUNCTION("""COMPUTED_VALUE"""),427.4)</f>
        <v>427.4</v>
      </c>
      <c r="E34" s="6">
        <f>IFERROR(__xludf.DUMMYFUNCTION("""COMPUTED_VALUE"""),457.0)</f>
        <v>457</v>
      </c>
      <c r="F34" s="6">
        <f>IFERROR(__xludf.DUMMYFUNCTION("""COMPUTED_VALUE"""),4.1872052E7)</f>
        <v>41872052</v>
      </c>
    </row>
    <row r="35">
      <c r="A35" s="7">
        <f>IFERROR(__xludf.DUMMYFUNCTION("""COMPUTED_VALUE"""),45415.64583333333)</f>
        <v>45415.64583</v>
      </c>
      <c r="B35" s="6">
        <f>IFERROR(__xludf.DUMMYFUNCTION("""COMPUTED_VALUE"""),461.0)</f>
        <v>461</v>
      </c>
      <c r="C35" s="6">
        <f>IFERROR(__xludf.DUMMYFUNCTION("""COMPUTED_VALUE"""),567.15)</f>
        <v>567.15</v>
      </c>
      <c r="D35" s="6">
        <f>IFERROR(__xludf.DUMMYFUNCTION("""COMPUTED_VALUE"""),455.15)</f>
        <v>455.15</v>
      </c>
      <c r="E35" s="6">
        <f>IFERROR(__xludf.DUMMYFUNCTION("""COMPUTED_VALUE"""),557.8)</f>
        <v>557.8</v>
      </c>
      <c r="F35" s="6">
        <f>IFERROR(__xludf.DUMMYFUNCTION("""COMPUTED_VALUE"""),2.0961427E8)</f>
        <v>209614270</v>
      </c>
    </row>
    <row r="36">
      <c r="A36" s="7">
        <f>IFERROR(__xludf.DUMMYFUNCTION("""COMPUTED_VALUE"""),45422.64583333333)</f>
        <v>45422.64583</v>
      </c>
      <c r="B36" s="6">
        <f>IFERROR(__xludf.DUMMYFUNCTION("""COMPUTED_VALUE"""),531.0)</f>
        <v>531</v>
      </c>
      <c r="C36" s="6">
        <f>IFERROR(__xludf.DUMMYFUNCTION("""COMPUTED_VALUE"""),543.4)</f>
        <v>543.4</v>
      </c>
      <c r="D36" s="6">
        <f>IFERROR(__xludf.DUMMYFUNCTION("""COMPUTED_VALUE"""),481.8)</f>
        <v>481.8</v>
      </c>
      <c r="E36" s="6">
        <f>IFERROR(__xludf.DUMMYFUNCTION("""COMPUTED_VALUE"""),513.85)</f>
        <v>513.85</v>
      </c>
      <c r="F36" s="6">
        <f>IFERROR(__xludf.DUMMYFUNCTION("""COMPUTED_VALUE"""),1.94762692E8)</f>
        <v>194762692</v>
      </c>
    </row>
    <row r="37">
      <c r="A37" s="7">
        <f>IFERROR(__xludf.DUMMYFUNCTION("""COMPUTED_VALUE"""),45436.64583333333)</f>
        <v>45436.64583</v>
      </c>
      <c r="B37" s="6">
        <f>IFERROR(__xludf.DUMMYFUNCTION("""COMPUTED_VALUE"""),544.95)</f>
        <v>544.95</v>
      </c>
      <c r="C37" s="6">
        <f>IFERROR(__xludf.DUMMYFUNCTION("""COMPUTED_VALUE"""),563.5)</f>
        <v>563.5</v>
      </c>
      <c r="D37" s="6">
        <f>IFERROR(__xludf.DUMMYFUNCTION("""COMPUTED_VALUE"""),532.1)</f>
        <v>532.1</v>
      </c>
      <c r="E37" s="6">
        <f>IFERROR(__xludf.DUMMYFUNCTION("""COMPUTED_VALUE"""),554.05)</f>
        <v>554.05</v>
      </c>
      <c r="F37" s="6">
        <f>IFERROR(__xludf.DUMMYFUNCTION("""COMPUTED_VALUE"""),4.2747504E7)</f>
        <v>42747504</v>
      </c>
    </row>
    <row r="38">
      <c r="A38" s="7">
        <f>IFERROR(__xludf.DUMMYFUNCTION("""COMPUTED_VALUE"""),45443.64583333333)</f>
        <v>45443.64583</v>
      </c>
      <c r="B38" s="6">
        <f>IFERROR(__xludf.DUMMYFUNCTION("""COMPUTED_VALUE"""),557.0)</f>
        <v>557</v>
      </c>
      <c r="C38" s="6">
        <f>IFERROR(__xludf.DUMMYFUNCTION("""COMPUTED_VALUE"""),591.4)</f>
        <v>591.4</v>
      </c>
      <c r="D38" s="6">
        <f>IFERROR(__xludf.DUMMYFUNCTION("""COMPUTED_VALUE"""),525.6)</f>
        <v>525.6</v>
      </c>
      <c r="E38" s="6">
        <f>IFERROR(__xludf.DUMMYFUNCTION("""COMPUTED_VALUE"""),537.75)</f>
        <v>537.75</v>
      </c>
      <c r="F38" s="6">
        <f>IFERROR(__xludf.DUMMYFUNCTION("""COMPUTED_VALUE"""),9.7912163E7)</f>
        <v>97912163</v>
      </c>
    </row>
    <row r="39">
      <c r="A39" s="7">
        <f>IFERROR(__xludf.DUMMYFUNCTION("""COMPUTED_VALUE"""),45450.64583333333)</f>
        <v>45450.64583</v>
      </c>
      <c r="B39" s="6">
        <f>IFERROR(__xludf.DUMMYFUNCTION("""COMPUTED_VALUE"""),578.0)</f>
        <v>578</v>
      </c>
      <c r="C39" s="6">
        <f>IFERROR(__xludf.DUMMYFUNCTION("""COMPUTED_VALUE"""),607.8)</f>
        <v>607.8</v>
      </c>
      <c r="D39" s="6">
        <f>IFERROR(__xludf.DUMMYFUNCTION("""COMPUTED_VALUE"""),408.3)</f>
        <v>408.3</v>
      </c>
      <c r="E39" s="6">
        <f>IFERROR(__xludf.DUMMYFUNCTION("""COMPUTED_VALUE"""),496.8)</f>
        <v>496.8</v>
      </c>
      <c r="F39" s="6">
        <f>IFERROR(__xludf.DUMMYFUNCTION("""COMPUTED_VALUE"""),3.13916305E8)</f>
        <v>313916305</v>
      </c>
    </row>
    <row r="40">
      <c r="A40" s="7">
        <f>IFERROR(__xludf.DUMMYFUNCTION("""COMPUTED_VALUE"""),45457.64583333333)</f>
        <v>45457.64583</v>
      </c>
      <c r="B40" s="6">
        <f>IFERROR(__xludf.DUMMYFUNCTION("""COMPUTED_VALUE"""),504.0)</f>
        <v>504</v>
      </c>
      <c r="C40" s="6">
        <f>IFERROR(__xludf.DUMMYFUNCTION("""COMPUTED_VALUE"""),536.9)</f>
        <v>536.9</v>
      </c>
      <c r="D40" s="6">
        <f>IFERROR(__xludf.DUMMYFUNCTION("""COMPUTED_VALUE"""),496.3)</f>
        <v>496.3</v>
      </c>
      <c r="E40" s="6">
        <f>IFERROR(__xludf.DUMMYFUNCTION("""COMPUTED_VALUE"""),532.65)</f>
        <v>532.65</v>
      </c>
      <c r="F40" s="6">
        <f>IFERROR(__xludf.DUMMYFUNCTION("""COMPUTED_VALUE"""),1.02569399E8)</f>
        <v>102569399</v>
      </c>
    </row>
    <row r="41">
      <c r="A41" s="7">
        <f>IFERROR(__xludf.DUMMYFUNCTION("""COMPUTED_VALUE"""),45464.64583333333)</f>
        <v>45464.64583</v>
      </c>
      <c r="B41" s="6">
        <f>IFERROR(__xludf.DUMMYFUNCTION("""COMPUTED_VALUE"""),533.05)</f>
        <v>533.05</v>
      </c>
      <c r="C41" s="6">
        <f>IFERROR(__xludf.DUMMYFUNCTION("""COMPUTED_VALUE"""),536.65)</f>
        <v>536.65</v>
      </c>
      <c r="D41" s="6">
        <f>IFERROR(__xludf.DUMMYFUNCTION("""COMPUTED_VALUE"""),499.25)</f>
        <v>499.25</v>
      </c>
      <c r="E41" s="6">
        <f>IFERROR(__xludf.DUMMYFUNCTION("""COMPUTED_VALUE"""),510.5)</f>
        <v>510.5</v>
      </c>
      <c r="F41" s="6">
        <f>IFERROR(__xludf.DUMMYFUNCTION("""COMPUTED_VALUE"""),5.3932229E7)</f>
        <v>53932229</v>
      </c>
    </row>
    <row r="42">
      <c r="A42" s="7">
        <f>IFERROR(__xludf.DUMMYFUNCTION("""COMPUTED_VALUE"""),45471.64583333333)</f>
        <v>45471.64583</v>
      </c>
      <c r="B42" s="6">
        <f>IFERROR(__xludf.DUMMYFUNCTION("""COMPUTED_VALUE"""),507.7)</f>
        <v>507.7</v>
      </c>
      <c r="C42" s="6">
        <f>IFERROR(__xludf.DUMMYFUNCTION("""COMPUTED_VALUE"""),533.0)</f>
        <v>533</v>
      </c>
      <c r="D42" s="6">
        <f>IFERROR(__xludf.DUMMYFUNCTION("""COMPUTED_VALUE"""),500.0)</f>
        <v>500</v>
      </c>
      <c r="E42" s="6">
        <f>IFERROR(__xludf.DUMMYFUNCTION("""COMPUTED_VALUE"""),525.4)</f>
        <v>525.4</v>
      </c>
      <c r="F42" s="6">
        <f>IFERROR(__xludf.DUMMYFUNCTION("""COMPUTED_VALUE"""),6.724829E7)</f>
        <v>67248290</v>
      </c>
    </row>
    <row r="43">
      <c r="A43" s="7">
        <f>IFERROR(__xludf.DUMMYFUNCTION("""COMPUTED_VALUE"""),45478.64583333333)</f>
        <v>45478.64583</v>
      </c>
      <c r="B43" s="6">
        <f>IFERROR(__xludf.DUMMYFUNCTION("""COMPUTED_VALUE"""),531.0)</f>
        <v>531</v>
      </c>
      <c r="C43" s="6">
        <f>IFERROR(__xludf.DUMMYFUNCTION("""COMPUTED_VALUE"""),587.05)</f>
        <v>587.05</v>
      </c>
      <c r="D43" s="6">
        <f>IFERROR(__xludf.DUMMYFUNCTION("""COMPUTED_VALUE"""),526.25)</f>
        <v>526.25</v>
      </c>
      <c r="E43" s="6">
        <f>IFERROR(__xludf.DUMMYFUNCTION("""COMPUTED_VALUE"""),580.45)</f>
        <v>580.45</v>
      </c>
      <c r="F43" s="6">
        <f>IFERROR(__xludf.DUMMYFUNCTION("""COMPUTED_VALUE"""),1.0523692E8)</f>
        <v>105236920</v>
      </c>
    </row>
    <row r="44">
      <c r="A44" s="7">
        <f>IFERROR(__xludf.DUMMYFUNCTION("""COMPUTED_VALUE"""),45485.64583333333)</f>
        <v>45485.64583</v>
      </c>
      <c r="B44" s="6">
        <f>IFERROR(__xludf.DUMMYFUNCTION("""COMPUTED_VALUE"""),582.95)</f>
        <v>582.95</v>
      </c>
      <c r="C44" s="6">
        <f>IFERROR(__xludf.DUMMYFUNCTION("""COMPUTED_VALUE"""),654.0)</f>
        <v>654</v>
      </c>
      <c r="D44" s="6">
        <f>IFERROR(__xludf.DUMMYFUNCTION("""COMPUTED_VALUE"""),582.0)</f>
        <v>582</v>
      </c>
      <c r="E44" s="6">
        <f>IFERROR(__xludf.DUMMYFUNCTION("""COMPUTED_VALUE"""),637.35)</f>
        <v>637.35</v>
      </c>
      <c r="F44" s="6">
        <f>IFERROR(__xludf.DUMMYFUNCTION("""COMPUTED_VALUE"""),1.04775816E8)</f>
        <v>104775816</v>
      </c>
    </row>
    <row r="45">
      <c r="A45" s="7">
        <f>IFERROR(__xludf.DUMMYFUNCTION("""COMPUTED_VALUE"""),45492.64583333333)</f>
        <v>45492.64583</v>
      </c>
      <c r="B45" s="6">
        <f>IFERROR(__xludf.DUMMYFUNCTION("""COMPUTED_VALUE"""),640.0)</f>
        <v>640</v>
      </c>
      <c r="C45" s="6">
        <f>IFERROR(__xludf.DUMMYFUNCTION("""COMPUTED_VALUE"""),644.7)</f>
        <v>644.7</v>
      </c>
      <c r="D45" s="6">
        <f>IFERROR(__xludf.DUMMYFUNCTION("""COMPUTED_VALUE"""),596.4)</f>
        <v>596.4</v>
      </c>
      <c r="E45" s="6">
        <f>IFERROR(__xludf.DUMMYFUNCTION("""COMPUTED_VALUE"""),598.4)</f>
        <v>598.4</v>
      </c>
      <c r="F45" s="6">
        <f>IFERROR(__xludf.DUMMYFUNCTION("""COMPUTED_VALUE"""),4.5966883E7)</f>
        <v>45966883</v>
      </c>
    </row>
    <row r="46">
      <c r="A46" s="7">
        <f>IFERROR(__xludf.DUMMYFUNCTION("""COMPUTED_VALUE"""),45499.64583333333)</f>
        <v>45499.64583</v>
      </c>
      <c r="B46" s="6">
        <f>IFERROR(__xludf.DUMMYFUNCTION("""COMPUTED_VALUE"""),595.0)</f>
        <v>595</v>
      </c>
      <c r="C46" s="6">
        <f>IFERROR(__xludf.DUMMYFUNCTION("""COMPUTED_VALUE"""),629.05)</f>
        <v>629.05</v>
      </c>
      <c r="D46" s="6">
        <f>IFERROR(__xludf.DUMMYFUNCTION("""COMPUTED_VALUE"""),566.55)</f>
        <v>566.55</v>
      </c>
      <c r="E46" s="6">
        <f>IFERROR(__xludf.DUMMYFUNCTION("""COMPUTED_VALUE"""),625.9)</f>
        <v>625.9</v>
      </c>
      <c r="F46" s="6">
        <f>IFERROR(__xludf.DUMMYFUNCTION("""COMPUTED_VALUE"""),6.7812615E7)</f>
        <v>67812615</v>
      </c>
    </row>
    <row r="47">
      <c r="A47" s="7">
        <f>IFERROR(__xludf.DUMMYFUNCTION("""COMPUTED_VALUE"""),45506.64583333333)</f>
        <v>45506.64583</v>
      </c>
      <c r="B47" s="6">
        <f>IFERROR(__xludf.DUMMYFUNCTION("""COMPUTED_VALUE"""),620.0)</f>
        <v>620</v>
      </c>
      <c r="C47" s="6">
        <f>IFERROR(__xludf.DUMMYFUNCTION("""COMPUTED_VALUE"""),650.6)</f>
        <v>650.6</v>
      </c>
      <c r="D47" s="6">
        <f>IFERROR(__xludf.DUMMYFUNCTION("""COMPUTED_VALUE"""),607.7)</f>
        <v>607.7</v>
      </c>
      <c r="E47" s="6">
        <f>IFERROR(__xludf.DUMMYFUNCTION("""COMPUTED_VALUE"""),611.05)</f>
        <v>611.05</v>
      </c>
      <c r="F47" s="6">
        <f>IFERROR(__xludf.DUMMYFUNCTION("""COMPUTED_VALUE"""),6.5783318E7)</f>
        <v>65783318</v>
      </c>
    </row>
    <row r="48">
      <c r="A48" s="7">
        <f>IFERROR(__xludf.DUMMYFUNCTION("""COMPUTED_VALUE"""),45513.64583333333)</f>
        <v>45513.64583</v>
      </c>
      <c r="B48" s="6">
        <f>IFERROR(__xludf.DUMMYFUNCTION("""COMPUTED_VALUE"""),588.1)</f>
        <v>588.1</v>
      </c>
      <c r="C48" s="6">
        <f>IFERROR(__xludf.DUMMYFUNCTION("""COMPUTED_VALUE"""),609.45)</f>
        <v>609.45</v>
      </c>
      <c r="D48" s="6">
        <f>IFERROR(__xludf.DUMMYFUNCTION("""COMPUTED_VALUE"""),563.55)</f>
        <v>563.55</v>
      </c>
      <c r="E48" s="6">
        <f>IFERROR(__xludf.DUMMYFUNCTION("""COMPUTED_VALUE"""),586.9)</f>
        <v>586.9</v>
      </c>
      <c r="F48" s="6">
        <f>IFERROR(__xludf.DUMMYFUNCTION("""COMPUTED_VALUE"""),6.0666503E7)</f>
        <v>60666503</v>
      </c>
    </row>
    <row r="49">
      <c r="A49" s="7">
        <f>IFERROR(__xludf.DUMMYFUNCTION("""COMPUTED_VALUE"""),45520.64583333333)</f>
        <v>45520.64583</v>
      </c>
      <c r="B49" s="6">
        <f>IFERROR(__xludf.DUMMYFUNCTION("""COMPUTED_VALUE"""),583.35)</f>
        <v>583.35</v>
      </c>
      <c r="C49" s="6">
        <f>IFERROR(__xludf.DUMMYFUNCTION("""COMPUTED_VALUE"""),585.35)</f>
        <v>585.35</v>
      </c>
      <c r="D49" s="6">
        <f>IFERROR(__xludf.DUMMYFUNCTION("""COMPUTED_VALUE"""),560.05)</f>
        <v>560.05</v>
      </c>
      <c r="E49" s="6">
        <f>IFERROR(__xludf.DUMMYFUNCTION("""COMPUTED_VALUE"""),579.65)</f>
        <v>579.65</v>
      </c>
      <c r="F49" s="6">
        <f>IFERROR(__xludf.DUMMYFUNCTION("""COMPUTED_VALUE"""),2.6541247E7)</f>
        <v>26541247</v>
      </c>
    </row>
    <row r="50">
      <c r="A50" s="7">
        <f>IFERROR(__xludf.DUMMYFUNCTION("""COMPUTED_VALUE"""),45527.64583333333)</f>
        <v>45527.64583</v>
      </c>
      <c r="B50" s="6">
        <f>IFERROR(__xludf.DUMMYFUNCTION("""COMPUTED_VALUE"""),585.4)</f>
        <v>585.4</v>
      </c>
      <c r="C50" s="6">
        <f>IFERROR(__xludf.DUMMYFUNCTION("""COMPUTED_VALUE"""),604.95)</f>
        <v>604.95</v>
      </c>
      <c r="D50" s="6">
        <f>IFERROR(__xludf.DUMMYFUNCTION("""COMPUTED_VALUE"""),580.0)</f>
        <v>580</v>
      </c>
      <c r="E50" s="6">
        <f>IFERROR(__xludf.DUMMYFUNCTION("""COMPUTED_VALUE"""),586.7)</f>
        <v>586.7</v>
      </c>
      <c r="F50" s="6">
        <f>IFERROR(__xludf.DUMMYFUNCTION("""COMPUTED_VALUE"""),3.2047249E7)</f>
        <v>32047249</v>
      </c>
    </row>
    <row r="51">
      <c r="A51" s="7">
        <f>IFERROR(__xludf.DUMMYFUNCTION("""COMPUTED_VALUE"""),45534.64583333333)</f>
        <v>45534.64583</v>
      </c>
      <c r="B51" s="6">
        <f>IFERROR(__xludf.DUMMYFUNCTION("""COMPUTED_VALUE"""),598.05)</f>
        <v>598.05</v>
      </c>
      <c r="C51" s="6">
        <f>IFERROR(__xludf.DUMMYFUNCTION("""COMPUTED_VALUE"""),636.0)</f>
        <v>636</v>
      </c>
      <c r="D51" s="6">
        <f>IFERROR(__xludf.DUMMYFUNCTION("""COMPUTED_VALUE"""),586.55)</f>
        <v>586.55</v>
      </c>
      <c r="E51" s="6">
        <f>IFERROR(__xludf.DUMMYFUNCTION("""COMPUTED_VALUE"""),619.75)</f>
        <v>619.75</v>
      </c>
      <c r="F51" s="6">
        <f>IFERROR(__xludf.DUMMYFUNCTION("""COMPUTED_VALUE"""),5.8396188E7)</f>
        <v>58396188</v>
      </c>
    </row>
    <row r="52">
      <c r="A52" s="7">
        <f>IFERROR(__xludf.DUMMYFUNCTION("""COMPUTED_VALUE"""),45541.64583333333)</f>
        <v>45541.64583</v>
      </c>
      <c r="B52" s="6">
        <f>IFERROR(__xludf.DUMMYFUNCTION("""COMPUTED_VALUE"""),619.9)</f>
        <v>619.9</v>
      </c>
      <c r="C52" s="6">
        <f>IFERROR(__xludf.DUMMYFUNCTION("""COMPUTED_VALUE"""),635.4)</f>
        <v>635.4</v>
      </c>
      <c r="D52" s="6">
        <f>IFERROR(__xludf.DUMMYFUNCTION("""COMPUTED_VALUE"""),604.0)</f>
        <v>604</v>
      </c>
      <c r="E52" s="6">
        <f>IFERROR(__xludf.DUMMYFUNCTION("""COMPUTED_VALUE"""),607.45)</f>
        <v>607.45</v>
      </c>
      <c r="F52" s="6">
        <f>IFERROR(__xludf.DUMMYFUNCTION("""COMPUTED_VALUE"""),3.2061844E7)</f>
        <v>32061844</v>
      </c>
    </row>
    <row r="53">
      <c r="A53" s="7">
        <f>IFERROR(__xludf.DUMMYFUNCTION("""COMPUTED_VALUE"""),45548.64583333333)</f>
        <v>45548.64583</v>
      </c>
      <c r="B53" s="6">
        <f>IFERROR(__xludf.DUMMYFUNCTION("""COMPUTED_VALUE"""),604.5)</f>
        <v>604.5</v>
      </c>
      <c r="C53" s="6">
        <f>IFERROR(__xludf.DUMMYFUNCTION("""COMPUTED_VALUE"""),606.0)</f>
        <v>606</v>
      </c>
      <c r="D53" s="6">
        <f>IFERROR(__xludf.DUMMYFUNCTION("""COMPUTED_VALUE"""),553.7)</f>
        <v>553.7</v>
      </c>
      <c r="E53" s="6">
        <f>IFERROR(__xludf.DUMMYFUNCTION("""COMPUTED_VALUE"""),567.7)</f>
        <v>567.7</v>
      </c>
      <c r="F53" s="6">
        <f>IFERROR(__xludf.DUMMYFUNCTION("""COMPUTED_VALUE"""),4.5785635E7)</f>
        <v>45785635</v>
      </c>
    </row>
    <row r="54">
      <c r="A54" s="7">
        <f>IFERROR(__xludf.DUMMYFUNCTION("""COMPUTED_VALUE"""),45555.64583333333)</f>
        <v>45555.64583</v>
      </c>
      <c r="B54" s="6">
        <f>IFERROR(__xludf.DUMMYFUNCTION("""COMPUTED_VALUE"""),567.7)</f>
        <v>567.7</v>
      </c>
      <c r="C54" s="6">
        <f>IFERROR(__xludf.DUMMYFUNCTION("""COMPUTED_VALUE"""),570.25)</f>
        <v>570.25</v>
      </c>
      <c r="D54" s="6">
        <f>IFERROR(__xludf.DUMMYFUNCTION("""COMPUTED_VALUE"""),509.85)</f>
        <v>509.85</v>
      </c>
      <c r="E54" s="6">
        <f>IFERROR(__xludf.DUMMYFUNCTION("""COMPUTED_VALUE"""),539.95)</f>
        <v>539.95</v>
      </c>
      <c r="F54" s="6">
        <f>IFERROR(__xludf.DUMMYFUNCTION("""COMPUTED_VALUE"""),7.1414502E7)</f>
        <v>71414502</v>
      </c>
    </row>
    <row r="55">
      <c r="A55" s="7">
        <f>IFERROR(__xludf.DUMMYFUNCTION("""COMPUTED_VALUE"""),45562.64583333333)</f>
        <v>45562.64583</v>
      </c>
      <c r="B55" s="6">
        <f>IFERROR(__xludf.DUMMYFUNCTION("""COMPUTED_VALUE"""),542.05)</f>
        <v>542.05</v>
      </c>
      <c r="C55" s="6">
        <f>IFERROR(__xludf.DUMMYFUNCTION("""COMPUTED_VALUE"""),561.5)</f>
        <v>561.5</v>
      </c>
      <c r="D55" s="6">
        <f>IFERROR(__xludf.DUMMYFUNCTION("""COMPUTED_VALUE"""),535.7)</f>
        <v>535.7</v>
      </c>
      <c r="E55" s="6">
        <f>IFERROR(__xludf.DUMMYFUNCTION("""COMPUTED_VALUE"""),560.2)</f>
        <v>560.2</v>
      </c>
      <c r="F55" s="6">
        <f>IFERROR(__xludf.DUMMYFUNCTION("""COMPUTED_VALUE"""),4.3040778E7)</f>
        <v>43040778</v>
      </c>
    </row>
    <row r="56">
      <c r="A56" s="7">
        <f>IFERROR(__xludf.DUMMYFUNCTION("""COMPUTED_VALUE"""),45569.64583333333)</f>
        <v>45569.64583</v>
      </c>
      <c r="B56" s="6">
        <f>IFERROR(__xludf.DUMMYFUNCTION("""COMPUTED_VALUE"""),558.0)</f>
        <v>558</v>
      </c>
      <c r="C56" s="6">
        <f>IFERROR(__xludf.DUMMYFUNCTION("""COMPUTED_VALUE"""),569.45)</f>
        <v>569.45</v>
      </c>
      <c r="D56" s="6">
        <f>IFERROR(__xludf.DUMMYFUNCTION("""COMPUTED_VALUE"""),520.6)</f>
        <v>520.6</v>
      </c>
      <c r="E56" s="6">
        <f>IFERROR(__xludf.DUMMYFUNCTION("""COMPUTED_VALUE"""),524.05)</f>
        <v>524.05</v>
      </c>
      <c r="F56" s="6">
        <f>IFERROR(__xludf.DUMMYFUNCTION("""COMPUTED_VALUE"""),3.9415461E7)</f>
        <v>39415461</v>
      </c>
    </row>
    <row r="57">
      <c r="A57" s="7">
        <f>IFERROR(__xludf.DUMMYFUNCTION("""COMPUTED_VALUE"""),45576.64583333333)</f>
        <v>45576.64583</v>
      </c>
      <c r="B57" s="6">
        <f>IFERROR(__xludf.DUMMYFUNCTION("""COMPUTED_VALUE"""),527.0)</f>
        <v>527</v>
      </c>
      <c r="C57" s="6">
        <f>IFERROR(__xludf.DUMMYFUNCTION("""COMPUTED_VALUE"""),550.35)</f>
        <v>550.35</v>
      </c>
      <c r="D57" s="6">
        <f>IFERROR(__xludf.DUMMYFUNCTION("""COMPUTED_VALUE"""),484.1)</f>
        <v>484.1</v>
      </c>
      <c r="E57" s="6">
        <f>IFERROR(__xludf.DUMMYFUNCTION("""COMPUTED_VALUE"""),537.9)</f>
        <v>537.9</v>
      </c>
      <c r="F57" s="6">
        <f>IFERROR(__xludf.DUMMYFUNCTION("""COMPUTED_VALUE"""),5.2406688E7)</f>
        <v>52406688</v>
      </c>
    </row>
    <row r="58">
      <c r="A58" s="7">
        <f>IFERROR(__xludf.DUMMYFUNCTION("""COMPUTED_VALUE"""),45583.64583333333)</f>
        <v>45583.64583</v>
      </c>
      <c r="B58" s="6">
        <f>IFERROR(__xludf.DUMMYFUNCTION("""COMPUTED_VALUE"""),540.0)</f>
        <v>540</v>
      </c>
      <c r="C58" s="6">
        <f>IFERROR(__xludf.DUMMYFUNCTION("""COMPUTED_VALUE"""),557.5)</f>
        <v>557.5</v>
      </c>
      <c r="D58" s="6">
        <f>IFERROR(__xludf.DUMMYFUNCTION("""COMPUTED_VALUE"""),531.0)</f>
        <v>531</v>
      </c>
      <c r="E58" s="6">
        <f>IFERROR(__xludf.DUMMYFUNCTION("""COMPUTED_VALUE"""),546.25)</f>
        <v>546.25</v>
      </c>
      <c r="F58" s="6">
        <f>IFERROR(__xludf.DUMMYFUNCTION("""COMPUTED_VALUE"""),2.8477274E7)</f>
        <v>28477274</v>
      </c>
    </row>
    <row r="59">
      <c r="A59" s="7">
        <f>IFERROR(__xludf.DUMMYFUNCTION("""COMPUTED_VALUE"""),45590.64583333333)</f>
        <v>45590.64583</v>
      </c>
      <c r="B59" s="6">
        <f>IFERROR(__xludf.DUMMYFUNCTION("""COMPUTED_VALUE"""),546.3)</f>
        <v>546.3</v>
      </c>
      <c r="C59" s="6">
        <f>IFERROR(__xludf.DUMMYFUNCTION("""COMPUTED_VALUE"""),548.75)</f>
        <v>548.75</v>
      </c>
      <c r="D59" s="6">
        <f>IFERROR(__xludf.DUMMYFUNCTION("""COMPUTED_VALUE"""),494.8)</f>
        <v>494.8</v>
      </c>
      <c r="E59" s="6">
        <f>IFERROR(__xludf.DUMMYFUNCTION("""COMPUTED_VALUE"""),508.0)</f>
        <v>508</v>
      </c>
      <c r="F59" s="6">
        <f>IFERROR(__xludf.DUMMYFUNCTION("""COMPUTED_VALUE"""),3.8442386E7)</f>
        <v>38442386</v>
      </c>
    </row>
    <row r="60">
      <c r="A60" s="7">
        <f>IFERROR(__xludf.DUMMYFUNCTION("""COMPUTED_VALUE"""),45604.64583333333)</f>
        <v>45604.64583</v>
      </c>
      <c r="B60" s="6">
        <f>IFERROR(__xludf.DUMMYFUNCTION("""COMPUTED_VALUE"""),528.0)</f>
        <v>528</v>
      </c>
      <c r="C60" s="6">
        <f>IFERROR(__xludf.DUMMYFUNCTION("""COMPUTED_VALUE"""),536.4)</f>
        <v>536.4</v>
      </c>
      <c r="D60" s="6">
        <f>IFERROR(__xludf.DUMMYFUNCTION("""COMPUTED_VALUE"""),499.6)</f>
        <v>499.6</v>
      </c>
      <c r="E60" s="6">
        <f>IFERROR(__xludf.DUMMYFUNCTION("""COMPUTED_VALUE"""),514.55)</f>
        <v>514.55</v>
      </c>
      <c r="F60" s="6">
        <f>IFERROR(__xludf.DUMMYFUNCTION("""COMPUTED_VALUE"""),3.8271193E7)</f>
        <v>38271193</v>
      </c>
    </row>
    <row r="61">
      <c r="A61" s="7">
        <f>IFERROR(__xludf.DUMMYFUNCTION("""COMPUTED_VALUE"""),45610.64583333333)</f>
        <v>45610.64583</v>
      </c>
      <c r="B61" s="6">
        <f>IFERROR(__xludf.DUMMYFUNCTION("""COMPUTED_VALUE"""),515.0)</f>
        <v>515</v>
      </c>
      <c r="C61" s="6">
        <f>IFERROR(__xludf.DUMMYFUNCTION("""COMPUTED_VALUE"""),541.0)</f>
        <v>541</v>
      </c>
      <c r="D61" s="6">
        <f>IFERROR(__xludf.DUMMYFUNCTION("""COMPUTED_VALUE"""),499.35)</f>
        <v>499.35</v>
      </c>
      <c r="E61" s="6">
        <f>IFERROR(__xludf.DUMMYFUNCTION("""COMPUTED_VALUE"""),502.35)</f>
        <v>502.35</v>
      </c>
      <c r="F61" s="6">
        <f>IFERROR(__xludf.DUMMYFUNCTION("""COMPUTED_VALUE"""),3.5788762E7)</f>
        <v>35788762</v>
      </c>
    </row>
    <row r="62">
      <c r="A62" s="7">
        <f>IFERROR(__xludf.DUMMYFUNCTION("""COMPUTED_VALUE"""),45618.64583333333)</f>
        <v>45618.64583</v>
      </c>
      <c r="B62" s="6">
        <f>IFERROR(__xludf.DUMMYFUNCTION("""COMPUTED_VALUE"""),505.3)</f>
        <v>505.3</v>
      </c>
      <c r="C62" s="6">
        <f>IFERROR(__xludf.DUMMYFUNCTION("""COMPUTED_VALUE"""),525.7)</f>
        <v>525.7</v>
      </c>
      <c r="D62" s="6">
        <f>IFERROR(__xludf.DUMMYFUNCTION("""COMPUTED_VALUE"""),469.0)</f>
        <v>469</v>
      </c>
      <c r="E62" s="6">
        <f>IFERROR(__xludf.DUMMYFUNCTION("""COMPUTED_VALUE"""),506.25)</f>
        <v>506.25</v>
      </c>
      <c r="F62" s="6">
        <f>IFERROR(__xludf.DUMMYFUNCTION("""COMPUTED_VALUE"""),5.977087E7)</f>
        <v>59770870</v>
      </c>
    </row>
    <row r="63">
      <c r="A63" s="7">
        <f>IFERROR(__xludf.DUMMYFUNCTION("""COMPUTED_VALUE"""),45625.64583333333)</f>
        <v>45625.64583</v>
      </c>
      <c r="B63" s="6">
        <f>IFERROR(__xludf.DUMMYFUNCTION("""COMPUTED_VALUE"""),527.0)</f>
        <v>527</v>
      </c>
      <c r="C63" s="6">
        <f>IFERROR(__xludf.DUMMYFUNCTION("""COMPUTED_VALUE"""),535.75)</f>
        <v>535.75</v>
      </c>
      <c r="D63" s="6">
        <f>IFERROR(__xludf.DUMMYFUNCTION("""COMPUTED_VALUE"""),513.0)</f>
        <v>513</v>
      </c>
      <c r="E63" s="6">
        <f>IFERROR(__xludf.DUMMYFUNCTION("""COMPUTED_VALUE"""),532.6)</f>
        <v>532.6</v>
      </c>
      <c r="F63" s="6">
        <f>IFERROR(__xludf.DUMMYFUNCTION("""COMPUTED_VALUE"""),3.5000544E7)</f>
        <v>35000544</v>
      </c>
    </row>
    <row r="64">
      <c r="A64" s="7">
        <f>IFERROR(__xludf.DUMMYFUNCTION("""COMPUTED_VALUE"""),45632.64583333333)</f>
        <v>45632.64583</v>
      </c>
      <c r="B64" s="6">
        <f>IFERROR(__xludf.DUMMYFUNCTION("""COMPUTED_VALUE"""),533.0)</f>
        <v>533</v>
      </c>
      <c r="C64" s="6">
        <f>IFERROR(__xludf.DUMMYFUNCTION("""COMPUTED_VALUE"""),562.5)</f>
        <v>562.5</v>
      </c>
      <c r="D64" s="6">
        <f>IFERROR(__xludf.DUMMYFUNCTION("""COMPUTED_VALUE"""),530.1)</f>
        <v>530.1</v>
      </c>
      <c r="E64" s="6">
        <f>IFERROR(__xludf.DUMMYFUNCTION("""COMPUTED_VALUE"""),559.1)</f>
        <v>559.1</v>
      </c>
      <c r="F64" s="6">
        <f>IFERROR(__xludf.DUMMYFUNCTION("""COMPUTED_VALUE"""),3.5610863E7)</f>
        <v>35610863</v>
      </c>
    </row>
    <row r="65">
      <c r="A65" s="7">
        <f>IFERROR(__xludf.DUMMYFUNCTION("""COMPUTED_VALUE"""),45639.64583333333)</f>
        <v>45639.64583</v>
      </c>
      <c r="B65" s="6">
        <f>IFERROR(__xludf.DUMMYFUNCTION("""COMPUTED_VALUE"""),557.95)</f>
        <v>557.95</v>
      </c>
      <c r="C65" s="6">
        <f>IFERROR(__xludf.DUMMYFUNCTION("""COMPUTED_VALUE"""),573.3)</f>
        <v>573.3</v>
      </c>
      <c r="D65" s="6">
        <f>IFERROR(__xludf.DUMMYFUNCTION("""COMPUTED_VALUE"""),542.5)</f>
        <v>542.5</v>
      </c>
      <c r="E65" s="6">
        <f>IFERROR(__xludf.DUMMYFUNCTION("""COMPUTED_VALUE"""),556.95)</f>
        <v>556.95</v>
      </c>
      <c r="F65" s="6">
        <f>IFERROR(__xludf.DUMMYFUNCTION("""COMPUTED_VALUE"""),2.6690689E7)</f>
        <v>26690689</v>
      </c>
    </row>
    <row r="66">
      <c r="A66" s="7">
        <f>IFERROR(__xludf.DUMMYFUNCTION("""COMPUTED_VALUE"""),45646.64583333333)</f>
        <v>45646.64583</v>
      </c>
      <c r="B66" s="6">
        <f>IFERROR(__xludf.DUMMYFUNCTION("""COMPUTED_VALUE"""),557.75)</f>
        <v>557.75</v>
      </c>
      <c r="C66" s="6">
        <f>IFERROR(__xludf.DUMMYFUNCTION("""COMPUTED_VALUE"""),566.0)</f>
        <v>566</v>
      </c>
      <c r="D66" s="6">
        <f>IFERROR(__xludf.DUMMYFUNCTION("""COMPUTED_VALUE"""),510.3)</f>
        <v>510.3</v>
      </c>
      <c r="E66" s="6">
        <f>IFERROR(__xludf.DUMMYFUNCTION("""COMPUTED_VALUE"""),513.25)</f>
        <v>513.25</v>
      </c>
      <c r="F66" s="6">
        <f>IFERROR(__xludf.DUMMYFUNCTION("""COMPUTED_VALUE"""),2.4830989E7)</f>
        <v>24830989</v>
      </c>
    </row>
    <row r="67">
      <c r="A67" s="7">
        <f>IFERROR(__xludf.DUMMYFUNCTION("""COMPUTED_VALUE"""),45653.64583333333)</f>
        <v>45653.64583</v>
      </c>
      <c r="B67" s="6">
        <f>IFERROR(__xludf.DUMMYFUNCTION("""COMPUTED_VALUE"""),519.0)</f>
        <v>519</v>
      </c>
      <c r="C67" s="6">
        <f>IFERROR(__xludf.DUMMYFUNCTION("""COMPUTED_VALUE"""),521.9)</f>
        <v>521.9</v>
      </c>
      <c r="D67" s="6">
        <f>IFERROR(__xludf.DUMMYFUNCTION("""COMPUTED_VALUE"""),505.65)</f>
        <v>505.65</v>
      </c>
      <c r="E67" s="6">
        <f>IFERROR(__xludf.DUMMYFUNCTION("""COMPUTED_VALUE"""),507.45)</f>
        <v>507.45</v>
      </c>
      <c r="F67" s="6">
        <f>IFERROR(__xludf.DUMMYFUNCTION("""COMPUTED_VALUE"""),1.4509162E7)</f>
        <v>14509162</v>
      </c>
    </row>
    <row r="68">
      <c r="A68" s="7">
        <f>IFERROR(__xludf.DUMMYFUNCTION("""COMPUTED_VALUE"""),45660.64583333333)</f>
        <v>45660.64583</v>
      </c>
      <c r="B68" s="6">
        <f>IFERROR(__xludf.DUMMYFUNCTION("""COMPUTED_VALUE"""),508.9)</f>
        <v>508.9</v>
      </c>
      <c r="C68" s="6">
        <f>IFERROR(__xludf.DUMMYFUNCTION("""COMPUTED_VALUE"""),544.7)</f>
        <v>544.7</v>
      </c>
      <c r="D68" s="6">
        <f>IFERROR(__xludf.DUMMYFUNCTION("""COMPUTED_VALUE"""),492.15)</f>
        <v>492.15</v>
      </c>
      <c r="E68" s="6">
        <f>IFERROR(__xludf.DUMMYFUNCTION("""COMPUTED_VALUE"""),538.05)</f>
        <v>538.05</v>
      </c>
      <c r="F68" s="6">
        <f>IFERROR(__xludf.DUMMYFUNCTION("""COMPUTED_VALUE"""),5.5172911E7)</f>
        <v>55172911</v>
      </c>
    </row>
    <row r="69">
      <c r="A69" s="7">
        <f>IFERROR(__xludf.DUMMYFUNCTION("""COMPUTED_VALUE"""),45667.64583333333)</f>
        <v>45667.64583</v>
      </c>
      <c r="B69" s="6">
        <f>IFERROR(__xludf.DUMMYFUNCTION("""COMPUTED_VALUE"""),541.4)</f>
        <v>541.4</v>
      </c>
      <c r="C69" s="6">
        <f>IFERROR(__xludf.DUMMYFUNCTION("""COMPUTED_VALUE"""),541.4)</f>
        <v>541.4</v>
      </c>
      <c r="D69" s="6">
        <f>IFERROR(__xludf.DUMMYFUNCTION("""COMPUTED_VALUE"""),454.45)</f>
        <v>454.45</v>
      </c>
      <c r="E69" s="6">
        <f>IFERROR(__xludf.DUMMYFUNCTION("""COMPUTED_VALUE"""),459.35)</f>
        <v>459.35</v>
      </c>
      <c r="F69" s="6">
        <f>IFERROR(__xludf.DUMMYFUNCTION("""COMPUTED_VALUE"""),3.8413007E7)</f>
        <v>38413007</v>
      </c>
    </row>
    <row r="70">
      <c r="A70" s="7">
        <f>IFERROR(__xludf.DUMMYFUNCTION("""COMPUTED_VALUE"""),45674.64583333333)</f>
        <v>45674.64583</v>
      </c>
      <c r="B70" s="6">
        <f>IFERROR(__xludf.DUMMYFUNCTION("""COMPUTED_VALUE"""),452.1)</f>
        <v>452.1</v>
      </c>
      <c r="C70" s="6">
        <f>IFERROR(__xludf.DUMMYFUNCTION("""COMPUTED_VALUE"""),492.65)</f>
        <v>492.65</v>
      </c>
      <c r="D70" s="6">
        <f>IFERROR(__xludf.DUMMYFUNCTION("""COMPUTED_VALUE"""),443.65)</f>
        <v>443.65</v>
      </c>
      <c r="E70" s="6">
        <f>IFERROR(__xludf.DUMMYFUNCTION("""COMPUTED_VALUE"""),482.35)</f>
        <v>482.35</v>
      </c>
      <c r="F70" s="6">
        <f>IFERROR(__xludf.DUMMYFUNCTION("""COMPUTED_VALUE"""),4.1056986E7)</f>
        <v>41056986</v>
      </c>
    </row>
    <row r="71">
      <c r="A71" s="7">
        <f>IFERROR(__xludf.DUMMYFUNCTION("""COMPUTED_VALUE"""),45681.64583333333)</f>
        <v>45681.64583</v>
      </c>
      <c r="B71" s="6">
        <f>IFERROR(__xludf.DUMMYFUNCTION("""COMPUTED_VALUE"""),484.0)</f>
        <v>484</v>
      </c>
      <c r="C71" s="6">
        <f>IFERROR(__xludf.DUMMYFUNCTION("""COMPUTED_VALUE"""),495.6)</f>
        <v>495.6</v>
      </c>
      <c r="D71" s="6">
        <f>IFERROR(__xludf.DUMMYFUNCTION("""COMPUTED_VALUE"""),445.0)</f>
        <v>445</v>
      </c>
      <c r="E71" s="6">
        <f>IFERROR(__xludf.DUMMYFUNCTION("""COMPUTED_VALUE"""),446.25)</f>
        <v>446.25</v>
      </c>
      <c r="F71" s="6">
        <f>IFERROR(__xludf.DUMMYFUNCTION("""COMPUTED_VALUE"""),3.2744618E7)</f>
        <v>32744618</v>
      </c>
    </row>
    <row r="72">
      <c r="A72" s="7">
        <f>IFERROR(__xludf.DUMMYFUNCTION("""COMPUTED_VALUE"""),45695.64583333333)</f>
        <v>45695.64583</v>
      </c>
      <c r="B72" s="6">
        <f>IFERROR(__xludf.DUMMYFUNCTION("""COMPUTED_VALUE"""),427.45)</f>
        <v>427.45</v>
      </c>
      <c r="C72" s="6">
        <f>IFERROR(__xludf.DUMMYFUNCTION("""COMPUTED_VALUE"""),451.9)</f>
        <v>451.9</v>
      </c>
      <c r="D72" s="6">
        <f>IFERROR(__xludf.DUMMYFUNCTION("""COMPUTED_VALUE"""),402.0)</f>
        <v>402</v>
      </c>
      <c r="E72" s="6">
        <f>IFERROR(__xludf.DUMMYFUNCTION("""COMPUTED_VALUE"""),441.2)</f>
        <v>441.2</v>
      </c>
      <c r="F72" s="6">
        <f>IFERROR(__xludf.DUMMYFUNCTION("""COMPUTED_VALUE"""),6.262615E7)</f>
        <v>62626150</v>
      </c>
    </row>
    <row r="73">
      <c r="A73" s="7">
        <f>IFERROR(__xludf.DUMMYFUNCTION("""COMPUTED_VALUE"""),45702.64583333333)</f>
        <v>45702.64583</v>
      </c>
      <c r="B73" s="6">
        <f>IFERROR(__xludf.DUMMYFUNCTION("""COMPUTED_VALUE"""),440.0)</f>
        <v>440</v>
      </c>
      <c r="C73" s="6">
        <f>IFERROR(__xludf.DUMMYFUNCTION("""COMPUTED_VALUE"""),442.2)</f>
        <v>442.2</v>
      </c>
      <c r="D73" s="6">
        <f>IFERROR(__xludf.DUMMYFUNCTION("""COMPUTED_VALUE"""),386.85)</f>
        <v>386.85</v>
      </c>
      <c r="E73" s="6">
        <f>IFERROR(__xludf.DUMMYFUNCTION("""COMPUTED_VALUE"""),391.65)</f>
        <v>391.65</v>
      </c>
      <c r="F73" s="6">
        <f>IFERROR(__xludf.DUMMYFUNCTION("""COMPUTED_VALUE"""),5.1606917E7)</f>
        <v>51606917</v>
      </c>
    </row>
    <row r="74">
      <c r="A74" s="7">
        <f>IFERROR(__xludf.DUMMYFUNCTION("""COMPUTED_VALUE"""),45709.64583333333)</f>
        <v>45709.64583</v>
      </c>
      <c r="B74" s="6">
        <f>IFERROR(__xludf.DUMMYFUNCTION("""COMPUTED_VALUE"""),387.15)</f>
        <v>387.15</v>
      </c>
      <c r="C74" s="6">
        <f>IFERROR(__xludf.DUMMYFUNCTION("""COMPUTED_VALUE"""),414.0)</f>
        <v>414</v>
      </c>
      <c r="D74" s="6">
        <f>IFERROR(__xludf.DUMMYFUNCTION("""COMPUTED_VALUE"""),375.7)</f>
        <v>375.7</v>
      </c>
      <c r="E74" s="6">
        <f>IFERROR(__xludf.DUMMYFUNCTION("""COMPUTED_VALUE"""),403.55)</f>
        <v>403.55</v>
      </c>
      <c r="F74" s="6">
        <f>IFERROR(__xludf.DUMMYFUNCTION("""COMPUTED_VALUE"""),4.3468233E7)</f>
        <v>43468233</v>
      </c>
    </row>
    <row r="75">
      <c r="A75" s="7">
        <f>IFERROR(__xludf.DUMMYFUNCTION("""COMPUTED_VALUE"""),45716.64583333333)</f>
        <v>45716.64583</v>
      </c>
      <c r="B75" s="6">
        <f>IFERROR(__xludf.DUMMYFUNCTION("""COMPUTED_VALUE"""),398.95)</f>
        <v>398.95</v>
      </c>
      <c r="C75" s="6">
        <f>IFERROR(__xludf.DUMMYFUNCTION("""COMPUTED_VALUE"""),398.95)</f>
        <v>398.95</v>
      </c>
      <c r="D75" s="6">
        <f>IFERROR(__xludf.DUMMYFUNCTION("""COMPUTED_VALUE"""),357.35)</f>
        <v>357.35</v>
      </c>
      <c r="E75" s="6">
        <f>IFERROR(__xludf.DUMMYFUNCTION("""COMPUTED_VALUE"""),360.3)</f>
        <v>360.3</v>
      </c>
      <c r="F75" s="6">
        <f>IFERROR(__xludf.DUMMYFUNCTION("""COMPUTED_VALUE"""),2.854474E7)</f>
        <v>28544740</v>
      </c>
    </row>
    <row r="76">
      <c r="A76" s="7">
        <f>IFERROR(__xludf.DUMMYFUNCTION("""COMPUTED_VALUE"""),45723.64583333333)</f>
        <v>45723.64583</v>
      </c>
      <c r="B76" s="6">
        <f>IFERROR(__xludf.DUMMYFUNCTION("""COMPUTED_VALUE"""),365.05)</f>
        <v>365.05</v>
      </c>
      <c r="C76" s="6">
        <f>IFERROR(__xludf.DUMMYFUNCTION("""COMPUTED_VALUE"""),418.1)</f>
        <v>418.1</v>
      </c>
      <c r="D76" s="6">
        <f>IFERROR(__xludf.DUMMYFUNCTION("""COMPUTED_VALUE"""),360.1)</f>
        <v>360.1</v>
      </c>
      <c r="E76" s="6">
        <f>IFERROR(__xludf.DUMMYFUNCTION("""COMPUTED_VALUE"""),406.2)</f>
        <v>406.2</v>
      </c>
      <c r="F76" s="6">
        <f>IFERROR(__xludf.DUMMYFUNCTION("""COMPUTED_VALUE"""),5.3303995E7)</f>
        <v>53303995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IFERROR(__xludf.DUMMYFUNCTION("""COMPUTED_VALUE"""),406.2)</f>
        <v>406.2</v>
      </c>
      <c r="C77" s="6">
        <f>IFERROR(__xludf.DUMMYFUNCTION("""COMPUTED_VALUE"""),413.2)</f>
        <v>413.2</v>
      </c>
      <c r="D77" s="6">
        <f>IFERROR(__xludf.DUMMYFUNCTION("""COMPUTED_VALUE"""),384.0)</f>
        <v>384</v>
      </c>
      <c r="E77" s="6">
        <f>IFERROR(__xludf.DUMMYFUNCTION("""COMPUTED_VALUE"""),406.65)</f>
        <v>406.65</v>
      </c>
      <c r="F77" s="6">
        <f>IFERROR(__xludf.DUMMYFUNCTION("""COMPUTED_VALUE"""),2.9155603E7)</f>
        <v>29155603</v>
      </c>
    </row>
    <row r="78">
      <c r="A78" s="7">
        <f>IFERROR(__xludf.DUMMYFUNCTION("""COMPUTED_VALUE"""),45737.64583333333)</f>
        <v>45737.64583</v>
      </c>
      <c r="B78" s="6">
        <f>IFERROR(__xludf.DUMMYFUNCTION("""COMPUTED_VALUE"""),411.0)</f>
        <v>411</v>
      </c>
      <c r="C78" s="6">
        <f>IFERROR(__xludf.DUMMYFUNCTION("""COMPUTED_VALUE"""),436.8)</f>
        <v>436.8</v>
      </c>
      <c r="D78" s="6">
        <f>IFERROR(__xludf.DUMMYFUNCTION("""COMPUTED_VALUE"""),407.05)</f>
        <v>407.05</v>
      </c>
      <c r="E78" s="6">
        <f>IFERROR(__xludf.DUMMYFUNCTION("""COMPUTED_VALUE"""),428.95)</f>
        <v>428.95</v>
      </c>
      <c r="F78" s="6">
        <f>IFERROR(__xludf.DUMMYFUNCTION("""COMPUTED_VALUE"""),3.5142438E7)</f>
        <v>35142438</v>
      </c>
    </row>
    <row r="79">
      <c r="A79" s="7">
        <f>IFERROR(__xludf.DUMMYFUNCTION("""COMPUTED_VALUE"""),45744.64583333333)</f>
        <v>45744.64583</v>
      </c>
      <c r="B79" s="6">
        <f>IFERROR(__xludf.DUMMYFUNCTION("""COMPUTED_VALUE"""),433.0)</f>
        <v>433</v>
      </c>
      <c r="C79" s="6">
        <f>IFERROR(__xludf.DUMMYFUNCTION("""COMPUTED_VALUE"""),450.0)</f>
        <v>450</v>
      </c>
      <c r="D79" s="6">
        <f>IFERROR(__xludf.DUMMYFUNCTION("""COMPUTED_VALUE"""),423.7)</f>
        <v>423.7</v>
      </c>
      <c r="E79" s="6">
        <f>IFERROR(__xludf.DUMMYFUNCTION("""COMPUTED_VALUE"""),429.2)</f>
        <v>429.2</v>
      </c>
      <c r="F79" s="6">
        <f>IFERROR(__xludf.DUMMYFUNCTION("""COMPUTED_VALUE"""),4.9083904E7)</f>
        <v>49083904</v>
      </c>
    </row>
    <row r="80">
      <c r="A80" s="7">
        <f>IFERROR(__xludf.DUMMYFUNCTION("""COMPUTED_VALUE"""),45751.64583333333)</f>
        <v>45751.64583</v>
      </c>
      <c r="B80" s="6">
        <f>IFERROR(__xludf.DUMMYFUNCTION("""COMPUTED_VALUE"""),425.85)</f>
        <v>425.85</v>
      </c>
      <c r="C80" s="6">
        <f>IFERROR(__xludf.DUMMYFUNCTION("""COMPUTED_VALUE"""),432.35)</f>
        <v>432.35</v>
      </c>
      <c r="D80" s="6">
        <f>IFERROR(__xludf.DUMMYFUNCTION("""COMPUTED_VALUE"""),401.1)</f>
        <v>401.1</v>
      </c>
      <c r="E80" s="6">
        <f>IFERROR(__xludf.DUMMYFUNCTION("""COMPUTED_VALUE"""),403.4)</f>
        <v>403.4</v>
      </c>
      <c r="F80" s="6">
        <f>IFERROR(__xludf.DUMMYFUNCTION("""COMPUTED_VALUE"""),2.9929719E7)</f>
        <v>29929719</v>
      </c>
    </row>
    <row r="81">
      <c r="A81" s="7">
        <f>IFERROR(__xludf.DUMMYFUNCTION("""COMPUTED_VALUE"""),45758.64583333333)</f>
        <v>45758.64583</v>
      </c>
      <c r="B81" s="6">
        <f>IFERROR(__xludf.DUMMYFUNCTION("""COMPUTED_VALUE"""),367.95)</f>
        <v>367.95</v>
      </c>
      <c r="C81" s="6">
        <f>IFERROR(__xludf.DUMMYFUNCTION("""COMPUTED_VALUE"""),405.7)</f>
        <v>405.7</v>
      </c>
      <c r="D81" s="6">
        <f>IFERROR(__xludf.DUMMYFUNCTION("""COMPUTED_VALUE"""),366.55)</f>
        <v>366.55</v>
      </c>
      <c r="E81" s="6">
        <f>IFERROR(__xludf.DUMMYFUNCTION("""COMPUTED_VALUE"""),402.25)</f>
        <v>402.25</v>
      </c>
      <c r="F81" s="6">
        <f>IFERROR(__xludf.DUMMYFUNCTION("""COMPUTED_VALUE"""),4.4002468E7)</f>
        <v>44002468</v>
      </c>
    </row>
    <row r="82">
      <c r="A82" s="7">
        <f>IFERROR(__xludf.DUMMYFUNCTION("""COMPUTED_VALUE"""),45764.64583333333)</f>
        <v>45764.64583</v>
      </c>
      <c r="B82" s="6">
        <f>IFERROR(__xludf.DUMMYFUNCTION("""COMPUTED_VALUE"""),411.0)</f>
        <v>411</v>
      </c>
      <c r="C82" s="6">
        <f>IFERROR(__xludf.DUMMYFUNCTION("""COMPUTED_VALUE"""),431.4)</f>
        <v>431.4</v>
      </c>
      <c r="D82" s="6">
        <f>IFERROR(__xludf.DUMMYFUNCTION("""COMPUTED_VALUE"""),407.45)</f>
        <v>407.45</v>
      </c>
      <c r="E82" s="6">
        <f>IFERROR(__xludf.DUMMYFUNCTION("""COMPUTED_VALUE"""),428.6)</f>
        <v>428.6</v>
      </c>
      <c r="F82" s="6">
        <f>IFERROR(__xludf.DUMMYFUNCTION("""COMPUTED_VALUE"""),1.9484752E7)</f>
        <v>19484752</v>
      </c>
    </row>
    <row r="83">
      <c r="A83" s="7">
        <f>IFERROR(__xludf.DUMMYFUNCTION("""COMPUTED_VALUE"""),45772.64583333333)</f>
        <v>45772.64583</v>
      </c>
      <c r="B83" s="6">
        <f>IFERROR(__xludf.DUMMYFUNCTION("""COMPUTED_VALUE"""),432.0)</f>
        <v>432</v>
      </c>
      <c r="C83" s="6">
        <f>IFERROR(__xludf.DUMMYFUNCTION("""COMPUTED_VALUE"""),448.0)</f>
        <v>448</v>
      </c>
      <c r="D83" s="6">
        <f>IFERROR(__xludf.DUMMYFUNCTION("""COMPUTED_VALUE"""),419.15)</f>
        <v>419.15</v>
      </c>
      <c r="E83" s="6">
        <f>IFERROR(__xludf.DUMMYFUNCTION("""COMPUTED_VALUE"""),422.2)</f>
        <v>422.2</v>
      </c>
      <c r="F83" s="6">
        <f>IFERROR(__xludf.DUMMYFUNCTION("""COMPUTED_VALUE"""),3.5676749E7)</f>
        <v>35676749</v>
      </c>
    </row>
    <row r="84">
      <c r="A84" s="7">
        <f>IFERROR(__xludf.DUMMYFUNCTION("""COMPUTED_VALUE"""),45779.64583333333)</f>
        <v>45779.64583</v>
      </c>
      <c r="B84" s="6">
        <f>IFERROR(__xludf.DUMMYFUNCTION("""COMPUTED_VALUE"""),424.5)</f>
        <v>424.5</v>
      </c>
      <c r="C84" s="6">
        <f>IFERROR(__xludf.DUMMYFUNCTION("""COMPUTED_VALUE"""),441.3)</f>
        <v>441.3</v>
      </c>
      <c r="D84" s="6">
        <f>IFERROR(__xludf.DUMMYFUNCTION("""COMPUTED_VALUE"""),415.5)</f>
        <v>415.5</v>
      </c>
      <c r="E84" s="6">
        <f>IFERROR(__xludf.DUMMYFUNCTION("""COMPUTED_VALUE"""),419.95)</f>
        <v>419.95</v>
      </c>
      <c r="F84" s="6">
        <f>IFERROR(__xludf.DUMMYFUNCTION("""COMPUTED_VALUE"""),1.9576324E7)</f>
        <v>19576324</v>
      </c>
    </row>
    <row r="85">
      <c r="A85" s="7">
        <f>IFERROR(__xludf.DUMMYFUNCTION("""COMPUTED_VALUE"""),45786.64583333333)</f>
        <v>45786.64583</v>
      </c>
      <c r="B85" s="6">
        <f>IFERROR(__xludf.DUMMYFUNCTION("""COMPUTED_VALUE"""),422.2)</f>
        <v>422.2</v>
      </c>
      <c r="C85" s="6">
        <f>IFERROR(__xludf.DUMMYFUNCTION("""COMPUTED_VALUE"""),425.0)</f>
        <v>425</v>
      </c>
      <c r="D85" s="6">
        <f>IFERROR(__xludf.DUMMYFUNCTION("""COMPUTED_VALUE"""),380.05)</f>
        <v>380.05</v>
      </c>
      <c r="E85" s="6">
        <f>IFERROR(__xludf.DUMMYFUNCTION("""COMPUTED_VALUE"""),384.25)</f>
        <v>384.25</v>
      </c>
      <c r="F85" s="6">
        <f>IFERROR(__xludf.DUMMYFUNCTION("""COMPUTED_VALUE"""),4.1581683E7)</f>
        <v>41581683</v>
      </c>
    </row>
    <row r="86">
      <c r="A86" s="7">
        <f>IFERROR(__xludf.DUMMYFUNCTION("""COMPUTED_VALUE"""),45793.64583333333)</f>
        <v>45793.64583</v>
      </c>
      <c r="B86" s="6">
        <f>IFERROR(__xludf.DUMMYFUNCTION("""COMPUTED_VALUE"""),401.9)</f>
        <v>401.9</v>
      </c>
      <c r="C86" s="6">
        <f>IFERROR(__xludf.DUMMYFUNCTION("""COMPUTED_VALUE"""),413.55)</f>
        <v>413.55</v>
      </c>
      <c r="D86" s="6">
        <f>IFERROR(__xludf.DUMMYFUNCTION("""COMPUTED_VALUE"""),385.05)</f>
        <v>385.05</v>
      </c>
      <c r="E86" s="6">
        <f>IFERROR(__xludf.DUMMYFUNCTION("""COMPUTED_VALUE"""),406.45)</f>
        <v>406.45</v>
      </c>
      <c r="F86" s="6">
        <f>IFERROR(__xludf.DUMMYFUNCTION("""COMPUTED_VALUE"""),8.8360632E7)</f>
        <v>88360632</v>
      </c>
    </row>
    <row r="87">
      <c r="A87" s="7">
        <f>IFERROR(__xludf.DUMMYFUNCTION("""COMPUTED_VALUE"""),45800.64583333333)</f>
        <v>45800.64583</v>
      </c>
      <c r="B87" s="6">
        <f>IFERROR(__xludf.DUMMYFUNCTION("""COMPUTED_VALUE"""),411.0)</f>
        <v>411</v>
      </c>
      <c r="C87" s="6">
        <f>IFERROR(__xludf.DUMMYFUNCTION("""COMPUTED_VALUE"""),412.0)</f>
        <v>412</v>
      </c>
      <c r="D87" s="6">
        <f>IFERROR(__xludf.DUMMYFUNCTION("""COMPUTED_VALUE"""),390.5)</f>
        <v>390.5</v>
      </c>
      <c r="E87" s="6">
        <f>IFERROR(__xludf.DUMMYFUNCTION("""COMPUTED_VALUE"""),402.5)</f>
        <v>402.5</v>
      </c>
      <c r="F87" s="6">
        <f>IFERROR(__xludf.DUMMYFUNCTION("""COMPUTED_VALUE"""),4.8269896E7)</f>
        <v>48269896</v>
      </c>
    </row>
    <row r="88">
      <c r="A88" s="7">
        <f>IFERROR(__xludf.DUMMYFUNCTION("""COMPUTED_VALUE"""),45807.64583333333)</f>
        <v>45807.64583</v>
      </c>
      <c r="B88" s="6">
        <f>IFERROR(__xludf.DUMMYFUNCTION("""COMPUTED_VALUE"""),404.95)</f>
        <v>404.95</v>
      </c>
      <c r="C88" s="6">
        <f>IFERROR(__xludf.DUMMYFUNCTION("""COMPUTED_VALUE"""),410.65)</f>
        <v>410.65</v>
      </c>
      <c r="D88" s="6">
        <f>IFERROR(__xludf.DUMMYFUNCTION("""COMPUTED_VALUE"""),400.9)</f>
        <v>400.9</v>
      </c>
      <c r="E88" s="6">
        <f>IFERROR(__xludf.DUMMYFUNCTION("""COMPUTED_VALUE"""),402.3)</f>
        <v>402.3</v>
      </c>
      <c r="F88" s="6">
        <f>IFERROR(__xludf.DUMMYFUNCTION("""COMPUTED_VALUE"""),3.2471939E7)</f>
        <v>32471939</v>
      </c>
    </row>
    <row r="89">
      <c r="A89" s="7">
        <f>IFERROR(__xludf.DUMMYFUNCTION("""COMPUTED_VALUE"""),45814.64583333333)</f>
        <v>45814.64583</v>
      </c>
      <c r="B89" s="6">
        <f>IFERROR(__xludf.DUMMYFUNCTION("""COMPUTED_VALUE"""),400.1)</f>
        <v>400.1</v>
      </c>
      <c r="C89" s="6">
        <f>IFERROR(__xludf.DUMMYFUNCTION("""COMPUTED_VALUE"""),417.3)</f>
        <v>417.3</v>
      </c>
      <c r="D89" s="6">
        <f>IFERROR(__xludf.DUMMYFUNCTION("""COMPUTED_VALUE"""),397.1)</f>
        <v>397.1</v>
      </c>
      <c r="E89" s="6">
        <f>IFERROR(__xludf.DUMMYFUNCTION("""COMPUTED_VALUE"""),415.0)</f>
        <v>415</v>
      </c>
      <c r="F89" s="6">
        <f>IFERROR(__xludf.DUMMYFUNCTION("""COMPUTED_VALUE"""),3.9589493E7)</f>
        <v>39589493</v>
      </c>
    </row>
    <row r="90">
      <c r="A90" s="7">
        <f>IFERROR(__xludf.DUMMYFUNCTION("""COMPUTED_VALUE"""),45821.64583333333)</f>
        <v>45821.64583</v>
      </c>
      <c r="B90" s="6">
        <f>IFERROR(__xludf.DUMMYFUNCTION("""COMPUTED_VALUE"""),418.0)</f>
        <v>418</v>
      </c>
      <c r="C90" s="6">
        <f>IFERROR(__xludf.DUMMYFUNCTION("""COMPUTED_VALUE"""),428.7)</f>
        <v>428.7</v>
      </c>
      <c r="D90" s="6">
        <f>IFERROR(__xludf.DUMMYFUNCTION("""COMPUTED_VALUE"""),392.35)</f>
        <v>392.35</v>
      </c>
      <c r="E90" s="6">
        <f>IFERROR(__xludf.DUMMYFUNCTION("""COMPUTED_VALUE"""),402.7)</f>
        <v>402.7</v>
      </c>
      <c r="F90" s="6">
        <f>IFERROR(__xludf.DUMMYFUNCTION("""COMPUTED_VALUE"""),4.3087567E7)</f>
        <v>43087567</v>
      </c>
    </row>
    <row r="91">
      <c r="A91" s="7">
        <f>IFERROR(__xludf.DUMMYFUNCTION("""COMPUTED_VALUE"""),45828.64583333333)</f>
        <v>45828.64583</v>
      </c>
      <c r="B91" s="6">
        <f>IFERROR(__xludf.DUMMYFUNCTION("""COMPUTED_VALUE"""),402.7)</f>
        <v>402.7</v>
      </c>
      <c r="C91" s="6">
        <f>IFERROR(__xludf.DUMMYFUNCTION("""COMPUTED_VALUE"""),404.0)</f>
        <v>404</v>
      </c>
      <c r="D91" s="6">
        <f>IFERROR(__xludf.DUMMYFUNCTION("""COMPUTED_VALUE"""),381.0)</f>
        <v>381</v>
      </c>
      <c r="E91" s="6">
        <f>IFERROR(__xludf.DUMMYFUNCTION("""COMPUTED_VALUE"""),394.45)</f>
        <v>394.45</v>
      </c>
      <c r="F91" s="6">
        <f>IFERROR(__xludf.DUMMYFUNCTION("""COMPUTED_VALUE"""),5.2949669E7)</f>
        <v>52949669</v>
      </c>
    </row>
    <row r="92">
      <c r="A92" s="7">
        <f>IFERROR(__xludf.DUMMYFUNCTION("""COMPUTED_VALUE"""),45835.64583333333)</f>
        <v>45835.64583</v>
      </c>
      <c r="B92" s="6">
        <f>IFERROR(__xludf.DUMMYFUNCTION("""COMPUTED_VALUE"""),390.2)</f>
        <v>390.2</v>
      </c>
      <c r="C92" s="6">
        <f>IFERROR(__xludf.DUMMYFUNCTION("""COMPUTED_VALUE"""),409.8)</f>
        <v>409.8</v>
      </c>
      <c r="D92" s="6">
        <f>IFERROR(__xludf.DUMMYFUNCTION("""COMPUTED_VALUE"""),388.35)</f>
        <v>388.35</v>
      </c>
      <c r="E92" s="6">
        <f>IFERROR(__xludf.DUMMYFUNCTION("""COMPUTED_VALUE"""),402.9)</f>
        <v>402.9</v>
      </c>
      <c r="F92" s="6">
        <f>IFERROR(__xludf.DUMMYFUNCTION("""COMPUTED_VALUE"""),3.2672088E7)</f>
        <v>32672088</v>
      </c>
    </row>
    <row r="93">
      <c r="A93" s="7">
        <f>IFERROR(__xludf.DUMMYFUNCTION("""COMPUTED_VALUE"""),45842.64583333333)</f>
        <v>45842.64583</v>
      </c>
      <c r="B93" s="6">
        <f>IFERROR(__xludf.DUMMYFUNCTION("""COMPUTED_VALUE"""),404.8)</f>
        <v>404.8</v>
      </c>
      <c r="C93" s="6">
        <f>IFERROR(__xludf.DUMMYFUNCTION("""COMPUTED_VALUE"""),406.9)</f>
        <v>406.9</v>
      </c>
      <c r="D93" s="6">
        <f>IFERROR(__xludf.DUMMYFUNCTION("""COMPUTED_VALUE"""),390.2)</f>
        <v>390.2</v>
      </c>
      <c r="E93" s="6">
        <f>IFERROR(__xludf.DUMMYFUNCTION("""COMPUTED_VALUE"""),393.65)</f>
        <v>393.65</v>
      </c>
      <c r="F93" s="6">
        <f>IFERROR(__xludf.DUMMYFUNCTION("""COMPUTED_VALUE"""),3.5118816E7)</f>
        <v>35118816</v>
      </c>
    </row>
    <row r="94">
      <c r="A94" s="7">
        <f>IFERROR(__xludf.DUMMYFUNCTION("""COMPUTED_VALUE"""),45849.64583333333)</f>
        <v>45849.64583</v>
      </c>
      <c r="B94" s="6">
        <f>IFERROR(__xludf.DUMMYFUNCTION("""COMPUTED_VALUE"""),393.95)</f>
        <v>393.95</v>
      </c>
      <c r="C94" s="6">
        <f>IFERROR(__xludf.DUMMYFUNCTION("""COMPUTED_VALUE"""),404.5)</f>
        <v>404.5</v>
      </c>
      <c r="D94" s="6">
        <f>IFERROR(__xludf.DUMMYFUNCTION("""COMPUTED_VALUE"""),390.3)</f>
        <v>390.3</v>
      </c>
      <c r="E94" s="6">
        <f>IFERROR(__xludf.DUMMYFUNCTION("""COMPUTED_VALUE"""),401.05)</f>
        <v>401.05</v>
      </c>
      <c r="F94" s="6">
        <f>IFERROR(__xludf.DUMMYFUNCTION("""COMPUTED_VALUE"""),3.9623344E7)</f>
        <v>39623344</v>
      </c>
    </row>
    <row r="95">
      <c r="A95" s="7">
        <f>IFERROR(__xludf.DUMMYFUNCTION("""COMPUTED_VALUE"""),45856.64583333333)</f>
        <v>45856.64583</v>
      </c>
      <c r="B95" s="6">
        <f>IFERROR(__xludf.DUMMYFUNCTION("""COMPUTED_VALUE"""),400.85)</f>
        <v>400.85</v>
      </c>
      <c r="C95" s="6">
        <f>IFERROR(__xludf.DUMMYFUNCTION("""COMPUTED_VALUE"""),405.4)</f>
        <v>405.4</v>
      </c>
      <c r="D95" s="6">
        <f>IFERROR(__xludf.DUMMYFUNCTION("""COMPUTED_VALUE"""),396.15)</f>
        <v>396.15</v>
      </c>
      <c r="E95" s="6">
        <f>IFERROR(__xludf.DUMMYFUNCTION("""COMPUTED_VALUE"""),400.9)</f>
        <v>400.9</v>
      </c>
      <c r="F95" s="6">
        <f>IFERROR(__xludf.DUMMYFUNCTION("""COMPUTED_VALUE"""),2.4162601E7)</f>
        <v>24162601</v>
      </c>
    </row>
    <row r="96">
      <c r="A96" s="7">
        <f>IFERROR(__xludf.DUMMYFUNCTION("""COMPUTED_VALUE"""),45863.64583333333)</f>
        <v>45863.64583</v>
      </c>
      <c r="B96" s="6">
        <f>IFERROR(__xludf.DUMMYFUNCTION("""COMPUTED_VALUE"""),401.0)</f>
        <v>401</v>
      </c>
      <c r="C96" s="6">
        <f>IFERROR(__xludf.DUMMYFUNCTION("""COMPUTED_VALUE"""),408.25)</f>
        <v>408.25</v>
      </c>
      <c r="D96" s="6">
        <f>IFERROR(__xludf.DUMMYFUNCTION("""COMPUTED_VALUE"""),392.4)</f>
        <v>392.4</v>
      </c>
      <c r="E96" s="6">
        <f>IFERROR(__xludf.DUMMYFUNCTION("""COMPUTED_VALUE"""),400.75)</f>
        <v>400.75</v>
      </c>
      <c r="F96" s="6">
        <f>IFERROR(__xludf.DUMMYFUNCTION("""COMPUTED_VALUE"""),5.6707875E7)</f>
        <v>56707875</v>
      </c>
    </row>
    <row r="97">
      <c r="A97" s="7">
        <f>IFERROR(__xludf.DUMMYFUNCTION("""COMPUTED_VALUE"""),45870.64583333333)</f>
        <v>45870.64583</v>
      </c>
      <c r="B97" s="6">
        <f>IFERROR(__xludf.DUMMYFUNCTION("""COMPUTED_VALUE"""),400.75)</f>
        <v>400.75</v>
      </c>
      <c r="C97" s="6">
        <f>IFERROR(__xludf.DUMMYFUNCTION("""COMPUTED_VALUE"""),403.6)</f>
        <v>403.6</v>
      </c>
      <c r="D97" s="6">
        <f>IFERROR(__xludf.DUMMYFUNCTION("""COMPUTED_VALUE"""),385.2)</f>
        <v>385.2</v>
      </c>
      <c r="E97" s="6">
        <f>IFERROR(__xludf.DUMMYFUNCTION("""COMPUTED_VALUE"""),388.7)</f>
        <v>388.7</v>
      </c>
      <c r="F97" s="6">
        <f>IFERROR(__xludf.DUMMYFUNCTION("""COMPUTED_VALUE"""),3.4959679E7)</f>
        <v>34959679</v>
      </c>
    </row>
    <row r="98">
      <c r="A98" s="7">
        <f>IFERROR(__xludf.DUMMYFUNCTION("""COMPUTED_VALUE"""),45877.64583333333)</f>
        <v>45877.64583</v>
      </c>
      <c r="B98" s="6">
        <f>IFERROR(__xludf.DUMMYFUNCTION("""COMPUTED_VALUE"""),389.8)</f>
        <v>389.8</v>
      </c>
      <c r="C98" s="6">
        <f>IFERROR(__xludf.DUMMYFUNCTION("""COMPUTED_VALUE"""),397.8)</f>
        <v>397.8</v>
      </c>
      <c r="D98" s="6">
        <f>IFERROR(__xludf.DUMMYFUNCTION("""COMPUTED_VALUE"""),380.1)</f>
        <v>380.1</v>
      </c>
      <c r="E98" s="6">
        <f>IFERROR(__xludf.DUMMYFUNCTION("""COMPUTED_VALUE"""),381.35)</f>
        <v>381.35</v>
      </c>
      <c r="F98" s="6">
        <f>IFERROR(__xludf.DUMMYFUNCTION("""COMPUTED_VALUE"""),3.254028E7)</f>
        <v>32540280</v>
      </c>
    </row>
    <row r="99">
      <c r="A99" s="7">
        <f>IFERROR(__xludf.DUMMYFUNCTION("""COMPUTED_VALUE"""),45883.64583333333)</f>
        <v>45883.64583</v>
      </c>
      <c r="B99" s="6">
        <f>IFERROR(__xludf.DUMMYFUNCTION("""COMPUTED_VALUE"""),382.15)</f>
        <v>382.15</v>
      </c>
      <c r="C99" s="6">
        <f>IFERROR(__xludf.DUMMYFUNCTION("""COMPUTED_VALUE"""),389.65)</f>
        <v>389.65</v>
      </c>
      <c r="D99" s="6">
        <f>IFERROR(__xludf.DUMMYFUNCTION("""COMPUTED_VALUE"""),381.0)</f>
        <v>381</v>
      </c>
      <c r="E99" s="6">
        <f>IFERROR(__xludf.DUMMYFUNCTION("""COMPUTED_VALUE"""),381.55)</f>
        <v>381.55</v>
      </c>
      <c r="F99" s="6">
        <f>IFERROR(__xludf.DUMMYFUNCTION("""COMPUTED_VALUE"""),1.2629748E7)</f>
        <v>12629748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IFERROR(__xludf.DUMMYFUNCTION("""COMPUTED_VALUE"""),387.0)</f>
        <v>387</v>
      </c>
      <c r="C100" s="6">
        <f>IFERROR(__xludf.DUMMYFUNCTION("""COMPUTED_VALUE"""),387.2)</f>
        <v>387.2</v>
      </c>
      <c r="D100" s="6">
        <f>IFERROR(__xludf.DUMMYFUNCTION("""COMPUTED_VALUE"""),375.3)</f>
        <v>375.3</v>
      </c>
      <c r="E100" s="6">
        <f>IFERROR(__xludf.DUMMYFUNCTION("""COMPUTED_VALUE"""),375.6)</f>
        <v>375.6</v>
      </c>
      <c r="F100" s="6">
        <f>IFERROR(__xludf.DUMMYFUNCTION("""COMPUTED_VALUE"""),1.8930416E7)</f>
        <v>18930416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IFERROR(__xludf.DUMMYFUNCTION("""COMPUTED_VALUE"""),376.95)</f>
        <v>376.95</v>
      </c>
      <c r="C101" s="6">
        <f>IFERROR(__xludf.DUMMYFUNCTION("""COMPUTED_VALUE"""),378.35)</f>
        <v>378.35</v>
      </c>
      <c r="D101" s="6">
        <f>IFERROR(__xludf.DUMMYFUNCTION("""COMPUTED_VALUE"""),362.05)</f>
        <v>362.05</v>
      </c>
      <c r="E101" s="6">
        <f>IFERROR(__xludf.DUMMYFUNCTION("""COMPUTED_VALUE"""),363.55)</f>
        <v>363.55</v>
      </c>
      <c r="F101" s="6">
        <f>IFERROR(__xludf.DUMMYFUNCTION("""COMPUTED_VALUE"""),5.2075364E7)</f>
        <v>52075364</v>
      </c>
    </row>
  </sheetData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IFERROR(__xludf.DUMMYFUNCTION("GOOGLEFINANCE(""NSE:RELIANCE"",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IFERROR(__xludf.DUMMYFUNCTION("""COMPUTED_VALUE"""),1236.0)</f>
        <v>1236</v>
      </c>
      <c r="C2" s="6">
        <f>IFERROR(__xludf.DUMMYFUNCTION("""COMPUTED_VALUE"""),1242.0)</f>
        <v>1242</v>
      </c>
      <c r="D2" s="6">
        <f>IFERROR(__xludf.DUMMYFUNCTION("""COMPUTED_VALUE"""),1199.95)</f>
        <v>1199.95</v>
      </c>
      <c r="E2" s="6">
        <f>IFERROR(__xludf.DUMMYFUNCTION("""COMPUTED_VALUE"""),1206.33)</f>
        <v>1206.33</v>
      </c>
      <c r="F2" s="6">
        <f>IFERROR(__xludf.DUMMYFUNCTION("""COMPUTED_VALUE"""),4.0688929E7)</f>
        <v>40688929</v>
      </c>
    </row>
    <row r="3">
      <c r="A3" s="7">
        <f>IFERROR(__xludf.DUMMYFUNCTION("""COMPUTED_VALUE"""),45177.64583333333)</f>
        <v>45177.64583</v>
      </c>
      <c r="B3" s="6">
        <f>IFERROR(__xludf.DUMMYFUNCTION("""COMPUTED_VALUE"""),1206.33)</f>
        <v>1206.33</v>
      </c>
      <c r="C3" s="6">
        <f>IFERROR(__xludf.DUMMYFUNCTION("""COMPUTED_VALUE"""),1228.0)</f>
        <v>1228</v>
      </c>
      <c r="D3" s="6">
        <f>IFERROR(__xludf.DUMMYFUNCTION("""COMPUTED_VALUE"""),1202.65)</f>
        <v>1202.65</v>
      </c>
      <c r="E3" s="6">
        <f>IFERROR(__xludf.DUMMYFUNCTION("""COMPUTED_VALUE"""),1224.1)</f>
        <v>1224.1</v>
      </c>
      <c r="F3" s="6">
        <f>IFERROR(__xludf.DUMMYFUNCTION("""COMPUTED_VALUE"""),3.1492866E7)</f>
        <v>31492866</v>
      </c>
    </row>
    <row r="4">
      <c r="A4" s="7">
        <f>IFERROR(__xludf.DUMMYFUNCTION("""COMPUTED_VALUE"""),45184.64583333333)</f>
        <v>45184.64583</v>
      </c>
      <c r="B4" s="6">
        <f>IFERROR(__xludf.DUMMYFUNCTION("""COMPUTED_VALUE"""),1226.0)</f>
        <v>1226</v>
      </c>
      <c r="C4" s="6">
        <f>IFERROR(__xludf.DUMMYFUNCTION("""COMPUTED_VALUE"""),1241.5)</f>
        <v>1241.5</v>
      </c>
      <c r="D4" s="6">
        <f>IFERROR(__xludf.DUMMYFUNCTION("""COMPUTED_VALUE"""),1213.13)</f>
        <v>1213.13</v>
      </c>
      <c r="E4" s="6">
        <f>IFERROR(__xludf.DUMMYFUNCTION("""COMPUTED_VALUE"""),1228.93)</f>
        <v>1228.93</v>
      </c>
      <c r="F4" s="6">
        <f>IFERROR(__xludf.DUMMYFUNCTION("""COMPUTED_VALUE"""),3.8504153E7)</f>
        <v>38504153</v>
      </c>
    </row>
    <row r="5">
      <c r="A5" s="7">
        <f>IFERROR(__xludf.DUMMYFUNCTION("""COMPUTED_VALUE"""),45191.64583333333)</f>
        <v>45191.64583</v>
      </c>
      <c r="B5" s="6">
        <f>IFERROR(__xludf.DUMMYFUNCTION("""COMPUTED_VALUE"""),1220.03)</f>
        <v>1220.03</v>
      </c>
      <c r="C5" s="6">
        <f>IFERROR(__xludf.DUMMYFUNCTION("""COMPUTED_VALUE"""),1225.5)</f>
        <v>1225.5</v>
      </c>
      <c r="D5" s="6">
        <f>IFERROR(__xludf.DUMMYFUNCTION("""COMPUTED_VALUE"""),1175.0)</f>
        <v>1175</v>
      </c>
      <c r="E5" s="6">
        <f>IFERROR(__xludf.DUMMYFUNCTION("""COMPUTED_VALUE"""),1177.47)</f>
        <v>1177.47</v>
      </c>
      <c r="F5" s="6">
        <f>IFERROR(__xludf.DUMMYFUNCTION("""COMPUTED_VALUE"""),4.8000576E7)</f>
        <v>48000576</v>
      </c>
    </row>
    <row r="6">
      <c r="A6" s="7">
        <f>IFERROR(__xludf.DUMMYFUNCTION("""COMPUTED_VALUE"""),45198.64583333333)</f>
        <v>45198.64583</v>
      </c>
      <c r="B6" s="6">
        <f>IFERROR(__xludf.DUMMYFUNCTION("""COMPUTED_VALUE"""),1175.2)</f>
        <v>1175.2</v>
      </c>
      <c r="C6" s="6">
        <f>IFERROR(__xludf.DUMMYFUNCTION("""COMPUTED_VALUE"""),1191.5)</f>
        <v>1191.5</v>
      </c>
      <c r="D6" s="6">
        <f>IFERROR(__xludf.DUMMYFUNCTION("""COMPUTED_VALUE"""),1162.5)</f>
        <v>1162.5</v>
      </c>
      <c r="E6" s="6">
        <f>IFERROR(__xludf.DUMMYFUNCTION("""COMPUTED_VALUE"""),1172.5)</f>
        <v>1172.5</v>
      </c>
      <c r="F6" s="6">
        <f>IFERROR(__xludf.DUMMYFUNCTION("""COMPUTED_VALUE"""),3.1462902E7)</f>
        <v>31462902</v>
      </c>
    </row>
    <row r="7">
      <c r="A7" s="7">
        <f>IFERROR(__xludf.DUMMYFUNCTION("""COMPUTED_VALUE"""),45205.64583333333)</f>
        <v>45205.64583</v>
      </c>
      <c r="B7" s="6">
        <f>IFERROR(__xludf.DUMMYFUNCTION("""COMPUTED_VALUE"""),1164.97)</f>
        <v>1164.97</v>
      </c>
      <c r="C7" s="6">
        <f>IFERROR(__xludf.DUMMYFUNCTION("""COMPUTED_VALUE"""),1167.8)</f>
        <v>1167.8</v>
      </c>
      <c r="D7" s="6">
        <f>IFERROR(__xludf.DUMMYFUNCTION("""COMPUTED_VALUE"""),1147.55)</f>
        <v>1147.55</v>
      </c>
      <c r="E7" s="6">
        <f>IFERROR(__xludf.DUMMYFUNCTION("""COMPUTED_VALUE"""),1159.0)</f>
        <v>1159</v>
      </c>
      <c r="F7" s="6">
        <f>IFERROR(__xludf.DUMMYFUNCTION("""COMPUTED_VALUE"""),1.7765075E7)</f>
        <v>17765075</v>
      </c>
    </row>
    <row r="8">
      <c r="A8" s="7">
        <f>IFERROR(__xludf.DUMMYFUNCTION("""COMPUTED_VALUE"""),45212.64583333333)</f>
        <v>45212.64583</v>
      </c>
      <c r="B8" s="6">
        <f>IFERROR(__xludf.DUMMYFUNCTION("""COMPUTED_VALUE"""),1154.05)</f>
        <v>1154.05</v>
      </c>
      <c r="C8" s="6">
        <f>IFERROR(__xludf.DUMMYFUNCTION("""COMPUTED_VALUE"""),1179.68)</f>
        <v>1179.68</v>
      </c>
      <c r="D8" s="6">
        <f>IFERROR(__xludf.DUMMYFUNCTION("""COMPUTED_VALUE"""),1147.5)</f>
        <v>1147.5</v>
      </c>
      <c r="E8" s="6">
        <f>IFERROR(__xludf.DUMMYFUNCTION("""COMPUTED_VALUE"""),1174.65)</f>
        <v>1174.65</v>
      </c>
      <c r="F8" s="6">
        <f>IFERROR(__xludf.DUMMYFUNCTION("""COMPUTED_VALUE"""),2.5165897E7)</f>
        <v>25165897</v>
      </c>
    </row>
    <row r="9">
      <c r="A9" s="7">
        <f>IFERROR(__xludf.DUMMYFUNCTION("""COMPUTED_VALUE"""),45219.64583333333)</f>
        <v>45219.64583</v>
      </c>
      <c r="B9" s="6">
        <f>IFERROR(__xludf.DUMMYFUNCTION("""COMPUTED_VALUE"""),1172.5)</f>
        <v>1172.5</v>
      </c>
      <c r="C9" s="6">
        <f>IFERROR(__xludf.DUMMYFUNCTION("""COMPUTED_VALUE"""),1183.5)</f>
        <v>1183.5</v>
      </c>
      <c r="D9" s="6">
        <f>IFERROR(__xludf.DUMMYFUNCTION("""COMPUTED_VALUE"""),1148.15)</f>
        <v>1148.15</v>
      </c>
      <c r="E9" s="6">
        <f>IFERROR(__xludf.DUMMYFUNCTION("""COMPUTED_VALUE"""),1149.55)</f>
        <v>1149.55</v>
      </c>
      <c r="F9" s="6">
        <f>IFERROR(__xludf.DUMMYFUNCTION("""COMPUTED_VALUE"""),2.1860702E7)</f>
        <v>21860702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IFERROR(__xludf.DUMMYFUNCTION("""COMPUTED_VALUE"""),1145.0)</f>
        <v>1145</v>
      </c>
      <c r="C10" s="6">
        <f>IFERROR(__xludf.DUMMYFUNCTION("""COMPUTED_VALUE"""),1153.13)</f>
        <v>1153.13</v>
      </c>
      <c r="D10" s="6">
        <f>IFERROR(__xludf.DUMMYFUNCTION("""COMPUTED_VALUE"""),1110.15)</f>
        <v>1110.15</v>
      </c>
      <c r="E10" s="6">
        <f>IFERROR(__xludf.DUMMYFUNCTION("""COMPUTED_VALUE"""),1132.9)</f>
        <v>1132.9</v>
      </c>
      <c r="F10" s="6">
        <f>IFERROR(__xludf.DUMMYFUNCTION("""COMPUTED_VALUE"""),2.3234134E7)</f>
        <v>23234134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IFERROR(__xludf.DUMMYFUNCTION("""COMPUTED_VALUE"""),1137.0)</f>
        <v>1137</v>
      </c>
      <c r="C11" s="6">
        <f>IFERROR(__xludf.DUMMYFUNCTION("""COMPUTED_VALUE"""),1167.47)</f>
        <v>1167.47</v>
      </c>
      <c r="D11" s="6">
        <f>IFERROR(__xludf.DUMMYFUNCTION("""COMPUTED_VALUE"""),1134.97)</f>
        <v>1134.97</v>
      </c>
      <c r="E11" s="6">
        <f>IFERROR(__xludf.DUMMYFUNCTION("""COMPUTED_VALUE"""),1159.85)</f>
        <v>1159.85</v>
      </c>
      <c r="F11" s="6">
        <f>IFERROR(__xludf.DUMMYFUNCTION("""COMPUTED_VALUE"""),2.9671596E7)</f>
        <v>29671596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IFERROR(__xludf.DUMMYFUNCTION("""COMPUTED_VALUE"""),1166.15)</f>
        <v>1166.15</v>
      </c>
      <c r="C12" s="6">
        <f>IFERROR(__xludf.DUMMYFUNCTION("""COMPUTED_VALUE"""),1170.5)</f>
        <v>1170.5</v>
      </c>
      <c r="D12" s="6">
        <f>IFERROR(__xludf.DUMMYFUNCTION("""COMPUTED_VALUE"""),1149.03)</f>
        <v>1149.03</v>
      </c>
      <c r="E12" s="6">
        <f>IFERROR(__xludf.DUMMYFUNCTION("""COMPUTED_VALUE"""),1157.45)</f>
        <v>1157.45</v>
      </c>
      <c r="F12" s="6">
        <f>IFERROR(__xludf.DUMMYFUNCTION("""COMPUTED_VALUE"""),2.3870283E7)</f>
        <v>23870283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IFERROR(__xludf.DUMMYFUNCTION("""COMPUTED_VALUE"""),1163.03)</f>
        <v>1163.03</v>
      </c>
      <c r="C13" s="6">
        <f>IFERROR(__xludf.DUMMYFUNCTION("""COMPUTED_VALUE"""),1187.08)</f>
        <v>1187.08</v>
      </c>
      <c r="D13" s="6">
        <f>IFERROR(__xludf.DUMMYFUNCTION("""COMPUTED_VALUE"""),1155.85)</f>
        <v>1155.85</v>
      </c>
      <c r="E13" s="6">
        <f>IFERROR(__xludf.DUMMYFUNCTION("""COMPUTED_VALUE"""),1177.78)</f>
        <v>1177.78</v>
      </c>
      <c r="F13" s="6">
        <f>IFERROR(__xludf.DUMMYFUNCTION("""COMPUTED_VALUE"""),1.9194423E7)</f>
        <v>19194423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IFERROR(__xludf.DUMMYFUNCTION("""COMPUTED_VALUE"""),1174.28)</f>
        <v>1174.28</v>
      </c>
      <c r="C14" s="6">
        <f>IFERROR(__xludf.DUMMYFUNCTION("""COMPUTED_VALUE"""),1201.3)</f>
        <v>1201.3</v>
      </c>
      <c r="D14" s="6">
        <f>IFERROR(__xludf.DUMMYFUNCTION("""COMPUTED_VALUE"""),1168.2)</f>
        <v>1168.2</v>
      </c>
      <c r="E14" s="6">
        <f>IFERROR(__xludf.DUMMYFUNCTION("""COMPUTED_VALUE"""),1196.95)</f>
        <v>1196.95</v>
      </c>
      <c r="F14" s="6">
        <f>IFERROR(__xludf.DUMMYFUNCTION("""COMPUTED_VALUE"""),1.8260239E7)</f>
        <v>18260239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IFERROR(__xludf.DUMMYFUNCTION("""COMPUTED_VALUE"""),1196.95)</f>
        <v>1196.95</v>
      </c>
      <c r="C15" s="6">
        <f>IFERROR(__xludf.DUMMYFUNCTION("""COMPUTED_VALUE"""),1205.97)</f>
        <v>1205.97</v>
      </c>
      <c r="D15" s="6">
        <f>IFERROR(__xludf.DUMMYFUNCTION("""COMPUTED_VALUE"""),1184.95)</f>
        <v>1184.95</v>
      </c>
      <c r="E15" s="6">
        <f>IFERROR(__xludf.DUMMYFUNCTION("""COMPUTED_VALUE"""),1197.15)</f>
        <v>1197.15</v>
      </c>
      <c r="F15" s="6">
        <f>IFERROR(__xludf.DUMMYFUNCTION("""COMPUTED_VALUE"""),3.4553153E7)</f>
        <v>34553153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IFERROR(__xludf.DUMMYFUNCTION("""COMPUTED_VALUE"""),1225.0)</f>
        <v>1225</v>
      </c>
      <c r="C16" s="6">
        <f>IFERROR(__xludf.DUMMYFUNCTION("""COMPUTED_VALUE"""),1238.35)</f>
        <v>1238.35</v>
      </c>
      <c r="D16" s="6">
        <f>IFERROR(__xludf.DUMMYFUNCTION("""COMPUTED_VALUE"""),1199.3)</f>
        <v>1199.3</v>
      </c>
      <c r="E16" s="6">
        <f>IFERROR(__xludf.DUMMYFUNCTION("""COMPUTED_VALUE"""),1227.88)</f>
        <v>1227.88</v>
      </c>
      <c r="F16" s="6">
        <f>IFERROR(__xludf.DUMMYFUNCTION("""COMPUTED_VALUE"""),3.1527023E7)</f>
        <v>31527023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IFERROR(__xludf.DUMMYFUNCTION("""COMPUTED_VALUE"""),1228.0)</f>
        <v>1228</v>
      </c>
      <c r="C17" s="6">
        <f>IFERROR(__xludf.DUMMYFUNCTION("""COMPUTED_VALUE"""),1250.0)</f>
        <v>1250</v>
      </c>
      <c r="D17" s="6">
        <f>IFERROR(__xludf.DUMMYFUNCTION("""COMPUTED_VALUE"""),1203.15)</f>
        <v>1203.15</v>
      </c>
      <c r="E17" s="6">
        <f>IFERROR(__xludf.DUMMYFUNCTION("""COMPUTED_VALUE"""),1247.8)</f>
        <v>1247.8</v>
      </c>
      <c r="F17" s="6">
        <f>IFERROR(__xludf.DUMMYFUNCTION("""COMPUTED_VALUE"""),2.9599475E7)</f>
        <v>29599475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IFERROR(__xludf.DUMMYFUNCTION("""COMPUTED_VALUE"""),1247.8)</f>
        <v>1247.8</v>
      </c>
      <c r="C18" s="6">
        <f>IFERROR(__xludf.DUMMYFUNCTION("""COMPUTED_VALUE"""),1299.43)</f>
        <v>1299.43</v>
      </c>
      <c r="D18" s="6">
        <f>IFERROR(__xludf.DUMMYFUNCTION("""COMPUTED_VALUE"""),1245.47)</f>
        <v>1245.47</v>
      </c>
      <c r="E18" s="6">
        <f>IFERROR(__xludf.DUMMYFUNCTION("""COMPUTED_VALUE"""),1282.53)</f>
        <v>1282.53</v>
      </c>
      <c r="F18" s="6">
        <f>IFERROR(__xludf.DUMMYFUNCTION("""COMPUTED_VALUE"""),3.9514876E7)</f>
        <v>39514876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IFERROR(__xludf.DUMMYFUNCTION("""COMPUTED_VALUE"""),1284.0)</f>
        <v>1284</v>
      </c>
      <c r="C19" s="6">
        <f>IFERROR(__xludf.DUMMYFUNCTION("""COMPUTED_VALUE"""),1307.0)</f>
        <v>1307</v>
      </c>
      <c r="D19" s="6">
        <f>IFERROR(__xludf.DUMMYFUNCTION("""COMPUTED_VALUE"""),1281.35)</f>
        <v>1281.35</v>
      </c>
      <c r="E19" s="6">
        <f>IFERROR(__xludf.DUMMYFUNCTION("""COMPUTED_VALUE"""),1292.47)</f>
        <v>1292.47</v>
      </c>
      <c r="F19" s="6">
        <f>IFERROR(__xludf.DUMMYFUNCTION("""COMPUTED_VALUE"""),1.991852E7)</f>
        <v>19918520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IFERROR(__xludf.DUMMYFUNCTION("""COMPUTED_VALUE"""),1290.28)</f>
        <v>1290.28</v>
      </c>
      <c r="C20" s="6">
        <f>IFERROR(__xludf.DUMMYFUNCTION("""COMPUTED_VALUE"""),1317.0)</f>
        <v>1317</v>
      </c>
      <c r="D20" s="6">
        <f>IFERROR(__xludf.DUMMYFUNCTION("""COMPUTED_VALUE"""),1286.5)</f>
        <v>1286.5</v>
      </c>
      <c r="E20" s="6">
        <f>IFERROR(__xludf.DUMMYFUNCTION("""COMPUTED_VALUE"""),1303.85)</f>
        <v>1303.85</v>
      </c>
      <c r="F20" s="6">
        <f>IFERROR(__xludf.DUMMYFUNCTION("""COMPUTED_VALUE"""),1.910803E7)</f>
        <v>19108030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IFERROR(__xludf.DUMMYFUNCTION("""COMPUTED_VALUE"""),1305.0)</f>
        <v>1305</v>
      </c>
      <c r="C21" s="6">
        <f>IFERROR(__xludf.DUMMYFUNCTION("""COMPUTED_VALUE"""),1373.33)</f>
        <v>1373.33</v>
      </c>
      <c r="D21" s="6">
        <f>IFERROR(__xludf.DUMMYFUNCTION("""COMPUTED_VALUE"""),1284.47)</f>
        <v>1284.47</v>
      </c>
      <c r="E21" s="6">
        <f>IFERROR(__xludf.DUMMYFUNCTION("""COMPUTED_VALUE"""),1370.73)</f>
        <v>1370.73</v>
      </c>
      <c r="F21" s="6">
        <f>IFERROR(__xludf.DUMMYFUNCTION("""COMPUTED_VALUE"""),3.1489241E7)</f>
        <v>31489241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IFERROR(__xludf.DUMMYFUNCTION("""COMPUTED_VALUE"""),1371.75)</f>
        <v>1371.75</v>
      </c>
      <c r="C22" s="6">
        <f>IFERROR(__xludf.DUMMYFUNCTION("""COMPUTED_VALUE"""),1371.75)</f>
        <v>1371.75</v>
      </c>
      <c r="D22" s="6">
        <f>IFERROR(__xludf.DUMMYFUNCTION("""COMPUTED_VALUE"""),1322.55)</f>
        <v>1322.55</v>
      </c>
      <c r="E22" s="6">
        <f>IFERROR(__xludf.DUMMYFUNCTION("""COMPUTED_VALUE"""),1353.08)</f>
        <v>1353.08</v>
      </c>
      <c r="F22" s="6">
        <f>IFERROR(__xludf.DUMMYFUNCTION("""COMPUTED_VALUE"""),2.689171E7)</f>
        <v>26891710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IFERROR(__xludf.DUMMYFUNCTION("""COMPUTED_VALUE"""),1364.5)</f>
        <v>1364.5</v>
      </c>
      <c r="C23" s="6">
        <f>IFERROR(__xludf.DUMMYFUNCTION("""COMPUTED_VALUE"""),1474.9)</f>
        <v>1474.9</v>
      </c>
      <c r="D23" s="6">
        <f>IFERROR(__xludf.DUMMYFUNCTION("""COMPUTED_VALUE"""),1360.18)</f>
        <v>1360.18</v>
      </c>
      <c r="E23" s="6">
        <f>IFERROR(__xludf.DUMMYFUNCTION("""COMPUTED_VALUE"""),1457.7)</f>
        <v>1457.7</v>
      </c>
      <c r="F23" s="6">
        <f>IFERROR(__xludf.DUMMYFUNCTION("""COMPUTED_VALUE"""),4.3059796E7)</f>
        <v>43059796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IFERROR(__xludf.DUMMYFUNCTION("""COMPUTED_VALUE"""),1460.75)</f>
        <v>1460.75</v>
      </c>
      <c r="C24" s="6">
        <f>IFERROR(__xludf.DUMMYFUNCTION("""COMPUTED_VALUE"""),1471.98)</f>
        <v>1471.98</v>
      </c>
      <c r="D24" s="6">
        <f>IFERROR(__xludf.DUMMYFUNCTION("""COMPUTED_VALUE"""),1419.83)</f>
        <v>1419.83</v>
      </c>
      <c r="E24" s="6">
        <f>IFERROR(__xludf.DUMMYFUNCTION("""COMPUTED_VALUE"""),1460.75)</f>
        <v>1460.75</v>
      </c>
      <c r="F24" s="6">
        <f>IFERROR(__xludf.DUMMYFUNCTION("""COMPUTED_VALUE"""),2.7205208E7)</f>
        <v>27205208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IFERROR(__xludf.DUMMYFUNCTION("""COMPUTED_VALUE"""),1460.75)</f>
        <v>1460.75</v>
      </c>
      <c r="C25" s="6">
        <f>IFERROR(__xludf.DUMMYFUNCTION("""COMPUTED_VALUE"""),1484.73)</f>
        <v>1484.73</v>
      </c>
      <c r="D25" s="6">
        <f>IFERROR(__xludf.DUMMYFUNCTION("""COMPUTED_VALUE"""),1442.35)</f>
        <v>1442.35</v>
      </c>
      <c r="E25" s="6">
        <f>IFERROR(__xludf.DUMMYFUNCTION("""COMPUTED_VALUE"""),1460.58)</f>
        <v>1460.58</v>
      </c>
      <c r="F25" s="6">
        <f>IFERROR(__xludf.DUMMYFUNCTION("""COMPUTED_VALUE"""),2.0641096E7)</f>
        <v>20641096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IFERROR(__xludf.DUMMYFUNCTION("""COMPUTED_VALUE"""),1462.05)</f>
        <v>1462.05</v>
      </c>
      <c r="C26" s="6">
        <f>IFERROR(__xludf.DUMMYFUNCTION("""COMPUTED_VALUE"""),1497.55)</f>
        <v>1497.55</v>
      </c>
      <c r="D26" s="6">
        <f>IFERROR(__xludf.DUMMYFUNCTION("""COMPUTED_VALUE"""),1453.53)</f>
        <v>1453.53</v>
      </c>
      <c r="E26" s="6">
        <f>IFERROR(__xludf.DUMMYFUNCTION("""COMPUTED_VALUE"""),1493.63)</f>
        <v>1493.63</v>
      </c>
      <c r="F26" s="6">
        <f>IFERROR(__xludf.DUMMYFUNCTION("""COMPUTED_VALUE"""),2.9749964E7)</f>
        <v>29749964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IFERROR(__xludf.DUMMYFUNCTION("""COMPUTED_VALUE"""),1490.48)</f>
        <v>1490.48</v>
      </c>
      <c r="C27" s="6">
        <f>IFERROR(__xludf.DUMMYFUNCTION("""COMPUTED_VALUE"""),1512.45)</f>
        <v>1512.45</v>
      </c>
      <c r="D27" s="6">
        <f>IFERROR(__xludf.DUMMYFUNCTION("""COMPUTED_VALUE"""),1475.55)</f>
        <v>1475.55</v>
      </c>
      <c r="E27" s="6">
        <f>IFERROR(__xludf.DUMMYFUNCTION("""COMPUTED_VALUE"""),1478.93)</f>
        <v>1478.93</v>
      </c>
      <c r="F27" s="6">
        <f>IFERROR(__xludf.DUMMYFUNCTION("""COMPUTED_VALUE"""),1.6626745E7)</f>
        <v>16626745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IFERROR(__xludf.DUMMYFUNCTION("""COMPUTED_VALUE"""),1489.0)</f>
        <v>1489</v>
      </c>
      <c r="C28" s="6">
        <f>IFERROR(__xludf.DUMMYFUNCTION("""COMPUTED_VALUE"""),1489.0)</f>
        <v>1489</v>
      </c>
      <c r="D28" s="6">
        <f>IFERROR(__xludf.DUMMYFUNCTION("""COMPUTED_VALUE"""),1412.9)</f>
        <v>1412.9</v>
      </c>
      <c r="E28" s="6">
        <f>IFERROR(__xludf.DUMMYFUNCTION("""COMPUTED_VALUE"""),1418.23)</f>
        <v>1418.23</v>
      </c>
      <c r="F28" s="6">
        <f>IFERROR(__xludf.DUMMYFUNCTION("""COMPUTED_VALUE"""),3.6013431E7)</f>
        <v>36013431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IFERROR(__xludf.DUMMYFUNCTION("""COMPUTED_VALUE"""),1420.0)</f>
        <v>1420</v>
      </c>
      <c r="C29" s="6">
        <f>IFERROR(__xludf.DUMMYFUNCTION("""COMPUTED_VALUE"""),1460.0)</f>
        <v>1460</v>
      </c>
      <c r="D29" s="6">
        <f>IFERROR(__xludf.DUMMYFUNCTION("""COMPUTED_VALUE"""),1416.53)</f>
        <v>1416.53</v>
      </c>
      <c r="E29" s="6">
        <f>IFERROR(__xludf.DUMMYFUNCTION("""COMPUTED_VALUE"""),1455.03)</f>
        <v>1455.03</v>
      </c>
      <c r="F29" s="6">
        <f>IFERROR(__xludf.DUMMYFUNCTION("""COMPUTED_VALUE"""),2.9234253E7)</f>
        <v>29234253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IFERROR(__xludf.DUMMYFUNCTION("""COMPUTED_VALUE"""),1445.0)</f>
        <v>1445</v>
      </c>
      <c r="C30" s="6">
        <f>IFERROR(__xludf.DUMMYFUNCTION("""COMPUTED_VALUE"""),1505.95)</f>
        <v>1505.95</v>
      </c>
      <c r="D30" s="6">
        <f>IFERROR(__xludf.DUMMYFUNCTION("""COMPUTED_VALUE"""),1439.0)</f>
        <v>1439</v>
      </c>
      <c r="E30" s="6">
        <f>IFERROR(__xludf.DUMMYFUNCTION("""COMPUTED_VALUE"""),1485.85)</f>
        <v>1485.85</v>
      </c>
      <c r="F30" s="6">
        <f>IFERROR(__xludf.DUMMYFUNCTION("""COMPUTED_VALUE"""),2.4798457E7)</f>
        <v>24798457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IFERROR(__xludf.DUMMYFUNCTION("""COMPUTED_VALUE"""),1492.48)</f>
        <v>1492.48</v>
      </c>
      <c r="C31" s="6">
        <f>IFERROR(__xludf.DUMMYFUNCTION("""COMPUTED_VALUE"""),1494.0)</f>
        <v>1494</v>
      </c>
      <c r="D31" s="6">
        <f>IFERROR(__xludf.DUMMYFUNCTION("""COMPUTED_VALUE"""),1450.0)</f>
        <v>1450</v>
      </c>
      <c r="E31" s="6">
        <f>IFERROR(__xludf.DUMMYFUNCTION("""COMPUTED_VALUE"""),1460.1)</f>
        <v>1460.1</v>
      </c>
      <c r="F31" s="6">
        <f>IFERROR(__xludf.DUMMYFUNCTION("""COMPUTED_VALUE"""),2.1432454E7)</f>
        <v>21432454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IFERROR(__xludf.DUMMYFUNCTION("""COMPUTED_VALUE"""),1462.98)</f>
        <v>1462.98</v>
      </c>
      <c r="C32" s="6">
        <f>IFERROR(__xludf.DUMMYFUNCTION("""COMPUTED_VALUE"""),1490.98)</f>
        <v>1490.98</v>
      </c>
      <c r="D32" s="6">
        <f>IFERROR(__xludf.DUMMYFUNCTION("""COMPUTED_VALUE"""),1461.0)</f>
        <v>1461</v>
      </c>
      <c r="E32" s="6">
        <f>IFERROR(__xludf.DUMMYFUNCTION("""COMPUTED_VALUE"""),1467.15)</f>
        <v>1467.15</v>
      </c>
      <c r="F32" s="6">
        <f>IFERROR(__xludf.DUMMYFUNCTION("""COMPUTED_VALUE"""),2.0058937E7)</f>
        <v>20058937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IFERROR(__xludf.DUMMYFUNCTION("""COMPUTED_VALUE"""),1461.0)</f>
        <v>1461</v>
      </c>
      <c r="C33" s="6">
        <f>IFERROR(__xludf.DUMMYFUNCTION("""COMPUTED_VALUE"""),1486.0)</f>
        <v>1486</v>
      </c>
      <c r="D33" s="6">
        <f>IFERROR(__xludf.DUMMYFUNCTION("""COMPUTED_VALUE"""),1443.03)</f>
        <v>1443.03</v>
      </c>
      <c r="E33" s="6">
        <f>IFERROR(__xludf.DUMMYFUNCTION("""COMPUTED_VALUE"""),1470.13)</f>
        <v>1470.13</v>
      </c>
      <c r="F33" s="6">
        <f>IFERROR(__xludf.DUMMYFUNCTION("""COMPUTED_VALUE"""),2.8507858E7)</f>
        <v>28507858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IFERROR(__xludf.DUMMYFUNCTION("""COMPUTED_VALUE"""),1472.45)</f>
        <v>1472.45</v>
      </c>
      <c r="C34" s="6">
        <f>IFERROR(__xludf.DUMMYFUNCTION("""COMPUTED_VALUE"""),1493.5)</f>
        <v>1493.5</v>
      </c>
      <c r="D34" s="6">
        <f>IFERROR(__xludf.DUMMYFUNCTION("""COMPUTED_VALUE"""),1441.5)</f>
        <v>1441.5</v>
      </c>
      <c r="E34" s="6">
        <f>IFERROR(__xludf.DUMMYFUNCTION("""COMPUTED_VALUE"""),1452.55)</f>
        <v>1452.55</v>
      </c>
      <c r="F34" s="6">
        <f>IFERROR(__xludf.DUMMYFUNCTION("""COMPUTED_VALUE"""),3.0388233E7)</f>
        <v>30388233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IFERROR(__xludf.DUMMYFUNCTION("""COMPUTED_VALUE"""),1450.0)</f>
        <v>1450</v>
      </c>
      <c r="C35" s="6">
        <f>IFERROR(__xludf.DUMMYFUNCTION("""COMPUTED_VALUE"""),1483.08)</f>
        <v>1483.08</v>
      </c>
      <c r="D35" s="6">
        <f>IFERROR(__xludf.DUMMYFUNCTION("""COMPUTED_VALUE"""),1416.15)</f>
        <v>1416.15</v>
      </c>
      <c r="E35" s="6">
        <f>IFERROR(__xludf.DUMMYFUNCTION("""COMPUTED_VALUE"""),1434.0)</f>
        <v>1434</v>
      </c>
      <c r="F35" s="6">
        <f>IFERROR(__xludf.DUMMYFUNCTION("""COMPUTED_VALUE"""),2.523092E7)</f>
        <v>25230920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IFERROR(__xludf.DUMMYFUNCTION("""COMPUTED_VALUE"""),1435.5)</f>
        <v>1435.5</v>
      </c>
      <c r="C36" s="6">
        <f>IFERROR(__xludf.DUMMYFUNCTION("""COMPUTED_VALUE"""),1440.0)</f>
        <v>1440</v>
      </c>
      <c r="D36" s="6">
        <f>IFERROR(__xludf.DUMMYFUNCTION("""COMPUTED_VALUE"""),1388.08)</f>
        <v>1388.08</v>
      </c>
      <c r="E36" s="6">
        <f>IFERROR(__xludf.DUMMYFUNCTION("""COMPUTED_VALUE"""),1407.43)</f>
        <v>1407.43</v>
      </c>
      <c r="F36" s="6">
        <f>IFERROR(__xludf.DUMMYFUNCTION("""COMPUTED_VALUE"""),2.6432695E7)</f>
        <v>26432695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IFERROR(__xludf.DUMMYFUNCTION("""COMPUTED_VALUE"""),1425.6)</f>
        <v>1425.6</v>
      </c>
      <c r="C37" s="6">
        <f>IFERROR(__xludf.DUMMYFUNCTION("""COMPUTED_VALUE"""),1492.23)</f>
        <v>1492.23</v>
      </c>
      <c r="D37" s="6">
        <f>IFERROR(__xludf.DUMMYFUNCTION("""COMPUTED_VALUE"""),1425.6)</f>
        <v>1425.6</v>
      </c>
      <c r="E37" s="6">
        <f>IFERROR(__xludf.DUMMYFUNCTION("""COMPUTED_VALUE"""),1480.25)</f>
        <v>1480.25</v>
      </c>
      <c r="F37" s="6">
        <f>IFERROR(__xludf.DUMMYFUNCTION("""COMPUTED_VALUE"""),2.1580384E7)</f>
        <v>21580384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IFERROR(__xludf.DUMMYFUNCTION("""COMPUTED_VALUE"""),1480.23)</f>
        <v>1480.23</v>
      </c>
      <c r="C38" s="6">
        <f>IFERROR(__xludf.DUMMYFUNCTION("""COMPUTED_VALUE"""),1484.9)</f>
        <v>1484.9</v>
      </c>
      <c r="D38" s="6">
        <f>IFERROR(__xludf.DUMMYFUNCTION("""COMPUTED_VALUE"""),1420.1)</f>
        <v>1420.1</v>
      </c>
      <c r="E38" s="6">
        <f>IFERROR(__xludf.DUMMYFUNCTION("""COMPUTED_VALUE"""),1430.4)</f>
        <v>1430.4</v>
      </c>
      <c r="F38" s="6">
        <f>IFERROR(__xludf.DUMMYFUNCTION("""COMPUTED_VALUE"""),3.3054709E7)</f>
        <v>33054709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IFERROR(__xludf.DUMMYFUNCTION("""COMPUTED_VALUE"""),1483.0)</f>
        <v>1483</v>
      </c>
      <c r="C39" s="6">
        <f>IFERROR(__xludf.DUMMYFUNCTION("""COMPUTED_VALUE"""),1514.5)</f>
        <v>1514.5</v>
      </c>
      <c r="D39" s="6">
        <f>IFERROR(__xludf.DUMMYFUNCTION("""COMPUTED_VALUE"""),1359.3)</f>
        <v>1359.3</v>
      </c>
      <c r="E39" s="6">
        <f>IFERROR(__xludf.DUMMYFUNCTION("""COMPUTED_VALUE"""),1469.95)</f>
        <v>1469.95</v>
      </c>
      <c r="F39" s="6">
        <f>IFERROR(__xludf.DUMMYFUNCTION("""COMPUTED_VALUE"""),5.6058174E7)</f>
        <v>56058174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IFERROR(__xludf.DUMMYFUNCTION("""COMPUTED_VALUE"""),1469.95)</f>
        <v>1469.95</v>
      </c>
      <c r="C40" s="6">
        <f>IFERROR(__xludf.DUMMYFUNCTION("""COMPUTED_VALUE"""),1493.35)</f>
        <v>1493.35</v>
      </c>
      <c r="D40" s="6">
        <f>IFERROR(__xludf.DUMMYFUNCTION("""COMPUTED_VALUE"""),1454.68)</f>
        <v>1454.68</v>
      </c>
      <c r="E40" s="6">
        <f>IFERROR(__xludf.DUMMYFUNCTION("""COMPUTED_VALUE"""),1477.55)</f>
        <v>1477.55</v>
      </c>
      <c r="F40" s="6">
        <f>IFERROR(__xludf.DUMMYFUNCTION("""COMPUTED_VALUE"""),2.4223781E7)</f>
        <v>24223781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IFERROR(__xludf.DUMMYFUNCTION("""COMPUTED_VALUE"""),1487.35)</f>
        <v>1487.35</v>
      </c>
      <c r="C41" s="6">
        <f>IFERROR(__xludf.DUMMYFUNCTION("""COMPUTED_VALUE"""),1487.5)</f>
        <v>1487.5</v>
      </c>
      <c r="D41" s="6">
        <f>IFERROR(__xludf.DUMMYFUNCTION("""COMPUTED_VALUE"""),1440.58)</f>
        <v>1440.58</v>
      </c>
      <c r="E41" s="6">
        <f>IFERROR(__xludf.DUMMYFUNCTION("""COMPUTED_VALUE"""),1454.2)</f>
        <v>1454.2</v>
      </c>
      <c r="F41" s="6">
        <f>IFERROR(__xludf.DUMMYFUNCTION("""COMPUTED_VALUE"""),3.1603388E7)</f>
        <v>31603388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IFERROR(__xludf.DUMMYFUNCTION("""COMPUTED_VALUE"""),1445.53)</f>
        <v>1445.53</v>
      </c>
      <c r="C42" s="6">
        <f>IFERROR(__xludf.DUMMYFUNCTION("""COMPUTED_VALUE"""),1581.0)</f>
        <v>1581</v>
      </c>
      <c r="D42" s="6">
        <f>IFERROR(__xludf.DUMMYFUNCTION("""COMPUTED_VALUE"""),1437.5)</f>
        <v>1437.5</v>
      </c>
      <c r="E42" s="6">
        <f>IFERROR(__xludf.DUMMYFUNCTION("""COMPUTED_VALUE"""),1565.4)</f>
        <v>1565.4</v>
      </c>
      <c r="F42" s="6">
        <f>IFERROR(__xludf.DUMMYFUNCTION("""COMPUTED_VALUE"""),4.763951E7)</f>
        <v>47639510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IFERROR(__xludf.DUMMYFUNCTION("""COMPUTED_VALUE"""),1562.53)</f>
        <v>1562.53</v>
      </c>
      <c r="C43" s="6">
        <f>IFERROR(__xludf.DUMMYFUNCTION("""COMPUTED_VALUE"""),1598.5)</f>
        <v>1598.5</v>
      </c>
      <c r="D43" s="6">
        <f>IFERROR(__xludf.DUMMYFUNCTION("""COMPUTED_VALUE"""),1542.78)</f>
        <v>1542.78</v>
      </c>
      <c r="E43" s="6">
        <f>IFERROR(__xludf.DUMMYFUNCTION("""COMPUTED_VALUE"""),1588.63)</f>
        <v>1588.63</v>
      </c>
      <c r="F43" s="6">
        <f>IFERROR(__xludf.DUMMYFUNCTION("""COMPUTED_VALUE"""),2.1815029E7)</f>
        <v>21815029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IFERROR(__xludf.DUMMYFUNCTION("""COMPUTED_VALUE"""),1589.0)</f>
        <v>1589</v>
      </c>
      <c r="C44" s="6">
        <f>IFERROR(__xludf.DUMMYFUNCTION("""COMPUTED_VALUE"""),1608.8)</f>
        <v>1608.8</v>
      </c>
      <c r="D44" s="6">
        <f>IFERROR(__xludf.DUMMYFUNCTION("""COMPUTED_VALUE"""),1563.15)</f>
        <v>1563.15</v>
      </c>
      <c r="E44" s="6">
        <f>IFERROR(__xludf.DUMMYFUNCTION("""COMPUTED_VALUE"""),1596.73)</f>
        <v>1596.73</v>
      </c>
      <c r="F44" s="6">
        <f>IFERROR(__xludf.DUMMYFUNCTION("""COMPUTED_VALUE"""),2.4230558E7)</f>
        <v>24230558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IFERROR(__xludf.DUMMYFUNCTION("""COMPUTED_VALUE"""),1604.45)</f>
        <v>1604.45</v>
      </c>
      <c r="C45" s="6">
        <f>IFERROR(__xludf.DUMMYFUNCTION("""COMPUTED_VALUE"""),1605.85)</f>
        <v>1605.85</v>
      </c>
      <c r="D45" s="6">
        <f>IFERROR(__xludf.DUMMYFUNCTION("""COMPUTED_VALUE"""),1552.8)</f>
        <v>1552.8</v>
      </c>
      <c r="E45" s="6">
        <f>IFERROR(__xludf.DUMMYFUNCTION("""COMPUTED_VALUE"""),1555.15)</f>
        <v>1555.15</v>
      </c>
      <c r="F45" s="6">
        <f>IFERROR(__xludf.DUMMYFUNCTION("""COMPUTED_VALUE"""),2.0077645E7)</f>
        <v>20077645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IFERROR(__xludf.DUMMYFUNCTION("""COMPUTED_VALUE"""),1537.25)</f>
        <v>1537.25</v>
      </c>
      <c r="C46" s="6">
        <f>IFERROR(__xludf.DUMMYFUNCTION("""COMPUTED_VALUE"""),1537.5)</f>
        <v>1537.5</v>
      </c>
      <c r="D46" s="6">
        <f>IFERROR(__xludf.DUMMYFUNCTION("""COMPUTED_VALUE"""),1463.0)</f>
        <v>1463</v>
      </c>
      <c r="E46" s="6">
        <f>IFERROR(__xludf.DUMMYFUNCTION("""COMPUTED_VALUE"""),1509.03)</f>
        <v>1509.03</v>
      </c>
      <c r="F46" s="6">
        <f>IFERROR(__xludf.DUMMYFUNCTION("""COMPUTED_VALUE"""),3.6009799E7)</f>
        <v>36009799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IFERROR(__xludf.DUMMYFUNCTION("""COMPUTED_VALUE"""),1511.95)</f>
        <v>1511.95</v>
      </c>
      <c r="C47" s="6">
        <f>IFERROR(__xludf.DUMMYFUNCTION("""COMPUTED_VALUE"""),1527.5)</f>
        <v>1527.5</v>
      </c>
      <c r="D47" s="6">
        <f>IFERROR(__xludf.DUMMYFUNCTION("""COMPUTED_VALUE"""),1493.28)</f>
        <v>1493.28</v>
      </c>
      <c r="E47" s="6">
        <f>IFERROR(__xludf.DUMMYFUNCTION("""COMPUTED_VALUE"""),1499.33)</f>
        <v>1499.33</v>
      </c>
      <c r="F47" s="6">
        <f>IFERROR(__xludf.DUMMYFUNCTION("""COMPUTED_VALUE"""),2.3428287E7)</f>
        <v>23428287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IFERROR(__xludf.DUMMYFUNCTION("""COMPUTED_VALUE"""),1480.0)</f>
        <v>1480</v>
      </c>
      <c r="C48" s="6">
        <f>IFERROR(__xludf.DUMMYFUNCTION("""COMPUTED_VALUE"""),1483.9)</f>
        <v>1483.9</v>
      </c>
      <c r="D48" s="6">
        <f>IFERROR(__xludf.DUMMYFUNCTION("""COMPUTED_VALUE"""),1433.25)</f>
        <v>1433.25</v>
      </c>
      <c r="E48" s="6">
        <f>IFERROR(__xludf.DUMMYFUNCTION("""COMPUTED_VALUE"""),1474.3)</f>
        <v>1474.3</v>
      </c>
      <c r="F48" s="6">
        <f>IFERROR(__xludf.DUMMYFUNCTION("""COMPUTED_VALUE"""),2.7047213E7)</f>
        <v>27047213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IFERROR(__xludf.DUMMYFUNCTION("""COMPUTED_VALUE"""),1470.0)</f>
        <v>1470</v>
      </c>
      <c r="C49" s="6">
        <f>IFERROR(__xludf.DUMMYFUNCTION("""COMPUTED_VALUE"""),1480.4)</f>
        <v>1480.4</v>
      </c>
      <c r="D49" s="6">
        <f>IFERROR(__xludf.DUMMYFUNCTION("""COMPUTED_VALUE"""),1453.7)</f>
        <v>1453.7</v>
      </c>
      <c r="E49" s="6">
        <f>IFERROR(__xludf.DUMMYFUNCTION("""COMPUTED_VALUE"""),1478.2)</f>
        <v>1478.2</v>
      </c>
      <c r="F49" s="6">
        <f>IFERROR(__xludf.DUMMYFUNCTION("""COMPUTED_VALUE"""),1.5067008E7)</f>
        <v>15067008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IFERROR(__xludf.DUMMYFUNCTION("""COMPUTED_VALUE"""),1482.5)</f>
        <v>1482.5</v>
      </c>
      <c r="C50" s="6">
        <f>IFERROR(__xludf.DUMMYFUNCTION("""COMPUTED_VALUE"""),1511.33)</f>
        <v>1511.33</v>
      </c>
      <c r="D50" s="6">
        <f>IFERROR(__xludf.DUMMYFUNCTION("""COMPUTED_VALUE"""),1480.5)</f>
        <v>1480.5</v>
      </c>
      <c r="E50" s="6">
        <f>IFERROR(__xludf.DUMMYFUNCTION("""COMPUTED_VALUE"""),1499.98)</f>
        <v>1499.98</v>
      </c>
      <c r="F50" s="6">
        <f>IFERROR(__xludf.DUMMYFUNCTION("""COMPUTED_VALUE"""),2.4837491E7)</f>
        <v>24837491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IFERROR(__xludf.DUMMYFUNCTION("""COMPUTED_VALUE"""),1506.98)</f>
        <v>1506.98</v>
      </c>
      <c r="C51" s="6">
        <f>IFERROR(__xludf.DUMMYFUNCTION("""COMPUTED_VALUE"""),1539.73)</f>
        <v>1539.73</v>
      </c>
      <c r="D51" s="6">
        <f>IFERROR(__xludf.DUMMYFUNCTION("""COMPUTED_VALUE"""),1493.0)</f>
        <v>1493</v>
      </c>
      <c r="E51" s="6">
        <f>IFERROR(__xludf.DUMMYFUNCTION("""COMPUTED_VALUE"""),1509.63)</f>
        <v>1509.63</v>
      </c>
      <c r="F51" s="6">
        <f>IFERROR(__xludf.DUMMYFUNCTION("""COMPUTED_VALUE"""),5.2316822E7)</f>
        <v>52316822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IFERROR(__xludf.DUMMYFUNCTION("""COMPUTED_VALUE"""),1510.88)</f>
        <v>1510.88</v>
      </c>
      <c r="C52" s="6">
        <f>IFERROR(__xludf.DUMMYFUNCTION("""COMPUTED_VALUE"""),1526.8)</f>
        <v>1526.8</v>
      </c>
      <c r="D52" s="6">
        <f>IFERROR(__xludf.DUMMYFUNCTION("""COMPUTED_VALUE"""),1461.63)</f>
        <v>1461.63</v>
      </c>
      <c r="E52" s="6">
        <f>IFERROR(__xludf.DUMMYFUNCTION("""COMPUTED_VALUE"""),1464.83)</f>
        <v>1464.83</v>
      </c>
      <c r="F52" s="6">
        <f>IFERROR(__xludf.DUMMYFUNCTION("""COMPUTED_VALUE"""),3.4903176E7)</f>
        <v>34903176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IFERROR(__xludf.DUMMYFUNCTION("""COMPUTED_VALUE"""),1466.5)</f>
        <v>1466.5</v>
      </c>
      <c r="C53" s="6">
        <f>IFERROR(__xludf.DUMMYFUNCTION("""COMPUTED_VALUE"""),1486.0)</f>
        <v>1486</v>
      </c>
      <c r="D53" s="6">
        <f>IFERROR(__xludf.DUMMYFUNCTION("""COMPUTED_VALUE"""),1445.88)</f>
        <v>1445.88</v>
      </c>
      <c r="E53" s="6">
        <f>IFERROR(__xludf.DUMMYFUNCTION("""COMPUTED_VALUE"""),1472.63)</f>
        <v>1472.63</v>
      </c>
      <c r="F53" s="6">
        <f>IFERROR(__xludf.DUMMYFUNCTION("""COMPUTED_VALUE"""),3.0299732E7)</f>
        <v>30299732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IFERROR(__xludf.DUMMYFUNCTION("""COMPUTED_VALUE"""),1477.55)</f>
        <v>1477.55</v>
      </c>
      <c r="C54" s="6">
        <f>IFERROR(__xludf.DUMMYFUNCTION("""COMPUTED_VALUE"""),1495.0)</f>
        <v>1495</v>
      </c>
      <c r="D54" s="6">
        <f>IFERROR(__xludf.DUMMYFUNCTION("""COMPUTED_VALUE"""),1455.55)</f>
        <v>1455.55</v>
      </c>
      <c r="E54" s="6">
        <f>IFERROR(__xludf.DUMMYFUNCTION("""COMPUTED_VALUE"""),1485.93)</f>
        <v>1485.93</v>
      </c>
      <c r="F54" s="6">
        <f>IFERROR(__xludf.DUMMYFUNCTION("""COMPUTED_VALUE"""),3.3922519E7)</f>
        <v>33922519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IFERROR(__xludf.DUMMYFUNCTION("""COMPUTED_VALUE"""),1491.0)</f>
        <v>1491</v>
      </c>
      <c r="C55" s="6">
        <f>IFERROR(__xludf.DUMMYFUNCTION("""COMPUTED_VALUE"""),1533.48)</f>
        <v>1533.48</v>
      </c>
      <c r="D55" s="6">
        <f>IFERROR(__xludf.DUMMYFUNCTION("""COMPUTED_VALUE"""),1480.2)</f>
        <v>1480.2</v>
      </c>
      <c r="E55" s="6">
        <f>IFERROR(__xludf.DUMMYFUNCTION("""COMPUTED_VALUE"""),1526.18)</f>
        <v>1526.18</v>
      </c>
      <c r="F55" s="6">
        <f>IFERROR(__xludf.DUMMYFUNCTION("""COMPUTED_VALUE"""),3.6227618E7)</f>
        <v>36227618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IFERROR(__xludf.DUMMYFUNCTION("""COMPUTED_VALUE"""),1519.4)</f>
        <v>1519.4</v>
      </c>
      <c r="C56" s="6">
        <f>IFERROR(__xludf.DUMMYFUNCTION("""COMPUTED_VALUE"""),1524.98)</f>
        <v>1524.98</v>
      </c>
      <c r="D56" s="6">
        <f>IFERROR(__xludf.DUMMYFUNCTION("""COMPUTED_VALUE"""),1381.78)</f>
        <v>1381.78</v>
      </c>
      <c r="E56" s="6">
        <f>IFERROR(__xludf.DUMMYFUNCTION("""COMPUTED_VALUE"""),1386.53)</f>
        <v>1386.53</v>
      </c>
      <c r="F56" s="6">
        <f>IFERROR(__xludf.DUMMYFUNCTION("""COMPUTED_VALUE"""),5.9135313E7)</f>
        <v>59135313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IFERROR(__xludf.DUMMYFUNCTION("""COMPUTED_VALUE"""),1393.5)</f>
        <v>1393.5</v>
      </c>
      <c r="C57" s="6">
        <f>IFERROR(__xludf.DUMMYFUNCTION("""COMPUTED_VALUE"""),1401.0)</f>
        <v>1401</v>
      </c>
      <c r="D57" s="6">
        <f>IFERROR(__xludf.DUMMYFUNCTION("""COMPUTED_VALUE"""),1361.38)</f>
        <v>1361.38</v>
      </c>
      <c r="E57" s="6">
        <f>IFERROR(__xludf.DUMMYFUNCTION("""COMPUTED_VALUE"""),1372.1)</f>
        <v>1372.1</v>
      </c>
      <c r="F57" s="6">
        <f>IFERROR(__xludf.DUMMYFUNCTION("""COMPUTED_VALUE"""),4.1925763E7)</f>
        <v>41925763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IFERROR(__xludf.DUMMYFUNCTION("""COMPUTED_VALUE"""),1379.45)</f>
        <v>1379.45</v>
      </c>
      <c r="C58" s="6">
        <f>IFERROR(__xludf.DUMMYFUNCTION("""COMPUTED_VALUE"""),1380.08)</f>
        <v>1380.08</v>
      </c>
      <c r="D58" s="6">
        <f>IFERROR(__xludf.DUMMYFUNCTION("""COMPUTED_VALUE"""),1337.63)</f>
        <v>1337.63</v>
      </c>
      <c r="E58" s="6">
        <f>IFERROR(__xludf.DUMMYFUNCTION("""COMPUTED_VALUE"""),1359.3)</f>
        <v>1359.3</v>
      </c>
      <c r="F58" s="6">
        <f>IFERROR(__xludf.DUMMYFUNCTION("""COMPUTED_VALUE"""),4.6822388E7)</f>
        <v>46822388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IFERROR(__xludf.DUMMYFUNCTION("""COMPUTED_VALUE"""),1367.13)</f>
        <v>1367.13</v>
      </c>
      <c r="C59" s="6">
        <f>IFERROR(__xludf.DUMMYFUNCTION("""COMPUTED_VALUE"""),1376.0)</f>
        <v>1376</v>
      </c>
      <c r="D59" s="6">
        <f>IFERROR(__xludf.DUMMYFUNCTION("""COMPUTED_VALUE"""),1322.0)</f>
        <v>1322</v>
      </c>
      <c r="E59" s="6">
        <f>IFERROR(__xludf.DUMMYFUNCTION("""COMPUTED_VALUE"""),1327.85)</f>
        <v>1327.85</v>
      </c>
      <c r="F59" s="6">
        <f>IFERROR(__xludf.DUMMYFUNCTION("""COMPUTED_VALUE"""),4.393377E7)</f>
        <v>43933770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IFERROR(__xludf.DUMMYFUNCTION("""COMPUTED_VALUE"""),1337.85)</f>
        <v>1337.85</v>
      </c>
      <c r="C60" s="6">
        <f>IFERROR(__xludf.DUMMYFUNCTION("""COMPUTED_VALUE"""),1340.0)</f>
        <v>1340</v>
      </c>
      <c r="D60" s="6">
        <f>IFERROR(__xludf.DUMMYFUNCTION("""COMPUTED_VALUE"""),1275.0)</f>
        <v>1275</v>
      </c>
      <c r="E60" s="6">
        <f>IFERROR(__xludf.DUMMYFUNCTION("""COMPUTED_VALUE"""),1283.75)</f>
        <v>1283.75</v>
      </c>
      <c r="F60" s="6">
        <f>IFERROR(__xludf.DUMMYFUNCTION("""COMPUTED_VALUE"""),8.7115958E7)</f>
        <v>87115958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IFERROR(__xludf.DUMMYFUNCTION("""COMPUTED_VALUE"""),1278.95)</f>
        <v>1278.95</v>
      </c>
      <c r="C61" s="6">
        <f>IFERROR(__xludf.DUMMYFUNCTION("""COMPUTED_VALUE"""),1289.3)</f>
        <v>1289.3</v>
      </c>
      <c r="D61" s="6">
        <f>IFERROR(__xludf.DUMMYFUNCTION("""COMPUTED_VALUE"""),1249.5)</f>
        <v>1249.5</v>
      </c>
      <c r="E61" s="6">
        <f>IFERROR(__xludf.DUMMYFUNCTION("""COMPUTED_VALUE"""),1267.6)</f>
        <v>1267.6</v>
      </c>
      <c r="F61" s="6">
        <f>IFERROR(__xludf.DUMMYFUNCTION("""COMPUTED_VALUE"""),4.6973909E7)</f>
        <v>46973909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IFERROR(__xludf.DUMMYFUNCTION("""COMPUTED_VALUE"""),1267.6)</f>
        <v>1267.6</v>
      </c>
      <c r="C62" s="6">
        <f>IFERROR(__xludf.DUMMYFUNCTION("""COMPUTED_VALUE"""),1281.5)</f>
        <v>1281.5</v>
      </c>
      <c r="D62" s="6">
        <f>IFERROR(__xludf.DUMMYFUNCTION("""COMPUTED_VALUE"""),1217.25)</f>
        <v>1217.25</v>
      </c>
      <c r="E62" s="6">
        <f>IFERROR(__xludf.DUMMYFUNCTION("""COMPUTED_VALUE"""),1265.4)</f>
        <v>1265.4</v>
      </c>
      <c r="F62" s="6">
        <f>IFERROR(__xludf.DUMMYFUNCTION("""COMPUTED_VALUE"""),6.7710157E7)</f>
        <v>67710157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IFERROR(__xludf.DUMMYFUNCTION("""COMPUTED_VALUE"""),1290.0)</f>
        <v>1290</v>
      </c>
      <c r="C63" s="6">
        <f>IFERROR(__xludf.DUMMYFUNCTION("""COMPUTED_VALUE"""),1304.45)</f>
        <v>1304.45</v>
      </c>
      <c r="D63" s="6">
        <f>IFERROR(__xludf.DUMMYFUNCTION("""COMPUTED_VALUE"""),1269.05)</f>
        <v>1269.05</v>
      </c>
      <c r="E63" s="6">
        <f>IFERROR(__xludf.DUMMYFUNCTION("""COMPUTED_VALUE"""),1292.2)</f>
        <v>1292.2</v>
      </c>
      <c r="F63" s="6">
        <f>IFERROR(__xludf.DUMMYFUNCTION("""COMPUTED_VALUE"""),7.5973363E7)</f>
        <v>75973363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IFERROR(__xludf.DUMMYFUNCTION("""COMPUTED_VALUE"""),1288.0)</f>
        <v>1288</v>
      </c>
      <c r="C64" s="6">
        <f>IFERROR(__xludf.DUMMYFUNCTION("""COMPUTED_VALUE"""),1329.95)</f>
        <v>1329.95</v>
      </c>
      <c r="D64" s="6">
        <f>IFERROR(__xludf.DUMMYFUNCTION("""COMPUTED_VALUE"""),1277.05)</f>
        <v>1277.05</v>
      </c>
      <c r="E64" s="6">
        <f>IFERROR(__xludf.DUMMYFUNCTION("""COMPUTED_VALUE"""),1311.55)</f>
        <v>1311.55</v>
      </c>
      <c r="F64" s="6">
        <f>IFERROR(__xludf.DUMMYFUNCTION("""COMPUTED_VALUE"""),7.3398411E7)</f>
        <v>73398411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IFERROR(__xludf.DUMMYFUNCTION("""COMPUTED_VALUE"""),1303.0)</f>
        <v>1303</v>
      </c>
      <c r="C65" s="6">
        <f>IFERROR(__xludf.DUMMYFUNCTION("""COMPUTED_VALUE"""),1315.0)</f>
        <v>1315</v>
      </c>
      <c r="D65" s="6">
        <f>IFERROR(__xludf.DUMMYFUNCTION("""COMPUTED_VALUE"""),1239.6)</f>
        <v>1239.6</v>
      </c>
      <c r="E65" s="6">
        <f>IFERROR(__xludf.DUMMYFUNCTION("""COMPUTED_VALUE"""),1272.85)</f>
        <v>1272.85</v>
      </c>
      <c r="F65" s="6">
        <f>IFERROR(__xludf.DUMMYFUNCTION("""COMPUTED_VALUE"""),9.1955139E7)</f>
        <v>91955139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IFERROR(__xludf.DUMMYFUNCTION("""COMPUTED_VALUE"""),1275.0)</f>
        <v>1275</v>
      </c>
      <c r="C66" s="6">
        <f>IFERROR(__xludf.DUMMYFUNCTION("""COMPUTED_VALUE"""),1281.0)</f>
        <v>1281</v>
      </c>
      <c r="D66" s="6">
        <f>IFERROR(__xludf.DUMMYFUNCTION("""COMPUTED_VALUE"""),1201.5)</f>
        <v>1201.5</v>
      </c>
      <c r="E66" s="6">
        <f>IFERROR(__xludf.DUMMYFUNCTION("""COMPUTED_VALUE"""),1205.3)</f>
        <v>1205.3</v>
      </c>
      <c r="F66" s="6">
        <f>IFERROR(__xludf.DUMMYFUNCTION("""COMPUTED_VALUE"""),7.41773E7)</f>
        <v>74177300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IFERROR(__xludf.DUMMYFUNCTION("""COMPUTED_VALUE"""),1215.0)</f>
        <v>1215</v>
      </c>
      <c r="C67" s="6">
        <f>IFERROR(__xludf.DUMMYFUNCTION("""COMPUTED_VALUE"""),1233.55)</f>
        <v>1233.55</v>
      </c>
      <c r="D67" s="6">
        <f>IFERROR(__xludf.DUMMYFUNCTION("""COMPUTED_VALUE"""),1213.2)</f>
        <v>1213.2</v>
      </c>
      <c r="E67" s="6">
        <f>IFERROR(__xludf.DUMMYFUNCTION("""COMPUTED_VALUE"""),1221.05)</f>
        <v>1221.05</v>
      </c>
      <c r="F67" s="6">
        <f>IFERROR(__xludf.DUMMYFUNCTION("""COMPUTED_VALUE"""),3.3804316E7)</f>
        <v>33804316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IFERROR(__xludf.DUMMYFUNCTION("""COMPUTED_VALUE"""),1216.4)</f>
        <v>1216.4</v>
      </c>
      <c r="C68" s="6">
        <f>IFERROR(__xludf.DUMMYFUNCTION("""COMPUTED_VALUE"""),1262.05)</f>
        <v>1262.05</v>
      </c>
      <c r="D68" s="6">
        <f>IFERROR(__xludf.DUMMYFUNCTION("""COMPUTED_VALUE"""),1206.15)</f>
        <v>1206.15</v>
      </c>
      <c r="E68" s="6">
        <f>IFERROR(__xludf.DUMMYFUNCTION("""COMPUTED_VALUE"""),1251.15)</f>
        <v>1251.15</v>
      </c>
      <c r="F68" s="6">
        <f>IFERROR(__xludf.DUMMYFUNCTION("""COMPUTED_VALUE"""),5.2124209E7)</f>
        <v>52124209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IFERROR(__xludf.DUMMYFUNCTION("""COMPUTED_VALUE"""),1253.95)</f>
        <v>1253.95</v>
      </c>
      <c r="C69" s="6">
        <f>IFERROR(__xludf.DUMMYFUNCTION("""COMPUTED_VALUE"""),1271.05)</f>
        <v>1271.05</v>
      </c>
      <c r="D69" s="6">
        <f>IFERROR(__xludf.DUMMYFUNCTION("""COMPUTED_VALUE"""),1215.0)</f>
        <v>1215</v>
      </c>
      <c r="E69" s="6">
        <f>IFERROR(__xludf.DUMMYFUNCTION("""COMPUTED_VALUE"""),1241.9)</f>
        <v>1241.9</v>
      </c>
      <c r="F69" s="6">
        <f>IFERROR(__xludf.DUMMYFUNCTION("""COMPUTED_VALUE"""),6.5148886E7)</f>
        <v>65148886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IFERROR(__xludf.DUMMYFUNCTION("""COMPUTED_VALUE"""),1230.0)</f>
        <v>1230</v>
      </c>
      <c r="C70" s="6">
        <f>IFERROR(__xludf.DUMMYFUNCTION("""COMPUTED_VALUE"""),1326.0)</f>
        <v>1326</v>
      </c>
      <c r="D70" s="6">
        <f>IFERROR(__xludf.DUMMYFUNCTION("""COMPUTED_VALUE"""),1226.4)</f>
        <v>1226.4</v>
      </c>
      <c r="E70" s="6">
        <f>IFERROR(__xludf.DUMMYFUNCTION("""COMPUTED_VALUE"""),1302.35)</f>
        <v>1302.35</v>
      </c>
      <c r="F70" s="6">
        <f>IFERROR(__xludf.DUMMYFUNCTION("""COMPUTED_VALUE"""),7.9922863E7)</f>
        <v>79922863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IFERROR(__xludf.DUMMYFUNCTION("""COMPUTED_VALUE"""),1316.0)</f>
        <v>1316</v>
      </c>
      <c r="C71" s="6">
        <f>IFERROR(__xludf.DUMMYFUNCTION("""COMPUTED_VALUE"""),1316.0)</f>
        <v>1316</v>
      </c>
      <c r="D71" s="6">
        <f>IFERROR(__xludf.DUMMYFUNCTION("""COMPUTED_VALUE"""),1243.5)</f>
        <v>1243.5</v>
      </c>
      <c r="E71" s="6">
        <f>IFERROR(__xludf.DUMMYFUNCTION("""COMPUTED_VALUE"""),1246.3)</f>
        <v>1246.3</v>
      </c>
      <c r="F71" s="6">
        <f>IFERROR(__xludf.DUMMYFUNCTION("""COMPUTED_VALUE"""),6.1833462E7)</f>
        <v>61833462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IFERROR(__xludf.DUMMYFUNCTION("""COMPUTED_VALUE"""),1251.0)</f>
        <v>1251</v>
      </c>
      <c r="C72" s="6">
        <f>IFERROR(__xludf.DUMMYFUNCTION("""COMPUTED_VALUE"""),1290.5)</f>
        <v>1290.5</v>
      </c>
      <c r="D72" s="6">
        <f>IFERROR(__xludf.DUMMYFUNCTION("""COMPUTED_VALUE"""),1237.55)</f>
        <v>1237.55</v>
      </c>
      <c r="E72" s="6">
        <f>IFERROR(__xludf.DUMMYFUNCTION("""COMPUTED_VALUE"""),1266.7)</f>
        <v>1266.7</v>
      </c>
      <c r="F72" s="6">
        <f>IFERROR(__xludf.DUMMYFUNCTION("""COMPUTED_VALUE"""),5.4775726E7)</f>
        <v>54775726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IFERROR(__xludf.DUMMYFUNCTION("""COMPUTED_VALUE"""),1264.5)</f>
        <v>1264.5</v>
      </c>
      <c r="C73" s="6">
        <f>IFERROR(__xludf.DUMMYFUNCTION("""COMPUTED_VALUE"""),1266.5)</f>
        <v>1266.5</v>
      </c>
      <c r="D73" s="6">
        <f>IFERROR(__xludf.DUMMYFUNCTION("""COMPUTED_VALUE"""),1193.35)</f>
        <v>1193.35</v>
      </c>
      <c r="E73" s="6">
        <f>IFERROR(__xludf.DUMMYFUNCTION("""COMPUTED_VALUE"""),1217.25)</f>
        <v>1217.25</v>
      </c>
      <c r="F73" s="6">
        <f>IFERROR(__xludf.DUMMYFUNCTION("""COMPUTED_VALUE"""),5.5771701E7)</f>
        <v>55771701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IFERROR(__xludf.DUMMYFUNCTION("""COMPUTED_VALUE"""),1211.1)</f>
        <v>1211.1</v>
      </c>
      <c r="C74" s="6">
        <f>IFERROR(__xludf.DUMMYFUNCTION("""COMPUTED_VALUE"""),1240.0)</f>
        <v>1240</v>
      </c>
      <c r="D74" s="6">
        <f>IFERROR(__xludf.DUMMYFUNCTION("""COMPUTED_VALUE"""),1204.5)</f>
        <v>1204.5</v>
      </c>
      <c r="E74" s="6">
        <f>IFERROR(__xludf.DUMMYFUNCTION("""COMPUTED_VALUE"""),1228.15)</f>
        <v>1228.15</v>
      </c>
      <c r="F74" s="6">
        <f>IFERROR(__xludf.DUMMYFUNCTION("""COMPUTED_VALUE"""),3.5756878E7)</f>
        <v>35756878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IFERROR(__xludf.DUMMYFUNCTION("""COMPUTED_VALUE"""),1216.55)</f>
        <v>1216.55</v>
      </c>
      <c r="C75" s="6">
        <f>IFERROR(__xludf.DUMMYFUNCTION("""COMPUTED_VALUE"""),1223.25)</f>
        <v>1223.25</v>
      </c>
      <c r="D75" s="6">
        <f>IFERROR(__xludf.DUMMYFUNCTION("""COMPUTED_VALUE"""),1193.3)</f>
        <v>1193.3</v>
      </c>
      <c r="E75" s="6">
        <f>IFERROR(__xludf.DUMMYFUNCTION("""COMPUTED_VALUE"""),1200.1)</f>
        <v>1200.1</v>
      </c>
      <c r="F75" s="6">
        <f>IFERROR(__xludf.DUMMYFUNCTION("""COMPUTED_VALUE"""),5.3241193E7)</f>
        <v>53241193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IFERROR(__xludf.DUMMYFUNCTION("""COMPUTED_VALUE"""),1204.0)</f>
        <v>1204</v>
      </c>
      <c r="C76" s="6">
        <f>IFERROR(__xludf.DUMMYFUNCTION("""COMPUTED_VALUE"""),1254.8)</f>
        <v>1254.8</v>
      </c>
      <c r="D76" s="6">
        <f>IFERROR(__xludf.DUMMYFUNCTION("""COMPUTED_VALUE"""),1156.0)</f>
        <v>1156</v>
      </c>
      <c r="E76" s="6">
        <f>IFERROR(__xludf.DUMMYFUNCTION("""COMPUTED_VALUE"""),1249.8)</f>
        <v>1249.8</v>
      </c>
      <c r="F76" s="6">
        <f>IFERROR(__xludf.DUMMYFUNCTION("""COMPUTED_VALUE"""),6.8929385E7)</f>
        <v>68929385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IFERROR(__xludf.DUMMYFUNCTION("""COMPUTED_VALUE"""),1245.0)</f>
        <v>1245</v>
      </c>
      <c r="C77" s="6">
        <f>IFERROR(__xludf.DUMMYFUNCTION("""COMPUTED_VALUE"""),1264.15)</f>
        <v>1264.15</v>
      </c>
      <c r="D77" s="6">
        <f>IFERROR(__xludf.DUMMYFUNCTION("""COMPUTED_VALUE"""),1229.75)</f>
        <v>1229.75</v>
      </c>
      <c r="E77" s="6">
        <f>IFERROR(__xludf.DUMMYFUNCTION("""COMPUTED_VALUE"""),1247.9)</f>
        <v>1247.9</v>
      </c>
      <c r="F77" s="6">
        <f>IFERROR(__xludf.DUMMYFUNCTION("""COMPUTED_VALUE"""),4.3503714E7)</f>
        <v>43503714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IFERROR(__xludf.DUMMYFUNCTION("""COMPUTED_VALUE"""),1242.15)</f>
        <v>1242.15</v>
      </c>
      <c r="C78" s="6">
        <f>IFERROR(__xludf.DUMMYFUNCTION("""COMPUTED_VALUE"""),1281.0)</f>
        <v>1281</v>
      </c>
      <c r="D78" s="6">
        <f>IFERROR(__xludf.DUMMYFUNCTION("""COMPUTED_VALUE"""),1233.1)</f>
        <v>1233.1</v>
      </c>
      <c r="E78" s="6">
        <f>IFERROR(__xludf.DUMMYFUNCTION("""COMPUTED_VALUE"""),1276.35)</f>
        <v>1276.35</v>
      </c>
      <c r="F78" s="6">
        <f>IFERROR(__xludf.DUMMYFUNCTION("""COMPUTED_VALUE"""),8.6301474E7)</f>
        <v>86301474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IFERROR(__xludf.DUMMYFUNCTION("""COMPUTED_VALUE"""),1291.0)</f>
        <v>1291</v>
      </c>
      <c r="C79" s="6">
        <f>IFERROR(__xludf.DUMMYFUNCTION("""COMPUTED_VALUE"""),1307.7)</f>
        <v>1307.7</v>
      </c>
      <c r="D79" s="6">
        <f>IFERROR(__xludf.DUMMYFUNCTION("""COMPUTED_VALUE"""),1268.75)</f>
        <v>1268.75</v>
      </c>
      <c r="E79" s="6">
        <f>IFERROR(__xludf.DUMMYFUNCTION("""COMPUTED_VALUE"""),1275.1)</f>
        <v>1275.1</v>
      </c>
      <c r="F79" s="6">
        <f>IFERROR(__xludf.DUMMYFUNCTION("""COMPUTED_VALUE"""),7.926315E7)</f>
        <v>79263150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IFERROR(__xludf.DUMMYFUNCTION("""COMPUTED_VALUE"""),1264.6)</f>
        <v>1264.6</v>
      </c>
      <c r="C80" s="6">
        <f>IFERROR(__xludf.DUMMYFUNCTION("""COMPUTED_VALUE"""),1277.9)</f>
        <v>1277.9</v>
      </c>
      <c r="D80" s="6">
        <f>IFERROR(__xludf.DUMMYFUNCTION("""COMPUTED_VALUE"""),1193.15)</f>
        <v>1193.15</v>
      </c>
      <c r="E80" s="6">
        <f>IFERROR(__xludf.DUMMYFUNCTION("""COMPUTED_VALUE"""),1204.7)</f>
        <v>1204.7</v>
      </c>
      <c r="F80" s="6">
        <f>IFERROR(__xludf.DUMMYFUNCTION("""COMPUTED_VALUE"""),4.7585256E7)</f>
        <v>47585256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IFERROR(__xludf.DUMMYFUNCTION("""COMPUTED_VALUE"""),1132.2)</f>
        <v>1132.2</v>
      </c>
      <c r="C81" s="6">
        <f>IFERROR(__xludf.DUMMYFUNCTION("""COMPUTED_VALUE"""),1222.65)</f>
        <v>1222.65</v>
      </c>
      <c r="D81" s="6">
        <f>IFERROR(__xludf.DUMMYFUNCTION("""COMPUTED_VALUE"""),1114.85)</f>
        <v>1114.85</v>
      </c>
      <c r="E81" s="6">
        <f>IFERROR(__xludf.DUMMYFUNCTION("""COMPUTED_VALUE"""),1218.95)</f>
        <v>1218.95</v>
      </c>
      <c r="F81" s="6">
        <f>IFERROR(__xludf.DUMMYFUNCTION("""COMPUTED_VALUE"""),6.3158492E7)</f>
        <v>63158492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IFERROR(__xludf.DUMMYFUNCTION("""COMPUTED_VALUE"""),1251.0)</f>
        <v>1251</v>
      </c>
      <c r="C82" s="6">
        <f>IFERROR(__xludf.DUMMYFUNCTION("""COMPUTED_VALUE"""),1280.2)</f>
        <v>1280.2</v>
      </c>
      <c r="D82" s="6">
        <f>IFERROR(__xludf.DUMMYFUNCTION("""COMPUTED_VALUE"""),1227.6)</f>
        <v>1227.6</v>
      </c>
      <c r="E82" s="6">
        <f>IFERROR(__xludf.DUMMYFUNCTION("""COMPUTED_VALUE"""),1274.5)</f>
        <v>1274.5</v>
      </c>
      <c r="F82" s="6">
        <f>IFERROR(__xludf.DUMMYFUNCTION("""COMPUTED_VALUE"""),3.70254E7)</f>
        <v>37025400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IFERROR(__xludf.DUMMYFUNCTION("""COMPUTED_VALUE"""),1270.0)</f>
        <v>1270</v>
      </c>
      <c r="C83" s="6">
        <f>IFERROR(__xludf.DUMMYFUNCTION("""COMPUTED_VALUE"""),1325.2)</f>
        <v>1325.2</v>
      </c>
      <c r="D83" s="6">
        <f>IFERROR(__xludf.DUMMYFUNCTION("""COMPUTED_VALUE"""),1267.0)</f>
        <v>1267</v>
      </c>
      <c r="E83" s="6">
        <f>IFERROR(__xludf.DUMMYFUNCTION("""COMPUTED_VALUE"""),1300.4)</f>
        <v>1300.4</v>
      </c>
      <c r="F83" s="6">
        <f>IFERROR(__xludf.DUMMYFUNCTION("""COMPUTED_VALUE"""),5.8862511E7)</f>
        <v>58862511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IFERROR(__xludf.DUMMYFUNCTION("""COMPUTED_VALUE"""),1340.0)</f>
        <v>1340</v>
      </c>
      <c r="C84" s="6">
        <f>IFERROR(__xludf.DUMMYFUNCTION("""COMPUTED_VALUE"""),1426.7)</f>
        <v>1426.7</v>
      </c>
      <c r="D84" s="6">
        <f>IFERROR(__xludf.DUMMYFUNCTION("""COMPUTED_VALUE"""),1320.2)</f>
        <v>1320.2</v>
      </c>
      <c r="E84" s="6">
        <f>IFERROR(__xludf.DUMMYFUNCTION("""COMPUTED_VALUE"""),1422.4)</f>
        <v>1422.4</v>
      </c>
      <c r="F84" s="6">
        <f>IFERROR(__xludf.DUMMYFUNCTION("""COMPUTED_VALUE"""),1.02132052E8)</f>
        <v>102132052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IFERROR(__xludf.DUMMYFUNCTION("""COMPUTED_VALUE"""),1431.0)</f>
        <v>1431</v>
      </c>
      <c r="C85" s="6">
        <f>IFERROR(__xludf.DUMMYFUNCTION("""COMPUTED_VALUE"""),1439.5)</f>
        <v>1439.5</v>
      </c>
      <c r="D85" s="6">
        <f>IFERROR(__xludf.DUMMYFUNCTION("""COMPUTED_VALUE"""),1374.5)</f>
        <v>1374.5</v>
      </c>
      <c r="E85" s="6">
        <f>IFERROR(__xludf.DUMMYFUNCTION("""COMPUTED_VALUE"""),1377.2)</f>
        <v>1377.2</v>
      </c>
      <c r="F85" s="6">
        <f>IFERROR(__xludf.DUMMYFUNCTION("""COMPUTED_VALUE"""),6.9985014E7)</f>
        <v>69985014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IFERROR(__xludf.DUMMYFUNCTION("""COMPUTED_VALUE"""),1400.0)</f>
        <v>1400</v>
      </c>
      <c r="C86" s="6">
        <f>IFERROR(__xludf.DUMMYFUNCTION("""COMPUTED_VALUE"""),1461.4)</f>
        <v>1461.4</v>
      </c>
      <c r="D86" s="6">
        <f>IFERROR(__xludf.DUMMYFUNCTION("""COMPUTED_VALUE"""),1400.0)</f>
        <v>1400</v>
      </c>
      <c r="E86" s="6">
        <f>IFERROR(__xludf.DUMMYFUNCTION("""COMPUTED_VALUE"""),1456.4)</f>
        <v>1456.4</v>
      </c>
      <c r="F86" s="6">
        <f>IFERROR(__xludf.DUMMYFUNCTION("""COMPUTED_VALUE"""),5.6866043E7)</f>
        <v>56866043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IFERROR(__xludf.DUMMYFUNCTION("""COMPUTED_VALUE"""),1452.1)</f>
        <v>1452.1</v>
      </c>
      <c r="C87" s="6">
        <f>IFERROR(__xludf.DUMMYFUNCTION("""COMPUTED_VALUE"""),1454.6)</f>
        <v>1454.6</v>
      </c>
      <c r="D87" s="6">
        <f>IFERROR(__xludf.DUMMYFUNCTION("""COMPUTED_VALUE"""),1396.9)</f>
        <v>1396.9</v>
      </c>
      <c r="E87" s="6">
        <f>IFERROR(__xludf.DUMMYFUNCTION("""COMPUTED_VALUE"""),1426.8)</f>
        <v>1426.8</v>
      </c>
      <c r="F87" s="6">
        <f>IFERROR(__xludf.DUMMYFUNCTION("""COMPUTED_VALUE"""),4.2212064E7)</f>
        <v>42212064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IFERROR(__xludf.DUMMYFUNCTION("""COMPUTED_VALUE"""),1432.0)</f>
        <v>1432</v>
      </c>
      <c r="C88" s="6">
        <f>IFERROR(__xludf.DUMMYFUNCTION("""COMPUTED_VALUE"""),1441.0)</f>
        <v>1441</v>
      </c>
      <c r="D88" s="6">
        <f>IFERROR(__xludf.DUMMYFUNCTION("""COMPUTED_VALUE"""),1408.6)</f>
        <v>1408.6</v>
      </c>
      <c r="E88" s="6">
        <f>IFERROR(__xludf.DUMMYFUNCTION("""COMPUTED_VALUE"""),1420.9)</f>
        <v>1420.9</v>
      </c>
      <c r="F88" s="6">
        <f>IFERROR(__xludf.DUMMYFUNCTION("""COMPUTED_VALUE"""),5.098837E7)</f>
        <v>50988370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IFERROR(__xludf.DUMMYFUNCTION("""COMPUTED_VALUE"""),1412.1)</f>
        <v>1412.1</v>
      </c>
      <c r="C89" s="6">
        <f>IFERROR(__xludf.DUMMYFUNCTION("""COMPUTED_VALUE"""),1454.7)</f>
        <v>1454.7</v>
      </c>
      <c r="D89" s="6">
        <f>IFERROR(__xludf.DUMMYFUNCTION("""COMPUTED_VALUE"""),1395.6)</f>
        <v>1395.6</v>
      </c>
      <c r="E89" s="6">
        <f>IFERROR(__xludf.DUMMYFUNCTION("""COMPUTED_VALUE"""),1443.5)</f>
        <v>1443.5</v>
      </c>
      <c r="F89" s="6">
        <f>IFERROR(__xludf.DUMMYFUNCTION("""COMPUTED_VALUE"""),4.9377099E7)</f>
        <v>49377099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IFERROR(__xludf.DUMMYFUNCTION("""COMPUTED_VALUE"""),1457.0)</f>
        <v>1457</v>
      </c>
      <c r="C90" s="6">
        <f>IFERROR(__xludf.DUMMYFUNCTION("""COMPUTED_VALUE"""),1468.6)</f>
        <v>1468.6</v>
      </c>
      <c r="D90" s="6">
        <f>IFERROR(__xludf.DUMMYFUNCTION("""COMPUTED_VALUE"""),1414.3)</f>
        <v>1414.3</v>
      </c>
      <c r="E90" s="6">
        <f>IFERROR(__xludf.DUMMYFUNCTION("""COMPUTED_VALUE"""),1427.9)</f>
        <v>1427.9</v>
      </c>
      <c r="F90" s="6">
        <f>IFERROR(__xludf.DUMMYFUNCTION("""COMPUTED_VALUE"""),4.2579396E7)</f>
        <v>42579396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IFERROR(__xludf.DUMMYFUNCTION("""COMPUTED_VALUE"""),1426.9)</f>
        <v>1426.9</v>
      </c>
      <c r="C91" s="6">
        <f>IFERROR(__xludf.DUMMYFUNCTION("""COMPUTED_VALUE"""),1471.0)</f>
        <v>1471</v>
      </c>
      <c r="D91" s="6">
        <f>IFERROR(__xludf.DUMMYFUNCTION("""COMPUTED_VALUE"""),1424.4)</f>
        <v>1424.4</v>
      </c>
      <c r="E91" s="6">
        <f>IFERROR(__xludf.DUMMYFUNCTION("""COMPUTED_VALUE"""),1466.2)</f>
        <v>1466.2</v>
      </c>
      <c r="F91" s="6">
        <f>IFERROR(__xludf.DUMMYFUNCTION("""COMPUTED_VALUE"""),6.4524292E7)</f>
        <v>64524292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IFERROR(__xludf.DUMMYFUNCTION("""COMPUTED_VALUE"""),1453.0)</f>
        <v>1453</v>
      </c>
      <c r="C92" s="6">
        <f>IFERROR(__xludf.DUMMYFUNCTION("""COMPUTED_VALUE"""),1522.0)</f>
        <v>1522</v>
      </c>
      <c r="D92" s="6">
        <f>IFERROR(__xludf.DUMMYFUNCTION("""COMPUTED_VALUE"""),1442.0)</f>
        <v>1442</v>
      </c>
      <c r="E92" s="6">
        <f>IFERROR(__xludf.DUMMYFUNCTION("""COMPUTED_VALUE"""),1515.4)</f>
        <v>1515.4</v>
      </c>
      <c r="F92" s="6">
        <f>IFERROR(__xludf.DUMMYFUNCTION("""COMPUTED_VALUE"""),5.5692618E7)</f>
        <v>55692618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IFERROR(__xludf.DUMMYFUNCTION("""COMPUTED_VALUE"""),1513.8)</f>
        <v>1513.8</v>
      </c>
      <c r="C93" s="6">
        <f>IFERROR(__xludf.DUMMYFUNCTION("""COMPUTED_VALUE"""),1531.9)</f>
        <v>1531.9</v>
      </c>
      <c r="D93" s="6">
        <f>IFERROR(__xludf.DUMMYFUNCTION("""COMPUTED_VALUE"""),1496.0)</f>
        <v>1496</v>
      </c>
      <c r="E93" s="6">
        <f>IFERROR(__xludf.DUMMYFUNCTION("""COMPUTED_VALUE"""),1527.3)</f>
        <v>1527.3</v>
      </c>
      <c r="F93" s="6">
        <f>IFERROR(__xludf.DUMMYFUNCTION("""COMPUTED_VALUE"""),4.3025844E7)</f>
        <v>43025844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IFERROR(__xludf.DUMMYFUNCTION("""COMPUTED_VALUE"""),1526.6)</f>
        <v>1526.6</v>
      </c>
      <c r="C94" s="6">
        <f>IFERROR(__xludf.DUMMYFUNCTION("""COMPUTED_VALUE"""),1551.0)</f>
        <v>1551</v>
      </c>
      <c r="D94" s="6">
        <f>IFERROR(__xludf.DUMMYFUNCTION("""COMPUTED_VALUE"""),1490.3)</f>
        <v>1490.3</v>
      </c>
      <c r="E94" s="6">
        <f>IFERROR(__xludf.DUMMYFUNCTION("""COMPUTED_VALUE"""),1495.2)</f>
        <v>1495.2</v>
      </c>
      <c r="F94" s="6">
        <f>IFERROR(__xludf.DUMMYFUNCTION("""COMPUTED_VALUE"""),4.0575115E7)</f>
        <v>40575115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IFERROR(__xludf.DUMMYFUNCTION("""COMPUTED_VALUE"""),1492.2)</f>
        <v>1492.2</v>
      </c>
      <c r="C95" s="6">
        <f>IFERROR(__xludf.DUMMYFUNCTION("""COMPUTED_VALUE"""),1500.0)</f>
        <v>1500</v>
      </c>
      <c r="D95" s="6">
        <f>IFERROR(__xludf.DUMMYFUNCTION("""COMPUTED_VALUE"""),1469.1)</f>
        <v>1469.1</v>
      </c>
      <c r="E95" s="6">
        <f>IFERROR(__xludf.DUMMYFUNCTION("""COMPUTED_VALUE"""),1476.0)</f>
        <v>1476</v>
      </c>
      <c r="F95" s="6">
        <f>IFERROR(__xludf.DUMMYFUNCTION("""COMPUTED_VALUE"""),5.1005214E7)</f>
        <v>51005214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IFERROR(__xludf.DUMMYFUNCTION("""COMPUTED_VALUE"""),1465.0)</f>
        <v>1465</v>
      </c>
      <c r="C96" s="6">
        <f>IFERROR(__xludf.DUMMYFUNCTION("""COMPUTED_VALUE"""),1476.0)</f>
        <v>1476</v>
      </c>
      <c r="D96" s="6">
        <f>IFERROR(__xludf.DUMMYFUNCTION("""COMPUTED_VALUE"""),1384.1)</f>
        <v>1384.1</v>
      </c>
      <c r="E96" s="6">
        <f>IFERROR(__xludf.DUMMYFUNCTION("""COMPUTED_VALUE"""),1391.7)</f>
        <v>1391.7</v>
      </c>
      <c r="F96" s="6">
        <f>IFERROR(__xludf.DUMMYFUNCTION("""COMPUTED_VALUE"""),7.7788889E7)</f>
        <v>77788889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IFERROR(__xludf.DUMMYFUNCTION("""COMPUTED_VALUE"""),1392.3)</f>
        <v>1392.3</v>
      </c>
      <c r="C97" s="6">
        <f>IFERROR(__xludf.DUMMYFUNCTION("""COMPUTED_VALUE"""),1423.3)</f>
        <v>1423.3</v>
      </c>
      <c r="D97" s="6">
        <f>IFERROR(__xludf.DUMMYFUNCTION("""COMPUTED_VALUE"""),1382.2)</f>
        <v>1382.2</v>
      </c>
      <c r="E97" s="6">
        <f>IFERROR(__xludf.DUMMYFUNCTION("""COMPUTED_VALUE"""),1393.7)</f>
        <v>1393.7</v>
      </c>
      <c r="F97" s="6">
        <f>IFERROR(__xludf.DUMMYFUNCTION("""COMPUTED_VALUE"""),5.309528E7)</f>
        <v>53095280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IFERROR(__xludf.DUMMYFUNCTION("""COMPUTED_VALUE"""),1395.1)</f>
        <v>1395.1</v>
      </c>
      <c r="C98" s="6">
        <f>IFERROR(__xludf.DUMMYFUNCTION("""COMPUTED_VALUE"""),1416.1)</f>
        <v>1416.1</v>
      </c>
      <c r="D98" s="6">
        <f>IFERROR(__xludf.DUMMYFUNCTION("""COMPUTED_VALUE"""),1365.0)</f>
        <v>1365</v>
      </c>
      <c r="E98" s="6">
        <f>IFERROR(__xludf.DUMMYFUNCTION("""COMPUTED_VALUE"""),1367.8)</f>
        <v>1367.8</v>
      </c>
      <c r="F98" s="6">
        <f>IFERROR(__xludf.DUMMYFUNCTION("""COMPUTED_VALUE"""),4.0233415E7)</f>
        <v>40233415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IFERROR(__xludf.DUMMYFUNCTION("""COMPUTED_VALUE"""),1370.0)</f>
        <v>1370</v>
      </c>
      <c r="C99" s="6">
        <f>IFERROR(__xludf.DUMMYFUNCTION("""COMPUTED_VALUE"""),1401.9)</f>
        <v>1401.9</v>
      </c>
      <c r="D99" s="6">
        <f>IFERROR(__xludf.DUMMYFUNCTION("""COMPUTED_VALUE"""),1361.2)</f>
        <v>1361.2</v>
      </c>
      <c r="E99" s="6">
        <f>IFERROR(__xludf.DUMMYFUNCTION("""COMPUTED_VALUE"""),1373.8)</f>
        <v>1373.8</v>
      </c>
      <c r="F99" s="6">
        <f>IFERROR(__xludf.DUMMYFUNCTION("""COMPUTED_VALUE"""),3.6825299E7)</f>
        <v>36825299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IFERROR(__xludf.DUMMYFUNCTION("""COMPUTED_VALUE"""),1390.0)</f>
        <v>1390</v>
      </c>
      <c r="C100" s="6">
        <f>IFERROR(__xludf.DUMMYFUNCTION("""COMPUTED_VALUE"""),1431.9)</f>
        <v>1431.9</v>
      </c>
      <c r="D100" s="6">
        <f>IFERROR(__xludf.DUMMYFUNCTION("""COMPUTED_VALUE"""),1377.0)</f>
        <v>1377</v>
      </c>
      <c r="E100" s="6">
        <f>IFERROR(__xludf.DUMMYFUNCTION("""COMPUTED_VALUE"""),1409.2)</f>
        <v>1409.2</v>
      </c>
      <c r="F100" s="6">
        <f>IFERROR(__xludf.DUMMYFUNCTION("""COMPUTED_VALUE"""),5.173566E7)</f>
        <v>51735660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IFERROR(__xludf.DUMMYFUNCTION("""COMPUTED_VALUE"""),1414.7)</f>
        <v>1414.7</v>
      </c>
      <c r="C101" s="6">
        <f>IFERROR(__xludf.DUMMYFUNCTION("""COMPUTED_VALUE"""),1419.5)</f>
        <v>1419.5</v>
      </c>
      <c r="D101" s="6">
        <f>IFERROR(__xludf.DUMMYFUNCTION("""COMPUTED_VALUE"""),1381.6)</f>
        <v>1381.6</v>
      </c>
      <c r="E101" s="6">
        <f>IFERROR(__xludf.DUMMYFUNCTION("""COMPUTED_VALUE"""),1384.9)</f>
        <v>1384.9</v>
      </c>
      <c r="F101" s="6">
        <f>IFERROR(__xludf.DUMMYFUNCTION("""COMPUTED_VALUE"""),1.2033025E8)</f>
        <v>120330250</v>
      </c>
    </row>
  </sheetData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IFERROR(__xludf.DUMMYFUNCTION("GOOGLEFINANCE(""NSE:RVNL"",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IFERROR(__xludf.DUMMYFUNCTION("""COMPUTED_VALUE"""),124.25)</f>
        <v>124.25</v>
      </c>
      <c r="C2" s="6">
        <f>IFERROR(__xludf.DUMMYFUNCTION("""COMPUTED_VALUE"""),139.0)</f>
        <v>139</v>
      </c>
      <c r="D2" s="6">
        <f>IFERROR(__xludf.DUMMYFUNCTION("""COMPUTED_VALUE"""),123.7)</f>
        <v>123.7</v>
      </c>
      <c r="E2" s="6">
        <f>IFERROR(__xludf.DUMMYFUNCTION("""COMPUTED_VALUE"""),138.3)</f>
        <v>138.3</v>
      </c>
      <c r="F2" s="6">
        <f>IFERROR(__xludf.DUMMYFUNCTION("""COMPUTED_VALUE"""),2.19664554E8)</f>
        <v>219664554</v>
      </c>
    </row>
    <row r="3">
      <c r="A3" s="7">
        <f>IFERROR(__xludf.DUMMYFUNCTION("""COMPUTED_VALUE"""),45177.64583333333)</f>
        <v>45177.64583</v>
      </c>
      <c r="B3" s="6">
        <f>IFERROR(__xludf.DUMMYFUNCTION("""COMPUTED_VALUE"""),143.0)</f>
        <v>143</v>
      </c>
      <c r="C3" s="6">
        <f>IFERROR(__xludf.DUMMYFUNCTION("""COMPUTED_VALUE"""),165.8)</f>
        <v>165.8</v>
      </c>
      <c r="D3" s="6">
        <f>IFERROR(__xludf.DUMMYFUNCTION("""COMPUTED_VALUE"""),142.6)</f>
        <v>142.6</v>
      </c>
      <c r="E3" s="6">
        <f>IFERROR(__xludf.DUMMYFUNCTION("""COMPUTED_VALUE"""),162.85)</f>
        <v>162.85</v>
      </c>
      <c r="F3" s="6">
        <f>IFERROR(__xludf.DUMMYFUNCTION("""COMPUTED_VALUE"""),5.3036218E8)</f>
        <v>530362180</v>
      </c>
    </row>
    <row r="4">
      <c r="A4" s="7">
        <f>IFERROR(__xludf.DUMMYFUNCTION("""COMPUTED_VALUE"""),45184.64583333333)</f>
        <v>45184.64583</v>
      </c>
      <c r="B4" s="6">
        <f>IFERROR(__xludf.DUMMYFUNCTION("""COMPUTED_VALUE"""),169.0)</f>
        <v>169</v>
      </c>
      <c r="C4" s="6">
        <f>IFERROR(__xludf.DUMMYFUNCTION("""COMPUTED_VALUE"""),199.25)</f>
        <v>199.25</v>
      </c>
      <c r="D4" s="6">
        <f>IFERROR(__xludf.DUMMYFUNCTION("""COMPUTED_VALUE"""),158.2)</f>
        <v>158.2</v>
      </c>
      <c r="E4" s="6">
        <f>IFERROR(__xludf.DUMMYFUNCTION("""COMPUTED_VALUE"""),170.15)</f>
        <v>170.15</v>
      </c>
      <c r="F4" s="6">
        <f>IFERROR(__xludf.DUMMYFUNCTION("""COMPUTED_VALUE"""),6.30949794E8)</f>
        <v>630949794</v>
      </c>
    </row>
    <row r="5">
      <c r="A5" s="7">
        <f>IFERROR(__xludf.DUMMYFUNCTION("""COMPUTED_VALUE"""),45191.64583333333)</f>
        <v>45191.64583</v>
      </c>
      <c r="B5" s="6">
        <f>IFERROR(__xludf.DUMMYFUNCTION("""COMPUTED_VALUE"""),171.75)</f>
        <v>171.75</v>
      </c>
      <c r="C5" s="6">
        <f>IFERROR(__xludf.DUMMYFUNCTION("""COMPUTED_VALUE"""),171.75)</f>
        <v>171.75</v>
      </c>
      <c r="D5" s="6">
        <f>IFERROR(__xludf.DUMMYFUNCTION("""COMPUTED_VALUE"""),158.0)</f>
        <v>158</v>
      </c>
      <c r="E5" s="6">
        <f>IFERROR(__xludf.DUMMYFUNCTION("""COMPUTED_VALUE"""),166.85)</f>
        <v>166.85</v>
      </c>
      <c r="F5" s="6">
        <f>IFERROR(__xludf.DUMMYFUNCTION("""COMPUTED_VALUE"""),8.9173786E7)</f>
        <v>89173786</v>
      </c>
    </row>
    <row r="6">
      <c r="A6" s="7">
        <f>IFERROR(__xludf.DUMMYFUNCTION("""COMPUTED_VALUE"""),45198.64583333333)</f>
        <v>45198.64583</v>
      </c>
      <c r="B6" s="6">
        <f>IFERROR(__xludf.DUMMYFUNCTION("""COMPUTED_VALUE"""),167.35)</f>
        <v>167.35</v>
      </c>
      <c r="C6" s="6">
        <f>IFERROR(__xludf.DUMMYFUNCTION("""COMPUTED_VALUE"""),171.95)</f>
        <v>171.95</v>
      </c>
      <c r="D6" s="6">
        <f>IFERROR(__xludf.DUMMYFUNCTION("""COMPUTED_VALUE"""),164.8)</f>
        <v>164.8</v>
      </c>
      <c r="E6" s="6">
        <f>IFERROR(__xludf.DUMMYFUNCTION("""COMPUTED_VALUE"""),169.45)</f>
        <v>169.45</v>
      </c>
      <c r="F6" s="6">
        <f>IFERROR(__xludf.DUMMYFUNCTION("""COMPUTED_VALUE"""),9.2686318E7)</f>
        <v>92686318</v>
      </c>
    </row>
    <row r="7">
      <c r="A7" s="7">
        <f>IFERROR(__xludf.DUMMYFUNCTION("""COMPUTED_VALUE"""),45205.64583333333)</f>
        <v>45205.64583</v>
      </c>
      <c r="B7" s="6">
        <f>IFERROR(__xludf.DUMMYFUNCTION("""COMPUTED_VALUE"""),170.85)</f>
        <v>170.85</v>
      </c>
      <c r="C7" s="6">
        <f>IFERROR(__xludf.DUMMYFUNCTION("""COMPUTED_VALUE"""),176.9)</f>
        <v>176.9</v>
      </c>
      <c r="D7" s="6">
        <f>IFERROR(__xludf.DUMMYFUNCTION("""COMPUTED_VALUE"""),168.45)</f>
        <v>168.45</v>
      </c>
      <c r="E7" s="6">
        <f>IFERROR(__xludf.DUMMYFUNCTION("""COMPUTED_VALUE"""),170.05)</f>
        <v>170.05</v>
      </c>
      <c r="F7" s="6">
        <f>IFERROR(__xludf.DUMMYFUNCTION("""COMPUTED_VALUE"""),6.7888373E7)</f>
        <v>67888373</v>
      </c>
    </row>
    <row r="8">
      <c r="A8" s="7">
        <f>IFERROR(__xludf.DUMMYFUNCTION("""COMPUTED_VALUE"""),45212.64583333333)</f>
        <v>45212.64583</v>
      </c>
      <c r="B8" s="6">
        <f>IFERROR(__xludf.DUMMYFUNCTION("""COMPUTED_VALUE"""),165.5)</f>
        <v>165.5</v>
      </c>
      <c r="C8" s="6">
        <f>IFERROR(__xludf.DUMMYFUNCTION("""COMPUTED_VALUE"""),170.8)</f>
        <v>170.8</v>
      </c>
      <c r="D8" s="6">
        <f>IFERROR(__xludf.DUMMYFUNCTION("""COMPUTED_VALUE"""),160.25)</f>
        <v>160.25</v>
      </c>
      <c r="E8" s="6">
        <f>IFERROR(__xludf.DUMMYFUNCTION("""COMPUTED_VALUE"""),168.0)</f>
        <v>168</v>
      </c>
      <c r="F8" s="6">
        <f>IFERROR(__xludf.DUMMYFUNCTION("""COMPUTED_VALUE"""),8.1836043E7)</f>
        <v>81836043</v>
      </c>
    </row>
    <row r="9">
      <c r="A9" s="7">
        <f>IFERROR(__xludf.DUMMYFUNCTION("""COMPUTED_VALUE"""),45219.64583333333)</f>
        <v>45219.64583</v>
      </c>
      <c r="B9" s="6">
        <f>IFERROR(__xludf.DUMMYFUNCTION("""COMPUTED_VALUE"""),168.0)</f>
        <v>168</v>
      </c>
      <c r="C9" s="6">
        <f>IFERROR(__xludf.DUMMYFUNCTION("""COMPUTED_VALUE"""),174.2)</f>
        <v>174.2</v>
      </c>
      <c r="D9" s="6">
        <f>IFERROR(__xludf.DUMMYFUNCTION("""COMPUTED_VALUE"""),164.55)</f>
        <v>164.55</v>
      </c>
      <c r="E9" s="6">
        <f>IFERROR(__xludf.DUMMYFUNCTION("""COMPUTED_VALUE"""),168.25)</f>
        <v>168.25</v>
      </c>
      <c r="F9" s="6">
        <f>IFERROR(__xludf.DUMMYFUNCTION("""COMPUTED_VALUE"""),8.5663619E7)</f>
        <v>85663619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IFERROR(__xludf.DUMMYFUNCTION("""COMPUTED_VALUE"""),168.95)</f>
        <v>168.95</v>
      </c>
      <c r="C10" s="6">
        <f>IFERROR(__xludf.DUMMYFUNCTION("""COMPUTED_VALUE"""),169.2)</f>
        <v>169.2</v>
      </c>
      <c r="D10" s="6">
        <f>IFERROR(__xludf.DUMMYFUNCTION("""COMPUTED_VALUE"""),142.15)</f>
        <v>142.15</v>
      </c>
      <c r="E10" s="6">
        <f>IFERROR(__xludf.DUMMYFUNCTION("""COMPUTED_VALUE"""),157.7)</f>
        <v>157.7</v>
      </c>
      <c r="F10" s="6">
        <f>IFERROR(__xludf.DUMMYFUNCTION("""COMPUTED_VALUE"""),8.2583357E7)</f>
        <v>82583357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IFERROR(__xludf.DUMMYFUNCTION("""COMPUTED_VALUE"""),158.4)</f>
        <v>158.4</v>
      </c>
      <c r="C11" s="6">
        <f>IFERROR(__xludf.DUMMYFUNCTION("""COMPUTED_VALUE"""),159.95)</f>
        <v>159.95</v>
      </c>
      <c r="D11" s="6">
        <f>IFERROR(__xludf.DUMMYFUNCTION("""COMPUTED_VALUE"""),152.6)</f>
        <v>152.6</v>
      </c>
      <c r="E11" s="6">
        <f>IFERROR(__xludf.DUMMYFUNCTION("""COMPUTED_VALUE"""),154.0)</f>
        <v>154</v>
      </c>
      <c r="F11" s="6">
        <f>IFERROR(__xludf.DUMMYFUNCTION("""COMPUTED_VALUE"""),4.4702209E7)</f>
        <v>44702209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IFERROR(__xludf.DUMMYFUNCTION("""COMPUTED_VALUE"""),155.0)</f>
        <v>155</v>
      </c>
      <c r="C12" s="6">
        <f>IFERROR(__xludf.DUMMYFUNCTION("""COMPUTED_VALUE"""),164.35)</f>
        <v>164.35</v>
      </c>
      <c r="D12" s="6">
        <f>IFERROR(__xludf.DUMMYFUNCTION("""COMPUTED_VALUE"""),154.05)</f>
        <v>154.05</v>
      </c>
      <c r="E12" s="6">
        <f>IFERROR(__xludf.DUMMYFUNCTION("""COMPUTED_VALUE"""),156.2)</f>
        <v>156.2</v>
      </c>
      <c r="F12" s="6">
        <f>IFERROR(__xludf.DUMMYFUNCTION("""COMPUTED_VALUE"""),6.3565862E7)</f>
        <v>63565862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IFERROR(__xludf.DUMMYFUNCTION("""COMPUTED_VALUE"""),157.75)</f>
        <v>157.75</v>
      </c>
      <c r="C13" s="6">
        <f>IFERROR(__xludf.DUMMYFUNCTION("""COMPUTED_VALUE"""),169.0)</f>
        <v>169</v>
      </c>
      <c r="D13" s="6">
        <f>IFERROR(__xludf.DUMMYFUNCTION("""COMPUTED_VALUE"""),156.6)</f>
        <v>156.6</v>
      </c>
      <c r="E13" s="6">
        <f>IFERROR(__xludf.DUMMYFUNCTION("""COMPUTED_VALUE"""),166.85)</f>
        <v>166.85</v>
      </c>
      <c r="F13" s="6">
        <f>IFERROR(__xludf.DUMMYFUNCTION("""COMPUTED_VALUE"""),7.3354057E7)</f>
        <v>73354057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IFERROR(__xludf.DUMMYFUNCTION("""COMPUTED_VALUE"""),167.65)</f>
        <v>167.65</v>
      </c>
      <c r="C14" s="6">
        <f>IFERROR(__xludf.DUMMYFUNCTION("""COMPUTED_VALUE"""),171.1)</f>
        <v>171.1</v>
      </c>
      <c r="D14" s="6">
        <f>IFERROR(__xludf.DUMMYFUNCTION("""COMPUTED_VALUE"""),163.7)</f>
        <v>163.7</v>
      </c>
      <c r="E14" s="6">
        <f>IFERROR(__xludf.DUMMYFUNCTION("""COMPUTED_VALUE"""),167.0)</f>
        <v>167</v>
      </c>
      <c r="F14" s="6">
        <f>IFERROR(__xludf.DUMMYFUNCTION("""COMPUTED_VALUE"""),6.1789781E7)</f>
        <v>61789781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IFERROR(__xludf.DUMMYFUNCTION("""COMPUTED_VALUE"""),167.25)</f>
        <v>167.25</v>
      </c>
      <c r="C15" s="6">
        <f>IFERROR(__xludf.DUMMYFUNCTION("""COMPUTED_VALUE"""),169.35)</f>
        <v>169.35</v>
      </c>
      <c r="D15" s="6">
        <f>IFERROR(__xludf.DUMMYFUNCTION("""COMPUTED_VALUE"""),162.1)</f>
        <v>162.1</v>
      </c>
      <c r="E15" s="6">
        <f>IFERROR(__xludf.DUMMYFUNCTION("""COMPUTED_VALUE"""),165.0)</f>
        <v>165</v>
      </c>
      <c r="F15" s="6">
        <f>IFERROR(__xludf.DUMMYFUNCTION("""COMPUTED_VALUE"""),3.8437618E7)</f>
        <v>38437618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IFERROR(__xludf.DUMMYFUNCTION("""COMPUTED_VALUE"""),169.0)</f>
        <v>169</v>
      </c>
      <c r="C16" s="6">
        <f>IFERROR(__xludf.DUMMYFUNCTION("""COMPUTED_VALUE"""),175.75)</f>
        <v>175.75</v>
      </c>
      <c r="D16" s="6">
        <f>IFERROR(__xludf.DUMMYFUNCTION("""COMPUTED_VALUE"""),166.9)</f>
        <v>166.9</v>
      </c>
      <c r="E16" s="6">
        <f>IFERROR(__xludf.DUMMYFUNCTION("""COMPUTED_VALUE"""),171.15)</f>
        <v>171.15</v>
      </c>
      <c r="F16" s="6">
        <f>IFERROR(__xludf.DUMMYFUNCTION("""COMPUTED_VALUE"""),1.06088541E8)</f>
        <v>106088541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IFERROR(__xludf.DUMMYFUNCTION("""COMPUTED_VALUE"""),172.0)</f>
        <v>172</v>
      </c>
      <c r="C17" s="6">
        <f>IFERROR(__xludf.DUMMYFUNCTION("""COMPUTED_VALUE"""),187.2)</f>
        <v>187.2</v>
      </c>
      <c r="D17" s="6">
        <f>IFERROR(__xludf.DUMMYFUNCTION("""COMPUTED_VALUE"""),171.8)</f>
        <v>171.8</v>
      </c>
      <c r="E17" s="6">
        <f>IFERROR(__xludf.DUMMYFUNCTION("""COMPUTED_VALUE"""),183.15)</f>
        <v>183.15</v>
      </c>
      <c r="F17" s="6">
        <f>IFERROR(__xludf.DUMMYFUNCTION("""COMPUTED_VALUE"""),1.80940891E8)</f>
        <v>180940891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IFERROR(__xludf.DUMMYFUNCTION("""COMPUTED_VALUE"""),184.0)</f>
        <v>184</v>
      </c>
      <c r="C18" s="6">
        <f>IFERROR(__xludf.DUMMYFUNCTION("""COMPUTED_VALUE"""),187.9)</f>
        <v>187.9</v>
      </c>
      <c r="D18" s="6">
        <f>IFERROR(__xludf.DUMMYFUNCTION("""COMPUTED_VALUE"""),165.6)</f>
        <v>165.6</v>
      </c>
      <c r="E18" s="6">
        <f>IFERROR(__xludf.DUMMYFUNCTION("""COMPUTED_VALUE"""),176.9)</f>
        <v>176.9</v>
      </c>
      <c r="F18" s="6">
        <f>IFERROR(__xludf.DUMMYFUNCTION("""COMPUTED_VALUE"""),9.3533694E7)</f>
        <v>93533694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IFERROR(__xludf.DUMMYFUNCTION("""COMPUTED_VALUE"""),177.75)</f>
        <v>177.75</v>
      </c>
      <c r="C19" s="6">
        <f>IFERROR(__xludf.DUMMYFUNCTION("""COMPUTED_VALUE"""),184.65)</f>
        <v>184.65</v>
      </c>
      <c r="D19" s="6">
        <f>IFERROR(__xludf.DUMMYFUNCTION("""COMPUTED_VALUE"""),175.4)</f>
        <v>175.4</v>
      </c>
      <c r="E19" s="6">
        <f>IFERROR(__xludf.DUMMYFUNCTION("""COMPUTED_VALUE"""),181.55)</f>
        <v>181.55</v>
      </c>
      <c r="F19" s="6">
        <f>IFERROR(__xludf.DUMMYFUNCTION("""COMPUTED_VALUE"""),4.3862008E7)</f>
        <v>43862008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IFERROR(__xludf.DUMMYFUNCTION("""COMPUTED_VALUE"""),181.9)</f>
        <v>181.9</v>
      </c>
      <c r="C20" s="6">
        <f>IFERROR(__xludf.DUMMYFUNCTION("""COMPUTED_VALUE"""),189.0)</f>
        <v>189</v>
      </c>
      <c r="D20" s="6">
        <f>IFERROR(__xludf.DUMMYFUNCTION("""COMPUTED_VALUE"""),177.5)</f>
        <v>177.5</v>
      </c>
      <c r="E20" s="6">
        <f>IFERROR(__xludf.DUMMYFUNCTION("""COMPUTED_VALUE"""),184.65)</f>
        <v>184.65</v>
      </c>
      <c r="F20" s="6">
        <f>IFERROR(__xludf.DUMMYFUNCTION("""COMPUTED_VALUE"""),9.3453336E7)</f>
        <v>93453336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IFERROR(__xludf.DUMMYFUNCTION("""COMPUTED_VALUE"""),185.45)</f>
        <v>185.45</v>
      </c>
      <c r="C21" s="6">
        <f>IFERROR(__xludf.DUMMYFUNCTION("""COMPUTED_VALUE"""),207.0)</f>
        <v>207</v>
      </c>
      <c r="D21" s="6">
        <f>IFERROR(__xludf.DUMMYFUNCTION("""COMPUTED_VALUE"""),181.3)</f>
        <v>181.3</v>
      </c>
      <c r="E21" s="6">
        <f>IFERROR(__xludf.DUMMYFUNCTION("""COMPUTED_VALUE"""),203.25)</f>
        <v>203.25</v>
      </c>
      <c r="F21" s="6">
        <f>IFERROR(__xludf.DUMMYFUNCTION("""COMPUTED_VALUE"""),1.72838994E8)</f>
        <v>172838994</v>
      </c>
    </row>
    <row r="22">
      <c r="A22" s="7">
        <f>IFERROR(__xludf.DUMMYFUNCTION("""COMPUTED_VALUE"""),45316.64583333333)</f>
        <v>45316.64583</v>
      </c>
      <c r="B22" s="6">
        <f>IFERROR(__xludf.DUMMYFUNCTION("""COMPUTED_VALUE"""),332.0)</f>
        <v>332</v>
      </c>
      <c r="C22" s="6">
        <f>IFERROR(__xludf.DUMMYFUNCTION("""COMPUTED_VALUE"""),345.5)</f>
        <v>345.5</v>
      </c>
      <c r="D22" s="6">
        <f>IFERROR(__xludf.DUMMYFUNCTION("""COMPUTED_VALUE"""),265.15)</f>
        <v>265.15</v>
      </c>
      <c r="E22" s="6">
        <f>IFERROR(__xludf.DUMMYFUNCTION("""COMPUTED_VALUE"""),301.95)</f>
        <v>301.95</v>
      </c>
      <c r="F22" s="6">
        <f>IFERROR(__xludf.DUMMYFUNCTION("""COMPUTED_VALUE"""),1.6236789E8)</f>
        <v>162367890</v>
      </c>
    </row>
    <row r="23">
      <c r="A23" s="7">
        <f>IFERROR(__xludf.DUMMYFUNCTION("""COMPUTED_VALUE"""),45324.64583333333)</f>
        <v>45324.64583</v>
      </c>
      <c r="B23" s="6">
        <f>IFERROR(__xludf.DUMMYFUNCTION("""COMPUTED_VALUE"""),305.75)</f>
        <v>305.75</v>
      </c>
      <c r="C23" s="6">
        <f>IFERROR(__xludf.DUMMYFUNCTION("""COMPUTED_VALUE"""),318.9)</f>
        <v>318.9</v>
      </c>
      <c r="D23" s="6">
        <f>IFERROR(__xludf.DUMMYFUNCTION("""COMPUTED_VALUE"""),287.1)</f>
        <v>287.1</v>
      </c>
      <c r="E23" s="6">
        <f>IFERROR(__xludf.DUMMYFUNCTION("""COMPUTED_VALUE"""),294.55)</f>
        <v>294.55</v>
      </c>
      <c r="F23" s="6">
        <f>IFERROR(__xludf.DUMMYFUNCTION("""COMPUTED_VALUE"""),1.07382292E8)</f>
        <v>107382292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IFERROR(__xludf.DUMMYFUNCTION("""COMPUTED_VALUE"""),294.95)</f>
        <v>294.95</v>
      </c>
      <c r="C24" s="6">
        <f>IFERROR(__xludf.DUMMYFUNCTION("""COMPUTED_VALUE"""),294.95)</f>
        <v>294.95</v>
      </c>
      <c r="D24" s="6">
        <f>IFERROR(__xludf.DUMMYFUNCTION("""COMPUTED_VALUE"""),250.5)</f>
        <v>250.5</v>
      </c>
      <c r="E24" s="6">
        <f>IFERROR(__xludf.DUMMYFUNCTION("""COMPUTED_VALUE"""),259.25)</f>
        <v>259.25</v>
      </c>
      <c r="F24" s="6">
        <f>IFERROR(__xludf.DUMMYFUNCTION("""COMPUTED_VALUE"""),8.7115506E7)</f>
        <v>87115506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IFERROR(__xludf.DUMMYFUNCTION("""COMPUTED_VALUE"""),258.7)</f>
        <v>258.7</v>
      </c>
      <c r="C25" s="6">
        <f>IFERROR(__xludf.DUMMYFUNCTION("""COMPUTED_VALUE"""),262.8)</f>
        <v>262.8</v>
      </c>
      <c r="D25" s="6">
        <f>IFERROR(__xludf.DUMMYFUNCTION("""COMPUTED_VALUE"""),223.5)</f>
        <v>223.5</v>
      </c>
      <c r="E25" s="6">
        <f>IFERROR(__xludf.DUMMYFUNCTION("""COMPUTED_VALUE"""),251.7)</f>
        <v>251.7</v>
      </c>
      <c r="F25" s="6">
        <f>IFERROR(__xludf.DUMMYFUNCTION("""COMPUTED_VALUE"""),1.36530276E8)</f>
        <v>136530276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IFERROR(__xludf.DUMMYFUNCTION("""COMPUTED_VALUE"""),254.3)</f>
        <v>254.3</v>
      </c>
      <c r="C26" s="6">
        <f>IFERROR(__xludf.DUMMYFUNCTION("""COMPUTED_VALUE"""),281.3)</f>
        <v>281.3</v>
      </c>
      <c r="D26" s="6">
        <f>IFERROR(__xludf.DUMMYFUNCTION("""COMPUTED_VALUE"""),253.5)</f>
        <v>253.5</v>
      </c>
      <c r="E26" s="6">
        <f>IFERROR(__xludf.DUMMYFUNCTION("""COMPUTED_VALUE"""),264.6)</f>
        <v>264.6</v>
      </c>
      <c r="F26" s="6">
        <f>IFERROR(__xludf.DUMMYFUNCTION("""COMPUTED_VALUE"""),1.06836646E8)</f>
        <v>106836646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IFERROR(__xludf.DUMMYFUNCTION("""COMPUTED_VALUE"""),250.75)</f>
        <v>250.75</v>
      </c>
      <c r="C27" s="6">
        <f>IFERROR(__xludf.DUMMYFUNCTION("""COMPUTED_VALUE"""),250.75)</f>
        <v>250.75</v>
      </c>
      <c r="D27" s="6">
        <f>IFERROR(__xludf.DUMMYFUNCTION("""COMPUTED_VALUE"""),232.05)</f>
        <v>232.05</v>
      </c>
      <c r="E27" s="6">
        <f>IFERROR(__xludf.DUMMYFUNCTION("""COMPUTED_VALUE"""),237.95)</f>
        <v>237.95</v>
      </c>
      <c r="F27" s="6">
        <f>IFERROR(__xludf.DUMMYFUNCTION("""COMPUTED_VALUE"""),3.7322981E7)</f>
        <v>37322981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IFERROR(__xludf.DUMMYFUNCTION("""COMPUTED_VALUE"""),252.3)</f>
        <v>252.3</v>
      </c>
      <c r="C28" s="6">
        <f>IFERROR(__xludf.DUMMYFUNCTION("""COMPUTED_VALUE"""),258.0)</f>
        <v>258</v>
      </c>
      <c r="D28" s="6">
        <f>IFERROR(__xludf.DUMMYFUNCTION("""COMPUTED_VALUE"""),213.05)</f>
        <v>213.05</v>
      </c>
      <c r="E28" s="6">
        <f>IFERROR(__xludf.DUMMYFUNCTION("""COMPUTED_VALUE"""),245.55)</f>
        <v>245.55</v>
      </c>
      <c r="F28" s="6">
        <f>IFERROR(__xludf.DUMMYFUNCTION("""COMPUTED_VALUE"""),1.39069535E8)</f>
        <v>139069535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IFERROR(__xludf.DUMMYFUNCTION("""COMPUTED_VALUE"""),249.55)</f>
        <v>249.55</v>
      </c>
      <c r="C29" s="6">
        <f>IFERROR(__xludf.DUMMYFUNCTION("""COMPUTED_VALUE"""),253.0)</f>
        <v>253</v>
      </c>
      <c r="D29" s="6">
        <f>IFERROR(__xludf.DUMMYFUNCTION("""COMPUTED_VALUE"""),237.5)</f>
        <v>237.5</v>
      </c>
      <c r="E29" s="6">
        <f>IFERROR(__xludf.DUMMYFUNCTION("""COMPUTED_VALUE"""),249.85)</f>
        <v>249.85</v>
      </c>
      <c r="F29" s="6">
        <f>IFERROR(__xludf.DUMMYFUNCTION("""COMPUTED_VALUE"""),6.3957193E7)</f>
        <v>63957193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IFERROR(__xludf.DUMMYFUNCTION("""COMPUTED_VALUE"""),254.0)</f>
        <v>254</v>
      </c>
      <c r="C30" s="6">
        <f>IFERROR(__xludf.DUMMYFUNCTION("""COMPUTED_VALUE"""),267.85)</f>
        <v>267.85</v>
      </c>
      <c r="D30" s="6">
        <f>IFERROR(__xludf.DUMMYFUNCTION("""COMPUTED_VALUE"""),251.35)</f>
        <v>251.35</v>
      </c>
      <c r="E30" s="6">
        <f>IFERROR(__xludf.DUMMYFUNCTION("""COMPUTED_VALUE"""),252.9)</f>
        <v>252.9</v>
      </c>
      <c r="F30" s="6">
        <f>IFERROR(__xludf.DUMMYFUNCTION("""COMPUTED_VALUE"""),7.1393064E7)</f>
        <v>71393064</v>
      </c>
    </row>
    <row r="31">
      <c r="A31" s="7">
        <f>IFERROR(__xludf.DUMMYFUNCTION("""COMPUTED_VALUE"""),45387.64583333333)</f>
        <v>45387.64583</v>
      </c>
      <c r="B31" s="6">
        <f>IFERROR(__xludf.DUMMYFUNCTION("""COMPUTED_VALUE"""),261.0)</f>
        <v>261</v>
      </c>
      <c r="C31" s="6">
        <f>IFERROR(__xludf.DUMMYFUNCTION("""COMPUTED_VALUE"""),270.6)</f>
        <v>270.6</v>
      </c>
      <c r="D31" s="6">
        <f>IFERROR(__xludf.DUMMYFUNCTION("""COMPUTED_VALUE"""),258.55)</f>
        <v>258.55</v>
      </c>
      <c r="E31" s="6">
        <f>IFERROR(__xludf.DUMMYFUNCTION("""COMPUTED_VALUE"""),264.1)</f>
        <v>264.1</v>
      </c>
      <c r="F31" s="6">
        <f>IFERROR(__xludf.DUMMYFUNCTION("""COMPUTED_VALUE"""),6.0101555E7)</f>
        <v>60101555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IFERROR(__xludf.DUMMYFUNCTION("""COMPUTED_VALUE"""),266.35)</f>
        <v>266.35</v>
      </c>
      <c r="C32" s="6">
        <f>IFERROR(__xludf.DUMMYFUNCTION("""COMPUTED_VALUE"""),270.7)</f>
        <v>270.7</v>
      </c>
      <c r="D32" s="6">
        <f>IFERROR(__xludf.DUMMYFUNCTION("""COMPUTED_VALUE"""),256.5)</f>
        <v>256.5</v>
      </c>
      <c r="E32" s="6">
        <f>IFERROR(__xludf.DUMMYFUNCTION("""COMPUTED_VALUE"""),260.2)</f>
        <v>260.2</v>
      </c>
      <c r="F32" s="6">
        <f>IFERROR(__xludf.DUMMYFUNCTION("""COMPUTED_VALUE"""),2.6292481E7)</f>
        <v>26292481</v>
      </c>
    </row>
    <row r="33">
      <c r="A33" s="7">
        <f>IFERROR(__xludf.DUMMYFUNCTION("""COMPUTED_VALUE"""),45401.64583333333)</f>
        <v>45401.64583</v>
      </c>
      <c r="B33" s="6">
        <f>IFERROR(__xludf.DUMMYFUNCTION("""COMPUTED_VALUE"""),247.0)</f>
        <v>247</v>
      </c>
      <c r="C33" s="6">
        <f>IFERROR(__xludf.DUMMYFUNCTION("""COMPUTED_VALUE"""),262.4)</f>
        <v>262.4</v>
      </c>
      <c r="D33" s="6">
        <f>IFERROR(__xludf.DUMMYFUNCTION("""COMPUTED_VALUE"""),245.0)</f>
        <v>245</v>
      </c>
      <c r="E33" s="6">
        <f>IFERROR(__xludf.DUMMYFUNCTION("""COMPUTED_VALUE"""),258.45)</f>
        <v>258.45</v>
      </c>
      <c r="F33" s="6">
        <f>IFERROR(__xludf.DUMMYFUNCTION("""COMPUTED_VALUE"""),4.2064023E7)</f>
        <v>42064023</v>
      </c>
    </row>
    <row r="34">
      <c r="A34" s="7">
        <f>IFERROR(__xludf.DUMMYFUNCTION("""COMPUTED_VALUE"""),45408.64583333333)</f>
        <v>45408.64583</v>
      </c>
      <c r="B34" s="6">
        <f>IFERROR(__xludf.DUMMYFUNCTION("""COMPUTED_VALUE"""),261.75)</f>
        <v>261.75</v>
      </c>
      <c r="C34" s="6">
        <f>IFERROR(__xludf.DUMMYFUNCTION("""COMPUTED_VALUE"""),295.0)</f>
        <v>295</v>
      </c>
      <c r="D34" s="6">
        <f>IFERROR(__xludf.DUMMYFUNCTION("""COMPUTED_VALUE"""),260.65)</f>
        <v>260.65</v>
      </c>
      <c r="E34" s="6">
        <f>IFERROR(__xludf.DUMMYFUNCTION("""COMPUTED_VALUE"""),289.9)</f>
        <v>289.9</v>
      </c>
      <c r="F34" s="6">
        <f>IFERROR(__xludf.DUMMYFUNCTION("""COMPUTED_VALUE"""),1.18941216E8)</f>
        <v>118941216</v>
      </c>
    </row>
    <row r="35">
      <c r="A35" s="7">
        <f>IFERROR(__xludf.DUMMYFUNCTION("""COMPUTED_VALUE"""),45415.64583333333)</f>
        <v>45415.64583</v>
      </c>
      <c r="B35" s="6">
        <f>IFERROR(__xludf.DUMMYFUNCTION("""COMPUTED_VALUE"""),291.8)</f>
        <v>291.8</v>
      </c>
      <c r="C35" s="6">
        <f>IFERROR(__xludf.DUMMYFUNCTION("""COMPUTED_VALUE"""),296.3)</f>
        <v>296.3</v>
      </c>
      <c r="D35" s="6">
        <f>IFERROR(__xludf.DUMMYFUNCTION("""COMPUTED_VALUE"""),281.6)</f>
        <v>281.6</v>
      </c>
      <c r="E35" s="6">
        <f>IFERROR(__xludf.DUMMYFUNCTION("""COMPUTED_VALUE"""),284.1)</f>
        <v>284.1</v>
      </c>
      <c r="F35" s="6">
        <f>IFERROR(__xludf.DUMMYFUNCTION("""COMPUTED_VALUE"""),4.2830956E7)</f>
        <v>42830956</v>
      </c>
    </row>
    <row r="36">
      <c r="A36" s="7">
        <f>IFERROR(__xludf.DUMMYFUNCTION("""COMPUTED_VALUE"""),45422.64583333333)</f>
        <v>45422.64583</v>
      </c>
      <c r="B36" s="6">
        <f>IFERROR(__xludf.DUMMYFUNCTION("""COMPUTED_VALUE"""),285.8)</f>
        <v>285.8</v>
      </c>
      <c r="C36" s="6">
        <f>IFERROR(__xludf.DUMMYFUNCTION("""COMPUTED_VALUE"""),285.8)</f>
        <v>285.8</v>
      </c>
      <c r="D36" s="6">
        <f>IFERROR(__xludf.DUMMYFUNCTION("""COMPUTED_VALUE"""),251.9)</f>
        <v>251.9</v>
      </c>
      <c r="E36" s="6">
        <f>IFERROR(__xludf.DUMMYFUNCTION("""COMPUTED_VALUE"""),261.05)</f>
        <v>261.05</v>
      </c>
      <c r="F36" s="6">
        <f>IFERROR(__xludf.DUMMYFUNCTION("""COMPUTED_VALUE"""),4.4607766E7)</f>
        <v>44607766</v>
      </c>
    </row>
    <row r="37">
      <c r="A37" s="7">
        <f>IFERROR(__xludf.DUMMYFUNCTION("""COMPUTED_VALUE"""),45436.64583333333)</f>
        <v>45436.64583</v>
      </c>
      <c r="B37" s="6">
        <f>IFERROR(__xludf.DUMMYFUNCTION("""COMPUTED_VALUE"""),303.3)</f>
        <v>303.3</v>
      </c>
      <c r="C37" s="6">
        <f>IFERROR(__xludf.DUMMYFUNCTION("""COMPUTED_VALUE"""),381.0)</f>
        <v>381</v>
      </c>
      <c r="D37" s="6">
        <f>IFERROR(__xludf.DUMMYFUNCTION("""COMPUTED_VALUE"""),301.0)</f>
        <v>301</v>
      </c>
      <c r="E37" s="6">
        <f>IFERROR(__xludf.DUMMYFUNCTION("""COMPUTED_VALUE"""),370.5)</f>
        <v>370.5</v>
      </c>
      <c r="F37" s="6">
        <f>IFERROR(__xludf.DUMMYFUNCTION("""COMPUTED_VALUE"""),3.13248536E8)</f>
        <v>313248536</v>
      </c>
    </row>
    <row r="38">
      <c r="A38" s="7">
        <f>IFERROR(__xludf.DUMMYFUNCTION("""COMPUTED_VALUE"""),45443.64583333333)</f>
        <v>45443.64583</v>
      </c>
      <c r="B38" s="6">
        <f>IFERROR(__xludf.DUMMYFUNCTION("""COMPUTED_VALUE"""),375.75)</f>
        <v>375.75</v>
      </c>
      <c r="C38" s="6">
        <f>IFERROR(__xludf.DUMMYFUNCTION("""COMPUTED_VALUE"""),399.9)</f>
        <v>399.9</v>
      </c>
      <c r="D38" s="6">
        <f>IFERROR(__xludf.DUMMYFUNCTION("""COMPUTED_VALUE"""),363.0)</f>
        <v>363</v>
      </c>
      <c r="E38" s="6">
        <f>IFERROR(__xludf.DUMMYFUNCTION("""COMPUTED_VALUE"""),381.7)</f>
        <v>381.7</v>
      </c>
      <c r="F38" s="6">
        <f>IFERROR(__xludf.DUMMYFUNCTION("""COMPUTED_VALUE"""),2.08474333E8)</f>
        <v>208474333</v>
      </c>
    </row>
    <row r="39">
      <c r="A39" s="7">
        <f>IFERROR(__xludf.DUMMYFUNCTION("""COMPUTED_VALUE"""),45450.64583333333)</f>
        <v>45450.64583</v>
      </c>
      <c r="B39" s="6">
        <f>IFERROR(__xludf.DUMMYFUNCTION("""COMPUTED_VALUE"""),425.0)</f>
        <v>425</v>
      </c>
      <c r="C39" s="6">
        <f>IFERROR(__xludf.DUMMYFUNCTION("""COMPUTED_VALUE"""),425.0)</f>
        <v>425</v>
      </c>
      <c r="D39" s="6">
        <f>IFERROR(__xludf.DUMMYFUNCTION("""COMPUTED_VALUE"""),312.25)</f>
        <v>312.25</v>
      </c>
      <c r="E39" s="6">
        <f>IFERROR(__xludf.DUMMYFUNCTION("""COMPUTED_VALUE"""),374.55)</f>
        <v>374.55</v>
      </c>
      <c r="F39" s="6">
        <f>IFERROR(__xludf.DUMMYFUNCTION("""COMPUTED_VALUE"""),2.81305854E8)</f>
        <v>281305854</v>
      </c>
    </row>
    <row r="40">
      <c r="A40" s="7">
        <f>IFERROR(__xludf.DUMMYFUNCTION("""COMPUTED_VALUE"""),45457.64583333333)</f>
        <v>45457.64583</v>
      </c>
      <c r="B40" s="6">
        <f>IFERROR(__xludf.DUMMYFUNCTION("""COMPUTED_VALUE"""),383.65)</f>
        <v>383.65</v>
      </c>
      <c r="C40" s="6">
        <f>IFERROR(__xludf.DUMMYFUNCTION("""COMPUTED_VALUE"""),396.9)</f>
        <v>396.9</v>
      </c>
      <c r="D40" s="6">
        <f>IFERROR(__xludf.DUMMYFUNCTION("""COMPUTED_VALUE"""),369.1)</f>
        <v>369.1</v>
      </c>
      <c r="E40" s="6">
        <f>IFERROR(__xludf.DUMMYFUNCTION("""COMPUTED_VALUE"""),390.2)</f>
        <v>390.2</v>
      </c>
      <c r="F40" s="6">
        <f>IFERROR(__xludf.DUMMYFUNCTION("""COMPUTED_VALUE"""),1.12688983E8)</f>
        <v>112688983</v>
      </c>
    </row>
    <row r="41">
      <c r="A41" s="7">
        <f>IFERROR(__xludf.DUMMYFUNCTION("""COMPUTED_VALUE"""),45464.64583333333)</f>
        <v>45464.64583</v>
      </c>
      <c r="B41" s="6">
        <f>IFERROR(__xludf.DUMMYFUNCTION("""COMPUTED_VALUE"""),397.0)</f>
        <v>397</v>
      </c>
      <c r="C41" s="6">
        <f>IFERROR(__xludf.DUMMYFUNCTION("""COMPUTED_VALUE"""),417.4)</f>
        <v>417.4</v>
      </c>
      <c r="D41" s="6">
        <f>IFERROR(__xludf.DUMMYFUNCTION("""COMPUTED_VALUE"""),382.8)</f>
        <v>382.8</v>
      </c>
      <c r="E41" s="6">
        <f>IFERROR(__xludf.DUMMYFUNCTION("""COMPUTED_VALUE"""),409.75)</f>
        <v>409.75</v>
      </c>
      <c r="F41" s="6">
        <f>IFERROR(__xludf.DUMMYFUNCTION("""COMPUTED_VALUE"""),1.29439254E8)</f>
        <v>129439254</v>
      </c>
    </row>
    <row r="42">
      <c r="A42" s="7">
        <f>IFERROR(__xludf.DUMMYFUNCTION("""COMPUTED_VALUE"""),45471.64583333333)</f>
        <v>45471.64583</v>
      </c>
      <c r="B42" s="6">
        <f>IFERROR(__xludf.DUMMYFUNCTION("""COMPUTED_VALUE"""),410.0)</f>
        <v>410</v>
      </c>
      <c r="C42" s="6">
        <f>IFERROR(__xludf.DUMMYFUNCTION("""COMPUTED_VALUE"""),431.8)</f>
        <v>431.8</v>
      </c>
      <c r="D42" s="6">
        <f>IFERROR(__xludf.DUMMYFUNCTION("""COMPUTED_VALUE"""),401.35)</f>
        <v>401.35</v>
      </c>
      <c r="E42" s="6">
        <f>IFERROR(__xludf.DUMMYFUNCTION("""COMPUTED_VALUE"""),416.6)</f>
        <v>416.6</v>
      </c>
      <c r="F42" s="6">
        <f>IFERROR(__xludf.DUMMYFUNCTION("""COMPUTED_VALUE"""),1.19629358E8)</f>
        <v>119629358</v>
      </c>
    </row>
    <row r="43">
      <c r="A43" s="7">
        <f>IFERROR(__xludf.DUMMYFUNCTION("""COMPUTED_VALUE"""),45478.64583333333)</f>
        <v>45478.64583</v>
      </c>
      <c r="B43" s="6">
        <f>IFERROR(__xludf.DUMMYFUNCTION("""COMPUTED_VALUE"""),417.0)</f>
        <v>417</v>
      </c>
      <c r="C43" s="6">
        <f>IFERROR(__xludf.DUMMYFUNCTION("""COMPUTED_VALUE"""),498.5)</f>
        <v>498.5</v>
      </c>
      <c r="D43" s="6">
        <f>IFERROR(__xludf.DUMMYFUNCTION("""COMPUTED_VALUE"""),404.3)</f>
        <v>404.3</v>
      </c>
      <c r="E43" s="6">
        <f>IFERROR(__xludf.DUMMYFUNCTION("""COMPUTED_VALUE"""),491.05)</f>
        <v>491.05</v>
      </c>
      <c r="F43" s="6">
        <f>IFERROR(__xludf.DUMMYFUNCTION("""COMPUTED_VALUE"""),2.07436278E8)</f>
        <v>207436278</v>
      </c>
    </row>
    <row r="44">
      <c r="A44" s="7">
        <f>IFERROR(__xludf.DUMMYFUNCTION("""COMPUTED_VALUE"""),45485.64583333333)</f>
        <v>45485.64583</v>
      </c>
      <c r="B44" s="6">
        <f>IFERROR(__xludf.DUMMYFUNCTION("""COMPUTED_VALUE"""),508.0)</f>
        <v>508</v>
      </c>
      <c r="C44" s="6">
        <f>IFERROR(__xludf.DUMMYFUNCTION("""COMPUTED_VALUE"""),645.0)</f>
        <v>645</v>
      </c>
      <c r="D44" s="6">
        <f>IFERROR(__xludf.DUMMYFUNCTION("""COMPUTED_VALUE"""),508.0)</f>
        <v>508</v>
      </c>
      <c r="E44" s="6">
        <f>IFERROR(__xludf.DUMMYFUNCTION("""COMPUTED_VALUE"""),626.75)</f>
        <v>626.75</v>
      </c>
      <c r="F44" s="6">
        <f>IFERROR(__xludf.DUMMYFUNCTION("""COMPUTED_VALUE"""),6.97631984E8)</f>
        <v>697631984</v>
      </c>
    </row>
    <row r="45">
      <c r="A45" s="7">
        <f>IFERROR(__xludf.DUMMYFUNCTION("""COMPUTED_VALUE"""),45492.64583333333)</f>
        <v>45492.64583</v>
      </c>
      <c r="B45" s="6">
        <f>IFERROR(__xludf.DUMMYFUNCTION("""COMPUTED_VALUE"""),637.0)</f>
        <v>637</v>
      </c>
      <c r="C45" s="6">
        <f>IFERROR(__xludf.DUMMYFUNCTION("""COMPUTED_VALUE"""),647.0)</f>
        <v>647</v>
      </c>
      <c r="D45" s="6">
        <f>IFERROR(__xludf.DUMMYFUNCTION("""COMPUTED_VALUE"""),570.3)</f>
        <v>570.3</v>
      </c>
      <c r="E45" s="6">
        <f>IFERROR(__xludf.DUMMYFUNCTION("""COMPUTED_VALUE"""),613.75)</f>
        <v>613.75</v>
      </c>
      <c r="F45" s="6">
        <f>IFERROR(__xludf.DUMMYFUNCTION("""COMPUTED_VALUE"""),1.67971006E8)</f>
        <v>167971006</v>
      </c>
    </row>
    <row r="46">
      <c r="A46" s="7">
        <f>IFERROR(__xludf.DUMMYFUNCTION("""COMPUTED_VALUE"""),45499.64583333333)</f>
        <v>45499.64583</v>
      </c>
      <c r="B46" s="6">
        <f>IFERROR(__xludf.DUMMYFUNCTION("""COMPUTED_VALUE"""),615.0)</f>
        <v>615</v>
      </c>
      <c r="C46" s="6">
        <f>IFERROR(__xludf.DUMMYFUNCTION("""COMPUTED_VALUE"""),639.0)</f>
        <v>639</v>
      </c>
      <c r="D46" s="6">
        <f>IFERROR(__xludf.DUMMYFUNCTION("""COMPUTED_VALUE"""),550.05)</f>
        <v>550.05</v>
      </c>
      <c r="E46" s="6">
        <f>IFERROR(__xludf.DUMMYFUNCTION("""COMPUTED_VALUE"""),552.35)</f>
        <v>552.35</v>
      </c>
      <c r="F46" s="6">
        <f>IFERROR(__xludf.DUMMYFUNCTION("""COMPUTED_VALUE"""),1.48469571E8)</f>
        <v>148469571</v>
      </c>
    </row>
    <row r="47">
      <c r="A47" s="7">
        <f>IFERROR(__xludf.DUMMYFUNCTION("""COMPUTED_VALUE"""),45506.64583333333)</f>
        <v>45506.64583</v>
      </c>
      <c r="B47" s="6">
        <f>IFERROR(__xludf.DUMMYFUNCTION("""COMPUTED_VALUE"""),557.5)</f>
        <v>557.5</v>
      </c>
      <c r="C47" s="6">
        <f>IFERROR(__xludf.DUMMYFUNCTION("""COMPUTED_VALUE"""),626.8)</f>
        <v>626.8</v>
      </c>
      <c r="D47" s="6">
        <f>IFERROR(__xludf.DUMMYFUNCTION("""COMPUTED_VALUE"""),555.55)</f>
        <v>555.55</v>
      </c>
      <c r="E47" s="6">
        <f>IFERROR(__xludf.DUMMYFUNCTION("""COMPUTED_VALUE"""),589.8)</f>
        <v>589.8</v>
      </c>
      <c r="F47" s="6">
        <f>IFERROR(__xludf.DUMMYFUNCTION("""COMPUTED_VALUE"""),1.07697E8)</f>
        <v>107697000</v>
      </c>
    </row>
    <row r="48">
      <c r="A48" s="7">
        <f>IFERROR(__xludf.DUMMYFUNCTION("""COMPUTED_VALUE"""),45513.64583333333)</f>
        <v>45513.64583</v>
      </c>
      <c r="B48" s="6">
        <f>IFERROR(__xludf.DUMMYFUNCTION("""COMPUTED_VALUE"""),559.8)</f>
        <v>559.8</v>
      </c>
      <c r="C48" s="6">
        <f>IFERROR(__xludf.DUMMYFUNCTION("""COMPUTED_VALUE"""),583.0)</f>
        <v>583</v>
      </c>
      <c r="D48" s="6">
        <f>IFERROR(__xludf.DUMMYFUNCTION("""COMPUTED_VALUE"""),514.0)</f>
        <v>514</v>
      </c>
      <c r="E48" s="6">
        <f>IFERROR(__xludf.DUMMYFUNCTION("""COMPUTED_VALUE"""),518.15)</f>
        <v>518.15</v>
      </c>
      <c r="F48" s="6">
        <f>IFERROR(__xludf.DUMMYFUNCTION("""COMPUTED_VALUE"""),1.02376468E8)</f>
        <v>102376468</v>
      </c>
    </row>
    <row r="49">
      <c r="A49" s="7">
        <f>IFERROR(__xludf.DUMMYFUNCTION("""COMPUTED_VALUE"""),45520.64583333333)</f>
        <v>45520.64583</v>
      </c>
      <c r="B49" s="6">
        <f>IFERROR(__xludf.DUMMYFUNCTION("""COMPUTED_VALUE"""),524.0)</f>
        <v>524</v>
      </c>
      <c r="C49" s="6">
        <f>IFERROR(__xludf.DUMMYFUNCTION("""COMPUTED_VALUE"""),601.9)</f>
        <v>601.9</v>
      </c>
      <c r="D49" s="6">
        <f>IFERROR(__xludf.DUMMYFUNCTION("""COMPUTED_VALUE"""),522.4)</f>
        <v>522.4</v>
      </c>
      <c r="E49" s="6">
        <f>IFERROR(__xludf.DUMMYFUNCTION("""COMPUTED_VALUE"""),570.65)</f>
        <v>570.65</v>
      </c>
      <c r="F49" s="6">
        <f>IFERROR(__xludf.DUMMYFUNCTION("""COMPUTED_VALUE"""),1.44437188E8)</f>
        <v>144437188</v>
      </c>
    </row>
    <row r="50">
      <c r="A50" s="7">
        <f>IFERROR(__xludf.DUMMYFUNCTION("""COMPUTED_VALUE"""),45527.64583333333)</f>
        <v>45527.64583</v>
      </c>
      <c r="B50" s="6">
        <f>IFERROR(__xludf.DUMMYFUNCTION("""COMPUTED_VALUE"""),581.8)</f>
        <v>581.8</v>
      </c>
      <c r="C50" s="6">
        <f>IFERROR(__xludf.DUMMYFUNCTION("""COMPUTED_VALUE"""),594.5)</f>
        <v>594.5</v>
      </c>
      <c r="D50" s="6">
        <f>IFERROR(__xludf.DUMMYFUNCTION("""COMPUTED_VALUE"""),553.0)</f>
        <v>553</v>
      </c>
      <c r="E50" s="6">
        <f>IFERROR(__xludf.DUMMYFUNCTION("""COMPUTED_VALUE"""),572.7)</f>
        <v>572.7</v>
      </c>
      <c r="F50" s="6">
        <f>IFERROR(__xludf.DUMMYFUNCTION("""COMPUTED_VALUE"""),7.3513341E7)</f>
        <v>73513341</v>
      </c>
    </row>
    <row r="51">
      <c r="A51" s="7">
        <f>IFERROR(__xludf.DUMMYFUNCTION("""COMPUTED_VALUE"""),45534.64583333333)</f>
        <v>45534.64583</v>
      </c>
      <c r="B51" s="6">
        <f>IFERROR(__xludf.DUMMYFUNCTION("""COMPUTED_VALUE"""),577.5)</f>
        <v>577.5</v>
      </c>
      <c r="C51" s="6">
        <f>IFERROR(__xludf.DUMMYFUNCTION("""COMPUTED_VALUE"""),615.0)</f>
        <v>615</v>
      </c>
      <c r="D51" s="6">
        <f>IFERROR(__xludf.DUMMYFUNCTION("""COMPUTED_VALUE"""),572.0)</f>
        <v>572</v>
      </c>
      <c r="E51" s="6">
        <f>IFERROR(__xludf.DUMMYFUNCTION("""COMPUTED_VALUE"""),607.4)</f>
        <v>607.4</v>
      </c>
      <c r="F51" s="6">
        <f>IFERROR(__xludf.DUMMYFUNCTION("""COMPUTED_VALUE"""),1.818795E8)</f>
        <v>181879500</v>
      </c>
    </row>
    <row r="52">
      <c r="A52" s="7">
        <f>IFERROR(__xludf.DUMMYFUNCTION("""COMPUTED_VALUE"""),45541.64583333333)</f>
        <v>45541.64583</v>
      </c>
      <c r="B52" s="6">
        <f>IFERROR(__xludf.DUMMYFUNCTION("""COMPUTED_VALUE"""),610.5)</f>
        <v>610.5</v>
      </c>
      <c r="C52" s="6">
        <f>IFERROR(__xludf.DUMMYFUNCTION("""COMPUTED_VALUE"""),619.5)</f>
        <v>619.5</v>
      </c>
      <c r="D52" s="6">
        <f>IFERROR(__xludf.DUMMYFUNCTION("""COMPUTED_VALUE"""),565.45)</f>
        <v>565.45</v>
      </c>
      <c r="E52" s="6">
        <f>IFERROR(__xludf.DUMMYFUNCTION("""COMPUTED_VALUE"""),569.55)</f>
        <v>569.55</v>
      </c>
      <c r="F52" s="6">
        <f>IFERROR(__xludf.DUMMYFUNCTION("""COMPUTED_VALUE"""),5.5666832E7)</f>
        <v>55666832</v>
      </c>
    </row>
    <row r="53">
      <c r="A53" s="7">
        <f>IFERROR(__xludf.DUMMYFUNCTION("""COMPUTED_VALUE"""),45548.64583333333)</f>
        <v>45548.64583</v>
      </c>
      <c r="B53" s="6">
        <f>IFERROR(__xludf.DUMMYFUNCTION("""COMPUTED_VALUE"""),569.55)</f>
        <v>569.55</v>
      </c>
      <c r="C53" s="6">
        <f>IFERROR(__xludf.DUMMYFUNCTION("""COMPUTED_VALUE"""),578.8)</f>
        <v>578.8</v>
      </c>
      <c r="D53" s="6">
        <f>IFERROR(__xludf.DUMMYFUNCTION("""COMPUTED_VALUE"""),545.1)</f>
        <v>545.1</v>
      </c>
      <c r="E53" s="6">
        <f>IFERROR(__xludf.DUMMYFUNCTION("""COMPUTED_VALUE"""),555.3)</f>
        <v>555.3</v>
      </c>
      <c r="F53" s="6">
        <f>IFERROR(__xludf.DUMMYFUNCTION("""COMPUTED_VALUE"""),3.4281604E7)</f>
        <v>34281604</v>
      </c>
    </row>
    <row r="54">
      <c r="A54" s="7">
        <f>IFERROR(__xludf.DUMMYFUNCTION("""COMPUTED_VALUE"""),45555.64583333333)</f>
        <v>45555.64583</v>
      </c>
      <c r="B54" s="6">
        <f>IFERROR(__xludf.DUMMYFUNCTION("""COMPUTED_VALUE"""),550.0)</f>
        <v>550</v>
      </c>
      <c r="C54" s="6">
        <f>IFERROR(__xludf.DUMMYFUNCTION("""COMPUTED_VALUE"""),554.35)</f>
        <v>554.35</v>
      </c>
      <c r="D54" s="6">
        <f>IFERROR(__xludf.DUMMYFUNCTION("""COMPUTED_VALUE"""),501.2)</f>
        <v>501.2</v>
      </c>
      <c r="E54" s="6">
        <f>IFERROR(__xludf.DUMMYFUNCTION("""COMPUTED_VALUE"""),544.25)</f>
        <v>544.25</v>
      </c>
      <c r="F54" s="6">
        <f>IFERROR(__xludf.DUMMYFUNCTION("""COMPUTED_VALUE"""),5.4757698E7)</f>
        <v>54757698</v>
      </c>
    </row>
    <row r="55">
      <c r="A55" s="7">
        <f>IFERROR(__xludf.DUMMYFUNCTION("""COMPUTED_VALUE"""),45562.64583333333)</f>
        <v>45562.64583</v>
      </c>
      <c r="B55" s="6">
        <f>IFERROR(__xludf.DUMMYFUNCTION("""COMPUTED_VALUE"""),544.25)</f>
        <v>544.25</v>
      </c>
      <c r="C55" s="6">
        <f>IFERROR(__xludf.DUMMYFUNCTION("""COMPUTED_VALUE"""),544.4)</f>
        <v>544.4</v>
      </c>
      <c r="D55" s="6">
        <f>IFERROR(__xludf.DUMMYFUNCTION("""COMPUTED_VALUE"""),516.0)</f>
        <v>516</v>
      </c>
      <c r="E55" s="6">
        <f>IFERROR(__xludf.DUMMYFUNCTION("""COMPUTED_VALUE"""),526.35)</f>
        <v>526.35</v>
      </c>
      <c r="F55" s="6">
        <f>IFERROR(__xludf.DUMMYFUNCTION("""COMPUTED_VALUE"""),2.199962E7)</f>
        <v>21999620</v>
      </c>
    </row>
    <row r="56">
      <c r="A56" s="7">
        <f>IFERROR(__xludf.DUMMYFUNCTION("""COMPUTED_VALUE"""),45569.64583333333)</f>
        <v>45569.64583</v>
      </c>
      <c r="B56" s="6">
        <f>IFERROR(__xludf.DUMMYFUNCTION("""COMPUTED_VALUE"""),521.5)</f>
        <v>521.5</v>
      </c>
      <c r="C56" s="6">
        <f>IFERROR(__xludf.DUMMYFUNCTION("""COMPUTED_VALUE"""),535.0)</f>
        <v>535</v>
      </c>
      <c r="D56" s="6">
        <f>IFERROR(__xludf.DUMMYFUNCTION("""COMPUTED_VALUE"""),483.65)</f>
        <v>483.65</v>
      </c>
      <c r="E56" s="6">
        <f>IFERROR(__xludf.DUMMYFUNCTION("""COMPUTED_VALUE"""),493.4)</f>
        <v>493.4</v>
      </c>
      <c r="F56" s="6">
        <f>IFERROR(__xludf.DUMMYFUNCTION("""COMPUTED_VALUE"""),1.7313594E7)</f>
        <v>17313594</v>
      </c>
    </row>
    <row r="57">
      <c r="A57" s="7">
        <f>IFERROR(__xludf.DUMMYFUNCTION("""COMPUTED_VALUE"""),45576.64583333333)</f>
        <v>45576.64583</v>
      </c>
      <c r="B57" s="6">
        <f>IFERROR(__xludf.DUMMYFUNCTION("""COMPUTED_VALUE"""),490.4)</f>
        <v>490.4</v>
      </c>
      <c r="C57" s="6">
        <f>IFERROR(__xludf.DUMMYFUNCTION("""COMPUTED_VALUE"""),500.75)</f>
        <v>500.75</v>
      </c>
      <c r="D57" s="6">
        <f>IFERROR(__xludf.DUMMYFUNCTION("""COMPUTED_VALUE"""),426.45)</f>
        <v>426.45</v>
      </c>
      <c r="E57" s="6">
        <f>IFERROR(__xludf.DUMMYFUNCTION("""COMPUTED_VALUE"""),475.4)</f>
        <v>475.4</v>
      </c>
      <c r="F57" s="6">
        <f>IFERROR(__xludf.DUMMYFUNCTION("""COMPUTED_VALUE"""),4.8207596E7)</f>
        <v>48207596</v>
      </c>
    </row>
    <row r="58">
      <c r="A58" s="7">
        <f>IFERROR(__xludf.DUMMYFUNCTION("""COMPUTED_VALUE"""),45583.64583333333)</f>
        <v>45583.64583</v>
      </c>
      <c r="B58" s="6">
        <f>IFERROR(__xludf.DUMMYFUNCTION("""COMPUTED_VALUE"""),476.0)</f>
        <v>476</v>
      </c>
      <c r="C58" s="6">
        <f>IFERROR(__xludf.DUMMYFUNCTION("""COMPUTED_VALUE"""),514.65)</f>
        <v>514.65</v>
      </c>
      <c r="D58" s="6">
        <f>IFERROR(__xludf.DUMMYFUNCTION("""COMPUTED_VALUE"""),466.65)</f>
        <v>466.65</v>
      </c>
      <c r="E58" s="6">
        <f>IFERROR(__xludf.DUMMYFUNCTION("""COMPUTED_VALUE"""),477.3)</f>
        <v>477.3</v>
      </c>
      <c r="F58" s="6">
        <f>IFERROR(__xludf.DUMMYFUNCTION("""COMPUTED_VALUE"""),3.4882709E7)</f>
        <v>34882709</v>
      </c>
    </row>
    <row r="59">
      <c r="A59" s="7">
        <f>IFERROR(__xludf.DUMMYFUNCTION("""COMPUTED_VALUE"""),45590.64583333333)</f>
        <v>45590.64583</v>
      </c>
      <c r="B59" s="6">
        <f>IFERROR(__xludf.DUMMYFUNCTION("""COMPUTED_VALUE"""),477.3)</f>
        <v>477.3</v>
      </c>
      <c r="C59" s="6">
        <f>IFERROR(__xludf.DUMMYFUNCTION("""COMPUTED_VALUE"""),482.95)</f>
        <v>482.95</v>
      </c>
      <c r="D59" s="6">
        <f>IFERROR(__xludf.DUMMYFUNCTION("""COMPUTED_VALUE"""),414.1)</f>
        <v>414.1</v>
      </c>
      <c r="E59" s="6">
        <f>IFERROR(__xludf.DUMMYFUNCTION("""COMPUTED_VALUE"""),419.75)</f>
        <v>419.75</v>
      </c>
      <c r="F59" s="6">
        <f>IFERROR(__xludf.DUMMYFUNCTION("""COMPUTED_VALUE"""),2.4406623E7)</f>
        <v>24406623</v>
      </c>
    </row>
    <row r="60">
      <c r="A60" s="7">
        <f>IFERROR(__xludf.DUMMYFUNCTION("""COMPUTED_VALUE"""),45604.64583333333)</f>
        <v>45604.64583</v>
      </c>
      <c r="B60" s="6">
        <f>IFERROR(__xludf.DUMMYFUNCTION("""COMPUTED_VALUE"""),469.3)</f>
        <v>469.3</v>
      </c>
      <c r="C60" s="6">
        <f>IFERROR(__xludf.DUMMYFUNCTION("""COMPUTED_VALUE"""),486.7)</f>
        <v>486.7</v>
      </c>
      <c r="D60" s="6">
        <f>IFERROR(__xludf.DUMMYFUNCTION("""COMPUTED_VALUE"""),441.35)</f>
        <v>441.35</v>
      </c>
      <c r="E60" s="6">
        <f>IFERROR(__xludf.DUMMYFUNCTION("""COMPUTED_VALUE"""),447.95)</f>
        <v>447.95</v>
      </c>
      <c r="F60" s="6">
        <f>IFERROR(__xludf.DUMMYFUNCTION("""COMPUTED_VALUE"""),3.5299299E7)</f>
        <v>35299299</v>
      </c>
    </row>
    <row r="61">
      <c r="A61" s="7">
        <f>IFERROR(__xludf.DUMMYFUNCTION("""COMPUTED_VALUE"""),45610.64583333333)</f>
        <v>45610.64583</v>
      </c>
      <c r="B61" s="6">
        <f>IFERROR(__xludf.DUMMYFUNCTION("""COMPUTED_VALUE"""),445.0)</f>
        <v>445</v>
      </c>
      <c r="C61" s="6">
        <f>IFERROR(__xludf.DUMMYFUNCTION("""COMPUTED_VALUE"""),451.85)</f>
        <v>451.85</v>
      </c>
      <c r="D61" s="6">
        <f>IFERROR(__xludf.DUMMYFUNCTION("""COMPUTED_VALUE"""),416.1)</f>
        <v>416.1</v>
      </c>
      <c r="E61" s="6">
        <f>IFERROR(__xludf.DUMMYFUNCTION("""COMPUTED_VALUE"""),419.5)</f>
        <v>419.5</v>
      </c>
      <c r="F61" s="6">
        <f>IFERROR(__xludf.DUMMYFUNCTION("""COMPUTED_VALUE"""),1.7618906E7)</f>
        <v>17618906</v>
      </c>
    </row>
    <row r="62">
      <c r="A62" s="7">
        <f>IFERROR(__xludf.DUMMYFUNCTION("""COMPUTED_VALUE"""),45618.64583333333)</f>
        <v>45618.64583</v>
      </c>
      <c r="B62" s="6">
        <f>IFERROR(__xludf.DUMMYFUNCTION("""COMPUTED_VALUE"""),418.65)</f>
        <v>418.65</v>
      </c>
      <c r="C62" s="6">
        <f>IFERROR(__xludf.DUMMYFUNCTION("""COMPUTED_VALUE"""),435.05)</f>
        <v>435.05</v>
      </c>
      <c r="D62" s="6">
        <f>IFERROR(__xludf.DUMMYFUNCTION("""COMPUTED_VALUE"""),409.5)</f>
        <v>409.5</v>
      </c>
      <c r="E62" s="6">
        <f>IFERROR(__xludf.DUMMYFUNCTION("""COMPUTED_VALUE"""),420.2)</f>
        <v>420.2</v>
      </c>
      <c r="F62" s="6">
        <f>IFERROR(__xludf.DUMMYFUNCTION("""COMPUTED_VALUE"""),1.5925599E7)</f>
        <v>15925599</v>
      </c>
    </row>
    <row r="63">
      <c r="A63" s="7">
        <f>IFERROR(__xludf.DUMMYFUNCTION("""COMPUTED_VALUE"""),45625.64583333333)</f>
        <v>45625.64583</v>
      </c>
      <c r="B63" s="6">
        <f>IFERROR(__xludf.DUMMYFUNCTION("""COMPUTED_VALUE"""),451.55)</f>
        <v>451.55</v>
      </c>
      <c r="C63" s="6">
        <f>IFERROR(__xludf.DUMMYFUNCTION("""COMPUTED_VALUE"""),462.9)</f>
        <v>462.9</v>
      </c>
      <c r="D63" s="6">
        <f>IFERROR(__xludf.DUMMYFUNCTION("""COMPUTED_VALUE"""),431.5)</f>
        <v>431.5</v>
      </c>
      <c r="E63" s="6">
        <f>IFERROR(__xludf.DUMMYFUNCTION("""COMPUTED_VALUE"""),435.85)</f>
        <v>435.85</v>
      </c>
      <c r="F63" s="6">
        <f>IFERROR(__xludf.DUMMYFUNCTION("""COMPUTED_VALUE"""),2.9417032E7)</f>
        <v>29417032</v>
      </c>
    </row>
    <row r="64">
      <c r="A64" s="7">
        <f>IFERROR(__xludf.DUMMYFUNCTION("""COMPUTED_VALUE"""),45632.64583333333)</f>
        <v>45632.64583</v>
      </c>
      <c r="B64" s="6">
        <f>IFERROR(__xludf.DUMMYFUNCTION("""COMPUTED_VALUE"""),437.5)</f>
        <v>437.5</v>
      </c>
      <c r="C64" s="6">
        <f>IFERROR(__xludf.DUMMYFUNCTION("""COMPUTED_VALUE"""),468.0)</f>
        <v>468</v>
      </c>
      <c r="D64" s="6">
        <f>IFERROR(__xludf.DUMMYFUNCTION("""COMPUTED_VALUE"""),435.05)</f>
        <v>435.05</v>
      </c>
      <c r="E64" s="6">
        <f>IFERROR(__xludf.DUMMYFUNCTION("""COMPUTED_VALUE"""),464.7)</f>
        <v>464.7</v>
      </c>
      <c r="F64" s="6">
        <f>IFERROR(__xludf.DUMMYFUNCTION("""COMPUTED_VALUE"""),2.6932063E7)</f>
        <v>26932063</v>
      </c>
    </row>
    <row r="65">
      <c r="A65" s="7">
        <f>IFERROR(__xludf.DUMMYFUNCTION("""COMPUTED_VALUE"""),45639.64583333333)</f>
        <v>45639.64583</v>
      </c>
      <c r="B65" s="6">
        <f>IFERROR(__xludf.DUMMYFUNCTION("""COMPUTED_VALUE"""),465.7)</f>
        <v>465.7</v>
      </c>
      <c r="C65" s="6">
        <f>IFERROR(__xludf.DUMMYFUNCTION("""COMPUTED_VALUE"""),482.5)</f>
        <v>482.5</v>
      </c>
      <c r="D65" s="6">
        <f>IFERROR(__xludf.DUMMYFUNCTION("""COMPUTED_VALUE"""),455.55)</f>
        <v>455.55</v>
      </c>
      <c r="E65" s="6">
        <f>IFERROR(__xludf.DUMMYFUNCTION("""COMPUTED_VALUE"""),465.95)</f>
        <v>465.95</v>
      </c>
      <c r="F65" s="6">
        <f>IFERROR(__xludf.DUMMYFUNCTION("""COMPUTED_VALUE"""),2.8587485E7)</f>
        <v>28587485</v>
      </c>
    </row>
    <row r="66">
      <c r="A66" s="7">
        <f>IFERROR(__xludf.DUMMYFUNCTION("""COMPUTED_VALUE"""),45646.64583333333)</f>
        <v>45646.64583</v>
      </c>
      <c r="B66" s="6">
        <f>IFERROR(__xludf.DUMMYFUNCTION("""COMPUTED_VALUE"""),467.9)</f>
        <v>467.9</v>
      </c>
      <c r="C66" s="6">
        <f>IFERROR(__xludf.DUMMYFUNCTION("""COMPUTED_VALUE"""),482.0)</f>
        <v>482</v>
      </c>
      <c r="D66" s="6">
        <f>IFERROR(__xludf.DUMMYFUNCTION("""COMPUTED_VALUE"""),430.05)</f>
        <v>430.05</v>
      </c>
      <c r="E66" s="6">
        <f>IFERROR(__xludf.DUMMYFUNCTION("""COMPUTED_VALUE"""),433.25)</f>
        <v>433.25</v>
      </c>
      <c r="F66" s="6">
        <f>IFERROR(__xludf.DUMMYFUNCTION("""COMPUTED_VALUE"""),1.488014E7)</f>
        <v>14880140</v>
      </c>
    </row>
    <row r="67">
      <c r="A67" s="7">
        <f>IFERROR(__xludf.DUMMYFUNCTION("""COMPUTED_VALUE"""),45653.64583333333)</f>
        <v>45653.64583</v>
      </c>
      <c r="B67" s="6">
        <f>IFERROR(__xludf.DUMMYFUNCTION("""COMPUTED_VALUE"""),437.7)</f>
        <v>437.7</v>
      </c>
      <c r="C67" s="6">
        <f>IFERROR(__xludf.DUMMYFUNCTION("""COMPUTED_VALUE"""),442.0)</f>
        <v>442</v>
      </c>
      <c r="D67" s="6">
        <f>IFERROR(__xludf.DUMMYFUNCTION("""COMPUTED_VALUE"""),424.1)</f>
        <v>424.1</v>
      </c>
      <c r="E67" s="6">
        <f>IFERROR(__xludf.DUMMYFUNCTION("""COMPUTED_VALUE"""),425.55)</f>
        <v>425.55</v>
      </c>
      <c r="F67" s="6">
        <f>IFERROR(__xludf.DUMMYFUNCTION("""COMPUTED_VALUE"""),7050490.0)</f>
        <v>7050490</v>
      </c>
    </row>
    <row r="68">
      <c r="A68" s="7">
        <f>IFERROR(__xludf.DUMMYFUNCTION("""COMPUTED_VALUE"""),45660.64583333333)</f>
        <v>45660.64583</v>
      </c>
      <c r="B68" s="6">
        <f>IFERROR(__xludf.DUMMYFUNCTION("""COMPUTED_VALUE"""),425.0)</f>
        <v>425</v>
      </c>
      <c r="C68" s="6">
        <f>IFERROR(__xludf.DUMMYFUNCTION("""COMPUTED_VALUE"""),439.7)</f>
        <v>439.7</v>
      </c>
      <c r="D68" s="6">
        <f>IFERROR(__xludf.DUMMYFUNCTION("""COMPUTED_VALUE"""),404.4)</f>
        <v>404.4</v>
      </c>
      <c r="E68" s="6">
        <f>IFERROR(__xludf.DUMMYFUNCTION("""COMPUTED_VALUE"""),432.1)</f>
        <v>432.1</v>
      </c>
      <c r="F68" s="6">
        <f>IFERROR(__xludf.DUMMYFUNCTION("""COMPUTED_VALUE"""),2.4452484E7)</f>
        <v>24452484</v>
      </c>
    </row>
    <row r="69">
      <c r="A69" s="7">
        <f>IFERROR(__xludf.DUMMYFUNCTION("""COMPUTED_VALUE"""),45667.64583333333)</f>
        <v>45667.64583</v>
      </c>
      <c r="B69" s="6">
        <f>IFERROR(__xludf.DUMMYFUNCTION("""COMPUTED_VALUE"""),434.6)</f>
        <v>434.6</v>
      </c>
      <c r="C69" s="6">
        <f>IFERROR(__xludf.DUMMYFUNCTION("""COMPUTED_VALUE"""),434.8)</f>
        <v>434.8</v>
      </c>
      <c r="D69" s="6">
        <f>IFERROR(__xludf.DUMMYFUNCTION("""COMPUTED_VALUE"""),391.0)</f>
        <v>391</v>
      </c>
      <c r="E69" s="6">
        <f>IFERROR(__xludf.DUMMYFUNCTION("""COMPUTED_VALUE"""),393.3)</f>
        <v>393.3</v>
      </c>
      <c r="F69" s="6">
        <f>IFERROR(__xludf.DUMMYFUNCTION("""COMPUTED_VALUE"""),1.5740847E7)</f>
        <v>15740847</v>
      </c>
    </row>
    <row r="70">
      <c r="A70" s="7">
        <f>IFERROR(__xludf.DUMMYFUNCTION("""COMPUTED_VALUE"""),45674.64583333333)</f>
        <v>45674.64583</v>
      </c>
      <c r="B70" s="6">
        <f>IFERROR(__xludf.DUMMYFUNCTION("""COMPUTED_VALUE"""),381.95)</f>
        <v>381.95</v>
      </c>
      <c r="C70" s="6">
        <f>IFERROR(__xludf.DUMMYFUNCTION("""COMPUTED_VALUE"""),437.8)</f>
        <v>437.8</v>
      </c>
      <c r="D70" s="6">
        <f>IFERROR(__xludf.DUMMYFUNCTION("""COMPUTED_VALUE"""),355.5)</f>
        <v>355.5</v>
      </c>
      <c r="E70" s="6">
        <f>IFERROR(__xludf.DUMMYFUNCTION("""COMPUTED_VALUE"""),426.4)</f>
        <v>426.4</v>
      </c>
      <c r="F70" s="6">
        <f>IFERROR(__xludf.DUMMYFUNCTION("""COMPUTED_VALUE"""),6.5734149E7)</f>
        <v>65734149</v>
      </c>
    </row>
    <row r="71">
      <c r="A71" s="7">
        <f>IFERROR(__xludf.DUMMYFUNCTION("""COMPUTED_VALUE"""),45681.64583333333)</f>
        <v>45681.64583</v>
      </c>
      <c r="B71" s="6">
        <f>IFERROR(__xludf.DUMMYFUNCTION("""COMPUTED_VALUE"""),429.2)</f>
        <v>429.2</v>
      </c>
      <c r="C71" s="6">
        <f>IFERROR(__xludf.DUMMYFUNCTION("""COMPUTED_VALUE"""),437.45)</f>
        <v>437.45</v>
      </c>
      <c r="D71" s="6">
        <f>IFERROR(__xludf.DUMMYFUNCTION("""COMPUTED_VALUE"""),398.65)</f>
        <v>398.65</v>
      </c>
      <c r="E71" s="6">
        <f>IFERROR(__xludf.DUMMYFUNCTION("""COMPUTED_VALUE"""),410.1)</f>
        <v>410.1</v>
      </c>
      <c r="F71" s="6">
        <f>IFERROR(__xludf.DUMMYFUNCTION("""COMPUTED_VALUE"""),3.2766303E7)</f>
        <v>32766303</v>
      </c>
    </row>
    <row r="72">
      <c r="A72" s="7">
        <f>IFERROR(__xludf.DUMMYFUNCTION("""COMPUTED_VALUE"""),45695.64583333333)</f>
        <v>45695.64583</v>
      </c>
      <c r="B72" s="6">
        <f>IFERROR(__xludf.DUMMYFUNCTION("""COMPUTED_VALUE"""),415.15)</f>
        <v>415.15</v>
      </c>
      <c r="C72" s="6">
        <f>IFERROR(__xludf.DUMMYFUNCTION("""COMPUTED_VALUE"""),421.3)</f>
        <v>421.3</v>
      </c>
      <c r="D72" s="6">
        <f>IFERROR(__xludf.DUMMYFUNCTION("""COMPUTED_VALUE"""),393.75)</f>
        <v>393.75</v>
      </c>
      <c r="E72" s="6">
        <f>IFERROR(__xludf.DUMMYFUNCTION("""COMPUTED_VALUE"""),395.05)</f>
        <v>395.05</v>
      </c>
      <c r="F72" s="6">
        <f>IFERROR(__xludf.DUMMYFUNCTION("""COMPUTED_VALUE"""),5.7888125E7)</f>
        <v>57888125</v>
      </c>
    </row>
    <row r="73">
      <c r="A73" s="7">
        <f>IFERROR(__xludf.DUMMYFUNCTION("""COMPUTED_VALUE"""),45702.64583333333)</f>
        <v>45702.64583</v>
      </c>
      <c r="B73" s="6">
        <f>IFERROR(__xludf.DUMMYFUNCTION("""COMPUTED_VALUE"""),395.1)</f>
        <v>395.1</v>
      </c>
      <c r="C73" s="6">
        <f>IFERROR(__xludf.DUMMYFUNCTION("""COMPUTED_VALUE"""),399.1)</f>
        <v>399.1</v>
      </c>
      <c r="D73" s="6">
        <f>IFERROR(__xludf.DUMMYFUNCTION("""COMPUTED_VALUE"""),342.0)</f>
        <v>342</v>
      </c>
      <c r="E73" s="6">
        <f>IFERROR(__xludf.DUMMYFUNCTION("""COMPUTED_VALUE"""),359.9)</f>
        <v>359.9</v>
      </c>
      <c r="F73" s="6">
        <f>IFERROR(__xludf.DUMMYFUNCTION("""COMPUTED_VALUE"""),4.273965E7)</f>
        <v>42739650</v>
      </c>
    </row>
    <row r="74">
      <c r="A74" s="7">
        <f>IFERROR(__xludf.DUMMYFUNCTION("""COMPUTED_VALUE"""),45709.64583333333)</f>
        <v>45709.64583</v>
      </c>
      <c r="B74" s="6">
        <f>IFERROR(__xludf.DUMMYFUNCTION("""COMPUTED_VALUE"""),340.0)</f>
        <v>340</v>
      </c>
      <c r="C74" s="6">
        <f>IFERROR(__xludf.DUMMYFUNCTION("""COMPUTED_VALUE"""),393.0)</f>
        <v>393</v>
      </c>
      <c r="D74" s="6">
        <f>IFERROR(__xludf.DUMMYFUNCTION("""COMPUTED_VALUE"""),325.15)</f>
        <v>325.15</v>
      </c>
      <c r="E74" s="6">
        <f>IFERROR(__xludf.DUMMYFUNCTION("""COMPUTED_VALUE"""),371.7)</f>
        <v>371.7</v>
      </c>
      <c r="F74" s="6">
        <f>IFERROR(__xludf.DUMMYFUNCTION("""COMPUTED_VALUE"""),1.26474299E8)</f>
        <v>126474299</v>
      </c>
    </row>
    <row r="75">
      <c r="A75" s="7">
        <f>IFERROR(__xludf.DUMMYFUNCTION("""COMPUTED_VALUE"""),45716.64583333333)</f>
        <v>45716.64583</v>
      </c>
      <c r="B75" s="6">
        <f>IFERROR(__xludf.DUMMYFUNCTION("""COMPUTED_VALUE"""),364.95)</f>
        <v>364.95</v>
      </c>
      <c r="C75" s="6">
        <f>IFERROR(__xludf.DUMMYFUNCTION("""COMPUTED_VALUE"""),370.9)</f>
        <v>370.9</v>
      </c>
      <c r="D75" s="6">
        <f>IFERROR(__xludf.DUMMYFUNCTION("""COMPUTED_VALUE"""),328.0)</f>
        <v>328</v>
      </c>
      <c r="E75" s="6">
        <f>IFERROR(__xludf.DUMMYFUNCTION("""COMPUTED_VALUE"""),332.4)</f>
        <v>332.4</v>
      </c>
      <c r="F75" s="6">
        <f>IFERROR(__xludf.DUMMYFUNCTION("""COMPUTED_VALUE"""),3.6477484E7)</f>
        <v>36477484</v>
      </c>
    </row>
    <row r="76">
      <c r="A76" s="7">
        <f>IFERROR(__xludf.DUMMYFUNCTION("""COMPUTED_VALUE"""),45723.64583333333)</f>
        <v>45723.64583</v>
      </c>
      <c r="B76" s="6">
        <f>IFERROR(__xludf.DUMMYFUNCTION("""COMPUTED_VALUE"""),333.45)</f>
        <v>333.45</v>
      </c>
      <c r="C76" s="6">
        <f>IFERROR(__xludf.DUMMYFUNCTION("""COMPUTED_VALUE"""),351.4)</f>
        <v>351.4</v>
      </c>
      <c r="D76" s="6">
        <f>IFERROR(__xludf.DUMMYFUNCTION("""COMPUTED_VALUE"""),310.3)</f>
        <v>310.3</v>
      </c>
      <c r="E76" s="6">
        <f>IFERROR(__xludf.DUMMYFUNCTION("""COMPUTED_VALUE"""),341.5)</f>
        <v>341.5</v>
      </c>
      <c r="F76" s="6">
        <f>IFERROR(__xludf.DUMMYFUNCTION("""COMPUTED_VALUE"""),9.1202566E7)</f>
        <v>91202566</v>
      </c>
    </row>
    <row r="77">
      <c r="A77" s="7">
        <f>IFERROR(__xludf.DUMMYFUNCTION("""COMPUTED_VALUE"""),45729.64583333333)</f>
        <v>45729.64583</v>
      </c>
      <c r="B77" s="6">
        <f>IFERROR(__xludf.DUMMYFUNCTION("""COMPUTED_VALUE"""),343.0)</f>
        <v>343</v>
      </c>
      <c r="C77" s="6">
        <f>IFERROR(__xludf.DUMMYFUNCTION("""COMPUTED_VALUE"""),349.0)</f>
        <v>349</v>
      </c>
      <c r="D77" s="6">
        <f>IFERROR(__xludf.DUMMYFUNCTION("""COMPUTED_VALUE"""),322.05)</f>
        <v>322.05</v>
      </c>
      <c r="E77" s="6">
        <f>IFERROR(__xludf.DUMMYFUNCTION("""COMPUTED_VALUE"""),329.35)</f>
        <v>329.35</v>
      </c>
      <c r="F77" s="6">
        <f>IFERROR(__xludf.DUMMYFUNCTION("""COMPUTED_VALUE"""),2.8681657E7)</f>
        <v>28681657</v>
      </c>
    </row>
    <row r="78">
      <c r="A78" s="7">
        <f>IFERROR(__xludf.DUMMYFUNCTION("""COMPUTED_VALUE"""),45737.64583333333)</f>
        <v>45737.64583</v>
      </c>
      <c r="B78" s="6">
        <f>IFERROR(__xludf.DUMMYFUNCTION("""COMPUTED_VALUE"""),330.5)</f>
        <v>330.5</v>
      </c>
      <c r="C78" s="6">
        <f>IFERROR(__xludf.DUMMYFUNCTION("""COMPUTED_VALUE"""),374.0)</f>
        <v>374</v>
      </c>
      <c r="D78" s="6">
        <f>IFERROR(__xludf.DUMMYFUNCTION("""COMPUTED_VALUE"""),325.35)</f>
        <v>325.35</v>
      </c>
      <c r="E78" s="6">
        <f>IFERROR(__xludf.DUMMYFUNCTION("""COMPUTED_VALUE"""),361.35)</f>
        <v>361.35</v>
      </c>
      <c r="F78" s="6">
        <f>IFERROR(__xludf.DUMMYFUNCTION("""COMPUTED_VALUE"""),6.4535618E7)</f>
        <v>64535618</v>
      </c>
    </row>
    <row r="79">
      <c r="A79" s="7">
        <f>IFERROR(__xludf.DUMMYFUNCTION("""COMPUTED_VALUE"""),45744.64583333333)</f>
        <v>45744.64583</v>
      </c>
      <c r="B79" s="6">
        <f>IFERROR(__xludf.DUMMYFUNCTION("""COMPUTED_VALUE"""),365.0)</f>
        <v>365</v>
      </c>
      <c r="C79" s="6">
        <f>IFERROR(__xludf.DUMMYFUNCTION("""COMPUTED_VALUE"""),383.95)</f>
        <v>383.95</v>
      </c>
      <c r="D79" s="6">
        <f>IFERROR(__xludf.DUMMYFUNCTION("""COMPUTED_VALUE"""),350.5)</f>
        <v>350.5</v>
      </c>
      <c r="E79" s="6">
        <f>IFERROR(__xludf.DUMMYFUNCTION("""COMPUTED_VALUE"""),351.85)</f>
        <v>351.85</v>
      </c>
      <c r="F79" s="6">
        <f>IFERROR(__xludf.DUMMYFUNCTION("""COMPUTED_VALUE"""),5.0091841E7)</f>
        <v>50091841</v>
      </c>
    </row>
    <row r="80">
      <c r="A80" s="7">
        <f>IFERROR(__xludf.DUMMYFUNCTION("""COMPUTED_VALUE"""),45751.64583333333)</f>
        <v>45751.64583</v>
      </c>
      <c r="B80" s="6">
        <f>IFERROR(__xludf.DUMMYFUNCTION("""COMPUTED_VALUE"""),351.45)</f>
        <v>351.45</v>
      </c>
      <c r="C80" s="6">
        <f>IFERROR(__xludf.DUMMYFUNCTION("""COMPUTED_VALUE"""),365.0)</f>
        <v>365</v>
      </c>
      <c r="D80" s="6">
        <f>IFERROR(__xludf.DUMMYFUNCTION("""COMPUTED_VALUE"""),342.0)</f>
        <v>342</v>
      </c>
      <c r="E80" s="6">
        <f>IFERROR(__xludf.DUMMYFUNCTION("""COMPUTED_VALUE"""),350.3)</f>
        <v>350.3</v>
      </c>
      <c r="F80" s="6">
        <f>IFERROR(__xludf.DUMMYFUNCTION("""COMPUTED_VALUE"""),2.3751379E7)</f>
        <v>23751379</v>
      </c>
    </row>
    <row r="81">
      <c r="A81" s="7">
        <f>IFERROR(__xludf.DUMMYFUNCTION("""COMPUTED_VALUE"""),45758.64583333333)</f>
        <v>45758.64583</v>
      </c>
      <c r="B81" s="6">
        <f>IFERROR(__xludf.DUMMYFUNCTION("""COMPUTED_VALUE"""),305.0)</f>
        <v>305</v>
      </c>
      <c r="C81" s="6">
        <f>IFERROR(__xludf.DUMMYFUNCTION("""COMPUTED_VALUE"""),348.95)</f>
        <v>348.95</v>
      </c>
      <c r="D81" s="6">
        <f>IFERROR(__xludf.DUMMYFUNCTION("""COMPUTED_VALUE"""),305.0)</f>
        <v>305</v>
      </c>
      <c r="E81" s="6">
        <f>IFERROR(__xludf.DUMMYFUNCTION("""COMPUTED_VALUE"""),346.3)</f>
        <v>346.3</v>
      </c>
      <c r="F81" s="6">
        <f>IFERROR(__xludf.DUMMYFUNCTION("""COMPUTED_VALUE"""),2.2005233E7)</f>
        <v>22005233</v>
      </c>
    </row>
    <row r="82">
      <c r="A82" s="7">
        <f>IFERROR(__xludf.DUMMYFUNCTION("""COMPUTED_VALUE"""),45764.64583333333)</f>
        <v>45764.64583</v>
      </c>
      <c r="B82" s="6">
        <f>IFERROR(__xludf.DUMMYFUNCTION("""COMPUTED_VALUE"""),351.0)</f>
        <v>351</v>
      </c>
      <c r="C82" s="6">
        <f>IFERROR(__xludf.DUMMYFUNCTION("""COMPUTED_VALUE"""),374.25)</f>
        <v>374.25</v>
      </c>
      <c r="D82" s="6">
        <f>IFERROR(__xludf.DUMMYFUNCTION("""COMPUTED_VALUE"""),350.05)</f>
        <v>350.05</v>
      </c>
      <c r="E82" s="6">
        <f>IFERROR(__xludf.DUMMYFUNCTION("""COMPUTED_VALUE"""),370.85)</f>
        <v>370.85</v>
      </c>
      <c r="F82" s="6">
        <f>IFERROR(__xludf.DUMMYFUNCTION("""COMPUTED_VALUE"""),1.8904173E7)</f>
        <v>18904173</v>
      </c>
    </row>
    <row r="83">
      <c r="A83" s="7">
        <f>IFERROR(__xludf.DUMMYFUNCTION("""COMPUTED_VALUE"""),45772.64583333333)</f>
        <v>45772.64583</v>
      </c>
      <c r="B83" s="6">
        <f>IFERROR(__xludf.DUMMYFUNCTION("""COMPUTED_VALUE"""),372.0)</f>
        <v>372</v>
      </c>
      <c r="C83" s="6">
        <f>IFERROR(__xludf.DUMMYFUNCTION("""COMPUTED_VALUE"""),384.0)</f>
        <v>384</v>
      </c>
      <c r="D83" s="6">
        <f>IFERROR(__xludf.DUMMYFUNCTION("""COMPUTED_VALUE"""),354.9)</f>
        <v>354.9</v>
      </c>
      <c r="E83" s="6">
        <f>IFERROR(__xludf.DUMMYFUNCTION("""COMPUTED_VALUE"""),361.2)</f>
        <v>361.2</v>
      </c>
      <c r="F83" s="6">
        <f>IFERROR(__xludf.DUMMYFUNCTION("""COMPUTED_VALUE"""),2.9391469E7)</f>
        <v>29391469</v>
      </c>
    </row>
    <row r="84">
      <c r="A84" s="7">
        <f>IFERROR(__xludf.DUMMYFUNCTION("""COMPUTED_VALUE"""),45779.64583333333)</f>
        <v>45779.64583</v>
      </c>
      <c r="B84" s="6">
        <f>IFERROR(__xludf.DUMMYFUNCTION("""COMPUTED_VALUE"""),356.5)</f>
        <v>356.5</v>
      </c>
      <c r="C84" s="6">
        <f>IFERROR(__xludf.DUMMYFUNCTION("""COMPUTED_VALUE"""),366.9)</f>
        <v>366.9</v>
      </c>
      <c r="D84" s="6">
        <f>IFERROR(__xludf.DUMMYFUNCTION("""COMPUTED_VALUE"""),345.1)</f>
        <v>345.1</v>
      </c>
      <c r="E84" s="6">
        <f>IFERROR(__xludf.DUMMYFUNCTION("""COMPUTED_VALUE"""),352.2)</f>
        <v>352.2</v>
      </c>
      <c r="F84" s="6">
        <f>IFERROR(__xludf.DUMMYFUNCTION("""COMPUTED_VALUE"""),1.921375E7)</f>
        <v>19213750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IFERROR(__xludf.DUMMYFUNCTION("""COMPUTED_VALUE"""),355.1)</f>
        <v>355.1</v>
      </c>
      <c r="C85" s="6">
        <f>IFERROR(__xludf.DUMMYFUNCTION("""COMPUTED_VALUE"""),358.95)</f>
        <v>358.95</v>
      </c>
      <c r="D85" s="6">
        <f>IFERROR(__xludf.DUMMYFUNCTION("""COMPUTED_VALUE"""),317.5)</f>
        <v>317.5</v>
      </c>
      <c r="E85" s="6">
        <f>IFERROR(__xludf.DUMMYFUNCTION("""COMPUTED_VALUE"""),323.1)</f>
        <v>323.1</v>
      </c>
      <c r="F85" s="6">
        <f>IFERROR(__xludf.DUMMYFUNCTION("""COMPUTED_VALUE"""),2.1641759E7)</f>
        <v>21641759</v>
      </c>
    </row>
    <row r="86">
      <c r="A86" s="7">
        <f>IFERROR(__xludf.DUMMYFUNCTION("""COMPUTED_VALUE"""),45793.64583333333)</f>
        <v>45793.64583</v>
      </c>
      <c r="B86" s="6">
        <f>IFERROR(__xludf.DUMMYFUNCTION("""COMPUTED_VALUE"""),338.0)</f>
        <v>338</v>
      </c>
      <c r="C86" s="6">
        <f>IFERROR(__xludf.DUMMYFUNCTION("""COMPUTED_VALUE"""),417.5)</f>
        <v>417.5</v>
      </c>
      <c r="D86" s="6">
        <f>IFERROR(__xludf.DUMMYFUNCTION("""COMPUTED_VALUE"""),337.0)</f>
        <v>337</v>
      </c>
      <c r="E86" s="6">
        <f>IFERROR(__xludf.DUMMYFUNCTION("""COMPUTED_VALUE"""),409.6)</f>
        <v>409.6</v>
      </c>
      <c r="F86" s="6">
        <f>IFERROR(__xludf.DUMMYFUNCTION("""COMPUTED_VALUE"""),8.9130911E7)</f>
        <v>89130911</v>
      </c>
    </row>
    <row r="87">
      <c r="A87" s="7">
        <f>IFERROR(__xludf.DUMMYFUNCTION("""COMPUTED_VALUE"""),45800.64583333333)</f>
        <v>45800.64583</v>
      </c>
      <c r="B87" s="6">
        <f>IFERROR(__xludf.DUMMYFUNCTION("""COMPUTED_VALUE"""),417.0)</f>
        <v>417</v>
      </c>
      <c r="C87" s="6">
        <f>IFERROR(__xludf.DUMMYFUNCTION("""COMPUTED_VALUE"""),447.8)</f>
        <v>447.8</v>
      </c>
      <c r="D87" s="6">
        <f>IFERROR(__xludf.DUMMYFUNCTION("""COMPUTED_VALUE"""),395.05)</f>
        <v>395.05</v>
      </c>
      <c r="E87" s="6">
        <f>IFERROR(__xludf.DUMMYFUNCTION("""COMPUTED_VALUE"""),398.65)</f>
        <v>398.65</v>
      </c>
      <c r="F87" s="6">
        <f>IFERROR(__xludf.DUMMYFUNCTION("""COMPUTED_VALUE"""),7.6568324E7)</f>
        <v>76568324</v>
      </c>
    </row>
    <row r="88">
      <c r="A88" s="7">
        <f>IFERROR(__xludf.DUMMYFUNCTION("""COMPUTED_VALUE"""),45807.64583333333)</f>
        <v>45807.64583</v>
      </c>
      <c r="B88" s="6">
        <f>IFERROR(__xludf.DUMMYFUNCTION("""COMPUTED_VALUE"""),398.2)</f>
        <v>398.2</v>
      </c>
      <c r="C88" s="6">
        <f>IFERROR(__xludf.DUMMYFUNCTION("""COMPUTED_VALUE"""),427.4)</f>
        <v>427.4</v>
      </c>
      <c r="D88" s="6">
        <f>IFERROR(__xludf.DUMMYFUNCTION("""COMPUTED_VALUE"""),395.25)</f>
        <v>395.25</v>
      </c>
      <c r="E88" s="6">
        <f>IFERROR(__xludf.DUMMYFUNCTION("""COMPUTED_VALUE"""),405.55)</f>
        <v>405.55</v>
      </c>
      <c r="F88" s="6">
        <f>IFERROR(__xludf.DUMMYFUNCTION("""COMPUTED_VALUE"""),5.7406015E7)</f>
        <v>57406015</v>
      </c>
    </row>
    <row r="89">
      <c r="A89" s="7">
        <f>IFERROR(__xludf.DUMMYFUNCTION("""COMPUTED_VALUE"""),45814.64583333333)</f>
        <v>45814.64583</v>
      </c>
      <c r="B89" s="6">
        <f>IFERROR(__xludf.DUMMYFUNCTION("""COMPUTED_VALUE"""),407.0)</f>
        <v>407</v>
      </c>
      <c r="C89" s="6">
        <f>IFERROR(__xludf.DUMMYFUNCTION("""COMPUTED_VALUE"""),436.9)</f>
        <v>436.9</v>
      </c>
      <c r="D89" s="6">
        <f>IFERROR(__xludf.DUMMYFUNCTION("""COMPUTED_VALUE"""),401.0)</f>
        <v>401</v>
      </c>
      <c r="E89" s="6">
        <f>IFERROR(__xludf.DUMMYFUNCTION("""COMPUTED_VALUE"""),428.65)</f>
        <v>428.65</v>
      </c>
      <c r="F89" s="6">
        <f>IFERROR(__xludf.DUMMYFUNCTION("""COMPUTED_VALUE"""),8.1499625E7)</f>
        <v>81499625</v>
      </c>
    </row>
    <row r="90">
      <c r="A90" s="7">
        <f>IFERROR(__xludf.DUMMYFUNCTION("""COMPUTED_VALUE"""),45821.64583333333)</f>
        <v>45821.64583</v>
      </c>
      <c r="B90" s="6">
        <f>IFERROR(__xludf.DUMMYFUNCTION("""COMPUTED_VALUE"""),432.0)</f>
        <v>432</v>
      </c>
      <c r="C90" s="6">
        <f>IFERROR(__xludf.DUMMYFUNCTION("""COMPUTED_VALUE"""),442.8)</f>
        <v>442.8</v>
      </c>
      <c r="D90" s="6">
        <f>IFERROR(__xludf.DUMMYFUNCTION("""COMPUTED_VALUE"""),400.5)</f>
        <v>400.5</v>
      </c>
      <c r="E90" s="6">
        <f>IFERROR(__xludf.DUMMYFUNCTION("""COMPUTED_VALUE"""),407.0)</f>
        <v>407</v>
      </c>
      <c r="F90" s="6">
        <f>IFERROR(__xludf.DUMMYFUNCTION("""COMPUTED_VALUE"""),4.9677933E7)</f>
        <v>49677933</v>
      </c>
    </row>
    <row r="91">
      <c r="A91" s="7">
        <f>IFERROR(__xludf.DUMMYFUNCTION("""COMPUTED_VALUE"""),45828.64583333333)</f>
        <v>45828.64583</v>
      </c>
      <c r="B91" s="6">
        <f>IFERROR(__xludf.DUMMYFUNCTION("""COMPUTED_VALUE"""),407.0)</f>
        <v>407</v>
      </c>
      <c r="C91" s="6">
        <f>IFERROR(__xludf.DUMMYFUNCTION("""COMPUTED_VALUE"""),413.45)</f>
        <v>413.45</v>
      </c>
      <c r="D91" s="6">
        <f>IFERROR(__xludf.DUMMYFUNCTION("""COMPUTED_VALUE"""),380.1)</f>
        <v>380.1</v>
      </c>
      <c r="E91" s="6">
        <f>IFERROR(__xludf.DUMMYFUNCTION("""COMPUTED_VALUE"""),390.6)</f>
        <v>390.6</v>
      </c>
      <c r="F91" s="6">
        <f>IFERROR(__xludf.DUMMYFUNCTION("""COMPUTED_VALUE"""),3.7331018E7)</f>
        <v>37331018</v>
      </c>
    </row>
    <row r="92">
      <c r="A92" s="7">
        <f>IFERROR(__xludf.DUMMYFUNCTION("""COMPUTED_VALUE"""),45835.64583333333)</f>
        <v>45835.64583</v>
      </c>
      <c r="B92" s="6">
        <f>IFERROR(__xludf.DUMMYFUNCTION("""COMPUTED_VALUE"""),386.45)</f>
        <v>386.45</v>
      </c>
      <c r="C92" s="6">
        <f>IFERROR(__xludf.DUMMYFUNCTION("""COMPUTED_VALUE"""),405.5)</f>
        <v>405.5</v>
      </c>
      <c r="D92" s="6">
        <f>IFERROR(__xludf.DUMMYFUNCTION("""COMPUTED_VALUE"""),384.45)</f>
        <v>384.45</v>
      </c>
      <c r="E92" s="6">
        <f>IFERROR(__xludf.DUMMYFUNCTION("""COMPUTED_VALUE"""),395.05)</f>
        <v>395.05</v>
      </c>
      <c r="F92" s="6">
        <f>IFERROR(__xludf.DUMMYFUNCTION("""COMPUTED_VALUE"""),3.0159835E7)</f>
        <v>30159835</v>
      </c>
    </row>
    <row r="93">
      <c r="A93" s="7">
        <f>IFERROR(__xludf.DUMMYFUNCTION("""COMPUTED_VALUE"""),45842.64583333333)</f>
        <v>45842.64583</v>
      </c>
      <c r="B93" s="6">
        <f>IFERROR(__xludf.DUMMYFUNCTION("""COMPUTED_VALUE"""),399.0)</f>
        <v>399</v>
      </c>
      <c r="C93" s="6">
        <f>IFERROR(__xludf.DUMMYFUNCTION("""COMPUTED_VALUE"""),404.0)</f>
        <v>404</v>
      </c>
      <c r="D93" s="6">
        <f>IFERROR(__xludf.DUMMYFUNCTION("""COMPUTED_VALUE"""),388.6)</f>
        <v>388.6</v>
      </c>
      <c r="E93" s="6">
        <f>IFERROR(__xludf.DUMMYFUNCTION("""COMPUTED_VALUE"""),391.4)</f>
        <v>391.4</v>
      </c>
      <c r="F93" s="6">
        <f>IFERROR(__xludf.DUMMYFUNCTION("""COMPUTED_VALUE"""),2.0209443E7)</f>
        <v>20209443</v>
      </c>
    </row>
    <row r="94">
      <c r="A94" s="7">
        <f>IFERROR(__xludf.DUMMYFUNCTION("""COMPUTED_VALUE"""),45849.64583333333)</f>
        <v>45849.64583</v>
      </c>
      <c r="B94" s="6">
        <f>IFERROR(__xludf.DUMMYFUNCTION("""COMPUTED_VALUE"""),393.4)</f>
        <v>393.4</v>
      </c>
      <c r="C94" s="6">
        <f>IFERROR(__xludf.DUMMYFUNCTION("""COMPUTED_VALUE"""),395.5)</f>
        <v>395.5</v>
      </c>
      <c r="D94" s="6">
        <f>IFERROR(__xludf.DUMMYFUNCTION("""COMPUTED_VALUE"""),379.6)</f>
        <v>379.6</v>
      </c>
      <c r="E94" s="6">
        <f>IFERROR(__xludf.DUMMYFUNCTION("""COMPUTED_VALUE"""),381.65)</f>
        <v>381.65</v>
      </c>
      <c r="F94" s="6">
        <f>IFERROR(__xludf.DUMMYFUNCTION("""COMPUTED_VALUE"""),1.8400432E7)</f>
        <v>18400432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IFERROR(__xludf.DUMMYFUNCTION("""COMPUTED_VALUE"""),383.6)</f>
        <v>383.6</v>
      </c>
      <c r="C95" s="6">
        <f>IFERROR(__xludf.DUMMYFUNCTION("""COMPUTED_VALUE"""),391.45)</f>
        <v>391.45</v>
      </c>
      <c r="D95" s="6">
        <f>IFERROR(__xludf.DUMMYFUNCTION("""COMPUTED_VALUE"""),374.9)</f>
        <v>374.9</v>
      </c>
      <c r="E95" s="6">
        <f>IFERROR(__xludf.DUMMYFUNCTION("""COMPUTED_VALUE"""),376.0)</f>
        <v>376</v>
      </c>
      <c r="F95" s="6">
        <f>IFERROR(__xludf.DUMMYFUNCTION("""COMPUTED_VALUE"""),2.0398789E7)</f>
        <v>20398789</v>
      </c>
    </row>
    <row r="96">
      <c r="A96" s="7">
        <f>IFERROR(__xludf.DUMMYFUNCTION("""COMPUTED_VALUE"""),45863.64583333333)</f>
        <v>45863.64583</v>
      </c>
      <c r="B96" s="6">
        <f>IFERROR(__xludf.DUMMYFUNCTION("""COMPUTED_VALUE"""),376.35)</f>
        <v>376.35</v>
      </c>
      <c r="C96" s="6">
        <f>IFERROR(__xludf.DUMMYFUNCTION("""COMPUTED_VALUE"""),380.1)</f>
        <v>380.1</v>
      </c>
      <c r="D96" s="6">
        <f>IFERROR(__xludf.DUMMYFUNCTION("""COMPUTED_VALUE"""),363.55)</f>
        <v>363.55</v>
      </c>
      <c r="E96" s="6">
        <f>IFERROR(__xludf.DUMMYFUNCTION("""COMPUTED_VALUE"""),365.6)</f>
        <v>365.6</v>
      </c>
      <c r="F96" s="6">
        <f>IFERROR(__xludf.DUMMYFUNCTION("""COMPUTED_VALUE"""),1.6842175E7)</f>
        <v>16842175</v>
      </c>
    </row>
    <row r="97">
      <c r="A97" s="7">
        <f>IFERROR(__xludf.DUMMYFUNCTION("""COMPUTED_VALUE"""),45870.64583333333)</f>
        <v>45870.64583</v>
      </c>
      <c r="B97" s="6">
        <f>IFERROR(__xludf.DUMMYFUNCTION("""COMPUTED_VALUE"""),363.85)</f>
        <v>363.85</v>
      </c>
      <c r="C97" s="6">
        <f>IFERROR(__xludf.DUMMYFUNCTION("""COMPUTED_VALUE"""),368.25)</f>
        <v>368.25</v>
      </c>
      <c r="D97" s="6">
        <f>IFERROR(__xludf.DUMMYFUNCTION("""COMPUTED_VALUE"""),343.3)</f>
        <v>343.3</v>
      </c>
      <c r="E97" s="6">
        <f>IFERROR(__xludf.DUMMYFUNCTION("""COMPUTED_VALUE"""),345.45)</f>
        <v>345.45</v>
      </c>
      <c r="F97" s="6">
        <f>IFERROR(__xludf.DUMMYFUNCTION("""COMPUTED_VALUE"""),1.6758241E7)</f>
        <v>16758241</v>
      </c>
    </row>
    <row r="98">
      <c r="A98" s="7">
        <f>IFERROR(__xludf.DUMMYFUNCTION("""COMPUTED_VALUE"""),45877.64583333333)</f>
        <v>45877.64583</v>
      </c>
      <c r="B98" s="6">
        <f>IFERROR(__xludf.DUMMYFUNCTION("""COMPUTED_VALUE"""),346.45)</f>
        <v>346.45</v>
      </c>
      <c r="C98" s="6">
        <f>IFERROR(__xludf.DUMMYFUNCTION("""COMPUTED_VALUE"""),357.3)</f>
        <v>357.3</v>
      </c>
      <c r="D98" s="6">
        <f>IFERROR(__xludf.DUMMYFUNCTION("""COMPUTED_VALUE"""),335.0)</f>
        <v>335</v>
      </c>
      <c r="E98" s="6">
        <f>IFERROR(__xludf.DUMMYFUNCTION("""COMPUTED_VALUE"""),336.6)</f>
        <v>336.6</v>
      </c>
      <c r="F98" s="6">
        <f>IFERROR(__xludf.DUMMYFUNCTION("""COMPUTED_VALUE"""),1.3331131E7)</f>
        <v>13331131</v>
      </c>
    </row>
    <row r="99">
      <c r="A99" s="7">
        <f>IFERROR(__xludf.DUMMYFUNCTION("""COMPUTED_VALUE"""),45883.64583333333)</f>
        <v>45883.64583</v>
      </c>
      <c r="B99" s="6">
        <f>IFERROR(__xludf.DUMMYFUNCTION("""COMPUTED_VALUE"""),337.7)</f>
        <v>337.7</v>
      </c>
      <c r="C99" s="6">
        <f>IFERROR(__xludf.DUMMYFUNCTION("""COMPUTED_VALUE"""),346.7)</f>
        <v>346.7</v>
      </c>
      <c r="D99" s="6">
        <f>IFERROR(__xludf.DUMMYFUNCTION("""COMPUTED_VALUE"""),316.5)</f>
        <v>316.5</v>
      </c>
      <c r="E99" s="6">
        <f>IFERROR(__xludf.DUMMYFUNCTION("""COMPUTED_VALUE"""),324.1)</f>
        <v>324.1</v>
      </c>
      <c r="F99" s="6">
        <f>IFERROR(__xludf.DUMMYFUNCTION("""COMPUTED_VALUE"""),2.3403047E7)</f>
        <v>23403047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IFERROR(__xludf.DUMMYFUNCTION("""COMPUTED_VALUE"""),330.0)</f>
        <v>330</v>
      </c>
      <c r="C100" s="6">
        <f>IFERROR(__xludf.DUMMYFUNCTION("""COMPUTED_VALUE"""),334.4)</f>
        <v>334.4</v>
      </c>
      <c r="D100" s="6">
        <f>IFERROR(__xludf.DUMMYFUNCTION("""COMPUTED_VALUE"""),321.5)</f>
        <v>321.5</v>
      </c>
      <c r="E100" s="6">
        <f>IFERROR(__xludf.DUMMYFUNCTION("""COMPUTED_VALUE"""),323.75)</f>
        <v>323.75</v>
      </c>
      <c r="F100" s="6">
        <f>IFERROR(__xludf.DUMMYFUNCTION("""COMPUTED_VALUE"""),2.1508351E7)</f>
        <v>21508351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IFERROR(__xludf.DUMMYFUNCTION("""COMPUTED_VALUE"""),325.45)</f>
        <v>325.45</v>
      </c>
      <c r="C101" s="6">
        <f>IFERROR(__xludf.DUMMYFUNCTION("""COMPUTED_VALUE"""),326.95)</f>
        <v>326.95</v>
      </c>
      <c r="D101" s="6">
        <f>IFERROR(__xludf.DUMMYFUNCTION("""COMPUTED_VALUE"""),311.5)</f>
        <v>311.5</v>
      </c>
      <c r="E101" s="6">
        <f>IFERROR(__xludf.DUMMYFUNCTION("""COMPUTED_VALUE"""),312.7)</f>
        <v>312.7</v>
      </c>
      <c r="F101" s="6">
        <f>IFERROR(__xludf.DUMMYFUNCTION("""COMPUTED_VALUE"""),5.0316953E7)</f>
        <v>50316953</v>
      </c>
    </row>
  </sheetData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IFERROR(__xludf.DUMMYFUNCTION("GOOGLEFINANCE(""NSE:SAIL"",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IFERROR(__xludf.DUMMYFUNCTION("""COMPUTED_VALUE"""),86.0)</f>
        <v>86</v>
      </c>
      <c r="C2" s="6">
        <f>IFERROR(__xludf.DUMMYFUNCTION("""COMPUTED_VALUE"""),97.5)</f>
        <v>97.5</v>
      </c>
      <c r="D2" s="6">
        <f>IFERROR(__xludf.DUMMYFUNCTION("""COMPUTED_VALUE"""),85.8)</f>
        <v>85.8</v>
      </c>
      <c r="E2" s="6">
        <f>IFERROR(__xludf.DUMMYFUNCTION("""COMPUTED_VALUE"""),96.95)</f>
        <v>96.95</v>
      </c>
      <c r="F2" s="6">
        <f>IFERROR(__xludf.DUMMYFUNCTION("""COMPUTED_VALUE"""),1.07869626E8)</f>
        <v>107869626</v>
      </c>
    </row>
    <row r="3">
      <c r="A3" s="7">
        <f>IFERROR(__xludf.DUMMYFUNCTION("""COMPUTED_VALUE"""),45177.64583333333)</f>
        <v>45177.64583</v>
      </c>
      <c r="B3" s="6">
        <f>IFERROR(__xludf.DUMMYFUNCTION("""COMPUTED_VALUE"""),97.75)</f>
        <v>97.75</v>
      </c>
      <c r="C3" s="6">
        <f>IFERROR(__xludf.DUMMYFUNCTION("""COMPUTED_VALUE"""),103.65)</f>
        <v>103.65</v>
      </c>
      <c r="D3" s="6">
        <f>IFERROR(__xludf.DUMMYFUNCTION("""COMPUTED_VALUE"""),97.45)</f>
        <v>97.45</v>
      </c>
      <c r="E3" s="6">
        <f>IFERROR(__xludf.DUMMYFUNCTION("""COMPUTED_VALUE"""),98.9)</f>
        <v>98.9</v>
      </c>
      <c r="F3" s="6">
        <f>IFERROR(__xludf.DUMMYFUNCTION("""COMPUTED_VALUE"""),1.62745306E8)</f>
        <v>162745306</v>
      </c>
    </row>
    <row r="4">
      <c r="A4" s="7">
        <f>IFERROR(__xludf.DUMMYFUNCTION("""COMPUTED_VALUE"""),45184.64583333333)</f>
        <v>45184.64583</v>
      </c>
      <c r="B4" s="6">
        <f>IFERROR(__xludf.DUMMYFUNCTION("""COMPUTED_VALUE"""),99.5)</f>
        <v>99.5</v>
      </c>
      <c r="C4" s="6">
        <f>IFERROR(__xludf.DUMMYFUNCTION("""COMPUTED_VALUE"""),102.05)</f>
        <v>102.05</v>
      </c>
      <c r="D4" s="6">
        <f>IFERROR(__xludf.DUMMYFUNCTION("""COMPUTED_VALUE"""),93.1)</f>
        <v>93.1</v>
      </c>
      <c r="E4" s="6">
        <f>IFERROR(__xludf.DUMMYFUNCTION("""COMPUTED_VALUE"""),96.35)</f>
        <v>96.35</v>
      </c>
      <c r="F4" s="6">
        <f>IFERROR(__xludf.DUMMYFUNCTION("""COMPUTED_VALUE"""),1.20772519E8)</f>
        <v>120772519</v>
      </c>
    </row>
    <row r="5">
      <c r="A5" s="7">
        <f>IFERROR(__xludf.DUMMYFUNCTION("""COMPUTED_VALUE"""),45191.64583333333)</f>
        <v>45191.64583</v>
      </c>
      <c r="B5" s="6">
        <f>IFERROR(__xludf.DUMMYFUNCTION("""COMPUTED_VALUE"""),96.35)</f>
        <v>96.35</v>
      </c>
      <c r="C5" s="6">
        <f>IFERROR(__xludf.DUMMYFUNCTION("""COMPUTED_VALUE"""),97.95)</f>
        <v>97.95</v>
      </c>
      <c r="D5" s="6">
        <f>IFERROR(__xludf.DUMMYFUNCTION("""COMPUTED_VALUE"""),92.9)</f>
        <v>92.9</v>
      </c>
      <c r="E5" s="6">
        <f>IFERROR(__xludf.DUMMYFUNCTION("""COMPUTED_VALUE"""),93.2)</f>
        <v>93.2</v>
      </c>
      <c r="F5" s="6">
        <f>IFERROR(__xludf.DUMMYFUNCTION("""COMPUTED_VALUE"""),6.0475054E7)</f>
        <v>60475054</v>
      </c>
    </row>
    <row r="6">
      <c r="A6" s="7">
        <f>IFERROR(__xludf.DUMMYFUNCTION("""COMPUTED_VALUE"""),45198.64583333333)</f>
        <v>45198.64583</v>
      </c>
      <c r="B6" s="6">
        <f>IFERROR(__xludf.DUMMYFUNCTION("""COMPUTED_VALUE"""),93.5)</f>
        <v>93.5</v>
      </c>
      <c r="C6" s="6">
        <f>IFERROR(__xludf.DUMMYFUNCTION("""COMPUTED_VALUE"""),94.8)</f>
        <v>94.8</v>
      </c>
      <c r="D6" s="6">
        <f>IFERROR(__xludf.DUMMYFUNCTION("""COMPUTED_VALUE"""),91.25)</f>
        <v>91.25</v>
      </c>
      <c r="E6" s="6">
        <f>IFERROR(__xludf.DUMMYFUNCTION("""COMPUTED_VALUE"""),93.85)</f>
        <v>93.85</v>
      </c>
      <c r="F6" s="6">
        <f>IFERROR(__xludf.DUMMYFUNCTION("""COMPUTED_VALUE"""),5.4257453E7)</f>
        <v>54257453</v>
      </c>
    </row>
    <row r="7">
      <c r="A7" s="7">
        <f>IFERROR(__xludf.DUMMYFUNCTION("""COMPUTED_VALUE"""),45205.64583333333)</f>
        <v>45205.64583</v>
      </c>
      <c r="B7" s="6">
        <f>IFERROR(__xludf.DUMMYFUNCTION("""COMPUTED_VALUE"""),94.0)</f>
        <v>94</v>
      </c>
      <c r="C7" s="6">
        <f>IFERROR(__xludf.DUMMYFUNCTION("""COMPUTED_VALUE"""),94.0)</f>
        <v>94</v>
      </c>
      <c r="D7" s="6">
        <f>IFERROR(__xludf.DUMMYFUNCTION("""COMPUTED_VALUE"""),88.5)</f>
        <v>88.5</v>
      </c>
      <c r="E7" s="6">
        <f>IFERROR(__xludf.DUMMYFUNCTION("""COMPUTED_VALUE"""),88.85)</f>
        <v>88.85</v>
      </c>
      <c r="F7" s="6">
        <f>IFERROR(__xludf.DUMMYFUNCTION("""COMPUTED_VALUE"""),5.5244561E7)</f>
        <v>55244561</v>
      </c>
    </row>
    <row r="8">
      <c r="A8" s="7">
        <f>IFERROR(__xludf.DUMMYFUNCTION("""COMPUTED_VALUE"""),45212.64583333333)</f>
        <v>45212.64583</v>
      </c>
      <c r="B8" s="6">
        <f>IFERROR(__xludf.DUMMYFUNCTION("""COMPUTED_VALUE"""),88.0)</f>
        <v>88</v>
      </c>
      <c r="C8" s="6">
        <f>IFERROR(__xludf.DUMMYFUNCTION("""COMPUTED_VALUE"""),90.45)</f>
        <v>90.45</v>
      </c>
      <c r="D8" s="6">
        <f>IFERROR(__xludf.DUMMYFUNCTION("""COMPUTED_VALUE"""),86.0)</f>
        <v>86</v>
      </c>
      <c r="E8" s="6">
        <f>IFERROR(__xludf.DUMMYFUNCTION("""COMPUTED_VALUE"""),88.9)</f>
        <v>88.9</v>
      </c>
      <c r="F8" s="6">
        <f>IFERROR(__xludf.DUMMYFUNCTION("""COMPUTED_VALUE"""),6.4761154E7)</f>
        <v>64761154</v>
      </c>
    </row>
    <row r="9">
      <c r="A9" s="7">
        <f>IFERROR(__xludf.DUMMYFUNCTION("""COMPUTED_VALUE"""),45219.64583333333)</f>
        <v>45219.64583</v>
      </c>
      <c r="B9" s="6">
        <f>IFERROR(__xludf.DUMMYFUNCTION("""COMPUTED_VALUE"""),89.0)</f>
        <v>89</v>
      </c>
      <c r="C9" s="6">
        <f>IFERROR(__xludf.DUMMYFUNCTION("""COMPUTED_VALUE"""),90.6)</f>
        <v>90.6</v>
      </c>
      <c r="D9" s="6">
        <f>IFERROR(__xludf.DUMMYFUNCTION("""COMPUTED_VALUE"""),86.55)</f>
        <v>86.55</v>
      </c>
      <c r="E9" s="6">
        <f>IFERROR(__xludf.DUMMYFUNCTION("""COMPUTED_VALUE"""),86.9)</f>
        <v>86.9</v>
      </c>
      <c r="F9" s="6">
        <f>IFERROR(__xludf.DUMMYFUNCTION("""COMPUTED_VALUE"""),5.6176478E7)</f>
        <v>56176478</v>
      </c>
    </row>
    <row r="10">
      <c r="A10" s="7">
        <f>IFERROR(__xludf.DUMMYFUNCTION("""COMPUTED_VALUE"""),45226.64583333333)</f>
        <v>45226.64583</v>
      </c>
      <c r="B10" s="6">
        <f>IFERROR(__xludf.DUMMYFUNCTION("""COMPUTED_VALUE"""),86.7)</f>
        <v>86.7</v>
      </c>
      <c r="C10" s="6">
        <f>IFERROR(__xludf.DUMMYFUNCTION("""COMPUTED_VALUE"""),86.85)</f>
        <v>86.85</v>
      </c>
      <c r="D10" s="6">
        <f>IFERROR(__xludf.DUMMYFUNCTION("""COMPUTED_VALUE"""),81.8)</f>
        <v>81.8</v>
      </c>
      <c r="E10" s="6">
        <f>IFERROR(__xludf.DUMMYFUNCTION("""COMPUTED_VALUE"""),83.95)</f>
        <v>83.95</v>
      </c>
      <c r="F10" s="6">
        <f>IFERROR(__xludf.DUMMYFUNCTION("""COMPUTED_VALUE"""),5.0264651E7)</f>
        <v>50264651</v>
      </c>
    </row>
    <row r="11">
      <c r="A11" s="7">
        <f>IFERROR(__xludf.DUMMYFUNCTION("""COMPUTED_VALUE"""),45233.64583333333)</f>
        <v>45233.64583</v>
      </c>
      <c r="B11" s="6">
        <f>IFERROR(__xludf.DUMMYFUNCTION("""COMPUTED_VALUE"""),84.45)</f>
        <v>84.45</v>
      </c>
      <c r="C11" s="6">
        <f>IFERROR(__xludf.DUMMYFUNCTION("""COMPUTED_VALUE"""),85.85)</f>
        <v>85.85</v>
      </c>
      <c r="D11" s="6">
        <f>IFERROR(__xludf.DUMMYFUNCTION("""COMPUTED_VALUE"""),82.6)</f>
        <v>82.6</v>
      </c>
      <c r="E11" s="6">
        <f>IFERROR(__xludf.DUMMYFUNCTION("""COMPUTED_VALUE"""),84.9)</f>
        <v>84.9</v>
      </c>
      <c r="F11" s="6">
        <f>IFERROR(__xludf.DUMMYFUNCTION("""COMPUTED_VALUE"""),4.641941E7)</f>
        <v>46419410</v>
      </c>
    </row>
    <row r="12">
      <c r="A12" s="7">
        <f>IFERROR(__xludf.DUMMYFUNCTION("""COMPUTED_VALUE"""),45240.64583333333)</f>
        <v>45240.64583</v>
      </c>
      <c r="B12" s="6">
        <f>IFERROR(__xludf.DUMMYFUNCTION("""COMPUTED_VALUE"""),86.0)</f>
        <v>86</v>
      </c>
      <c r="C12" s="6">
        <f>IFERROR(__xludf.DUMMYFUNCTION("""COMPUTED_VALUE"""),88.65)</f>
        <v>88.65</v>
      </c>
      <c r="D12" s="6">
        <f>IFERROR(__xludf.DUMMYFUNCTION("""COMPUTED_VALUE"""),84.4)</f>
        <v>84.4</v>
      </c>
      <c r="E12" s="6">
        <f>IFERROR(__xludf.DUMMYFUNCTION("""COMPUTED_VALUE"""),88.1)</f>
        <v>88.1</v>
      </c>
      <c r="F12" s="6">
        <f>IFERROR(__xludf.DUMMYFUNCTION("""COMPUTED_VALUE"""),7.7354537E7)</f>
        <v>77354537</v>
      </c>
    </row>
    <row r="13">
      <c r="A13" s="7">
        <f>IFERROR(__xludf.DUMMYFUNCTION("""COMPUTED_VALUE"""),45247.64583333333)</f>
        <v>45247.64583</v>
      </c>
      <c r="B13" s="6">
        <f>IFERROR(__xludf.DUMMYFUNCTION("""COMPUTED_VALUE"""),90.2)</f>
        <v>90.2</v>
      </c>
      <c r="C13" s="6">
        <f>IFERROR(__xludf.DUMMYFUNCTION("""COMPUTED_VALUE"""),90.2)</f>
        <v>90.2</v>
      </c>
      <c r="D13" s="6">
        <f>IFERROR(__xludf.DUMMYFUNCTION("""COMPUTED_VALUE"""),87.55)</f>
        <v>87.55</v>
      </c>
      <c r="E13" s="6">
        <f>IFERROR(__xludf.DUMMYFUNCTION("""COMPUTED_VALUE"""),89.3)</f>
        <v>89.3</v>
      </c>
      <c r="F13" s="6">
        <f>IFERROR(__xludf.DUMMYFUNCTION("""COMPUTED_VALUE"""),7.3949004E7)</f>
        <v>73949004</v>
      </c>
    </row>
    <row r="14">
      <c r="A14" s="7">
        <f>IFERROR(__xludf.DUMMYFUNCTION("""COMPUTED_VALUE"""),45254.64583333333)</f>
        <v>45254.64583</v>
      </c>
      <c r="B14" s="6">
        <f>IFERROR(__xludf.DUMMYFUNCTION("""COMPUTED_VALUE"""),89.7)</f>
        <v>89.7</v>
      </c>
      <c r="C14" s="6">
        <f>IFERROR(__xludf.DUMMYFUNCTION("""COMPUTED_VALUE"""),91.5)</f>
        <v>91.5</v>
      </c>
      <c r="D14" s="6">
        <f>IFERROR(__xludf.DUMMYFUNCTION("""COMPUTED_VALUE"""),88.15)</f>
        <v>88.15</v>
      </c>
      <c r="E14" s="6">
        <f>IFERROR(__xludf.DUMMYFUNCTION("""COMPUTED_VALUE"""),89.2)</f>
        <v>89.2</v>
      </c>
      <c r="F14" s="6">
        <f>IFERROR(__xludf.DUMMYFUNCTION("""COMPUTED_VALUE"""),7.7989927E7)</f>
        <v>77989927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IFERROR(__xludf.DUMMYFUNCTION("""COMPUTED_VALUE"""),89.55)</f>
        <v>89.55</v>
      </c>
      <c r="C15" s="6">
        <f>IFERROR(__xludf.DUMMYFUNCTION("""COMPUTED_VALUE"""),94.2)</f>
        <v>94.2</v>
      </c>
      <c r="D15" s="6">
        <f>IFERROR(__xludf.DUMMYFUNCTION("""COMPUTED_VALUE"""),89.4)</f>
        <v>89.4</v>
      </c>
      <c r="E15" s="6">
        <f>IFERROR(__xludf.DUMMYFUNCTION("""COMPUTED_VALUE"""),93.15)</f>
        <v>93.15</v>
      </c>
      <c r="F15" s="6">
        <f>IFERROR(__xludf.DUMMYFUNCTION("""COMPUTED_VALUE"""),9.6782843E7)</f>
        <v>96782843</v>
      </c>
    </row>
    <row r="16">
      <c r="A16" s="7">
        <f>IFERROR(__xludf.DUMMYFUNCTION("""COMPUTED_VALUE"""),45268.64583333333)</f>
        <v>45268.64583</v>
      </c>
      <c r="B16" s="6">
        <f>IFERROR(__xludf.DUMMYFUNCTION("""COMPUTED_VALUE"""),94.95)</f>
        <v>94.95</v>
      </c>
      <c r="C16" s="6">
        <f>IFERROR(__xludf.DUMMYFUNCTION("""COMPUTED_VALUE"""),101.1)</f>
        <v>101.1</v>
      </c>
      <c r="D16" s="6">
        <f>IFERROR(__xludf.DUMMYFUNCTION("""COMPUTED_VALUE"""),93.4)</f>
        <v>93.4</v>
      </c>
      <c r="E16" s="6">
        <f>IFERROR(__xludf.DUMMYFUNCTION("""COMPUTED_VALUE"""),98.1)</f>
        <v>98.1</v>
      </c>
      <c r="F16" s="6">
        <f>IFERROR(__xludf.DUMMYFUNCTION("""COMPUTED_VALUE"""),1.87832941E8)</f>
        <v>187832941</v>
      </c>
    </row>
    <row r="17">
      <c r="A17" s="7">
        <f>IFERROR(__xludf.DUMMYFUNCTION("""COMPUTED_VALUE"""),45275.64583333333)</f>
        <v>45275.64583</v>
      </c>
      <c r="B17" s="6">
        <f>IFERROR(__xludf.DUMMYFUNCTION("""COMPUTED_VALUE"""),98.1)</f>
        <v>98.1</v>
      </c>
      <c r="C17" s="6">
        <f>IFERROR(__xludf.DUMMYFUNCTION("""COMPUTED_VALUE"""),113.35)</f>
        <v>113.35</v>
      </c>
      <c r="D17" s="6">
        <f>IFERROR(__xludf.DUMMYFUNCTION("""COMPUTED_VALUE"""),97.75)</f>
        <v>97.75</v>
      </c>
      <c r="E17" s="6">
        <f>IFERROR(__xludf.DUMMYFUNCTION("""COMPUTED_VALUE"""),111.45)</f>
        <v>111.45</v>
      </c>
      <c r="F17" s="6">
        <f>IFERROR(__xludf.DUMMYFUNCTION("""COMPUTED_VALUE"""),3.60545977E8)</f>
        <v>360545977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IFERROR(__xludf.DUMMYFUNCTION("""COMPUTED_VALUE"""),112.0)</f>
        <v>112</v>
      </c>
      <c r="C18" s="6">
        <f>IFERROR(__xludf.DUMMYFUNCTION("""COMPUTED_VALUE"""),117.15)</f>
        <v>117.15</v>
      </c>
      <c r="D18" s="6">
        <f>IFERROR(__xludf.DUMMYFUNCTION("""COMPUTED_VALUE"""),102.15)</f>
        <v>102.15</v>
      </c>
      <c r="E18" s="6">
        <f>IFERROR(__xludf.DUMMYFUNCTION("""COMPUTED_VALUE"""),112.75)</f>
        <v>112.75</v>
      </c>
      <c r="F18" s="6">
        <f>IFERROR(__xludf.DUMMYFUNCTION("""COMPUTED_VALUE"""),2.64016267E8)</f>
        <v>264016267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IFERROR(__xludf.DUMMYFUNCTION("""COMPUTED_VALUE"""),113.65)</f>
        <v>113.65</v>
      </c>
      <c r="C19" s="6">
        <f>IFERROR(__xludf.DUMMYFUNCTION("""COMPUTED_VALUE"""),125.75)</f>
        <v>125.75</v>
      </c>
      <c r="D19" s="6">
        <f>IFERROR(__xludf.DUMMYFUNCTION("""COMPUTED_VALUE"""),111.3)</f>
        <v>111.3</v>
      </c>
      <c r="E19" s="6">
        <f>IFERROR(__xludf.DUMMYFUNCTION("""COMPUTED_VALUE"""),123.65)</f>
        <v>123.65</v>
      </c>
      <c r="F19" s="6">
        <f>IFERROR(__xludf.DUMMYFUNCTION("""COMPUTED_VALUE"""),3.03175065E8)</f>
        <v>303175065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IFERROR(__xludf.DUMMYFUNCTION("""COMPUTED_VALUE"""),123.65)</f>
        <v>123.65</v>
      </c>
      <c r="C20" s="6">
        <f>IFERROR(__xludf.DUMMYFUNCTION("""COMPUTED_VALUE"""),126.9)</f>
        <v>126.9</v>
      </c>
      <c r="D20" s="6">
        <f>IFERROR(__xludf.DUMMYFUNCTION("""COMPUTED_VALUE"""),115.7)</f>
        <v>115.7</v>
      </c>
      <c r="E20" s="6">
        <f>IFERROR(__xludf.DUMMYFUNCTION("""COMPUTED_VALUE"""),116.95)</f>
        <v>116.95</v>
      </c>
      <c r="F20" s="6">
        <f>IFERROR(__xludf.DUMMYFUNCTION("""COMPUTED_VALUE"""),1.50927637E8)</f>
        <v>150927637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IFERROR(__xludf.DUMMYFUNCTION("""COMPUTED_VALUE"""),117.1)</f>
        <v>117.1</v>
      </c>
      <c r="C21" s="6">
        <f>IFERROR(__xludf.DUMMYFUNCTION("""COMPUTED_VALUE"""),117.6)</f>
        <v>117.6</v>
      </c>
      <c r="D21" s="6">
        <f>IFERROR(__xludf.DUMMYFUNCTION("""COMPUTED_VALUE"""),112.2)</f>
        <v>112.2</v>
      </c>
      <c r="E21" s="6">
        <f>IFERROR(__xludf.DUMMYFUNCTION("""COMPUTED_VALUE"""),114.9)</f>
        <v>114.9</v>
      </c>
      <c r="F21" s="6">
        <f>IFERROR(__xludf.DUMMYFUNCTION("""COMPUTED_VALUE"""),9.5851318E7)</f>
        <v>95851318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IFERROR(__xludf.DUMMYFUNCTION("""COMPUTED_VALUE"""),114.9)</f>
        <v>114.9</v>
      </c>
      <c r="C22" s="6">
        <f>IFERROR(__xludf.DUMMYFUNCTION("""COMPUTED_VALUE"""),119.95)</f>
        <v>119.95</v>
      </c>
      <c r="D22" s="6">
        <f>IFERROR(__xludf.DUMMYFUNCTION("""COMPUTED_VALUE"""),108.0)</f>
        <v>108</v>
      </c>
      <c r="E22" s="6">
        <f>IFERROR(__xludf.DUMMYFUNCTION("""COMPUTED_VALUE"""),119.1)</f>
        <v>119.1</v>
      </c>
      <c r="F22" s="6">
        <f>IFERROR(__xludf.DUMMYFUNCTION("""COMPUTED_VALUE"""),1.29132162E8)</f>
        <v>129132162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IFERROR(__xludf.DUMMYFUNCTION("""COMPUTED_VALUE"""),120.5)</f>
        <v>120.5</v>
      </c>
      <c r="C23" s="6">
        <f>IFERROR(__xludf.DUMMYFUNCTION("""COMPUTED_VALUE"""),129.65)</f>
        <v>129.65</v>
      </c>
      <c r="D23" s="6">
        <f>IFERROR(__xludf.DUMMYFUNCTION("""COMPUTED_VALUE"""),118.0)</f>
        <v>118</v>
      </c>
      <c r="E23" s="6">
        <f>IFERROR(__xludf.DUMMYFUNCTION("""COMPUTED_VALUE"""),128.3)</f>
        <v>128.3</v>
      </c>
      <c r="F23" s="6">
        <f>IFERROR(__xludf.DUMMYFUNCTION("""COMPUTED_VALUE"""),2.67375726E8)</f>
        <v>267375726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IFERROR(__xludf.DUMMYFUNCTION("""COMPUTED_VALUE"""),130.0)</f>
        <v>130</v>
      </c>
      <c r="C24" s="6">
        <f>IFERROR(__xludf.DUMMYFUNCTION("""COMPUTED_VALUE"""),150.0)</f>
        <v>150</v>
      </c>
      <c r="D24" s="6">
        <f>IFERROR(__xludf.DUMMYFUNCTION("""COMPUTED_VALUE"""),129.45)</f>
        <v>129.45</v>
      </c>
      <c r="E24" s="6">
        <f>IFERROR(__xludf.DUMMYFUNCTION("""COMPUTED_VALUE"""),133.65)</f>
        <v>133.65</v>
      </c>
      <c r="F24" s="6">
        <f>IFERROR(__xludf.DUMMYFUNCTION("""COMPUTED_VALUE"""),4.40819746E8)</f>
        <v>440819746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IFERROR(__xludf.DUMMYFUNCTION("""COMPUTED_VALUE"""),134.25)</f>
        <v>134.25</v>
      </c>
      <c r="C25" s="6">
        <f>IFERROR(__xludf.DUMMYFUNCTION("""COMPUTED_VALUE"""),136.0)</f>
        <v>136</v>
      </c>
      <c r="D25" s="6">
        <f>IFERROR(__xludf.DUMMYFUNCTION("""COMPUTED_VALUE"""),116.0)</f>
        <v>116</v>
      </c>
      <c r="E25" s="6">
        <f>IFERROR(__xludf.DUMMYFUNCTION("""COMPUTED_VALUE"""),127.45)</f>
        <v>127.45</v>
      </c>
      <c r="F25" s="6">
        <f>IFERROR(__xludf.DUMMYFUNCTION("""COMPUTED_VALUE"""),2.57988161E8)</f>
        <v>257988161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IFERROR(__xludf.DUMMYFUNCTION("""COMPUTED_VALUE"""),128.6)</f>
        <v>128.6</v>
      </c>
      <c r="C26" s="6">
        <f>IFERROR(__xludf.DUMMYFUNCTION("""COMPUTED_VALUE"""),134.2)</f>
        <v>134.2</v>
      </c>
      <c r="D26" s="6">
        <f>IFERROR(__xludf.DUMMYFUNCTION("""COMPUTED_VALUE"""),125.65)</f>
        <v>125.65</v>
      </c>
      <c r="E26" s="6">
        <f>IFERROR(__xludf.DUMMYFUNCTION("""COMPUTED_VALUE"""),128.0)</f>
        <v>128</v>
      </c>
      <c r="F26" s="6">
        <f>IFERROR(__xludf.DUMMYFUNCTION("""COMPUTED_VALUE"""),2.26170753E8)</f>
        <v>226170753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IFERROR(__xludf.DUMMYFUNCTION("""COMPUTED_VALUE"""),138.2)</f>
        <v>138.2</v>
      </c>
      <c r="C27" s="6">
        <f>IFERROR(__xludf.DUMMYFUNCTION("""COMPUTED_VALUE"""),145.0)</f>
        <v>145</v>
      </c>
      <c r="D27" s="6">
        <f>IFERROR(__xludf.DUMMYFUNCTION("""COMPUTED_VALUE"""),133.0)</f>
        <v>133</v>
      </c>
      <c r="E27" s="6">
        <f>IFERROR(__xludf.DUMMYFUNCTION("""COMPUTED_VALUE"""),138.95)</f>
        <v>138.95</v>
      </c>
      <c r="F27" s="6">
        <f>IFERROR(__xludf.DUMMYFUNCTION("""COMPUTED_VALUE"""),2.98569149E8)</f>
        <v>298569149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IFERROR(__xludf.DUMMYFUNCTION("""COMPUTED_VALUE"""),139.75)</f>
        <v>139.75</v>
      </c>
      <c r="C28" s="6">
        <f>IFERROR(__xludf.DUMMYFUNCTION("""COMPUTED_VALUE"""),140.6)</f>
        <v>140.6</v>
      </c>
      <c r="D28" s="6">
        <f>IFERROR(__xludf.DUMMYFUNCTION("""COMPUTED_VALUE"""),117.35)</f>
        <v>117.35</v>
      </c>
      <c r="E28" s="6">
        <f>IFERROR(__xludf.DUMMYFUNCTION("""COMPUTED_VALUE"""),121.7)</f>
        <v>121.7</v>
      </c>
      <c r="F28" s="6">
        <f>IFERROR(__xludf.DUMMYFUNCTION("""COMPUTED_VALUE"""),1.96927128E8)</f>
        <v>196927128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IFERROR(__xludf.DUMMYFUNCTION("""COMPUTED_VALUE"""),122.0)</f>
        <v>122</v>
      </c>
      <c r="C29" s="6">
        <f>IFERROR(__xludf.DUMMYFUNCTION("""COMPUTED_VALUE"""),132.1)</f>
        <v>132.1</v>
      </c>
      <c r="D29" s="6">
        <f>IFERROR(__xludf.DUMMYFUNCTION("""COMPUTED_VALUE"""),120.05)</f>
        <v>120.05</v>
      </c>
      <c r="E29" s="6">
        <f>IFERROR(__xludf.DUMMYFUNCTION("""COMPUTED_VALUE"""),130.0)</f>
        <v>130</v>
      </c>
      <c r="F29" s="6">
        <f>IFERROR(__xludf.DUMMYFUNCTION("""COMPUTED_VALUE"""),1.99149733E8)</f>
        <v>199149733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IFERROR(__xludf.DUMMYFUNCTION("""COMPUTED_VALUE"""),129.0)</f>
        <v>129</v>
      </c>
      <c r="C30" s="6">
        <f>IFERROR(__xludf.DUMMYFUNCTION("""COMPUTED_VALUE"""),136.7)</f>
        <v>136.7</v>
      </c>
      <c r="D30" s="6">
        <f>IFERROR(__xludf.DUMMYFUNCTION("""COMPUTED_VALUE"""),128.35)</f>
        <v>128.35</v>
      </c>
      <c r="E30" s="6">
        <f>IFERROR(__xludf.DUMMYFUNCTION("""COMPUTED_VALUE"""),134.25)</f>
        <v>134.25</v>
      </c>
      <c r="F30" s="6">
        <f>IFERROR(__xludf.DUMMYFUNCTION("""COMPUTED_VALUE"""),9.4197255E7)</f>
        <v>94197255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IFERROR(__xludf.DUMMYFUNCTION("""COMPUTED_VALUE"""),135.6)</f>
        <v>135.6</v>
      </c>
      <c r="C31" s="6">
        <f>IFERROR(__xludf.DUMMYFUNCTION("""COMPUTED_VALUE"""),153.3)</f>
        <v>153.3</v>
      </c>
      <c r="D31" s="6">
        <f>IFERROR(__xludf.DUMMYFUNCTION("""COMPUTED_VALUE"""),135.6)</f>
        <v>135.6</v>
      </c>
      <c r="E31" s="6">
        <f>IFERROR(__xludf.DUMMYFUNCTION("""COMPUTED_VALUE"""),146.2)</f>
        <v>146.2</v>
      </c>
      <c r="F31" s="6">
        <f>IFERROR(__xludf.DUMMYFUNCTION("""COMPUTED_VALUE"""),3.06043542E8)</f>
        <v>306043542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IFERROR(__xludf.DUMMYFUNCTION("""COMPUTED_VALUE"""),147.3)</f>
        <v>147.3</v>
      </c>
      <c r="C32" s="6">
        <f>IFERROR(__xludf.DUMMYFUNCTION("""COMPUTED_VALUE"""),156.6)</f>
        <v>156.6</v>
      </c>
      <c r="D32" s="6">
        <f>IFERROR(__xludf.DUMMYFUNCTION("""COMPUTED_VALUE"""),144.8)</f>
        <v>144.8</v>
      </c>
      <c r="E32" s="6">
        <f>IFERROR(__xludf.DUMMYFUNCTION("""COMPUTED_VALUE"""),155.35)</f>
        <v>155.35</v>
      </c>
      <c r="F32" s="6">
        <f>IFERROR(__xludf.DUMMYFUNCTION("""COMPUTED_VALUE"""),2.25389561E8)</f>
        <v>225389561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IFERROR(__xludf.DUMMYFUNCTION("""COMPUTED_VALUE"""),152.9)</f>
        <v>152.9</v>
      </c>
      <c r="C33" s="6">
        <f>IFERROR(__xludf.DUMMYFUNCTION("""COMPUTED_VALUE"""),157.4)</f>
        <v>157.4</v>
      </c>
      <c r="D33" s="6">
        <f>IFERROR(__xludf.DUMMYFUNCTION("""COMPUTED_VALUE"""),140.8)</f>
        <v>140.8</v>
      </c>
      <c r="E33" s="6">
        <f>IFERROR(__xludf.DUMMYFUNCTION("""COMPUTED_VALUE"""),146.05)</f>
        <v>146.05</v>
      </c>
      <c r="F33" s="6">
        <f>IFERROR(__xludf.DUMMYFUNCTION("""COMPUTED_VALUE"""),1.86086365E8)</f>
        <v>186086365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IFERROR(__xludf.DUMMYFUNCTION("""COMPUTED_VALUE"""),148.25)</f>
        <v>148.25</v>
      </c>
      <c r="C34" s="6">
        <f>IFERROR(__xludf.DUMMYFUNCTION("""COMPUTED_VALUE"""),170.5)</f>
        <v>170.5</v>
      </c>
      <c r="D34" s="6">
        <f>IFERROR(__xludf.DUMMYFUNCTION("""COMPUTED_VALUE"""),147.1)</f>
        <v>147.1</v>
      </c>
      <c r="E34" s="6">
        <f>IFERROR(__xludf.DUMMYFUNCTION("""COMPUTED_VALUE"""),168.55)</f>
        <v>168.55</v>
      </c>
      <c r="F34" s="6">
        <f>IFERROR(__xludf.DUMMYFUNCTION("""COMPUTED_VALUE"""),3.94517144E8)</f>
        <v>394517144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IFERROR(__xludf.DUMMYFUNCTION("""COMPUTED_VALUE"""),169.9)</f>
        <v>169.9</v>
      </c>
      <c r="C35" s="6">
        <f>IFERROR(__xludf.DUMMYFUNCTION("""COMPUTED_VALUE"""),170.95)</f>
        <v>170.95</v>
      </c>
      <c r="D35" s="6">
        <f>IFERROR(__xludf.DUMMYFUNCTION("""COMPUTED_VALUE"""),163.05)</f>
        <v>163.05</v>
      </c>
      <c r="E35" s="6">
        <f>IFERROR(__xludf.DUMMYFUNCTION("""COMPUTED_VALUE"""),167.95)</f>
        <v>167.95</v>
      </c>
      <c r="F35" s="6">
        <f>IFERROR(__xludf.DUMMYFUNCTION("""COMPUTED_VALUE"""),1.87129915E8)</f>
        <v>187129915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IFERROR(__xludf.DUMMYFUNCTION("""COMPUTED_VALUE"""),168.5)</f>
        <v>168.5</v>
      </c>
      <c r="C36" s="6">
        <f>IFERROR(__xludf.DUMMYFUNCTION("""COMPUTED_VALUE"""),168.85)</f>
        <v>168.85</v>
      </c>
      <c r="D36" s="6">
        <f>IFERROR(__xludf.DUMMYFUNCTION("""COMPUTED_VALUE"""),151.7)</f>
        <v>151.7</v>
      </c>
      <c r="E36" s="6">
        <f>IFERROR(__xludf.DUMMYFUNCTION("""COMPUTED_VALUE"""),156.9)</f>
        <v>156.9</v>
      </c>
      <c r="F36" s="6">
        <f>IFERROR(__xludf.DUMMYFUNCTION("""COMPUTED_VALUE"""),1.43755484E8)</f>
        <v>143755484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IFERROR(__xludf.DUMMYFUNCTION("""COMPUTED_VALUE"""),170.15)</f>
        <v>170.15</v>
      </c>
      <c r="C37" s="6">
        <f>IFERROR(__xludf.DUMMYFUNCTION("""COMPUTED_VALUE"""),175.35)</f>
        <v>175.35</v>
      </c>
      <c r="D37" s="6">
        <f>IFERROR(__xludf.DUMMYFUNCTION("""COMPUTED_VALUE"""),166.45)</f>
        <v>166.45</v>
      </c>
      <c r="E37" s="6">
        <f>IFERROR(__xludf.DUMMYFUNCTION("""COMPUTED_VALUE"""),169.5)</f>
        <v>169.5</v>
      </c>
      <c r="F37" s="6">
        <f>IFERROR(__xludf.DUMMYFUNCTION("""COMPUTED_VALUE"""),1.745132E8)</f>
        <v>174513200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IFERROR(__xludf.DUMMYFUNCTION("""COMPUTED_VALUE"""),170.5)</f>
        <v>170.5</v>
      </c>
      <c r="C38" s="6">
        <f>IFERROR(__xludf.DUMMYFUNCTION("""COMPUTED_VALUE"""),171.3)</f>
        <v>171.3</v>
      </c>
      <c r="D38" s="6">
        <f>IFERROR(__xludf.DUMMYFUNCTION("""COMPUTED_VALUE"""),156.7)</f>
        <v>156.7</v>
      </c>
      <c r="E38" s="6">
        <f>IFERROR(__xludf.DUMMYFUNCTION("""COMPUTED_VALUE"""),158.5)</f>
        <v>158.5</v>
      </c>
      <c r="F38" s="6">
        <f>IFERROR(__xludf.DUMMYFUNCTION("""COMPUTED_VALUE"""),1.14764793E8)</f>
        <v>114764793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IFERROR(__xludf.DUMMYFUNCTION("""COMPUTED_VALUE"""),168.0)</f>
        <v>168</v>
      </c>
      <c r="C39" s="6">
        <f>IFERROR(__xludf.DUMMYFUNCTION("""COMPUTED_VALUE"""),168.0)</f>
        <v>168</v>
      </c>
      <c r="D39" s="6">
        <f>IFERROR(__xludf.DUMMYFUNCTION("""COMPUTED_VALUE"""),124.8)</f>
        <v>124.8</v>
      </c>
      <c r="E39" s="6">
        <f>IFERROR(__xludf.DUMMYFUNCTION("""COMPUTED_VALUE"""),152.75)</f>
        <v>152.75</v>
      </c>
      <c r="F39" s="6">
        <f>IFERROR(__xludf.DUMMYFUNCTION("""COMPUTED_VALUE"""),3.0711288E8)</f>
        <v>307112880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IFERROR(__xludf.DUMMYFUNCTION("""COMPUTED_VALUE"""),152.6)</f>
        <v>152.6</v>
      </c>
      <c r="C40" s="6">
        <f>IFERROR(__xludf.DUMMYFUNCTION("""COMPUTED_VALUE"""),153.9)</f>
        <v>153.9</v>
      </c>
      <c r="D40" s="6">
        <f>IFERROR(__xludf.DUMMYFUNCTION("""COMPUTED_VALUE"""),147.76)</f>
        <v>147.76</v>
      </c>
      <c r="E40" s="6">
        <f>IFERROR(__xludf.DUMMYFUNCTION("""COMPUTED_VALUE"""),153.63)</f>
        <v>153.63</v>
      </c>
      <c r="F40" s="6">
        <f>IFERROR(__xludf.DUMMYFUNCTION("""COMPUTED_VALUE"""),1.10508405E8)</f>
        <v>110508405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IFERROR(__xludf.DUMMYFUNCTION("""COMPUTED_VALUE"""),154.39)</f>
        <v>154.39</v>
      </c>
      <c r="C41" s="6">
        <f>IFERROR(__xludf.DUMMYFUNCTION("""COMPUTED_VALUE"""),159.3)</f>
        <v>159.3</v>
      </c>
      <c r="D41" s="6">
        <f>IFERROR(__xludf.DUMMYFUNCTION("""COMPUTED_VALUE"""),149.5)</f>
        <v>149.5</v>
      </c>
      <c r="E41" s="6">
        <f>IFERROR(__xludf.DUMMYFUNCTION("""COMPUTED_VALUE"""),155.44)</f>
        <v>155.44</v>
      </c>
      <c r="F41" s="6">
        <f>IFERROR(__xludf.DUMMYFUNCTION("""COMPUTED_VALUE"""),1.35522689E8)</f>
        <v>135522689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IFERROR(__xludf.DUMMYFUNCTION("""COMPUTED_VALUE"""),152.91)</f>
        <v>152.91</v>
      </c>
      <c r="C42" s="6">
        <f>IFERROR(__xludf.DUMMYFUNCTION("""COMPUTED_VALUE"""),152.91)</f>
        <v>152.91</v>
      </c>
      <c r="D42" s="6">
        <f>IFERROR(__xludf.DUMMYFUNCTION("""COMPUTED_VALUE"""),137.2)</f>
        <v>137.2</v>
      </c>
      <c r="E42" s="6">
        <f>IFERROR(__xludf.DUMMYFUNCTION("""COMPUTED_VALUE"""),148.65)</f>
        <v>148.65</v>
      </c>
      <c r="F42" s="6">
        <f>IFERROR(__xludf.DUMMYFUNCTION("""COMPUTED_VALUE"""),2.27654677E8)</f>
        <v>227654677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IFERROR(__xludf.DUMMYFUNCTION("""COMPUTED_VALUE"""),149.9)</f>
        <v>149.9</v>
      </c>
      <c r="C43" s="6">
        <f>IFERROR(__xludf.DUMMYFUNCTION("""COMPUTED_VALUE"""),158.75)</f>
        <v>158.75</v>
      </c>
      <c r="D43" s="6">
        <f>IFERROR(__xludf.DUMMYFUNCTION("""COMPUTED_VALUE"""),145.4)</f>
        <v>145.4</v>
      </c>
      <c r="E43" s="6">
        <f>IFERROR(__xludf.DUMMYFUNCTION("""COMPUTED_VALUE"""),155.61)</f>
        <v>155.61</v>
      </c>
      <c r="F43" s="6">
        <f>IFERROR(__xludf.DUMMYFUNCTION("""COMPUTED_VALUE"""),1.77405142E8)</f>
        <v>177405142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IFERROR(__xludf.DUMMYFUNCTION("""COMPUTED_VALUE"""),156.5)</f>
        <v>156.5</v>
      </c>
      <c r="C44" s="6">
        <f>IFERROR(__xludf.DUMMYFUNCTION("""COMPUTED_VALUE"""),158.22)</f>
        <v>158.22</v>
      </c>
      <c r="D44" s="6">
        <f>IFERROR(__xludf.DUMMYFUNCTION("""COMPUTED_VALUE"""),146.35)</f>
        <v>146.35</v>
      </c>
      <c r="E44" s="6">
        <f>IFERROR(__xludf.DUMMYFUNCTION("""COMPUTED_VALUE"""),150.42)</f>
        <v>150.42</v>
      </c>
      <c r="F44" s="6">
        <f>IFERROR(__xludf.DUMMYFUNCTION("""COMPUTED_VALUE"""),1.41007504E8)</f>
        <v>141007504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IFERROR(__xludf.DUMMYFUNCTION("""COMPUTED_VALUE"""),151.0)</f>
        <v>151</v>
      </c>
      <c r="C45" s="6">
        <f>IFERROR(__xludf.DUMMYFUNCTION("""COMPUTED_VALUE"""),153.95)</f>
        <v>153.95</v>
      </c>
      <c r="D45" s="6">
        <f>IFERROR(__xludf.DUMMYFUNCTION("""COMPUTED_VALUE"""),140.83)</f>
        <v>140.83</v>
      </c>
      <c r="E45" s="6">
        <f>IFERROR(__xludf.DUMMYFUNCTION("""COMPUTED_VALUE"""),141.82)</f>
        <v>141.82</v>
      </c>
      <c r="F45" s="6">
        <f>IFERROR(__xludf.DUMMYFUNCTION("""COMPUTED_VALUE"""),1.19459864E8)</f>
        <v>119459864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IFERROR(__xludf.DUMMYFUNCTION("""COMPUTED_VALUE"""),141.4)</f>
        <v>141.4</v>
      </c>
      <c r="C46" s="6">
        <f>IFERROR(__xludf.DUMMYFUNCTION("""COMPUTED_VALUE"""),147.98)</f>
        <v>147.98</v>
      </c>
      <c r="D46" s="6">
        <f>IFERROR(__xludf.DUMMYFUNCTION("""COMPUTED_VALUE"""),135.3)</f>
        <v>135.3</v>
      </c>
      <c r="E46" s="6">
        <f>IFERROR(__xludf.DUMMYFUNCTION("""COMPUTED_VALUE"""),147.39)</f>
        <v>147.39</v>
      </c>
      <c r="F46" s="6">
        <f>IFERROR(__xludf.DUMMYFUNCTION("""COMPUTED_VALUE"""),1.38539413E8)</f>
        <v>138539413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IFERROR(__xludf.DUMMYFUNCTION("""COMPUTED_VALUE"""),149.14)</f>
        <v>149.14</v>
      </c>
      <c r="C47" s="6">
        <f>IFERROR(__xludf.DUMMYFUNCTION("""COMPUTED_VALUE"""),156.35)</f>
        <v>156.35</v>
      </c>
      <c r="D47" s="6">
        <f>IFERROR(__xludf.DUMMYFUNCTION("""COMPUTED_VALUE"""),145.1)</f>
        <v>145.1</v>
      </c>
      <c r="E47" s="6">
        <f>IFERROR(__xludf.DUMMYFUNCTION("""COMPUTED_VALUE"""),146.23)</f>
        <v>146.23</v>
      </c>
      <c r="F47" s="6">
        <f>IFERROR(__xludf.DUMMYFUNCTION("""COMPUTED_VALUE"""),1.30129783E8)</f>
        <v>130129783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IFERROR(__xludf.DUMMYFUNCTION("""COMPUTED_VALUE"""),141.0)</f>
        <v>141</v>
      </c>
      <c r="C48" s="6">
        <f>IFERROR(__xludf.DUMMYFUNCTION("""COMPUTED_VALUE"""),142.85)</f>
        <v>142.85</v>
      </c>
      <c r="D48" s="6">
        <f>IFERROR(__xludf.DUMMYFUNCTION("""COMPUTED_VALUE"""),128.89)</f>
        <v>128.89</v>
      </c>
      <c r="E48" s="6">
        <f>IFERROR(__xludf.DUMMYFUNCTION("""COMPUTED_VALUE"""),129.35)</f>
        <v>129.35</v>
      </c>
      <c r="F48" s="6">
        <f>IFERROR(__xludf.DUMMYFUNCTION("""COMPUTED_VALUE"""),1.97355873E8)</f>
        <v>197355873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IFERROR(__xludf.DUMMYFUNCTION("""COMPUTED_VALUE"""),129.25)</f>
        <v>129.25</v>
      </c>
      <c r="C49" s="6">
        <f>IFERROR(__xludf.DUMMYFUNCTION("""COMPUTED_VALUE"""),132.95)</f>
        <v>132.95</v>
      </c>
      <c r="D49" s="6">
        <f>IFERROR(__xludf.DUMMYFUNCTION("""COMPUTED_VALUE"""),125.0)</f>
        <v>125</v>
      </c>
      <c r="E49" s="6">
        <f>IFERROR(__xludf.DUMMYFUNCTION("""COMPUTED_VALUE"""),128.28)</f>
        <v>128.28</v>
      </c>
      <c r="F49" s="6">
        <f>IFERROR(__xludf.DUMMYFUNCTION("""COMPUTED_VALUE"""),8.7742874E7)</f>
        <v>87742874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IFERROR(__xludf.DUMMYFUNCTION("""COMPUTED_VALUE"""),130.0)</f>
        <v>130</v>
      </c>
      <c r="C50" s="6">
        <f>IFERROR(__xludf.DUMMYFUNCTION("""COMPUTED_VALUE"""),135.39)</f>
        <v>135.39</v>
      </c>
      <c r="D50" s="6">
        <f>IFERROR(__xludf.DUMMYFUNCTION("""COMPUTED_VALUE"""),129.25)</f>
        <v>129.25</v>
      </c>
      <c r="E50" s="6">
        <f>IFERROR(__xludf.DUMMYFUNCTION("""COMPUTED_VALUE"""),131.79)</f>
        <v>131.79</v>
      </c>
      <c r="F50" s="6">
        <f>IFERROR(__xludf.DUMMYFUNCTION("""COMPUTED_VALUE"""),7.7489676E7)</f>
        <v>77489676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IFERROR(__xludf.DUMMYFUNCTION("""COMPUTED_VALUE"""),133.39)</f>
        <v>133.39</v>
      </c>
      <c r="C51" s="6">
        <f>IFERROR(__xludf.DUMMYFUNCTION("""COMPUTED_VALUE"""),138.78)</f>
        <v>138.78</v>
      </c>
      <c r="D51" s="6">
        <f>IFERROR(__xludf.DUMMYFUNCTION("""COMPUTED_VALUE"""),131.85)</f>
        <v>131.85</v>
      </c>
      <c r="E51" s="6">
        <f>IFERROR(__xludf.DUMMYFUNCTION("""COMPUTED_VALUE"""),133.69)</f>
        <v>133.69</v>
      </c>
      <c r="F51" s="6">
        <f>IFERROR(__xludf.DUMMYFUNCTION("""COMPUTED_VALUE"""),8.1961732E7)</f>
        <v>81961732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IFERROR(__xludf.DUMMYFUNCTION("""COMPUTED_VALUE"""),133.86)</f>
        <v>133.86</v>
      </c>
      <c r="C52" s="6">
        <f>IFERROR(__xludf.DUMMYFUNCTION("""COMPUTED_VALUE"""),134.14)</f>
        <v>134.14</v>
      </c>
      <c r="D52" s="6">
        <f>IFERROR(__xludf.DUMMYFUNCTION("""COMPUTED_VALUE"""),128.3)</f>
        <v>128.3</v>
      </c>
      <c r="E52" s="6">
        <f>IFERROR(__xludf.DUMMYFUNCTION("""COMPUTED_VALUE"""),129.38)</f>
        <v>129.38</v>
      </c>
      <c r="F52" s="6">
        <f>IFERROR(__xludf.DUMMYFUNCTION("""COMPUTED_VALUE"""),6.8401692E7)</f>
        <v>68401692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IFERROR(__xludf.DUMMYFUNCTION("""COMPUTED_VALUE"""),128.9)</f>
        <v>128.9</v>
      </c>
      <c r="C53" s="6">
        <f>IFERROR(__xludf.DUMMYFUNCTION("""COMPUTED_VALUE"""),134.39)</f>
        <v>134.39</v>
      </c>
      <c r="D53" s="6">
        <f>IFERROR(__xludf.DUMMYFUNCTION("""COMPUTED_VALUE"""),126.11)</f>
        <v>126.11</v>
      </c>
      <c r="E53" s="6">
        <f>IFERROR(__xludf.DUMMYFUNCTION("""COMPUTED_VALUE"""),132.2)</f>
        <v>132.2</v>
      </c>
      <c r="F53" s="6">
        <f>IFERROR(__xludf.DUMMYFUNCTION("""COMPUTED_VALUE"""),8.4787494E7)</f>
        <v>84787494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IFERROR(__xludf.DUMMYFUNCTION("""COMPUTED_VALUE"""),133.0)</f>
        <v>133</v>
      </c>
      <c r="C54" s="6">
        <f>IFERROR(__xludf.DUMMYFUNCTION("""COMPUTED_VALUE"""),134.08)</f>
        <v>134.08</v>
      </c>
      <c r="D54" s="6">
        <f>IFERROR(__xludf.DUMMYFUNCTION("""COMPUTED_VALUE"""),123.8)</f>
        <v>123.8</v>
      </c>
      <c r="E54" s="6">
        <f>IFERROR(__xludf.DUMMYFUNCTION("""COMPUTED_VALUE"""),126.28)</f>
        <v>126.28</v>
      </c>
      <c r="F54" s="6">
        <f>IFERROR(__xludf.DUMMYFUNCTION("""COMPUTED_VALUE"""),7.4149175E7)</f>
        <v>74149175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IFERROR(__xludf.DUMMYFUNCTION("""COMPUTED_VALUE"""),126.5)</f>
        <v>126.5</v>
      </c>
      <c r="C55" s="6">
        <f>IFERROR(__xludf.DUMMYFUNCTION("""COMPUTED_VALUE"""),144.2)</f>
        <v>144.2</v>
      </c>
      <c r="D55" s="6">
        <f>IFERROR(__xludf.DUMMYFUNCTION("""COMPUTED_VALUE"""),126.5)</f>
        <v>126.5</v>
      </c>
      <c r="E55" s="6">
        <f>IFERROR(__xludf.DUMMYFUNCTION("""COMPUTED_VALUE"""),140.54)</f>
        <v>140.54</v>
      </c>
      <c r="F55" s="6">
        <f>IFERROR(__xludf.DUMMYFUNCTION("""COMPUTED_VALUE"""),1.78325848E8)</f>
        <v>178325848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IFERROR(__xludf.DUMMYFUNCTION("""COMPUTED_VALUE"""),141.4)</f>
        <v>141.4</v>
      </c>
      <c r="C56" s="6">
        <f>IFERROR(__xludf.DUMMYFUNCTION("""COMPUTED_VALUE"""),143.94)</f>
        <v>143.94</v>
      </c>
      <c r="D56" s="6">
        <f>IFERROR(__xludf.DUMMYFUNCTION("""COMPUTED_VALUE"""),134.14)</f>
        <v>134.14</v>
      </c>
      <c r="E56" s="6">
        <f>IFERROR(__xludf.DUMMYFUNCTION("""COMPUTED_VALUE"""),139.01)</f>
        <v>139.01</v>
      </c>
      <c r="F56" s="6">
        <f>IFERROR(__xludf.DUMMYFUNCTION("""COMPUTED_VALUE"""),1.29891728E8)</f>
        <v>129891728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IFERROR(__xludf.DUMMYFUNCTION("""COMPUTED_VALUE"""),139.97)</f>
        <v>139.97</v>
      </c>
      <c r="C57" s="6">
        <f>IFERROR(__xludf.DUMMYFUNCTION("""COMPUTED_VALUE"""),140.52)</f>
        <v>140.52</v>
      </c>
      <c r="D57" s="6">
        <f>IFERROR(__xludf.DUMMYFUNCTION("""COMPUTED_VALUE"""),127.84)</f>
        <v>127.84</v>
      </c>
      <c r="E57" s="6">
        <f>IFERROR(__xludf.DUMMYFUNCTION("""COMPUTED_VALUE"""),134.03)</f>
        <v>134.03</v>
      </c>
      <c r="F57" s="6">
        <f>IFERROR(__xludf.DUMMYFUNCTION("""COMPUTED_VALUE"""),1.18397523E8)</f>
        <v>118397523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IFERROR(__xludf.DUMMYFUNCTION("""COMPUTED_VALUE"""),135.8)</f>
        <v>135.8</v>
      </c>
      <c r="C58" s="6">
        <f>IFERROR(__xludf.DUMMYFUNCTION("""COMPUTED_VALUE"""),137.33)</f>
        <v>137.33</v>
      </c>
      <c r="D58" s="6">
        <f>IFERROR(__xludf.DUMMYFUNCTION("""COMPUTED_VALUE"""),125.42)</f>
        <v>125.42</v>
      </c>
      <c r="E58" s="6">
        <f>IFERROR(__xludf.DUMMYFUNCTION("""COMPUTED_VALUE"""),129.03)</f>
        <v>129.03</v>
      </c>
      <c r="F58" s="6">
        <f>IFERROR(__xludf.DUMMYFUNCTION("""COMPUTED_VALUE"""),8.3383987E7)</f>
        <v>83383987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IFERROR(__xludf.DUMMYFUNCTION("""COMPUTED_VALUE"""),130.21)</f>
        <v>130.21</v>
      </c>
      <c r="C59" s="6">
        <f>IFERROR(__xludf.DUMMYFUNCTION("""COMPUTED_VALUE"""),131.19)</f>
        <v>131.19</v>
      </c>
      <c r="D59" s="6">
        <f>IFERROR(__xludf.DUMMYFUNCTION("""COMPUTED_VALUE"""),110.4)</f>
        <v>110.4</v>
      </c>
      <c r="E59" s="6">
        <f>IFERROR(__xludf.DUMMYFUNCTION("""COMPUTED_VALUE"""),111.48)</f>
        <v>111.48</v>
      </c>
      <c r="F59" s="6">
        <f>IFERROR(__xludf.DUMMYFUNCTION("""COMPUTED_VALUE"""),1.2240646E8)</f>
        <v>122406460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IFERROR(__xludf.DUMMYFUNCTION("""COMPUTED_VALUE"""),118.0)</f>
        <v>118</v>
      </c>
      <c r="C60" s="6">
        <f>IFERROR(__xludf.DUMMYFUNCTION("""COMPUTED_VALUE"""),126.85)</f>
        <v>126.85</v>
      </c>
      <c r="D60" s="6">
        <f>IFERROR(__xludf.DUMMYFUNCTION("""COMPUTED_VALUE"""),112.6)</f>
        <v>112.6</v>
      </c>
      <c r="E60" s="6">
        <f>IFERROR(__xludf.DUMMYFUNCTION("""COMPUTED_VALUE"""),118.21)</f>
        <v>118.21</v>
      </c>
      <c r="F60" s="6">
        <f>IFERROR(__xludf.DUMMYFUNCTION("""COMPUTED_VALUE"""),1.54504358E8)</f>
        <v>154504358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IFERROR(__xludf.DUMMYFUNCTION("""COMPUTED_VALUE"""),117.8)</f>
        <v>117.8</v>
      </c>
      <c r="C61" s="6">
        <f>IFERROR(__xludf.DUMMYFUNCTION("""COMPUTED_VALUE"""),119.2)</f>
        <v>119.2</v>
      </c>
      <c r="D61" s="6">
        <f>IFERROR(__xludf.DUMMYFUNCTION("""COMPUTED_VALUE"""),111.0)</f>
        <v>111</v>
      </c>
      <c r="E61" s="6">
        <f>IFERROR(__xludf.DUMMYFUNCTION("""COMPUTED_VALUE"""),111.84)</f>
        <v>111.84</v>
      </c>
      <c r="F61" s="6">
        <f>IFERROR(__xludf.DUMMYFUNCTION("""COMPUTED_VALUE"""),7.2016851E7)</f>
        <v>72016851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IFERROR(__xludf.DUMMYFUNCTION("""COMPUTED_VALUE"""),112.2)</f>
        <v>112.2</v>
      </c>
      <c r="C62" s="6">
        <f>IFERROR(__xludf.DUMMYFUNCTION("""COMPUTED_VALUE"""),115.11)</f>
        <v>115.11</v>
      </c>
      <c r="D62" s="6">
        <f>IFERROR(__xludf.DUMMYFUNCTION("""COMPUTED_VALUE"""),108.65)</f>
        <v>108.65</v>
      </c>
      <c r="E62" s="6">
        <f>IFERROR(__xludf.DUMMYFUNCTION("""COMPUTED_VALUE"""),112.83)</f>
        <v>112.83</v>
      </c>
      <c r="F62" s="6">
        <f>IFERROR(__xludf.DUMMYFUNCTION("""COMPUTED_VALUE"""),6.2096345E7)</f>
        <v>62096345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IFERROR(__xludf.DUMMYFUNCTION("""COMPUTED_VALUE"""),115.0)</f>
        <v>115</v>
      </c>
      <c r="C63" s="6">
        <f>IFERROR(__xludf.DUMMYFUNCTION("""COMPUTED_VALUE"""),118.1)</f>
        <v>118.1</v>
      </c>
      <c r="D63" s="6">
        <f>IFERROR(__xludf.DUMMYFUNCTION("""COMPUTED_VALUE"""),113.85)</f>
        <v>113.85</v>
      </c>
      <c r="E63" s="6">
        <f>IFERROR(__xludf.DUMMYFUNCTION("""COMPUTED_VALUE"""),117.11)</f>
        <v>117.11</v>
      </c>
      <c r="F63" s="6">
        <f>IFERROR(__xludf.DUMMYFUNCTION("""COMPUTED_VALUE"""),6.3793369E7)</f>
        <v>63793369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IFERROR(__xludf.DUMMYFUNCTION("""COMPUTED_VALUE"""),116.5)</f>
        <v>116.5</v>
      </c>
      <c r="C64" s="6">
        <f>IFERROR(__xludf.DUMMYFUNCTION("""COMPUTED_VALUE"""),125.12)</f>
        <v>125.12</v>
      </c>
      <c r="D64" s="6">
        <f>IFERROR(__xludf.DUMMYFUNCTION("""COMPUTED_VALUE"""),115.86)</f>
        <v>115.86</v>
      </c>
      <c r="E64" s="6">
        <f>IFERROR(__xludf.DUMMYFUNCTION("""COMPUTED_VALUE"""),123.89)</f>
        <v>123.89</v>
      </c>
      <c r="F64" s="6">
        <f>IFERROR(__xludf.DUMMYFUNCTION("""COMPUTED_VALUE"""),9.4168186E7)</f>
        <v>94168186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IFERROR(__xludf.DUMMYFUNCTION("""COMPUTED_VALUE"""),124.0)</f>
        <v>124</v>
      </c>
      <c r="C65" s="6">
        <f>IFERROR(__xludf.DUMMYFUNCTION("""COMPUTED_VALUE"""),130.09)</f>
        <v>130.09</v>
      </c>
      <c r="D65" s="6">
        <f>IFERROR(__xludf.DUMMYFUNCTION("""COMPUTED_VALUE"""),121.84)</f>
        <v>121.84</v>
      </c>
      <c r="E65" s="6">
        <f>IFERROR(__xludf.DUMMYFUNCTION("""COMPUTED_VALUE"""),124.76)</f>
        <v>124.76</v>
      </c>
      <c r="F65" s="6">
        <f>IFERROR(__xludf.DUMMYFUNCTION("""COMPUTED_VALUE"""),1.2443798E8)</f>
        <v>124437980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IFERROR(__xludf.DUMMYFUNCTION("""COMPUTED_VALUE"""),124.56)</f>
        <v>124.56</v>
      </c>
      <c r="C66" s="6">
        <f>IFERROR(__xludf.DUMMYFUNCTION("""COMPUTED_VALUE"""),124.85)</f>
        <v>124.85</v>
      </c>
      <c r="D66" s="6">
        <f>IFERROR(__xludf.DUMMYFUNCTION("""COMPUTED_VALUE"""),115.2)</f>
        <v>115.2</v>
      </c>
      <c r="E66" s="6">
        <f>IFERROR(__xludf.DUMMYFUNCTION("""COMPUTED_VALUE"""),116.1)</f>
        <v>116.1</v>
      </c>
      <c r="F66" s="6">
        <f>IFERROR(__xludf.DUMMYFUNCTION("""COMPUTED_VALUE"""),6.3966723E7)</f>
        <v>63966723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IFERROR(__xludf.DUMMYFUNCTION("""COMPUTED_VALUE"""),117.0)</f>
        <v>117</v>
      </c>
      <c r="C67" s="6">
        <f>IFERROR(__xludf.DUMMYFUNCTION("""COMPUTED_VALUE"""),121.61)</f>
        <v>121.61</v>
      </c>
      <c r="D67" s="6">
        <f>IFERROR(__xludf.DUMMYFUNCTION("""COMPUTED_VALUE"""),115.27)</f>
        <v>115.27</v>
      </c>
      <c r="E67" s="6">
        <f>IFERROR(__xludf.DUMMYFUNCTION("""COMPUTED_VALUE"""),115.53)</f>
        <v>115.53</v>
      </c>
      <c r="F67" s="6">
        <f>IFERROR(__xludf.DUMMYFUNCTION("""COMPUTED_VALUE"""),6.4711731E7)</f>
        <v>64711731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IFERROR(__xludf.DUMMYFUNCTION("""COMPUTED_VALUE"""),115.5)</f>
        <v>115.5</v>
      </c>
      <c r="C68" s="6">
        <f>IFERROR(__xludf.DUMMYFUNCTION("""COMPUTED_VALUE"""),115.9)</f>
        <v>115.9</v>
      </c>
      <c r="D68" s="6">
        <f>IFERROR(__xludf.DUMMYFUNCTION("""COMPUTED_VALUE"""),111.0)</f>
        <v>111</v>
      </c>
      <c r="E68" s="6">
        <f>IFERROR(__xludf.DUMMYFUNCTION("""COMPUTED_VALUE"""),114.17)</f>
        <v>114.17</v>
      </c>
      <c r="F68" s="6">
        <f>IFERROR(__xludf.DUMMYFUNCTION("""COMPUTED_VALUE"""),4.7880649E7)</f>
        <v>47880649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IFERROR(__xludf.DUMMYFUNCTION("""COMPUTED_VALUE"""),114.1)</f>
        <v>114.1</v>
      </c>
      <c r="C69" s="6">
        <f>IFERROR(__xludf.DUMMYFUNCTION("""COMPUTED_VALUE"""),114.55)</f>
        <v>114.55</v>
      </c>
      <c r="D69" s="6">
        <f>IFERROR(__xludf.DUMMYFUNCTION("""COMPUTED_VALUE"""),104.8)</f>
        <v>104.8</v>
      </c>
      <c r="E69" s="6">
        <f>IFERROR(__xludf.DUMMYFUNCTION("""COMPUTED_VALUE"""),106.03)</f>
        <v>106.03</v>
      </c>
      <c r="F69" s="6">
        <f>IFERROR(__xludf.DUMMYFUNCTION("""COMPUTED_VALUE"""),6.9741784E7)</f>
        <v>69741784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IFERROR(__xludf.DUMMYFUNCTION("""COMPUTED_VALUE"""),104.9)</f>
        <v>104.9</v>
      </c>
      <c r="C70" s="6">
        <f>IFERROR(__xludf.DUMMYFUNCTION("""COMPUTED_VALUE"""),109.45)</f>
        <v>109.45</v>
      </c>
      <c r="D70" s="6">
        <f>IFERROR(__xludf.DUMMYFUNCTION("""COMPUTED_VALUE"""),99.66)</f>
        <v>99.66</v>
      </c>
      <c r="E70" s="6">
        <f>IFERROR(__xludf.DUMMYFUNCTION("""COMPUTED_VALUE"""),108.82)</f>
        <v>108.82</v>
      </c>
      <c r="F70" s="6">
        <f>IFERROR(__xludf.DUMMYFUNCTION("""COMPUTED_VALUE"""),7.169193E7)</f>
        <v>71691930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IFERROR(__xludf.DUMMYFUNCTION("""COMPUTED_VALUE"""),109.0)</f>
        <v>109</v>
      </c>
      <c r="C71" s="6">
        <f>IFERROR(__xludf.DUMMYFUNCTION("""COMPUTED_VALUE"""),111.57)</f>
        <v>111.57</v>
      </c>
      <c r="D71" s="6">
        <f>IFERROR(__xludf.DUMMYFUNCTION("""COMPUTED_VALUE"""),104.77)</f>
        <v>104.77</v>
      </c>
      <c r="E71" s="6">
        <f>IFERROR(__xludf.DUMMYFUNCTION("""COMPUTED_VALUE"""),108.17)</f>
        <v>108.17</v>
      </c>
      <c r="F71" s="6">
        <f>IFERROR(__xludf.DUMMYFUNCTION("""COMPUTED_VALUE"""),6.1091112E7)</f>
        <v>61091112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IFERROR(__xludf.DUMMYFUNCTION("""COMPUTED_VALUE"""),104.0)</f>
        <v>104</v>
      </c>
      <c r="C72" s="6">
        <f>IFERROR(__xludf.DUMMYFUNCTION("""COMPUTED_VALUE"""),111.3)</f>
        <v>111.3</v>
      </c>
      <c r="D72" s="6">
        <f>IFERROR(__xludf.DUMMYFUNCTION("""COMPUTED_VALUE"""),100.3)</f>
        <v>100.3</v>
      </c>
      <c r="E72" s="6">
        <f>IFERROR(__xludf.DUMMYFUNCTION("""COMPUTED_VALUE"""),110.32)</f>
        <v>110.32</v>
      </c>
      <c r="F72" s="6">
        <f>IFERROR(__xludf.DUMMYFUNCTION("""COMPUTED_VALUE"""),7.5691643E7)</f>
        <v>75691643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IFERROR(__xludf.DUMMYFUNCTION("""COMPUTED_VALUE"""),109.05)</f>
        <v>109.05</v>
      </c>
      <c r="C73" s="6">
        <f>IFERROR(__xludf.DUMMYFUNCTION("""COMPUTED_VALUE"""),113.2)</f>
        <v>113.2</v>
      </c>
      <c r="D73" s="6">
        <f>IFERROR(__xludf.DUMMYFUNCTION("""COMPUTED_VALUE"""),99.15)</f>
        <v>99.15</v>
      </c>
      <c r="E73" s="6">
        <f>IFERROR(__xludf.DUMMYFUNCTION("""COMPUTED_VALUE"""),105.71)</f>
        <v>105.71</v>
      </c>
      <c r="F73" s="6">
        <f>IFERROR(__xludf.DUMMYFUNCTION("""COMPUTED_VALUE"""),1.51726922E8)</f>
        <v>151726922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IFERROR(__xludf.DUMMYFUNCTION("""COMPUTED_VALUE"""),104.4)</f>
        <v>104.4</v>
      </c>
      <c r="C74" s="6">
        <f>IFERROR(__xludf.DUMMYFUNCTION("""COMPUTED_VALUE"""),115.16)</f>
        <v>115.16</v>
      </c>
      <c r="D74" s="6">
        <f>IFERROR(__xludf.DUMMYFUNCTION("""COMPUTED_VALUE"""),102.0)</f>
        <v>102</v>
      </c>
      <c r="E74" s="6">
        <f>IFERROR(__xludf.DUMMYFUNCTION("""COMPUTED_VALUE"""),112.76)</f>
        <v>112.76</v>
      </c>
      <c r="F74" s="6">
        <f>IFERROR(__xludf.DUMMYFUNCTION("""COMPUTED_VALUE"""),9.6563617E7)</f>
        <v>96563617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IFERROR(__xludf.DUMMYFUNCTION("""COMPUTED_VALUE"""),111.1)</f>
        <v>111.1</v>
      </c>
      <c r="C75" s="6">
        <f>IFERROR(__xludf.DUMMYFUNCTION("""COMPUTED_VALUE"""),112.17)</f>
        <v>112.17</v>
      </c>
      <c r="D75" s="6">
        <f>IFERROR(__xludf.DUMMYFUNCTION("""COMPUTED_VALUE"""),101.6)</f>
        <v>101.6</v>
      </c>
      <c r="E75" s="6">
        <f>IFERROR(__xludf.DUMMYFUNCTION("""COMPUTED_VALUE"""),105.02)</f>
        <v>105.02</v>
      </c>
      <c r="F75" s="6">
        <f>IFERROR(__xludf.DUMMYFUNCTION("""COMPUTED_VALUE"""),8.8740587E7)</f>
        <v>88740587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IFERROR(__xludf.DUMMYFUNCTION("""COMPUTED_VALUE"""),105.3)</f>
        <v>105.3</v>
      </c>
      <c r="C76" s="6">
        <f>IFERROR(__xludf.DUMMYFUNCTION("""COMPUTED_VALUE"""),114.9)</f>
        <v>114.9</v>
      </c>
      <c r="D76" s="6">
        <f>IFERROR(__xludf.DUMMYFUNCTION("""COMPUTED_VALUE"""),102.73)</f>
        <v>102.73</v>
      </c>
      <c r="E76" s="6">
        <f>IFERROR(__xludf.DUMMYFUNCTION("""COMPUTED_VALUE"""),110.91)</f>
        <v>110.91</v>
      </c>
      <c r="F76" s="6">
        <f>IFERROR(__xludf.DUMMYFUNCTION("""COMPUTED_VALUE"""),1.45104798E8)</f>
        <v>145104798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IFERROR(__xludf.DUMMYFUNCTION("""COMPUTED_VALUE"""),110.9)</f>
        <v>110.9</v>
      </c>
      <c r="C77" s="6">
        <f>IFERROR(__xludf.DUMMYFUNCTION("""COMPUTED_VALUE"""),112.66)</f>
        <v>112.66</v>
      </c>
      <c r="D77" s="6">
        <f>IFERROR(__xludf.DUMMYFUNCTION("""COMPUTED_VALUE"""),104.6)</f>
        <v>104.6</v>
      </c>
      <c r="E77" s="6">
        <f>IFERROR(__xludf.DUMMYFUNCTION("""COMPUTED_VALUE"""),105.89)</f>
        <v>105.89</v>
      </c>
      <c r="F77" s="6">
        <f>IFERROR(__xludf.DUMMYFUNCTION("""COMPUTED_VALUE"""),1.04798817E8)</f>
        <v>104798817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IFERROR(__xludf.DUMMYFUNCTION("""COMPUTED_VALUE"""),106.65)</f>
        <v>106.65</v>
      </c>
      <c r="C78" s="6">
        <f>IFERROR(__xludf.DUMMYFUNCTION("""COMPUTED_VALUE"""),115.89)</f>
        <v>115.89</v>
      </c>
      <c r="D78" s="6">
        <f>IFERROR(__xludf.DUMMYFUNCTION("""COMPUTED_VALUE"""),105.05)</f>
        <v>105.05</v>
      </c>
      <c r="E78" s="6">
        <f>IFERROR(__xludf.DUMMYFUNCTION("""COMPUTED_VALUE"""),115.3)</f>
        <v>115.3</v>
      </c>
      <c r="F78" s="6">
        <f>IFERROR(__xludf.DUMMYFUNCTION("""COMPUTED_VALUE"""),1.29697921E8)</f>
        <v>129697921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IFERROR(__xludf.DUMMYFUNCTION("""COMPUTED_VALUE"""),116.1)</f>
        <v>116.1</v>
      </c>
      <c r="C79" s="6">
        <f>IFERROR(__xludf.DUMMYFUNCTION("""COMPUTED_VALUE"""),118.63)</f>
        <v>118.63</v>
      </c>
      <c r="D79" s="6">
        <f>IFERROR(__xludf.DUMMYFUNCTION("""COMPUTED_VALUE"""),112.7)</f>
        <v>112.7</v>
      </c>
      <c r="E79" s="6">
        <f>IFERROR(__xludf.DUMMYFUNCTION("""COMPUTED_VALUE"""),115.18)</f>
        <v>115.18</v>
      </c>
      <c r="F79" s="6">
        <f>IFERROR(__xludf.DUMMYFUNCTION("""COMPUTED_VALUE"""),1.00804024E8)</f>
        <v>100804024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IFERROR(__xludf.DUMMYFUNCTION("""COMPUTED_VALUE"""),114.35)</f>
        <v>114.35</v>
      </c>
      <c r="C80" s="6">
        <f>IFERROR(__xludf.DUMMYFUNCTION("""COMPUTED_VALUE"""),119.63)</f>
        <v>119.63</v>
      </c>
      <c r="D80" s="6">
        <f>IFERROR(__xludf.DUMMYFUNCTION("""COMPUTED_VALUE"""),112.01)</f>
        <v>112.01</v>
      </c>
      <c r="E80" s="6">
        <f>IFERROR(__xludf.DUMMYFUNCTION("""COMPUTED_VALUE"""),112.6)</f>
        <v>112.6</v>
      </c>
      <c r="F80" s="6">
        <f>IFERROR(__xludf.DUMMYFUNCTION("""COMPUTED_VALUE"""),8.5463086E7)</f>
        <v>85463086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IFERROR(__xludf.DUMMYFUNCTION("""COMPUTED_VALUE"""),101.34)</f>
        <v>101.34</v>
      </c>
      <c r="C81" s="6">
        <f>IFERROR(__xludf.DUMMYFUNCTION("""COMPUTED_VALUE"""),110.2)</f>
        <v>110.2</v>
      </c>
      <c r="D81" s="6">
        <f>IFERROR(__xludf.DUMMYFUNCTION("""COMPUTED_VALUE"""),101.13)</f>
        <v>101.13</v>
      </c>
      <c r="E81" s="6">
        <f>IFERROR(__xludf.DUMMYFUNCTION("""COMPUTED_VALUE"""),108.34)</f>
        <v>108.34</v>
      </c>
      <c r="F81" s="6">
        <f>IFERROR(__xludf.DUMMYFUNCTION("""COMPUTED_VALUE"""),9.0517913E7)</f>
        <v>90517913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IFERROR(__xludf.DUMMYFUNCTION("""COMPUTED_VALUE"""),110.21)</f>
        <v>110.21</v>
      </c>
      <c r="C82" s="6">
        <f>IFERROR(__xludf.DUMMYFUNCTION("""COMPUTED_VALUE"""),116.28)</f>
        <v>116.28</v>
      </c>
      <c r="D82" s="6">
        <f>IFERROR(__xludf.DUMMYFUNCTION("""COMPUTED_VALUE"""),109.66)</f>
        <v>109.66</v>
      </c>
      <c r="E82" s="6">
        <f>IFERROR(__xludf.DUMMYFUNCTION("""COMPUTED_VALUE"""),113.96)</f>
        <v>113.96</v>
      </c>
      <c r="F82" s="6">
        <f>IFERROR(__xludf.DUMMYFUNCTION("""COMPUTED_VALUE"""),5.7334214E7)</f>
        <v>57334214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IFERROR(__xludf.DUMMYFUNCTION("""COMPUTED_VALUE"""),113.96)</f>
        <v>113.96</v>
      </c>
      <c r="C83" s="6">
        <f>IFERROR(__xludf.DUMMYFUNCTION("""COMPUTED_VALUE"""),120.35)</f>
        <v>120.35</v>
      </c>
      <c r="D83" s="6">
        <f>IFERROR(__xludf.DUMMYFUNCTION("""COMPUTED_VALUE"""),112.8)</f>
        <v>112.8</v>
      </c>
      <c r="E83" s="6">
        <f>IFERROR(__xludf.DUMMYFUNCTION("""COMPUTED_VALUE"""),114.81)</f>
        <v>114.81</v>
      </c>
      <c r="F83" s="6">
        <f>IFERROR(__xludf.DUMMYFUNCTION("""COMPUTED_VALUE"""),9.9346959E7)</f>
        <v>99346959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IFERROR(__xludf.DUMMYFUNCTION("""COMPUTED_VALUE"""),115.0)</f>
        <v>115</v>
      </c>
      <c r="C84" s="6">
        <f>IFERROR(__xludf.DUMMYFUNCTION("""COMPUTED_VALUE"""),118.3)</f>
        <v>118.3</v>
      </c>
      <c r="D84" s="6">
        <f>IFERROR(__xludf.DUMMYFUNCTION("""COMPUTED_VALUE"""),112.31)</f>
        <v>112.31</v>
      </c>
      <c r="E84" s="6">
        <f>IFERROR(__xludf.DUMMYFUNCTION("""COMPUTED_VALUE"""),113.22)</f>
        <v>113.22</v>
      </c>
      <c r="F84" s="6">
        <f>IFERROR(__xludf.DUMMYFUNCTION("""COMPUTED_VALUE"""),4.6142096E7)</f>
        <v>46142096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IFERROR(__xludf.DUMMYFUNCTION("""COMPUTED_VALUE"""),114.0)</f>
        <v>114</v>
      </c>
      <c r="C85" s="6">
        <f>IFERROR(__xludf.DUMMYFUNCTION("""COMPUTED_VALUE"""),115.8)</f>
        <v>115.8</v>
      </c>
      <c r="D85" s="6">
        <f>IFERROR(__xludf.DUMMYFUNCTION("""COMPUTED_VALUE"""),106.25)</f>
        <v>106.25</v>
      </c>
      <c r="E85" s="6">
        <f>IFERROR(__xludf.DUMMYFUNCTION("""COMPUTED_VALUE"""),109.01)</f>
        <v>109.01</v>
      </c>
      <c r="F85" s="6">
        <f>IFERROR(__xludf.DUMMYFUNCTION("""COMPUTED_VALUE"""),6.4315477E7)</f>
        <v>64315477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IFERROR(__xludf.DUMMYFUNCTION("""COMPUTED_VALUE"""),112.77)</f>
        <v>112.77</v>
      </c>
      <c r="C86" s="6">
        <f>IFERROR(__xludf.DUMMYFUNCTION("""COMPUTED_VALUE"""),123.65)</f>
        <v>123.65</v>
      </c>
      <c r="D86" s="6">
        <f>IFERROR(__xludf.DUMMYFUNCTION("""COMPUTED_VALUE"""),112.4)</f>
        <v>112.4</v>
      </c>
      <c r="E86" s="6">
        <f>IFERROR(__xludf.DUMMYFUNCTION("""COMPUTED_VALUE"""),122.48)</f>
        <v>122.48</v>
      </c>
      <c r="F86" s="6">
        <f>IFERROR(__xludf.DUMMYFUNCTION("""COMPUTED_VALUE"""),1.03515962E8)</f>
        <v>103515962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IFERROR(__xludf.DUMMYFUNCTION("""COMPUTED_VALUE"""),122.48)</f>
        <v>122.48</v>
      </c>
      <c r="C87" s="6">
        <f>IFERROR(__xludf.DUMMYFUNCTION("""COMPUTED_VALUE"""),126.79)</f>
        <v>126.79</v>
      </c>
      <c r="D87" s="6">
        <f>IFERROR(__xludf.DUMMYFUNCTION("""COMPUTED_VALUE"""),120.74)</f>
        <v>120.74</v>
      </c>
      <c r="E87" s="6">
        <f>IFERROR(__xludf.DUMMYFUNCTION("""COMPUTED_VALUE"""),125.92)</f>
        <v>125.92</v>
      </c>
      <c r="F87" s="6">
        <f>IFERROR(__xludf.DUMMYFUNCTION("""COMPUTED_VALUE"""),8.7505289E7)</f>
        <v>87505289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IFERROR(__xludf.DUMMYFUNCTION("""COMPUTED_VALUE"""),126.2)</f>
        <v>126.2</v>
      </c>
      <c r="C88" s="6">
        <f>IFERROR(__xludf.DUMMYFUNCTION("""COMPUTED_VALUE"""),131.8)</f>
        <v>131.8</v>
      </c>
      <c r="D88" s="6">
        <f>IFERROR(__xludf.DUMMYFUNCTION("""COMPUTED_VALUE"""),125.81)</f>
        <v>125.81</v>
      </c>
      <c r="E88" s="6">
        <f>IFERROR(__xludf.DUMMYFUNCTION("""COMPUTED_VALUE"""),129.18)</f>
        <v>129.18</v>
      </c>
      <c r="F88" s="6">
        <f>IFERROR(__xludf.DUMMYFUNCTION("""COMPUTED_VALUE"""),1.18624232E8)</f>
        <v>118624232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IFERROR(__xludf.DUMMYFUNCTION("""COMPUTED_VALUE"""),127.0)</f>
        <v>127</v>
      </c>
      <c r="C89" s="6">
        <f>IFERROR(__xludf.DUMMYFUNCTION("""COMPUTED_VALUE"""),135.3)</f>
        <v>135.3</v>
      </c>
      <c r="D89" s="6">
        <f>IFERROR(__xludf.DUMMYFUNCTION("""COMPUTED_VALUE"""),126.43)</f>
        <v>126.43</v>
      </c>
      <c r="E89" s="6">
        <f>IFERROR(__xludf.DUMMYFUNCTION("""COMPUTED_VALUE"""),135.04)</f>
        <v>135.04</v>
      </c>
      <c r="F89" s="6">
        <f>IFERROR(__xludf.DUMMYFUNCTION("""COMPUTED_VALUE"""),8.7534086E7)</f>
        <v>87534086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IFERROR(__xludf.DUMMYFUNCTION("""COMPUTED_VALUE"""),135.2)</f>
        <v>135.2</v>
      </c>
      <c r="C90" s="6">
        <f>IFERROR(__xludf.DUMMYFUNCTION("""COMPUTED_VALUE"""),135.98)</f>
        <v>135.98</v>
      </c>
      <c r="D90" s="6">
        <f>IFERROR(__xludf.DUMMYFUNCTION("""COMPUTED_VALUE"""),126.55)</f>
        <v>126.55</v>
      </c>
      <c r="E90" s="6">
        <f>IFERROR(__xludf.DUMMYFUNCTION("""COMPUTED_VALUE"""),129.35)</f>
        <v>129.35</v>
      </c>
      <c r="F90" s="6">
        <f>IFERROR(__xludf.DUMMYFUNCTION("""COMPUTED_VALUE"""),4.4876246E7)</f>
        <v>44876246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IFERROR(__xludf.DUMMYFUNCTION("""COMPUTED_VALUE"""),129.0)</f>
        <v>129</v>
      </c>
      <c r="C91" s="6">
        <f>IFERROR(__xludf.DUMMYFUNCTION("""COMPUTED_VALUE"""),129.9)</f>
        <v>129.9</v>
      </c>
      <c r="D91" s="6">
        <f>IFERROR(__xludf.DUMMYFUNCTION("""COMPUTED_VALUE"""),123.85)</f>
        <v>123.85</v>
      </c>
      <c r="E91" s="6">
        <f>IFERROR(__xludf.DUMMYFUNCTION("""COMPUTED_VALUE"""),127.48)</f>
        <v>127.48</v>
      </c>
      <c r="F91" s="6">
        <f>IFERROR(__xludf.DUMMYFUNCTION("""COMPUTED_VALUE"""),4.7595691E7)</f>
        <v>47595691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IFERROR(__xludf.DUMMYFUNCTION("""COMPUTED_VALUE"""),126.19)</f>
        <v>126.19</v>
      </c>
      <c r="C92" s="6">
        <f>IFERROR(__xludf.DUMMYFUNCTION("""COMPUTED_VALUE"""),136.34)</f>
        <v>136.34</v>
      </c>
      <c r="D92" s="6">
        <f>IFERROR(__xludf.DUMMYFUNCTION("""COMPUTED_VALUE"""),125.87)</f>
        <v>125.87</v>
      </c>
      <c r="E92" s="6">
        <f>IFERROR(__xludf.DUMMYFUNCTION("""COMPUTED_VALUE"""),131.7)</f>
        <v>131.7</v>
      </c>
      <c r="F92" s="6">
        <f>IFERROR(__xludf.DUMMYFUNCTION("""COMPUTED_VALUE"""),8.0524693E7)</f>
        <v>80524693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IFERROR(__xludf.DUMMYFUNCTION("""COMPUTED_VALUE"""),132.34)</f>
        <v>132.34</v>
      </c>
      <c r="C93" s="6">
        <f>IFERROR(__xludf.DUMMYFUNCTION("""COMPUTED_VALUE"""),139.98)</f>
        <v>139.98</v>
      </c>
      <c r="D93" s="6">
        <f>IFERROR(__xludf.DUMMYFUNCTION("""COMPUTED_VALUE"""),130.05)</f>
        <v>130.05</v>
      </c>
      <c r="E93" s="6">
        <f>IFERROR(__xludf.DUMMYFUNCTION("""COMPUTED_VALUE"""),134.72)</f>
        <v>134.72</v>
      </c>
      <c r="F93" s="6">
        <f>IFERROR(__xludf.DUMMYFUNCTION("""COMPUTED_VALUE"""),8.0904312E7)</f>
        <v>80904312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IFERROR(__xludf.DUMMYFUNCTION("""COMPUTED_VALUE"""),133.76)</f>
        <v>133.76</v>
      </c>
      <c r="C94" s="6">
        <f>IFERROR(__xludf.DUMMYFUNCTION("""COMPUTED_VALUE"""),136.8)</f>
        <v>136.8</v>
      </c>
      <c r="D94" s="6">
        <f>IFERROR(__xludf.DUMMYFUNCTION("""COMPUTED_VALUE"""),131.0)</f>
        <v>131</v>
      </c>
      <c r="E94" s="6">
        <f>IFERROR(__xludf.DUMMYFUNCTION("""COMPUTED_VALUE"""),134.33)</f>
        <v>134.33</v>
      </c>
      <c r="F94" s="6">
        <f>IFERROR(__xludf.DUMMYFUNCTION("""COMPUTED_VALUE"""),4.4793547E7)</f>
        <v>44793547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IFERROR(__xludf.DUMMYFUNCTION("""COMPUTED_VALUE"""),133.6)</f>
        <v>133.6</v>
      </c>
      <c r="C95" s="6">
        <f>IFERROR(__xludf.DUMMYFUNCTION("""COMPUTED_VALUE"""),136.75)</f>
        <v>136.75</v>
      </c>
      <c r="D95" s="6">
        <f>IFERROR(__xludf.DUMMYFUNCTION("""COMPUTED_VALUE"""),132.5)</f>
        <v>132.5</v>
      </c>
      <c r="E95" s="6">
        <f>IFERROR(__xludf.DUMMYFUNCTION("""COMPUTED_VALUE"""),136.45)</f>
        <v>136.45</v>
      </c>
      <c r="F95" s="6">
        <f>IFERROR(__xludf.DUMMYFUNCTION("""COMPUTED_VALUE"""),3.5235545E7)</f>
        <v>35235545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IFERROR(__xludf.DUMMYFUNCTION("""COMPUTED_VALUE"""),137.0)</f>
        <v>137</v>
      </c>
      <c r="C96" s="6">
        <f>IFERROR(__xludf.DUMMYFUNCTION("""COMPUTED_VALUE"""),138.75)</f>
        <v>138.75</v>
      </c>
      <c r="D96" s="6">
        <f>IFERROR(__xludf.DUMMYFUNCTION("""COMPUTED_VALUE"""),130.08)</f>
        <v>130.08</v>
      </c>
      <c r="E96" s="6">
        <f>IFERROR(__xludf.DUMMYFUNCTION("""COMPUTED_VALUE"""),130.67)</f>
        <v>130.67</v>
      </c>
      <c r="F96" s="6">
        <f>IFERROR(__xludf.DUMMYFUNCTION("""COMPUTED_VALUE"""),5.7753017E7)</f>
        <v>57753017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IFERROR(__xludf.DUMMYFUNCTION("""COMPUTED_VALUE"""),128.6)</f>
        <v>128.6</v>
      </c>
      <c r="C97" s="6">
        <f>IFERROR(__xludf.DUMMYFUNCTION("""COMPUTED_VALUE"""),128.61)</f>
        <v>128.61</v>
      </c>
      <c r="D97" s="6">
        <f>IFERROR(__xludf.DUMMYFUNCTION("""COMPUTED_VALUE"""),119.75)</f>
        <v>119.75</v>
      </c>
      <c r="E97" s="6">
        <f>IFERROR(__xludf.DUMMYFUNCTION("""COMPUTED_VALUE"""),120.12)</f>
        <v>120.12</v>
      </c>
      <c r="F97" s="6">
        <f>IFERROR(__xludf.DUMMYFUNCTION("""COMPUTED_VALUE"""),8.4311623E7)</f>
        <v>84311623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IFERROR(__xludf.DUMMYFUNCTION("""COMPUTED_VALUE"""),120.66)</f>
        <v>120.66</v>
      </c>
      <c r="C98" s="6">
        <f>IFERROR(__xludf.DUMMYFUNCTION("""COMPUTED_VALUE"""),125.88)</f>
        <v>125.88</v>
      </c>
      <c r="D98" s="6">
        <f>IFERROR(__xludf.DUMMYFUNCTION("""COMPUTED_VALUE"""),120.36)</f>
        <v>120.36</v>
      </c>
      <c r="E98" s="6">
        <f>IFERROR(__xludf.DUMMYFUNCTION("""COMPUTED_VALUE"""),121.07)</f>
        <v>121.07</v>
      </c>
      <c r="F98" s="6">
        <f>IFERROR(__xludf.DUMMYFUNCTION("""COMPUTED_VALUE"""),4.9269222E7)</f>
        <v>49269222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IFERROR(__xludf.DUMMYFUNCTION("""COMPUTED_VALUE"""),121.07)</f>
        <v>121.07</v>
      </c>
      <c r="C99" s="6">
        <f>IFERROR(__xludf.DUMMYFUNCTION("""COMPUTED_VALUE"""),124.64)</f>
        <v>124.64</v>
      </c>
      <c r="D99" s="6">
        <f>IFERROR(__xludf.DUMMYFUNCTION("""COMPUTED_VALUE"""),119.9)</f>
        <v>119.9</v>
      </c>
      <c r="E99" s="6">
        <f>IFERROR(__xludf.DUMMYFUNCTION("""COMPUTED_VALUE"""),120.37)</f>
        <v>120.37</v>
      </c>
      <c r="F99" s="6">
        <f>IFERROR(__xludf.DUMMYFUNCTION("""COMPUTED_VALUE"""),3.5582878E7)</f>
        <v>35582878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IFERROR(__xludf.DUMMYFUNCTION("""COMPUTED_VALUE"""),122.8)</f>
        <v>122.8</v>
      </c>
      <c r="C100" s="6">
        <f>IFERROR(__xludf.DUMMYFUNCTION("""COMPUTED_VALUE"""),125.83)</f>
        <v>125.83</v>
      </c>
      <c r="D100" s="6">
        <f>IFERROR(__xludf.DUMMYFUNCTION("""COMPUTED_VALUE"""),121.42)</f>
        <v>121.42</v>
      </c>
      <c r="E100" s="6">
        <f>IFERROR(__xludf.DUMMYFUNCTION("""COMPUTED_VALUE"""),121.93)</f>
        <v>121.93</v>
      </c>
      <c r="F100" s="6">
        <f>IFERROR(__xludf.DUMMYFUNCTION("""COMPUTED_VALUE"""),3.4743098E7)</f>
        <v>34743098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IFERROR(__xludf.DUMMYFUNCTION("""COMPUTED_VALUE"""),122.66)</f>
        <v>122.66</v>
      </c>
      <c r="C101" s="6">
        <f>IFERROR(__xludf.DUMMYFUNCTION("""COMPUTED_VALUE"""),123.6)</f>
        <v>123.6</v>
      </c>
      <c r="D101" s="6">
        <f>IFERROR(__xludf.DUMMYFUNCTION("""COMPUTED_VALUE"""),119.0)</f>
        <v>119</v>
      </c>
      <c r="E101" s="6">
        <f>IFERROR(__xludf.DUMMYFUNCTION("""COMPUTED_VALUE"""),119.94)</f>
        <v>119.94</v>
      </c>
      <c r="F101" s="6">
        <f>IFERROR(__xludf.DUMMYFUNCTION("""COMPUTED_VALUE"""),6.4623248E7)</f>
        <v>64623248</v>
      </c>
    </row>
  </sheetData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IFERROR(__xludf.DUMMYFUNCTION("GOOGLEFINANCE(""NSE:SBICARD"",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IFERROR(__xludf.DUMMYFUNCTION("""COMPUTED_VALUE"""),820.75)</f>
        <v>820.75</v>
      </c>
      <c r="C2" s="6">
        <f>IFERROR(__xludf.DUMMYFUNCTION("""COMPUTED_VALUE"""),842.0)</f>
        <v>842</v>
      </c>
      <c r="D2" s="6">
        <f>IFERROR(__xludf.DUMMYFUNCTION("""COMPUTED_VALUE"""),814.5)</f>
        <v>814.5</v>
      </c>
      <c r="E2" s="6">
        <f>IFERROR(__xludf.DUMMYFUNCTION("""COMPUTED_VALUE"""),840.3)</f>
        <v>840.3</v>
      </c>
      <c r="F2" s="6">
        <f>IFERROR(__xludf.DUMMYFUNCTION("""COMPUTED_VALUE"""),6471100.0)</f>
        <v>6471100</v>
      </c>
    </row>
    <row r="3">
      <c r="A3" s="7">
        <f>IFERROR(__xludf.DUMMYFUNCTION("""COMPUTED_VALUE"""),45177.64583333333)</f>
        <v>45177.64583</v>
      </c>
      <c r="B3" s="6">
        <f>IFERROR(__xludf.DUMMYFUNCTION("""COMPUTED_VALUE"""),846.0)</f>
        <v>846</v>
      </c>
      <c r="C3" s="6">
        <f>IFERROR(__xludf.DUMMYFUNCTION("""COMPUTED_VALUE"""),851.7)</f>
        <v>851.7</v>
      </c>
      <c r="D3" s="6">
        <f>IFERROR(__xludf.DUMMYFUNCTION("""COMPUTED_VALUE"""),831.1)</f>
        <v>831.1</v>
      </c>
      <c r="E3" s="6">
        <f>IFERROR(__xludf.DUMMYFUNCTION("""COMPUTED_VALUE"""),839.9)</f>
        <v>839.9</v>
      </c>
      <c r="F3" s="6">
        <f>IFERROR(__xludf.DUMMYFUNCTION("""COMPUTED_VALUE"""),3899975.0)</f>
        <v>3899975</v>
      </c>
    </row>
    <row r="4">
      <c r="A4" s="7">
        <f>IFERROR(__xludf.DUMMYFUNCTION("""COMPUTED_VALUE"""),45184.64583333333)</f>
        <v>45184.64583</v>
      </c>
      <c r="B4" s="6">
        <f>IFERROR(__xludf.DUMMYFUNCTION("""COMPUTED_VALUE"""),844.95)</f>
        <v>844.95</v>
      </c>
      <c r="C4" s="6">
        <f>IFERROR(__xludf.DUMMYFUNCTION("""COMPUTED_VALUE"""),857.8)</f>
        <v>857.8</v>
      </c>
      <c r="D4" s="6">
        <f>IFERROR(__xludf.DUMMYFUNCTION("""COMPUTED_VALUE"""),821.05)</f>
        <v>821.05</v>
      </c>
      <c r="E4" s="6">
        <f>IFERROR(__xludf.DUMMYFUNCTION("""COMPUTED_VALUE"""),839.0)</f>
        <v>839</v>
      </c>
      <c r="F4" s="6">
        <f>IFERROR(__xludf.DUMMYFUNCTION("""COMPUTED_VALUE"""),5050707.0)</f>
        <v>5050707</v>
      </c>
    </row>
    <row r="5">
      <c r="A5" s="7">
        <f>IFERROR(__xludf.DUMMYFUNCTION("""COMPUTED_VALUE"""),45191.64583333333)</f>
        <v>45191.64583</v>
      </c>
      <c r="B5" s="6">
        <f>IFERROR(__xludf.DUMMYFUNCTION("""COMPUTED_VALUE"""),839.0)</f>
        <v>839</v>
      </c>
      <c r="C5" s="6">
        <f>IFERROR(__xludf.DUMMYFUNCTION("""COMPUTED_VALUE"""),841.25)</f>
        <v>841.25</v>
      </c>
      <c r="D5" s="6">
        <f>IFERROR(__xludf.DUMMYFUNCTION("""COMPUTED_VALUE"""),795.4)</f>
        <v>795.4</v>
      </c>
      <c r="E5" s="6">
        <f>IFERROR(__xludf.DUMMYFUNCTION("""COMPUTED_VALUE"""),798.4)</f>
        <v>798.4</v>
      </c>
      <c r="F5" s="6">
        <f>IFERROR(__xludf.DUMMYFUNCTION("""COMPUTED_VALUE"""),6699530.0)</f>
        <v>6699530</v>
      </c>
    </row>
    <row r="6">
      <c r="A6" s="7">
        <f>IFERROR(__xludf.DUMMYFUNCTION("""COMPUTED_VALUE"""),45198.64583333333)</f>
        <v>45198.64583</v>
      </c>
      <c r="B6" s="6">
        <f>IFERROR(__xludf.DUMMYFUNCTION("""COMPUTED_VALUE"""),800.05)</f>
        <v>800.05</v>
      </c>
      <c r="C6" s="6">
        <f>IFERROR(__xludf.DUMMYFUNCTION("""COMPUTED_VALUE"""),805.65)</f>
        <v>805.65</v>
      </c>
      <c r="D6" s="6">
        <f>IFERROR(__xludf.DUMMYFUNCTION("""COMPUTED_VALUE"""),780.0)</f>
        <v>780</v>
      </c>
      <c r="E6" s="6">
        <f>IFERROR(__xludf.DUMMYFUNCTION("""COMPUTED_VALUE"""),791.1)</f>
        <v>791.1</v>
      </c>
      <c r="F6" s="6">
        <f>IFERROR(__xludf.DUMMYFUNCTION("""COMPUTED_VALUE"""),8827248.0)</f>
        <v>8827248</v>
      </c>
    </row>
    <row r="7">
      <c r="A7" s="7">
        <f>IFERROR(__xludf.DUMMYFUNCTION("""COMPUTED_VALUE"""),45205.64583333333)</f>
        <v>45205.64583</v>
      </c>
      <c r="B7" s="6">
        <f>IFERROR(__xludf.DUMMYFUNCTION("""COMPUTED_VALUE"""),796.6)</f>
        <v>796.6</v>
      </c>
      <c r="C7" s="6">
        <f>IFERROR(__xludf.DUMMYFUNCTION("""COMPUTED_VALUE"""),801.85)</f>
        <v>801.85</v>
      </c>
      <c r="D7" s="6">
        <f>IFERROR(__xludf.DUMMYFUNCTION("""COMPUTED_VALUE"""),784.0)</f>
        <v>784</v>
      </c>
      <c r="E7" s="6">
        <f>IFERROR(__xludf.DUMMYFUNCTION("""COMPUTED_VALUE"""),798.15)</f>
        <v>798.15</v>
      </c>
      <c r="F7" s="6">
        <f>IFERROR(__xludf.DUMMYFUNCTION("""COMPUTED_VALUE"""),5308960.0)</f>
        <v>5308960</v>
      </c>
    </row>
    <row r="8">
      <c r="A8" s="7">
        <f>IFERROR(__xludf.DUMMYFUNCTION("""COMPUTED_VALUE"""),45212.64583333333)</f>
        <v>45212.64583</v>
      </c>
      <c r="B8" s="6">
        <f>IFERROR(__xludf.DUMMYFUNCTION("""COMPUTED_VALUE"""),793.5)</f>
        <v>793.5</v>
      </c>
      <c r="C8" s="6">
        <f>IFERROR(__xludf.DUMMYFUNCTION("""COMPUTED_VALUE"""),806.55)</f>
        <v>806.55</v>
      </c>
      <c r="D8" s="6">
        <f>IFERROR(__xludf.DUMMYFUNCTION("""COMPUTED_VALUE"""),773.7)</f>
        <v>773.7</v>
      </c>
      <c r="E8" s="6">
        <f>IFERROR(__xludf.DUMMYFUNCTION("""COMPUTED_VALUE"""),789.9)</f>
        <v>789.9</v>
      </c>
      <c r="F8" s="6">
        <f>IFERROR(__xludf.DUMMYFUNCTION("""COMPUTED_VALUE"""),5787590.0)</f>
        <v>5787590</v>
      </c>
    </row>
    <row r="9">
      <c r="A9" s="7">
        <f>IFERROR(__xludf.DUMMYFUNCTION("""COMPUTED_VALUE"""),45219.64583333333)</f>
        <v>45219.64583</v>
      </c>
      <c r="B9" s="6">
        <f>IFERROR(__xludf.DUMMYFUNCTION("""COMPUTED_VALUE"""),794.8)</f>
        <v>794.8</v>
      </c>
      <c r="C9" s="6">
        <f>IFERROR(__xludf.DUMMYFUNCTION("""COMPUTED_VALUE"""),811.85)</f>
        <v>811.85</v>
      </c>
      <c r="D9" s="6">
        <f>IFERROR(__xludf.DUMMYFUNCTION("""COMPUTED_VALUE"""),784.5)</f>
        <v>784.5</v>
      </c>
      <c r="E9" s="6">
        <f>IFERROR(__xludf.DUMMYFUNCTION("""COMPUTED_VALUE"""),785.9)</f>
        <v>785.9</v>
      </c>
      <c r="F9" s="6">
        <f>IFERROR(__xludf.DUMMYFUNCTION("""COMPUTED_VALUE"""),3368057.0)</f>
        <v>3368057</v>
      </c>
    </row>
    <row r="10">
      <c r="A10" s="7">
        <f>IFERROR(__xludf.DUMMYFUNCTION("""COMPUTED_VALUE"""),45226.64583333333)</f>
        <v>45226.64583</v>
      </c>
      <c r="B10" s="6">
        <f>IFERROR(__xludf.DUMMYFUNCTION("""COMPUTED_VALUE"""),788.0)</f>
        <v>788</v>
      </c>
      <c r="C10" s="6">
        <f>IFERROR(__xludf.DUMMYFUNCTION("""COMPUTED_VALUE"""),796.5)</f>
        <v>796.5</v>
      </c>
      <c r="D10" s="6">
        <f>IFERROR(__xludf.DUMMYFUNCTION("""COMPUTED_VALUE"""),767.25)</f>
        <v>767.25</v>
      </c>
      <c r="E10" s="6">
        <f>IFERROR(__xludf.DUMMYFUNCTION("""COMPUTED_VALUE"""),790.4)</f>
        <v>790.4</v>
      </c>
      <c r="F10" s="6">
        <f>IFERROR(__xludf.DUMMYFUNCTION("""COMPUTED_VALUE"""),3229098.0)</f>
        <v>3229098</v>
      </c>
    </row>
    <row r="11">
      <c r="A11" s="7">
        <f>IFERROR(__xludf.DUMMYFUNCTION("""COMPUTED_VALUE"""),45233.64583333333)</f>
        <v>45233.64583</v>
      </c>
      <c r="B11" s="6">
        <f>IFERROR(__xludf.DUMMYFUNCTION("""COMPUTED_VALUE"""),783.15)</f>
        <v>783.15</v>
      </c>
      <c r="C11" s="6">
        <f>IFERROR(__xludf.DUMMYFUNCTION("""COMPUTED_VALUE"""),783.15)</f>
        <v>783.15</v>
      </c>
      <c r="D11" s="6">
        <f>IFERROR(__xludf.DUMMYFUNCTION("""COMPUTED_VALUE"""),731.25)</f>
        <v>731.25</v>
      </c>
      <c r="E11" s="6">
        <f>IFERROR(__xludf.DUMMYFUNCTION("""COMPUTED_VALUE"""),747.2)</f>
        <v>747.2</v>
      </c>
      <c r="F11" s="6">
        <f>IFERROR(__xludf.DUMMYFUNCTION("""COMPUTED_VALUE"""),1.3123609E7)</f>
        <v>13123609</v>
      </c>
    </row>
    <row r="12">
      <c r="A12" s="7">
        <f>IFERROR(__xludf.DUMMYFUNCTION("""COMPUTED_VALUE"""),45240.64583333333)</f>
        <v>45240.64583</v>
      </c>
      <c r="B12" s="6">
        <f>IFERROR(__xludf.DUMMYFUNCTION("""COMPUTED_VALUE"""),754.8)</f>
        <v>754.8</v>
      </c>
      <c r="C12" s="6">
        <f>IFERROR(__xludf.DUMMYFUNCTION("""COMPUTED_VALUE"""),758.5)</f>
        <v>758.5</v>
      </c>
      <c r="D12" s="6">
        <f>IFERROR(__xludf.DUMMYFUNCTION("""COMPUTED_VALUE"""),745.9)</f>
        <v>745.9</v>
      </c>
      <c r="E12" s="6">
        <f>IFERROR(__xludf.DUMMYFUNCTION("""COMPUTED_VALUE"""),753.45)</f>
        <v>753.45</v>
      </c>
      <c r="F12" s="6">
        <f>IFERROR(__xludf.DUMMYFUNCTION("""COMPUTED_VALUE"""),4928015.0)</f>
        <v>4928015</v>
      </c>
    </row>
    <row r="13">
      <c r="A13" s="7">
        <f>IFERROR(__xludf.DUMMYFUNCTION("""COMPUTED_VALUE"""),45247.64583333333)</f>
        <v>45247.64583</v>
      </c>
      <c r="B13" s="6">
        <f>IFERROR(__xludf.DUMMYFUNCTION("""COMPUTED_VALUE"""),761.8)</f>
        <v>761.8</v>
      </c>
      <c r="C13" s="6">
        <f>IFERROR(__xludf.DUMMYFUNCTION("""COMPUTED_VALUE"""),775.75)</f>
        <v>775.75</v>
      </c>
      <c r="D13" s="6">
        <f>IFERROR(__xludf.DUMMYFUNCTION("""COMPUTED_VALUE"""),720.8)</f>
        <v>720.8</v>
      </c>
      <c r="E13" s="6">
        <f>IFERROR(__xludf.DUMMYFUNCTION("""COMPUTED_VALUE"""),732.85)</f>
        <v>732.85</v>
      </c>
      <c r="F13" s="6">
        <f>IFERROR(__xludf.DUMMYFUNCTION("""COMPUTED_VALUE"""),1.429118E7)</f>
        <v>14291180</v>
      </c>
    </row>
    <row r="14">
      <c r="A14" s="7">
        <f>IFERROR(__xludf.DUMMYFUNCTION("""COMPUTED_VALUE"""),45254.64583333333)</f>
        <v>45254.64583</v>
      </c>
      <c r="B14" s="6">
        <f>IFERROR(__xludf.DUMMYFUNCTION("""COMPUTED_VALUE"""),738.9)</f>
        <v>738.9</v>
      </c>
      <c r="C14" s="6">
        <f>IFERROR(__xludf.DUMMYFUNCTION("""COMPUTED_VALUE"""),750.6)</f>
        <v>750.6</v>
      </c>
      <c r="D14" s="6">
        <f>IFERROR(__xludf.DUMMYFUNCTION("""COMPUTED_VALUE"""),730.0)</f>
        <v>730</v>
      </c>
      <c r="E14" s="6">
        <f>IFERROR(__xludf.DUMMYFUNCTION("""COMPUTED_VALUE"""),739.15)</f>
        <v>739.15</v>
      </c>
      <c r="F14" s="6">
        <f>IFERROR(__xludf.DUMMYFUNCTION("""COMPUTED_VALUE"""),9329530.0)</f>
        <v>9329530</v>
      </c>
    </row>
    <row r="15">
      <c r="A15" s="7">
        <f>IFERROR(__xludf.DUMMYFUNCTION("""COMPUTED_VALUE"""),45261.64583333333)</f>
        <v>45261.64583</v>
      </c>
      <c r="B15" s="6">
        <f>IFERROR(__xludf.DUMMYFUNCTION("""COMPUTED_VALUE"""),744.7)</f>
        <v>744.7</v>
      </c>
      <c r="C15" s="6">
        <f>IFERROR(__xludf.DUMMYFUNCTION("""COMPUTED_VALUE"""),747.5)</f>
        <v>747.5</v>
      </c>
      <c r="D15" s="6">
        <f>IFERROR(__xludf.DUMMYFUNCTION("""COMPUTED_VALUE"""),732.2)</f>
        <v>732.2</v>
      </c>
      <c r="E15" s="6">
        <f>IFERROR(__xludf.DUMMYFUNCTION("""COMPUTED_VALUE"""),739.95)</f>
        <v>739.95</v>
      </c>
      <c r="F15" s="6">
        <f>IFERROR(__xludf.DUMMYFUNCTION("""COMPUTED_VALUE"""),7621012.0)</f>
        <v>7621012</v>
      </c>
    </row>
    <row r="16">
      <c r="A16" s="7">
        <f>IFERROR(__xludf.DUMMYFUNCTION("""COMPUTED_VALUE"""),45268.64583333333)</f>
        <v>45268.64583</v>
      </c>
      <c r="B16" s="6">
        <f>IFERROR(__xludf.DUMMYFUNCTION("""COMPUTED_VALUE"""),750.0)</f>
        <v>750</v>
      </c>
      <c r="C16" s="6">
        <f>IFERROR(__xludf.DUMMYFUNCTION("""COMPUTED_VALUE"""),782.35)</f>
        <v>782.35</v>
      </c>
      <c r="D16" s="6">
        <f>IFERROR(__xludf.DUMMYFUNCTION("""COMPUTED_VALUE"""),744.0)</f>
        <v>744</v>
      </c>
      <c r="E16" s="6">
        <f>IFERROR(__xludf.DUMMYFUNCTION("""COMPUTED_VALUE"""),759.95)</f>
        <v>759.95</v>
      </c>
      <c r="F16" s="6">
        <f>IFERROR(__xludf.DUMMYFUNCTION("""COMPUTED_VALUE"""),1.5272705E7)</f>
        <v>15272705</v>
      </c>
    </row>
    <row r="17">
      <c r="A17" s="7">
        <f>IFERROR(__xludf.DUMMYFUNCTION("""COMPUTED_VALUE"""),45275.64583333333)</f>
        <v>45275.64583</v>
      </c>
      <c r="B17" s="6">
        <f>IFERROR(__xludf.DUMMYFUNCTION("""COMPUTED_VALUE"""),765.1)</f>
        <v>765.1</v>
      </c>
      <c r="C17" s="6">
        <f>IFERROR(__xludf.DUMMYFUNCTION("""COMPUTED_VALUE"""),779.9)</f>
        <v>779.9</v>
      </c>
      <c r="D17" s="6">
        <f>IFERROR(__xludf.DUMMYFUNCTION("""COMPUTED_VALUE"""),746.0)</f>
        <v>746</v>
      </c>
      <c r="E17" s="6">
        <f>IFERROR(__xludf.DUMMYFUNCTION("""COMPUTED_VALUE"""),776.35)</f>
        <v>776.35</v>
      </c>
      <c r="F17" s="6">
        <f>IFERROR(__xludf.DUMMYFUNCTION("""COMPUTED_VALUE"""),9531439.0)</f>
        <v>9531439</v>
      </c>
    </row>
    <row r="18">
      <c r="A18" s="7">
        <f>IFERROR(__xludf.DUMMYFUNCTION("""COMPUTED_VALUE"""),45282.64583333333)</f>
        <v>45282.64583</v>
      </c>
      <c r="B18" s="6">
        <f>IFERROR(__xludf.DUMMYFUNCTION("""COMPUTED_VALUE"""),778.4)</f>
        <v>778.4</v>
      </c>
      <c r="C18" s="6">
        <f>IFERROR(__xludf.DUMMYFUNCTION("""COMPUTED_VALUE"""),788.8)</f>
        <v>788.8</v>
      </c>
      <c r="D18" s="6">
        <f>IFERROR(__xludf.DUMMYFUNCTION("""COMPUTED_VALUE"""),751.6)</f>
        <v>751.6</v>
      </c>
      <c r="E18" s="6">
        <f>IFERROR(__xludf.DUMMYFUNCTION("""COMPUTED_VALUE"""),773.15)</f>
        <v>773.15</v>
      </c>
      <c r="F18" s="6">
        <f>IFERROR(__xludf.DUMMYFUNCTION("""COMPUTED_VALUE"""),8027700.0)</f>
        <v>8027700</v>
      </c>
    </row>
    <row r="19">
      <c r="A19" s="7">
        <f>IFERROR(__xludf.DUMMYFUNCTION("""COMPUTED_VALUE"""),45289.64583333333)</f>
        <v>45289.64583</v>
      </c>
      <c r="B19" s="6">
        <f>IFERROR(__xludf.DUMMYFUNCTION("""COMPUTED_VALUE"""),777.0)</f>
        <v>777</v>
      </c>
      <c r="C19" s="6">
        <f>IFERROR(__xludf.DUMMYFUNCTION("""COMPUTED_VALUE"""),777.8)</f>
        <v>777.8</v>
      </c>
      <c r="D19" s="6">
        <f>IFERROR(__xludf.DUMMYFUNCTION("""COMPUTED_VALUE"""),753.05)</f>
        <v>753.05</v>
      </c>
      <c r="E19" s="6">
        <f>IFERROR(__xludf.DUMMYFUNCTION("""COMPUTED_VALUE"""),759.65)</f>
        <v>759.65</v>
      </c>
      <c r="F19" s="6">
        <f>IFERROR(__xludf.DUMMYFUNCTION("""COMPUTED_VALUE"""),6936391.0)</f>
        <v>6936391</v>
      </c>
    </row>
    <row r="20">
      <c r="A20" s="7">
        <f>IFERROR(__xludf.DUMMYFUNCTION("""COMPUTED_VALUE"""),45296.64583333333)</f>
        <v>45296.64583</v>
      </c>
      <c r="B20" s="6">
        <f>IFERROR(__xludf.DUMMYFUNCTION("""COMPUTED_VALUE"""),764.0)</f>
        <v>764</v>
      </c>
      <c r="C20" s="6">
        <f>IFERROR(__xludf.DUMMYFUNCTION("""COMPUTED_VALUE"""),780.95)</f>
        <v>780.95</v>
      </c>
      <c r="D20" s="6">
        <f>IFERROR(__xludf.DUMMYFUNCTION("""COMPUTED_VALUE"""),761.25)</f>
        <v>761.25</v>
      </c>
      <c r="E20" s="6">
        <f>IFERROR(__xludf.DUMMYFUNCTION("""COMPUTED_VALUE"""),771.6)</f>
        <v>771.6</v>
      </c>
      <c r="F20" s="6">
        <f>IFERROR(__xludf.DUMMYFUNCTION("""COMPUTED_VALUE"""),7101996.0)</f>
        <v>7101996</v>
      </c>
    </row>
    <row r="21">
      <c r="A21" s="7">
        <f>IFERROR(__xludf.DUMMYFUNCTION("""COMPUTED_VALUE"""),45303.64583333333)</f>
        <v>45303.64583</v>
      </c>
      <c r="B21" s="6">
        <f>IFERROR(__xludf.DUMMYFUNCTION("""COMPUTED_VALUE"""),772.95)</f>
        <v>772.95</v>
      </c>
      <c r="C21" s="6">
        <f>IFERROR(__xludf.DUMMYFUNCTION("""COMPUTED_VALUE"""),775.7)</f>
        <v>775.7</v>
      </c>
      <c r="D21" s="6">
        <f>IFERROR(__xludf.DUMMYFUNCTION("""COMPUTED_VALUE"""),756.95)</f>
        <v>756.95</v>
      </c>
      <c r="E21" s="6">
        <f>IFERROR(__xludf.DUMMYFUNCTION("""COMPUTED_VALUE"""),766.7)</f>
        <v>766.7</v>
      </c>
      <c r="F21" s="6">
        <f>IFERROR(__xludf.DUMMYFUNCTION("""COMPUTED_VALUE"""),8550514.0)</f>
        <v>8550514</v>
      </c>
    </row>
    <row r="22">
      <c r="A22" s="7">
        <f>IFERROR(__xludf.DUMMYFUNCTION("""COMPUTED_VALUE"""),45316.64583333333)</f>
        <v>45316.64583</v>
      </c>
      <c r="B22" s="6">
        <f>IFERROR(__xludf.DUMMYFUNCTION("""COMPUTED_VALUE"""),746.0)</f>
        <v>746</v>
      </c>
      <c r="C22" s="6">
        <f>IFERROR(__xludf.DUMMYFUNCTION("""COMPUTED_VALUE"""),763.0)</f>
        <v>763</v>
      </c>
      <c r="D22" s="6">
        <f>IFERROR(__xludf.DUMMYFUNCTION("""COMPUTED_VALUE"""),723.5)</f>
        <v>723.5</v>
      </c>
      <c r="E22" s="6">
        <f>IFERROR(__xludf.DUMMYFUNCTION("""COMPUTED_VALUE"""),759.85)</f>
        <v>759.85</v>
      </c>
      <c r="F22" s="6">
        <f>IFERROR(__xludf.DUMMYFUNCTION("""COMPUTED_VALUE"""),5900888.0)</f>
        <v>5900888</v>
      </c>
    </row>
    <row r="23">
      <c r="A23" s="7">
        <f>IFERROR(__xludf.DUMMYFUNCTION("""COMPUTED_VALUE"""),45324.64583333333)</f>
        <v>45324.64583</v>
      </c>
      <c r="B23" s="6">
        <f>IFERROR(__xludf.DUMMYFUNCTION("""COMPUTED_VALUE"""),716.55)</f>
        <v>716.55</v>
      </c>
      <c r="C23" s="6">
        <f>IFERROR(__xludf.DUMMYFUNCTION("""COMPUTED_VALUE"""),734.4)</f>
        <v>734.4</v>
      </c>
      <c r="D23" s="6">
        <f>IFERROR(__xludf.DUMMYFUNCTION("""COMPUTED_VALUE"""),705.6)</f>
        <v>705.6</v>
      </c>
      <c r="E23" s="6">
        <f>IFERROR(__xludf.DUMMYFUNCTION("""COMPUTED_VALUE"""),711.25)</f>
        <v>711.25</v>
      </c>
      <c r="F23" s="6">
        <f>IFERROR(__xludf.DUMMYFUNCTION("""COMPUTED_VALUE"""),1.976244E7)</f>
        <v>19762440</v>
      </c>
    </row>
    <row r="24">
      <c r="A24" s="7">
        <f>IFERROR(__xludf.DUMMYFUNCTION("""COMPUTED_VALUE"""),45331.64583333333)</f>
        <v>45331.64583</v>
      </c>
      <c r="B24" s="6">
        <f>IFERROR(__xludf.DUMMYFUNCTION("""COMPUTED_VALUE"""),712.8)</f>
        <v>712.8</v>
      </c>
      <c r="C24" s="6">
        <f>IFERROR(__xludf.DUMMYFUNCTION("""COMPUTED_VALUE"""),732.0)</f>
        <v>732</v>
      </c>
      <c r="D24" s="6">
        <f>IFERROR(__xludf.DUMMYFUNCTION("""COMPUTED_VALUE"""),699.0)</f>
        <v>699</v>
      </c>
      <c r="E24" s="6">
        <f>IFERROR(__xludf.DUMMYFUNCTION("""COMPUTED_VALUE"""),718.4)</f>
        <v>718.4</v>
      </c>
      <c r="F24" s="6">
        <f>IFERROR(__xludf.DUMMYFUNCTION("""COMPUTED_VALUE"""),8028362.0)</f>
        <v>8028362</v>
      </c>
    </row>
    <row r="25">
      <c r="A25" s="7">
        <f>IFERROR(__xludf.DUMMYFUNCTION("""COMPUTED_VALUE"""),45338.64583333333)</f>
        <v>45338.64583</v>
      </c>
      <c r="B25" s="6">
        <f>IFERROR(__xludf.DUMMYFUNCTION("""COMPUTED_VALUE"""),720.0)</f>
        <v>720</v>
      </c>
      <c r="C25" s="6">
        <f>IFERROR(__xludf.DUMMYFUNCTION("""COMPUTED_VALUE"""),724.5)</f>
        <v>724.5</v>
      </c>
      <c r="D25" s="6">
        <f>IFERROR(__xludf.DUMMYFUNCTION("""COMPUTED_VALUE"""),708.65)</f>
        <v>708.65</v>
      </c>
      <c r="E25" s="6">
        <f>IFERROR(__xludf.DUMMYFUNCTION("""COMPUTED_VALUE"""),718.05)</f>
        <v>718.05</v>
      </c>
      <c r="F25" s="6">
        <f>IFERROR(__xludf.DUMMYFUNCTION("""COMPUTED_VALUE"""),6076901.0)</f>
        <v>6076901</v>
      </c>
    </row>
    <row r="26">
      <c r="A26" s="7">
        <f>IFERROR(__xludf.DUMMYFUNCTION("""COMPUTED_VALUE"""),45345.64583333333)</f>
        <v>45345.64583</v>
      </c>
      <c r="B26" s="6">
        <f>IFERROR(__xludf.DUMMYFUNCTION("""COMPUTED_VALUE"""),719.5)</f>
        <v>719.5</v>
      </c>
      <c r="C26" s="6">
        <f>IFERROR(__xludf.DUMMYFUNCTION("""COMPUTED_VALUE"""),751.6)</f>
        <v>751.6</v>
      </c>
      <c r="D26" s="6">
        <f>IFERROR(__xludf.DUMMYFUNCTION("""COMPUTED_VALUE"""),718.1)</f>
        <v>718.1</v>
      </c>
      <c r="E26" s="6">
        <f>IFERROR(__xludf.DUMMYFUNCTION("""COMPUTED_VALUE"""),739.05)</f>
        <v>739.05</v>
      </c>
      <c r="F26" s="6">
        <f>IFERROR(__xludf.DUMMYFUNCTION("""COMPUTED_VALUE"""),7591945.0)</f>
        <v>7591945</v>
      </c>
    </row>
    <row r="27">
      <c r="A27" s="7">
        <f>IFERROR(__xludf.DUMMYFUNCTION("""COMPUTED_VALUE"""),45358.64583333333)</f>
        <v>45358.64583</v>
      </c>
      <c r="B27" s="6">
        <f>IFERROR(__xludf.DUMMYFUNCTION("""COMPUTED_VALUE"""),721.45)</f>
        <v>721.45</v>
      </c>
      <c r="C27" s="6">
        <f>IFERROR(__xludf.DUMMYFUNCTION("""COMPUTED_VALUE"""),723.85)</f>
        <v>723.85</v>
      </c>
      <c r="D27" s="6">
        <f>IFERROR(__xludf.DUMMYFUNCTION("""COMPUTED_VALUE"""),698.0)</f>
        <v>698</v>
      </c>
      <c r="E27" s="6">
        <f>IFERROR(__xludf.DUMMYFUNCTION("""COMPUTED_VALUE"""),707.5)</f>
        <v>707.5</v>
      </c>
      <c r="F27" s="6">
        <f>IFERROR(__xludf.DUMMYFUNCTION("""COMPUTED_VALUE"""),5246002.0)</f>
        <v>5246002</v>
      </c>
    </row>
    <row r="28">
      <c r="A28" s="7">
        <f>IFERROR(__xludf.DUMMYFUNCTION("""COMPUTED_VALUE"""),45366.64583333333)</f>
        <v>45366.64583</v>
      </c>
      <c r="B28" s="6">
        <f>IFERROR(__xludf.DUMMYFUNCTION("""COMPUTED_VALUE"""),709.8)</f>
        <v>709.8</v>
      </c>
      <c r="C28" s="6">
        <f>IFERROR(__xludf.DUMMYFUNCTION("""COMPUTED_VALUE"""),709.85)</f>
        <v>709.85</v>
      </c>
      <c r="D28" s="6">
        <f>IFERROR(__xludf.DUMMYFUNCTION("""COMPUTED_VALUE"""),678.9)</f>
        <v>678.9</v>
      </c>
      <c r="E28" s="6">
        <f>IFERROR(__xludf.DUMMYFUNCTION("""COMPUTED_VALUE"""),699.3)</f>
        <v>699.3</v>
      </c>
      <c r="F28" s="6">
        <f>IFERROR(__xludf.DUMMYFUNCTION("""COMPUTED_VALUE"""),7313071.0)</f>
        <v>7313071</v>
      </c>
    </row>
    <row r="29">
      <c r="A29" s="7">
        <f>IFERROR(__xludf.DUMMYFUNCTION("""COMPUTED_VALUE"""),45373.64583333333)</f>
        <v>45373.64583</v>
      </c>
      <c r="B29" s="6">
        <f>IFERROR(__xludf.DUMMYFUNCTION("""COMPUTED_VALUE"""),699.95)</f>
        <v>699.95</v>
      </c>
      <c r="C29" s="6">
        <f>IFERROR(__xludf.DUMMYFUNCTION("""COMPUTED_VALUE"""),710.6)</f>
        <v>710.6</v>
      </c>
      <c r="D29" s="6">
        <f>IFERROR(__xludf.DUMMYFUNCTION("""COMPUTED_VALUE"""),689.35)</f>
        <v>689.35</v>
      </c>
      <c r="E29" s="6">
        <f>IFERROR(__xludf.DUMMYFUNCTION("""COMPUTED_VALUE"""),704.1)</f>
        <v>704.1</v>
      </c>
      <c r="F29" s="6">
        <f>IFERROR(__xludf.DUMMYFUNCTION("""COMPUTED_VALUE"""),7082281.0)</f>
        <v>7082281</v>
      </c>
    </row>
    <row r="30">
      <c r="A30" s="7">
        <f>IFERROR(__xludf.DUMMYFUNCTION("""COMPUTED_VALUE"""),45379.64583333333)</f>
        <v>45379.64583</v>
      </c>
      <c r="B30" s="6">
        <f>IFERROR(__xludf.DUMMYFUNCTION("""COMPUTED_VALUE"""),699.95)</f>
        <v>699.95</v>
      </c>
      <c r="C30" s="6">
        <f>IFERROR(__xludf.DUMMYFUNCTION("""COMPUTED_VALUE"""),709.0)</f>
        <v>709</v>
      </c>
      <c r="D30" s="6">
        <f>IFERROR(__xludf.DUMMYFUNCTION("""COMPUTED_VALUE"""),679.95)</f>
        <v>679.95</v>
      </c>
      <c r="E30" s="6">
        <f>IFERROR(__xludf.DUMMYFUNCTION("""COMPUTED_VALUE"""),682.55)</f>
        <v>682.55</v>
      </c>
      <c r="F30" s="6">
        <f>IFERROR(__xludf.DUMMYFUNCTION("""COMPUTED_VALUE"""),8574708.0)</f>
        <v>8574708</v>
      </c>
    </row>
    <row r="31">
      <c r="A31" s="7">
        <f>IFERROR(__xludf.DUMMYFUNCTION("""COMPUTED_VALUE"""),45387.64583333333)</f>
        <v>45387.64583</v>
      </c>
      <c r="B31" s="6">
        <f>IFERROR(__xludf.DUMMYFUNCTION("""COMPUTED_VALUE"""),692.2)</f>
        <v>692.2</v>
      </c>
      <c r="C31" s="6">
        <f>IFERROR(__xludf.DUMMYFUNCTION("""COMPUTED_VALUE"""),731.85)</f>
        <v>731.85</v>
      </c>
      <c r="D31" s="6">
        <f>IFERROR(__xludf.DUMMYFUNCTION("""COMPUTED_VALUE"""),685.7)</f>
        <v>685.7</v>
      </c>
      <c r="E31" s="6">
        <f>IFERROR(__xludf.DUMMYFUNCTION("""COMPUTED_VALUE"""),730.35)</f>
        <v>730.35</v>
      </c>
      <c r="F31" s="6">
        <f>IFERROR(__xludf.DUMMYFUNCTION("""COMPUTED_VALUE"""),1.0068483E7)</f>
        <v>10068483</v>
      </c>
    </row>
    <row r="32">
      <c r="A32" s="7">
        <f>IFERROR(__xludf.DUMMYFUNCTION("""COMPUTED_VALUE"""),45394.64583333333)</f>
        <v>45394.64583</v>
      </c>
      <c r="B32" s="6">
        <f>IFERROR(__xludf.DUMMYFUNCTION("""COMPUTED_VALUE"""),742.5)</f>
        <v>742.5</v>
      </c>
      <c r="C32" s="6">
        <f>IFERROR(__xludf.DUMMYFUNCTION("""COMPUTED_VALUE"""),756.95)</f>
        <v>756.95</v>
      </c>
      <c r="D32" s="6">
        <f>IFERROR(__xludf.DUMMYFUNCTION("""COMPUTED_VALUE"""),722.45)</f>
        <v>722.45</v>
      </c>
      <c r="E32" s="6">
        <f>IFERROR(__xludf.DUMMYFUNCTION("""COMPUTED_VALUE"""),737.65)</f>
        <v>737.65</v>
      </c>
      <c r="F32" s="6">
        <f>IFERROR(__xludf.DUMMYFUNCTION("""COMPUTED_VALUE"""),1.1202651E7)</f>
        <v>11202651</v>
      </c>
    </row>
    <row r="33">
      <c r="A33" s="7">
        <f>IFERROR(__xludf.DUMMYFUNCTION("""COMPUTED_VALUE"""),45401.64583333333)</f>
        <v>45401.64583</v>
      </c>
      <c r="B33" s="6">
        <f>IFERROR(__xludf.DUMMYFUNCTION("""COMPUTED_VALUE"""),722.9)</f>
        <v>722.9</v>
      </c>
      <c r="C33" s="6">
        <f>IFERROR(__xludf.DUMMYFUNCTION("""COMPUTED_VALUE"""),741.6)</f>
        <v>741.6</v>
      </c>
      <c r="D33" s="6">
        <f>IFERROR(__xludf.DUMMYFUNCTION("""COMPUTED_VALUE"""),712.5)</f>
        <v>712.5</v>
      </c>
      <c r="E33" s="6">
        <f>IFERROR(__xludf.DUMMYFUNCTION("""COMPUTED_VALUE"""),732.1)</f>
        <v>732.1</v>
      </c>
      <c r="F33" s="6">
        <f>IFERROR(__xludf.DUMMYFUNCTION("""COMPUTED_VALUE"""),5120476.0)</f>
        <v>5120476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IFERROR(__xludf.DUMMYFUNCTION("""COMPUTED_VALUE"""),736.0)</f>
        <v>736</v>
      </c>
      <c r="C34" s="6">
        <f>IFERROR(__xludf.DUMMYFUNCTION("""COMPUTED_VALUE"""),765.0)</f>
        <v>765</v>
      </c>
      <c r="D34" s="6">
        <f>IFERROR(__xludf.DUMMYFUNCTION("""COMPUTED_VALUE"""),732.1)</f>
        <v>732.1</v>
      </c>
      <c r="E34" s="6">
        <f>IFERROR(__xludf.DUMMYFUNCTION("""COMPUTED_VALUE"""),750.45)</f>
        <v>750.45</v>
      </c>
      <c r="F34" s="6">
        <f>IFERROR(__xludf.DUMMYFUNCTION("""COMPUTED_VALUE"""),7871834.0)</f>
        <v>7871834</v>
      </c>
    </row>
    <row r="35">
      <c r="A35" s="7">
        <f>IFERROR(__xludf.DUMMYFUNCTION("""COMPUTED_VALUE"""),45415.64583333333)</f>
        <v>45415.64583</v>
      </c>
      <c r="B35" s="6">
        <f>IFERROR(__xludf.DUMMYFUNCTION("""COMPUTED_VALUE"""),735.0)</f>
        <v>735</v>
      </c>
      <c r="C35" s="6">
        <f>IFERROR(__xludf.DUMMYFUNCTION("""COMPUTED_VALUE"""),743.0)</f>
        <v>743</v>
      </c>
      <c r="D35" s="6">
        <f>IFERROR(__xludf.DUMMYFUNCTION("""COMPUTED_VALUE"""),718.05)</f>
        <v>718.05</v>
      </c>
      <c r="E35" s="6">
        <f>IFERROR(__xludf.DUMMYFUNCTION("""COMPUTED_VALUE"""),722.25)</f>
        <v>722.25</v>
      </c>
      <c r="F35" s="6">
        <f>IFERROR(__xludf.DUMMYFUNCTION("""COMPUTED_VALUE"""),1.1672201E7)</f>
        <v>11672201</v>
      </c>
    </row>
    <row r="36">
      <c r="A36" s="7">
        <f>IFERROR(__xludf.DUMMYFUNCTION("""COMPUTED_VALUE"""),45422.64583333333)</f>
        <v>45422.64583</v>
      </c>
      <c r="B36" s="6">
        <f>IFERROR(__xludf.DUMMYFUNCTION("""COMPUTED_VALUE"""),723.0)</f>
        <v>723</v>
      </c>
      <c r="C36" s="6">
        <f>IFERROR(__xludf.DUMMYFUNCTION("""COMPUTED_VALUE"""),727.75)</f>
        <v>727.75</v>
      </c>
      <c r="D36" s="6">
        <f>IFERROR(__xludf.DUMMYFUNCTION("""COMPUTED_VALUE"""),708.0)</f>
        <v>708</v>
      </c>
      <c r="E36" s="6">
        <f>IFERROR(__xludf.DUMMYFUNCTION("""COMPUTED_VALUE"""),720.4)</f>
        <v>720.4</v>
      </c>
      <c r="F36" s="6">
        <f>IFERROR(__xludf.DUMMYFUNCTION("""COMPUTED_VALUE"""),4576000.0)</f>
        <v>4576000</v>
      </c>
    </row>
    <row r="37">
      <c r="A37" s="7">
        <f>IFERROR(__xludf.DUMMYFUNCTION("""COMPUTED_VALUE"""),45436.64583333333)</f>
        <v>45436.64583</v>
      </c>
      <c r="B37" s="6">
        <f>IFERROR(__xludf.DUMMYFUNCTION("""COMPUTED_VALUE"""),714.65)</f>
        <v>714.65</v>
      </c>
      <c r="C37" s="6">
        <f>IFERROR(__xludf.DUMMYFUNCTION("""COMPUTED_VALUE"""),717.45)</f>
        <v>717.45</v>
      </c>
      <c r="D37" s="6">
        <f>IFERROR(__xludf.DUMMYFUNCTION("""COMPUTED_VALUE"""),706.2)</f>
        <v>706.2</v>
      </c>
      <c r="E37" s="6">
        <f>IFERROR(__xludf.DUMMYFUNCTION("""COMPUTED_VALUE"""),709.55)</f>
        <v>709.55</v>
      </c>
      <c r="F37" s="6">
        <f>IFERROR(__xludf.DUMMYFUNCTION("""COMPUTED_VALUE"""),3273952.0)</f>
        <v>3273952</v>
      </c>
    </row>
    <row r="38">
      <c r="A38" s="7">
        <f>IFERROR(__xludf.DUMMYFUNCTION("""COMPUTED_VALUE"""),45443.64583333333)</f>
        <v>45443.64583</v>
      </c>
      <c r="B38" s="6">
        <f>IFERROR(__xludf.DUMMYFUNCTION("""COMPUTED_VALUE"""),710.0)</f>
        <v>710</v>
      </c>
      <c r="C38" s="6">
        <f>IFERROR(__xludf.DUMMYFUNCTION("""COMPUTED_VALUE"""),711.4)</f>
        <v>711.4</v>
      </c>
      <c r="D38" s="6">
        <f>IFERROR(__xludf.DUMMYFUNCTION("""COMPUTED_VALUE"""),689.0)</f>
        <v>689</v>
      </c>
      <c r="E38" s="6">
        <f>IFERROR(__xludf.DUMMYFUNCTION("""COMPUTED_VALUE"""),692.1)</f>
        <v>692.1</v>
      </c>
      <c r="F38" s="6">
        <f>IFERROR(__xludf.DUMMYFUNCTION("""COMPUTED_VALUE"""),6479588.0)</f>
        <v>6479588</v>
      </c>
    </row>
    <row r="39">
      <c r="A39" s="7">
        <f>IFERROR(__xludf.DUMMYFUNCTION("""COMPUTED_VALUE"""),45450.64583333333)</f>
        <v>45450.64583</v>
      </c>
      <c r="B39" s="6">
        <f>IFERROR(__xludf.DUMMYFUNCTION("""COMPUTED_VALUE"""),705.0)</f>
        <v>705</v>
      </c>
      <c r="C39" s="6">
        <f>IFERROR(__xludf.DUMMYFUNCTION("""COMPUTED_VALUE"""),723.6)</f>
        <v>723.6</v>
      </c>
      <c r="D39" s="6">
        <f>IFERROR(__xludf.DUMMYFUNCTION("""COMPUTED_VALUE"""),647.95)</f>
        <v>647.95</v>
      </c>
      <c r="E39" s="6">
        <f>IFERROR(__xludf.DUMMYFUNCTION("""COMPUTED_VALUE"""),715.55)</f>
        <v>715.55</v>
      </c>
      <c r="F39" s="6">
        <f>IFERROR(__xludf.DUMMYFUNCTION("""COMPUTED_VALUE"""),9258076.0)</f>
        <v>9258076</v>
      </c>
    </row>
    <row r="40">
      <c r="A40" s="7">
        <f>IFERROR(__xludf.DUMMYFUNCTION("""COMPUTED_VALUE"""),45457.64583333333)</f>
        <v>45457.64583</v>
      </c>
      <c r="B40" s="6">
        <f>IFERROR(__xludf.DUMMYFUNCTION("""COMPUTED_VALUE"""),719.8)</f>
        <v>719.8</v>
      </c>
      <c r="C40" s="6">
        <f>IFERROR(__xludf.DUMMYFUNCTION("""COMPUTED_VALUE"""),733.25)</f>
        <v>733.25</v>
      </c>
      <c r="D40" s="6">
        <f>IFERROR(__xludf.DUMMYFUNCTION("""COMPUTED_VALUE"""),710.95)</f>
        <v>710.95</v>
      </c>
      <c r="E40" s="6">
        <f>IFERROR(__xludf.DUMMYFUNCTION("""COMPUTED_VALUE"""),728.35)</f>
        <v>728.35</v>
      </c>
      <c r="F40" s="6">
        <f>IFERROR(__xludf.DUMMYFUNCTION("""COMPUTED_VALUE"""),6126277.0)</f>
        <v>6126277</v>
      </c>
    </row>
    <row r="41">
      <c r="A41" s="7">
        <f>IFERROR(__xludf.DUMMYFUNCTION("""COMPUTED_VALUE"""),45464.64583333333)</f>
        <v>45464.64583</v>
      </c>
      <c r="B41" s="6">
        <f>IFERROR(__xludf.DUMMYFUNCTION("""COMPUTED_VALUE"""),729.0)</f>
        <v>729</v>
      </c>
      <c r="C41" s="6">
        <f>IFERROR(__xludf.DUMMYFUNCTION("""COMPUTED_VALUE"""),738.5)</f>
        <v>738.5</v>
      </c>
      <c r="D41" s="6">
        <f>IFERROR(__xludf.DUMMYFUNCTION("""COMPUTED_VALUE"""),721.15)</f>
        <v>721.15</v>
      </c>
      <c r="E41" s="6">
        <f>IFERROR(__xludf.DUMMYFUNCTION("""COMPUTED_VALUE"""),725.35)</f>
        <v>725.35</v>
      </c>
      <c r="F41" s="6">
        <f>IFERROR(__xludf.DUMMYFUNCTION("""COMPUTED_VALUE"""),3636494.0)</f>
        <v>3636494</v>
      </c>
    </row>
    <row r="42">
      <c r="A42" s="7">
        <f>IFERROR(__xludf.DUMMYFUNCTION("""COMPUTED_VALUE"""),45471.64583333333)</f>
        <v>45471.64583</v>
      </c>
      <c r="B42" s="6">
        <f>IFERROR(__xludf.DUMMYFUNCTION("""COMPUTED_VALUE"""),726.0)</f>
        <v>726</v>
      </c>
      <c r="C42" s="6">
        <f>IFERROR(__xludf.DUMMYFUNCTION("""COMPUTED_VALUE"""),739.65)</f>
        <v>739.65</v>
      </c>
      <c r="D42" s="6">
        <f>IFERROR(__xludf.DUMMYFUNCTION("""COMPUTED_VALUE"""),721.0)</f>
        <v>721</v>
      </c>
      <c r="E42" s="6">
        <f>IFERROR(__xludf.DUMMYFUNCTION("""COMPUTED_VALUE"""),724.6)</f>
        <v>724.6</v>
      </c>
      <c r="F42" s="6">
        <f>IFERROR(__xludf.DUMMYFUNCTION("""COMPUTED_VALUE"""),5817656.0)</f>
        <v>5817656</v>
      </c>
    </row>
    <row r="43">
      <c r="A43" s="7">
        <f>IFERROR(__xludf.DUMMYFUNCTION("""COMPUTED_VALUE"""),45478.64583333333)</f>
        <v>45478.64583</v>
      </c>
      <c r="B43" s="6">
        <f>IFERROR(__xludf.DUMMYFUNCTION("""COMPUTED_VALUE"""),724.0)</f>
        <v>724</v>
      </c>
      <c r="C43" s="6">
        <f>IFERROR(__xludf.DUMMYFUNCTION("""COMPUTED_VALUE"""),729.7)</f>
        <v>729.7</v>
      </c>
      <c r="D43" s="6">
        <f>IFERROR(__xludf.DUMMYFUNCTION("""COMPUTED_VALUE"""),708.75)</f>
        <v>708.75</v>
      </c>
      <c r="E43" s="6">
        <f>IFERROR(__xludf.DUMMYFUNCTION("""COMPUTED_VALUE"""),721.95)</f>
        <v>721.95</v>
      </c>
      <c r="F43" s="6">
        <f>IFERROR(__xludf.DUMMYFUNCTION("""COMPUTED_VALUE"""),6043031.0)</f>
        <v>6043031</v>
      </c>
    </row>
    <row r="44">
      <c r="A44" s="7">
        <f>IFERROR(__xludf.DUMMYFUNCTION("""COMPUTED_VALUE"""),45485.64583333333)</f>
        <v>45485.64583</v>
      </c>
      <c r="B44" s="6">
        <f>IFERROR(__xludf.DUMMYFUNCTION("""COMPUTED_VALUE"""),723.25)</f>
        <v>723.25</v>
      </c>
      <c r="C44" s="6">
        <f>IFERROR(__xludf.DUMMYFUNCTION("""COMPUTED_VALUE"""),750.0)</f>
        <v>750</v>
      </c>
      <c r="D44" s="6">
        <f>IFERROR(__xludf.DUMMYFUNCTION("""COMPUTED_VALUE"""),714.35)</f>
        <v>714.35</v>
      </c>
      <c r="E44" s="6">
        <f>IFERROR(__xludf.DUMMYFUNCTION("""COMPUTED_VALUE"""),738.65)</f>
        <v>738.65</v>
      </c>
      <c r="F44" s="6">
        <f>IFERROR(__xludf.DUMMYFUNCTION("""COMPUTED_VALUE"""),8051824.0)</f>
        <v>8051824</v>
      </c>
    </row>
    <row r="45">
      <c r="A45" s="7">
        <f>IFERROR(__xludf.DUMMYFUNCTION("""COMPUTED_VALUE"""),45492.64583333333)</f>
        <v>45492.64583</v>
      </c>
      <c r="B45" s="6">
        <f>IFERROR(__xludf.DUMMYFUNCTION("""COMPUTED_VALUE"""),740.45)</f>
        <v>740.45</v>
      </c>
      <c r="C45" s="6">
        <f>IFERROR(__xludf.DUMMYFUNCTION("""COMPUTED_VALUE"""),743.75)</f>
        <v>743.75</v>
      </c>
      <c r="D45" s="6">
        <f>IFERROR(__xludf.DUMMYFUNCTION("""COMPUTED_VALUE"""),716.3)</f>
        <v>716.3</v>
      </c>
      <c r="E45" s="6">
        <f>IFERROR(__xludf.DUMMYFUNCTION("""COMPUTED_VALUE"""),718.6)</f>
        <v>718.6</v>
      </c>
      <c r="F45" s="6">
        <f>IFERROR(__xludf.DUMMYFUNCTION("""COMPUTED_VALUE"""),3921653.0)</f>
        <v>3921653</v>
      </c>
    </row>
    <row r="46">
      <c r="A46" s="7">
        <f>IFERROR(__xludf.DUMMYFUNCTION("""COMPUTED_VALUE"""),45499.64583333333)</f>
        <v>45499.64583</v>
      </c>
      <c r="B46" s="6">
        <f>IFERROR(__xludf.DUMMYFUNCTION("""COMPUTED_VALUE"""),717.0)</f>
        <v>717</v>
      </c>
      <c r="C46" s="6">
        <f>IFERROR(__xludf.DUMMYFUNCTION("""COMPUTED_VALUE"""),745.0)</f>
        <v>745</v>
      </c>
      <c r="D46" s="6">
        <f>IFERROR(__xludf.DUMMYFUNCTION("""COMPUTED_VALUE"""),711.6)</f>
        <v>711.6</v>
      </c>
      <c r="E46" s="6">
        <f>IFERROR(__xludf.DUMMYFUNCTION("""COMPUTED_VALUE"""),721.7)</f>
        <v>721.7</v>
      </c>
      <c r="F46" s="6">
        <f>IFERROR(__xludf.DUMMYFUNCTION("""COMPUTED_VALUE"""),1.0286468E7)</f>
        <v>10286468</v>
      </c>
    </row>
    <row r="47">
      <c r="A47" s="7">
        <f>IFERROR(__xludf.DUMMYFUNCTION("""COMPUTED_VALUE"""),45506.64583333333)</f>
        <v>45506.64583</v>
      </c>
      <c r="B47" s="6">
        <f>IFERROR(__xludf.DUMMYFUNCTION("""COMPUTED_VALUE"""),703.0)</f>
        <v>703</v>
      </c>
      <c r="C47" s="6">
        <f>IFERROR(__xludf.DUMMYFUNCTION("""COMPUTED_VALUE"""),727.75)</f>
        <v>727.75</v>
      </c>
      <c r="D47" s="6">
        <f>IFERROR(__xludf.DUMMYFUNCTION("""COMPUTED_VALUE"""),702.25)</f>
        <v>702.25</v>
      </c>
      <c r="E47" s="6">
        <f>IFERROR(__xludf.DUMMYFUNCTION("""COMPUTED_VALUE"""),714.55)</f>
        <v>714.55</v>
      </c>
      <c r="F47" s="6">
        <f>IFERROR(__xludf.DUMMYFUNCTION("""COMPUTED_VALUE"""),9724322.0)</f>
        <v>9724322</v>
      </c>
    </row>
    <row r="48">
      <c r="A48" s="7">
        <f>IFERROR(__xludf.DUMMYFUNCTION("""COMPUTED_VALUE"""),45513.64583333333)</f>
        <v>45513.64583</v>
      </c>
      <c r="B48" s="6">
        <f>IFERROR(__xludf.DUMMYFUNCTION("""COMPUTED_VALUE"""),708.0)</f>
        <v>708</v>
      </c>
      <c r="C48" s="6">
        <f>IFERROR(__xludf.DUMMYFUNCTION("""COMPUTED_VALUE"""),721.95)</f>
        <v>721.95</v>
      </c>
      <c r="D48" s="6">
        <f>IFERROR(__xludf.DUMMYFUNCTION("""COMPUTED_VALUE"""),697.45)</f>
        <v>697.45</v>
      </c>
      <c r="E48" s="6">
        <f>IFERROR(__xludf.DUMMYFUNCTION("""COMPUTED_VALUE"""),709.8)</f>
        <v>709.8</v>
      </c>
      <c r="F48" s="6">
        <f>IFERROR(__xludf.DUMMYFUNCTION("""COMPUTED_VALUE"""),4166685.0)</f>
        <v>4166685</v>
      </c>
    </row>
    <row r="49">
      <c r="A49" s="7">
        <f>IFERROR(__xludf.DUMMYFUNCTION("""COMPUTED_VALUE"""),45520.64583333333)</f>
        <v>45520.64583</v>
      </c>
      <c r="B49" s="6">
        <f>IFERROR(__xludf.DUMMYFUNCTION("""COMPUTED_VALUE"""),710.0)</f>
        <v>710</v>
      </c>
      <c r="C49" s="6">
        <f>IFERROR(__xludf.DUMMYFUNCTION("""COMPUTED_VALUE"""),710.95)</f>
        <v>710.95</v>
      </c>
      <c r="D49" s="6">
        <f>IFERROR(__xludf.DUMMYFUNCTION("""COMPUTED_VALUE"""),689.0)</f>
        <v>689</v>
      </c>
      <c r="E49" s="6">
        <f>IFERROR(__xludf.DUMMYFUNCTION("""COMPUTED_VALUE"""),698.65)</f>
        <v>698.65</v>
      </c>
      <c r="F49" s="6">
        <f>IFERROR(__xludf.DUMMYFUNCTION("""COMPUTED_VALUE"""),3449690.0)</f>
        <v>3449690</v>
      </c>
    </row>
    <row r="50">
      <c r="A50" s="7">
        <f>IFERROR(__xludf.DUMMYFUNCTION("""COMPUTED_VALUE"""),45527.64583333333)</f>
        <v>45527.64583</v>
      </c>
      <c r="B50" s="6">
        <f>IFERROR(__xludf.DUMMYFUNCTION("""COMPUTED_VALUE"""),699.5)</f>
        <v>699.5</v>
      </c>
      <c r="C50" s="6">
        <f>IFERROR(__xludf.DUMMYFUNCTION("""COMPUTED_VALUE"""),718.65)</f>
        <v>718.65</v>
      </c>
      <c r="D50" s="6">
        <f>IFERROR(__xludf.DUMMYFUNCTION("""COMPUTED_VALUE"""),697.0)</f>
        <v>697</v>
      </c>
      <c r="E50" s="6">
        <f>IFERROR(__xludf.DUMMYFUNCTION("""COMPUTED_VALUE"""),716.65)</f>
        <v>716.65</v>
      </c>
      <c r="F50" s="6">
        <f>IFERROR(__xludf.DUMMYFUNCTION("""COMPUTED_VALUE"""),5774705.0)</f>
        <v>5774705</v>
      </c>
    </row>
    <row r="51">
      <c r="A51" s="7">
        <f>IFERROR(__xludf.DUMMYFUNCTION("""COMPUTED_VALUE"""),45534.64583333333)</f>
        <v>45534.64583</v>
      </c>
      <c r="B51" s="6">
        <f>IFERROR(__xludf.DUMMYFUNCTION("""COMPUTED_VALUE"""),717.0)</f>
        <v>717</v>
      </c>
      <c r="C51" s="6">
        <f>IFERROR(__xludf.DUMMYFUNCTION("""COMPUTED_VALUE"""),743.7)</f>
        <v>743.7</v>
      </c>
      <c r="D51" s="6">
        <f>IFERROR(__xludf.DUMMYFUNCTION("""COMPUTED_VALUE"""),716.05)</f>
        <v>716.05</v>
      </c>
      <c r="E51" s="6">
        <f>IFERROR(__xludf.DUMMYFUNCTION("""COMPUTED_VALUE"""),723.2)</f>
        <v>723.2</v>
      </c>
      <c r="F51" s="6">
        <f>IFERROR(__xludf.DUMMYFUNCTION("""COMPUTED_VALUE"""),9960806.0)</f>
        <v>9960806</v>
      </c>
    </row>
    <row r="52">
      <c r="A52" s="7">
        <f>IFERROR(__xludf.DUMMYFUNCTION("""COMPUTED_VALUE"""),45541.64583333333)</f>
        <v>45541.64583</v>
      </c>
      <c r="B52" s="6">
        <f>IFERROR(__xludf.DUMMYFUNCTION("""COMPUTED_VALUE"""),726.45)</f>
        <v>726.45</v>
      </c>
      <c r="C52" s="6">
        <f>IFERROR(__xludf.DUMMYFUNCTION("""COMPUTED_VALUE"""),812.0)</f>
        <v>812</v>
      </c>
      <c r="D52" s="6">
        <f>IFERROR(__xludf.DUMMYFUNCTION("""COMPUTED_VALUE"""),722.6)</f>
        <v>722.6</v>
      </c>
      <c r="E52" s="6">
        <f>IFERROR(__xludf.DUMMYFUNCTION("""COMPUTED_VALUE"""),800.65)</f>
        <v>800.65</v>
      </c>
      <c r="F52" s="6">
        <f>IFERROR(__xludf.DUMMYFUNCTION("""COMPUTED_VALUE"""),3.1598332E7)</f>
        <v>31598332</v>
      </c>
    </row>
    <row r="53">
      <c r="A53" s="7">
        <f>IFERROR(__xludf.DUMMYFUNCTION("""COMPUTED_VALUE"""),45548.64583333333)</f>
        <v>45548.64583</v>
      </c>
      <c r="B53" s="6">
        <f>IFERROR(__xludf.DUMMYFUNCTION("""COMPUTED_VALUE"""),800.8)</f>
        <v>800.8</v>
      </c>
      <c r="C53" s="6">
        <f>IFERROR(__xludf.DUMMYFUNCTION("""COMPUTED_VALUE"""),817.4)</f>
        <v>817.4</v>
      </c>
      <c r="D53" s="6">
        <f>IFERROR(__xludf.DUMMYFUNCTION("""COMPUTED_VALUE"""),786.2)</f>
        <v>786.2</v>
      </c>
      <c r="E53" s="6">
        <f>IFERROR(__xludf.DUMMYFUNCTION("""COMPUTED_VALUE"""),805.2)</f>
        <v>805.2</v>
      </c>
      <c r="F53" s="6">
        <f>IFERROR(__xludf.DUMMYFUNCTION("""COMPUTED_VALUE"""),1.3796213E7)</f>
        <v>13796213</v>
      </c>
    </row>
    <row r="54">
      <c r="A54" s="7">
        <f>IFERROR(__xludf.DUMMYFUNCTION("""COMPUTED_VALUE"""),45555.64583333333)</f>
        <v>45555.64583</v>
      </c>
      <c r="B54" s="6">
        <f>IFERROR(__xludf.DUMMYFUNCTION("""COMPUTED_VALUE"""),805.1)</f>
        <v>805.1</v>
      </c>
      <c r="C54" s="6">
        <f>IFERROR(__xludf.DUMMYFUNCTION("""COMPUTED_VALUE"""),807.4)</f>
        <v>807.4</v>
      </c>
      <c r="D54" s="6">
        <f>IFERROR(__xludf.DUMMYFUNCTION("""COMPUTED_VALUE"""),777.85)</f>
        <v>777.85</v>
      </c>
      <c r="E54" s="6">
        <f>IFERROR(__xludf.DUMMYFUNCTION("""COMPUTED_VALUE"""),786.95)</f>
        <v>786.95</v>
      </c>
      <c r="F54" s="6">
        <f>IFERROR(__xludf.DUMMYFUNCTION("""COMPUTED_VALUE"""),7160630.0)</f>
        <v>7160630</v>
      </c>
    </row>
    <row r="55">
      <c r="A55" s="7">
        <f>IFERROR(__xludf.DUMMYFUNCTION("""COMPUTED_VALUE"""),45562.64583333333)</f>
        <v>45562.64583</v>
      </c>
      <c r="B55" s="6">
        <f>IFERROR(__xludf.DUMMYFUNCTION("""COMPUTED_VALUE"""),790.0)</f>
        <v>790</v>
      </c>
      <c r="C55" s="6">
        <f>IFERROR(__xludf.DUMMYFUNCTION("""COMPUTED_VALUE"""),802.0)</f>
        <v>802</v>
      </c>
      <c r="D55" s="6">
        <f>IFERROR(__xludf.DUMMYFUNCTION("""COMPUTED_VALUE"""),766.65)</f>
        <v>766.65</v>
      </c>
      <c r="E55" s="6">
        <f>IFERROR(__xludf.DUMMYFUNCTION("""COMPUTED_VALUE"""),786.3)</f>
        <v>786.3</v>
      </c>
      <c r="F55" s="6">
        <f>IFERROR(__xludf.DUMMYFUNCTION("""COMPUTED_VALUE"""),1.1145945E7)</f>
        <v>11145945</v>
      </c>
    </row>
    <row r="56">
      <c r="A56" s="7">
        <f>IFERROR(__xludf.DUMMYFUNCTION("""COMPUTED_VALUE"""),45569.64583333333)</f>
        <v>45569.64583</v>
      </c>
      <c r="B56" s="6">
        <f>IFERROR(__xludf.DUMMYFUNCTION("""COMPUTED_VALUE"""),783.0)</f>
        <v>783</v>
      </c>
      <c r="C56" s="6">
        <f>IFERROR(__xludf.DUMMYFUNCTION("""COMPUTED_VALUE"""),791.55)</f>
        <v>791.55</v>
      </c>
      <c r="D56" s="6">
        <f>IFERROR(__xludf.DUMMYFUNCTION("""COMPUTED_VALUE"""),739.25)</f>
        <v>739.25</v>
      </c>
      <c r="E56" s="6">
        <f>IFERROR(__xludf.DUMMYFUNCTION("""COMPUTED_VALUE"""),743.15)</f>
        <v>743.15</v>
      </c>
      <c r="F56" s="6">
        <f>IFERROR(__xludf.DUMMYFUNCTION("""COMPUTED_VALUE"""),7248301.0)</f>
        <v>7248301</v>
      </c>
    </row>
    <row r="57">
      <c r="A57" s="7">
        <f>IFERROR(__xludf.DUMMYFUNCTION("""COMPUTED_VALUE"""),45576.64583333333)</f>
        <v>45576.64583</v>
      </c>
      <c r="B57" s="6">
        <f>IFERROR(__xludf.DUMMYFUNCTION("""COMPUTED_VALUE"""),744.05)</f>
        <v>744.05</v>
      </c>
      <c r="C57" s="6">
        <f>IFERROR(__xludf.DUMMYFUNCTION("""COMPUTED_VALUE"""),751.0)</f>
        <v>751</v>
      </c>
      <c r="D57" s="6">
        <f>IFERROR(__xludf.DUMMYFUNCTION("""COMPUTED_VALUE"""),724.9)</f>
        <v>724.9</v>
      </c>
      <c r="E57" s="6">
        <f>IFERROR(__xludf.DUMMYFUNCTION("""COMPUTED_VALUE"""),733.75)</f>
        <v>733.75</v>
      </c>
      <c r="F57" s="6">
        <f>IFERROR(__xludf.DUMMYFUNCTION("""COMPUTED_VALUE"""),5750082.0)</f>
        <v>5750082</v>
      </c>
    </row>
    <row r="58">
      <c r="A58" s="7">
        <f>IFERROR(__xludf.DUMMYFUNCTION("""COMPUTED_VALUE"""),45583.64583333333)</f>
        <v>45583.64583</v>
      </c>
      <c r="B58" s="6">
        <f>IFERROR(__xludf.DUMMYFUNCTION("""COMPUTED_VALUE"""),735.2)</f>
        <v>735.2</v>
      </c>
      <c r="C58" s="6">
        <f>IFERROR(__xludf.DUMMYFUNCTION("""COMPUTED_VALUE"""),744.3)</f>
        <v>744.3</v>
      </c>
      <c r="D58" s="6">
        <f>IFERROR(__xludf.DUMMYFUNCTION("""COMPUTED_VALUE"""),730.55)</f>
        <v>730.55</v>
      </c>
      <c r="E58" s="6">
        <f>IFERROR(__xludf.DUMMYFUNCTION("""COMPUTED_VALUE"""),740.15)</f>
        <v>740.15</v>
      </c>
      <c r="F58" s="6">
        <f>IFERROR(__xludf.DUMMYFUNCTION("""COMPUTED_VALUE"""),6083117.0)</f>
        <v>6083117</v>
      </c>
    </row>
    <row r="59">
      <c r="A59" s="7">
        <f>IFERROR(__xludf.DUMMYFUNCTION("""COMPUTED_VALUE"""),45590.64583333333)</f>
        <v>45590.64583</v>
      </c>
      <c r="B59" s="6">
        <f>IFERROR(__xludf.DUMMYFUNCTION("""COMPUTED_VALUE"""),740.15)</f>
        <v>740.15</v>
      </c>
      <c r="C59" s="6">
        <f>IFERROR(__xludf.DUMMYFUNCTION("""COMPUTED_VALUE"""),741.1)</f>
        <v>741.1</v>
      </c>
      <c r="D59" s="6">
        <f>IFERROR(__xludf.DUMMYFUNCTION("""COMPUTED_VALUE"""),676.2)</f>
        <v>676.2</v>
      </c>
      <c r="E59" s="6">
        <f>IFERROR(__xludf.DUMMYFUNCTION("""COMPUTED_VALUE"""),691.45)</f>
        <v>691.45</v>
      </c>
      <c r="F59" s="6">
        <f>IFERROR(__xludf.DUMMYFUNCTION("""COMPUTED_VALUE"""),7879849.0)</f>
        <v>7879849</v>
      </c>
    </row>
    <row r="60">
      <c r="A60" s="7">
        <f>IFERROR(__xludf.DUMMYFUNCTION("""COMPUTED_VALUE"""),45604.64583333333)</f>
        <v>45604.64583</v>
      </c>
      <c r="B60" s="6">
        <f>IFERROR(__xludf.DUMMYFUNCTION("""COMPUTED_VALUE"""),694.85)</f>
        <v>694.85</v>
      </c>
      <c r="C60" s="6">
        <f>IFERROR(__xludf.DUMMYFUNCTION("""COMPUTED_VALUE"""),704.85)</f>
        <v>704.85</v>
      </c>
      <c r="D60" s="6">
        <f>IFERROR(__xludf.DUMMYFUNCTION("""COMPUTED_VALUE"""),680.0)</f>
        <v>680</v>
      </c>
      <c r="E60" s="6">
        <f>IFERROR(__xludf.DUMMYFUNCTION("""COMPUTED_VALUE"""),699.4)</f>
        <v>699.4</v>
      </c>
      <c r="F60" s="6">
        <f>IFERROR(__xludf.DUMMYFUNCTION("""COMPUTED_VALUE"""),5412756.0)</f>
        <v>5412756</v>
      </c>
    </row>
    <row r="61">
      <c r="A61" s="7">
        <f>IFERROR(__xludf.DUMMYFUNCTION("""COMPUTED_VALUE"""),45610.64583333333)</f>
        <v>45610.64583</v>
      </c>
      <c r="B61" s="6">
        <f>IFERROR(__xludf.DUMMYFUNCTION("""COMPUTED_VALUE"""),699.4)</f>
        <v>699.4</v>
      </c>
      <c r="C61" s="6">
        <f>IFERROR(__xludf.DUMMYFUNCTION("""COMPUTED_VALUE"""),700.9)</f>
        <v>700.9</v>
      </c>
      <c r="D61" s="6">
        <f>IFERROR(__xludf.DUMMYFUNCTION("""COMPUTED_VALUE"""),673.25)</f>
        <v>673.25</v>
      </c>
      <c r="E61" s="6">
        <f>IFERROR(__xludf.DUMMYFUNCTION("""COMPUTED_VALUE"""),683.35)</f>
        <v>683.35</v>
      </c>
      <c r="F61" s="6">
        <f>IFERROR(__xludf.DUMMYFUNCTION("""COMPUTED_VALUE"""),3036603.0)</f>
        <v>3036603</v>
      </c>
    </row>
    <row r="62">
      <c r="A62" s="7">
        <f>IFERROR(__xludf.DUMMYFUNCTION("""COMPUTED_VALUE"""),45618.64583333333)</f>
        <v>45618.64583</v>
      </c>
      <c r="B62" s="6">
        <f>IFERROR(__xludf.DUMMYFUNCTION("""COMPUTED_VALUE"""),690.0)</f>
        <v>690</v>
      </c>
      <c r="C62" s="6">
        <f>IFERROR(__xludf.DUMMYFUNCTION("""COMPUTED_VALUE"""),690.0)</f>
        <v>690</v>
      </c>
      <c r="D62" s="6">
        <f>IFERROR(__xludf.DUMMYFUNCTION("""COMPUTED_VALUE"""),670.05)</f>
        <v>670.05</v>
      </c>
      <c r="E62" s="6">
        <f>IFERROR(__xludf.DUMMYFUNCTION("""COMPUTED_VALUE"""),679.7)</f>
        <v>679.7</v>
      </c>
      <c r="F62" s="6">
        <f>IFERROR(__xludf.DUMMYFUNCTION("""COMPUTED_VALUE"""),2436302.0)</f>
        <v>2436302</v>
      </c>
    </row>
    <row r="63">
      <c r="A63" s="7">
        <f>IFERROR(__xludf.DUMMYFUNCTION("""COMPUTED_VALUE"""),45625.64583333333)</f>
        <v>45625.64583</v>
      </c>
      <c r="B63" s="6">
        <f>IFERROR(__xludf.DUMMYFUNCTION("""COMPUTED_VALUE"""),691.75)</f>
        <v>691.75</v>
      </c>
      <c r="C63" s="6">
        <f>IFERROR(__xludf.DUMMYFUNCTION("""COMPUTED_VALUE"""),718.0)</f>
        <v>718</v>
      </c>
      <c r="D63" s="6">
        <f>IFERROR(__xludf.DUMMYFUNCTION("""COMPUTED_VALUE"""),686.1)</f>
        <v>686.1</v>
      </c>
      <c r="E63" s="6">
        <f>IFERROR(__xludf.DUMMYFUNCTION("""COMPUTED_VALUE"""),700.6)</f>
        <v>700.6</v>
      </c>
      <c r="F63" s="6">
        <f>IFERROR(__xludf.DUMMYFUNCTION("""COMPUTED_VALUE"""),4858968.0)</f>
        <v>4858968</v>
      </c>
    </row>
    <row r="64">
      <c r="A64" s="7">
        <f>IFERROR(__xludf.DUMMYFUNCTION("""COMPUTED_VALUE"""),45632.64583333333)</f>
        <v>45632.64583</v>
      </c>
      <c r="B64" s="6">
        <f>IFERROR(__xludf.DUMMYFUNCTION("""COMPUTED_VALUE"""),700.0)</f>
        <v>700</v>
      </c>
      <c r="C64" s="6">
        <f>IFERROR(__xludf.DUMMYFUNCTION("""COMPUTED_VALUE"""),727.0)</f>
        <v>727</v>
      </c>
      <c r="D64" s="6">
        <f>IFERROR(__xludf.DUMMYFUNCTION("""COMPUTED_VALUE"""),696.9)</f>
        <v>696.9</v>
      </c>
      <c r="E64" s="6">
        <f>IFERROR(__xludf.DUMMYFUNCTION("""COMPUTED_VALUE"""),717.4)</f>
        <v>717.4</v>
      </c>
      <c r="F64" s="6">
        <f>IFERROR(__xludf.DUMMYFUNCTION("""COMPUTED_VALUE"""),3955619.0)</f>
        <v>3955619</v>
      </c>
    </row>
    <row r="65">
      <c r="A65" s="7">
        <f>IFERROR(__xludf.DUMMYFUNCTION("""COMPUTED_VALUE"""),45639.64583333333)</f>
        <v>45639.64583</v>
      </c>
      <c r="B65" s="6">
        <f>IFERROR(__xludf.DUMMYFUNCTION("""COMPUTED_VALUE"""),720.0)</f>
        <v>720</v>
      </c>
      <c r="C65" s="6">
        <f>IFERROR(__xludf.DUMMYFUNCTION("""COMPUTED_VALUE"""),742.9)</f>
        <v>742.9</v>
      </c>
      <c r="D65" s="6">
        <f>IFERROR(__xludf.DUMMYFUNCTION("""COMPUTED_VALUE"""),714.65)</f>
        <v>714.65</v>
      </c>
      <c r="E65" s="6">
        <f>IFERROR(__xludf.DUMMYFUNCTION("""COMPUTED_VALUE"""),725.45)</f>
        <v>725.45</v>
      </c>
      <c r="F65" s="6">
        <f>IFERROR(__xludf.DUMMYFUNCTION("""COMPUTED_VALUE"""),5016719.0)</f>
        <v>5016719</v>
      </c>
    </row>
    <row r="66">
      <c r="A66" s="7">
        <f>IFERROR(__xludf.DUMMYFUNCTION("""COMPUTED_VALUE"""),45646.64583333333)</f>
        <v>45646.64583</v>
      </c>
      <c r="B66" s="6">
        <f>IFERROR(__xludf.DUMMYFUNCTION("""COMPUTED_VALUE"""),725.45)</f>
        <v>725.45</v>
      </c>
      <c r="C66" s="6">
        <f>IFERROR(__xludf.DUMMYFUNCTION("""COMPUTED_VALUE"""),732.4)</f>
        <v>732.4</v>
      </c>
      <c r="D66" s="6">
        <f>IFERROR(__xludf.DUMMYFUNCTION("""COMPUTED_VALUE"""),685.1)</f>
        <v>685.1</v>
      </c>
      <c r="E66" s="6">
        <f>IFERROR(__xludf.DUMMYFUNCTION("""COMPUTED_VALUE"""),687.0)</f>
        <v>687</v>
      </c>
      <c r="F66" s="6">
        <f>IFERROR(__xludf.DUMMYFUNCTION("""COMPUTED_VALUE"""),2234868.0)</f>
        <v>2234868</v>
      </c>
    </row>
    <row r="67">
      <c r="A67" s="7">
        <f>IFERROR(__xludf.DUMMYFUNCTION("""COMPUTED_VALUE"""),45653.64583333333)</f>
        <v>45653.64583</v>
      </c>
      <c r="B67" s="6">
        <f>IFERROR(__xludf.DUMMYFUNCTION("""COMPUTED_VALUE"""),689.8)</f>
        <v>689.8</v>
      </c>
      <c r="C67" s="6">
        <f>IFERROR(__xludf.DUMMYFUNCTION("""COMPUTED_VALUE"""),705.3)</f>
        <v>705.3</v>
      </c>
      <c r="D67" s="6">
        <f>IFERROR(__xludf.DUMMYFUNCTION("""COMPUTED_VALUE"""),674.0)</f>
        <v>674</v>
      </c>
      <c r="E67" s="6">
        <f>IFERROR(__xludf.DUMMYFUNCTION("""COMPUTED_VALUE"""),675.3)</f>
        <v>675.3</v>
      </c>
      <c r="F67" s="6">
        <f>IFERROR(__xludf.DUMMYFUNCTION("""COMPUTED_VALUE"""),3329601.0)</f>
        <v>3329601</v>
      </c>
    </row>
    <row r="68">
      <c r="A68" s="7">
        <f>IFERROR(__xludf.DUMMYFUNCTION("""COMPUTED_VALUE"""),45660.64583333333)</f>
        <v>45660.64583</v>
      </c>
      <c r="B68" s="6">
        <f>IFERROR(__xludf.DUMMYFUNCTION("""COMPUTED_VALUE"""),675.35)</f>
        <v>675.35</v>
      </c>
      <c r="C68" s="6">
        <f>IFERROR(__xludf.DUMMYFUNCTION("""COMPUTED_VALUE"""),728.7)</f>
        <v>728.7</v>
      </c>
      <c r="D68" s="6">
        <f>IFERROR(__xludf.DUMMYFUNCTION("""COMPUTED_VALUE"""),663.05)</f>
        <v>663.05</v>
      </c>
      <c r="E68" s="6">
        <f>IFERROR(__xludf.DUMMYFUNCTION("""COMPUTED_VALUE"""),723.55)</f>
        <v>723.55</v>
      </c>
      <c r="F68" s="6">
        <f>IFERROR(__xludf.DUMMYFUNCTION("""COMPUTED_VALUE"""),4057972.0)</f>
        <v>4057972</v>
      </c>
    </row>
    <row r="69">
      <c r="A69" s="7">
        <f>IFERROR(__xludf.DUMMYFUNCTION("""COMPUTED_VALUE"""),45667.64583333333)</f>
        <v>45667.64583</v>
      </c>
      <c r="B69" s="6">
        <f>IFERROR(__xludf.DUMMYFUNCTION("""COMPUTED_VALUE"""),741.0)</f>
        <v>741</v>
      </c>
      <c r="C69" s="6">
        <f>IFERROR(__xludf.DUMMYFUNCTION("""COMPUTED_VALUE"""),760.9)</f>
        <v>760.9</v>
      </c>
      <c r="D69" s="6">
        <f>IFERROR(__xludf.DUMMYFUNCTION("""COMPUTED_VALUE"""),717.05)</f>
        <v>717.05</v>
      </c>
      <c r="E69" s="6">
        <f>IFERROR(__xludf.DUMMYFUNCTION("""COMPUTED_VALUE"""),722.55)</f>
        <v>722.55</v>
      </c>
      <c r="F69" s="6">
        <f>IFERROR(__xludf.DUMMYFUNCTION("""COMPUTED_VALUE"""),8838052.0)</f>
        <v>8838052</v>
      </c>
    </row>
    <row r="70">
      <c r="A70" s="7">
        <f>IFERROR(__xludf.DUMMYFUNCTION("""COMPUTED_VALUE"""),45674.64583333333)</f>
        <v>45674.64583</v>
      </c>
      <c r="B70" s="6">
        <f>IFERROR(__xludf.DUMMYFUNCTION("""COMPUTED_VALUE"""),714.95)</f>
        <v>714.95</v>
      </c>
      <c r="C70" s="6">
        <f>IFERROR(__xludf.DUMMYFUNCTION("""COMPUTED_VALUE"""),765.0)</f>
        <v>765</v>
      </c>
      <c r="D70" s="6">
        <f>IFERROR(__xludf.DUMMYFUNCTION("""COMPUTED_VALUE"""),705.55)</f>
        <v>705.55</v>
      </c>
      <c r="E70" s="6">
        <f>IFERROR(__xludf.DUMMYFUNCTION("""COMPUTED_VALUE"""),740.85)</f>
        <v>740.85</v>
      </c>
      <c r="F70" s="6">
        <f>IFERROR(__xludf.DUMMYFUNCTION("""COMPUTED_VALUE"""),7295249.0)</f>
        <v>7295249</v>
      </c>
    </row>
    <row r="71">
      <c r="A71" s="7">
        <f>IFERROR(__xludf.DUMMYFUNCTION("""COMPUTED_VALUE"""),45681.64583333333)</f>
        <v>45681.64583</v>
      </c>
      <c r="B71" s="6">
        <f>IFERROR(__xludf.DUMMYFUNCTION("""COMPUTED_VALUE"""),751.0)</f>
        <v>751</v>
      </c>
      <c r="C71" s="6">
        <f>IFERROR(__xludf.DUMMYFUNCTION("""COMPUTED_VALUE"""),769.4)</f>
        <v>769.4</v>
      </c>
      <c r="D71" s="6">
        <f>IFERROR(__xludf.DUMMYFUNCTION("""COMPUTED_VALUE"""),739.3)</f>
        <v>739.3</v>
      </c>
      <c r="E71" s="6">
        <f>IFERROR(__xludf.DUMMYFUNCTION("""COMPUTED_VALUE"""),758.3)</f>
        <v>758.3</v>
      </c>
      <c r="F71" s="6">
        <f>IFERROR(__xludf.DUMMYFUNCTION("""COMPUTED_VALUE"""),9137081.0)</f>
        <v>9137081</v>
      </c>
    </row>
    <row r="72">
      <c r="A72" s="7">
        <f>IFERROR(__xludf.DUMMYFUNCTION("""COMPUTED_VALUE"""),45695.64583333333)</f>
        <v>45695.64583</v>
      </c>
      <c r="B72" s="6">
        <f>IFERROR(__xludf.DUMMYFUNCTION("""COMPUTED_VALUE"""),820.5)</f>
        <v>820.5</v>
      </c>
      <c r="C72" s="6">
        <f>IFERROR(__xludf.DUMMYFUNCTION("""COMPUTED_VALUE"""),846.5)</f>
        <v>846.5</v>
      </c>
      <c r="D72" s="6">
        <f>IFERROR(__xludf.DUMMYFUNCTION("""COMPUTED_VALUE"""),797.1)</f>
        <v>797.1</v>
      </c>
      <c r="E72" s="6">
        <f>IFERROR(__xludf.DUMMYFUNCTION("""COMPUTED_VALUE"""),815.55)</f>
        <v>815.55</v>
      </c>
      <c r="F72" s="6">
        <f>IFERROR(__xludf.DUMMYFUNCTION("""COMPUTED_VALUE"""),1.0293243E7)</f>
        <v>10293243</v>
      </c>
    </row>
    <row r="73">
      <c r="A73" s="7">
        <f>IFERROR(__xludf.DUMMYFUNCTION("""COMPUTED_VALUE"""),45702.64583333333)</f>
        <v>45702.64583</v>
      </c>
      <c r="B73" s="6">
        <f>IFERROR(__xludf.DUMMYFUNCTION("""COMPUTED_VALUE"""),815.0)</f>
        <v>815</v>
      </c>
      <c r="C73" s="6">
        <f>IFERROR(__xludf.DUMMYFUNCTION("""COMPUTED_VALUE"""),872.0)</f>
        <v>872</v>
      </c>
      <c r="D73" s="6">
        <f>IFERROR(__xludf.DUMMYFUNCTION("""COMPUTED_VALUE"""),771.45)</f>
        <v>771.45</v>
      </c>
      <c r="E73" s="6">
        <f>IFERROR(__xludf.DUMMYFUNCTION("""COMPUTED_VALUE"""),859.0)</f>
        <v>859</v>
      </c>
      <c r="F73" s="6">
        <f>IFERROR(__xludf.DUMMYFUNCTION("""COMPUTED_VALUE"""),1.6646975E7)</f>
        <v>16646975</v>
      </c>
    </row>
    <row r="74">
      <c r="A74" s="7">
        <f>IFERROR(__xludf.DUMMYFUNCTION("""COMPUTED_VALUE"""),45709.64583333333)</f>
        <v>45709.64583</v>
      </c>
      <c r="B74" s="6">
        <f>IFERROR(__xludf.DUMMYFUNCTION("""COMPUTED_VALUE"""),864.0)</f>
        <v>864</v>
      </c>
      <c r="C74" s="6">
        <f>IFERROR(__xludf.DUMMYFUNCTION("""COMPUTED_VALUE"""),868.2)</f>
        <v>868.2</v>
      </c>
      <c r="D74" s="6">
        <f>IFERROR(__xludf.DUMMYFUNCTION("""COMPUTED_VALUE"""),824.8)</f>
        <v>824.8</v>
      </c>
      <c r="E74" s="6">
        <f>IFERROR(__xludf.DUMMYFUNCTION("""COMPUTED_VALUE"""),835.2)</f>
        <v>835.2</v>
      </c>
      <c r="F74" s="6">
        <f>IFERROR(__xludf.DUMMYFUNCTION("""COMPUTED_VALUE"""),1.0002892E7)</f>
        <v>10002892</v>
      </c>
    </row>
    <row r="75">
      <c r="A75" s="7">
        <f>IFERROR(__xludf.DUMMYFUNCTION("""COMPUTED_VALUE"""),45716.64583333333)</f>
        <v>45716.64583</v>
      </c>
      <c r="B75" s="6">
        <f>IFERROR(__xludf.DUMMYFUNCTION("""COMPUTED_VALUE"""),830.0)</f>
        <v>830</v>
      </c>
      <c r="C75" s="6">
        <f>IFERROR(__xludf.DUMMYFUNCTION("""COMPUTED_VALUE"""),864.75)</f>
        <v>864.75</v>
      </c>
      <c r="D75" s="6">
        <f>IFERROR(__xludf.DUMMYFUNCTION("""COMPUTED_VALUE"""),825.2)</f>
        <v>825.2</v>
      </c>
      <c r="E75" s="6">
        <f>IFERROR(__xludf.DUMMYFUNCTION("""COMPUTED_VALUE"""),838.8)</f>
        <v>838.8</v>
      </c>
      <c r="F75" s="6">
        <f>IFERROR(__xludf.DUMMYFUNCTION("""COMPUTED_VALUE"""),8073552.0)</f>
        <v>8073552</v>
      </c>
    </row>
    <row r="76">
      <c r="A76" s="7">
        <f>IFERROR(__xludf.DUMMYFUNCTION("""COMPUTED_VALUE"""),45723.64583333333)</f>
        <v>45723.64583</v>
      </c>
      <c r="B76" s="6">
        <f>IFERROR(__xludf.DUMMYFUNCTION("""COMPUTED_VALUE"""),839.95)</f>
        <v>839.95</v>
      </c>
      <c r="C76" s="6">
        <f>IFERROR(__xludf.DUMMYFUNCTION("""COMPUTED_VALUE"""),850.0)</f>
        <v>850</v>
      </c>
      <c r="D76" s="6">
        <f>IFERROR(__xludf.DUMMYFUNCTION("""COMPUTED_VALUE"""),814.7)</f>
        <v>814.7</v>
      </c>
      <c r="E76" s="6">
        <f>IFERROR(__xludf.DUMMYFUNCTION("""COMPUTED_VALUE"""),834.8)</f>
        <v>834.8</v>
      </c>
      <c r="F76" s="6">
        <f>IFERROR(__xludf.DUMMYFUNCTION("""COMPUTED_VALUE"""),4764186.0)</f>
        <v>4764186</v>
      </c>
    </row>
    <row r="77">
      <c r="A77" s="7">
        <f>IFERROR(__xludf.DUMMYFUNCTION("""COMPUTED_VALUE"""),45729.64583333333)</f>
        <v>45729.64583</v>
      </c>
      <c r="B77" s="6">
        <f>IFERROR(__xludf.DUMMYFUNCTION("""COMPUTED_VALUE"""),834.8)</f>
        <v>834.8</v>
      </c>
      <c r="C77" s="6">
        <f>IFERROR(__xludf.DUMMYFUNCTION("""COMPUTED_VALUE"""),853.65)</f>
        <v>853.65</v>
      </c>
      <c r="D77" s="6">
        <f>IFERROR(__xludf.DUMMYFUNCTION("""COMPUTED_VALUE"""),828.05)</f>
        <v>828.05</v>
      </c>
      <c r="E77" s="6">
        <f>IFERROR(__xludf.DUMMYFUNCTION("""COMPUTED_VALUE"""),829.85)</f>
        <v>829.85</v>
      </c>
      <c r="F77" s="6">
        <f>IFERROR(__xludf.DUMMYFUNCTION("""COMPUTED_VALUE"""),4733126.0)</f>
        <v>4733126</v>
      </c>
    </row>
    <row r="78">
      <c r="A78" s="7">
        <f>IFERROR(__xludf.DUMMYFUNCTION("""COMPUTED_VALUE"""),45737.64583333333)</f>
        <v>45737.64583</v>
      </c>
      <c r="B78" s="6">
        <f>IFERROR(__xludf.DUMMYFUNCTION("""COMPUTED_VALUE"""),849.0)</f>
        <v>849</v>
      </c>
      <c r="C78" s="6">
        <f>IFERROR(__xludf.DUMMYFUNCTION("""COMPUTED_VALUE"""),866.0)</f>
        <v>866</v>
      </c>
      <c r="D78" s="6">
        <f>IFERROR(__xludf.DUMMYFUNCTION("""COMPUTED_VALUE"""),836.4)</f>
        <v>836.4</v>
      </c>
      <c r="E78" s="6">
        <f>IFERROR(__xludf.DUMMYFUNCTION("""COMPUTED_VALUE"""),857.5)</f>
        <v>857.5</v>
      </c>
      <c r="F78" s="6">
        <f>IFERROR(__xludf.DUMMYFUNCTION("""COMPUTED_VALUE"""),4799882.0)</f>
        <v>4799882</v>
      </c>
    </row>
    <row r="79">
      <c r="A79" s="7">
        <f>IFERROR(__xludf.DUMMYFUNCTION("""COMPUTED_VALUE"""),45744.64583333333)</f>
        <v>45744.64583</v>
      </c>
      <c r="B79" s="6">
        <f>IFERROR(__xludf.DUMMYFUNCTION("""COMPUTED_VALUE"""),857.5)</f>
        <v>857.5</v>
      </c>
      <c r="C79" s="6">
        <f>IFERROR(__xludf.DUMMYFUNCTION("""COMPUTED_VALUE"""),884.5)</f>
        <v>884.5</v>
      </c>
      <c r="D79" s="6">
        <f>IFERROR(__xludf.DUMMYFUNCTION("""COMPUTED_VALUE"""),830.0)</f>
        <v>830</v>
      </c>
      <c r="E79" s="6">
        <f>IFERROR(__xludf.DUMMYFUNCTION("""COMPUTED_VALUE"""),881.1)</f>
        <v>881.1</v>
      </c>
      <c r="F79" s="6">
        <f>IFERROR(__xludf.DUMMYFUNCTION("""COMPUTED_VALUE"""),8648936.0)</f>
        <v>8648936</v>
      </c>
    </row>
    <row r="80">
      <c r="A80" s="7">
        <f>IFERROR(__xludf.DUMMYFUNCTION("""COMPUTED_VALUE"""),45751.64583333333)</f>
        <v>45751.64583</v>
      </c>
      <c r="B80" s="6">
        <f>IFERROR(__xludf.DUMMYFUNCTION("""COMPUTED_VALUE"""),881.0)</f>
        <v>881</v>
      </c>
      <c r="C80" s="6">
        <f>IFERROR(__xludf.DUMMYFUNCTION("""COMPUTED_VALUE"""),881.0)</f>
        <v>881</v>
      </c>
      <c r="D80" s="6">
        <f>IFERROR(__xludf.DUMMYFUNCTION("""COMPUTED_VALUE"""),835.65)</f>
        <v>835.65</v>
      </c>
      <c r="E80" s="6">
        <f>IFERROR(__xludf.DUMMYFUNCTION("""COMPUTED_VALUE"""),848.0)</f>
        <v>848</v>
      </c>
      <c r="F80" s="6">
        <f>IFERROR(__xludf.DUMMYFUNCTION("""COMPUTED_VALUE"""),3921800.0)</f>
        <v>3921800</v>
      </c>
    </row>
    <row r="81">
      <c r="A81" s="7">
        <f>IFERROR(__xludf.DUMMYFUNCTION("""COMPUTED_VALUE"""),45758.64583333333)</f>
        <v>45758.64583</v>
      </c>
      <c r="B81" s="6">
        <f>IFERROR(__xludf.DUMMYFUNCTION("""COMPUTED_VALUE"""),763.5)</f>
        <v>763.5</v>
      </c>
      <c r="C81" s="6">
        <f>IFERROR(__xludf.DUMMYFUNCTION("""COMPUTED_VALUE"""),856.55)</f>
        <v>856.55</v>
      </c>
      <c r="D81" s="6">
        <f>IFERROR(__xludf.DUMMYFUNCTION("""COMPUTED_VALUE"""),763.5)</f>
        <v>763.5</v>
      </c>
      <c r="E81" s="6">
        <f>IFERROR(__xludf.DUMMYFUNCTION("""COMPUTED_VALUE"""),852.0)</f>
        <v>852</v>
      </c>
      <c r="F81" s="6">
        <f>IFERROR(__xludf.DUMMYFUNCTION("""COMPUTED_VALUE"""),3680998.0)</f>
        <v>3680998</v>
      </c>
    </row>
    <row r="82">
      <c r="A82" s="7">
        <f>IFERROR(__xludf.DUMMYFUNCTION("""COMPUTED_VALUE"""),45764.64583333333)</f>
        <v>45764.64583</v>
      </c>
      <c r="B82" s="6">
        <f>IFERROR(__xludf.DUMMYFUNCTION("""COMPUTED_VALUE"""),861.3)</f>
        <v>861.3</v>
      </c>
      <c r="C82" s="6">
        <f>IFERROR(__xludf.DUMMYFUNCTION("""COMPUTED_VALUE"""),908.0)</f>
        <v>908</v>
      </c>
      <c r="D82" s="6">
        <f>IFERROR(__xludf.DUMMYFUNCTION("""COMPUTED_VALUE"""),857.8)</f>
        <v>857.8</v>
      </c>
      <c r="E82" s="6">
        <f>IFERROR(__xludf.DUMMYFUNCTION("""COMPUTED_VALUE"""),906.35)</f>
        <v>906.35</v>
      </c>
      <c r="F82" s="6">
        <f>IFERROR(__xludf.DUMMYFUNCTION("""COMPUTED_VALUE"""),3546109.0)</f>
        <v>3546109</v>
      </c>
    </row>
    <row r="83">
      <c r="A83" s="7">
        <f>IFERROR(__xludf.DUMMYFUNCTION("""COMPUTED_VALUE"""),45772.64583333333)</f>
        <v>45772.64583</v>
      </c>
      <c r="B83" s="6">
        <f>IFERROR(__xludf.DUMMYFUNCTION("""COMPUTED_VALUE"""),906.3)</f>
        <v>906.3</v>
      </c>
      <c r="C83" s="6">
        <f>IFERROR(__xludf.DUMMYFUNCTION("""COMPUTED_VALUE"""),930.65)</f>
        <v>930.65</v>
      </c>
      <c r="D83" s="6">
        <f>IFERROR(__xludf.DUMMYFUNCTION("""COMPUTED_VALUE"""),860.0)</f>
        <v>860</v>
      </c>
      <c r="E83" s="6">
        <f>IFERROR(__xludf.DUMMYFUNCTION("""COMPUTED_VALUE"""),867.55)</f>
        <v>867.55</v>
      </c>
      <c r="F83" s="6">
        <f>IFERROR(__xludf.DUMMYFUNCTION("""COMPUTED_VALUE"""),1.1490337E7)</f>
        <v>11490337</v>
      </c>
    </row>
    <row r="84">
      <c r="A84" s="7">
        <f>IFERROR(__xludf.DUMMYFUNCTION("""COMPUTED_VALUE"""),45779.64583333333)</f>
        <v>45779.64583</v>
      </c>
      <c r="B84" s="6">
        <f>IFERROR(__xludf.DUMMYFUNCTION("""COMPUTED_VALUE"""),866.05)</f>
        <v>866.05</v>
      </c>
      <c r="C84" s="6">
        <f>IFERROR(__xludf.DUMMYFUNCTION("""COMPUTED_VALUE"""),893.0)</f>
        <v>893</v>
      </c>
      <c r="D84" s="6">
        <f>IFERROR(__xludf.DUMMYFUNCTION("""COMPUTED_VALUE"""),853.7)</f>
        <v>853.7</v>
      </c>
      <c r="E84" s="6">
        <f>IFERROR(__xludf.DUMMYFUNCTION("""COMPUTED_VALUE"""),878.2)</f>
        <v>878.2</v>
      </c>
      <c r="F84" s="6">
        <f>IFERROR(__xludf.DUMMYFUNCTION("""COMPUTED_VALUE"""),5999186.0)</f>
        <v>5999186</v>
      </c>
    </row>
    <row r="85">
      <c r="A85" s="7">
        <f>IFERROR(__xludf.DUMMYFUNCTION("""COMPUTED_VALUE"""),45786.64583333333)</f>
        <v>45786.64583</v>
      </c>
      <c r="B85" s="6">
        <f>IFERROR(__xludf.DUMMYFUNCTION("""COMPUTED_VALUE"""),877.65)</f>
        <v>877.65</v>
      </c>
      <c r="C85" s="6">
        <f>IFERROR(__xludf.DUMMYFUNCTION("""COMPUTED_VALUE"""),915.85)</f>
        <v>915.85</v>
      </c>
      <c r="D85" s="6">
        <f>IFERROR(__xludf.DUMMYFUNCTION("""COMPUTED_VALUE"""),862.0)</f>
        <v>862</v>
      </c>
      <c r="E85" s="6">
        <f>IFERROR(__xludf.DUMMYFUNCTION("""COMPUTED_VALUE"""),874.2)</f>
        <v>874.2</v>
      </c>
      <c r="F85" s="6">
        <f>IFERROR(__xludf.DUMMYFUNCTION("""COMPUTED_VALUE"""),6937043.0)</f>
        <v>6937043</v>
      </c>
    </row>
    <row r="86">
      <c r="A86" s="7">
        <f>IFERROR(__xludf.DUMMYFUNCTION("""COMPUTED_VALUE"""),45793.64583333333)</f>
        <v>45793.64583</v>
      </c>
      <c r="B86" s="6">
        <f>IFERROR(__xludf.DUMMYFUNCTION("""COMPUTED_VALUE"""),911.0)</f>
        <v>911</v>
      </c>
      <c r="C86" s="6">
        <f>IFERROR(__xludf.DUMMYFUNCTION("""COMPUTED_VALUE"""),919.8)</f>
        <v>919.8</v>
      </c>
      <c r="D86" s="6">
        <f>IFERROR(__xludf.DUMMYFUNCTION("""COMPUTED_VALUE"""),881.95)</f>
        <v>881.95</v>
      </c>
      <c r="E86" s="6">
        <f>IFERROR(__xludf.DUMMYFUNCTION("""COMPUTED_VALUE"""),912.0)</f>
        <v>912</v>
      </c>
      <c r="F86" s="6">
        <f>IFERROR(__xludf.DUMMYFUNCTION("""COMPUTED_VALUE"""),3465994.0)</f>
        <v>3465994</v>
      </c>
    </row>
    <row r="87">
      <c r="A87" s="7">
        <f>IFERROR(__xludf.DUMMYFUNCTION("""COMPUTED_VALUE"""),45800.64583333333)</f>
        <v>45800.64583</v>
      </c>
      <c r="B87" s="6">
        <f>IFERROR(__xludf.DUMMYFUNCTION("""COMPUTED_VALUE"""),910.0)</f>
        <v>910</v>
      </c>
      <c r="C87" s="6">
        <f>IFERROR(__xludf.DUMMYFUNCTION("""COMPUTED_VALUE"""),917.7)</f>
        <v>917.7</v>
      </c>
      <c r="D87" s="6">
        <f>IFERROR(__xludf.DUMMYFUNCTION("""COMPUTED_VALUE"""),876.7)</f>
        <v>876.7</v>
      </c>
      <c r="E87" s="6">
        <f>IFERROR(__xludf.DUMMYFUNCTION("""COMPUTED_VALUE"""),897.7)</f>
        <v>897.7</v>
      </c>
      <c r="F87" s="6">
        <f>IFERROR(__xludf.DUMMYFUNCTION("""COMPUTED_VALUE"""),2515460.0)</f>
        <v>2515460</v>
      </c>
    </row>
    <row r="88">
      <c r="A88" s="7">
        <f>IFERROR(__xludf.DUMMYFUNCTION("""COMPUTED_VALUE"""),45807.64583333333)</f>
        <v>45807.64583</v>
      </c>
      <c r="B88" s="6">
        <f>IFERROR(__xludf.DUMMYFUNCTION("""COMPUTED_VALUE"""),895.0)</f>
        <v>895</v>
      </c>
      <c r="C88" s="6">
        <f>IFERROR(__xludf.DUMMYFUNCTION("""COMPUTED_VALUE"""),929.0)</f>
        <v>929</v>
      </c>
      <c r="D88" s="6">
        <f>IFERROR(__xludf.DUMMYFUNCTION("""COMPUTED_VALUE"""),894.15)</f>
        <v>894.15</v>
      </c>
      <c r="E88" s="6">
        <f>IFERROR(__xludf.DUMMYFUNCTION("""COMPUTED_VALUE"""),921.05)</f>
        <v>921.05</v>
      </c>
      <c r="F88" s="6">
        <f>IFERROR(__xludf.DUMMYFUNCTION("""COMPUTED_VALUE"""),5283331.0)</f>
        <v>5283331</v>
      </c>
    </row>
    <row r="89">
      <c r="A89" s="7">
        <f>IFERROR(__xludf.DUMMYFUNCTION("""COMPUTED_VALUE"""),45814.64583333333)</f>
        <v>45814.64583</v>
      </c>
      <c r="B89" s="6">
        <f>IFERROR(__xludf.DUMMYFUNCTION("""COMPUTED_VALUE"""),921.05)</f>
        <v>921.05</v>
      </c>
      <c r="C89" s="6">
        <f>IFERROR(__xludf.DUMMYFUNCTION("""COMPUTED_VALUE"""),999.45)</f>
        <v>999.45</v>
      </c>
      <c r="D89" s="6">
        <f>IFERROR(__xludf.DUMMYFUNCTION("""COMPUTED_VALUE"""),910.45)</f>
        <v>910.45</v>
      </c>
      <c r="E89" s="6">
        <f>IFERROR(__xludf.DUMMYFUNCTION("""COMPUTED_VALUE"""),993.1)</f>
        <v>993.1</v>
      </c>
      <c r="F89" s="6">
        <f>IFERROR(__xludf.DUMMYFUNCTION("""COMPUTED_VALUE"""),8522579.0)</f>
        <v>8522579</v>
      </c>
    </row>
    <row r="90">
      <c r="A90" s="7">
        <f>IFERROR(__xludf.DUMMYFUNCTION("""COMPUTED_VALUE"""),45821.64583333333)</f>
        <v>45821.64583</v>
      </c>
      <c r="B90" s="6">
        <f>IFERROR(__xludf.DUMMYFUNCTION("""COMPUTED_VALUE"""),995.1)</f>
        <v>995.1</v>
      </c>
      <c r="C90" s="6">
        <f>IFERROR(__xludf.DUMMYFUNCTION("""COMPUTED_VALUE"""),1027.25)</f>
        <v>1027.25</v>
      </c>
      <c r="D90" s="6">
        <f>IFERROR(__xludf.DUMMYFUNCTION("""COMPUTED_VALUE"""),977.05)</f>
        <v>977.05</v>
      </c>
      <c r="E90" s="6">
        <f>IFERROR(__xludf.DUMMYFUNCTION("""COMPUTED_VALUE"""),1007.0)</f>
        <v>1007</v>
      </c>
      <c r="F90" s="6">
        <f>IFERROR(__xludf.DUMMYFUNCTION("""COMPUTED_VALUE"""),5378250.0)</f>
        <v>5378250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IFERROR(__xludf.DUMMYFUNCTION("""COMPUTED_VALUE"""),1001.1)</f>
        <v>1001.1</v>
      </c>
      <c r="C91" s="6">
        <f>IFERROR(__xludf.DUMMYFUNCTION("""COMPUTED_VALUE"""),1014.4)</f>
        <v>1014.4</v>
      </c>
      <c r="D91" s="6">
        <f>IFERROR(__xludf.DUMMYFUNCTION("""COMPUTED_VALUE"""),933.2)</f>
        <v>933.2</v>
      </c>
      <c r="E91" s="6">
        <f>IFERROR(__xludf.DUMMYFUNCTION("""COMPUTED_VALUE"""),945.6)</f>
        <v>945.6</v>
      </c>
      <c r="F91" s="6">
        <f>IFERROR(__xludf.DUMMYFUNCTION("""COMPUTED_VALUE"""),4946410.0)</f>
        <v>4946410</v>
      </c>
    </row>
    <row r="92">
      <c r="A92" s="7">
        <f>IFERROR(__xludf.DUMMYFUNCTION("""COMPUTED_VALUE"""),45835.64583333333)</f>
        <v>45835.64583</v>
      </c>
      <c r="B92" s="6">
        <f>IFERROR(__xludf.DUMMYFUNCTION("""COMPUTED_VALUE"""),946.95)</f>
        <v>946.95</v>
      </c>
      <c r="C92" s="6">
        <f>IFERROR(__xludf.DUMMYFUNCTION("""COMPUTED_VALUE"""),1015.0)</f>
        <v>1015</v>
      </c>
      <c r="D92" s="6">
        <f>IFERROR(__xludf.DUMMYFUNCTION("""COMPUTED_VALUE"""),942.6)</f>
        <v>942.6</v>
      </c>
      <c r="E92" s="6">
        <f>IFERROR(__xludf.DUMMYFUNCTION("""COMPUTED_VALUE"""),991.35)</f>
        <v>991.35</v>
      </c>
      <c r="F92" s="6">
        <f>IFERROR(__xludf.DUMMYFUNCTION("""COMPUTED_VALUE"""),1.4338974E7)</f>
        <v>14338974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IFERROR(__xludf.DUMMYFUNCTION("""COMPUTED_VALUE"""),976.95)</f>
        <v>976.95</v>
      </c>
      <c r="C93" s="6">
        <f>IFERROR(__xludf.DUMMYFUNCTION("""COMPUTED_VALUE"""),983.9)</f>
        <v>983.9</v>
      </c>
      <c r="D93" s="6">
        <f>IFERROR(__xludf.DUMMYFUNCTION("""COMPUTED_VALUE"""),901.3)</f>
        <v>901.3</v>
      </c>
      <c r="E93" s="6">
        <f>IFERROR(__xludf.DUMMYFUNCTION("""COMPUTED_VALUE"""),909.6)</f>
        <v>909.6</v>
      </c>
      <c r="F93" s="6">
        <f>IFERROR(__xludf.DUMMYFUNCTION("""COMPUTED_VALUE"""),9804519.0)</f>
        <v>9804519</v>
      </c>
    </row>
    <row r="94">
      <c r="A94" s="7">
        <f>IFERROR(__xludf.DUMMYFUNCTION("""COMPUTED_VALUE"""),45849.64583333333)</f>
        <v>45849.64583</v>
      </c>
      <c r="B94" s="6">
        <f>IFERROR(__xludf.DUMMYFUNCTION("""COMPUTED_VALUE"""),909.6)</f>
        <v>909.6</v>
      </c>
      <c r="C94" s="6">
        <f>IFERROR(__xludf.DUMMYFUNCTION("""COMPUTED_VALUE"""),939.0)</f>
        <v>939</v>
      </c>
      <c r="D94" s="6">
        <f>IFERROR(__xludf.DUMMYFUNCTION("""COMPUTED_VALUE"""),902.65)</f>
        <v>902.65</v>
      </c>
      <c r="E94" s="6">
        <f>IFERROR(__xludf.DUMMYFUNCTION("""COMPUTED_VALUE"""),913.45)</f>
        <v>913.45</v>
      </c>
      <c r="F94" s="6">
        <f>IFERROR(__xludf.DUMMYFUNCTION("""COMPUTED_VALUE"""),3695383.0)</f>
        <v>3695383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IFERROR(__xludf.DUMMYFUNCTION("""COMPUTED_VALUE"""),1004.75)</f>
        <v>1004.75</v>
      </c>
      <c r="C95" s="6">
        <f>IFERROR(__xludf.DUMMYFUNCTION("""COMPUTED_VALUE"""),1004.75)</f>
        <v>1004.75</v>
      </c>
      <c r="D95" s="6">
        <f>IFERROR(__xludf.DUMMYFUNCTION("""COMPUTED_VALUE"""),885.0)</f>
        <v>885</v>
      </c>
      <c r="E95" s="6">
        <f>IFERROR(__xludf.DUMMYFUNCTION("""COMPUTED_VALUE"""),894.6)</f>
        <v>894.6</v>
      </c>
      <c r="F95" s="6">
        <f>IFERROR(__xludf.DUMMYFUNCTION("""COMPUTED_VALUE"""),7622015.0)</f>
        <v>7622015</v>
      </c>
    </row>
    <row r="96">
      <c r="A96" s="7">
        <f>IFERROR(__xludf.DUMMYFUNCTION("""COMPUTED_VALUE"""),45863.64583333333)</f>
        <v>45863.64583</v>
      </c>
      <c r="B96" s="6">
        <f>IFERROR(__xludf.DUMMYFUNCTION("""COMPUTED_VALUE"""),892.0)</f>
        <v>892</v>
      </c>
      <c r="C96" s="6">
        <f>IFERROR(__xludf.DUMMYFUNCTION("""COMPUTED_VALUE"""),903.0)</f>
        <v>903</v>
      </c>
      <c r="D96" s="6">
        <f>IFERROR(__xludf.DUMMYFUNCTION("""COMPUTED_VALUE"""),878.35)</f>
        <v>878.35</v>
      </c>
      <c r="E96" s="6">
        <f>IFERROR(__xludf.DUMMYFUNCTION("""COMPUTED_VALUE"""),888.5)</f>
        <v>888.5</v>
      </c>
      <c r="F96" s="6">
        <f>IFERROR(__xludf.DUMMYFUNCTION("""COMPUTED_VALUE"""),3796410.0)</f>
        <v>3796410</v>
      </c>
    </row>
    <row r="97">
      <c r="A97" s="7">
        <f>IFERROR(__xludf.DUMMYFUNCTION("""COMPUTED_VALUE"""),45870.64583333333)</f>
        <v>45870.64583</v>
      </c>
      <c r="B97" s="6">
        <f>IFERROR(__xludf.DUMMYFUNCTION("""COMPUTED_VALUE"""),832.1)</f>
        <v>832.1</v>
      </c>
      <c r="C97" s="6">
        <f>IFERROR(__xludf.DUMMYFUNCTION("""COMPUTED_VALUE"""),864.8)</f>
        <v>864.8</v>
      </c>
      <c r="D97" s="6">
        <f>IFERROR(__xludf.DUMMYFUNCTION("""COMPUTED_VALUE"""),797.6)</f>
        <v>797.6</v>
      </c>
      <c r="E97" s="6">
        <f>IFERROR(__xludf.DUMMYFUNCTION("""COMPUTED_VALUE"""),803.95)</f>
        <v>803.95</v>
      </c>
      <c r="F97" s="6">
        <f>IFERROR(__xludf.DUMMYFUNCTION("""COMPUTED_VALUE"""),7906543.0)</f>
        <v>7906543</v>
      </c>
    </row>
    <row r="98">
      <c r="A98" s="7">
        <f>IFERROR(__xludf.DUMMYFUNCTION("""COMPUTED_VALUE"""),45877.64583333333)</f>
        <v>45877.64583</v>
      </c>
      <c r="B98" s="6">
        <f>IFERROR(__xludf.DUMMYFUNCTION("""COMPUTED_VALUE"""),801.5)</f>
        <v>801.5</v>
      </c>
      <c r="C98" s="6">
        <f>IFERROR(__xludf.DUMMYFUNCTION("""COMPUTED_VALUE"""),814.0)</f>
        <v>814</v>
      </c>
      <c r="D98" s="6">
        <f>IFERROR(__xludf.DUMMYFUNCTION("""COMPUTED_VALUE"""),783.6)</f>
        <v>783.6</v>
      </c>
      <c r="E98" s="6">
        <f>IFERROR(__xludf.DUMMYFUNCTION("""COMPUTED_VALUE"""),786.9)</f>
        <v>786.9</v>
      </c>
      <c r="F98" s="6">
        <f>IFERROR(__xludf.DUMMYFUNCTION("""COMPUTED_VALUE"""),3685554.0)</f>
        <v>3685554</v>
      </c>
    </row>
    <row r="99">
      <c r="A99" s="7">
        <f>IFERROR(__xludf.DUMMYFUNCTION("""COMPUTED_VALUE"""),45883.64583333333)</f>
        <v>45883.64583</v>
      </c>
      <c r="B99" s="6">
        <f>IFERROR(__xludf.DUMMYFUNCTION("""COMPUTED_VALUE"""),786.9)</f>
        <v>786.9</v>
      </c>
      <c r="C99" s="6">
        <f>IFERROR(__xludf.DUMMYFUNCTION("""COMPUTED_VALUE"""),803.1)</f>
        <v>803.1</v>
      </c>
      <c r="D99" s="6">
        <f>IFERROR(__xludf.DUMMYFUNCTION("""COMPUTED_VALUE"""),784.3)</f>
        <v>784.3</v>
      </c>
      <c r="E99" s="6">
        <f>IFERROR(__xludf.DUMMYFUNCTION("""COMPUTED_VALUE"""),789.35)</f>
        <v>789.35</v>
      </c>
      <c r="F99" s="6">
        <f>IFERROR(__xludf.DUMMYFUNCTION("""COMPUTED_VALUE"""),1861889.0)</f>
        <v>1861889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IFERROR(__xludf.DUMMYFUNCTION("""COMPUTED_VALUE"""),797.1)</f>
        <v>797.1</v>
      </c>
      <c r="C100" s="6">
        <f>IFERROR(__xludf.DUMMYFUNCTION("""COMPUTED_VALUE"""),829.8)</f>
        <v>829.8</v>
      </c>
      <c r="D100" s="6">
        <f>IFERROR(__xludf.DUMMYFUNCTION("""COMPUTED_VALUE"""),796.0)</f>
        <v>796</v>
      </c>
      <c r="E100" s="6">
        <f>IFERROR(__xludf.DUMMYFUNCTION("""COMPUTED_VALUE"""),821.0)</f>
        <v>821</v>
      </c>
      <c r="F100" s="6">
        <f>IFERROR(__xludf.DUMMYFUNCTION("""COMPUTED_VALUE"""),2501198.0)</f>
        <v>2501198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IFERROR(__xludf.DUMMYFUNCTION("""COMPUTED_VALUE"""),817.2)</f>
        <v>817.2</v>
      </c>
      <c r="C101" s="6">
        <f>IFERROR(__xludf.DUMMYFUNCTION("""COMPUTED_VALUE"""),827.0)</f>
        <v>827</v>
      </c>
      <c r="D101" s="6">
        <f>IFERROR(__xludf.DUMMYFUNCTION("""COMPUTED_VALUE"""),799.55)</f>
        <v>799.55</v>
      </c>
      <c r="E101" s="6">
        <f>IFERROR(__xludf.DUMMYFUNCTION("""COMPUTED_VALUE"""),815.7)</f>
        <v>815.7</v>
      </c>
      <c r="F101" s="6">
        <f>IFERROR(__xludf.DUMMYFUNCTION("""COMPUTED_VALUE"""),1.1563393E7)</f>
        <v>11563393</v>
      </c>
    </row>
  </sheetData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IFERROR(__xludf.DUMMYFUNCTION("GOOGLEFINANCE(""NSE:SBILIFE"",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IFERROR(__xludf.DUMMYFUNCTION("""COMPUTED_VALUE"""),1300.0)</f>
        <v>1300</v>
      </c>
      <c r="C2" s="6">
        <f>IFERROR(__xludf.DUMMYFUNCTION("""COMPUTED_VALUE"""),1327.1)</f>
        <v>1327.1</v>
      </c>
      <c r="D2" s="6">
        <f>IFERROR(__xludf.DUMMYFUNCTION("""COMPUTED_VALUE"""),1286.5)</f>
        <v>1286.5</v>
      </c>
      <c r="E2" s="6">
        <f>IFERROR(__xludf.DUMMYFUNCTION("""COMPUTED_VALUE"""),1320.55)</f>
        <v>1320.55</v>
      </c>
      <c r="F2" s="6">
        <f>IFERROR(__xludf.DUMMYFUNCTION("""COMPUTED_VALUE"""),4739783.0)</f>
        <v>4739783</v>
      </c>
    </row>
    <row r="3">
      <c r="A3" s="7">
        <f>IFERROR(__xludf.DUMMYFUNCTION("""COMPUTED_VALUE"""),45177.64583333333)</f>
        <v>45177.64583</v>
      </c>
      <c r="B3" s="6">
        <f>IFERROR(__xludf.DUMMYFUNCTION("""COMPUTED_VALUE"""),1328.5)</f>
        <v>1328.5</v>
      </c>
      <c r="C3" s="6">
        <f>IFERROR(__xludf.DUMMYFUNCTION("""COMPUTED_VALUE"""),1351.3)</f>
        <v>1351.3</v>
      </c>
      <c r="D3" s="6">
        <f>IFERROR(__xludf.DUMMYFUNCTION("""COMPUTED_VALUE"""),1301.5)</f>
        <v>1301.5</v>
      </c>
      <c r="E3" s="6">
        <f>IFERROR(__xludf.DUMMYFUNCTION("""COMPUTED_VALUE"""),1341.45)</f>
        <v>1341.45</v>
      </c>
      <c r="F3" s="6">
        <f>IFERROR(__xludf.DUMMYFUNCTION("""COMPUTED_VALUE"""),6608541.0)</f>
        <v>6608541</v>
      </c>
    </row>
    <row r="4">
      <c r="A4" s="7">
        <f>IFERROR(__xludf.DUMMYFUNCTION("""COMPUTED_VALUE"""),45184.64583333333)</f>
        <v>45184.64583</v>
      </c>
      <c r="B4" s="6">
        <f>IFERROR(__xludf.DUMMYFUNCTION("""COMPUTED_VALUE"""),1344.45)</f>
        <v>1344.45</v>
      </c>
      <c r="C4" s="6">
        <f>IFERROR(__xludf.DUMMYFUNCTION("""COMPUTED_VALUE"""),1374.85)</f>
        <v>1374.85</v>
      </c>
      <c r="D4" s="6">
        <f>IFERROR(__xludf.DUMMYFUNCTION("""COMPUTED_VALUE"""),1328.25)</f>
        <v>1328.25</v>
      </c>
      <c r="E4" s="6">
        <f>IFERROR(__xludf.DUMMYFUNCTION("""COMPUTED_VALUE"""),1372.65)</f>
        <v>1372.65</v>
      </c>
      <c r="F4" s="6">
        <f>IFERROR(__xludf.DUMMYFUNCTION("""COMPUTED_VALUE"""),4189593.0)</f>
        <v>4189593</v>
      </c>
    </row>
    <row r="5">
      <c r="A5" s="7">
        <f>IFERROR(__xludf.DUMMYFUNCTION("""COMPUTED_VALUE"""),45191.64583333333)</f>
        <v>45191.64583</v>
      </c>
      <c r="B5" s="6">
        <f>IFERROR(__xludf.DUMMYFUNCTION("""COMPUTED_VALUE"""),1375.0)</f>
        <v>1375</v>
      </c>
      <c r="C5" s="6">
        <f>IFERROR(__xludf.DUMMYFUNCTION("""COMPUTED_VALUE"""),1393.0)</f>
        <v>1393</v>
      </c>
      <c r="D5" s="6">
        <f>IFERROR(__xludf.DUMMYFUNCTION("""COMPUTED_VALUE"""),1316.0)</f>
        <v>1316</v>
      </c>
      <c r="E5" s="6">
        <f>IFERROR(__xludf.DUMMYFUNCTION("""COMPUTED_VALUE"""),1318.85)</f>
        <v>1318.85</v>
      </c>
      <c r="F5" s="6">
        <f>IFERROR(__xludf.DUMMYFUNCTION("""COMPUTED_VALUE"""),3766784.0)</f>
        <v>3766784</v>
      </c>
    </row>
    <row r="6">
      <c r="A6" s="7">
        <f>IFERROR(__xludf.DUMMYFUNCTION("""COMPUTED_VALUE"""),45198.64583333333)</f>
        <v>45198.64583</v>
      </c>
      <c r="B6" s="6">
        <f>IFERROR(__xludf.DUMMYFUNCTION("""COMPUTED_VALUE"""),1318.8)</f>
        <v>1318.8</v>
      </c>
      <c r="C6" s="6">
        <f>IFERROR(__xludf.DUMMYFUNCTION("""COMPUTED_VALUE"""),1340.0)</f>
        <v>1340</v>
      </c>
      <c r="D6" s="6">
        <f>IFERROR(__xludf.DUMMYFUNCTION("""COMPUTED_VALUE"""),1277.95)</f>
        <v>1277.95</v>
      </c>
      <c r="E6" s="6">
        <f>IFERROR(__xludf.DUMMYFUNCTION("""COMPUTED_VALUE"""),1305.4)</f>
        <v>1305.4</v>
      </c>
      <c r="F6" s="6">
        <f>IFERROR(__xludf.DUMMYFUNCTION("""COMPUTED_VALUE"""),4621994.0)</f>
        <v>4621994</v>
      </c>
    </row>
    <row r="7">
      <c r="A7" s="7">
        <f>IFERROR(__xludf.DUMMYFUNCTION("""COMPUTED_VALUE"""),45205.64583333333)</f>
        <v>45205.64583</v>
      </c>
      <c r="B7" s="6">
        <f>IFERROR(__xludf.DUMMYFUNCTION("""COMPUTED_VALUE"""),1302.15)</f>
        <v>1302.15</v>
      </c>
      <c r="C7" s="6">
        <f>IFERROR(__xludf.DUMMYFUNCTION("""COMPUTED_VALUE"""),1302.15)</f>
        <v>1302.15</v>
      </c>
      <c r="D7" s="6">
        <f>IFERROR(__xludf.DUMMYFUNCTION("""COMPUTED_VALUE"""),1264.35)</f>
        <v>1264.35</v>
      </c>
      <c r="E7" s="6">
        <f>IFERROR(__xludf.DUMMYFUNCTION("""COMPUTED_VALUE"""),1282.95)</f>
        <v>1282.95</v>
      </c>
      <c r="F7" s="6">
        <f>IFERROR(__xludf.DUMMYFUNCTION("""COMPUTED_VALUE"""),4185656.0)</f>
        <v>4185656</v>
      </c>
    </row>
    <row r="8">
      <c r="A8" s="7">
        <f>IFERROR(__xludf.DUMMYFUNCTION("""COMPUTED_VALUE"""),45212.64583333333)</f>
        <v>45212.64583</v>
      </c>
      <c r="B8" s="6">
        <f>IFERROR(__xludf.DUMMYFUNCTION("""COMPUTED_VALUE"""),1278.1)</f>
        <v>1278.1</v>
      </c>
      <c r="C8" s="6">
        <f>IFERROR(__xludf.DUMMYFUNCTION("""COMPUTED_VALUE"""),1329.65)</f>
        <v>1329.65</v>
      </c>
      <c r="D8" s="6">
        <f>IFERROR(__xludf.DUMMYFUNCTION("""COMPUTED_VALUE"""),1272.0)</f>
        <v>1272</v>
      </c>
      <c r="E8" s="6">
        <f>IFERROR(__xludf.DUMMYFUNCTION("""COMPUTED_VALUE"""),1316.45)</f>
        <v>1316.45</v>
      </c>
      <c r="F8" s="6">
        <f>IFERROR(__xludf.DUMMYFUNCTION("""COMPUTED_VALUE"""),5583663.0)</f>
        <v>5583663</v>
      </c>
    </row>
    <row r="9">
      <c r="A9" s="7">
        <f>IFERROR(__xludf.DUMMYFUNCTION("""COMPUTED_VALUE"""),45219.64583333333)</f>
        <v>45219.64583</v>
      </c>
      <c r="B9" s="6">
        <f>IFERROR(__xludf.DUMMYFUNCTION("""COMPUTED_VALUE"""),1319.2)</f>
        <v>1319.2</v>
      </c>
      <c r="C9" s="6">
        <f>IFERROR(__xludf.DUMMYFUNCTION("""COMPUTED_VALUE"""),1368.65)</f>
        <v>1368.65</v>
      </c>
      <c r="D9" s="6">
        <f>IFERROR(__xludf.DUMMYFUNCTION("""COMPUTED_VALUE"""),1310.55)</f>
        <v>1310.55</v>
      </c>
      <c r="E9" s="6">
        <f>IFERROR(__xludf.DUMMYFUNCTION("""COMPUTED_VALUE"""),1362.65)</f>
        <v>1362.65</v>
      </c>
      <c r="F9" s="6">
        <f>IFERROR(__xludf.DUMMYFUNCTION("""COMPUTED_VALUE"""),3638318.0)</f>
        <v>3638318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IFERROR(__xludf.DUMMYFUNCTION("""COMPUTED_VALUE"""),1359.95)</f>
        <v>1359.95</v>
      </c>
      <c r="C10" s="6">
        <f>IFERROR(__xludf.DUMMYFUNCTION("""COMPUTED_VALUE"""),1366.55)</f>
        <v>1366.55</v>
      </c>
      <c r="D10" s="6">
        <f>IFERROR(__xludf.DUMMYFUNCTION("""COMPUTED_VALUE"""),1290.75)</f>
        <v>1290.75</v>
      </c>
      <c r="E10" s="6">
        <f>IFERROR(__xludf.DUMMYFUNCTION("""COMPUTED_VALUE"""),1302.9)</f>
        <v>1302.9</v>
      </c>
      <c r="F10" s="6">
        <f>IFERROR(__xludf.DUMMYFUNCTION("""COMPUTED_VALUE"""),3684442.0)</f>
        <v>3684442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IFERROR(__xludf.DUMMYFUNCTION("""COMPUTED_VALUE"""),1305.2)</f>
        <v>1305.2</v>
      </c>
      <c r="C11" s="6">
        <f>IFERROR(__xludf.DUMMYFUNCTION("""COMPUTED_VALUE"""),1377.95)</f>
        <v>1377.95</v>
      </c>
      <c r="D11" s="6">
        <f>IFERROR(__xludf.DUMMYFUNCTION("""COMPUTED_VALUE"""),1305.0)</f>
        <v>1305</v>
      </c>
      <c r="E11" s="6">
        <f>IFERROR(__xludf.DUMMYFUNCTION("""COMPUTED_VALUE"""),1329.35)</f>
        <v>1329.35</v>
      </c>
      <c r="F11" s="6">
        <f>IFERROR(__xludf.DUMMYFUNCTION("""COMPUTED_VALUE"""),5826964.0)</f>
        <v>5826964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IFERROR(__xludf.DUMMYFUNCTION("""COMPUTED_VALUE"""),1335.0)</f>
        <v>1335</v>
      </c>
      <c r="C12" s="6">
        <f>IFERROR(__xludf.DUMMYFUNCTION("""COMPUTED_VALUE"""),1360.0)</f>
        <v>1360</v>
      </c>
      <c r="D12" s="6">
        <f>IFERROR(__xludf.DUMMYFUNCTION("""COMPUTED_VALUE"""),1320.4)</f>
        <v>1320.4</v>
      </c>
      <c r="E12" s="6">
        <f>IFERROR(__xludf.DUMMYFUNCTION("""COMPUTED_VALUE"""),1355.4)</f>
        <v>1355.4</v>
      </c>
      <c r="F12" s="6">
        <f>IFERROR(__xludf.DUMMYFUNCTION("""COMPUTED_VALUE"""),3046990.0)</f>
        <v>3046990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IFERROR(__xludf.DUMMYFUNCTION("""COMPUTED_VALUE"""),1364.5)</f>
        <v>1364.5</v>
      </c>
      <c r="C13" s="6">
        <f>IFERROR(__xludf.DUMMYFUNCTION("""COMPUTED_VALUE"""),1434.45)</f>
        <v>1434.45</v>
      </c>
      <c r="D13" s="6">
        <f>IFERROR(__xludf.DUMMYFUNCTION("""COMPUTED_VALUE"""),1325.0)</f>
        <v>1325</v>
      </c>
      <c r="E13" s="6">
        <f>IFERROR(__xludf.DUMMYFUNCTION("""COMPUTED_VALUE"""),1413.95)</f>
        <v>1413.95</v>
      </c>
      <c r="F13" s="6">
        <f>IFERROR(__xludf.DUMMYFUNCTION("""COMPUTED_VALUE"""),5913115.0)</f>
        <v>5913115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IFERROR(__xludf.DUMMYFUNCTION("""COMPUTED_VALUE"""),1413.95)</f>
        <v>1413.95</v>
      </c>
      <c r="C14" s="6">
        <f>IFERROR(__xludf.DUMMYFUNCTION("""COMPUTED_VALUE"""),1438.55)</f>
        <v>1438.55</v>
      </c>
      <c r="D14" s="6">
        <f>IFERROR(__xludf.DUMMYFUNCTION("""COMPUTED_VALUE"""),1383.0)</f>
        <v>1383</v>
      </c>
      <c r="E14" s="6">
        <f>IFERROR(__xludf.DUMMYFUNCTION("""COMPUTED_VALUE"""),1409.7)</f>
        <v>1409.7</v>
      </c>
      <c r="F14" s="6">
        <f>IFERROR(__xludf.DUMMYFUNCTION("""COMPUTED_VALUE"""),4578747.0)</f>
        <v>4578747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IFERROR(__xludf.DUMMYFUNCTION("""COMPUTED_VALUE"""),1409.8)</f>
        <v>1409.8</v>
      </c>
      <c r="C15" s="6">
        <f>IFERROR(__xludf.DUMMYFUNCTION("""COMPUTED_VALUE"""),1445.0)</f>
        <v>1445</v>
      </c>
      <c r="D15" s="6">
        <f>IFERROR(__xludf.DUMMYFUNCTION("""COMPUTED_VALUE"""),1393.1)</f>
        <v>1393.1</v>
      </c>
      <c r="E15" s="6">
        <f>IFERROR(__xludf.DUMMYFUNCTION("""COMPUTED_VALUE"""),1423.65)</f>
        <v>1423.65</v>
      </c>
      <c r="F15" s="6">
        <f>IFERROR(__xludf.DUMMYFUNCTION("""COMPUTED_VALUE"""),5847415.0)</f>
        <v>5847415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IFERROR(__xludf.DUMMYFUNCTION("""COMPUTED_VALUE"""),1439.9)</f>
        <v>1439.9</v>
      </c>
      <c r="C16" s="6">
        <f>IFERROR(__xludf.DUMMYFUNCTION("""COMPUTED_VALUE"""),1483.45)</f>
        <v>1483.45</v>
      </c>
      <c r="D16" s="6">
        <f>IFERROR(__xludf.DUMMYFUNCTION("""COMPUTED_VALUE"""),1415.0)</f>
        <v>1415</v>
      </c>
      <c r="E16" s="6">
        <f>IFERROR(__xludf.DUMMYFUNCTION("""COMPUTED_VALUE"""),1465.2)</f>
        <v>1465.2</v>
      </c>
      <c r="F16" s="6">
        <f>IFERROR(__xludf.DUMMYFUNCTION("""COMPUTED_VALUE"""),7635702.0)</f>
        <v>7635702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IFERROR(__xludf.DUMMYFUNCTION("""COMPUTED_VALUE"""),1465.2)</f>
        <v>1465.2</v>
      </c>
      <c r="C17" s="6">
        <f>IFERROR(__xludf.DUMMYFUNCTION("""COMPUTED_VALUE"""),1491.9)</f>
        <v>1491.9</v>
      </c>
      <c r="D17" s="6">
        <f>IFERROR(__xludf.DUMMYFUNCTION("""COMPUTED_VALUE"""),1448.6)</f>
        <v>1448.6</v>
      </c>
      <c r="E17" s="6">
        <f>IFERROR(__xludf.DUMMYFUNCTION("""COMPUTED_VALUE"""),1452.5)</f>
        <v>1452.5</v>
      </c>
      <c r="F17" s="6">
        <f>IFERROR(__xludf.DUMMYFUNCTION("""COMPUTED_VALUE"""),9210763.0)</f>
        <v>9210763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IFERROR(__xludf.DUMMYFUNCTION("""COMPUTED_VALUE"""),1452.5)</f>
        <v>1452.5</v>
      </c>
      <c r="C18" s="6">
        <f>IFERROR(__xludf.DUMMYFUNCTION("""COMPUTED_VALUE"""),1461.4)</f>
        <v>1461.4</v>
      </c>
      <c r="D18" s="6">
        <f>IFERROR(__xludf.DUMMYFUNCTION("""COMPUTED_VALUE"""),1379.95)</f>
        <v>1379.95</v>
      </c>
      <c r="E18" s="6">
        <f>IFERROR(__xludf.DUMMYFUNCTION("""COMPUTED_VALUE"""),1394.3)</f>
        <v>1394.3</v>
      </c>
      <c r="F18" s="6">
        <f>IFERROR(__xludf.DUMMYFUNCTION("""COMPUTED_VALUE"""),6968019.0)</f>
        <v>6968019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IFERROR(__xludf.DUMMYFUNCTION("""COMPUTED_VALUE"""),1400.0)</f>
        <v>1400</v>
      </c>
      <c r="C19" s="6">
        <f>IFERROR(__xludf.DUMMYFUNCTION("""COMPUTED_VALUE"""),1444.95)</f>
        <v>1444.95</v>
      </c>
      <c r="D19" s="6">
        <f>IFERROR(__xludf.DUMMYFUNCTION("""COMPUTED_VALUE"""),1387.65)</f>
        <v>1387.65</v>
      </c>
      <c r="E19" s="6">
        <f>IFERROR(__xludf.DUMMYFUNCTION("""COMPUTED_VALUE"""),1432.6)</f>
        <v>1432.6</v>
      </c>
      <c r="F19" s="6">
        <f>IFERROR(__xludf.DUMMYFUNCTION("""COMPUTED_VALUE"""),3424248.0)</f>
        <v>3424248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IFERROR(__xludf.DUMMYFUNCTION("""COMPUTED_VALUE"""),1435.85)</f>
        <v>1435.85</v>
      </c>
      <c r="C20" s="6">
        <f>IFERROR(__xludf.DUMMYFUNCTION("""COMPUTED_VALUE"""),1468.0)</f>
        <v>1468</v>
      </c>
      <c r="D20" s="6">
        <f>IFERROR(__xludf.DUMMYFUNCTION("""COMPUTED_VALUE"""),1415.0)</f>
        <v>1415</v>
      </c>
      <c r="E20" s="6">
        <f>IFERROR(__xludf.DUMMYFUNCTION("""COMPUTED_VALUE"""),1454.15)</f>
        <v>1454.15</v>
      </c>
      <c r="F20" s="6">
        <f>IFERROR(__xludf.DUMMYFUNCTION("""COMPUTED_VALUE"""),3596955.0)</f>
        <v>3596955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IFERROR(__xludf.DUMMYFUNCTION("""COMPUTED_VALUE"""),1454.15)</f>
        <v>1454.15</v>
      </c>
      <c r="C21" s="6">
        <f>IFERROR(__xludf.DUMMYFUNCTION("""COMPUTED_VALUE"""),1495.35)</f>
        <v>1495.35</v>
      </c>
      <c r="D21" s="6">
        <f>IFERROR(__xludf.DUMMYFUNCTION("""COMPUTED_VALUE"""),1416.4)</f>
        <v>1416.4</v>
      </c>
      <c r="E21" s="6">
        <f>IFERROR(__xludf.DUMMYFUNCTION("""COMPUTED_VALUE"""),1435.3)</f>
        <v>1435.3</v>
      </c>
      <c r="F21" s="6">
        <f>IFERROR(__xludf.DUMMYFUNCTION("""COMPUTED_VALUE"""),6623700.0)</f>
        <v>6623700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IFERROR(__xludf.DUMMYFUNCTION("""COMPUTED_VALUE"""),1444.0)</f>
        <v>1444</v>
      </c>
      <c r="C22" s="6">
        <f>IFERROR(__xludf.DUMMYFUNCTION("""COMPUTED_VALUE"""),1448.65)</f>
        <v>1448.65</v>
      </c>
      <c r="D22" s="6">
        <f>IFERROR(__xludf.DUMMYFUNCTION("""COMPUTED_VALUE"""),1357.15)</f>
        <v>1357.15</v>
      </c>
      <c r="E22" s="6">
        <f>IFERROR(__xludf.DUMMYFUNCTION("""COMPUTED_VALUE"""),1380.9)</f>
        <v>1380.9</v>
      </c>
      <c r="F22" s="6">
        <f>IFERROR(__xludf.DUMMYFUNCTION("""COMPUTED_VALUE"""),7366474.0)</f>
        <v>7366474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IFERROR(__xludf.DUMMYFUNCTION("""COMPUTED_VALUE"""),1388.0)</f>
        <v>1388</v>
      </c>
      <c r="C23" s="6">
        <f>IFERROR(__xludf.DUMMYFUNCTION("""COMPUTED_VALUE"""),1459.7)</f>
        <v>1459.7</v>
      </c>
      <c r="D23" s="6">
        <f>IFERROR(__xludf.DUMMYFUNCTION("""COMPUTED_VALUE"""),1381.7)</f>
        <v>1381.7</v>
      </c>
      <c r="E23" s="6">
        <f>IFERROR(__xludf.DUMMYFUNCTION("""COMPUTED_VALUE"""),1435.45)</f>
        <v>1435.45</v>
      </c>
      <c r="F23" s="6">
        <f>IFERROR(__xludf.DUMMYFUNCTION("""COMPUTED_VALUE"""),8037184.0)</f>
        <v>8037184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IFERROR(__xludf.DUMMYFUNCTION("""COMPUTED_VALUE"""),1435.0)</f>
        <v>1435</v>
      </c>
      <c r="C24" s="6">
        <f>IFERROR(__xludf.DUMMYFUNCTION("""COMPUTED_VALUE"""),1493.0)</f>
        <v>1493</v>
      </c>
      <c r="D24" s="6">
        <f>IFERROR(__xludf.DUMMYFUNCTION("""COMPUTED_VALUE"""),1404.9)</f>
        <v>1404.9</v>
      </c>
      <c r="E24" s="6">
        <f>IFERROR(__xludf.DUMMYFUNCTION("""COMPUTED_VALUE"""),1439.7)</f>
        <v>1439.7</v>
      </c>
      <c r="F24" s="6">
        <f>IFERROR(__xludf.DUMMYFUNCTION("""COMPUTED_VALUE"""),5492109.0)</f>
        <v>5492109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IFERROR(__xludf.DUMMYFUNCTION("""COMPUTED_VALUE"""),1442.45)</f>
        <v>1442.45</v>
      </c>
      <c r="C25" s="6">
        <f>IFERROR(__xludf.DUMMYFUNCTION("""COMPUTED_VALUE"""),1516.2)</f>
        <v>1516.2</v>
      </c>
      <c r="D25" s="6">
        <f>IFERROR(__xludf.DUMMYFUNCTION("""COMPUTED_VALUE"""),1423.25)</f>
        <v>1423.25</v>
      </c>
      <c r="E25" s="6">
        <f>IFERROR(__xludf.DUMMYFUNCTION("""COMPUTED_VALUE"""),1508.45)</f>
        <v>1508.45</v>
      </c>
      <c r="F25" s="6">
        <f>IFERROR(__xludf.DUMMYFUNCTION("""COMPUTED_VALUE"""),5153264.0)</f>
        <v>5153264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IFERROR(__xludf.DUMMYFUNCTION("""COMPUTED_VALUE"""),1517.1)</f>
        <v>1517.1</v>
      </c>
      <c r="C26" s="6">
        <f>IFERROR(__xludf.DUMMYFUNCTION("""COMPUTED_VALUE"""),1536.25)</f>
        <v>1536.25</v>
      </c>
      <c r="D26" s="6">
        <f>IFERROR(__xludf.DUMMYFUNCTION("""COMPUTED_VALUE"""),1470.2)</f>
        <v>1470.2</v>
      </c>
      <c r="E26" s="6">
        <f>IFERROR(__xludf.DUMMYFUNCTION("""COMPUTED_VALUE"""),1529.15)</f>
        <v>1529.15</v>
      </c>
      <c r="F26" s="6">
        <f>IFERROR(__xludf.DUMMYFUNCTION("""COMPUTED_VALUE"""),6359556.0)</f>
        <v>6359556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IFERROR(__xludf.DUMMYFUNCTION("""COMPUTED_VALUE"""),1553.85)</f>
        <v>1553.85</v>
      </c>
      <c r="C27" s="6">
        <f>IFERROR(__xludf.DUMMYFUNCTION("""COMPUTED_VALUE"""),1554.0)</f>
        <v>1554</v>
      </c>
      <c r="D27" s="6">
        <f>IFERROR(__xludf.DUMMYFUNCTION("""COMPUTED_VALUE"""),1487.0)</f>
        <v>1487</v>
      </c>
      <c r="E27" s="6">
        <f>IFERROR(__xludf.DUMMYFUNCTION("""COMPUTED_VALUE"""),1510.4)</f>
        <v>1510.4</v>
      </c>
      <c r="F27" s="6">
        <f>IFERROR(__xludf.DUMMYFUNCTION("""COMPUTED_VALUE"""),7640382.0)</f>
        <v>7640382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IFERROR(__xludf.DUMMYFUNCTION("""COMPUTED_VALUE"""),1526.95)</f>
        <v>1526.95</v>
      </c>
      <c r="C28" s="6">
        <f>IFERROR(__xludf.DUMMYFUNCTION("""COMPUTED_VALUE"""),1551.75)</f>
        <v>1551.75</v>
      </c>
      <c r="D28" s="6">
        <f>IFERROR(__xludf.DUMMYFUNCTION("""COMPUTED_VALUE"""),1465.3)</f>
        <v>1465.3</v>
      </c>
      <c r="E28" s="6">
        <f>IFERROR(__xludf.DUMMYFUNCTION("""COMPUTED_VALUE"""),1500.0)</f>
        <v>1500</v>
      </c>
      <c r="F28" s="6">
        <f>IFERROR(__xludf.DUMMYFUNCTION("""COMPUTED_VALUE"""),7454914.0)</f>
        <v>7454914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IFERROR(__xludf.DUMMYFUNCTION("""COMPUTED_VALUE"""),1493.0)</f>
        <v>1493</v>
      </c>
      <c r="C29" s="6">
        <f>IFERROR(__xludf.DUMMYFUNCTION("""COMPUTED_VALUE"""),1511.0)</f>
        <v>1511</v>
      </c>
      <c r="D29" s="6">
        <f>IFERROR(__xludf.DUMMYFUNCTION("""COMPUTED_VALUE"""),1450.0)</f>
        <v>1450</v>
      </c>
      <c r="E29" s="6">
        <f>IFERROR(__xludf.DUMMYFUNCTION("""COMPUTED_VALUE"""),1501.1)</f>
        <v>1501.1</v>
      </c>
      <c r="F29" s="6">
        <f>IFERROR(__xludf.DUMMYFUNCTION("""COMPUTED_VALUE"""),3650910.0)</f>
        <v>3650910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IFERROR(__xludf.DUMMYFUNCTION("""COMPUTED_VALUE"""),1458.5)</f>
        <v>1458.5</v>
      </c>
      <c r="C30" s="6">
        <f>IFERROR(__xludf.DUMMYFUNCTION("""COMPUTED_VALUE"""),1521.85)</f>
        <v>1521.85</v>
      </c>
      <c r="D30" s="6">
        <f>IFERROR(__xludf.DUMMYFUNCTION("""COMPUTED_VALUE"""),1457.8)</f>
        <v>1457.8</v>
      </c>
      <c r="E30" s="6">
        <f>IFERROR(__xludf.DUMMYFUNCTION("""COMPUTED_VALUE"""),1500.25)</f>
        <v>1500.25</v>
      </c>
      <c r="F30" s="6">
        <f>IFERROR(__xludf.DUMMYFUNCTION("""COMPUTED_VALUE"""),3849961.0)</f>
        <v>3849961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IFERROR(__xludf.DUMMYFUNCTION("""COMPUTED_VALUE"""),1498.0)</f>
        <v>1498</v>
      </c>
      <c r="C31" s="6">
        <f>IFERROR(__xludf.DUMMYFUNCTION("""COMPUTED_VALUE"""),1519.1)</f>
        <v>1519.1</v>
      </c>
      <c r="D31" s="6">
        <f>IFERROR(__xludf.DUMMYFUNCTION("""COMPUTED_VALUE"""),1447.0)</f>
        <v>1447</v>
      </c>
      <c r="E31" s="6">
        <f>IFERROR(__xludf.DUMMYFUNCTION("""COMPUTED_VALUE"""),1485.3)</f>
        <v>1485.3</v>
      </c>
      <c r="F31" s="6">
        <f>IFERROR(__xludf.DUMMYFUNCTION("""COMPUTED_VALUE"""),6384841.0)</f>
        <v>6384841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IFERROR(__xludf.DUMMYFUNCTION("""COMPUTED_VALUE"""),1488.7)</f>
        <v>1488.7</v>
      </c>
      <c r="C32" s="6">
        <f>IFERROR(__xludf.DUMMYFUNCTION("""COMPUTED_VALUE"""),1528.0)</f>
        <v>1528</v>
      </c>
      <c r="D32" s="6">
        <f>IFERROR(__xludf.DUMMYFUNCTION("""COMPUTED_VALUE"""),1481.0)</f>
        <v>1481</v>
      </c>
      <c r="E32" s="6">
        <f>IFERROR(__xludf.DUMMYFUNCTION("""COMPUTED_VALUE"""),1493.15)</f>
        <v>1493.15</v>
      </c>
      <c r="F32" s="6">
        <f>IFERROR(__xludf.DUMMYFUNCTION("""COMPUTED_VALUE"""),3385037.0)</f>
        <v>3385037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IFERROR(__xludf.DUMMYFUNCTION("""COMPUTED_VALUE"""),1489.85)</f>
        <v>1489.85</v>
      </c>
      <c r="C33" s="6">
        <f>IFERROR(__xludf.DUMMYFUNCTION("""COMPUTED_VALUE"""),1489.9)</f>
        <v>1489.9</v>
      </c>
      <c r="D33" s="6">
        <f>IFERROR(__xludf.DUMMYFUNCTION("""COMPUTED_VALUE"""),1425.35)</f>
        <v>1425.35</v>
      </c>
      <c r="E33" s="6">
        <f>IFERROR(__xludf.DUMMYFUNCTION("""COMPUTED_VALUE"""),1447.55)</f>
        <v>1447.55</v>
      </c>
      <c r="F33" s="6">
        <f>IFERROR(__xludf.DUMMYFUNCTION("""COMPUTED_VALUE"""),4587335.0)</f>
        <v>4587335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IFERROR(__xludf.DUMMYFUNCTION("""COMPUTED_VALUE"""),1456.5)</f>
        <v>1456.5</v>
      </c>
      <c r="C34" s="6">
        <f>IFERROR(__xludf.DUMMYFUNCTION("""COMPUTED_VALUE"""),1489.2)</f>
        <v>1489.2</v>
      </c>
      <c r="D34" s="6">
        <f>IFERROR(__xludf.DUMMYFUNCTION("""COMPUTED_VALUE"""),1411.2)</f>
        <v>1411.2</v>
      </c>
      <c r="E34" s="6">
        <f>IFERROR(__xludf.DUMMYFUNCTION("""COMPUTED_VALUE"""),1415.25)</f>
        <v>1415.25</v>
      </c>
      <c r="F34" s="6">
        <f>IFERROR(__xludf.DUMMYFUNCTION("""COMPUTED_VALUE"""),7301190.0)</f>
        <v>7301190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IFERROR(__xludf.DUMMYFUNCTION("""COMPUTED_VALUE"""),1437.0)</f>
        <v>1437</v>
      </c>
      <c r="C35" s="6">
        <f>IFERROR(__xludf.DUMMYFUNCTION("""COMPUTED_VALUE"""),1472.7)</f>
        <v>1472.7</v>
      </c>
      <c r="D35" s="6">
        <f>IFERROR(__xludf.DUMMYFUNCTION("""COMPUTED_VALUE"""),1414.05)</f>
        <v>1414.05</v>
      </c>
      <c r="E35" s="6">
        <f>IFERROR(__xludf.DUMMYFUNCTION("""COMPUTED_VALUE"""),1443.25)</f>
        <v>1443.25</v>
      </c>
      <c r="F35" s="6">
        <f>IFERROR(__xludf.DUMMYFUNCTION("""COMPUTED_VALUE"""),1.0333269E7)</f>
        <v>10333269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IFERROR(__xludf.DUMMYFUNCTION("""COMPUTED_VALUE"""),1450.0)</f>
        <v>1450</v>
      </c>
      <c r="C36" s="6">
        <f>IFERROR(__xludf.DUMMYFUNCTION("""COMPUTED_VALUE"""),1465.95)</f>
        <v>1465.95</v>
      </c>
      <c r="D36" s="6">
        <f>IFERROR(__xludf.DUMMYFUNCTION("""COMPUTED_VALUE"""),1413.2)</f>
        <v>1413.2</v>
      </c>
      <c r="E36" s="6">
        <f>IFERROR(__xludf.DUMMYFUNCTION("""COMPUTED_VALUE"""),1431.95)</f>
        <v>1431.95</v>
      </c>
      <c r="F36" s="6">
        <f>IFERROR(__xludf.DUMMYFUNCTION("""COMPUTED_VALUE"""),6406208.0)</f>
        <v>6406208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IFERROR(__xludf.DUMMYFUNCTION("""COMPUTED_VALUE"""),1438.85)</f>
        <v>1438.85</v>
      </c>
      <c r="C37" s="6">
        <f>IFERROR(__xludf.DUMMYFUNCTION("""COMPUTED_VALUE"""),1452.95)</f>
        <v>1452.95</v>
      </c>
      <c r="D37" s="6">
        <f>IFERROR(__xludf.DUMMYFUNCTION("""COMPUTED_VALUE"""),1422.5)</f>
        <v>1422.5</v>
      </c>
      <c r="E37" s="6">
        <f>IFERROR(__xludf.DUMMYFUNCTION("""COMPUTED_VALUE"""),1436.25)</f>
        <v>1436.25</v>
      </c>
      <c r="F37" s="6">
        <f>IFERROR(__xludf.DUMMYFUNCTION("""COMPUTED_VALUE"""),3961301.0)</f>
        <v>3961301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IFERROR(__xludf.DUMMYFUNCTION("""COMPUTED_VALUE"""),1435.0)</f>
        <v>1435</v>
      </c>
      <c r="C38" s="6">
        <f>IFERROR(__xludf.DUMMYFUNCTION("""COMPUTED_VALUE"""),1455.0)</f>
        <v>1455</v>
      </c>
      <c r="D38" s="6">
        <f>IFERROR(__xludf.DUMMYFUNCTION("""COMPUTED_VALUE"""),1371.0)</f>
        <v>1371</v>
      </c>
      <c r="E38" s="6">
        <f>IFERROR(__xludf.DUMMYFUNCTION("""COMPUTED_VALUE"""),1386.4)</f>
        <v>1386.4</v>
      </c>
      <c r="F38" s="6">
        <f>IFERROR(__xludf.DUMMYFUNCTION("""COMPUTED_VALUE"""),9450405.0)</f>
        <v>9450405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IFERROR(__xludf.DUMMYFUNCTION("""COMPUTED_VALUE"""),1435.3)</f>
        <v>1435.3</v>
      </c>
      <c r="C39" s="6">
        <f>IFERROR(__xludf.DUMMYFUNCTION("""COMPUTED_VALUE"""),1445.8)</f>
        <v>1445.8</v>
      </c>
      <c r="D39" s="6">
        <f>IFERROR(__xludf.DUMMYFUNCTION("""COMPUTED_VALUE"""),1307.7)</f>
        <v>1307.7</v>
      </c>
      <c r="E39" s="6">
        <f>IFERROR(__xludf.DUMMYFUNCTION("""COMPUTED_VALUE"""),1425.85)</f>
        <v>1425.85</v>
      </c>
      <c r="F39" s="6">
        <f>IFERROR(__xludf.DUMMYFUNCTION("""COMPUTED_VALUE"""),8893252.0)</f>
        <v>8893252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IFERROR(__xludf.DUMMYFUNCTION("""COMPUTED_VALUE"""),1436.85)</f>
        <v>1436.85</v>
      </c>
      <c r="C40" s="6">
        <f>IFERROR(__xludf.DUMMYFUNCTION("""COMPUTED_VALUE"""),1479.45)</f>
        <v>1479.45</v>
      </c>
      <c r="D40" s="6">
        <f>IFERROR(__xludf.DUMMYFUNCTION("""COMPUTED_VALUE"""),1418.35)</f>
        <v>1418.35</v>
      </c>
      <c r="E40" s="6">
        <f>IFERROR(__xludf.DUMMYFUNCTION("""COMPUTED_VALUE"""),1469.9)</f>
        <v>1469.9</v>
      </c>
      <c r="F40" s="6">
        <f>IFERROR(__xludf.DUMMYFUNCTION("""COMPUTED_VALUE"""),8817704.0)</f>
        <v>8817704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IFERROR(__xludf.DUMMYFUNCTION("""COMPUTED_VALUE"""),1480.0)</f>
        <v>1480</v>
      </c>
      <c r="C41" s="6">
        <f>IFERROR(__xludf.DUMMYFUNCTION("""COMPUTED_VALUE"""),1480.9)</f>
        <v>1480.9</v>
      </c>
      <c r="D41" s="6">
        <f>IFERROR(__xludf.DUMMYFUNCTION("""COMPUTED_VALUE"""),1445.15)</f>
        <v>1445.15</v>
      </c>
      <c r="E41" s="6">
        <f>IFERROR(__xludf.DUMMYFUNCTION("""COMPUTED_VALUE"""),1464.15)</f>
        <v>1464.15</v>
      </c>
      <c r="F41" s="6">
        <f>IFERROR(__xludf.DUMMYFUNCTION("""COMPUTED_VALUE"""),4634958.0)</f>
        <v>4634958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IFERROR(__xludf.DUMMYFUNCTION("""COMPUTED_VALUE"""),1464.15)</f>
        <v>1464.15</v>
      </c>
      <c r="C42" s="6">
        <f>IFERROR(__xludf.DUMMYFUNCTION("""COMPUTED_VALUE"""),1498.8)</f>
        <v>1498.8</v>
      </c>
      <c r="D42" s="6">
        <f>IFERROR(__xludf.DUMMYFUNCTION("""COMPUTED_VALUE"""),1430.0)</f>
        <v>1430</v>
      </c>
      <c r="E42" s="6">
        <f>IFERROR(__xludf.DUMMYFUNCTION("""COMPUTED_VALUE"""),1491.95)</f>
        <v>1491.95</v>
      </c>
      <c r="F42" s="6">
        <f>IFERROR(__xludf.DUMMYFUNCTION("""COMPUTED_VALUE"""),6112993.0)</f>
        <v>6112993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IFERROR(__xludf.DUMMYFUNCTION("""COMPUTED_VALUE"""),1491.95)</f>
        <v>1491.95</v>
      </c>
      <c r="C43" s="6">
        <f>IFERROR(__xludf.DUMMYFUNCTION("""COMPUTED_VALUE"""),1531.95)</f>
        <v>1531.95</v>
      </c>
      <c r="D43" s="6">
        <f>IFERROR(__xludf.DUMMYFUNCTION("""COMPUTED_VALUE"""),1468.1)</f>
        <v>1468.1</v>
      </c>
      <c r="E43" s="6">
        <f>IFERROR(__xludf.DUMMYFUNCTION("""COMPUTED_VALUE"""),1529.4)</f>
        <v>1529.4</v>
      </c>
      <c r="F43" s="6">
        <f>IFERROR(__xludf.DUMMYFUNCTION("""COMPUTED_VALUE"""),5103569.0)</f>
        <v>5103569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IFERROR(__xludf.DUMMYFUNCTION("""COMPUTED_VALUE"""),1529.4)</f>
        <v>1529.4</v>
      </c>
      <c r="C44" s="6">
        <f>IFERROR(__xludf.DUMMYFUNCTION("""COMPUTED_VALUE"""),1570.0)</f>
        <v>1570</v>
      </c>
      <c r="D44" s="6">
        <f>IFERROR(__xludf.DUMMYFUNCTION("""COMPUTED_VALUE"""),1508.25)</f>
        <v>1508.25</v>
      </c>
      <c r="E44" s="6">
        <f>IFERROR(__xludf.DUMMYFUNCTION("""COMPUTED_VALUE"""),1562.85)</f>
        <v>1562.85</v>
      </c>
      <c r="F44" s="6">
        <f>IFERROR(__xludf.DUMMYFUNCTION("""COMPUTED_VALUE"""),5211862.0)</f>
        <v>5211862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IFERROR(__xludf.DUMMYFUNCTION("""COMPUTED_VALUE"""),1562.85)</f>
        <v>1562.85</v>
      </c>
      <c r="C45" s="6">
        <f>IFERROR(__xludf.DUMMYFUNCTION("""COMPUTED_VALUE"""),1664.95)</f>
        <v>1664.95</v>
      </c>
      <c r="D45" s="6">
        <f>IFERROR(__xludf.DUMMYFUNCTION("""COMPUTED_VALUE"""),1557.9)</f>
        <v>1557.9</v>
      </c>
      <c r="E45" s="6">
        <f>IFERROR(__xludf.DUMMYFUNCTION("""COMPUTED_VALUE"""),1647.7)</f>
        <v>1647.7</v>
      </c>
      <c r="F45" s="6">
        <f>IFERROR(__xludf.DUMMYFUNCTION("""COMPUTED_VALUE"""),7013769.0)</f>
        <v>7013769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IFERROR(__xludf.DUMMYFUNCTION("""COMPUTED_VALUE"""),1641.1)</f>
        <v>1641.1</v>
      </c>
      <c r="C46" s="6">
        <f>IFERROR(__xludf.DUMMYFUNCTION("""COMPUTED_VALUE"""),1777.7)</f>
        <v>1777.7</v>
      </c>
      <c r="D46" s="6">
        <f>IFERROR(__xludf.DUMMYFUNCTION("""COMPUTED_VALUE"""),1578.05)</f>
        <v>1578.05</v>
      </c>
      <c r="E46" s="6">
        <f>IFERROR(__xludf.DUMMYFUNCTION("""COMPUTED_VALUE"""),1750.95)</f>
        <v>1750.95</v>
      </c>
      <c r="F46" s="6">
        <f>IFERROR(__xludf.DUMMYFUNCTION("""COMPUTED_VALUE"""),1.2051683E7)</f>
        <v>12051683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IFERROR(__xludf.DUMMYFUNCTION("""COMPUTED_VALUE"""),1752.5)</f>
        <v>1752.5</v>
      </c>
      <c r="C47" s="6">
        <f>IFERROR(__xludf.DUMMYFUNCTION("""COMPUTED_VALUE"""),1791.15)</f>
        <v>1791.15</v>
      </c>
      <c r="D47" s="6">
        <f>IFERROR(__xludf.DUMMYFUNCTION("""COMPUTED_VALUE"""),1708.0)</f>
        <v>1708</v>
      </c>
      <c r="E47" s="6">
        <f>IFERROR(__xludf.DUMMYFUNCTION("""COMPUTED_VALUE"""),1744.9)</f>
        <v>1744.9</v>
      </c>
      <c r="F47" s="6">
        <f>IFERROR(__xludf.DUMMYFUNCTION("""COMPUTED_VALUE"""),6389963.0)</f>
        <v>6389963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IFERROR(__xludf.DUMMYFUNCTION("""COMPUTED_VALUE"""),1680.0)</f>
        <v>1680</v>
      </c>
      <c r="C48" s="6">
        <f>IFERROR(__xludf.DUMMYFUNCTION("""COMPUTED_VALUE"""),1780.0)</f>
        <v>1780</v>
      </c>
      <c r="D48" s="6">
        <f>IFERROR(__xludf.DUMMYFUNCTION("""COMPUTED_VALUE"""),1670.05)</f>
        <v>1670.05</v>
      </c>
      <c r="E48" s="6">
        <f>IFERROR(__xludf.DUMMYFUNCTION("""COMPUTED_VALUE"""),1725.1)</f>
        <v>1725.1</v>
      </c>
      <c r="F48" s="6">
        <f>IFERROR(__xludf.DUMMYFUNCTION("""COMPUTED_VALUE"""),5440384.0)</f>
        <v>5440384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IFERROR(__xludf.DUMMYFUNCTION("""COMPUTED_VALUE"""),1722.9)</f>
        <v>1722.9</v>
      </c>
      <c r="C49" s="6">
        <f>IFERROR(__xludf.DUMMYFUNCTION("""COMPUTED_VALUE"""),1730.0)</f>
        <v>1730</v>
      </c>
      <c r="D49" s="6">
        <f>IFERROR(__xludf.DUMMYFUNCTION("""COMPUTED_VALUE"""),1666.15)</f>
        <v>1666.15</v>
      </c>
      <c r="E49" s="6">
        <f>IFERROR(__xludf.DUMMYFUNCTION("""COMPUTED_VALUE"""),1688.9)</f>
        <v>1688.9</v>
      </c>
      <c r="F49" s="6">
        <f>IFERROR(__xludf.DUMMYFUNCTION("""COMPUTED_VALUE"""),3362566.0)</f>
        <v>3362566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IFERROR(__xludf.DUMMYFUNCTION("""COMPUTED_VALUE"""),1696.8)</f>
        <v>1696.8</v>
      </c>
      <c r="C50" s="6">
        <f>IFERROR(__xludf.DUMMYFUNCTION("""COMPUTED_VALUE"""),1812.4)</f>
        <v>1812.4</v>
      </c>
      <c r="D50" s="6">
        <f>IFERROR(__xludf.DUMMYFUNCTION("""COMPUTED_VALUE"""),1666.0)</f>
        <v>1666</v>
      </c>
      <c r="E50" s="6">
        <f>IFERROR(__xludf.DUMMYFUNCTION("""COMPUTED_VALUE"""),1789.3)</f>
        <v>1789.3</v>
      </c>
      <c r="F50" s="6">
        <f>IFERROR(__xludf.DUMMYFUNCTION("""COMPUTED_VALUE"""),9795598.0)</f>
        <v>9795598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IFERROR(__xludf.DUMMYFUNCTION("""COMPUTED_VALUE"""),1791.0)</f>
        <v>1791</v>
      </c>
      <c r="C51" s="6">
        <f>IFERROR(__xludf.DUMMYFUNCTION("""COMPUTED_VALUE"""),1869.8)</f>
        <v>1869.8</v>
      </c>
      <c r="D51" s="6">
        <f>IFERROR(__xludf.DUMMYFUNCTION("""COMPUTED_VALUE"""),1769.35)</f>
        <v>1769.35</v>
      </c>
      <c r="E51" s="6">
        <f>IFERROR(__xludf.DUMMYFUNCTION("""COMPUTED_VALUE"""),1850.3)</f>
        <v>1850.3</v>
      </c>
      <c r="F51" s="6">
        <f>IFERROR(__xludf.DUMMYFUNCTION("""COMPUTED_VALUE"""),7930414.0)</f>
        <v>7930414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IFERROR(__xludf.DUMMYFUNCTION("""COMPUTED_VALUE"""),1850.3)</f>
        <v>1850.3</v>
      </c>
      <c r="C52" s="6">
        <f>IFERROR(__xludf.DUMMYFUNCTION("""COMPUTED_VALUE"""),1936.0)</f>
        <v>1936</v>
      </c>
      <c r="D52" s="6">
        <f>IFERROR(__xludf.DUMMYFUNCTION("""COMPUTED_VALUE"""),1849.05)</f>
        <v>1849.05</v>
      </c>
      <c r="E52" s="6">
        <f>IFERROR(__xludf.DUMMYFUNCTION("""COMPUTED_VALUE"""),1896.3)</f>
        <v>1896.3</v>
      </c>
      <c r="F52" s="6">
        <f>IFERROR(__xludf.DUMMYFUNCTION("""COMPUTED_VALUE"""),8651786.0)</f>
        <v>8651786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IFERROR(__xludf.DUMMYFUNCTION("""COMPUTED_VALUE"""),1900.85)</f>
        <v>1900.85</v>
      </c>
      <c r="C53" s="6">
        <f>IFERROR(__xludf.DUMMYFUNCTION("""COMPUTED_VALUE"""),1932.85)</f>
        <v>1932.85</v>
      </c>
      <c r="D53" s="6">
        <f>IFERROR(__xludf.DUMMYFUNCTION("""COMPUTED_VALUE"""),1838.75)</f>
        <v>1838.75</v>
      </c>
      <c r="E53" s="6">
        <f>IFERROR(__xludf.DUMMYFUNCTION("""COMPUTED_VALUE"""),1846.5)</f>
        <v>1846.5</v>
      </c>
      <c r="F53" s="6">
        <f>IFERROR(__xludf.DUMMYFUNCTION("""COMPUTED_VALUE"""),7004555.0)</f>
        <v>7004555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IFERROR(__xludf.DUMMYFUNCTION("""COMPUTED_VALUE"""),1851.0)</f>
        <v>1851</v>
      </c>
      <c r="C54" s="6">
        <f>IFERROR(__xludf.DUMMYFUNCTION("""COMPUTED_VALUE"""),1885.0)</f>
        <v>1885</v>
      </c>
      <c r="D54" s="6">
        <f>IFERROR(__xludf.DUMMYFUNCTION("""COMPUTED_VALUE"""),1808.45)</f>
        <v>1808.45</v>
      </c>
      <c r="E54" s="6">
        <f>IFERROR(__xludf.DUMMYFUNCTION("""COMPUTED_VALUE"""),1870.25)</f>
        <v>1870.25</v>
      </c>
      <c r="F54" s="6">
        <f>IFERROR(__xludf.DUMMYFUNCTION("""COMPUTED_VALUE"""),5228649.0)</f>
        <v>5228649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IFERROR(__xludf.DUMMYFUNCTION("""COMPUTED_VALUE"""),1882.0)</f>
        <v>1882</v>
      </c>
      <c r="C55" s="6">
        <f>IFERROR(__xludf.DUMMYFUNCTION("""COMPUTED_VALUE"""),1927.95)</f>
        <v>1927.95</v>
      </c>
      <c r="D55" s="6">
        <f>IFERROR(__xludf.DUMMYFUNCTION("""COMPUTED_VALUE"""),1841.05)</f>
        <v>1841.05</v>
      </c>
      <c r="E55" s="6">
        <f>IFERROR(__xludf.DUMMYFUNCTION("""COMPUTED_VALUE"""),1882.65)</f>
        <v>1882.65</v>
      </c>
      <c r="F55" s="6">
        <f>IFERROR(__xludf.DUMMYFUNCTION("""COMPUTED_VALUE"""),8101044.0)</f>
        <v>8101044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IFERROR(__xludf.DUMMYFUNCTION("""COMPUTED_VALUE"""),1892.0)</f>
        <v>1892</v>
      </c>
      <c r="C56" s="6">
        <f>IFERROR(__xludf.DUMMYFUNCTION("""COMPUTED_VALUE"""),1893.6)</f>
        <v>1893.6</v>
      </c>
      <c r="D56" s="6">
        <f>IFERROR(__xludf.DUMMYFUNCTION("""COMPUTED_VALUE"""),1782.55)</f>
        <v>1782.55</v>
      </c>
      <c r="E56" s="6">
        <f>IFERROR(__xludf.DUMMYFUNCTION("""COMPUTED_VALUE"""),1798.1)</f>
        <v>1798.1</v>
      </c>
      <c r="F56" s="6">
        <f>IFERROR(__xludf.DUMMYFUNCTION("""COMPUTED_VALUE"""),5220957.0)</f>
        <v>5220957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IFERROR(__xludf.DUMMYFUNCTION("""COMPUTED_VALUE"""),1800.0)</f>
        <v>1800</v>
      </c>
      <c r="C57" s="6">
        <f>IFERROR(__xludf.DUMMYFUNCTION("""COMPUTED_VALUE"""),1819.85)</f>
        <v>1819.85</v>
      </c>
      <c r="D57" s="6">
        <f>IFERROR(__xludf.DUMMYFUNCTION("""COMPUTED_VALUE"""),1718.6)</f>
        <v>1718.6</v>
      </c>
      <c r="E57" s="6">
        <f>IFERROR(__xludf.DUMMYFUNCTION("""COMPUTED_VALUE"""),1735.05)</f>
        <v>1735.05</v>
      </c>
      <c r="F57" s="6">
        <f>IFERROR(__xludf.DUMMYFUNCTION("""COMPUTED_VALUE"""),5875619.0)</f>
        <v>5875619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IFERROR(__xludf.DUMMYFUNCTION("""COMPUTED_VALUE"""),1738.75)</f>
        <v>1738.75</v>
      </c>
      <c r="C58" s="6">
        <f>IFERROR(__xludf.DUMMYFUNCTION("""COMPUTED_VALUE"""),1754.95)</f>
        <v>1754.95</v>
      </c>
      <c r="D58" s="6">
        <f>IFERROR(__xludf.DUMMYFUNCTION("""COMPUTED_VALUE"""),1680.6)</f>
        <v>1680.6</v>
      </c>
      <c r="E58" s="6">
        <f>IFERROR(__xludf.DUMMYFUNCTION("""COMPUTED_VALUE"""),1706.05)</f>
        <v>1706.05</v>
      </c>
      <c r="F58" s="6">
        <f>IFERROR(__xludf.DUMMYFUNCTION("""COMPUTED_VALUE"""),8888779.0)</f>
        <v>8888779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IFERROR(__xludf.DUMMYFUNCTION("""COMPUTED_VALUE"""),1715.15)</f>
        <v>1715.15</v>
      </c>
      <c r="C59" s="6">
        <f>IFERROR(__xludf.DUMMYFUNCTION("""COMPUTED_VALUE"""),1776.05)</f>
        <v>1776.05</v>
      </c>
      <c r="D59" s="6">
        <f>IFERROR(__xludf.DUMMYFUNCTION("""COMPUTED_VALUE"""),1603.95)</f>
        <v>1603.95</v>
      </c>
      <c r="E59" s="6">
        <f>IFERROR(__xludf.DUMMYFUNCTION("""COMPUTED_VALUE"""),1616.75)</f>
        <v>1616.75</v>
      </c>
      <c r="F59" s="6">
        <f>IFERROR(__xludf.DUMMYFUNCTION("""COMPUTED_VALUE"""),9777187.0)</f>
        <v>9777187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IFERROR(__xludf.DUMMYFUNCTION("""COMPUTED_VALUE"""),1637.0)</f>
        <v>1637</v>
      </c>
      <c r="C60" s="6">
        <f>IFERROR(__xludf.DUMMYFUNCTION("""COMPUTED_VALUE"""),1642.0)</f>
        <v>1642</v>
      </c>
      <c r="D60" s="6">
        <f>IFERROR(__xludf.DUMMYFUNCTION("""COMPUTED_VALUE"""),1566.85)</f>
        <v>1566.85</v>
      </c>
      <c r="E60" s="6">
        <f>IFERROR(__xludf.DUMMYFUNCTION("""COMPUTED_VALUE"""),1569.95)</f>
        <v>1569.95</v>
      </c>
      <c r="F60" s="6">
        <f>IFERROR(__xludf.DUMMYFUNCTION("""COMPUTED_VALUE"""),6292811.0)</f>
        <v>6292811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IFERROR(__xludf.DUMMYFUNCTION("""COMPUTED_VALUE"""),1578.6)</f>
        <v>1578.6</v>
      </c>
      <c r="C61" s="6">
        <f>IFERROR(__xludf.DUMMYFUNCTION("""COMPUTED_VALUE"""),1585.95)</f>
        <v>1585.95</v>
      </c>
      <c r="D61" s="6">
        <f>IFERROR(__xludf.DUMMYFUNCTION("""COMPUTED_VALUE"""),1540.0)</f>
        <v>1540</v>
      </c>
      <c r="E61" s="6">
        <f>IFERROR(__xludf.DUMMYFUNCTION("""COMPUTED_VALUE"""),1562.3)</f>
        <v>1562.3</v>
      </c>
      <c r="F61" s="6">
        <f>IFERROR(__xludf.DUMMYFUNCTION("""COMPUTED_VALUE"""),5670630.0)</f>
        <v>5670630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IFERROR(__xludf.DUMMYFUNCTION("""COMPUTED_VALUE"""),1551.0)</f>
        <v>1551</v>
      </c>
      <c r="C62" s="6">
        <f>IFERROR(__xludf.DUMMYFUNCTION("""COMPUTED_VALUE"""),1568.05)</f>
        <v>1568.05</v>
      </c>
      <c r="D62" s="6">
        <f>IFERROR(__xludf.DUMMYFUNCTION("""COMPUTED_VALUE"""),1474.0)</f>
        <v>1474</v>
      </c>
      <c r="E62" s="6">
        <f>IFERROR(__xludf.DUMMYFUNCTION("""COMPUTED_VALUE"""),1485.15)</f>
        <v>1485.15</v>
      </c>
      <c r="F62" s="6">
        <f>IFERROR(__xludf.DUMMYFUNCTION("""COMPUTED_VALUE"""),7495056.0)</f>
        <v>7495056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IFERROR(__xludf.DUMMYFUNCTION("""COMPUTED_VALUE"""),1492.6)</f>
        <v>1492.6</v>
      </c>
      <c r="C63" s="6">
        <f>IFERROR(__xludf.DUMMYFUNCTION("""COMPUTED_VALUE"""),1519.7)</f>
        <v>1519.7</v>
      </c>
      <c r="D63" s="6">
        <f>IFERROR(__xludf.DUMMYFUNCTION("""COMPUTED_VALUE"""),1396.65)</f>
        <v>1396.65</v>
      </c>
      <c r="E63" s="6">
        <f>IFERROR(__xludf.DUMMYFUNCTION("""COMPUTED_VALUE"""),1437.75)</f>
        <v>1437.75</v>
      </c>
      <c r="F63" s="6">
        <f>IFERROR(__xludf.DUMMYFUNCTION("""COMPUTED_VALUE"""),1.7444786E7)</f>
        <v>17444786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IFERROR(__xludf.DUMMYFUNCTION("""COMPUTED_VALUE"""),1428.4)</f>
        <v>1428.4</v>
      </c>
      <c r="C64" s="6">
        <f>IFERROR(__xludf.DUMMYFUNCTION("""COMPUTED_VALUE"""),1472.35)</f>
        <v>1472.35</v>
      </c>
      <c r="D64" s="6">
        <f>IFERROR(__xludf.DUMMYFUNCTION("""COMPUTED_VALUE"""),1411.15)</f>
        <v>1411.15</v>
      </c>
      <c r="E64" s="6">
        <f>IFERROR(__xludf.DUMMYFUNCTION("""COMPUTED_VALUE"""),1448.55)</f>
        <v>1448.55</v>
      </c>
      <c r="F64" s="6">
        <f>IFERROR(__xludf.DUMMYFUNCTION("""COMPUTED_VALUE"""),1.3732856E7)</f>
        <v>13732856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IFERROR(__xludf.DUMMYFUNCTION("""COMPUTED_VALUE"""),1454.0)</f>
        <v>1454</v>
      </c>
      <c r="C65" s="6">
        <f>IFERROR(__xludf.DUMMYFUNCTION("""COMPUTED_VALUE"""),1484.4)</f>
        <v>1484.4</v>
      </c>
      <c r="D65" s="6">
        <f>IFERROR(__xludf.DUMMYFUNCTION("""COMPUTED_VALUE"""),1409.3)</f>
        <v>1409.3</v>
      </c>
      <c r="E65" s="6">
        <f>IFERROR(__xludf.DUMMYFUNCTION("""COMPUTED_VALUE"""),1428.8)</f>
        <v>1428.8</v>
      </c>
      <c r="F65" s="6">
        <f>IFERROR(__xludf.DUMMYFUNCTION("""COMPUTED_VALUE"""),1.238339E7)</f>
        <v>12383390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IFERROR(__xludf.DUMMYFUNCTION("""COMPUTED_VALUE"""),1428.8)</f>
        <v>1428.8</v>
      </c>
      <c r="C66" s="6">
        <f>IFERROR(__xludf.DUMMYFUNCTION("""COMPUTED_VALUE"""),1436.95)</f>
        <v>1436.95</v>
      </c>
      <c r="D66" s="6">
        <f>IFERROR(__xludf.DUMMYFUNCTION("""COMPUTED_VALUE"""),1377.5)</f>
        <v>1377.5</v>
      </c>
      <c r="E66" s="6">
        <f>IFERROR(__xludf.DUMMYFUNCTION("""COMPUTED_VALUE"""),1400.6)</f>
        <v>1400.6</v>
      </c>
      <c r="F66" s="6">
        <f>IFERROR(__xludf.DUMMYFUNCTION("""COMPUTED_VALUE"""),7653741.0)</f>
        <v>7653741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IFERROR(__xludf.DUMMYFUNCTION("""COMPUTED_VALUE"""),1400.6)</f>
        <v>1400.6</v>
      </c>
      <c r="C67" s="6">
        <f>IFERROR(__xludf.DUMMYFUNCTION("""COMPUTED_VALUE"""),1420.4)</f>
        <v>1420.4</v>
      </c>
      <c r="D67" s="6">
        <f>IFERROR(__xludf.DUMMYFUNCTION("""COMPUTED_VALUE"""),1381.5)</f>
        <v>1381.5</v>
      </c>
      <c r="E67" s="6">
        <f>IFERROR(__xludf.DUMMYFUNCTION("""COMPUTED_VALUE"""),1405.3)</f>
        <v>1405.3</v>
      </c>
      <c r="F67" s="6">
        <f>IFERROR(__xludf.DUMMYFUNCTION("""COMPUTED_VALUE"""),4683348.0)</f>
        <v>4683348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IFERROR(__xludf.DUMMYFUNCTION("""COMPUTED_VALUE"""),1391.25)</f>
        <v>1391.25</v>
      </c>
      <c r="C68" s="6">
        <f>IFERROR(__xludf.DUMMYFUNCTION("""COMPUTED_VALUE"""),1451.0)</f>
        <v>1451</v>
      </c>
      <c r="D68" s="6">
        <f>IFERROR(__xludf.DUMMYFUNCTION("""COMPUTED_VALUE"""),1382.45)</f>
        <v>1382.45</v>
      </c>
      <c r="E68" s="6">
        <f>IFERROR(__xludf.DUMMYFUNCTION("""COMPUTED_VALUE"""),1447.7)</f>
        <v>1447.7</v>
      </c>
      <c r="F68" s="6">
        <f>IFERROR(__xludf.DUMMYFUNCTION("""COMPUTED_VALUE"""),6238727.0)</f>
        <v>6238727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IFERROR(__xludf.DUMMYFUNCTION("""COMPUTED_VALUE"""),1450.0)</f>
        <v>1450</v>
      </c>
      <c r="C69" s="6">
        <f>IFERROR(__xludf.DUMMYFUNCTION("""COMPUTED_VALUE"""),1490.8)</f>
        <v>1490.8</v>
      </c>
      <c r="D69" s="6">
        <f>IFERROR(__xludf.DUMMYFUNCTION("""COMPUTED_VALUE"""),1425.2)</f>
        <v>1425.2</v>
      </c>
      <c r="E69" s="6">
        <f>IFERROR(__xludf.DUMMYFUNCTION("""COMPUTED_VALUE"""),1478.3)</f>
        <v>1478.3</v>
      </c>
      <c r="F69" s="6">
        <f>IFERROR(__xludf.DUMMYFUNCTION("""COMPUTED_VALUE"""),6982555.0)</f>
        <v>6982555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IFERROR(__xludf.DUMMYFUNCTION("""COMPUTED_VALUE"""),1478.3)</f>
        <v>1478.3</v>
      </c>
      <c r="C70" s="6">
        <f>IFERROR(__xludf.DUMMYFUNCTION("""COMPUTED_VALUE"""),1555.0)</f>
        <v>1555</v>
      </c>
      <c r="D70" s="6">
        <f>IFERROR(__xludf.DUMMYFUNCTION("""COMPUTED_VALUE"""),1445.65)</f>
        <v>1445.65</v>
      </c>
      <c r="E70" s="6">
        <f>IFERROR(__xludf.DUMMYFUNCTION("""COMPUTED_VALUE"""),1540.5)</f>
        <v>1540.5</v>
      </c>
      <c r="F70" s="6">
        <f>IFERROR(__xludf.DUMMYFUNCTION("""COMPUTED_VALUE"""),1.0435878E7)</f>
        <v>10435878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IFERROR(__xludf.DUMMYFUNCTION("""COMPUTED_VALUE"""),1547.8)</f>
        <v>1547.8</v>
      </c>
      <c r="C71" s="6">
        <f>IFERROR(__xludf.DUMMYFUNCTION("""COMPUTED_VALUE"""),1547.8)</f>
        <v>1547.8</v>
      </c>
      <c r="D71" s="6">
        <f>IFERROR(__xludf.DUMMYFUNCTION("""COMPUTED_VALUE"""),1418.15)</f>
        <v>1418.15</v>
      </c>
      <c r="E71" s="6">
        <f>IFERROR(__xludf.DUMMYFUNCTION("""COMPUTED_VALUE"""),1440.4)</f>
        <v>1440.4</v>
      </c>
      <c r="F71" s="6">
        <f>IFERROR(__xludf.DUMMYFUNCTION("""COMPUTED_VALUE"""),8347682.0)</f>
        <v>8347682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IFERROR(__xludf.DUMMYFUNCTION("""COMPUTED_VALUE"""),1434.35)</f>
        <v>1434.35</v>
      </c>
      <c r="C72" s="6">
        <f>IFERROR(__xludf.DUMMYFUNCTION("""COMPUTED_VALUE"""),1484.3)</f>
        <v>1484.3</v>
      </c>
      <c r="D72" s="6">
        <f>IFERROR(__xludf.DUMMYFUNCTION("""COMPUTED_VALUE"""),1434.35)</f>
        <v>1434.35</v>
      </c>
      <c r="E72" s="6">
        <f>IFERROR(__xludf.DUMMYFUNCTION("""COMPUTED_VALUE"""),1470.95)</f>
        <v>1470.95</v>
      </c>
      <c r="F72" s="6">
        <f>IFERROR(__xludf.DUMMYFUNCTION("""COMPUTED_VALUE"""),4606744.0)</f>
        <v>4606744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IFERROR(__xludf.DUMMYFUNCTION("""COMPUTED_VALUE"""),1462.9)</f>
        <v>1462.9</v>
      </c>
      <c r="C73" s="6">
        <f>IFERROR(__xludf.DUMMYFUNCTION("""COMPUTED_VALUE"""),1479.4)</f>
        <v>1479.4</v>
      </c>
      <c r="D73" s="6">
        <f>IFERROR(__xludf.DUMMYFUNCTION("""COMPUTED_VALUE"""),1402.9)</f>
        <v>1402.9</v>
      </c>
      <c r="E73" s="6">
        <f>IFERROR(__xludf.DUMMYFUNCTION("""COMPUTED_VALUE"""),1465.45)</f>
        <v>1465.45</v>
      </c>
      <c r="F73" s="6">
        <f>IFERROR(__xludf.DUMMYFUNCTION("""COMPUTED_VALUE"""),5178183.0)</f>
        <v>5178183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IFERROR(__xludf.DUMMYFUNCTION("""COMPUTED_VALUE"""),1460.5)</f>
        <v>1460.5</v>
      </c>
      <c r="C74" s="6">
        <f>IFERROR(__xludf.DUMMYFUNCTION("""COMPUTED_VALUE"""),1501.4)</f>
        <v>1501.4</v>
      </c>
      <c r="D74" s="6">
        <f>IFERROR(__xludf.DUMMYFUNCTION("""COMPUTED_VALUE"""),1451.85)</f>
        <v>1451.85</v>
      </c>
      <c r="E74" s="6">
        <f>IFERROR(__xludf.DUMMYFUNCTION("""COMPUTED_VALUE"""),1495.4)</f>
        <v>1495.4</v>
      </c>
      <c r="F74" s="6">
        <f>IFERROR(__xludf.DUMMYFUNCTION("""COMPUTED_VALUE"""),3186325.0)</f>
        <v>3186325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IFERROR(__xludf.DUMMYFUNCTION("""COMPUTED_VALUE"""),1480.0)</f>
        <v>1480</v>
      </c>
      <c r="C75" s="6">
        <f>IFERROR(__xludf.DUMMYFUNCTION("""COMPUTED_VALUE"""),1495.2)</f>
        <v>1495.2</v>
      </c>
      <c r="D75" s="6">
        <f>IFERROR(__xludf.DUMMYFUNCTION("""COMPUTED_VALUE"""),1411.85)</f>
        <v>1411.85</v>
      </c>
      <c r="E75" s="6">
        <f>IFERROR(__xludf.DUMMYFUNCTION("""COMPUTED_VALUE"""),1430.5)</f>
        <v>1430.5</v>
      </c>
      <c r="F75" s="6">
        <f>IFERROR(__xludf.DUMMYFUNCTION("""COMPUTED_VALUE"""),5899510.0)</f>
        <v>5899510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IFERROR(__xludf.DUMMYFUNCTION("""COMPUTED_VALUE"""),1432.55)</f>
        <v>1432.55</v>
      </c>
      <c r="C76" s="6">
        <f>IFERROR(__xludf.DUMMYFUNCTION("""COMPUTED_VALUE"""),1452.15)</f>
        <v>1452.15</v>
      </c>
      <c r="D76" s="6">
        <f>IFERROR(__xludf.DUMMYFUNCTION("""COMPUTED_VALUE"""),1379.85)</f>
        <v>1379.85</v>
      </c>
      <c r="E76" s="6">
        <f>IFERROR(__xludf.DUMMYFUNCTION("""COMPUTED_VALUE"""),1411.6)</f>
        <v>1411.6</v>
      </c>
      <c r="F76" s="6">
        <f>IFERROR(__xludf.DUMMYFUNCTION("""COMPUTED_VALUE"""),5660179.0)</f>
        <v>5660179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IFERROR(__xludf.DUMMYFUNCTION("""COMPUTED_VALUE"""),1419.0)</f>
        <v>1419</v>
      </c>
      <c r="C77" s="6">
        <f>IFERROR(__xludf.DUMMYFUNCTION("""COMPUTED_VALUE"""),1427.75)</f>
        <v>1427.75</v>
      </c>
      <c r="D77" s="6">
        <f>IFERROR(__xludf.DUMMYFUNCTION("""COMPUTED_VALUE"""),1382.65)</f>
        <v>1382.65</v>
      </c>
      <c r="E77" s="6">
        <f>IFERROR(__xludf.DUMMYFUNCTION("""COMPUTED_VALUE"""),1385.55)</f>
        <v>1385.55</v>
      </c>
      <c r="F77" s="6">
        <f>IFERROR(__xludf.DUMMYFUNCTION("""COMPUTED_VALUE"""),3430351.0)</f>
        <v>3430351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IFERROR(__xludf.DUMMYFUNCTION("""COMPUTED_VALUE"""),1392.0)</f>
        <v>1392</v>
      </c>
      <c r="C78" s="6">
        <f>IFERROR(__xludf.DUMMYFUNCTION("""COMPUTED_VALUE"""),1553.3)</f>
        <v>1553.3</v>
      </c>
      <c r="D78" s="6">
        <f>IFERROR(__xludf.DUMMYFUNCTION("""COMPUTED_VALUE"""),1392.0)</f>
        <v>1392</v>
      </c>
      <c r="E78" s="6">
        <f>IFERROR(__xludf.DUMMYFUNCTION("""COMPUTED_VALUE"""),1546.4)</f>
        <v>1546.4</v>
      </c>
      <c r="F78" s="6">
        <f>IFERROR(__xludf.DUMMYFUNCTION("""COMPUTED_VALUE"""),5702009.0)</f>
        <v>5702009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IFERROR(__xludf.DUMMYFUNCTION("""COMPUTED_VALUE"""),1550.0)</f>
        <v>1550</v>
      </c>
      <c r="C79" s="6">
        <f>IFERROR(__xludf.DUMMYFUNCTION("""COMPUTED_VALUE"""),1584.0)</f>
        <v>1584</v>
      </c>
      <c r="D79" s="6">
        <f>IFERROR(__xludf.DUMMYFUNCTION("""COMPUTED_VALUE"""),1529.65)</f>
        <v>1529.65</v>
      </c>
      <c r="E79" s="6">
        <f>IFERROR(__xludf.DUMMYFUNCTION("""COMPUTED_VALUE"""),1547.85)</f>
        <v>1547.85</v>
      </c>
      <c r="F79" s="6">
        <f>IFERROR(__xludf.DUMMYFUNCTION("""COMPUTED_VALUE"""),6103110.0)</f>
        <v>6103110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IFERROR(__xludf.DUMMYFUNCTION("""COMPUTED_VALUE"""),1537.75)</f>
        <v>1537.75</v>
      </c>
      <c r="C80" s="6">
        <f>IFERROR(__xludf.DUMMYFUNCTION("""COMPUTED_VALUE"""),1566.4)</f>
        <v>1566.4</v>
      </c>
      <c r="D80" s="6">
        <f>IFERROR(__xludf.DUMMYFUNCTION("""COMPUTED_VALUE"""),1501.1)</f>
        <v>1501.1</v>
      </c>
      <c r="E80" s="6">
        <f>IFERROR(__xludf.DUMMYFUNCTION("""COMPUTED_VALUE"""),1512.6)</f>
        <v>1512.6</v>
      </c>
      <c r="F80" s="6">
        <f>IFERROR(__xludf.DUMMYFUNCTION("""COMPUTED_VALUE"""),4014716.0)</f>
        <v>4014716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IFERROR(__xludf.DUMMYFUNCTION("""COMPUTED_VALUE"""),1450.0)</f>
        <v>1450</v>
      </c>
      <c r="C81" s="6">
        <f>IFERROR(__xludf.DUMMYFUNCTION("""COMPUTED_VALUE"""),1539.0)</f>
        <v>1539</v>
      </c>
      <c r="D81" s="6">
        <f>IFERROR(__xludf.DUMMYFUNCTION("""COMPUTED_VALUE"""),1430.55)</f>
        <v>1430.55</v>
      </c>
      <c r="E81" s="6">
        <f>IFERROR(__xludf.DUMMYFUNCTION("""COMPUTED_VALUE"""),1521.9)</f>
        <v>1521.9</v>
      </c>
      <c r="F81" s="6">
        <f>IFERROR(__xludf.DUMMYFUNCTION("""COMPUTED_VALUE"""),5241695.0)</f>
        <v>5241695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IFERROR(__xludf.DUMMYFUNCTION("""COMPUTED_VALUE"""),1555.5)</f>
        <v>1555.5</v>
      </c>
      <c r="C82" s="6">
        <f>IFERROR(__xludf.DUMMYFUNCTION("""COMPUTED_VALUE"""),1615.0)</f>
        <v>1615</v>
      </c>
      <c r="D82" s="6">
        <f>IFERROR(__xludf.DUMMYFUNCTION("""COMPUTED_VALUE"""),1525.0)</f>
        <v>1525</v>
      </c>
      <c r="E82" s="6">
        <f>IFERROR(__xludf.DUMMYFUNCTION("""COMPUTED_VALUE"""),1608.2)</f>
        <v>1608.2</v>
      </c>
      <c r="F82" s="6">
        <f>IFERROR(__xludf.DUMMYFUNCTION("""COMPUTED_VALUE"""),3648200.0)</f>
        <v>3648200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IFERROR(__xludf.DUMMYFUNCTION("""COMPUTED_VALUE"""),1618.0)</f>
        <v>1618</v>
      </c>
      <c r="C83" s="6">
        <f>IFERROR(__xludf.DUMMYFUNCTION("""COMPUTED_VALUE"""),1762.0)</f>
        <v>1762</v>
      </c>
      <c r="D83" s="6">
        <f>IFERROR(__xludf.DUMMYFUNCTION("""COMPUTED_VALUE"""),1595.3)</f>
        <v>1595.3</v>
      </c>
      <c r="E83" s="6">
        <f>IFERROR(__xludf.DUMMYFUNCTION("""COMPUTED_VALUE"""),1695.1)</f>
        <v>1695.1</v>
      </c>
      <c r="F83" s="6">
        <f>IFERROR(__xludf.DUMMYFUNCTION("""COMPUTED_VALUE"""),1.4433558E7)</f>
        <v>14433558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IFERROR(__xludf.DUMMYFUNCTION("""COMPUTED_VALUE"""),1690.0)</f>
        <v>1690</v>
      </c>
      <c r="C84" s="6">
        <f>IFERROR(__xludf.DUMMYFUNCTION("""COMPUTED_VALUE"""),1777.1)</f>
        <v>1777.1</v>
      </c>
      <c r="D84" s="6">
        <f>IFERROR(__xludf.DUMMYFUNCTION("""COMPUTED_VALUE"""),1681.4)</f>
        <v>1681.4</v>
      </c>
      <c r="E84" s="6">
        <f>IFERROR(__xludf.DUMMYFUNCTION("""COMPUTED_VALUE"""),1764.7)</f>
        <v>1764.7</v>
      </c>
      <c r="F84" s="6">
        <f>IFERROR(__xludf.DUMMYFUNCTION("""COMPUTED_VALUE"""),7084684.0)</f>
        <v>7084684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IFERROR(__xludf.DUMMYFUNCTION("""COMPUTED_VALUE"""),1773.0)</f>
        <v>1773</v>
      </c>
      <c r="C85" s="6">
        <f>IFERROR(__xludf.DUMMYFUNCTION("""COMPUTED_VALUE"""),1797.8)</f>
        <v>1797.8</v>
      </c>
      <c r="D85" s="6">
        <f>IFERROR(__xludf.DUMMYFUNCTION("""COMPUTED_VALUE"""),1693.1)</f>
        <v>1693.1</v>
      </c>
      <c r="E85" s="6">
        <f>IFERROR(__xludf.DUMMYFUNCTION("""COMPUTED_VALUE"""),1699.8)</f>
        <v>1699.8</v>
      </c>
      <c r="F85" s="6">
        <f>IFERROR(__xludf.DUMMYFUNCTION("""COMPUTED_VALUE"""),5181864.0)</f>
        <v>5181864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IFERROR(__xludf.DUMMYFUNCTION("""COMPUTED_VALUE"""),1725.0)</f>
        <v>1725</v>
      </c>
      <c r="C86" s="6">
        <f>IFERROR(__xludf.DUMMYFUNCTION("""COMPUTED_VALUE"""),1790.9)</f>
        <v>1790.9</v>
      </c>
      <c r="D86" s="6">
        <f>IFERROR(__xludf.DUMMYFUNCTION("""COMPUTED_VALUE"""),1720.0)</f>
        <v>1720</v>
      </c>
      <c r="E86" s="6">
        <f>IFERROR(__xludf.DUMMYFUNCTION("""COMPUTED_VALUE"""),1773.4)</f>
        <v>1773.4</v>
      </c>
      <c r="F86" s="6">
        <f>IFERROR(__xludf.DUMMYFUNCTION("""COMPUTED_VALUE"""),3825028.0)</f>
        <v>3825028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IFERROR(__xludf.DUMMYFUNCTION("""COMPUTED_VALUE"""),1773.1)</f>
        <v>1773.1</v>
      </c>
      <c r="C87" s="6">
        <f>IFERROR(__xludf.DUMMYFUNCTION("""COMPUTED_VALUE"""),1806.0)</f>
        <v>1806</v>
      </c>
      <c r="D87" s="6">
        <f>IFERROR(__xludf.DUMMYFUNCTION("""COMPUTED_VALUE"""),1741.2)</f>
        <v>1741.2</v>
      </c>
      <c r="E87" s="6">
        <f>IFERROR(__xludf.DUMMYFUNCTION("""COMPUTED_VALUE"""),1798.7)</f>
        <v>1798.7</v>
      </c>
      <c r="F87" s="6">
        <f>IFERROR(__xludf.DUMMYFUNCTION("""COMPUTED_VALUE"""),3510350.0)</f>
        <v>3510350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IFERROR(__xludf.DUMMYFUNCTION("""COMPUTED_VALUE"""),1806.0)</f>
        <v>1806</v>
      </c>
      <c r="C88" s="6">
        <f>IFERROR(__xludf.DUMMYFUNCTION("""COMPUTED_VALUE"""),1833.9)</f>
        <v>1833.9</v>
      </c>
      <c r="D88" s="6">
        <f>IFERROR(__xludf.DUMMYFUNCTION("""COMPUTED_VALUE"""),1790.1)</f>
        <v>1790.1</v>
      </c>
      <c r="E88" s="6">
        <f>IFERROR(__xludf.DUMMYFUNCTION("""COMPUTED_VALUE"""),1812.2)</f>
        <v>1812.2</v>
      </c>
      <c r="F88" s="6">
        <f>IFERROR(__xludf.DUMMYFUNCTION("""COMPUTED_VALUE"""),5170688.0)</f>
        <v>5170688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IFERROR(__xludf.DUMMYFUNCTION("""COMPUTED_VALUE"""),1812.2)</f>
        <v>1812.2</v>
      </c>
      <c r="C89" s="6">
        <f>IFERROR(__xludf.DUMMYFUNCTION("""COMPUTED_VALUE"""),1829.0)</f>
        <v>1829</v>
      </c>
      <c r="D89" s="6">
        <f>IFERROR(__xludf.DUMMYFUNCTION("""COMPUTED_VALUE"""),1751.3)</f>
        <v>1751.3</v>
      </c>
      <c r="E89" s="6">
        <f>IFERROR(__xludf.DUMMYFUNCTION("""COMPUTED_VALUE"""),1780.6)</f>
        <v>1780.6</v>
      </c>
      <c r="F89" s="6">
        <f>IFERROR(__xludf.DUMMYFUNCTION("""COMPUTED_VALUE"""),6235594.0)</f>
        <v>6235594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IFERROR(__xludf.DUMMYFUNCTION("""COMPUTED_VALUE"""),1789.6)</f>
        <v>1789.6</v>
      </c>
      <c r="C90" s="6">
        <f>IFERROR(__xludf.DUMMYFUNCTION("""COMPUTED_VALUE"""),1812.3)</f>
        <v>1812.3</v>
      </c>
      <c r="D90" s="6">
        <f>IFERROR(__xludf.DUMMYFUNCTION("""COMPUTED_VALUE"""),1720.0)</f>
        <v>1720</v>
      </c>
      <c r="E90" s="6">
        <f>IFERROR(__xludf.DUMMYFUNCTION("""COMPUTED_VALUE"""),1755.2)</f>
        <v>1755.2</v>
      </c>
      <c r="F90" s="6">
        <f>IFERROR(__xludf.DUMMYFUNCTION("""COMPUTED_VALUE"""),6470599.0)</f>
        <v>6470599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IFERROR(__xludf.DUMMYFUNCTION("""COMPUTED_VALUE"""),1762.0)</f>
        <v>1762</v>
      </c>
      <c r="C91" s="6">
        <f>IFERROR(__xludf.DUMMYFUNCTION("""COMPUTED_VALUE"""),1821.0)</f>
        <v>1821</v>
      </c>
      <c r="D91" s="6">
        <f>IFERROR(__xludf.DUMMYFUNCTION("""COMPUTED_VALUE"""),1751.9)</f>
        <v>1751.9</v>
      </c>
      <c r="E91" s="6">
        <f>IFERROR(__xludf.DUMMYFUNCTION("""COMPUTED_VALUE"""),1810.9)</f>
        <v>1810.9</v>
      </c>
      <c r="F91" s="6">
        <f>IFERROR(__xludf.DUMMYFUNCTION("""COMPUTED_VALUE"""),3842588.0)</f>
        <v>3842588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IFERROR(__xludf.DUMMYFUNCTION("""COMPUTED_VALUE"""),1810.0)</f>
        <v>1810</v>
      </c>
      <c r="C92" s="6">
        <f>IFERROR(__xludf.DUMMYFUNCTION("""COMPUTED_VALUE"""),1866.4)</f>
        <v>1866.4</v>
      </c>
      <c r="D92" s="6">
        <f>IFERROR(__xludf.DUMMYFUNCTION("""COMPUTED_VALUE"""),1798.6)</f>
        <v>1798.6</v>
      </c>
      <c r="E92" s="6">
        <f>IFERROR(__xludf.DUMMYFUNCTION("""COMPUTED_VALUE"""),1850.6)</f>
        <v>1850.6</v>
      </c>
      <c r="F92" s="6">
        <f>IFERROR(__xludf.DUMMYFUNCTION("""COMPUTED_VALUE"""),1.0405569E7)</f>
        <v>10405569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IFERROR(__xludf.DUMMYFUNCTION("""COMPUTED_VALUE"""),1846.0)</f>
        <v>1846</v>
      </c>
      <c r="C93" s="6">
        <f>IFERROR(__xludf.DUMMYFUNCTION("""COMPUTED_VALUE"""),1875.0)</f>
        <v>1875</v>
      </c>
      <c r="D93" s="6">
        <f>IFERROR(__xludf.DUMMYFUNCTION("""COMPUTED_VALUE"""),1783.1)</f>
        <v>1783.1</v>
      </c>
      <c r="E93" s="6">
        <f>IFERROR(__xludf.DUMMYFUNCTION("""COMPUTED_VALUE"""),1799.7)</f>
        <v>1799.7</v>
      </c>
      <c r="F93" s="6">
        <f>IFERROR(__xludf.DUMMYFUNCTION("""COMPUTED_VALUE"""),4704620.0)</f>
        <v>4704620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IFERROR(__xludf.DUMMYFUNCTION("""COMPUTED_VALUE"""),1799.7)</f>
        <v>1799.7</v>
      </c>
      <c r="C94" s="6">
        <f>IFERROR(__xludf.DUMMYFUNCTION("""COMPUTED_VALUE"""),1840.0)</f>
        <v>1840</v>
      </c>
      <c r="D94" s="6">
        <f>IFERROR(__xludf.DUMMYFUNCTION("""COMPUTED_VALUE"""),1792.2)</f>
        <v>1792.2</v>
      </c>
      <c r="E94" s="6">
        <f>IFERROR(__xludf.DUMMYFUNCTION("""COMPUTED_VALUE"""),1835.2)</f>
        <v>1835.2</v>
      </c>
      <c r="F94" s="6">
        <f>IFERROR(__xludf.DUMMYFUNCTION("""COMPUTED_VALUE"""),3465973.0)</f>
        <v>3465973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IFERROR(__xludf.DUMMYFUNCTION("""COMPUTED_VALUE"""),1843.0)</f>
        <v>1843</v>
      </c>
      <c r="C95" s="6">
        <f>IFERROR(__xludf.DUMMYFUNCTION("""COMPUTED_VALUE"""),1856.3)</f>
        <v>1856.3</v>
      </c>
      <c r="D95" s="6">
        <f>IFERROR(__xludf.DUMMYFUNCTION("""COMPUTED_VALUE"""),1754.1)</f>
        <v>1754.1</v>
      </c>
      <c r="E95" s="6">
        <f>IFERROR(__xludf.DUMMYFUNCTION("""COMPUTED_VALUE"""),1788.4)</f>
        <v>1788.4</v>
      </c>
      <c r="F95" s="6">
        <f>IFERROR(__xludf.DUMMYFUNCTION("""COMPUTED_VALUE"""),5683222.0)</f>
        <v>5683222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IFERROR(__xludf.DUMMYFUNCTION("""COMPUTED_VALUE"""),1794.7)</f>
        <v>1794.7</v>
      </c>
      <c r="C96" s="6">
        <f>IFERROR(__xludf.DUMMYFUNCTION("""COMPUTED_VALUE"""),1847.0)</f>
        <v>1847</v>
      </c>
      <c r="D96" s="6">
        <f>IFERROR(__xludf.DUMMYFUNCTION("""COMPUTED_VALUE"""),1778.7)</f>
        <v>1778.7</v>
      </c>
      <c r="E96" s="6">
        <f>IFERROR(__xludf.DUMMYFUNCTION("""COMPUTED_VALUE"""),1832.1)</f>
        <v>1832.1</v>
      </c>
      <c r="F96" s="6">
        <f>IFERROR(__xludf.DUMMYFUNCTION("""COMPUTED_VALUE"""),4364332.0)</f>
        <v>4364332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IFERROR(__xludf.DUMMYFUNCTION("""COMPUTED_VALUE"""),1832.0)</f>
        <v>1832</v>
      </c>
      <c r="C97" s="6">
        <f>IFERROR(__xludf.DUMMYFUNCTION("""COMPUTED_VALUE"""),1858.0)</f>
        <v>1858</v>
      </c>
      <c r="D97" s="6">
        <f>IFERROR(__xludf.DUMMYFUNCTION("""COMPUTED_VALUE"""),1788.9)</f>
        <v>1788.9</v>
      </c>
      <c r="E97" s="6">
        <f>IFERROR(__xludf.DUMMYFUNCTION("""COMPUTED_VALUE"""),1796.2)</f>
        <v>1796.2</v>
      </c>
      <c r="F97" s="6">
        <f>IFERROR(__xludf.DUMMYFUNCTION("""COMPUTED_VALUE"""),4379211.0)</f>
        <v>4379211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IFERROR(__xludf.DUMMYFUNCTION("""COMPUTED_VALUE"""),1798.0)</f>
        <v>1798</v>
      </c>
      <c r="C98" s="6">
        <f>IFERROR(__xludf.DUMMYFUNCTION("""COMPUTED_VALUE"""),1876.0)</f>
        <v>1876</v>
      </c>
      <c r="D98" s="6">
        <f>IFERROR(__xludf.DUMMYFUNCTION("""COMPUTED_VALUE"""),1781.0)</f>
        <v>1781</v>
      </c>
      <c r="E98" s="6">
        <f>IFERROR(__xludf.DUMMYFUNCTION("""COMPUTED_VALUE"""),1833.6)</f>
        <v>1833.6</v>
      </c>
      <c r="F98" s="6">
        <f>IFERROR(__xludf.DUMMYFUNCTION("""COMPUTED_VALUE"""),4434901.0)</f>
        <v>4434901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IFERROR(__xludf.DUMMYFUNCTION("""COMPUTED_VALUE"""),1836.0)</f>
        <v>1836</v>
      </c>
      <c r="C99" s="6">
        <f>IFERROR(__xludf.DUMMYFUNCTION("""COMPUTED_VALUE"""),1863.9)</f>
        <v>1863.9</v>
      </c>
      <c r="D99" s="6">
        <f>IFERROR(__xludf.DUMMYFUNCTION("""COMPUTED_VALUE"""),1825.9)</f>
        <v>1825.9</v>
      </c>
      <c r="E99" s="6">
        <f>IFERROR(__xludf.DUMMYFUNCTION("""COMPUTED_VALUE"""),1840.6)</f>
        <v>1840.6</v>
      </c>
      <c r="F99" s="6">
        <f>IFERROR(__xludf.DUMMYFUNCTION("""COMPUTED_VALUE"""),2121967.0)</f>
        <v>2121967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IFERROR(__xludf.DUMMYFUNCTION("""COMPUTED_VALUE"""),1879.0)</f>
        <v>1879</v>
      </c>
      <c r="C100" s="6">
        <f>IFERROR(__xludf.DUMMYFUNCTION("""COMPUTED_VALUE"""),1912.0)</f>
        <v>1912</v>
      </c>
      <c r="D100" s="6">
        <f>IFERROR(__xludf.DUMMYFUNCTION("""COMPUTED_VALUE"""),1836.6)</f>
        <v>1836.6</v>
      </c>
      <c r="E100" s="6">
        <f>IFERROR(__xludf.DUMMYFUNCTION("""COMPUTED_VALUE"""),1859.0)</f>
        <v>1859</v>
      </c>
      <c r="F100" s="6">
        <f>IFERROR(__xludf.DUMMYFUNCTION("""COMPUTED_VALUE"""),4915121.0)</f>
        <v>4915121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IFERROR(__xludf.DUMMYFUNCTION("""COMPUTED_VALUE"""),1858.9)</f>
        <v>1858.9</v>
      </c>
      <c r="C101" s="6">
        <f>IFERROR(__xludf.DUMMYFUNCTION("""COMPUTED_VALUE"""),1862.4)</f>
        <v>1862.4</v>
      </c>
      <c r="D101" s="6">
        <f>IFERROR(__xludf.DUMMYFUNCTION("""COMPUTED_VALUE"""),1809.8)</f>
        <v>1809.8</v>
      </c>
      <c r="E101" s="6">
        <f>IFERROR(__xludf.DUMMYFUNCTION("""COMPUTED_VALUE"""),1816.6)</f>
        <v>1816.6</v>
      </c>
      <c r="F101" s="6">
        <f>IFERROR(__xludf.DUMMYFUNCTION("""COMPUTED_VALUE"""),1.0040744E7)</f>
        <v>10040744</v>
      </c>
    </row>
  </sheetData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IFERROR(__xludf.DUMMYFUNCTION("GOOGLEFINANCE(""NSE:SBIN"",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IFERROR(__xludf.DUMMYFUNCTION("""COMPUTED_VALUE"""),572.8)</f>
        <v>572.8</v>
      </c>
      <c r="C2" s="6">
        <f>IFERROR(__xludf.DUMMYFUNCTION("""COMPUTED_VALUE"""),577.7)</f>
        <v>577.7</v>
      </c>
      <c r="D2" s="6">
        <f>IFERROR(__xludf.DUMMYFUNCTION("""COMPUTED_VALUE"""),559.4)</f>
        <v>559.4</v>
      </c>
      <c r="E2" s="6">
        <f>IFERROR(__xludf.DUMMYFUNCTION("""COMPUTED_VALUE"""),569.55)</f>
        <v>569.55</v>
      </c>
      <c r="F2" s="6">
        <f>IFERROR(__xludf.DUMMYFUNCTION("""COMPUTED_VALUE"""),8.4157847E7)</f>
        <v>84157847</v>
      </c>
    </row>
    <row r="3">
      <c r="A3" s="7">
        <f>IFERROR(__xludf.DUMMYFUNCTION("""COMPUTED_VALUE"""),45177.64583333333)</f>
        <v>45177.64583</v>
      </c>
      <c r="B3" s="6">
        <f>IFERROR(__xludf.DUMMYFUNCTION("""COMPUTED_VALUE"""),572.0)</f>
        <v>572</v>
      </c>
      <c r="C3" s="6">
        <f>IFERROR(__xludf.DUMMYFUNCTION("""COMPUTED_VALUE"""),588.5)</f>
        <v>588.5</v>
      </c>
      <c r="D3" s="6">
        <f>IFERROR(__xludf.DUMMYFUNCTION("""COMPUTED_VALUE"""),568.0)</f>
        <v>568</v>
      </c>
      <c r="E3" s="6">
        <f>IFERROR(__xludf.DUMMYFUNCTION("""COMPUTED_VALUE"""),583.45)</f>
        <v>583.45</v>
      </c>
      <c r="F3" s="6">
        <f>IFERROR(__xludf.DUMMYFUNCTION("""COMPUTED_VALUE"""),7.3585985E7)</f>
        <v>73585985</v>
      </c>
    </row>
    <row r="4">
      <c r="A4" s="7">
        <f>IFERROR(__xludf.DUMMYFUNCTION("""COMPUTED_VALUE"""),45184.64583333333)</f>
        <v>45184.64583</v>
      </c>
      <c r="B4" s="6">
        <f>IFERROR(__xludf.DUMMYFUNCTION("""COMPUTED_VALUE"""),587.0)</f>
        <v>587</v>
      </c>
      <c r="C4" s="6">
        <f>IFERROR(__xludf.DUMMYFUNCTION("""COMPUTED_VALUE"""),603.7)</f>
        <v>603.7</v>
      </c>
      <c r="D4" s="6">
        <f>IFERROR(__xludf.DUMMYFUNCTION("""COMPUTED_VALUE"""),583.45)</f>
        <v>583.45</v>
      </c>
      <c r="E4" s="6">
        <f>IFERROR(__xludf.DUMMYFUNCTION("""COMPUTED_VALUE"""),598.8)</f>
        <v>598.8</v>
      </c>
      <c r="F4" s="6">
        <f>IFERROR(__xludf.DUMMYFUNCTION("""COMPUTED_VALUE"""),7.1351666E7)</f>
        <v>71351666</v>
      </c>
    </row>
    <row r="5">
      <c r="A5" s="7">
        <f>IFERROR(__xludf.DUMMYFUNCTION("""COMPUTED_VALUE"""),45191.64583333333)</f>
        <v>45191.64583</v>
      </c>
      <c r="B5" s="6">
        <f>IFERROR(__xludf.DUMMYFUNCTION("""COMPUTED_VALUE"""),598.8)</f>
        <v>598.8</v>
      </c>
      <c r="C5" s="6">
        <f>IFERROR(__xludf.DUMMYFUNCTION("""COMPUTED_VALUE"""),608.4)</f>
        <v>608.4</v>
      </c>
      <c r="D5" s="6">
        <f>IFERROR(__xludf.DUMMYFUNCTION("""COMPUTED_VALUE"""),584.65)</f>
        <v>584.65</v>
      </c>
      <c r="E5" s="6">
        <f>IFERROR(__xludf.DUMMYFUNCTION("""COMPUTED_VALUE"""),598.15)</f>
        <v>598.15</v>
      </c>
      <c r="F5" s="6">
        <f>IFERROR(__xludf.DUMMYFUNCTION("""COMPUTED_VALUE"""),8.2857219E7)</f>
        <v>82857219</v>
      </c>
    </row>
    <row r="6">
      <c r="A6" s="7">
        <f>IFERROR(__xludf.DUMMYFUNCTION("""COMPUTED_VALUE"""),45198.64583333333)</f>
        <v>45198.64583</v>
      </c>
      <c r="B6" s="6">
        <f>IFERROR(__xludf.DUMMYFUNCTION("""COMPUTED_VALUE"""),601.5)</f>
        <v>601.5</v>
      </c>
      <c r="C6" s="6">
        <f>IFERROR(__xludf.DUMMYFUNCTION("""COMPUTED_VALUE"""),601.5)</f>
        <v>601.5</v>
      </c>
      <c r="D6" s="6">
        <f>IFERROR(__xludf.DUMMYFUNCTION("""COMPUTED_VALUE"""),588.2)</f>
        <v>588.2</v>
      </c>
      <c r="E6" s="6">
        <f>IFERROR(__xludf.DUMMYFUNCTION("""COMPUTED_VALUE"""),598.55)</f>
        <v>598.55</v>
      </c>
      <c r="F6" s="6">
        <f>IFERROR(__xludf.DUMMYFUNCTION("""COMPUTED_VALUE"""),6.2056109E7)</f>
        <v>62056109</v>
      </c>
    </row>
    <row r="7">
      <c r="A7" s="7">
        <f>IFERROR(__xludf.DUMMYFUNCTION("""COMPUTED_VALUE"""),45205.64583333333)</f>
        <v>45205.64583</v>
      </c>
      <c r="B7" s="6">
        <f>IFERROR(__xludf.DUMMYFUNCTION("""COMPUTED_VALUE"""),596.6)</f>
        <v>596.6</v>
      </c>
      <c r="C7" s="6">
        <f>IFERROR(__xludf.DUMMYFUNCTION("""COMPUTED_VALUE"""),604.9)</f>
        <v>604.9</v>
      </c>
      <c r="D7" s="6">
        <f>IFERROR(__xludf.DUMMYFUNCTION("""COMPUTED_VALUE"""),584.45)</f>
        <v>584.45</v>
      </c>
      <c r="E7" s="6">
        <f>IFERROR(__xludf.DUMMYFUNCTION("""COMPUTED_VALUE"""),594.25)</f>
        <v>594.25</v>
      </c>
      <c r="F7" s="6">
        <f>IFERROR(__xludf.DUMMYFUNCTION("""COMPUTED_VALUE"""),6.1701616E7)</f>
        <v>61701616</v>
      </c>
    </row>
    <row r="8">
      <c r="A8" s="7">
        <f>IFERROR(__xludf.DUMMYFUNCTION("""COMPUTED_VALUE"""),45212.64583333333)</f>
        <v>45212.64583</v>
      </c>
      <c r="B8" s="6">
        <f>IFERROR(__xludf.DUMMYFUNCTION("""COMPUTED_VALUE"""),588.0)</f>
        <v>588</v>
      </c>
      <c r="C8" s="6">
        <f>IFERROR(__xludf.DUMMYFUNCTION("""COMPUTED_VALUE"""),597.0)</f>
        <v>597</v>
      </c>
      <c r="D8" s="6">
        <f>IFERROR(__xludf.DUMMYFUNCTION("""COMPUTED_VALUE"""),574.8)</f>
        <v>574.8</v>
      </c>
      <c r="E8" s="6">
        <f>IFERROR(__xludf.DUMMYFUNCTION("""COMPUTED_VALUE"""),576.15)</f>
        <v>576.15</v>
      </c>
      <c r="F8" s="6">
        <f>IFERROR(__xludf.DUMMYFUNCTION("""COMPUTED_VALUE"""),6.4831598E7)</f>
        <v>64831598</v>
      </c>
    </row>
    <row r="9">
      <c r="A9" s="7">
        <f>IFERROR(__xludf.DUMMYFUNCTION("""COMPUTED_VALUE"""),45219.64583333333)</f>
        <v>45219.64583</v>
      </c>
      <c r="B9" s="6">
        <f>IFERROR(__xludf.DUMMYFUNCTION("""COMPUTED_VALUE"""),576.0)</f>
        <v>576</v>
      </c>
      <c r="C9" s="6">
        <f>IFERROR(__xludf.DUMMYFUNCTION("""COMPUTED_VALUE"""),579.95)</f>
        <v>579.95</v>
      </c>
      <c r="D9" s="6">
        <f>IFERROR(__xludf.DUMMYFUNCTION("""COMPUTED_VALUE"""),562.1)</f>
        <v>562.1</v>
      </c>
      <c r="E9" s="6">
        <f>IFERROR(__xludf.DUMMYFUNCTION("""COMPUTED_VALUE"""),563.1)</f>
        <v>563.1</v>
      </c>
      <c r="F9" s="6">
        <f>IFERROR(__xludf.DUMMYFUNCTION("""COMPUTED_VALUE"""),5.6385458E7)</f>
        <v>56385458</v>
      </c>
    </row>
    <row r="10">
      <c r="A10" s="7">
        <f>IFERROR(__xludf.DUMMYFUNCTION("""COMPUTED_VALUE"""),45226.64583333333)</f>
        <v>45226.64583</v>
      </c>
      <c r="B10" s="6">
        <f>IFERROR(__xludf.DUMMYFUNCTION("""COMPUTED_VALUE"""),563.1)</f>
        <v>563.1</v>
      </c>
      <c r="C10" s="6">
        <f>IFERROR(__xludf.DUMMYFUNCTION("""COMPUTED_VALUE"""),566.0)</f>
        <v>566</v>
      </c>
      <c r="D10" s="6">
        <f>IFERROR(__xludf.DUMMYFUNCTION("""COMPUTED_VALUE"""),543.2)</f>
        <v>543.2</v>
      </c>
      <c r="E10" s="6">
        <f>IFERROR(__xludf.DUMMYFUNCTION("""COMPUTED_VALUE"""),561.15)</f>
        <v>561.15</v>
      </c>
      <c r="F10" s="6">
        <f>IFERROR(__xludf.DUMMYFUNCTION("""COMPUTED_VALUE"""),5.384978E7)</f>
        <v>53849780</v>
      </c>
    </row>
    <row r="11">
      <c r="A11" s="7">
        <f>IFERROR(__xludf.DUMMYFUNCTION("""COMPUTED_VALUE"""),45233.64583333333)</f>
        <v>45233.64583</v>
      </c>
      <c r="B11" s="6">
        <f>IFERROR(__xludf.DUMMYFUNCTION("""COMPUTED_VALUE"""),563.0)</f>
        <v>563</v>
      </c>
      <c r="C11" s="6">
        <f>IFERROR(__xludf.DUMMYFUNCTION("""COMPUTED_VALUE"""),579.5)</f>
        <v>579.5</v>
      </c>
      <c r="D11" s="6">
        <f>IFERROR(__xludf.DUMMYFUNCTION("""COMPUTED_VALUE"""),556.5)</f>
        <v>556.5</v>
      </c>
      <c r="E11" s="6">
        <f>IFERROR(__xludf.DUMMYFUNCTION("""COMPUTED_VALUE"""),578.15)</f>
        <v>578.15</v>
      </c>
      <c r="F11" s="6">
        <f>IFERROR(__xludf.DUMMYFUNCTION("""COMPUTED_VALUE"""),5.7728862E7)</f>
        <v>57728862</v>
      </c>
    </row>
    <row r="12">
      <c r="A12" s="7">
        <f>IFERROR(__xludf.DUMMYFUNCTION("""COMPUTED_VALUE"""),45240.64583333333)</f>
        <v>45240.64583</v>
      </c>
      <c r="B12" s="6">
        <f>IFERROR(__xludf.DUMMYFUNCTION("""COMPUTED_VALUE"""),582.0)</f>
        <v>582</v>
      </c>
      <c r="C12" s="6">
        <f>IFERROR(__xludf.DUMMYFUNCTION("""COMPUTED_VALUE"""),582.6)</f>
        <v>582.6</v>
      </c>
      <c r="D12" s="6">
        <f>IFERROR(__xludf.DUMMYFUNCTION("""COMPUTED_VALUE"""),572.6)</f>
        <v>572.6</v>
      </c>
      <c r="E12" s="6">
        <f>IFERROR(__xludf.DUMMYFUNCTION("""COMPUTED_VALUE"""),579.5)</f>
        <v>579.5</v>
      </c>
      <c r="F12" s="6">
        <f>IFERROR(__xludf.DUMMYFUNCTION("""COMPUTED_VALUE"""),6.9064628E7)</f>
        <v>69064628</v>
      </c>
    </row>
    <row r="13">
      <c r="A13" s="7">
        <f>IFERROR(__xludf.DUMMYFUNCTION("""COMPUTED_VALUE"""),45247.64583333333)</f>
        <v>45247.64583</v>
      </c>
      <c r="B13" s="6">
        <f>IFERROR(__xludf.DUMMYFUNCTION("""COMPUTED_VALUE"""),584.75)</f>
        <v>584.75</v>
      </c>
      <c r="C13" s="6">
        <f>IFERROR(__xludf.DUMMYFUNCTION("""COMPUTED_VALUE"""),588.0)</f>
        <v>588</v>
      </c>
      <c r="D13" s="6">
        <f>IFERROR(__xludf.DUMMYFUNCTION("""COMPUTED_VALUE"""),562.1)</f>
        <v>562.1</v>
      </c>
      <c r="E13" s="6">
        <f>IFERROR(__xludf.DUMMYFUNCTION("""COMPUTED_VALUE"""),563.05)</f>
        <v>563.05</v>
      </c>
      <c r="F13" s="6">
        <f>IFERROR(__xludf.DUMMYFUNCTION("""COMPUTED_VALUE"""),7.0423641E7)</f>
        <v>70423641</v>
      </c>
    </row>
    <row r="14">
      <c r="A14" s="7">
        <f>IFERROR(__xludf.DUMMYFUNCTION("""COMPUTED_VALUE"""),45254.64583333333)</f>
        <v>45254.64583</v>
      </c>
      <c r="B14" s="6">
        <f>IFERROR(__xludf.DUMMYFUNCTION("""COMPUTED_VALUE"""),564.0)</f>
        <v>564</v>
      </c>
      <c r="C14" s="6">
        <f>IFERROR(__xludf.DUMMYFUNCTION("""COMPUTED_VALUE"""),566.8)</f>
        <v>566.8</v>
      </c>
      <c r="D14" s="6">
        <f>IFERROR(__xludf.DUMMYFUNCTION("""COMPUTED_VALUE"""),555.15)</f>
        <v>555.15</v>
      </c>
      <c r="E14" s="6">
        <f>IFERROR(__xludf.DUMMYFUNCTION("""COMPUTED_VALUE"""),560.35)</f>
        <v>560.35</v>
      </c>
      <c r="F14" s="6">
        <f>IFERROR(__xludf.DUMMYFUNCTION("""COMPUTED_VALUE"""),5.480973E7)</f>
        <v>54809730</v>
      </c>
    </row>
    <row r="15">
      <c r="A15" s="7">
        <f>IFERROR(__xludf.DUMMYFUNCTION("""COMPUTED_VALUE"""),45261.64583333333)</f>
        <v>45261.64583</v>
      </c>
      <c r="B15" s="6">
        <f>IFERROR(__xludf.DUMMYFUNCTION("""COMPUTED_VALUE"""),563.6)</f>
        <v>563.6</v>
      </c>
      <c r="C15" s="6">
        <f>IFERROR(__xludf.DUMMYFUNCTION("""COMPUTED_VALUE"""),574.2)</f>
        <v>574.2</v>
      </c>
      <c r="D15" s="6">
        <f>IFERROR(__xludf.DUMMYFUNCTION("""COMPUTED_VALUE"""),561.1)</f>
        <v>561.1</v>
      </c>
      <c r="E15" s="6">
        <f>IFERROR(__xludf.DUMMYFUNCTION("""COMPUTED_VALUE"""),571.75)</f>
        <v>571.75</v>
      </c>
      <c r="F15" s="6">
        <f>IFERROR(__xludf.DUMMYFUNCTION("""COMPUTED_VALUE"""),4.8825576E7)</f>
        <v>48825576</v>
      </c>
    </row>
    <row r="16">
      <c r="A16" s="7">
        <f>IFERROR(__xludf.DUMMYFUNCTION("""COMPUTED_VALUE"""),45268.64583333333)</f>
        <v>45268.64583</v>
      </c>
      <c r="B16" s="6">
        <f>IFERROR(__xludf.DUMMYFUNCTION("""COMPUTED_VALUE"""),588.0)</f>
        <v>588</v>
      </c>
      <c r="C16" s="6">
        <f>IFERROR(__xludf.DUMMYFUNCTION("""COMPUTED_VALUE"""),616.8)</f>
        <v>616.8</v>
      </c>
      <c r="D16" s="6">
        <f>IFERROR(__xludf.DUMMYFUNCTION("""COMPUTED_VALUE"""),584.55)</f>
        <v>584.55</v>
      </c>
      <c r="E16" s="6">
        <f>IFERROR(__xludf.DUMMYFUNCTION("""COMPUTED_VALUE"""),614.15)</f>
        <v>614.15</v>
      </c>
      <c r="F16" s="6">
        <f>IFERROR(__xludf.DUMMYFUNCTION("""COMPUTED_VALUE"""),1.12394945E8)</f>
        <v>112394945</v>
      </c>
    </row>
    <row r="17">
      <c r="A17" s="7">
        <f>IFERROR(__xludf.DUMMYFUNCTION("""COMPUTED_VALUE"""),45275.64583333333)</f>
        <v>45275.64583</v>
      </c>
      <c r="B17" s="6">
        <f>IFERROR(__xludf.DUMMYFUNCTION("""COMPUTED_VALUE"""),615.0)</f>
        <v>615</v>
      </c>
      <c r="C17" s="6">
        <f>IFERROR(__xludf.DUMMYFUNCTION("""COMPUTED_VALUE"""),650.0)</f>
        <v>650</v>
      </c>
      <c r="D17" s="6">
        <f>IFERROR(__xludf.DUMMYFUNCTION("""COMPUTED_VALUE"""),610.8)</f>
        <v>610.8</v>
      </c>
      <c r="E17" s="6">
        <f>IFERROR(__xludf.DUMMYFUNCTION("""COMPUTED_VALUE"""),648.25)</f>
        <v>648.25</v>
      </c>
      <c r="F17" s="6">
        <f>IFERROR(__xludf.DUMMYFUNCTION("""COMPUTED_VALUE"""),8.5806374E7)</f>
        <v>85806374</v>
      </c>
    </row>
    <row r="18">
      <c r="A18" s="7">
        <f>IFERROR(__xludf.DUMMYFUNCTION("""COMPUTED_VALUE"""),45282.64583333333)</f>
        <v>45282.64583</v>
      </c>
      <c r="B18" s="6">
        <f>IFERROR(__xludf.DUMMYFUNCTION("""COMPUTED_VALUE"""),646.65)</f>
        <v>646.65</v>
      </c>
      <c r="C18" s="6">
        <f>IFERROR(__xludf.DUMMYFUNCTION("""COMPUTED_VALUE"""),660.4)</f>
        <v>660.4</v>
      </c>
      <c r="D18" s="6">
        <f>IFERROR(__xludf.DUMMYFUNCTION("""COMPUTED_VALUE"""),627.5)</f>
        <v>627.5</v>
      </c>
      <c r="E18" s="6">
        <f>IFERROR(__xludf.DUMMYFUNCTION("""COMPUTED_VALUE"""),636.75)</f>
        <v>636.75</v>
      </c>
      <c r="F18" s="6">
        <f>IFERROR(__xludf.DUMMYFUNCTION("""COMPUTED_VALUE"""),9.3641444E7)</f>
        <v>93641444</v>
      </c>
    </row>
    <row r="19">
      <c r="A19" s="7">
        <f>IFERROR(__xludf.DUMMYFUNCTION("""COMPUTED_VALUE"""),45289.64583333333)</f>
        <v>45289.64583</v>
      </c>
      <c r="B19" s="6">
        <f>IFERROR(__xludf.DUMMYFUNCTION("""COMPUTED_VALUE"""),638.85)</f>
        <v>638.85</v>
      </c>
      <c r="C19" s="6">
        <f>IFERROR(__xludf.DUMMYFUNCTION("""COMPUTED_VALUE"""),653.3)</f>
        <v>653.3</v>
      </c>
      <c r="D19" s="6">
        <f>IFERROR(__xludf.DUMMYFUNCTION("""COMPUTED_VALUE"""),635.65)</f>
        <v>635.65</v>
      </c>
      <c r="E19" s="6">
        <f>IFERROR(__xludf.DUMMYFUNCTION("""COMPUTED_VALUE"""),642.05)</f>
        <v>642.05</v>
      </c>
      <c r="F19" s="6">
        <f>IFERROR(__xludf.DUMMYFUNCTION("""COMPUTED_VALUE"""),5.4774725E7)</f>
        <v>54774725</v>
      </c>
    </row>
    <row r="20">
      <c r="A20" s="7">
        <f>IFERROR(__xludf.DUMMYFUNCTION("""COMPUTED_VALUE"""),45296.64583333333)</f>
        <v>45296.64583</v>
      </c>
      <c r="B20" s="6">
        <f>IFERROR(__xludf.DUMMYFUNCTION("""COMPUTED_VALUE"""),642.2)</f>
        <v>642.2</v>
      </c>
      <c r="C20" s="6">
        <f>IFERROR(__xludf.DUMMYFUNCTION("""COMPUTED_VALUE"""),651.75)</f>
        <v>651.75</v>
      </c>
      <c r="D20" s="6">
        <f>IFERROR(__xludf.DUMMYFUNCTION("""COMPUTED_VALUE"""),633.85)</f>
        <v>633.85</v>
      </c>
      <c r="E20" s="6">
        <f>IFERROR(__xludf.DUMMYFUNCTION("""COMPUTED_VALUE"""),641.95)</f>
        <v>641.95</v>
      </c>
      <c r="F20" s="6">
        <f>IFERROR(__xludf.DUMMYFUNCTION("""COMPUTED_VALUE"""),6.7899775E7)</f>
        <v>67899775</v>
      </c>
    </row>
    <row r="21">
      <c r="A21" s="7">
        <f>IFERROR(__xludf.DUMMYFUNCTION("""COMPUTED_VALUE"""),45303.64583333333)</f>
        <v>45303.64583</v>
      </c>
      <c r="B21" s="6">
        <f>IFERROR(__xludf.DUMMYFUNCTION("""COMPUTED_VALUE"""),640.0)</f>
        <v>640</v>
      </c>
      <c r="C21" s="6">
        <f>IFERROR(__xludf.DUMMYFUNCTION("""COMPUTED_VALUE"""),645.0)</f>
        <v>645</v>
      </c>
      <c r="D21" s="6">
        <f>IFERROR(__xludf.DUMMYFUNCTION("""COMPUTED_VALUE"""),618.2)</f>
        <v>618.2</v>
      </c>
      <c r="E21" s="6">
        <f>IFERROR(__xludf.DUMMYFUNCTION("""COMPUTED_VALUE"""),633.6)</f>
        <v>633.6</v>
      </c>
      <c r="F21" s="6">
        <f>IFERROR(__xludf.DUMMYFUNCTION("""COMPUTED_VALUE"""),7.3036887E7)</f>
        <v>73036887</v>
      </c>
    </row>
    <row r="22">
      <c r="A22" s="7">
        <f>IFERROR(__xludf.DUMMYFUNCTION("""COMPUTED_VALUE"""),45316.64583333333)</f>
        <v>45316.64583</v>
      </c>
      <c r="B22" s="6">
        <f>IFERROR(__xludf.DUMMYFUNCTION("""COMPUTED_VALUE"""),627.0)</f>
        <v>627</v>
      </c>
      <c r="C22" s="6">
        <f>IFERROR(__xludf.DUMMYFUNCTION("""COMPUTED_VALUE"""),634.9)</f>
        <v>634.9</v>
      </c>
      <c r="D22" s="6">
        <f>IFERROR(__xludf.DUMMYFUNCTION("""COMPUTED_VALUE"""),600.65)</f>
        <v>600.65</v>
      </c>
      <c r="E22" s="6">
        <f>IFERROR(__xludf.DUMMYFUNCTION("""COMPUTED_VALUE"""),612.75)</f>
        <v>612.75</v>
      </c>
      <c r="F22" s="6">
        <f>IFERROR(__xludf.DUMMYFUNCTION("""COMPUTED_VALUE"""),7.2861082E7)</f>
        <v>72861082</v>
      </c>
    </row>
    <row r="23">
      <c r="A23" s="7">
        <f>IFERROR(__xludf.DUMMYFUNCTION("""COMPUTED_VALUE"""),45324.64583333333)</f>
        <v>45324.64583</v>
      </c>
      <c r="B23" s="6">
        <f>IFERROR(__xludf.DUMMYFUNCTION("""COMPUTED_VALUE"""),619.0)</f>
        <v>619</v>
      </c>
      <c r="C23" s="6">
        <f>IFERROR(__xludf.DUMMYFUNCTION("""COMPUTED_VALUE"""),660.55)</f>
        <v>660.55</v>
      </c>
      <c r="D23" s="6">
        <f>IFERROR(__xludf.DUMMYFUNCTION("""COMPUTED_VALUE"""),615.6)</f>
        <v>615.6</v>
      </c>
      <c r="E23" s="6">
        <f>IFERROR(__xludf.DUMMYFUNCTION("""COMPUTED_VALUE"""),649.65)</f>
        <v>649.65</v>
      </c>
      <c r="F23" s="6">
        <f>IFERROR(__xludf.DUMMYFUNCTION("""COMPUTED_VALUE"""),1.1386898E8)</f>
        <v>113868980</v>
      </c>
    </row>
    <row r="24">
      <c r="A24" s="7">
        <f>IFERROR(__xludf.DUMMYFUNCTION("""COMPUTED_VALUE"""),45331.64583333333)</f>
        <v>45331.64583</v>
      </c>
      <c r="B24" s="6">
        <f>IFERROR(__xludf.DUMMYFUNCTION("""COMPUTED_VALUE"""),647.1)</f>
        <v>647.1</v>
      </c>
      <c r="C24" s="6">
        <f>IFERROR(__xludf.DUMMYFUNCTION("""COMPUTED_VALUE"""),728.35)</f>
        <v>728.35</v>
      </c>
      <c r="D24" s="6">
        <f>IFERROR(__xludf.DUMMYFUNCTION("""COMPUTED_VALUE"""),637.7)</f>
        <v>637.7</v>
      </c>
      <c r="E24" s="6">
        <f>IFERROR(__xludf.DUMMYFUNCTION("""COMPUTED_VALUE"""),725.25)</f>
        <v>725.25</v>
      </c>
      <c r="F24" s="6">
        <f>IFERROR(__xludf.DUMMYFUNCTION("""COMPUTED_VALUE"""),2.01572642E8)</f>
        <v>201572642</v>
      </c>
    </row>
    <row r="25">
      <c r="A25" s="7">
        <f>IFERROR(__xludf.DUMMYFUNCTION("""COMPUTED_VALUE"""),45338.64583333333)</f>
        <v>45338.64583</v>
      </c>
      <c r="B25" s="6">
        <f>IFERROR(__xludf.DUMMYFUNCTION("""COMPUTED_VALUE"""),726.0)</f>
        <v>726</v>
      </c>
      <c r="C25" s="6">
        <f>IFERROR(__xludf.DUMMYFUNCTION("""COMPUTED_VALUE"""),774.6)</f>
        <v>774.6</v>
      </c>
      <c r="D25" s="6">
        <f>IFERROR(__xludf.DUMMYFUNCTION("""COMPUTED_VALUE"""),702.15)</f>
        <v>702.15</v>
      </c>
      <c r="E25" s="6">
        <f>IFERROR(__xludf.DUMMYFUNCTION("""COMPUTED_VALUE"""),754.7)</f>
        <v>754.7</v>
      </c>
      <c r="F25" s="6">
        <f>IFERROR(__xludf.DUMMYFUNCTION("""COMPUTED_VALUE"""),1.44313194E8)</f>
        <v>144313194</v>
      </c>
    </row>
    <row r="26">
      <c r="A26" s="7">
        <f>IFERROR(__xludf.DUMMYFUNCTION("""COMPUTED_VALUE"""),45345.64583333333)</f>
        <v>45345.64583</v>
      </c>
      <c r="B26" s="6">
        <f>IFERROR(__xludf.DUMMYFUNCTION("""COMPUTED_VALUE"""),758.7)</f>
        <v>758.7</v>
      </c>
      <c r="C26" s="6">
        <f>IFERROR(__xludf.DUMMYFUNCTION("""COMPUTED_VALUE"""),777.5)</f>
        <v>777.5</v>
      </c>
      <c r="D26" s="6">
        <f>IFERROR(__xludf.DUMMYFUNCTION("""COMPUTED_VALUE"""),750.0)</f>
        <v>750</v>
      </c>
      <c r="E26" s="6">
        <f>IFERROR(__xludf.DUMMYFUNCTION("""COMPUTED_VALUE"""),759.05)</f>
        <v>759.05</v>
      </c>
      <c r="F26" s="6">
        <f>IFERROR(__xludf.DUMMYFUNCTION("""COMPUTED_VALUE"""),8.0916174E7)</f>
        <v>80916174</v>
      </c>
    </row>
    <row r="27">
      <c r="A27" s="7">
        <f>IFERROR(__xludf.DUMMYFUNCTION("""COMPUTED_VALUE"""),45358.64583333333)</f>
        <v>45358.64583</v>
      </c>
      <c r="B27" s="6">
        <f>IFERROR(__xludf.DUMMYFUNCTION("""COMPUTED_VALUE"""),774.4)</f>
        <v>774.4</v>
      </c>
      <c r="C27" s="6">
        <f>IFERROR(__xludf.DUMMYFUNCTION("""COMPUTED_VALUE"""),793.4)</f>
        <v>793.4</v>
      </c>
      <c r="D27" s="6">
        <f>IFERROR(__xludf.DUMMYFUNCTION("""COMPUTED_VALUE"""),769.0)</f>
        <v>769</v>
      </c>
      <c r="E27" s="6">
        <f>IFERROR(__xludf.DUMMYFUNCTION("""COMPUTED_VALUE"""),788.05)</f>
        <v>788.05</v>
      </c>
      <c r="F27" s="6">
        <f>IFERROR(__xludf.DUMMYFUNCTION("""COMPUTED_VALUE"""),7.0086381E7)</f>
        <v>70086381</v>
      </c>
    </row>
    <row r="28">
      <c r="A28" s="7">
        <f>IFERROR(__xludf.DUMMYFUNCTION("""COMPUTED_VALUE"""),45366.64583333333)</f>
        <v>45366.64583</v>
      </c>
      <c r="B28" s="6">
        <f>IFERROR(__xludf.DUMMYFUNCTION("""COMPUTED_VALUE"""),790.0)</f>
        <v>790</v>
      </c>
      <c r="C28" s="6">
        <f>IFERROR(__xludf.DUMMYFUNCTION("""COMPUTED_VALUE"""),792.8)</f>
        <v>792.8</v>
      </c>
      <c r="D28" s="6">
        <f>IFERROR(__xludf.DUMMYFUNCTION("""COMPUTED_VALUE"""),723.0)</f>
        <v>723</v>
      </c>
      <c r="E28" s="6">
        <f>IFERROR(__xludf.DUMMYFUNCTION("""COMPUTED_VALUE"""),731.9)</f>
        <v>731.9</v>
      </c>
      <c r="F28" s="6">
        <f>IFERROR(__xludf.DUMMYFUNCTION("""COMPUTED_VALUE"""),1.1578142E8)</f>
        <v>115781420</v>
      </c>
    </row>
    <row r="29">
      <c r="A29" s="7">
        <f>IFERROR(__xludf.DUMMYFUNCTION("""COMPUTED_VALUE"""),45373.64583333333)</f>
        <v>45373.64583</v>
      </c>
      <c r="B29" s="6">
        <f>IFERROR(__xludf.DUMMYFUNCTION("""COMPUTED_VALUE"""),727.1)</f>
        <v>727.1</v>
      </c>
      <c r="C29" s="6">
        <f>IFERROR(__xludf.DUMMYFUNCTION("""COMPUTED_VALUE"""),750.6)</f>
        <v>750.6</v>
      </c>
      <c r="D29" s="6">
        <f>IFERROR(__xludf.DUMMYFUNCTION("""COMPUTED_VALUE"""),719.8)</f>
        <v>719.8</v>
      </c>
      <c r="E29" s="6">
        <f>IFERROR(__xludf.DUMMYFUNCTION("""COMPUTED_VALUE"""),746.7)</f>
        <v>746.7</v>
      </c>
      <c r="F29" s="6">
        <f>IFERROR(__xludf.DUMMYFUNCTION("""COMPUTED_VALUE"""),8.9452706E7)</f>
        <v>89452706</v>
      </c>
    </row>
    <row r="30">
      <c r="A30" s="7">
        <f>IFERROR(__xludf.DUMMYFUNCTION("""COMPUTED_VALUE"""),45379.64583333333)</f>
        <v>45379.64583</v>
      </c>
      <c r="B30" s="6">
        <f>IFERROR(__xludf.DUMMYFUNCTION("""COMPUTED_VALUE"""),743.05)</f>
        <v>743.05</v>
      </c>
      <c r="C30" s="6">
        <f>IFERROR(__xludf.DUMMYFUNCTION("""COMPUTED_VALUE"""),759.55)</f>
        <v>759.55</v>
      </c>
      <c r="D30" s="6">
        <f>IFERROR(__xludf.DUMMYFUNCTION("""COMPUTED_VALUE"""),730.2)</f>
        <v>730.2</v>
      </c>
      <c r="E30" s="6">
        <f>IFERROR(__xludf.DUMMYFUNCTION("""COMPUTED_VALUE"""),752.35)</f>
        <v>752.35</v>
      </c>
      <c r="F30" s="6">
        <f>IFERROR(__xludf.DUMMYFUNCTION("""COMPUTED_VALUE"""),6.6472247E7)</f>
        <v>66472247</v>
      </c>
    </row>
    <row r="31">
      <c r="A31" s="7">
        <f>IFERROR(__xludf.DUMMYFUNCTION("""COMPUTED_VALUE"""),45387.64583333333)</f>
        <v>45387.64583</v>
      </c>
      <c r="B31" s="6">
        <f>IFERROR(__xludf.DUMMYFUNCTION("""COMPUTED_VALUE"""),759.05)</f>
        <v>759.05</v>
      </c>
      <c r="C31" s="6">
        <f>IFERROR(__xludf.DUMMYFUNCTION("""COMPUTED_VALUE"""),775.3)</f>
        <v>775.3</v>
      </c>
      <c r="D31" s="6">
        <f>IFERROR(__xludf.DUMMYFUNCTION("""COMPUTED_VALUE"""),752.1)</f>
        <v>752.1</v>
      </c>
      <c r="E31" s="6">
        <f>IFERROR(__xludf.DUMMYFUNCTION("""COMPUTED_VALUE"""),764.75)</f>
        <v>764.75</v>
      </c>
      <c r="F31" s="6">
        <f>IFERROR(__xludf.DUMMYFUNCTION("""COMPUTED_VALUE"""),7.0629165E7)</f>
        <v>70629165</v>
      </c>
    </row>
    <row r="32">
      <c r="A32" s="7">
        <f>IFERROR(__xludf.DUMMYFUNCTION("""COMPUTED_VALUE"""),45394.64583333333)</f>
        <v>45394.64583</v>
      </c>
      <c r="B32" s="6">
        <f>IFERROR(__xludf.DUMMYFUNCTION("""COMPUTED_VALUE"""),766.05)</f>
        <v>766.05</v>
      </c>
      <c r="C32" s="6">
        <f>IFERROR(__xludf.DUMMYFUNCTION("""COMPUTED_VALUE"""),780.7)</f>
        <v>780.7</v>
      </c>
      <c r="D32" s="6">
        <f>IFERROR(__xludf.DUMMYFUNCTION("""COMPUTED_VALUE"""),761.1)</f>
        <v>761.1</v>
      </c>
      <c r="E32" s="6">
        <f>IFERROR(__xludf.DUMMYFUNCTION("""COMPUTED_VALUE"""),766.3)</f>
        <v>766.3</v>
      </c>
      <c r="F32" s="6">
        <f>IFERROR(__xludf.DUMMYFUNCTION("""COMPUTED_VALUE"""),4.6202457E7)</f>
        <v>46202457</v>
      </c>
    </row>
    <row r="33">
      <c r="A33" s="7">
        <f>IFERROR(__xludf.DUMMYFUNCTION("""COMPUTED_VALUE"""),45401.64583333333)</f>
        <v>45401.64583</v>
      </c>
      <c r="B33" s="6">
        <f>IFERROR(__xludf.DUMMYFUNCTION("""COMPUTED_VALUE"""),759.8)</f>
        <v>759.8</v>
      </c>
      <c r="C33" s="6">
        <f>IFERROR(__xludf.DUMMYFUNCTION("""COMPUTED_VALUE"""),763.3)</f>
        <v>763.3</v>
      </c>
      <c r="D33" s="6">
        <f>IFERROR(__xludf.DUMMYFUNCTION("""COMPUTED_VALUE"""),732.05)</f>
        <v>732.05</v>
      </c>
      <c r="E33" s="6">
        <f>IFERROR(__xludf.DUMMYFUNCTION("""COMPUTED_VALUE"""),750.45)</f>
        <v>750.45</v>
      </c>
      <c r="F33" s="6">
        <f>IFERROR(__xludf.DUMMYFUNCTION("""COMPUTED_VALUE"""),5.0171765E7)</f>
        <v>50171765</v>
      </c>
    </row>
    <row r="34">
      <c r="A34" s="7">
        <f>IFERROR(__xludf.DUMMYFUNCTION("""COMPUTED_VALUE"""),45408.64583333333)</f>
        <v>45408.64583</v>
      </c>
      <c r="B34" s="6">
        <f>IFERROR(__xludf.DUMMYFUNCTION("""COMPUTED_VALUE"""),754.15)</f>
        <v>754.15</v>
      </c>
      <c r="C34" s="6">
        <f>IFERROR(__xludf.DUMMYFUNCTION("""COMPUTED_VALUE"""),816.9)</f>
        <v>816.9</v>
      </c>
      <c r="D34" s="6">
        <f>IFERROR(__xludf.DUMMYFUNCTION("""COMPUTED_VALUE"""),750.45)</f>
        <v>750.45</v>
      </c>
      <c r="E34" s="6">
        <f>IFERROR(__xludf.DUMMYFUNCTION("""COMPUTED_VALUE"""),801.3)</f>
        <v>801.3</v>
      </c>
      <c r="F34" s="6">
        <f>IFERROR(__xludf.DUMMYFUNCTION("""COMPUTED_VALUE"""),8.9284562E7)</f>
        <v>89284562</v>
      </c>
    </row>
    <row r="35">
      <c r="A35" s="7">
        <f>IFERROR(__xludf.DUMMYFUNCTION("""COMPUTED_VALUE"""),45415.64583333333)</f>
        <v>45415.64583</v>
      </c>
      <c r="B35" s="6">
        <f>IFERROR(__xludf.DUMMYFUNCTION("""COMPUTED_VALUE"""),807.0)</f>
        <v>807</v>
      </c>
      <c r="C35" s="6">
        <f>IFERROR(__xludf.DUMMYFUNCTION("""COMPUTED_VALUE"""),836.2)</f>
        <v>836.2</v>
      </c>
      <c r="D35" s="6">
        <f>IFERROR(__xludf.DUMMYFUNCTION("""COMPUTED_VALUE"""),798.7)</f>
        <v>798.7</v>
      </c>
      <c r="E35" s="6">
        <f>IFERROR(__xludf.DUMMYFUNCTION("""COMPUTED_VALUE"""),831.45)</f>
        <v>831.45</v>
      </c>
      <c r="F35" s="6">
        <f>IFERROR(__xludf.DUMMYFUNCTION("""COMPUTED_VALUE"""),9.7363163E7)</f>
        <v>97363163</v>
      </c>
    </row>
    <row r="36">
      <c r="A36" s="7">
        <f>IFERROR(__xludf.DUMMYFUNCTION("""COMPUTED_VALUE"""),45422.64583333333)</f>
        <v>45422.64583</v>
      </c>
      <c r="B36" s="6">
        <f>IFERROR(__xludf.DUMMYFUNCTION("""COMPUTED_VALUE"""),835.0)</f>
        <v>835</v>
      </c>
      <c r="C36" s="6">
        <f>IFERROR(__xludf.DUMMYFUNCTION("""COMPUTED_VALUE"""),839.65)</f>
        <v>839.65</v>
      </c>
      <c r="D36" s="6">
        <f>IFERROR(__xludf.DUMMYFUNCTION("""COMPUTED_VALUE"""),793.2)</f>
        <v>793.2</v>
      </c>
      <c r="E36" s="6">
        <f>IFERROR(__xludf.DUMMYFUNCTION("""COMPUTED_VALUE"""),817.35)</f>
        <v>817.35</v>
      </c>
      <c r="F36" s="6">
        <f>IFERROR(__xludf.DUMMYFUNCTION("""COMPUTED_VALUE"""),1.49750288E8)</f>
        <v>149750288</v>
      </c>
    </row>
    <row r="37">
      <c r="A37" s="7">
        <f>IFERROR(__xludf.DUMMYFUNCTION("""COMPUTED_VALUE"""),45436.64583333333)</f>
        <v>45436.64583</v>
      </c>
      <c r="B37" s="6">
        <f>IFERROR(__xludf.DUMMYFUNCTION("""COMPUTED_VALUE"""),821.0)</f>
        <v>821</v>
      </c>
      <c r="C37" s="6">
        <f>IFERROR(__xludf.DUMMYFUNCTION("""COMPUTED_VALUE"""),841.25)</f>
        <v>841.25</v>
      </c>
      <c r="D37" s="6">
        <f>IFERROR(__xludf.DUMMYFUNCTION("""COMPUTED_VALUE"""),813.55)</f>
        <v>813.55</v>
      </c>
      <c r="E37" s="6">
        <f>IFERROR(__xludf.DUMMYFUNCTION("""COMPUTED_VALUE"""),828.6)</f>
        <v>828.6</v>
      </c>
      <c r="F37" s="6">
        <f>IFERROR(__xludf.DUMMYFUNCTION("""COMPUTED_VALUE"""),6.3026641E7)</f>
        <v>63026641</v>
      </c>
    </row>
    <row r="38">
      <c r="A38" s="7">
        <f>IFERROR(__xludf.DUMMYFUNCTION("""COMPUTED_VALUE"""),45443.64583333333)</f>
        <v>45443.64583</v>
      </c>
      <c r="B38" s="6">
        <f>IFERROR(__xludf.DUMMYFUNCTION("""COMPUTED_VALUE"""),832.6)</f>
        <v>832.6</v>
      </c>
      <c r="C38" s="6">
        <f>IFERROR(__xludf.DUMMYFUNCTION("""COMPUTED_VALUE"""),840.7)</f>
        <v>840.7</v>
      </c>
      <c r="D38" s="6">
        <f>IFERROR(__xludf.DUMMYFUNCTION("""COMPUTED_VALUE"""),817.1)</f>
        <v>817.1</v>
      </c>
      <c r="E38" s="6">
        <f>IFERROR(__xludf.DUMMYFUNCTION("""COMPUTED_VALUE"""),830.35)</f>
        <v>830.35</v>
      </c>
      <c r="F38" s="6">
        <f>IFERROR(__xludf.DUMMYFUNCTION("""COMPUTED_VALUE"""),8.0718359E7)</f>
        <v>80718359</v>
      </c>
    </row>
    <row r="39">
      <c r="A39" s="7">
        <f>IFERROR(__xludf.DUMMYFUNCTION("""COMPUTED_VALUE"""),45450.64583333333)</f>
        <v>45450.64583</v>
      </c>
      <c r="B39" s="6">
        <f>IFERROR(__xludf.DUMMYFUNCTION("""COMPUTED_VALUE"""),863.55)</f>
        <v>863.55</v>
      </c>
      <c r="C39" s="6">
        <f>IFERROR(__xludf.DUMMYFUNCTION("""COMPUTED_VALUE"""),912.0)</f>
        <v>912</v>
      </c>
      <c r="D39" s="6">
        <f>IFERROR(__xludf.DUMMYFUNCTION("""COMPUTED_VALUE"""),731.95)</f>
        <v>731.95</v>
      </c>
      <c r="E39" s="6">
        <f>IFERROR(__xludf.DUMMYFUNCTION("""COMPUTED_VALUE"""),829.95)</f>
        <v>829.95</v>
      </c>
      <c r="F39" s="6">
        <f>IFERROR(__xludf.DUMMYFUNCTION("""COMPUTED_VALUE"""),3.26523228E8)</f>
        <v>326523228</v>
      </c>
    </row>
    <row r="40">
      <c r="A40" s="7">
        <f>IFERROR(__xludf.DUMMYFUNCTION("""COMPUTED_VALUE"""),45457.64583333333)</f>
        <v>45457.64583</v>
      </c>
      <c r="B40" s="6">
        <f>IFERROR(__xludf.DUMMYFUNCTION("""COMPUTED_VALUE"""),834.15)</f>
        <v>834.15</v>
      </c>
      <c r="C40" s="6">
        <f>IFERROR(__xludf.DUMMYFUNCTION("""COMPUTED_VALUE"""),849.9)</f>
        <v>849.9</v>
      </c>
      <c r="D40" s="6">
        <f>IFERROR(__xludf.DUMMYFUNCTION("""COMPUTED_VALUE"""),829.05)</f>
        <v>829.05</v>
      </c>
      <c r="E40" s="6">
        <f>IFERROR(__xludf.DUMMYFUNCTION("""COMPUTED_VALUE"""),839.2)</f>
        <v>839.2</v>
      </c>
      <c r="F40" s="6">
        <f>IFERROR(__xludf.DUMMYFUNCTION("""COMPUTED_VALUE"""),7.1978826E7)</f>
        <v>71978826</v>
      </c>
    </row>
    <row r="41">
      <c r="A41" s="7">
        <f>IFERROR(__xludf.DUMMYFUNCTION("""COMPUTED_VALUE"""),45464.64583333333)</f>
        <v>45464.64583</v>
      </c>
      <c r="B41" s="6">
        <f>IFERROR(__xludf.DUMMYFUNCTION("""COMPUTED_VALUE"""),841.55)</f>
        <v>841.55</v>
      </c>
      <c r="C41" s="6">
        <f>IFERROR(__xludf.DUMMYFUNCTION("""COMPUTED_VALUE"""),860.6)</f>
        <v>860.6</v>
      </c>
      <c r="D41" s="6">
        <f>IFERROR(__xludf.DUMMYFUNCTION("""COMPUTED_VALUE"""),828.6)</f>
        <v>828.6</v>
      </c>
      <c r="E41" s="6">
        <f>IFERROR(__xludf.DUMMYFUNCTION("""COMPUTED_VALUE"""),836.3)</f>
        <v>836.3</v>
      </c>
      <c r="F41" s="6">
        <f>IFERROR(__xludf.DUMMYFUNCTION("""COMPUTED_VALUE"""),8.0829665E7)</f>
        <v>80829665</v>
      </c>
    </row>
    <row r="42">
      <c r="A42" s="7">
        <f>IFERROR(__xludf.DUMMYFUNCTION("""COMPUTED_VALUE"""),45471.64583333333)</f>
        <v>45471.64583</v>
      </c>
      <c r="B42" s="6">
        <f>IFERROR(__xludf.DUMMYFUNCTION("""COMPUTED_VALUE"""),831.5)</f>
        <v>831.5</v>
      </c>
      <c r="C42" s="6">
        <f>IFERROR(__xludf.DUMMYFUNCTION("""COMPUTED_VALUE"""),864.0)</f>
        <v>864</v>
      </c>
      <c r="D42" s="6">
        <f>IFERROR(__xludf.DUMMYFUNCTION("""COMPUTED_VALUE"""),821.05)</f>
        <v>821.05</v>
      </c>
      <c r="E42" s="6">
        <f>IFERROR(__xludf.DUMMYFUNCTION("""COMPUTED_VALUE"""),848.95)</f>
        <v>848.95</v>
      </c>
      <c r="F42" s="6">
        <f>IFERROR(__xludf.DUMMYFUNCTION("""COMPUTED_VALUE"""),9.3929819E7)</f>
        <v>93929819</v>
      </c>
    </row>
    <row r="43">
      <c r="A43" s="7">
        <f>IFERROR(__xludf.DUMMYFUNCTION("""COMPUTED_VALUE"""),45478.64583333333)</f>
        <v>45478.64583</v>
      </c>
      <c r="B43" s="6">
        <f>IFERROR(__xludf.DUMMYFUNCTION("""COMPUTED_VALUE"""),849.35)</f>
        <v>849.35</v>
      </c>
      <c r="C43" s="6">
        <f>IFERROR(__xludf.DUMMYFUNCTION("""COMPUTED_VALUE"""),861.25)</f>
        <v>861.25</v>
      </c>
      <c r="D43" s="6">
        <f>IFERROR(__xludf.DUMMYFUNCTION("""COMPUTED_VALUE"""),823.15)</f>
        <v>823.15</v>
      </c>
      <c r="E43" s="6">
        <f>IFERROR(__xludf.DUMMYFUNCTION("""COMPUTED_VALUE"""),859.75)</f>
        <v>859.75</v>
      </c>
      <c r="F43" s="6">
        <f>IFERROR(__xludf.DUMMYFUNCTION("""COMPUTED_VALUE"""),9.3954955E7)</f>
        <v>93954955</v>
      </c>
    </row>
    <row r="44">
      <c r="A44" s="7">
        <f>IFERROR(__xludf.DUMMYFUNCTION("""COMPUTED_VALUE"""),45485.64583333333)</f>
        <v>45485.64583</v>
      </c>
      <c r="B44" s="6">
        <f>IFERROR(__xludf.DUMMYFUNCTION("""COMPUTED_VALUE"""),859.75)</f>
        <v>859.75</v>
      </c>
      <c r="C44" s="6">
        <f>IFERROR(__xludf.DUMMYFUNCTION("""COMPUTED_VALUE"""),869.95)</f>
        <v>869.95</v>
      </c>
      <c r="D44" s="6">
        <f>IFERROR(__xludf.DUMMYFUNCTION("""COMPUTED_VALUE"""),843.5)</f>
        <v>843.5</v>
      </c>
      <c r="E44" s="6">
        <f>IFERROR(__xludf.DUMMYFUNCTION("""COMPUTED_VALUE"""),859.7)</f>
        <v>859.7</v>
      </c>
      <c r="F44" s="6">
        <f>IFERROR(__xludf.DUMMYFUNCTION("""COMPUTED_VALUE"""),6.1235547E7)</f>
        <v>61235547</v>
      </c>
    </row>
    <row r="45">
      <c r="A45" s="7">
        <f>IFERROR(__xludf.DUMMYFUNCTION("""COMPUTED_VALUE"""),45492.64583333333)</f>
        <v>45492.64583</v>
      </c>
      <c r="B45" s="6">
        <f>IFERROR(__xludf.DUMMYFUNCTION("""COMPUTED_VALUE"""),859.7)</f>
        <v>859.7</v>
      </c>
      <c r="C45" s="6">
        <f>IFERROR(__xludf.DUMMYFUNCTION("""COMPUTED_VALUE"""),899.0)</f>
        <v>899</v>
      </c>
      <c r="D45" s="6">
        <f>IFERROR(__xludf.DUMMYFUNCTION("""COMPUTED_VALUE"""),859.7)</f>
        <v>859.7</v>
      </c>
      <c r="E45" s="6">
        <f>IFERROR(__xludf.DUMMYFUNCTION("""COMPUTED_VALUE"""),889.35)</f>
        <v>889.35</v>
      </c>
      <c r="F45" s="6">
        <f>IFERROR(__xludf.DUMMYFUNCTION("""COMPUTED_VALUE"""),7.1284437E7)</f>
        <v>71284437</v>
      </c>
    </row>
    <row r="46">
      <c r="A46" s="7">
        <f>IFERROR(__xludf.DUMMYFUNCTION("""COMPUTED_VALUE"""),45499.64583333333)</f>
        <v>45499.64583</v>
      </c>
      <c r="B46" s="6">
        <f>IFERROR(__xludf.DUMMYFUNCTION("""COMPUTED_VALUE"""),881.45)</f>
        <v>881.45</v>
      </c>
      <c r="C46" s="6">
        <f>IFERROR(__xludf.DUMMYFUNCTION("""COMPUTED_VALUE"""),895.0)</f>
        <v>895</v>
      </c>
      <c r="D46" s="6">
        <f>IFERROR(__xludf.DUMMYFUNCTION("""COMPUTED_VALUE"""),841.2)</f>
        <v>841.2</v>
      </c>
      <c r="E46" s="6">
        <f>IFERROR(__xludf.DUMMYFUNCTION("""COMPUTED_VALUE"""),862.45)</f>
        <v>862.45</v>
      </c>
      <c r="F46" s="6">
        <f>IFERROR(__xludf.DUMMYFUNCTION("""COMPUTED_VALUE"""),7.4122049E7)</f>
        <v>74122049</v>
      </c>
    </row>
    <row r="47">
      <c r="A47" s="7">
        <f>IFERROR(__xludf.DUMMYFUNCTION("""COMPUTED_VALUE"""),45506.64583333333)</f>
        <v>45506.64583</v>
      </c>
      <c r="B47" s="6">
        <f>IFERROR(__xludf.DUMMYFUNCTION("""COMPUTED_VALUE"""),866.05)</f>
        <v>866.05</v>
      </c>
      <c r="C47" s="6">
        <f>IFERROR(__xludf.DUMMYFUNCTION("""COMPUTED_VALUE"""),889.1)</f>
        <v>889.1</v>
      </c>
      <c r="D47" s="6">
        <f>IFERROR(__xludf.DUMMYFUNCTION("""COMPUTED_VALUE"""),846.15)</f>
        <v>846.15</v>
      </c>
      <c r="E47" s="6">
        <f>IFERROR(__xludf.DUMMYFUNCTION("""COMPUTED_VALUE"""),847.85)</f>
        <v>847.85</v>
      </c>
      <c r="F47" s="6">
        <f>IFERROR(__xludf.DUMMYFUNCTION("""COMPUTED_VALUE"""),7.6144636E7)</f>
        <v>76144636</v>
      </c>
    </row>
    <row r="48">
      <c r="A48" s="7">
        <f>IFERROR(__xludf.DUMMYFUNCTION("""COMPUTED_VALUE"""),45513.64583333333)</f>
        <v>45513.64583</v>
      </c>
      <c r="B48" s="6">
        <f>IFERROR(__xludf.DUMMYFUNCTION("""COMPUTED_VALUE"""),830.0)</f>
        <v>830</v>
      </c>
      <c r="C48" s="6">
        <f>IFERROR(__xludf.DUMMYFUNCTION("""COMPUTED_VALUE"""),831.35)</f>
        <v>831.35</v>
      </c>
      <c r="D48" s="6">
        <f>IFERROR(__xludf.DUMMYFUNCTION("""COMPUTED_VALUE"""),795.65)</f>
        <v>795.65</v>
      </c>
      <c r="E48" s="6">
        <f>IFERROR(__xludf.DUMMYFUNCTION("""COMPUTED_VALUE"""),824.3)</f>
        <v>824.3</v>
      </c>
      <c r="F48" s="6">
        <f>IFERROR(__xludf.DUMMYFUNCTION("""COMPUTED_VALUE"""),9.336019E7)</f>
        <v>93360190</v>
      </c>
    </row>
    <row r="49">
      <c r="A49" s="7">
        <f>IFERROR(__xludf.DUMMYFUNCTION("""COMPUTED_VALUE"""),45520.64583333333)</f>
        <v>45520.64583</v>
      </c>
      <c r="B49" s="6">
        <f>IFERROR(__xludf.DUMMYFUNCTION("""COMPUTED_VALUE"""),820.6)</f>
        <v>820.6</v>
      </c>
      <c r="C49" s="6">
        <f>IFERROR(__xludf.DUMMYFUNCTION("""COMPUTED_VALUE"""),823.0)</f>
        <v>823</v>
      </c>
      <c r="D49" s="6">
        <f>IFERROR(__xludf.DUMMYFUNCTION("""COMPUTED_VALUE"""),795.05)</f>
        <v>795.05</v>
      </c>
      <c r="E49" s="6">
        <f>IFERROR(__xludf.DUMMYFUNCTION("""COMPUTED_VALUE"""),812.1)</f>
        <v>812.1</v>
      </c>
      <c r="F49" s="6">
        <f>IFERROR(__xludf.DUMMYFUNCTION("""COMPUTED_VALUE"""),5.6921621E7)</f>
        <v>56921621</v>
      </c>
    </row>
    <row r="50">
      <c r="A50" s="7">
        <f>IFERROR(__xludf.DUMMYFUNCTION("""COMPUTED_VALUE"""),45527.64583333333)</f>
        <v>45527.64583</v>
      </c>
      <c r="B50" s="6">
        <f>IFERROR(__xludf.DUMMYFUNCTION("""COMPUTED_VALUE"""),815.0)</f>
        <v>815</v>
      </c>
      <c r="C50" s="6">
        <f>IFERROR(__xludf.DUMMYFUNCTION("""COMPUTED_VALUE"""),825.4)</f>
        <v>825.4</v>
      </c>
      <c r="D50" s="6">
        <f>IFERROR(__xludf.DUMMYFUNCTION("""COMPUTED_VALUE"""),811.2)</f>
        <v>811.2</v>
      </c>
      <c r="E50" s="6">
        <f>IFERROR(__xludf.DUMMYFUNCTION("""COMPUTED_VALUE"""),815.35)</f>
        <v>815.35</v>
      </c>
      <c r="F50" s="6">
        <f>IFERROR(__xludf.DUMMYFUNCTION("""COMPUTED_VALUE"""),4.8476896E7)</f>
        <v>48476896</v>
      </c>
    </row>
    <row r="51">
      <c r="A51" s="7">
        <f>IFERROR(__xludf.DUMMYFUNCTION("""COMPUTED_VALUE"""),45534.64583333333)</f>
        <v>45534.64583</v>
      </c>
      <c r="B51" s="6">
        <f>IFERROR(__xludf.DUMMYFUNCTION("""COMPUTED_VALUE"""),818.0)</f>
        <v>818</v>
      </c>
      <c r="C51" s="6">
        <f>IFERROR(__xludf.DUMMYFUNCTION("""COMPUTED_VALUE"""),823.45)</f>
        <v>823.45</v>
      </c>
      <c r="D51" s="6">
        <f>IFERROR(__xludf.DUMMYFUNCTION("""COMPUTED_VALUE"""),806.5)</f>
        <v>806.5</v>
      </c>
      <c r="E51" s="6">
        <f>IFERROR(__xludf.DUMMYFUNCTION("""COMPUTED_VALUE"""),815.6)</f>
        <v>815.6</v>
      </c>
      <c r="F51" s="6">
        <f>IFERROR(__xludf.DUMMYFUNCTION("""COMPUTED_VALUE"""),5.8887079E7)</f>
        <v>58887079</v>
      </c>
    </row>
    <row r="52">
      <c r="A52" s="7">
        <f>IFERROR(__xludf.DUMMYFUNCTION("""COMPUTED_VALUE"""),45541.64583333333)</f>
        <v>45541.64583</v>
      </c>
      <c r="B52" s="6">
        <f>IFERROR(__xludf.DUMMYFUNCTION("""COMPUTED_VALUE"""),817.3)</f>
        <v>817.3</v>
      </c>
      <c r="C52" s="6">
        <f>IFERROR(__xludf.DUMMYFUNCTION("""COMPUTED_VALUE"""),825.95)</f>
        <v>825.95</v>
      </c>
      <c r="D52" s="6">
        <f>IFERROR(__xludf.DUMMYFUNCTION("""COMPUTED_VALUE"""),777.0)</f>
        <v>777</v>
      </c>
      <c r="E52" s="6">
        <f>IFERROR(__xludf.DUMMYFUNCTION("""COMPUTED_VALUE"""),782.5)</f>
        <v>782.5</v>
      </c>
      <c r="F52" s="6">
        <f>IFERROR(__xludf.DUMMYFUNCTION("""COMPUTED_VALUE"""),8.176684E7)</f>
        <v>81766840</v>
      </c>
    </row>
    <row r="53">
      <c r="A53" s="7">
        <f>IFERROR(__xludf.DUMMYFUNCTION("""COMPUTED_VALUE"""),45548.64583333333)</f>
        <v>45548.64583</v>
      </c>
      <c r="B53" s="6">
        <f>IFERROR(__xludf.DUMMYFUNCTION("""COMPUTED_VALUE"""),785.0)</f>
        <v>785</v>
      </c>
      <c r="C53" s="6">
        <f>IFERROR(__xludf.DUMMYFUNCTION("""COMPUTED_VALUE"""),795.0)</f>
        <v>795</v>
      </c>
      <c r="D53" s="6">
        <f>IFERROR(__xludf.DUMMYFUNCTION("""COMPUTED_VALUE"""),765.4)</f>
        <v>765.4</v>
      </c>
      <c r="E53" s="6">
        <f>IFERROR(__xludf.DUMMYFUNCTION("""COMPUTED_VALUE"""),790.85)</f>
        <v>790.85</v>
      </c>
      <c r="F53" s="6">
        <f>IFERROR(__xludf.DUMMYFUNCTION("""COMPUTED_VALUE"""),8.4737369E7)</f>
        <v>84737369</v>
      </c>
    </row>
    <row r="54">
      <c r="A54" s="7">
        <f>IFERROR(__xludf.DUMMYFUNCTION("""COMPUTED_VALUE"""),45555.64583333333)</f>
        <v>45555.64583</v>
      </c>
      <c r="B54" s="6">
        <f>IFERROR(__xludf.DUMMYFUNCTION("""COMPUTED_VALUE"""),790.85)</f>
        <v>790.85</v>
      </c>
      <c r="C54" s="6">
        <f>IFERROR(__xludf.DUMMYFUNCTION("""COMPUTED_VALUE"""),801.35)</f>
        <v>801.35</v>
      </c>
      <c r="D54" s="6">
        <f>IFERROR(__xludf.DUMMYFUNCTION("""COMPUTED_VALUE"""),779.5)</f>
        <v>779.5</v>
      </c>
      <c r="E54" s="6">
        <f>IFERROR(__xludf.DUMMYFUNCTION("""COMPUTED_VALUE"""),781.7)</f>
        <v>781.7</v>
      </c>
      <c r="F54" s="6">
        <f>IFERROR(__xludf.DUMMYFUNCTION("""COMPUTED_VALUE"""),7.05615E7)</f>
        <v>70561500</v>
      </c>
    </row>
    <row r="55">
      <c r="A55" s="7">
        <f>IFERROR(__xludf.DUMMYFUNCTION("""COMPUTED_VALUE"""),45562.64583333333)</f>
        <v>45562.64583</v>
      </c>
      <c r="B55" s="6">
        <f>IFERROR(__xludf.DUMMYFUNCTION("""COMPUTED_VALUE"""),786.0)</f>
        <v>786</v>
      </c>
      <c r="C55" s="6">
        <f>IFERROR(__xludf.DUMMYFUNCTION("""COMPUTED_VALUE"""),808.0)</f>
        <v>808</v>
      </c>
      <c r="D55" s="6">
        <f>IFERROR(__xludf.DUMMYFUNCTION("""COMPUTED_VALUE"""),784.5)</f>
        <v>784.5</v>
      </c>
      <c r="E55" s="6">
        <f>IFERROR(__xludf.DUMMYFUNCTION("""COMPUTED_VALUE"""),802.65)</f>
        <v>802.65</v>
      </c>
      <c r="F55" s="6">
        <f>IFERROR(__xludf.DUMMYFUNCTION("""COMPUTED_VALUE"""),8.9348292E7)</f>
        <v>89348292</v>
      </c>
    </row>
    <row r="56">
      <c r="A56" s="7">
        <f>IFERROR(__xludf.DUMMYFUNCTION("""COMPUTED_VALUE"""),45569.64583333333)</f>
        <v>45569.64583</v>
      </c>
      <c r="B56" s="6">
        <f>IFERROR(__xludf.DUMMYFUNCTION("""COMPUTED_VALUE"""),801.9)</f>
        <v>801.9</v>
      </c>
      <c r="C56" s="6">
        <f>IFERROR(__xludf.DUMMYFUNCTION("""COMPUTED_VALUE"""),809.85)</f>
        <v>809.85</v>
      </c>
      <c r="D56" s="6">
        <f>IFERROR(__xludf.DUMMYFUNCTION("""COMPUTED_VALUE"""),784.3)</f>
        <v>784.3</v>
      </c>
      <c r="E56" s="6">
        <f>IFERROR(__xludf.DUMMYFUNCTION("""COMPUTED_VALUE"""),796.65)</f>
        <v>796.65</v>
      </c>
      <c r="F56" s="6">
        <f>IFERROR(__xludf.DUMMYFUNCTION("""COMPUTED_VALUE"""),6.4806697E7)</f>
        <v>64806697</v>
      </c>
    </row>
    <row r="57">
      <c r="A57" s="7">
        <f>IFERROR(__xludf.DUMMYFUNCTION("""COMPUTED_VALUE"""),45576.64583333333)</f>
        <v>45576.64583</v>
      </c>
      <c r="B57" s="6">
        <f>IFERROR(__xludf.DUMMYFUNCTION("""COMPUTED_VALUE"""),800.0)</f>
        <v>800</v>
      </c>
      <c r="C57" s="6">
        <f>IFERROR(__xludf.DUMMYFUNCTION("""COMPUTED_VALUE"""),804.45)</f>
        <v>804.45</v>
      </c>
      <c r="D57" s="6">
        <f>IFERROR(__xludf.DUMMYFUNCTION("""COMPUTED_VALUE"""),765.4)</f>
        <v>765.4</v>
      </c>
      <c r="E57" s="6">
        <f>IFERROR(__xludf.DUMMYFUNCTION("""COMPUTED_VALUE"""),799.75)</f>
        <v>799.75</v>
      </c>
      <c r="F57" s="6">
        <f>IFERROR(__xludf.DUMMYFUNCTION("""COMPUTED_VALUE"""),7.6151382E7)</f>
        <v>76151382</v>
      </c>
    </row>
    <row r="58">
      <c r="A58" s="7">
        <f>IFERROR(__xludf.DUMMYFUNCTION("""COMPUTED_VALUE"""),45583.64583333333)</f>
        <v>45583.64583</v>
      </c>
      <c r="B58" s="6">
        <f>IFERROR(__xludf.DUMMYFUNCTION("""COMPUTED_VALUE"""),802.0)</f>
        <v>802</v>
      </c>
      <c r="C58" s="6">
        <f>IFERROR(__xludf.DUMMYFUNCTION("""COMPUTED_VALUE"""),822.6)</f>
        <v>822.6</v>
      </c>
      <c r="D58" s="6">
        <f>IFERROR(__xludf.DUMMYFUNCTION("""COMPUTED_VALUE"""),800.8)</f>
        <v>800.8</v>
      </c>
      <c r="E58" s="6">
        <f>IFERROR(__xludf.DUMMYFUNCTION("""COMPUTED_VALUE"""),820.4)</f>
        <v>820.4</v>
      </c>
      <c r="F58" s="6">
        <f>IFERROR(__xludf.DUMMYFUNCTION("""COMPUTED_VALUE"""),5.1999159E7)</f>
        <v>51999159</v>
      </c>
    </row>
    <row r="59">
      <c r="A59" s="7">
        <f>IFERROR(__xludf.DUMMYFUNCTION("""COMPUTED_VALUE"""),45590.64583333333)</f>
        <v>45590.64583</v>
      </c>
      <c r="B59" s="6">
        <f>IFERROR(__xludf.DUMMYFUNCTION("""COMPUTED_VALUE"""),824.7)</f>
        <v>824.7</v>
      </c>
      <c r="C59" s="6">
        <f>IFERROR(__xludf.DUMMYFUNCTION("""COMPUTED_VALUE"""),826.45)</f>
        <v>826.45</v>
      </c>
      <c r="D59" s="6">
        <f>IFERROR(__xludf.DUMMYFUNCTION("""COMPUTED_VALUE"""),772.0)</f>
        <v>772</v>
      </c>
      <c r="E59" s="6">
        <f>IFERROR(__xludf.DUMMYFUNCTION("""COMPUTED_VALUE"""),780.95)</f>
        <v>780.95</v>
      </c>
      <c r="F59" s="6">
        <f>IFERROR(__xludf.DUMMYFUNCTION("""COMPUTED_VALUE"""),5.6195797E7)</f>
        <v>56195797</v>
      </c>
    </row>
    <row r="60">
      <c r="A60" s="7">
        <f>IFERROR(__xludf.DUMMYFUNCTION("""COMPUTED_VALUE"""),45604.64583333333)</f>
        <v>45604.64583</v>
      </c>
      <c r="B60" s="6">
        <f>IFERROR(__xludf.DUMMYFUNCTION("""COMPUTED_VALUE"""),822.7)</f>
        <v>822.7</v>
      </c>
      <c r="C60" s="6">
        <f>IFERROR(__xludf.DUMMYFUNCTION("""COMPUTED_VALUE"""),863.5)</f>
        <v>863.5</v>
      </c>
      <c r="D60" s="6">
        <f>IFERROR(__xludf.DUMMYFUNCTION("""COMPUTED_VALUE"""),807.1)</f>
        <v>807.1</v>
      </c>
      <c r="E60" s="6">
        <f>IFERROR(__xludf.DUMMYFUNCTION("""COMPUTED_VALUE"""),843.15)</f>
        <v>843.15</v>
      </c>
      <c r="F60" s="6">
        <f>IFERROR(__xludf.DUMMYFUNCTION("""COMPUTED_VALUE"""),9.7178107E7)</f>
        <v>97178107</v>
      </c>
    </row>
    <row r="61">
      <c r="A61" s="7">
        <f>IFERROR(__xludf.DUMMYFUNCTION("""COMPUTED_VALUE"""),45610.64583333333)</f>
        <v>45610.64583</v>
      </c>
      <c r="B61" s="6">
        <f>IFERROR(__xludf.DUMMYFUNCTION("""COMPUTED_VALUE"""),846.0)</f>
        <v>846</v>
      </c>
      <c r="C61" s="6">
        <f>IFERROR(__xludf.DUMMYFUNCTION("""COMPUTED_VALUE"""),854.0)</f>
        <v>854</v>
      </c>
      <c r="D61" s="6">
        <f>IFERROR(__xludf.DUMMYFUNCTION("""COMPUTED_VALUE"""),801.05)</f>
        <v>801.05</v>
      </c>
      <c r="E61" s="6">
        <f>IFERROR(__xludf.DUMMYFUNCTION("""COMPUTED_VALUE"""),804.25)</f>
        <v>804.25</v>
      </c>
      <c r="F61" s="6">
        <f>IFERROR(__xludf.DUMMYFUNCTION("""COMPUTED_VALUE"""),4.7190256E7)</f>
        <v>47190256</v>
      </c>
    </row>
    <row r="62">
      <c r="A62" s="7">
        <f>IFERROR(__xludf.DUMMYFUNCTION("""COMPUTED_VALUE"""),45618.64583333333)</f>
        <v>45618.64583</v>
      </c>
      <c r="B62" s="6">
        <f>IFERROR(__xludf.DUMMYFUNCTION("""COMPUTED_VALUE"""),811.0)</f>
        <v>811</v>
      </c>
      <c r="C62" s="6">
        <f>IFERROR(__xludf.DUMMYFUNCTION("""COMPUTED_VALUE"""),820.3)</f>
        <v>820.3</v>
      </c>
      <c r="D62" s="6">
        <f>IFERROR(__xludf.DUMMYFUNCTION("""COMPUTED_VALUE"""),761.55)</f>
        <v>761.55</v>
      </c>
      <c r="E62" s="6">
        <f>IFERROR(__xludf.DUMMYFUNCTION("""COMPUTED_VALUE"""),816.05)</f>
        <v>816.05</v>
      </c>
      <c r="F62" s="6">
        <f>IFERROR(__xludf.DUMMYFUNCTION("""COMPUTED_VALUE"""),7.3151462E7)</f>
        <v>73151462</v>
      </c>
    </row>
    <row r="63">
      <c r="A63" s="7">
        <f>IFERROR(__xludf.DUMMYFUNCTION("""COMPUTED_VALUE"""),45625.64583333333)</f>
        <v>45625.64583</v>
      </c>
      <c r="B63" s="6">
        <f>IFERROR(__xludf.DUMMYFUNCTION("""COMPUTED_VALUE"""),827.0)</f>
        <v>827</v>
      </c>
      <c r="C63" s="6">
        <f>IFERROR(__xludf.DUMMYFUNCTION("""COMPUTED_VALUE"""),849.6)</f>
        <v>849.6</v>
      </c>
      <c r="D63" s="6">
        <f>IFERROR(__xludf.DUMMYFUNCTION("""COMPUTED_VALUE"""),825.65)</f>
        <v>825.65</v>
      </c>
      <c r="E63" s="6">
        <f>IFERROR(__xludf.DUMMYFUNCTION("""COMPUTED_VALUE"""),838.95)</f>
        <v>838.95</v>
      </c>
      <c r="F63" s="6">
        <f>IFERROR(__xludf.DUMMYFUNCTION("""COMPUTED_VALUE"""),6.5032083E7)</f>
        <v>65032083</v>
      </c>
    </row>
    <row r="64">
      <c r="A64" s="7">
        <f>IFERROR(__xludf.DUMMYFUNCTION("""COMPUTED_VALUE"""),45632.64583333333)</f>
        <v>45632.64583</v>
      </c>
      <c r="B64" s="6">
        <f>IFERROR(__xludf.DUMMYFUNCTION("""COMPUTED_VALUE"""),838.95)</f>
        <v>838.95</v>
      </c>
      <c r="C64" s="6">
        <f>IFERROR(__xludf.DUMMYFUNCTION("""COMPUTED_VALUE"""),875.45)</f>
        <v>875.45</v>
      </c>
      <c r="D64" s="6">
        <f>IFERROR(__xludf.DUMMYFUNCTION("""COMPUTED_VALUE"""),832.7)</f>
        <v>832.7</v>
      </c>
      <c r="E64" s="6">
        <f>IFERROR(__xludf.DUMMYFUNCTION("""COMPUTED_VALUE"""),863.65)</f>
        <v>863.65</v>
      </c>
      <c r="F64" s="6">
        <f>IFERROR(__xludf.DUMMYFUNCTION("""COMPUTED_VALUE"""),5.8823621E7)</f>
        <v>58823621</v>
      </c>
    </row>
    <row r="65">
      <c r="A65" s="7">
        <f>IFERROR(__xludf.DUMMYFUNCTION("""COMPUTED_VALUE"""),45639.64583333333)</f>
        <v>45639.64583</v>
      </c>
      <c r="B65" s="6">
        <f>IFERROR(__xludf.DUMMYFUNCTION("""COMPUTED_VALUE"""),859.0)</f>
        <v>859</v>
      </c>
      <c r="C65" s="6">
        <f>IFERROR(__xludf.DUMMYFUNCTION("""COMPUTED_VALUE"""),869.85)</f>
        <v>869.85</v>
      </c>
      <c r="D65" s="6">
        <f>IFERROR(__xludf.DUMMYFUNCTION("""COMPUTED_VALUE"""),835.0)</f>
        <v>835</v>
      </c>
      <c r="E65" s="6">
        <f>IFERROR(__xludf.DUMMYFUNCTION("""COMPUTED_VALUE"""),861.55)</f>
        <v>861.55</v>
      </c>
      <c r="F65" s="6">
        <f>IFERROR(__xludf.DUMMYFUNCTION("""COMPUTED_VALUE"""),4.2241641E7)</f>
        <v>42241641</v>
      </c>
    </row>
    <row r="66">
      <c r="A66" s="7">
        <f>IFERROR(__xludf.DUMMYFUNCTION("""COMPUTED_VALUE"""),45646.64583333333)</f>
        <v>45646.64583</v>
      </c>
      <c r="B66" s="6">
        <f>IFERROR(__xludf.DUMMYFUNCTION("""COMPUTED_VALUE"""),859.8)</f>
        <v>859.8</v>
      </c>
      <c r="C66" s="6">
        <f>IFERROR(__xludf.DUMMYFUNCTION("""COMPUTED_VALUE"""),866.4)</f>
        <v>866.4</v>
      </c>
      <c r="D66" s="6">
        <f>IFERROR(__xludf.DUMMYFUNCTION("""COMPUTED_VALUE"""),810.0)</f>
        <v>810</v>
      </c>
      <c r="E66" s="6">
        <f>IFERROR(__xludf.DUMMYFUNCTION("""COMPUTED_VALUE"""),812.0)</f>
        <v>812</v>
      </c>
      <c r="F66" s="6">
        <f>IFERROR(__xludf.DUMMYFUNCTION("""COMPUTED_VALUE"""),4.3216863E7)</f>
        <v>43216863</v>
      </c>
    </row>
    <row r="67">
      <c r="A67" s="7">
        <f>IFERROR(__xludf.DUMMYFUNCTION("""COMPUTED_VALUE"""),45653.64583333333)</f>
        <v>45653.64583</v>
      </c>
      <c r="B67" s="6">
        <f>IFERROR(__xludf.DUMMYFUNCTION("""COMPUTED_VALUE"""),817.3)</f>
        <v>817.3</v>
      </c>
      <c r="C67" s="6">
        <f>IFERROR(__xludf.DUMMYFUNCTION("""COMPUTED_VALUE"""),826.2)</f>
        <v>826.2</v>
      </c>
      <c r="D67" s="6">
        <f>IFERROR(__xludf.DUMMYFUNCTION("""COMPUTED_VALUE"""),797.2)</f>
        <v>797.2</v>
      </c>
      <c r="E67" s="6">
        <f>IFERROR(__xludf.DUMMYFUNCTION("""COMPUTED_VALUE"""),799.65)</f>
        <v>799.65</v>
      </c>
      <c r="F67" s="6">
        <f>IFERROR(__xludf.DUMMYFUNCTION("""COMPUTED_VALUE"""),3.4504485E7)</f>
        <v>34504485</v>
      </c>
    </row>
    <row r="68">
      <c r="A68" s="7">
        <f>IFERROR(__xludf.DUMMYFUNCTION("""COMPUTED_VALUE"""),45660.64583333333)</f>
        <v>45660.64583</v>
      </c>
      <c r="B68" s="6">
        <f>IFERROR(__xludf.DUMMYFUNCTION("""COMPUTED_VALUE"""),802.0)</f>
        <v>802</v>
      </c>
      <c r="C68" s="6">
        <f>IFERROR(__xludf.DUMMYFUNCTION("""COMPUTED_VALUE"""),809.5)</f>
        <v>809.5</v>
      </c>
      <c r="D68" s="6">
        <f>IFERROR(__xludf.DUMMYFUNCTION("""COMPUTED_VALUE"""),785.0)</f>
        <v>785</v>
      </c>
      <c r="E68" s="6">
        <f>IFERROR(__xludf.DUMMYFUNCTION("""COMPUTED_VALUE"""),793.4)</f>
        <v>793.4</v>
      </c>
      <c r="F68" s="6">
        <f>IFERROR(__xludf.DUMMYFUNCTION("""COMPUTED_VALUE"""),6.2609413E7)</f>
        <v>62609413</v>
      </c>
    </row>
    <row r="69">
      <c r="A69" s="7">
        <f>IFERROR(__xludf.DUMMYFUNCTION("""COMPUTED_VALUE"""),45667.64583333333)</f>
        <v>45667.64583</v>
      </c>
      <c r="B69" s="6">
        <f>IFERROR(__xludf.DUMMYFUNCTION("""COMPUTED_VALUE"""),797.4)</f>
        <v>797.4</v>
      </c>
      <c r="C69" s="6">
        <f>IFERROR(__xludf.DUMMYFUNCTION("""COMPUTED_VALUE"""),797.6)</f>
        <v>797.6</v>
      </c>
      <c r="D69" s="6">
        <f>IFERROR(__xludf.DUMMYFUNCTION("""COMPUTED_VALUE"""),726.25)</f>
        <v>726.25</v>
      </c>
      <c r="E69" s="6">
        <f>IFERROR(__xludf.DUMMYFUNCTION("""COMPUTED_VALUE"""),743.25)</f>
        <v>743.25</v>
      </c>
      <c r="F69" s="6">
        <f>IFERROR(__xludf.DUMMYFUNCTION("""COMPUTED_VALUE"""),6.3860334E7)</f>
        <v>63860334</v>
      </c>
    </row>
    <row r="70">
      <c r="A70" s="7">
        <f>IFERROR(__xludf.DUMMYFUNCTION("""COMPUTED_VALUE"""),45674.64583333333)</f>
        <v>45674.64583</v>
      </c>
      <c r="B70" s="6">
        <f>IFERROR(__xludf.DUMMYFUNCTION("""COMPUTED_VALUE"""),741.5)</f>
        <v>741.5</v>
      </c>
      <c r="C70" s="6">
        <f>IFERROR(__xludf.DUMMYFUNCTION("""COMPUTED_VALUE"""),776.7)</f>
        <v>776.7</v>
      </c>
      <c r="D70" s="6">
        <f>IFERROR(__xludf.DUMMYFUNCTION("""COMPUTED_VALUE"""),722.5)</f>
        <v>722.5</v>
      </c>
      <c r="E70" s="6">
        <f>IFERROR(__xludf.DUMMYFUNCTION("""COMPUTED_VALUE"""),764.1)</f>
        <v>764.1</v>
      </c>
      <c r="F70" s="6">
        <f>IFERROR(__xludf.DUMMYFUNCTION("""COMPUTED_VALUE"""),4.7750659E7)</f>
        <v>47750659</v>
      </c>
    </row>
    <row r="71">
      <c r="A71" s="7">
        <f>IFERROR(__xludf.DUMMYFUNCTION("""COMPUTED_VALUE"""),45681.64583333333)</f>
        <v>45681.64583</v>
      </c>
      <c r="B71" s="6">
        <f>IFERROR(__xludf.DUMMYFUNCTION("""COMPUTED_VALUE"""),769.0)</f>
        <v>769</v>
      </c>
      <c r="C71" s="6">
        <f>IFERROR(__xludf.DUMMYFUNCTION("""COMPUTED_VALUE"""),785.0)</f>
        <v>785</v>
      </c>
      <c r="D71" s="6">
        <f>IFERROR(__xludf.DUMMYFUNCTION("""COMPUTED_VALUE"""),738.0)</f>
        <v>738</v>
      </c>
      <c r="E71" s="6">
        <f>IFERROR(__xludf.DUMMYFUNCTION("""COMPUTED_VALUE"""),744.15)</f>
        <v>744.15</v>
      </c>
      <c r="F71" s="6">
        <f>IFERROR(__xludf.DUMMYFUNCTION("""COMPUTED_VALUE"""),5.4424666E7)</f>
        <v>54424666</v>
      </c>
    </row>
    <row r="72">
      <c r="A72" s="7">
        <f>IFERROR(__xludf.DUMMYFUNCTION("""COMPUTED_VALUE"""),45695.64583333333)</f>
        <v>45695.64583</v>
      </c>
      <c r="B72" s="6">
        <f>IFERROR(__xludf.DUMMYFUNCTION("""COMPUTED_VALUE"""),762.8)</f>
        <v>762.8</v>
      </c>
      <c r="C72" s="6">
        <f>IFERROR(__xludf.DUMMYFUNCTION("""COMPUTED_VALUE"""),782.0)</f>
        <v>782</v>
      </c>
      <c r="D72" s="6">
        <f>IFERROR(__xludf.DUMMYFUNCTION("""COMPUTED_VALUE"""),731.75)</f>
        <v>731.75</v>
      </c>
      <c r="E72" s="6">
        <f>IFERROR(__xludf.DUMMYFUNCTION("""COMPUTED_VALUE"""),737.2)</f>
        <v>737.2</v>
      </c>
      <c r="F72" s="6">
        <f>IFERROR(__xludf.DUMMYFUNCTION("""COMPUTED_VALUE"""),1.03288242E8)</f>
        <v>103288242</v>
      </c>
    </row>
    <row r="73">
      <c r="A73" s="7">
        <f>IFERROR(__xludf.DUMMYFUNCTION("""COMPUTED_VALUE"""),45702.64583333333)</f>
        <v>45702.64583</v>
      </c>
      <c r="B73" s="6">
        <f>IFERROR(__xludf.DUMMYFUNCTION("""COMPUTED_VALUE"""),740.0)</f>
        <v>740</v>
      </c>
      <c r="C73" s="6">
        <f>IFERROR(__xludf.DUMMYFUNCTION("""COMPUTED_VALUE"""),743.9)</f>
        <v>743.9</v>
      </c>
      <c r="D73" s="6">
        <f>IFERROR(__xludf.DUMMYFUNCTION("""COMPUTED_VALUE"""),716.2)</f>
        <v>716.2</v>
      </c>
      <c r="E73" s="6">
        <f>IFERROR(__xludf.DUMMYFUNCTION("""COMPUTED_VALUE"""),722.15)</f>
        <v>722.15</v>
      </c>
      <c r="F73" s="6">
        <f>IFERROR(__xludf.DUMMYFUNCTION("""COMPUTED_VALUE"""),6.1169962E7)</f>
        <v>61169962</v>
      </c>
    </row>
    <row r="74">
      <c r="A74" s="7">
        <f>IFERROR(__xludf.DUMMYFUNCTION("""COMPUTED_VALUE"""),45709.64583333333)</f>
        <v>45709.64583</v>
      </c>
      <c r="B74" s="6">
        <f>IFERROR(__xludf.DUMMYFUNCTION("""COMPUTED_VALUE"""),719.05)</f>
        <v>719.05</v>
      </c>
      <c r="C74" s="6">
        <f>IFERROR(__xludf.DUMMYFUNCTION("""COMPUTED_VALUE"""),734.85)</f>
        <v>734.85</v>
      </c>
      <c r="D74" s="6">
        <f>IFERROR(__xludf.DUMMYFUNCTION("""COMPUTED_VALUE"""),711.55)</f>
        <v>711.55</v>
      </c>
      <c r="E74" s="6">
        <f>IFERROR(__xludf.DUMMYFUNCTION("""COMPUTED_VALUE"""),722.0)</f>
        <v>722</v>
      </c>
      <c r="F74" s="6">
        <f>IFERROR(__xludf.DUMMYFUNCTION("""COMPUTED_VALUE"""),3.8417079E7)</f>
        <v>38417079</v>
      </c>
    </row>
    <row r="75">
      <c r="A75" s="7">
        <f>IFERROR(__xludf.DUMMYFUNCTION("""COMPUTED_VALUE"""),45716.64583333333)</f>
        <v>45716.64583</v>
      </c>
      <c r="B75" s="6">
        <f>IFERROR(__xludf.DUMMYFUNCTION("""COMPUTED_VALUE"""),710.5)</f>
        <v>710.5</v>
      </c>
      <c r="C75" s="6">
        <f>IFERROR(__xludf.DUMMYFUNCTION("""COMPUTED_VALUE"""),719.75)</f>
        <v>719.75</v>
      </c>
      <c r="D75" s="6">
        <f>IFERROR(__xludf.DUMMYFUNCTION("""COMPUTED_VALUE"""),682.6)</f>
        <v>682.6</v>
      </c>
      <c r="E75" s="6">
        <f>IFERROR(__xludf.DUMMYFUNCTION("""COMPUTED_VALUE"""),688.8)</f>
        <v>688.8</v>
      </c>
      <c r="F75" s="6">
        <f>IFERROR(__xludf.DUMMYFUNCTION("""COMPUTED_VALUE"""),4.3325531E7)</f>
        <v>43325531</v>
      </c>
    </row>
    <row r="76">
      <c r="A76" s="7">
        <f>IFERROR(__xludf.DUMMYFUNCTION("""COMPUTED_VALUE"""),45723.64583333333)</f>
        <v>45723.64583</v>
      </c>
      <c r="B76" s="6">
        <f>IFERROR(__xludf.DUMMYFUNCTION("""COMPUTED_VALUE"""),690.15)</f>
        <v>690.15</v>
      </c>
      <c r="C76" s="6">
        <f>IFERROR(__xludf.DUMMYFUNCTION("""COMPUTED_VALUE"""),736.75)</f>
        <v>736.75</v>
      </c>
      <c r="D76" s="6">
        <f>IFERROR(__xludf.DUMMYFUNCTION("""COMPUTED_VALUE"""),680.0)</f>
        <v>680</v>
      </c>
      <c r="E76" s="6">
        <f>IFERROR(__xludf.DUMMYFUNCTION("""COMPUTED_VALUE"""),732.75)</f>
        <v>732.75</v>
      </c>
      <c r="F76" s="6">
        <f>IFERROR(__xludf.DUMMYFUNCTION("""COMPUTED_VALUE"""),5.3570074E7)</f>
        <v>53570074</v>
      </c>
    </row>
    <row r="77">
      <c r="A77" s="7">
        <f>IFERROR(__xludf.DUMMYFUNCTION("""COMPUTED_VALUE"""),45729.64583333333)</f>
        <v>45729.64583</v>
      </c>
      <c r="B77" s="6">
        <f>IFERROR(__xludf.DUMMYFUNCTION("""COMPUTED_VALUE"""),732.75)</f>
        <v>732.75</v>
      </c>
      <c r="C77" s="6">
        <f>IFERROR(__xludf.DUMMYFUNCTION("""COMPUTED_VALUE"""),738.5)</f>
        <v>738.5</v>
      </c>
      <c r="D77" s="6">
        <f>IFERROR(__xludf.DUMMYFUNCTION("""COMPUTED_VALUE"""),719.05)</f>
        <v>719.05</v>
      </c>
      <c r="E77" s="6">
        <f>IFERROR(__xludf.DUMMYFUNCTION("""COMPUTED_VALUE"""),727.85)</f>
        <v>727.85</v>
      </c>
      <c r="F77" s="6">
        <f>IFERROR(__xludf.DUMMYFUNCTION("""COMPUTED_VALUE"""),2.4394997E7)</f>
        <v>24394997</v>
      </c>
    </row>
    <row r="78">
      <c r="A78" s="7">
        <f>IFERROR(__xludf.DUMMYFUNCTION("""COMPUTED_VALUE"""),45737.64583333333)</f>
        <v>45737.64583</v>
      </c>
      <c r="B78" s="6">
        <f>IFERROR(__xludf.DUMMYFUNCTION("""COMPUTED_VALUE"""),728.9)</f>
        <v>728.9</v>
      </c>
      <c r="C78" s="6">
        <f>IFERROR(__xludf.DUMMYFUNCTION("""COMPUTED_VALUE"""),755.6)</f>
        <v>755.6</v>
      </c>
      <c r="D78" s="6">
        <f>IFERROR(__xludf.DUMMYFUNCTION("""COMPUTED_VALUE"""),722.3)</f>
        <v>722.3</v>
      </c>
      <c r="E78" s="6">
        <f>IFERROR(__xludf.DUMMYFUNCTION("""COMPUTED_VALUE"""),753.2)</f>
        <v>753.2</v>
      </c>
      <c r="F78" s="6">
        <f>IFERROR(__xludf.DUMMYFUNCTION("""COMPUTED_VALUE"""),3.7382649E7)</f>
        <v>37382649</v>
      </c>
    </row>
    <row r="79">
      <c r="A79" s="7">
        <f>IFERROR(__xludf.DUMMYFUNCTION("""COMPUTED_VALUE"""),45744.64583333333)</f>
        <v>45744.64583</v>
      </c>
      <c r="B79" s="6">
        <f>IFERROR(__xludf.DUMMYFUNCTION("""COMPUTED_VALUE"""),758.0)</f>
        <v>758</v>
      </c>
      <c r="C79" s="6">
        <f>IFERROR(__xludf.DUMMYFUNCTION("""COMPUTED_VALUE"""),786.0)</f>
        <v>786</v>
      </c>
      <c r="D79" s="6">
        <f>IFERROR(__xludf.DUMMYFUNCTION("""COMPUTED_VALUE"""),755.1)</f>
        <v>755.1</v>
      </c>
      <c r="E79" s="6">
        <f>IFERROR(__xludf.DUMMYFUNCTION("""COMPUTED_VALUE"""),771.5)</f>
        <v>771.5</v>
      </c>
      <c r="F79" s="6">
        <f>IFERROR(__xludf.DUMMYFUNCTION("""COMPUTED_VALUE"""),5.827386E7)</f>
        <v>58273860</v>
      </c>
    </row>
    <row r="80">
      <c r="A80" s="7">
        <f>IFERROR(__xludf.DUMMYFUNCTION("""COMPUTED_VALUE"""),45751.64583333333)</f>
        <v>45751.64583</v>
      </c>
      <c r="B80" s="6">
        <f>IFERROR(__xludf.DUMMYFUNCTION("""COMPUTED_VALUE"""),766.8)</f>
        <v>766.8</v>
      </c>
      <c r="C80" s="6">
        <f>IFERROR(__xludf.DUMMYFUNCTION("""COMPUTED_VALUE"""),784.7)</f>
        <v>784.7</v>
      </c>
      <c r="D80" s="6">
        <f>IFERROR(__xludf.DUMMYFUNCTION("""COMPUTED_VALUE"""),763.2)</f>
        <v>763.2</v>
      </c>
      <c r="E80" s="6">
        <f>IFERROR(__xludf.DUMMYFUNCTION("""COMPUTED_VALUE"""),767.45)</f>
        <v>767.45</v>
      </c>
      <c r="F80" s="6">
        <f>IFERROR(__xludf.DUMMYFUNCTION("""COMPUTED_VALUE"""),2.8657435E7)</f>
        <v>28657435</v>
      </c>
    </row>
    <row r="81">
      <c r="A81" s="7">
        <f>IFERROR(__xludf.DUMMYFUNCTION("""COMPUTED_VALUE"""),45758.64583333333)</f>
        <v>45758.64583</v>
      </c>
      <c r="B81" s="6">
        <f>IFERROR(__xludf.DUMMYFUNCTION("""COMPUTED_VALUE"""),730.0)</f>
        <v>730</v>
      </c>
      <c r="C81" s="6">
        <f>IFERROR(__xludf.DUMMYFUNCTION("""COMPUTED_VALUE"""),774.0)</f>
        <v>774</v>
      </c>
      <c r="D81" s="6">
        <f>IFERROR(__xludf.DUMMYFUNCTION("""COMPUTED_VALUE"""),730.0)</f>
        <v>730</v>
      </c>
      <c r="E81" s="6">
        <f>IFERROR(__xludf.DUMMYFUNCTION("""COMPUTED_VALUE"""),753.85)</f>
        <v>753.85</v>
      </c>
      <c r="F81" s="6">
        <f>IFERROR(__xludf.DUMMYFUNCTION("""COMPUTED_VALUE"""),4.8514237E7)</f>
        <v>48514237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IFERROR(__xludf.DUMMYFUNCTION("""COMPUTED_VALUE"""),770.0)</f>
        <v>770</v>
      </c>
      <c r="C82" s="6">
        <f>IFERROR(__xludf.DUMMYFUNCTION("""COMPUTED_VALUE"""),801.0)</f>
        <v>801</v>
      </c>
      <c r="D82" s="6">
        <f>IFERROR(__xludf.DUMMYFUNCTION("""COMPUTED_VALUE"""),757.1)</f>
        <v>757.1</v>
      </c>
      <c r="E82" s="6">
        <f>IFERROR(__xludf.DUMMYFUNCTION("""COMPUTED_VALUE"""),797.45)</f>
        <v>797.45</v>
      </c>
      <c r="F82" s="6">
        <f>IFERROR(__xludf.DUMMYFUNCTION("""COMPUTED_VALUE"""),4.7430602E7)</f>
        <v>47430602</v>
      </c>
    </row>
    <row r="83">
      <c r="A83" s="7">
        <f>IFERROR(__xludf.DUMMYFUNCTION("""COMPUTED_VALUE"""),45772.64583333333)</f>
        <v>45772.64583</v>
      </c>
      <c r="B83" s="6">
        <f>IFERROR(__xludf.DUMMYFUNCTION("""COMPUTED_VALUE"""),803.0)</f>
        <v>803</v>
      </c>
      <c r="C83" s="6">
        <f>IFERROR(__xludf.DUMMYFUNCTION("""COMPUTED_VALUE"""),835.5)</f>
        <v>835.5</v>
      </c>
      <c r="D83" s="6">
        <f>IFERROR(__xludf.DUMMYFUNCTION("""COMPUTED_VALUE"""),787.0)</f>
        <v>787</v>
      </c>
      <c r="E83" s="6">
        <f>IFERROR(__xludf.DUMMYFUNCTION("""COMPUTED_VALUE"""),798.65)</f>
        <v>798.65</v>
      </c>
      <c r="F83" s="6">
        <f>IFERROR(__xludf.DUMMYFUNCTION("""COMPUTED_VALUE"""),7.9465005E7)</f>
        <v>79465005</v>
      </c>
    </row>
    <row r="84">
      <c r="A84" s="7">
        <f>IFERROR(__xludf.DUMMYFUNCTION("""COMPUTED_VALUE"""),45779.64583333333)</f>
        <v>45779.64583</v>
      </c>
      <c r="B84" s="6">
        <f>IFERROR(__xludf.DUMMYFUNCTION("""COMPUTED_VALUE"""),798.65)</f>
        <v>798.65</v>
      </c>
      <c r="C84" s="6">
        <f>IFERROR(__xludf.DUMMYFUNCTION("""COMPUTED_VALUE"""),829.0)</f>
        <v>829</v>
      </c>
      <c r="D84" s="6">
        <f>IFERROR(__xludf.DUMMYFUNCTION("""COMPUTED_VALUE"""),784.5)</f>
        <v>784.5</v>
      </c>
      <c r="E84" s="6">
        <f>IFERROR(__xludf.DUMMYFUNCTION("""COMPUTED_VALUE"""),800.0)</f>
        <v>800</v>
      </c>
      <c r="F84" s="6">
        <f>IFERROR(__xludf.DUMMYFUNCTION("""COMPUTED_VALUE"""),6.2956618E7)</f>
        <v>62956618</v>
      </c>
    </row>
    <row r="85">
      <c r="A85" s="7">
        <f>IFERROR(__xludf.DUMMYFUNCTION("""COMPUTED_VALUE"""),45786.64583333333)</f>
        <v>45786.64583</v>
      </c>
      <c r="B85" s="6">
        <f>IFERROR(__xludf.DUMMYFUNCTION("""COMPUTED_VALUE"""),782.0)</f>
        <v>782</v>
      </c>
      <c r="C85" s="6">
        <f>IFERROR(__xludf.DUMMYFUNCTION("""COMPUTED_VALUE"""),799.15)</f>
        <v>799.15</v>
      </c>
      <c r="D85" s="6">
        <f>IFERROR(__xludf.DUMMYFUNCTION("""COMPUTED_VALUE"""),755.5)</f>
        <v>755.5</v>
      </c>
      <c r="E85" s="6">
        <f>IFERROR(__xludf.DUMMYFUNCTION("""COMPUTED_VALUE"""),779.25)</f>
        <v>779.25</v>
      </c>
      <c r="F85" s="6">
        <f>IFERROR(__xludf.DUMMYFUNCTION("""COMPUTED_VALUE"""),8.651207E7)</f>
        <v>86512070</v>
      </c>
    </row>
    <row r="86">
      <c r="A86" s="7">
        <f>IFERROR(__xludf.DUMMYFUNCTION("""COMPUTED_VALUE"""),45793.64583333333)</f>
        <v>45793.64583</v>
      </c>
      <c r="B86" s="6">
        <f>IFERROR(__xludf.DUMMYFUNCTION("""COMPUTED_VALUE"""),799.0)</f>
        <v>799</v>
      </c>
      <c r="C86" s="6">
        <f>IFERROR(__xludf.DUMMYFUNCTION("""COMPUTED_VALUE"""),809.45)</f>
        <v>809.45</v>
      </c>
      <c r="D86" s="6">
        <f>IFERROR(__xludf.DUMMYFUNCTION("""COMPUTED_VALUE"""),791.0)</f>
        <v>791</v>
      </c>
      <c r="E86" s="6">
        <f>IFERROR(__xludf.DUMMYFUNCTION("""COMPUTED_VALUE"""),792.1)</f>
        <v>792.1</v>
      </c>
      <c r="F86" s="6">
        <f>IFERROR(__xludf.DUMMYFUNCTION("""COMPUTED_VALUE"""),7.0080917E7)</f>
        <v>70080917</v>
      </c>
    </row>
    <row r="87">
      <c r="A87" s="7">
        <f>IFERROR(__xludf.DUMMYFUNCTION("""COMPUTED_VALUE"""),45800.64583333333)</f>
        <v>45800.64583</v>
      </c>
      <c r="B87" s="6">
        <f>IFERROR(__xludf.DUMMYFUNCTION("""COMPUTED_VALUE"""),792.1)</f>
        <v>792.1</v>
      </c>
      <c r="C87" s="6">
        <f>IFERROR(__xludf.DUMMYFUNCTION("""COMPUTED_VALUE"""),801.4)</f>
        <v>801.4</v>
      </c>
      <c r="D87" s="6">
        <f>IFERROR(__xludf.DUMMYFUNCTION("""COMPUTED_VALUE"""),779.1)</f>
        <v>779.1</v>
      </c>
      <c r="E87" s="6">
        <f>IFERROR(__xludf.DUMMYFUNCTION("""COMPUTED_VALUE"""),790.5)</f>
        <v>790.5</v>
      </c>
      <c r="F87" s="6">
        <f>IFERROR(__xludf.DUMMYFUNCTION("""COMPUTED_VALUE"""),4.3086875E7)</f>
        <v>43086875</v>
      </c>
    </row>
    <row r="88">
      <c r="A88" s="7">
        <f>IFERROR(__xludf.DUMMYFUNCTION("""COMPUTED_VALUE"""),45807.64583333333)</f>
        <v>45807.64583</v>
      </c>
      <c r="B88" s="6">
        <f>IFERROR(__xludf.DUMMYFUNCTION("""COMPUTED_VALUE"""),792.0)</f>
        <v>792</v>
      </c>
      <c r="C88" s="6">
        <f>IFERROR(__xludf.DUMMYFUNCTION("""COMPUTED_VALUE"""),814.5)</f>
        <v>814.5</v>
      </c>
      <c r="D88" s="6">
        <f>IFERROR(__xludf.DUMMYFUNCTION("""COMPUTED_VALUE"""),789.2)</f>
        <v>789.2</v>
      </c>
      <c r="E88" s="6">
        <f>IFERROR(__xludf.DUMMYFUNCTION("""COMPUTED_VALUE"""),812.3)</f>
        <v>812.3</v>
      </c>
      <c r="F88" s="6">
        <f>IFERROR(__xludf.DUMMYFUNCTION("""COMPUTED_VALUE"""),5.9905469E7)</f>
        <v>59905469</v>
      </c>
    </row>
    <row r="89">
      <c r="A89" s="7">
        <f>IFERROR(__xludf.DUMMYFUNCTION("""COMPUTED_VALUE"""),45814.64583333333)</f>
        <v>45814.64583</v>
      </c>
      <c r="B89" s="6">
        <f>IFERROR(__xludf.DUMMYFUNCTION("""COMPUTED_VALUE"""),812.85)</f>
        <v>812.85</v>
      </c>
      <c r="C89" s="6">
        <f>IFERROR(__xludf.DUMMYFUNCTION("""COMPUTED_VALUE"""),822.55)</f>
        <v>822.55</v>
      </c>
      <c r="D89" s="6">
        <f>IFERROR(__xludf.DUMMYFUNCTION("""COMPUTED_VALUE"""),802.85)</f>
        <v>802.85</v>
      </c>
      <c r="E89" s="6">
        <f>IFERROR(__xludf.DUMMYFUNCTION("""COMPUTED_VALUE"""),813.05)</f>
        <v>813.05</v>
      </c>
      <c r="F89" s="6">
        <f>IFERROR(__xludf.DUMMYFUNCTION("""COMPUTED_VALUE"""),8.1506541E7)</f>
        <v>81506541</v>
      </c>
    </row>
    <row r="90">
      <c r="A90" s="7">
        <f>IFERROR(__xludf.DUMMYFUNCTION("""COMPUTED_VALUE"""),45821.64583333333)</f>
        <v>45821.64583</v>
      </c>
      <c r="B90" s="6">
        <f>IFERROR(__xludf.DUMMYFUNCTION("""COMPUTED_VALUE"""),817.4)</f>
        <v>817.4</v>
      </c>
      <c r="C90" s="6">
        <f>IFERROR(__xludf.DUMMYFUNCTION("""COMPUTED_VALUE"""),824.5)</f>
        <v>824.5</v>
      </c>
      <c r="D90" s="6">
        <f>IFERROR(__xludf.DUMMYFUNCTION("""COMPUTED_VALUE"""),786.25)</f>
        <v>786.25</v>
      </c>
      <c r="E90" s="6">
        <f>IFERROR(__xludf.DUMMYFUNCTION("""COMPUTED_VALUE"""),792.35)</f>
        <v>792.35</v>
      </c>
      <c r="F90" s="6">
        <f>IFERROR(__xludf.DUMMYFUNCTION("""COMPUTED_VALUE"""),5.1377016E7)</f>
        <v>51377016</v>
      </c>
    </row>
    <row r="91">
      <c r="A91" s="7">
        <f>IFERROR(__xludf.DUMMYFUNCTION("""COMPUTED_VALUE"""),45828.64583333333)</f>
        <v>45828.64583</v>
      </c>
      <c r="B91" s="6">
        <f>IFERROR(__xludf.DUMMYFUNCTION("""COMPUTED_VALUE"""),792.5)</f>
        <v>792.5</v>
      </c>
      <c r="C91" s="6">
        <f>IFERROR(__xludf.DUMMYFUNCTION("""COMPUTED_VALUE"""),799.45)</f>
        <v>799.45</v>
      </c>
      <c r="D91" s="6">
        <f>IFERROR(__xludf.DUMMYFUNCTION("""COMPUTED_VALUE"""),781.7)</f>
        <v>781.7</v>
      </c>
      <c r="E91" s="6">
        <f>IFERROR(__xludf.DUMMYFUNCTION("""COMPUTED_VALUE"""),796.15)</f>
        <v>796.15</v>
      </c>
      <c r="F91" s="6">
        <f>IFERROR(__xludf.DUMMYFUNCTION("""COMPUTED_VALUE"""),4.4740328E7)</f>
        <v>44740328</v>
      </c>
    </row>
    <row r="92">
      <c r="A92" s="7">
        <f>IFERROR(__xludf.DUMMYFUNCTION("""COMPUTED_VALUE"""),45835.64583333333)</f>
        <v>45835.64583</v>
      </c>
      <c r="B92" s="6">
        <f>IFERROR(__xludf.DUMMYFUNCTION("""COMPUTED_VALUE"""),790.0)</f>
        <v>790</v>
      </c>
      <c r="C92" s="6">
        <f>IFERROR(__xludf.DUMMYFUNCTION("""COMPUTED_VALUE"""),809.45)</f>
        <v>809.45</v>
      </c>
      <c r="D92" s="6">
        <f>IFERROR(__xludf.DUMMYFUNCTION("""COMPUTED_VALUE"""),788.5)</f>
        <v>788.5</v>
      </c>
      <c r="E92" s="6">
        <f>IFERROR(__xludf.DUMMYFUNCTION("""COMPUTED_VALUE"""),805.4)</f>
        <v>805.4</v>
      </c>
      <c r="F92" s="6">
        <f>IFERROR(__xludf.DUMMYFUNCTION("""COMPUTED_VALUE"""),6.7560159E7)</f>
        <v>67560159</v>
      </c>
    </row>
    <row r="93">
      <c r="A93" s="7">
        <f>IFERROR(__xludf.DUMMYFUNCTION("""COMPUTED_VALUE"""),45842.64583333333)</f>
        <v>45842.64583</v>
      </c>
      <c r="B93" s="6">
        <f>IFERROR(__xludf.DUMMYFUNCTION("""COMPUTED_VALUE"""),809.0)</f>
        <v>809</v>
      </c>
      <c r="C93" s="6">
        <f>IFERROR(__xludf.DUMMYFUNCTION("""COMPUTED_VALUE"""),824.9)</f>
        <v>824.9</v>
      </c>
      <c r="D93" s="6">
        <f>IFERROR(__xludf.DUMMYFUNCTION("""COMPUTED_VALUE"""),804.1)</f>
        <v>804.1</v>
      </c>
      <c r="E93" s="6">
        <f>IFERROR(__xludf.DUMMYFUNCTION("""COMPUTED_VALUE"""),811.85)</f>
        <v>811.85</v>
      </c>
      <c r="F93" s="6">
        <f>IFERROR(__xludf.DUMMYFUNCTION("""COMPUTED_VALUE"""),4.9110153E7)</f>
        <v>49110153</v>
      </c>
    </row>
    <row r="94">
      <c r="A94" s="7">
        <f>IFERROR(__xludf.DUMMYFUNCTION("""COMPUTED_VALUE"""),45849.64583333333)</f>
        <v>45849.64583</v>
      </c>
      <c r="B94" s="6">
        <f>IFERROR(__xludf.DUMMYFUNCTION("""COMPUTED_VALUE"""),811.2)</f>
        <v>811.2</v>
      </c>
      <c r="C94" s="6">
        <f>IFERROR(__xludf.DUMMYFUNCTION("""COMPUTED_VALUE"""),815.5)</f>
        <v>815.5</v>
      </c>
      <c r="D94" s="6">
        <f>IFERROR(__xludf.DUMMYFUNCTION("""COMPUTED_VALUE"""),804.55)</f>
        <v>804.55</v>
      </c>
      <c r="E94" s="6">
        <f>IFERROR(__xludf.DUMMYFUNCTION("""COMPUTED_VALUE"""),808.65)</f>
        <v>808.65</v>
      </c>
      <c r="F94" s="6">
        <f>IFERROR(__xludf.DUMMYFUNCTION("""COMPUTED_VALUE"""),3.2877174E7)</f>
        <v>32877174</v>
      </c>
    </row>
    <row r="95">
      <c r="A95" s="7">
        <f>IFERROR(__xludf.DUMMYFUNCTION("""COMPUTED_VALUE"""),45856.64583333333)</f>
        <v>45856.64583</v>
      </c>
      <c r="B95" s="6">
        <f>IFERROR(__xludf.DUMMYFUNCTION("""COMPUTED_VALUE"""),809.8)</f>
        <v>809.8</v>
      </c>
      <c r="C95" s="6">
        <f>IFERROR(__xludf.DUMMYFUNCTION("""COMPUTED_VALUE"""),842.5)</f>
        <v>842.5</v>
      </c>
      <c r="D95" s="6">
        <f>IFERROR(__xludf.DUMMYFUNCTION("""COMPUTED_VALUE"""),808.0)</f>
        <v>808</v>
      </c>
      <c r="E95" s="6">
        <f>IFERROR(__xludf.DUMMYFUNCTION("""COMPUTED_VALUE"""),823.35)</f>
        <v>823.35</v>
      </c>
      <c r="F95" s="6">
        <f>IFERROR(__xludf.DUMMYFUNCTION("""COMPUTED_VALUE"""),7.1156719E7)</f>
        <v>71156719</v>
      </c>
    </row>
    <row r="96">
      <c r="A96" s="7">
        <f>IFERROR(__xludf.DUMMYFUNCTION("""COMPUTED_VALUE"""),45863.64583333333)</f>
        <v>45863.64583</v>
      </c>
      <c r="B96" s="6">
        <f>IFERROR(__xludf.DUMMYFUNCTION("""COMPUTED_VALUE"""),823.0)</f>
        <v>823</v>
      </c>
      <c r="C96" s="6">
        <f>IFERROR(__xludf.DUMMYFUNCTION("""COMPUTED_VALUE"""),828.05)</f>
        <v>828.05</v>
      </c>
      <c r="D96" s="6">
        <f>IFERROR(__xludf.DUMMYFUNCTION("""COMPUTED_VALUE"""),805.5)</f>
        <v>805.5</v>
      </c>
      <c r="E96" s="6">
        <f>IFERROR(__xludf.DUMMYFUNCTION("""COMPUTED_VALUE"""),806.55)</f>
        <v>806.55</v>
      </c>
      <c r="F96" s="6">
        <f>IFERROR(__xludf.DUMMYFUNCTION("""COMPUTED_VALUE"""),4.9026895E7)</f>
        <v>49026895</v>
      </c>
    </row>
    <row r="97">
      <c r="A97" s="7">
        <f>IFERROR(__xludf.DUMMYFUNCTION("""COMPUTED_VALUE"""),45870.64583333333)</f>
        <v>45870.64583</v>
      </c>
      <c r="B97" s="6">
        <f>IFERROR(__xludf.DUMMYFUNCTION("""COMPUTED_VALUE"""),806.55)</f>
        <v>806.55</v>
      </c>
      <c r="C97" s="6">
        <f>IFERROR(__xludf.DUMMYFUNCTION("""COMPUTED_VALUE"""),808.95)</f>
        <v>808.95</v>
      </c>
      <c r="D97" s="6">
        <f>IFERROR(__xludf.DUMMYFUNCTION("""COMPUTED_VALUE"""),792.0)</f>
        <v>792</v>
      </c>
      <c r="E97" s="6">
        <f>IFERROR(__xludf.DUMMYFUNCTION("""COMPUTED_VALUE"""),794.0)</f>
        <v>794</v>
      </c>
      <c r="F97" s="6">
        <f>IFERROR(__xludf.DUMMYFUNCTION("""COMPUTED_VALUE"""),5.1139143E7)</f>
        <v>51139143</v>
      </c>
    </row>
    <row r="98">
      <c r="A98" s="7">
        <f>IFERROR(__xludf.DUMMYFUNCTION("""COMPUTED_VALUE"""),45877.64583333333)</f>
        <v>45877.64583</v>
      </c>
      <c r="B98" s="6">
        <f>IFERROR(__xludf.DUMMYFUNCTION("""COMPUTED_VALUE"""),794.5)</f>
        <v>794.5</v>
      </c>
      <c r="C98" s="6">
        <f>IFERROR(__xludf.DUMMYFUNCTION("""COMPUTED_VALUE"""),810.2)</f>
        <v>810.2</v>
      </c>
      <c r="D98" s="6">
        <f>IFERROR(__xludf.DUMMYFUNCTION("""COMPUTED_VALUE"""),786.55)</f>
        <v>786.55</v>
      </c>
      <c r="E98" s="6">
        <f>IFERROR(__xludf.DUMMYFUNCTION("""COMPUTED_VALUE"""),804.3)</f>
        <v>804.3</v>
      </c>
      <c r="F98" s="6">
        <f>IFERROR(__xludf.DUMMYFUNCTION("""COMPUTED_VALUE"""),4.641123E7)</f>
        <v>46411230</v>
      </c>
    </row>
    <row r="99">
      <c r="A99" s="7">
        <f>IFERROR(__xludf.DUMMYFUNCTION("""COMPUTED_VALUE"""),45883.64583333333)</f>
        <v>45883.64583</v>
      </c>
      <c r="B99" s="6">
        <f>IFERROR(__xludf.DUMMYFUNCTION("""COMPUTED_VALUE"""),808.0)</f>
        <v>808</v>
      </c>
      <c r="C99" s="6">
        <f>IFERROR(__xludf.DUMMYFUNCTION("""COMPUTED_VALUE"""),828.0)</f>
        <v>828</v>
      </c>
      <c r="D99" s="6">
        <f>IFERROR(__xludf.DUMMYFUNCTION("""COMPUTED_VALUE"""),808.0)</f>
        <v>808</v>
      </c>
      <c r="E99" s="6">
        <f>IFERROR(__xludf.DUMMYFUNCTION("""COMPUTED_VALUE"""),826.55)</f>
        <v>826.55</v>
      </c>
      <c r="F99" s="6">
        <f>IFERROR(__xludf.DUMMYFUNCTION("""COMPUTED_VALUE"""),3.4758106E7)</f>
        <v>34758106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IFERROR(__xludf.DUMMYFUNCTION("""COMPUTED_VALUE"""),836.0)</f>
        <v>836</v>
      </c>
      <c r="C100" s="6">
        <f>IFERROR(__xludf.DUMMYFUNCTION("""COMPUTED_VALUE"""),838.0)</f>
        <v>838</v>
      </c>
      <c r="D100" s="6">
        <f>IFERROR(__xludf.DUMMYFUNCTION("""COMPUTED_VALUE"""),815.7)</f>
        <v>815.7</v>
      </c>
      <c r="E100" s="6">
        <f>IFERROR(__xludf.DUMMYFUNCTION("""COMPUTED_VALUE"""),816.25)</f>
        <v>816.25</v>
      </c>
      <c r="F100" s="6">
        <f>IFERROR(__xludf.DUMMYFUNCTION("""COMPUTED_VALUE"""),2.5208851E7)</f>
        <v>25208851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IFERROR(__xludf.DUMMYFUNCTION("""COMPUTED_VALUE"""),817.45)</f>
        <v>817.45</v>
      </c>
      <c r="C101" s="6">
        <f>IFERROR(__xludf.DUMMYFUNCTION("""COMPUTED_VALUE"""),820.5)</f>
        <v>820.5</v>
      </c>
      <c r="D101" s="6">
        <f>IFERROR(__xludf.DUMMYFUNCTION("""COMPUTED_VALUE"""),806.75)</f>
        <v>806.75</v>
      </c>
      <c r="E101" s="6">
        <f>IFERROR(__xludf.DUMMYFUNCTION("""COMPUTED_VALUE"""),807.85)</f>
        <v>807.85</v>
      </c>
      <c r="F101" s="6">
        <f>IFERROR(__xludf.DUMMYFUNCTION("""COMPUTED_VALUE"""),9.6063367E7)</f>
        <v>96063367</v>
      </c>
    </row>
  </sheetData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IFERROR(__xludf.DUMMYFUNCTION("GOOGLEFINANCE(""NSE:SHREECEM"",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IFERROR(__xludf.DUMMYFUNCTION("""COMPUTED_VALUE"""),23949.0)</f>
        <v>23949</v>
      </c>
      <c r="C2" s="6">
        <f>IFERROR(__xludf.DUMMYFUNCTION("""COMPUTED_VALUE"""),24325.0)</f>
        <v>24325</v>
      </c>
      <c r="D2" s="6">
        <f>IFERROR(__xludf.DUMMYFUNCTION("""COMPUTED_VALUE"""),23752.4)</f>
        <v>23752.4</v>
      </c>
      <c r="E2" s="6">
        <f>IFERROR(__xludf.DUMMYFUNCTION("""COMPUTED_VALUE"""),24139.35)</f>
        <v>24139.35</v>
      </c>
      <c r="F2" s="6">
        <f>IFERROR(__xludf.DUMMYFUNCTION("""COMPUTED_VALUE"""),135639.0)</f>
        <v>135639</v>
      </c>
    </row>
    <row r="3">
      <c r="A3" s="7">
        <f>IFERROR(__xludf.DUMMYFUNCTION("""COMPUTED_VALUE"""),45177.64583333333)</f>
        <v>45177.64583</v>
      </c>
      <c r="B3" s="6">
        <f>IFERROR(__xludf.DUMMYFUNCTION("""COMPUTED_VALUE"""),24590.0)</f>
        <v>24590</v>
      </c>
      <c r="C3" s="6">
        <f>IFERROR(__xludf.DUMMYFUNCTION("""COMPUTED_VALUE"""),26049.2)</f>
        <v>26049.2</v>
      </c>
      <c r="D3" s="6">
        <f>IFERROR(__xludf.DUMMYFUNCTION("""COMPUTED_VALUE"""),24449.0)</f>
        <v>24449</v>
      </c>
      <c r="E3" s="6">
        <f>IFERROR(__xludf.DUMMYFUNCTION("""COMPUTED_VALUE"""),25973.1)</f>
        <v>25973.1</v>
      </c>
      <c r="F3" s="6">
        <f>IFERROR(__xludf.DUMMYFUNCTION("""COMPUTED_VALUE"""),251212.0)</f>
        <v>251212</v>
      </c>
    </row>
    <row r="4">
      <c r="A4" s="7">
        <f>IFERROR(__xludf.DUMMYFUNCTION("""COMPUTED_VALUE"""),45184.64583333333)</f>
        <v>45184.64583</v>
      </c>
      <c r="B4" s="6">
        <f>IFERROR(__xludf.DUMMYFUNCTION("""COMPUTED_VALUE"""),25970.0)</f>
        <v>25970</v>
      </c>
      <c r="C4" s="6">
        <f>IFERROR(__xludf.DUMMYFUNCTION("""COMPUTED_VALUE"""),27117.95)</f>
        <v>27117.95</v>
      </c>
      <c r="D4" s="6">
        <f>IFERROR(__xludf.DUMMYFUNCTION("""COMPUTED_VALUE"""),25505.65)</f>
        <v>25505.65</v>
      </c>
      <c r="E4" s="6">
        <f>IFERROR(__xludf.DUMMYFUNCTION("""COMPUTED_VALUE"""),26794.25)</f>
        <v>26794.25</v>
      </c>
      <c r="F4" s="6">
        <f>IFERROR(__xludf.DUMMYFUNCTION("""COMPUTED_VALUE"""),254549.0)</f>
        <v>254549</v>
      </c>
    </row>
    <row r="5">
      <c r="A5" s="7">
        <f>IFERROR(__xludf.DUMMYFUNCTION("""COMPUTED_VALUE"""),45191.64583333333)</f>
        <v>45191.64583</v>
      </c>
      <c r="B5" s="6">
        <f>IFERROR(__xludf.DUMMYFUNCTION("""COMPUTED_VALUE"""),26675.35)</f>
        <v>26675.35</v>
      </c>
      <c r="C5" s="6">
        <f>IFERROR(__xludf.DUMMYFUNCTION("""COMPUTED_VALUE"""),26822.6)</f>
        <v>26822.6</v>
      </c>
      <c r="D5" s="6">
        <f>IFERROR(__xludf.DUMMYFUNCTION("""COMPUTED_VALUE"""),25820.0)</f>
        <v>25820</v>
      </c>
      <c r="E5" s="6">
        <f>IFERROR(__xludf.DUMMYFUNCTION("""COMPUTED_VALUE"""),25939.7)</f>
        <v>25939.7</v>
      </c>
      <c r="F5" s="6">
        <f>IFERROR(__xludf.DUMMYFUNCTION("""COMPUTED_VALUE"""),128844.0)</f>
        <v>128844</v>
      </c>
    </row>
    <row r="6">
      <c r="A6" s="7">
        <f>IFERROR(__xludf.DUMMYFUNCTION("""COMPUTED_VALUE"""),45198.64583333333)</f>
        <v>45198.64583</v>
      </c>
      <c r="B6" s="6">
        <f>IFERROR(__xludf.DUMMYFUNCTION("""COMPUTED_VALUE"""),25939.7)</f>
        <v>25939.7</v>
      </c>
      <c r="C6" s="6">
        <f>IFERROR(__xludf.DUMMYFUNCTION("""COMPUTED_VALUE"""),26543.0)</f>
        <v>26543</v>
      </c>
      <c r="D6" s="6">
        <f>IFERROR(__xludf.DUMMYFUNCTION("""COMPUTED_VALUE"""),25342.55)</f>
        <v>25342.55</v>
      </c>
      <c r="E6" s="6">
        <f>IFERROR(__xludf.DUMMYFUNCTION("""COMPUTED_VALUE"""),25465.0)</f>
        <v>25465</v>
      </c>
      <c r="F6" s="6">
        <f>IFERROR(__xludf.DUMMYFUNCTION("""COMPUTED_VALUE"""),127273.0)</f>
        <v>127273</v>
      </c>
    </row>
    <row r="7">
      <c r="A7" s="7">
        <f>IFERROR(__xludf.DUMMYFUNCTION("""COMPUTED_VALUE"""),45205.64583333333)</f>
        <v>45205.64583</v>
      </c>
      <c r="B7" s="6">
        <f>IFERROR(__xludf.DUMMYFUNCTION("""COMPUTED_VALUE"""),25499.9)</f>
        <v>25499.9</v>
      </c>
      <c r="C7" s="6">
        <f>IFERROR(__xludf.DUMMYFUNCTION("""COMPUTED_VALUE"""),25940.0)</f>
        <v>25940</v>
      </c>
      <c r="D7" s="6">
        <f>IFERROR(__xludf.DUMMYFUNCTION("""COMPUTED_VALUE"""),25309.1)</f>
        <v>25309.1</v>
      </c>
      <c r="E7" s="6">
        <f>IFERROR(__xludf.DUMMYFUNCTION("""COMPUTED_VALUE"""),25787.25)</f>
        <v>25787.25</v>
      </c>
      <c r="F7" s="6">
        <f>IFERROR(__xludf.DUMMYFUNCTION("""COMPUTED_VALUE"""),67045.0)</f>
        <v>67045</v>
      </c>
    </row>
    <row r="8">
      <c r="A8" s="7">
        <f>IFERROR(__xludf.DUMMYFUNCTION("""COMPUTED_VALUE"""),45212.64583333333)</f>
        <v>45212.64583</v>
      </c>
      <c r="B8" s="6">
        <f>IFERROR(__xludf.DUMMYFUNCTION("""COMPUTED_VALUE"""),25649.05)</f>
        <v>25649.05</v>
      </c>
      <c r="C8" s="6">
        <f>IFERROR(__xludf.DUMMYFUNCTION("""COMPUTED_VALUE"""),26920.0)</f>
        <v>26920</v>
      </c>
      <c r="D8" s="6">
        <f>IFERROR(__xludf.DUMMYFUNCTION("""COMPUTED_VALUE"""),25501.0)</f>
        <v>25501</v>
      </c>
      <c r="E8" s="6">
        <f>IFERROR(__xludf.DUMMYFUNCTION("""COMPUTED_VALUE"""),26851.15)</f>
        <v>26851.15</v>
      </c>
      <c r="F8" s="6">
        <f>IFERROR(__xludf.DUMMYFUNCTION("""COMPUTED_VALUE"""),85682.0)</f>
        <v>85682</v>
      </c>
    </row>
    <row r="9">
      <c r="A9" s="7">
        <f>IFERROR(__xludf.DUMMYFUNCTION("""COMPUTED_VALUE"""),45219.64583333333)</f>
        <v>45219.64583</v>
      </c>
      <c r="B9" s="6">
        <f>IFERROR(__xludf.DUMMYFUNCTION("""COMPUTED_VALUE"""),26850.0)</f>
        <v>26850</v>
      </c>
      <c r="C9" s="6">
        <f>IFERROR(__xludf.DUMMYFUNCTION("""COMPUTED_VALUE"""),27298.95)</f>
        <v>27298.95</v>
      </c>
      <c r="D9" s="6">
        <f>IFERROR(__xludf.DUMMYFUNCTION("""COMPUTED_VALUE"""),25900.0)</f>
        <v>25900</v>
      </c>
      <c r="E9" s="6">
        <f>IFERROR(__xludf.DUMMYFUNCTION("""COMPUTED_VALUE"""),26084.65)</f>
        <v>26084.65</v>
      </c>
      <c r="F9" s="6">
        <f>IFERROR(__xludf.DUMMYFUNCTION("""COMPUTED_VALUE"""),121997.0)</f>
        <v>121997</v>
      </c>
    </row>
    <row r="10">
      <c r="A10" s="7">
        <f>IFERROR(__xludf.DUMMYFUNCTION("""COMPUTED_VALUE"""),45226.64583333333)</f>
        <v>45226.64583</v>
      </c>
      <c r="B10" s="6">
        <f>IFERROR(__xludf.DUMMYFUNCTION("""COMPUTED_VALUE"""),26025.0)</f>
        <v>26025</v>
      </c>
      <c r="C10" s="6">
        <f>IFERROR(__xludf.DUMMYFUNCTION("""COMPUTED_VALUE"""),26199.5)</f>
        <v>26199.5</v>
      </c>
      <c r="D10" s="6">
        <f>IFERROR(__xludf.DUMMYFUNCTION("""COMPUTED_VALUE"""),25309.0)</f>
        <v>25309</v>
      </c>
      <c r="E10" s="6">
        <f>IFERROR(__xludf.DUMMYFUNCTION("""COMPUTED_VALUE"""),25514.5)</f>
        <v>25514.5</v>
      </c>
      <c r="F10" s="6">
        <f>IFERROR(__xludf.DUMMYFUNCTION("""COMPUTED_VALUE"""),132513.0)</f>
        <v>132513</v>
      </c>
    </row>
    <row r="11">
      <c r="A11" s="7">
        <f>IFERROR(__xludf.DUMMYFUNCTION("""COMPUTED_VALUE"""),45233.64583333333)</f>
        <v>45233.64583</v>
      </c>
      <c r="B11" s="6">
        <f>IFERROR(__xludf.DUMMYFUNCTION("""COMPUTED_VALUE"""),25699.9)</f>
        <v>25699.9</v>
      </c>
      <c r="C11" s="6">
        <f>IFERROR(__xludf.DUMMYFUNCTION("""COMPUTED_VALUE"""),26145.0)</f>
        <v>26145</v>
      </c>
      <c r="D11" s="6">
        <f>IFERROR(__xludf.DUMMYFUNCTION("""COMPUTED_VALUE"""),25326.15)</f>
        <v>25326.15</v>
      </c>
      <c r="E11" s="6">
        <f>IFERROR(__xludf.DUMMYFUNCTION("""COMPUTED_VALUE"""),25957.85)</f>
        <v>25957.85</v>
      </c>
      <c r="F11" s="6">
        <f>IFERROR(__xludf.DUMMYFUNCTION("""COMPUTED_VALUE"""),83270.0)</f>
        <v>83270</v>
      </c>
    </row>
    <row r="12">
      <c r="A12" s="7">
        <f>IFERROR(__xludf.DUMMYFUNCTION("""COMPUTED_VALUE"""),45240.64583333333)</f>
        <v>45240.64583</v>
      </c>
      <c r="B12" s="6">
        <f>IFERROR(__xludf.DUMMYFUNCTION("""COMPUTED_VALUE"""),26026.0)</f>
        <v>26026</v>
      </c>
      <c r="C12" s="6">
        <f>IFERROR(__xludf.DUMMYFUNCTION("""COMPUTED_VALUE"""),26750.0)</f>
        <v>26750</v>
      </c>
      <c r="D12" s="6">
        <f>IFERROR(__xludf.DUMMYFUNCTION("""COMPUTED_VALUE"""),25758.05)</f>
        <v>25758.05</v>
      </c>
      <c r="E12" s="6">
        <f>IFERROR(__xludf.DUMMYFUNCTION("""COMPUTED_VALUE"""),26358.5)</f>
        <v>26358.5</v>
      </c>
      <c r="F12" s="6">
        <f>IFERROR(__xludf.DUMMYFUNCTION("""COMPUTED_VALUE"""),131336.0)</f>
        <v>131336</v>
      </c>
    </row>
    <row r="13">
      <c r="A13" s="7">
        <f>IFERROR(__xludf.DUMMYFUNCTION("""COMPUTED_VALUE"""),45247.64583333333)</f>
        <v>45247.64583</v>
      </c>
      <c r="B13" s="6">
        <f>IFERROR(__xludf.DUMMYFUNCTION("""COMPUTED_VALUE"""),26495.0)</f>
        <v>26495</v>
      </c>
      <c r="C13" s="6">
        <f>IFERROR(__xludf.DUMMYFUNCTION("""COMPUTED_VALUE"""),26495.0)</f>
        <v>26495</v>
      </c>
      <c r="D13" s="6">
        <f>IFERROR(__xludf.DUMMYFUNCTION("""COMPUTED_VALUE"""),25966.95)</f>
        <v>25966.95</v>
      </c>
      <c r="E13" s="6">
        <f>IFERROR(__xludf.DUMMYFUNCTION("""COMPUTED_VALUE"""),26199.8)</f>
        <v>26199.8</v>
      </c>
      <c r="F13" s="6">
        <f>IFERROR(__xludf.DUMMYFUNCTION("""COMPUTED_VALUE"""),63526.0)</f>
        <v>63526</v>
      </c>
    </row>
    <row r="14">
      <c r="A14" s="7">
        <f>IFERROR(__xludf.DUMMYFUNCTION("""COMPUTED_VALUE"""),45254.64583333333)</f>
        <v>45254.64583</v>
      </c>
      <c r="B14" s="6">
        <f>IFERROR(__xludf.DUMMYFUNCTION("""COMPUTED_VALUE"""),26199.8)</f>
        <v>26199.8</v>
      </c>
      <c r="C14" s="6">
        <f>IFERROR(__xludf.DUMMYFUNCTION("""COMPUTED_VALUE"""),26315.0)</f>
        <v>26315</v>
      </c>
      <c r="D14" s="6">
        <f>IFERROR(__xludf.DUMMYFUNCTION("""COMPUTED_VALUE"""),25600.0)</f>
        <v>25600</v>
      </c>
      <c r="E14" s="6">
        <f>IFERROR(__xludf.DUMMYFUNCTION("""COMPUTED_VALUE"""),25645.4)</f>
        <v>25645.4</v>
      </c>
      <c r="F14" s="6">
        <f>IFERROR(__xludf.DUMMYFUNCTION("""COMPUTED_VALUE"""),142267.0)</f>
        <v>142267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IFERROR(__xludf.DUMMYFUNCTION("""COMPUTED_VALUE"""),25615.0)</f>
        <v>25615</v>
      </c>
      <c r="C15" s="6">
        <f>IFERROR(__xludf.DUMMYFUNCTION("""COMPUTED_VALUE"""),27065.45)</f>
        <v>27065.45</v>
      </c>
      <c r="D15" s="6">
        <f>IFERROR(__xludf.DUMMYFUNCTION("""COMPUTED_VALUE"""),25600.0)</f>
        <v>25600</v>
      </c>
      <c r="E15" s="6">
        <f>IFERROR(__xludf.DUMMYFUNCTION("""COMPUTED_VALUE"""),27026.55)</f>
        <v>27026.55</v>
      </c>
      <c r="F15" s="6">
        <f>IFERROR(__xludf.DUMMYFUNCTION("""COMPUTED_VALUE"""),91382.0)</f>
        <v>91382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IFERROR(__xludf.DUMMYFUNCTION("""COMPUTED_VALUE"""),27120.15)</f>
        <v>27120.15</v>
      </c>
      <c r="C16" s="6">
        <f>IFERROR(__xludf.DUMMYFUNCTION("""COMPUTED_VALUE"""),28151.0)</f>
        <v>28151</v>
      </c>
      <c r="D16" s="6">
        <f>IFERROR(__xludf.DUMMYFUNCTION("""COMPUTED_VALUE"""),27051.7)</f>
        <v>27051.7</v>
      </c>
      <c r="E16" s="6">
        <f>IFERROR(__xludf.DUMMYFUNCTION("""COMPUTED_VALUE"""),27670.25)</f>
        <v>27670.25</v>
      </c>
      <c r="F16" s="6">
        <f>IFERROR(__xludf.DUMMYFUNCTION("""COMPUTED_VALUE"""),105840.0)</f>
        <v>105840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IFERROR(__xludf.DUMMYFUNCTION("""COMPUTED_VALUE"""),27880.0)</f>
        <v>27880</v>
      </c>
      <c r="C17" s="6">
        <f>IFERROR(__xludf.DUMMYFUNCTION("""COMPUTED_VALUE"""),28997.65)</f>
        <v>28997.65</v>
      </c>
      <c r="D17" s="6">
        <f>IFERROR(__xludf.DUMMYFUNCTION("""COMPUTED_VALUE"""),27742.85)</f>
        <v>27742.85</v>
      </c>
      <c r="E17" s="6">
        <f>IFERROR(__xludf.DUMMYFUNCTION("""COMPUTED_VALUE"""),28758.9)</f>
        <v>28758.9</v>
      </c>
      <c r="F17" s="6">
        <f>IFERROR(__xludf.DUMMYFUNCTION("""COMPUTED_VALUE"""),93554.0)</f>
        <v>93554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IFERROR(__xludf.DUMMYFUNCTION("""COMPUTED_VALUE"""),28789.0)</f>
        <v>28789</v>
      </c>
      <c r="C18" s="6">
        <f>IFERROR(__xludf.DUMMYFUNCTION("""COMPUTED_VALUE"""),28859.3)</f>
        <v>28859.3</v>
      </c>
      <c r="D18" s="6">
        <f>IFERROR(__xludf.DUMMYFUNCTION("""COMPUTED_VALUE"""),27905.75)</f>
        <v>27905.75</v>
      </c>
      <c r="E18" s="6">
        <f>IFERROR(__xludf.DUMMYFUNCTION("""COMPUTED_VALUE"""),28186.55)</f>
        <v>28186.55</v>
      </c>
      <c r="F18" s="6">
        <f>IFERROR(__xludf.DUMMYFUNCTION("""COMPUTED_VALUE"""),90609.0)</f>
        <v>90609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IFERROR(__xludf.DUMMYFUNCTION("""COMPUTED_VALUE"""),28370.0)</f>
        <v>28370</v>
      </c>
      <c r="C19" s="6">
        <f>IFERROR(__xludf.DUMMYFUNCTION("""COMPUTED_VALUE"""),29250.0)</f>
        <v>29250</v>
      </c>
      <c r="D19" s="6">
        <f>IFERROR(__xludf.DUMMYFUNCTION("""COMPUTED_VALUE"""),28257.2)</f>
        <v>28257.2</v>
      </c>
      <c r="E19" s="6">
        <f>IFERROR(__xludf.DUMMYFUNCTION("""COMPUTED_VALUE"""),28653.3)</f>
        <v>28653.3</v>
      </c>
      <c r="F19" s="6">
        <f>IFERROR(__xludf.DUMMYFUNCTION("""COMPUTED_VALUE"""),63779.0)</f>
        <v>63779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IFERROR(__xludf.DUMMYFUNCTION("""COMPUTED_VALUE"""),28750.0)</f>
        <v>28750</v>
      </c>
      <c r="C20" s="6">
        <f>IFERROR(__xludf.DUMMYFUNCTION("""COMPUTED_VALUE"""),28750.0)</f>
        <v>28750</v>
      </c>
      <c r="D20" s="6">
        <f>IFERROR(__xludf.DUMMYFUNCTION("""COMPUTED_VALUE"""),26931.35)</f>
        <v>26931.35</v>
      </c>
      <c r="E20" s="6">
        <f>IFERROR(__xludf.DUMMYFUNCTION("""COMPUTED_VALUE"""),27023.3)</f>
        <v>27023.3</v>
      </c>
      <c r="F20" s="6">
        <f>IFERROR(__xludf.DUMMYFUNCTION("""COMPUTED_VALUE"""),124533.0)</f>
        <v>124533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IFERROR(__xludf.DUMMYFUNCTION("""COMPUTED_VALUE"""),26983.05)</f>
        <v>26983.05</v>
      </c>
      <c r="C21" s="6">
        <f>IFERROR(__xludf.DUMMYFUNCTION("""COMPUTED_VALUE"""),27736.3)</f>
        <v>27736.3</v>
      </c>
      <c r="D21" s="6">
        <f>IFERROR(__xludf.DUMMYFUNCTION("""COMPUTED_VALUE"""),26600.0)</f>
        <v>26600</v>
      </c>
      <c r="E21" s="6">
        <f>IFERROR(__xludf.DUMMYFUNCTION("""COMPUTED_VALUE"""),26874.0)</f>
        <v>26874</v>
      </c>
      <c r="F21" s="6">
        <f>IFERROR(__xludf.DUMMYFUNCTION("""COMPUTED_VALUE"""),100679.0)</f>
        <v>100679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IFERROR(__xludf.DUMMYFUNCTION("""COMPUTED_VALUE"""),27600.0)</f>
        <v>27600</v>
      </c>
      <c r="C22" s="6">
        <f>IFERROR(__xludf.DUMMYFUNCTION("""COMPUTED_VALUE"""),28249.5)</f>
        <v>28249.5</v>
      </c>
      <c r="D22" s="6">
        <f>IFERROR(__xludf.DUMMYFUNCTION("""COMPUTED_VALUE"""),27218.45)</f>
        <v>27218.45</v>
      </c>
      <c r="E22" s="6">
        <f>IFERROR(__xludf.DUMMYFUNCTION("""COMPUTED_VALUE"""),27948.8)</f>
        <v>27948.8</v>
      </c>
      <c r="F22" s="6">
        <f>IFERROR(__xludf.DUMMYFUNCTION("""COMPUTED_VALUE"""),110564.0)</f>
        <v>110564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IFERROR(__xludf.DUMMYFUNCTION("""COMPUTED_VALUE"""),27998.75)</f>
        <v>27998.75</v>
      </c>
      <c r="C23" s="6">
        <f>IFERROR(__xludf.DUMMYFUNCTION("""COMPUTED_VALUE"""),30737.75)</f>
        <v>30737.75</v>
      </c>
      <c r="D23" s="6">
        <f>IFERROR(__xludf.DUMMYFUNCTION("""COMPUTED_VALUE"""),27921.95)</f>
        <v>27921.95</v>
      </c>
      <c r="E23" s="6">
        <f>IFERROR(__xludf.DUMMYFUNCTION("""COMPUTED_VALUE"""),28453.95)</f>
        <v>28453.95</v>
      </c>
      <c r="F23" s="6">
        <f>IFERROR(__xludf.DUMMYFUNCTION("""COMPUTED_VALUE"""),368357.0)</f>
        <v>368357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IFERROR(__xludf.DUMMYFUNCTION("""COMPUTED_VALUE"""),29000.0)</f>
        <v>29000</v>
      </c>
      <c r="C24" s="6">
        <f>IFERROR(__xludf.DUMMYFUNCTION("""COMPUTED_VALUE"""),29000.05)</f>
        <v>29000.05</v>
      </c>
      <c r="D24" s="6">
        <f>IFERROR(__xludf.DUMMYFUNCTION("""COMPUTED_VALUE"""),26699.2)</f>
        <v>26699.2</v>
      </c>
      <c r="E24" s="6">
        <f>IFERROR(__xludf.DUMMYFUNCTION("""COMPUTED_VALUE"""),27630.1)</f>
        <v>27630.1</v>
      </c>
      <c r="F24" s="6">
        <f>IFERROR(__xludf.DUMMYFUNCTION("""COMPUTED_VALUE"""),206790.0)</f>
        <v>206790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IFERROR(__xludf.DUMMYFUNCTION("""COMPUTED_VALUE"""),27630.1)</f>
        <v>27630.1</v>
      </c>
      <c r="C25" s="6">
        <f>IFERROR(__xludf.DUMMYFUNCTION("""COMPUTED_VALUE"""),27709.6)</f>
        <v>27709.6</v>
      </c>
      <c r="D25" s="6">
        <f>IFERROR(__xludf.DUMMYFUNCTION("""COMPUTED_VALUE"""),26250.0)</f>
        <v>26250</v>
      </c>
      <c r="E25" s="6">
        <f>IFERROR(__xludf.DUMMYFUNCTION("""COMPUTED_VALUE"""),26298.0)</f>
        <v>26298</v>
      </c>
      <c r="F25" s="6">
        <f>IFERROR(__xludf.DUMMYFUNCTION("""COMPUTED_VALUE"""),107448.0)</f>
        <v>107448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IFERROR(__xludf.DUMMYFUNCTION("""COMPUTED_VALUE"""),26426.0)</f>
        <v>26426</v>
      </c>
      <c r="C26" s="6">
        <f>IFERROR(__xludf.DUMMYFUNCTION("""COMPUTED_VALUE"""),26894.4)</f>
        <v>26894.4</v>
      </c>
      <c r="D26" s="6">
        <f>IFERROR(__xludf.DUMMYFUNCTION("""COMPUTED_VALUE"""),26207.4)</f>
        <v>26207.4</v>
      </c>
      <c r="E26" s="6">
        <f>IFERROR(__xludf.DUMMYFUNCTION("""COMPUTED_VALUE"""),26489.65)</f>
        <v>26489.65</v>
      </c>
      <c r="F26" s="6">
        <f>IFERROR(__xludf.DUMMYFUNCTION("""COMPUTED_VALUE"""),100113.0)</f>
        <v>100113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IFERROR(__xludf.DUMMYFUNCTION("""COMPUTED_VALUE"""),25790.0)</f>
        <v>25790</v>
      </c>
      <c r="C27" s="6">
        <f>IFERROR(__xludf.DUMMYFUNCTION("""COMPUTED_VALUE"""),25845.8)</f>
        <v>25845.8</v>
      </c>
      <c r="D27" s="6">
        <f>IFERROR(__xludf.DUMMYFUNCTION("""COMPUTED_VALUE"""),24458.0)</f>
        <v>24458</v>
      </c>
      <c r="E27" s="6">
        <f>IFERROR(__xludf.DUMMYFUNCTION("""COMPUTED_VALUE"""),24705.9)</f>
        <v>24705.9</v>
      </c>
      <c r="F27" s="6">
        <f>IFERROR(__xludf.DUMMYFUNCTION("""COMPUTED_VALUE"""),184000.0)</f>
        <v>184000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IFERROR(__xludf.DUMMYFUNCTION("""COMPUTED_VALUE"""),24601.05)</f>
        <v>24601.05</v>
      </c>
      <c r="C28" s="6">
        <f>IFERROR(__xludf.DUMMYFUNCTION("""COMPUTED_VALUE"""),25359.95)</f>
        <v>25359.95</v>
      </c>
      <c r="D28" s="6">
        <f>IFERROR(__xludf.DUMMYFUNCTION("""COMPUTED_VALUE"""),24243.6)</f>
        <v>24243.6</v>
      </c>
      <c r="E28" s="6">
        <f>IFERROR(__xludf.DUMMYFUNCTION("""COMPUTED_VALUE"""),25070.45)</f>
        <v>25070.45</v>
      </c>
      <c r="F28" s="6">
        <f>IFERROR(__xludf.DUMMYFUNCTION("""COMPUTED_VALUE"""),163395.0)</f>
        <v>163395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IFERROR(__xludf.DUMMYFUNCTION("""COMPUTED_VALUE"""),25096.3)</f>
        <v>25096.3</v>
      </c>
      <c r="C29" s="6">
        <f>IFERROR(__xludf.DUMMYFUNCTION("""COMPUTED_VALUE"""),25489.95)</f>
        <v>25489.95</v>
      </c>
      <c r="D29" s="6">
        <f>IFERROR(__xludf.DUMMYFUNCTION("""COMPUTED_VALUE"""),24796.75)</f>
        <v>24796.75</v>
      </c>
      <c r="E29" s="6">
        <f>IFERROR(__xludf.DUMMYFUNCTION("""COMPUTED_VALUE"""),25366.05)</f>
        <v>25366.05</v>
      </c>
      <c r="F29" s="6">
        <f>IFERROR(__xludf.DUMMYFUNCTION("""COMPUTED_VALUE"""),157449.0)</f>
        <v>157449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IFERROR(__xludf.DUMMYFUNCTION("""COMPUTED_VALUE"""),25474.0)</f>
        <v>25474</v>
      </c>
      <c r="C30" s="6">
        <f>IFERROR(__xludf.DUMMYFUNCTION("""COMPUTED_VALUE"""),26334.05)</f>
        <v>26334.05</v>
      </c>
      <c r="D30" s="6">
        <f>IFERROR(__xludf.DUMMYFUNCTION("""COMPUTED_VALUE"""),25058.35)</f>
        <v>25058.35</v>
      </c>
      <c r="E30" s="6">
        <f>IFERROR(__xludf.DUMMYFUNCTION("""COMPUTED_VALUE"""),25682.85)</f>
        <v>25682.85</v>
      </c>
      <c r="F30" s="6">
        <f>IFERROR(__xludf.DUMMYFUNCTION("""COMPUTED_VALUE"""),92010.0)</f>
        <v>92010</v>
      </c>
    </row>
    <row r="31">
      <c r="A31" s="7">
        <f>IFERROR(__xludf.DUMMYFUNCTION("""COMPUTED_VALUE"""),45387.64583333333)</f>
        <v>45387.64583</v>
      </c>
      <c r="B31" s="6">
        <f>IFERROR(__xludf.DUMMYFUNCTION("""COMPUTED_VALUE"""),25850.05)</f>
        <v>25850.05</v>
      </c>
      <c r="C31" s="6">
        <f>IFERROR(__xludf.DUMMYFUNCTION("""COMPUTED_VALUE"""),26743.3)</f>
        <v>26743.3</v>
      </c>
      <c r="D31" s="6">
        <f>IFERROR(__xludf.DUMMYFUNCTION("""COMPUTED_VALUE"""),25699.0)</f>
        <v>25699</v>
      </c>
      <c r="E31" s="6">
        <f>IFERROR(__xludf.DUMMYFUNCTION("""COMPUTED_VALUE"""),25811.05)</f>
        <v>25811.05</v>
      </c>
      <c r="F31" s="6">
        <f>IFERROR(__xludf.DUMMYFUNCTION("""COMPUTED_VALUE"""),337604.0)</f>
        <v>337604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IFERROR(__xludf.DUMMYFUNCTION("""COMPUTED_VALUE"""),26069.2)</f>
        <v>26069.2</v>
      </c>
      <c r="C32" s="6">
        <f>IFERROR(__xludf.DUMMYFUNCTION("""COMPUTED_VALUE"""),26711.8)</f>
        <v>26711.8</v>
      </c>
      <c r="D32" s="6">
        <f>IFERROR(__xludf.DUMMYFUNCTION("""COMPUTED_VALUE"""),25201.45)</f>
        <v>25201.45</v>
      </c>
      <c r="E32" s="6">
        <f>IFERROR(__xludf.DUMMYFUNCTION("""COMPUTED_VALUE"""),25491.15)</f>
        <v>25491.15</v>
      </c>
      <c r="F32" s="6">
        <f>IFERROR(__xludf.DUMMYFUNCTION("""COMPUTED_VALUE"""),126048.0)</f>
        <v>126048</v>
      </c>
    </row>
    <row r="33">
      <c r="A33" s="7">
        <f>IFERROR(__xludf.DUMMYFUNCTION("""COMPUTED_VALUE"""),45401.64583333333)</f>
        <v>45401.64583</v>
      </c>
      <c r="B33" s="6">
        <f>IFERROR(__xludf.DUMMYFUNCTION("""COMPUTED_VALUE"""),25316.0)</f>
        <v>25316</v>
      </c>
      <c r="C33" s="6">
        <f>IFERROR(__xludf.DUMMYFUNCTION("""COMPUTED_VALUE"""),25528.15)</f>
        <v>25528.15</v>
      </c>
      <c r="D33" s="6">
        <f>IFERROR(__xludf.DUMMYFUNCTION("""COMPUTED_VALUE"""),23984.05)</f>
        <v>23984.05</v>
      </c>
      <c r="E33" s="6">
        <f>IFERROR(__xludf.DUMMYFUNCTION("""COMPUTED_VALUE"""),24368.75)</f>
        <v>24368.75</v>
      </c>
      <c r="F33" s="6">
        <f>IFERROR(__xludf.DUMMYFUNCTION("""COMPUTED_VALUE"""),108526.0)</f>
        <v>108526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IFERROR(__xludf.DUMMYFUNCTION("""COMPUTED_VALUE"""),24533.9)</f>
        <v>24533.9</v>
      </c>
      <c r="C34" s="6">
        <f>IFERROR(__xludf.DUMMYFUNCTION("""COMPUTED_VALUE"""),24675.0)</f>
        <v>24675</v>
      </c>
      <c r="D34" s="6">
        <f>IFERROR(__xludf.DUMMYFUNCTION("""COMPUTED_VALUE"""),23780.0)</f>
        <v>23780</v>
      </c>
      <c r="E34" s="6">
        <f>IFERROR(__xludf.DUMMYFUNCTION("""COMPUTED_VALUE"""),24140.5)</f>
        <v>24140.5</v>
      </c>
      <c r="F34" s="6">
        <f>IFERROR(__xludf.DUMMYFUNCTION("""COMPUTED_VALUE"""),126002.0)</f>
        <v>126002</v>
      </c>
    </row>
    <row r="35">
      <c r="A35" s="7">
        <f>IFERROR(__xludf.DUMMYFUNCTION("""COMPUTED_VALUE"""),45415.64583333333)</f>
        <v>45415.64583</v>
      </c>
      <c r="B35" s="6">
        <f>IFERROR(__xludf.DUMMYFUNCTION("""COMPUTED_VALUE"""),24250.25)</f>
        <v>24250.25</v>
      </c>
      <c r="C35" s="6">
        <f>IFERROR(__xludf.DUMMYFUNCTION("""COMPUTED_VALUE"""),25895.8)</f>
        <v>25895.8</v>
      </c>
      <c r="D35" s="6">
        <f>IFERROR(__xludf.DUMMYFUNCTION("""COMPUTED_VALUE"""),24050.0)</f>
        <v>24050</v>
      </c>
      <c r="E35" s="6">
        <f>IFERROR(__xludf.DUMMYFUNCTION("""COMPUTED_VALUE"""),25746.55)</f>
        <v>25746.55</v>
      </c>
      <c r="F35" s="6">
        <f>IFERROR(__xludf.DUMMYFUNCTION("""COMPUTED_VALUE"""),419858.0)</f>
        <v>419858</v>
      </c>
    </row>
    <row r="36">
      <c r="A36" s="7">
        <f>IFERROR(__xludf.DUMMYFUNCTION("""COMPUTED_VALUE"""),45422.64583333333)</f>
        <v>45422.64583</v>
      </c>
      <c r="B36" s="6">
        <f>IFERROR(__xludf.DUMMYFUNCTION("""COMPUTED_VALUE"""),26100.0)</f>
        <v>26100</v>
      </c>
      <c r="C36" s="6">
        <f>IFERROR(__xludf.DUMMYFUNCTION("""COMPUTED_VALUE"""),26561.65)</f>
        <v>26561.65</v>
      </c>
      <c r="D36" s="6">
        <f>IFERROR(__xludf.DUMMYFUNCTION("""COMPUTED_VALUE"""),25054.85)</f>
        <v>25054.85</v>
      </c>
      <c r="E36" s="6">
        <f>IFERROR(__xludf.DUMMYFUNCTION("""COMPUTED_VALUE"""),25661.25)</f>
        <v>25661.25</v>
      </c>
      <c r="F36" s="6">
        <f>IFERROR(__xludf.DUMMYFUNCTION("""COMPUTED_VALUE"""),176728.0)</f>
        <v>176728</v>
      </c>
    </row>
    <row r="37">
      <c r="A37" s="7">
        <f>IFERROR(__xludf.DUMMYFUNCTION("""COMPUTED_VALUE"""),45436.64583333333)</f>
        <v>45436.64583</v>
      </c>
      <c r="B37" s="6">
        <f>IFERROR(__xludf.DUMMYFUNCTION("""COMPUTED_VALUE"""),26120.0)</f>
        <v>26120</v>
      </c>
      <c r="C37" s="6">
        <f>IFERROR(__xludf.DUMMYFUNCTION("""COMPUTED_VALUE"""),26300.0)</f>
        <v>26300</v>
      </c>
      <c r="D37" s="6">
        <f>IFERROR(__xludf.DUMMYFUNCTION("""COMPUTED_VALUE"""),25405.0)</f>
        <v>25405</v>
      </c>
      <c r="E37" s="6">
        <f>IFERROR(__xludf.DUMMYFUNCTION("""COMPUTED_VALUE"""),25456.45)</f>
        <v>25456.45</v>
      </c>
      <c r="F37" s="6">
        <f>IFERROR(__xludf.DUMMYFUNCTION("""COMPUTED_VALUE"""),196355.0)</f>
        <v>196355</v>
      </c>
    </row>
    <row r="38">
      <c r="A38" s="7">
        <f>IFERROR(__xludf.DUMMYFUNCTION("""COMPUTED_VALUE"""),45443.64583333333)</f>
        <v>45443.64583</v>
      </c>
      <c r="B38" s="6">
        <f>IFERROR(__xludf.DUMMYFUNCTION("""COMPUTED_VALUE"""),25500.0)</f>
        <v>25500</v>
      </c>
      <c r="C38" s="6">
        <f>IFERROR(__xludf.DUMMYFUNCTION("""COMPUTED_VALUE"""),25725.05)</f>
        <v>25725.05</v>
      </c>
      <c r="D38" s="6">
        <f>IFERROR(__xludf.DUMMYFUNCTION("""COMPUTED_VALUE"""),24604.45)</f>
        <v>24604.45</v>
      </c>
      <c r="E38" s="6">
        <f>IFERROR(__xludf.DUMMYFUNCTION("""COMPUTED_VALUE"""),24680.6)</f>
        <v>24680.6</v>
      </c>
      <c r="F38" s="6">
        <f>IFERROR(__xludf.DUMMYFUNCTION("""COMPUTED_VALUE"""),218420.0)</f>
        <v>218420</v>
      </c>
    </row>
    <row r="39">
      <c r="A39" s="7">
        <f>IFERROR(__xludf.DUMMYFUNCTION("""COMPUTED_VALUE"""),45450.64583333333)</f>
        <v>45450.64583</v>
      </c>
      <c r="B39" s="6">
        <f>IFERROR(__xludf.DUMMYFUNCTION("""COMPUTED_VALUE"""),25200.0)</f>
        <v>25200</v>
      </c>
      <c r="C39" s="6">
        <f>IFERROR(__xludf.DUMMYFUNCTION("""COMPUTED_VALUE"""),26250.0)</f>
        <v>26250</v>
      </c>
      <c r="D39" s="6">
        <f>IFERROR(__xludf.DUMMYFUNCTION("""COMPUTED_VALUE"""),23700.0)</f>
        <v>23700</v>
      </c>
      <c r="E39" s="6">
        <f>IFERROR(__xludf.DUMMYFUNCTION("""COMPUTED_VALUE"""),26077.5)</f>
        <v>26077.5</v>
      </c>
      <c r="F39" s="6">
        <f>IFERROR(__xludf.DUMMYFUNCTION("""COMPUTED_VALUE"""),254422.0)</f>
        <v>254422</v>
      </c>
    </row>
    <row r="40">
      <c r="A40" s="7">
        <f>IFERROR(__xludf.DUMMYFUNCTION("""COMPUTED_VALUE"""),45457.64583333333)</f>
        <v>45457.64583</v>
      </c>
      <c r="B40" s="6">
        <f>IFERROR(__xludf.DUMMYFUNCTION("""COMPUTED_VALUE"""),26296.0)</f>
        <v>26296</v>
      </c>
      <c r="C40" s="6">
        <f>IFERROR(__xludf.DUMMYFUNCTION("""COMPUTED_VALUE"""),28025.0)</f>
        <v>28025</v>
      </c>
      <c r="D40" s="6">
        <f>IFERROR(__xludf.DUMMYFUNCTION("""COMPUTED_VALUE"""),26078.0)</f>
        <v>26078</v>
      </c>
      <c r="E40" s="6">
        <f>IFERROR(__xludf.DUMMYFUNCTION("""COMPUTED_VALUE"""),27538.0)</f>
        <v>27538</v>
      </c>
      <c r="F40" s="6">
        <f>IFERROR(__xludf.DUMMYFUNCTION("""COMPUTED_VALUE"""),222333.0)</f>
        <v>222333</v>
      </c>
    </row>
    <row r="41">
      <c r="A41" s="7">
        <f>IFERROR(__xludf.DUMMYFUNCTION("""COMPUTED_VALUE"""),45464.64583333333)</f>
        <v>45464.64583</v>
      </c>
      <c r="B41" s="6">
        <f>IFERROR(__xludf.DUMMYFUNCTION("""COMPUTED_VALUE"""),27682.0)</f>
        <v>27682</v>
      </c>
      <c r="C41" s="6">
        <f>IFERROR(__xludf.DUMMYFUNCTION("""COMPUTED_VALUE"""),27850.0)</f>
        <v>27850</v>
      </c>
      <c r="D41" s="6">
        <f>IFERROR(__xludf.DUMMYFUNCTION("""COMPUTED_VALUE"""),27086.2)</f>
        <v>27086.2</v>
      </c>
      <c r="E41" s="6">
        <f>IFERROR(__xludf.DUMMYFUNCTION("""COMPUTED_VALUE"""),27403.8)</f>
        <v>27403.8</v>
      </c>
      <c r="F41" s="6">
        <f>IFERROR(__xludf.DUMMYFUNCTION("""COMPUTED_VALUE"""),154045.0)</f>
        <v>154045</v>
      </c>
    </row>
    <row r="42">
      <c r="A42" s="7">
        <f>IFERROR(__xludf.DUMMYFUNCTION("""COMPUTED_VALUE"""),45471.64583333333)</f>
        <v>45471.64583</v>
      </c>
      <c r="B42" s="6">
        <f>IFERROR(__xludf.DUMMYFUNCTION("""COMPUTED_VALUE"""),27400.05)</f>
        <v>27400.05</v>
      </c>
      <c r="C42" s="6">
        <f>IFERROR(__xludf.DUMMYFUNCTION("""COMPUTED_VALUE"""),28242.0)</f>
        <v>28242</v>
      </c>
      <c r="D42" s="6">
        <f>IFERROR(__xludf.DUMMYFUNCTION("""COMPUTED_VALUE"""),27086.25)</f>
        <v>27086.25</v>
      </c>
      <c r="E42" s="6">
        <f>IFERROR(__xludf.DUMMYFUNCTION("""COMPUTED_VALUE"""),27870.4)</f>
        <v>27870.4</v>
      </c>
      <c r="F42" s="6">
        <f>IFERROR(__xludf.DUMMYFUNCTION("""COMPUTED_VALUE"""),238583.0)</f>
        <v>238583</v>
      </c>
    </row>
    <row r="43">
      <c r="A43" s="7">
        <f>IFERROR(__xludf.DUMMYFUNCTION("""COMPUTED_VALUE"""),45478.64583333333)</f>
        <v>45478.64583</v>
      </c>
      <c r="B43" s="6">
        <f>IFERROR(__xludf.DUMMYFUNCTION("""COMPUTED_VALUE"""),27994.0)</f>
        <v>27994</v>
      </c>
      <c r="C43" s="6">
        <f>IFERROR(__xludf.DUMMYFUNCTION("""COMPUTED_VALUE"""),28614.95)</f>
        <v>28614.95</v>
      </c>
      <c r="D43" s="6">
        <f>IFERROR(__xludf.DUMMYFUNCTION("""COMPUTED_VALUE"""),27170.0)</f>
        <v>27170</v>
      </c>
      <c r="E43" s="6">
        <f>IFERROR(__xludf.DUMMYFUNCTION("""COMPUTED_VALUE"""),27528.7)</f>
        <v>27528.7</v>
      </c>
      <c r="F43" s="6">
        <f>IFERROR(__xludf.DUMMYFUNCTION("""COMPUTED_VALUE"""),207314.0)</f>
        <v>207314</v>
      </c>
    </row>
    <row r="44">
      <c r="A44" s="7">
        <f>IFERROR(__xludf.DUMMYFUNCTION("""COMPUTED_VALUE"""),45485.64583333333)</f>
        <v>45485.64583</v>
      </c>
      <c r="B44" s="6">
        <f>IFERROR(__xludf.DUMMYFUNCTION("""COMPUTED_VALUE"""),27510.0)</f>
        <v>27510</v>
      </c>
      <c r="C44" s="6">
        <f>IFERROR(__xludf.DUMMYFUNCTION("""COMPUTED_VALUE"""),28001.0)</f>
        <v>28001</v>
      </c>
      <c r="D44" s="6">
        <f>IFERROR(__xludf.DUMMYFUNCTION("""COMPUTED_VALUE"""),26951.95)</f>
        <v>26951.95</v>
      </c>
      <c r="E44" s="6">
        <f>IFERROR(__xludf.DUMMYFUNCTION("""COMPUTED_VALUE"""),27665.5)</f>
        <v>27665.5</v>
      </c>
      <c r="F44" s="6">
        <f>IFERROR(__xludf.DUMMYFUNCTION("""COMPUTED_VALUE"""),128392.0)</f>
        <v>128392</v>
      </c>
    </row>
    <row r="45">
      <c r="A45" s="7">
        <f>IFERROR(__xludf.DUMMYFUNCTION("""COMPUTED_VALUE"""),45492.64583333333)</f>
        <v>45492.64583</v>
      </c>
      <c r="B45" s="6">
        <f>IFERROR(__xludf.DUMMYFUNCTION("""COMPUTED_VALUE"""),27555.0)</f>
        <v>27555</v>
      </c>
      <c r="C45" s="6">
        <f>IFERROR(__xludf.DUMMYFUNCTION("""COMPUTED_VALUE"""),28683.2)</f>
        <v>28683.2</v>
      </c>
      <c r="D45" s="6">
        <f>IFERROR(__xludf.DUMMYFUNCTION("""COMPUTED_VALUE"""),26811.05)</f>
        <v>26811.05</v>
      </c>
      <c r="E45" s="6">
        <f>IFERROR(__xludf.DUMMYFUNCTION("""COMPUTED_VALUE"""),27284.15)</f>
        <v>27284.15</v>
      </c>
      <c r="F45" s="6">
        <f>IFERROR(__xludf.DUMMYFUNCTION("""COMPUTED_VALUE"""),242361.0)</f>
        <v>242361</v>
      </c>
    </row>
    <row r="46">
      <c r="A46" s="7">
        <f>IFERROR(__xludf.DUMMYFUNCTION("""COMPUTED_VALUE"""),45499.64583333333)</f>
        <v>45499.64583</v>
      </c>
      <c r="B46" s="6">
        <f>IFERROR(__xludf.DUMMYFUNCTION("""COMPUTED_VALUE"""),27207.1)</f>
        <v>27207.1</v>
      </c>
      <c r="C46" s="6">
        <f>IFERROR(__xludf.DUMMYFUNCTION("""COMPUTED_VALUE"""),28395.0)</f>
        <v>28395</v>
      </c>
      <c r="D46" s="6">
        <f>IFERROR(__xludf.DUMMYFUNCTION("""COMPUTED_VALUE"""),27001.0)</f>
        <v>27001</v>
      </c>
      <c r="E46" s="6">
        <f>IFERROR(__xludf.DUMMYFUNCTION("""COMPUTED_VALUE"""),27566.75)</f>
        <v>27566.75</v>
      </c>
      <c r="F46" s="6">
        <f>IFERROR(__xludf.DUMMYFUNCTION("""COMPUTED_VALUE"""),206955.0)</f>
        <v>206955</v>
      </c>
    </row>
    <row r="47">
      <c r="A47" s="7">
        <f>IFERROR(__xludf.DUMMYFUNCTION("""COMPUTED_VALUE"""),45506.64583333333)</f>
        <v>45506.64583</v>
      </c>
      <c r="B47" s="6">
        <f>IFERROR(__xludf.DUMMYFUNCTION("""COMPUTED_VALUE"""),27800.0)</f>
        <v>27800</v>
      </c>
      <c r="C47" s="6">
        <f>IFERROR(__xludf.DUMMYFUNCTION("""COMPUTED_VALUE"""),27899.8)</f>
        <v>27899.8</v>
      </c>
      <c r="D47" s="6">
        <f>IFERROR(__xludf.DUMMYFUNCTION("""COMPUTED_VALUE"""),26960.1)</f>
        <v>26960.1</v>
      </c>
      <c r="E47" s="6">
        <f>IFERROR(__xludf.DUMMYFUNCTION("""COMPUTED_VALUE"""),27295.35)</f>
        <v>27295.35</v>
      </c>
      <c r="F47" s="6">
        <f>IFERROR(__xludf.DUMMYFUNCTION("""COMPUTED_VALUE"""),250201.0)</f>
        <v>250201</v>
      </c>
    </row>
    <row r="48">
      <c r="A48" s="7">
        <f>IFERROR(__xludf.DUMMYFUNCTION("""COMPUTED_VALUE"""),45513.64583333333)</f>
        <v>45513.64583</v>
      </c>
      <c r="B48" s="6">
        <f>IFERROR(__xludf.DUMMYFUNCTION("""COMPUTED_VALUE"""),27000.0)</f>
        <v>27000</v>
      </c>
      <c r="C48" s="6">
        <f>IFERROR(__xludf.DUMMYFUNCTION("""COMPUTED_VALUE"""),27092.6)</f>
        <v>27092.6</v>
      </c>
      <c r="D48" s="6">
        <f>IFERROR(__xludf.DUMMYFUNCTION("""COMPUTED_VALUE"""),23850.0)</f>
        <v>23850</v>
      </c>
      <c r="E48" s="6">
        <f>IFERROR(__xludf.DUMMYFUNCTION("""COMPUTED_VALUE"""),24296.6)</f>
        <v>24296.6</v>
      </c>
      <c r="F48" s="6">
        <f>IFERROR(__xludf.DUMMYFUNCTION("""COMPUTED_VALUE"""),909139.0)</f>
        <v>909139</v>
      </c>
    </row>
    <row r="49">
      <c r="A49" s="7">
        <f>IFERROR(__xludf.DUMMYFUNCTION("""COMPUTED_VALUE"""),45520.64583333333)</f>
        <v>45520.64583</v>
      </c>
      <c r="B49" s="6">
        <f>IFERROR(__xludf.DUMMYFUNCTION("""COMPUTED_VALUE"""),24310.0)</f>
        <v>24310</v>
      </c>
      <c r="C49" s="6">
        <f>IFERROR(__xludf.DUMMYFUNCTION("""COMPUTED_VALUE"""),24700.05)</f>
        <v>24700.05</v>
      </c>
      <c r="D49" s="6">
        <f>IFERROR(__xludf.DUMMYFUNCTION("""COMPUTED_VALUE"""),24008.45)</f>
        <v>24008.45</v>
      </c>
      <c r="E49" s="6">
        <f>IFERROR(__xludf.DUMMYFUNCTION("""COMPUTED_VALUE"""),24642.85)</f>
        <v>24642.85</v>
      </c>
      <c r="F49" s="6">
        <f>IFERROR(__xludf.DUMMYFUNCTION("""COMPUTED_VALUE"""),229295.0)</f>
        <v>229295</v>
      </c>
    </row>
    <row r="50">
      <c r="A50" s="7">
        <f>IFERROR(__xludf.DUMMYFUNCTION("""COMPUTED_VALUE"""),45527.64583333333)</f>
        <v>45527.64583</v>
      </c>
      <c r="B50" s="6">
        <f>IFERROR(__xludf.DUMMYFUNCTION("""COMPUTED_VALUE"""),24830.3)</f>
        <v>24830.3</v>
      </c>
      <c r="C50" s="6">
        <f>IFERROR(__xludf.DUMMYFUNCTION("""COMPUTED_VALUE"""),25224.95)</f>
        <v>25224.95</v>
      </c>
      <c r="D50" s="6">
        <f>IFERROR(__xludf.DUMMYFUNCTION("""COMPUTED_VALUE"""),24600.0)</f>
        <v>24600</v>
      </c>
      <c r="E50" s="6">
        <f>IFERROR(__xludf.DUMMYFUNCTION("""COMPUTED_VALUE"""),24706.05)</f>
        <v>24706.05</v>
      </c>
      <c r="F50" s="6">
        <f>IFERROR(__xludf.DUMMYFUNCTION("""COMPUTED_VALUE"""),118632.0)</f>
        <v>118632</v>
      </c>
    </row>
    <row r="51">
      <c r="A51" s="7">
        <f>IFERROR(__xludf.DUMMYFUNCTION("""COMPUTED_VALUE"""),45534.64583333333)</f>
        <v>45534.64583</v>
      </c>
      <c r="B51" s="6">
        <f>IFERROR(__xludf.DUMMYFUNCTION("""COMPUTED_VALUE"""),24751.0)</f>
        <v>24751</v>
      </c>
      <c r="C51" s="6">
        <f>IFERROR(__xludf.DUMMYFUNCTION("""COMPUTED_VALUE"""),25561.9)</f>
        <v>25561.9</v>
      </c>
      <c r="D51" s="6">
        <f>IFERROR(__xludf.DUMMYFUNCTION("""COMPUTED_VALUE"""),24540.05)</f>
        <v>24540.05</v>
      </c>
      <c r="E51" s="6">
        <f>IFERROR(__xludf.DUMMYFUNCTION("""COMPUTED_VALUE"""),25482.0)</f>
        <v>25482</v>
      </c>
      <c r="F51" s="6">
        <f>IFERROR(__xludf.DUMMYFUNCTION("""COMPUTED_VALUE"""),185931.0)</f>
        <v>185931</v>
      </c>
    </row>
    <row r="52">
      <c r="A52" s="7">
        <f>IFERROR(__xludf.DUMMYFUNCTION("""COMPUTED_VALUE"""),45541.64583333333)</f>
        <v>45541.64583</v>
      </c>
      <c r="B52" s="6">
        <f>IFERROR(__xludf.DUMMYFUNCTION("""COMPUTED_VALUE"""),25590.0)</f>
        <v>25590</v>
      </c>
      <c r="C52" s="6">
        <f>IFERROR(__xludf.DUMMYFUNCTION("""COMPUTED_VALUE"""),26280.0)</f>
        <v>26280</v>
      </c>
      <c r="D52" s="6">
        <f>IFERROR(__xludf.DUMMYFUNCTION("""COMPUTED_VALUE"""),25260.0)</f>
        <v>25260</v>
      </c>
      <c r="E52" s="6">
        <f>IFERROR(__xludf.DUMMYFUNCTION("""COMPUTED_VALUE"""),25610.45)</f>
        <v>25610.45</v>
      </c>
      <c r="F52" s="6">
        <f>IFERROR(__xludf.DUMMYFUNCTION("""COMPUTED_VALUE"""),234879.0)</f>
        <v>234879</v>
      </c>
    </row>
    <row r="53">
      <c r="A53" s="7">
        <f>IFERROR(__xludf.DUMMYFUNCTION("""COMPUTED_VALUE"""),45548.64583333333)</f>
        <v>45548.64583</v>
      </c>
      <c r="B53" s="6">
        <f>IFERROR(__xludf.DUMMYFUNCTION("""COMPUTED_VALUE"""),25552.0)</f>
        <v>25552</v>
      </c>
      <c r="C53" s="6">
        <f>IFERROR(__xludf.DUMMYFUNCTION("""COMPUTED_VALUE"""),26144.7)</f>
        <v>26144.7</v>
      </c>
      <c r="D53" s="6">
        <f>IFERROR(__xludf.DUMMYFUNCTION("""COMPUTED_VALUE"""),25313.3)</f>
        <v>25313.3</v>
      </c>
      <c r="E53" s="6">
        <f>IFERROR(__xludf.DUMMYFUNCTION("""COMPUTED_VALUE"""),25883.1)</f>
        <v>25883.1</v>
      </c>
      <c r="F53" s="6">
        <f>IFERROR(__xludf.DUMMYFUNCTION("""COMPUTED_VALUE"""),113569.0)</f>
        <v>113569</v>
      </c>
    </row>
    <row r="54">
      <c r="A54" s="7">
        <f>IFERROR(__xludf.DUMMYFUNCTION("""COMPUTED_VALUE"""),45555.64583333333)</f>
        <v>45555.64583</v>
      </c>
      <c r="B54" s="6">
        <f>IFERROR(__xludf.DUMMYFUNCTION("""COMPUTED_VALUE"""),26001.0)</f>
        <v>26001</v>
      </c>
      <c r="C54" s="6">
        <f>IFERROR(__xludf.DUMMYFUNCTION("""COMPUTED_VALUE"""),26050.0)</f>
        <v>26050</v>
      </c>
      <c r="D54" s="6">
        <f>IFERROR(__xludf.DUMMYFUNCTION("""COMPUTED_VALUE"""),24690.7)</f>
        <v>24690.7</v>
      </c>
      <c r="E54" s="6">
        <f>IFERROR(__xludf.DUMMYFUNCTION("""COMPUTED_VALUE"""),25141.7)</f>
        <v>25141.7</v>
      </c>
      <c r="F54" s="6">
        <f>IFERROR(__xludf.DUMMYFUNCTION("""COMPUTED_VALUE"""),117427.0)</f>
        <v>117427</v>
      </c>
    </row>
    <row r="55">
      <c r="A55" s="7">
        <f>IFERROR(__xludf.DUMMYFUNCTION("""COMPUTED_VALUE"""),45562.64583333333)</f>
        <v>45562.64583</v>
      </c>
      <c r="B55" s="6">
        <f>IFERROR(__xludf.DUMMYFUNCTION("""COMPUTED_VALUE"""),25222.0)</f>
        <v>25222</v>
      </c>
      <c r="C55" s="6">
        <f>IFERROR(__xludf.DUMMYFUNCTION("""COMPUTED_VALUE"""),26550.0)</f>
        <v>26550</v>
      </c>
      <c r="D55" s="6">
        <f>IFERROR(__xludf.DUMMYFUNCTION("""COMPUTED_VALUE"""),24952.15)</f>
        <v>24952.15</v>
      </c>
      <c r="E55" s="6">
        <f>IFERROR(__xludf.DUMMYFUNCTION("""COMPUTED_VALUE"""),26247.9)</f>
        <v>26247.9</v>
      </c>
      <c r="F55" s="6">
        <f>IFERROR(__xludf.DUMMYFUNCTION("""COMPUTED_VALUE"""),169830.0)</f>
        <v>169830</v>
      </c>
    </row>
    <row r="56">
      <c r="A56" s="7">
        <f>IFERROR(__xludf.DUMMYFUNCTION("""COMPUTED_VALUE"""),45569.64583333333)</f>
        <v>45569.64583</v>
      </c>
      <c r="B56" s="6">
        <f>IFERROR(__xludf.DUMMYFUNCTION("""COMPUTED_VALUE"""),26149.0)</f>
        <v>26149</v>
      </c>
      <c r="C56" s="6">
        <f>IFERROR(__xludf.DUMMYFUNCTION("""COMPUTED_VALUE"""),26698.9)</f>
        <v>26698.9</v>
      </c>
      <c r="D56" s="6">
        <f>IFERROR(__xludf.DUMMYFUNCTION("""COMPUTED_VALUE"""),25865.0)</f>
        <v>25865</v>
      </c>
      <c r="E56" s="6">
        <f>IFERROR(__xludf.DUMMYFUNCTION("""COMPUTED_VALUE"""),26034.2)</f>
        <v>26034.2</v>
      </c>
      <c r="F56" s="6">
        <f>IFERROR(__xludf.DUMMYFUNCTION("""COMPUTED_VALUE"""),128600.0)</f>
        <v>128600</v>
      </c>
    </row>
    <row r="57">
      <c r="A57" s="7">
        <f>IFERROR(__xludf.DUMMYFUNCTION("""COMPUTED_VALUE"""),45576.64583333333)</f>
        <v>45576.64583</v>
      </c>
      <c r="B57" s="6">
        <f>IFERROR(__xludf.DUMMYFUNCTION("""COMPUTED_VALUE"""),26034.2)</f>
        <v>26034.2</v>
      </c>
      <c r="C57" s="6">
        <f>IFERROR(__xludf.DUMMYFUNCTION("""COMPUTED_VALUE"""),26168.0)</f>
        <v>26168</v>
      </c>
      <c r="D57" s="6">
        <f>IFERROR(__xludf.DUMMYFUNCTION("""COMPUTED_VALUE"""),24219.95)</f>
        <v>24219.95</v>
      </c>
      <c r="E57" s="6">
        <f>IFERROR(__xludf.DUMMYFUNCTION("""COMPUTED_VALUE"""),24337.05)</f>
        <v>24337.05</v>
      </c>
      <c r="F57" s="6">
        <f>IFERROR(__xludf.DUMMYFUNCTION("""COMPUTED_VALUE"""),162583.0)</f>
        <v>162583</v>
      </c>
    </row>
    <row r="58">
      <c r="A58" s="7">
        <f>IFERROR(__xludf.DUMMYFUNCTION("""COMPUTED_VALUE"""),45583.64583333333)</f>
        <v>45583.64583</v>
      </c>
      <c r="B58" s="6">
        <f>IFERROR(__xludf.DUMMYFUNCTION("""COMPUTED_VALUE"""),24435.0)</f>
        <v>24435</v>
      </c>
      <c r="C58" s="6">
        <f>IFERROR(__xludf.DUMMYFUNCTION("""COMPUTED_VALUE"""),24966.75)</f>
        <v>24966.75</v>
      </c>
      <c r="D58" s="6">
        <f>IFERROR(__xludf.DUMMYFUNCTION("""COMPUTED_VALUE"""),24050.0)</f>
        <v>24050</v>
      </c>
      <c r="E58" s="6">
        <f>IFERROR(__xludf.DUMMYFUNCTION("""COMPUTED_VALUE"""),24325.25)</f>
        <v>24325.25</v>
      </c>
      <c r="F58" s="6">
        <f>IFERROR(__xludf.DUMMYFUNCTION("""COMPUTED_VALUE"""),80488.0)</f>
        <v>80488</v>
      </c>
    </row>
    <row r="59">
      <c r="A59" s="7">
        <f>IFERROR(__xludf.DUMMYFUNCTION("""COMPUTED_VALUE"""),45590.64583333333)</f>
        <v>45590.64583</v>
      </c>
      <c r="B59" s="6">
        <f>IFERROR(__xludf.DUMMYFUNCTION("""COMPUTED_VALUE"""),24320.4)</f>
        <v>24320.4</v>
      </c>
      <c r="C59" s="6">
        <f>IFERROR(__xludf.DUMMYFUNCTION("""COMPUTED_VALUE"""),25365.4)</f>
        <v>25365.4</v>
      </c>
      <c r="D59" s="6">
        <f>IFERROR(__xludf.DUMMYFUNCTION("""COMPUTED_VALUE"""),23999.85)</f>
        <v>23999.85</v>
      </c>
      <c r="E59" s="6">
        <f>IFERROR(__xludf.DUMMYFUNCTION("""COMPUTED_VALUE"""),24956.8)</f>
        <v>24956.8</v>
      </c>
      <c r="F59" s="6">
        <f>IFERROR(__xludf.DUMMYFUNCTION("""COMPUTED_VALUE"""),233887.0)</f>
        <v>233887</v>
      </c>
    </row>
    <row r="60">
      <c r="A60" s="7">
        <f>IFERROR(__xludf.DUMMYFUNCTION("""COMPUTED_VALUE"""),45604.64583333333)</f>
        <v>45604.64583</v>
      </c>
      <c r="B60" s="6">
        <f>IFERROR(__xludf.DUMMYFUNCTION("""COMPUTED_VALUE"""),25241.05)</f>
        <v>25241.05</v>
      </c>
      <c r="C60" s="6">
        <f>IFERROR(__xludf.DUMMYFUNCTION("""COMPUTED_VALUE"""),25400.0)</f>
        <v>25400</v>
      </c>
      <c r="D60" s="6">
        <f>IFERROR(__xludf.DUMMYFUNCTION("""COMPUTED_VALUE"""),24245.5)</f>
        <v>24245.5</v>
      </c>
      <c r="E60" s="6">
        <f>IFERROR(__xludf.DUMMYFUNCTION("""COMPUTED_VALUE"""),24533.0)</f>
        <v>24533</v>
      </c>
      <c r="F60" s="6">
        <f>IFERROR(__xludf.DUMMYFUNCTION("""COMPUTED_VALUE"""),58433.0)</f>
        <v>58433</v>
      </c>
    </row>
    <row r="61">
      <c r="A61" s="7">
        <f>IFERROR(__xludf.DUMMYFUNCTION("""COMPUTED_VALUE"""),45610.64583333333)</f>
        <v>45610.64583</v>
      </c>
      <c r="B61" s="6">
        <f>IFERROR(__xludf.DUMMYFUNCTION("""COMPUTED_VALUE"""),24500.0)</f>
        <v>24500</v>
      </c>
      <c r="C61" s="6">
        <f>IFERROR(__xludf.DUMMYFUNCTION("""COMPUTED_VALUE"""),24562.0)</f>
        <v>24562</v>
      </c>
      <c r="D61" s="6">
        <f>IFERROR(__xludf.DUMMYFUNCTION("""COMPUTED_VALUE"""),23500.0)</f>
        <v>23500</v>
      </c>
      <c r="E61" s="6">
        <f>IFERROR(__xludf.DUMMYFUNCTION("""COMPUTED_VALUE"""),24091.7)</f>
        <v>24091.7</v>
      </c>
      <c r="F61" s="6">
        <f>IFERROR(__xludf.DUMMYFUNCTION("""COMPUTED_VALUE"""),185591.0)</f>
        <v>185591</v>
      </c>
    </row>
    <row r="62">
      <c r="A62" s="7">
        <f>IFERROR(__xludf.DUMMYFUNCTION("""COMPUTED_VALUE"""),45618.64583333333)</f>
        <v>45618.64583</v>
      </c>
      <c r="B62" s="6">
        <f>IFERROR(__xludf.DUMMYFUNCTION("""COMPUTED_VALUE"""),23984.9)</f>
        <v>23984.9</v>
      </c>
      <c r="C62" s="6">
        <f>IFERROR(__xludf.DUMMYFUNCTION("""COMPUTED_VALUE"""),24822.0)</f>
        <v>24822</v>
      </c>
      <c r="D62" s="6">
        <f>IFERROR(__xludf.DUMMYFUNCTION("""COMPUTED_VALUE"""),23821.1)</f>
        <v>23821.1</v>
      </c>
      <c r="E62" s="6">
        <f>IFERROR(__xludf.DUMMYFUNCTION("""COMPUTED_VALUE"""),24794.75)</f>
        <v>24794.75</v>
      </c>
      <c r="F62" s="6">
        <f>IFERROR(__xludf.DUMMYFUNCTION("""COMPUTED_VALUE"""),102046.0)</f>
        <v>102046</v>
      </c>
    </row>
    <row r="63">
      <c r="A63" s="7">
        <f>IFERROR(__xludf.DUMMYFUNCTION("""COMPUTED_VALUE"""),45625.64583333333)</f>
        <v>45625.64583</v>
      </c>
      <c r="B63" s="6">
        <f>IFERROR(__xludf.DUMMYFUNCTION("""COMPUTED_VALUE"""),24972.3)</f>
        <v>24972.3</v>
      </c>
      <c r="C63" s="6">
        <f>IFERROR(__xludf.DUMMYFUNCTION("""COMPUTED_VALUE"""),26330.0)</f>
        <v>26330</v>
      </c>
      <c r="D63" s="6">
        <f>IFERROR(__xludf.DUMMYFUNCTION("""COMPUTED_VALUE"""),24803.0)</f>
        <v>24803</v>
      </c>
      <c r="E63" s="6">
        <f>IFERROR(__xludf.DUMMYFUNCTION("""COMPUTED_VALUE"""),26076.45)</f>
        <v>26076.45</v>
      </c>
      <c r="F63" s="6">
        <f>IFERROR(__xludf.DUMMYFUNCTION("""COMPUTED_VALUE"""),187853.0)</f>
        <v>187853</v>
      </c>
    </row>
    <row r="64">
      <c r="A64" s="7">
        <f>IFERROR(__xludf.DUMMYFUNCTION("""COMPUTED_VALUE"""),45632.64583333333)</f>
        <v>45632.64583</v>
      </c>
      <c r="B64" s="6">
        <f>IFERROR(__xludf.DUMMYFUNCTION("""COMPUTED_VALUE"""),26000.0)</f>
        <v>26000</v>
      </c>
      <c r="C64" s="6">
        <f>IFERROR(__xludf.DUMMYFUNCTION("""COMPUTED_VALUE"""),27521.0)</f>
        <v>27521</v>
      </c>
      <c r="D64" s="6">
        <f>IFERROR(__xludf.DUMMYFUNCTION("""COMPUTED_VALUE"""),26000.0)</f>
        <v>26000</v>
      </c>
      <c r="E64" s="6">
        <f>IFERROR(__xludf.DUMMYFUNCTION("""COMPUTED_VALUE"""),27076.65)</f>
        <v>27076.65</v>
      </c>
      <c r="F64" s="6">
        <f>IFERROR(__xludf.DUMMYFUNCTION("""COMPUTED_VALUE"""),196975.0)</f>
        <v>196975</v>
      </c>
    </row>
    <row r="65">
      <c r="A65" s="7">
        <f>IFERROR(__xludf.DUMMYFUNCTION("""COMPUTED_VALUE"""),45639.64583333333)</f>
        <v>45639.64583</v>
      </c>
      <c r="B65" s="6">
        <f>IFERROR(__xludf.DUMMYFUNCTION("""COMPUTED_VALUE"""),27076.0)</f>
        <v>27076</v>
      </c>
      <c r="C65" s="6">
        <f>IFERROR(__xludf.DUMMYFUNCTION("""COMPUTED_VALUE"""),27687.95)</f>
        <v>27687.95</v>
      </c>
      <c r="D65" s="6">
        <f>IFERROR(__xludf.DUMMYFUNCTION("""COMPUTED_VALUE"""),26453.05)</f>
        <v>26453.05</v>
      </c>
      <c r="E65" s="6">
        <f>IFERROR(__xludf.DUMMYFUNCTION("""COMPUTED_VALUE"""),27591.45)</f>
        <v>27591.45</v>
      </c>
      <c r="F65" s="6">
        <f>IFERROR(__xludf.DUMMYFUNCTION("""COMPUTED_VALUE"""),96780.0)</f>
        <v>96780</v>
      </c>
    </row>
    <row r="66">
      <c r="A66" s="7">
        <f>IFERROR(__xludf.DUMMYFUNCTION("""COMPUTED_VALUE"""),45646.64583333333)</f>
        <v>45646.64583</v>
      </c>
      <c r="B66" s="6">
        <f>IFERROR(__xludf.DUMMYFUNCTION("""COMPUTED_VALUE"""),27502.0)</f>
        <v>27502</v>
      </c>
      <c r="C66" s="6">
        <f>IFERROR(__xludf.DUMMYFUNCTION("""COMPUTED_VALUE"""),28494.9)</f>
        <v>28494.9</v>
      </c>
      <c r="D66" s="6">
        <f>IFERROR(__xludf.DUMMYFUNCTION("""COMPUTED_VALUE"""),27000.0)</f>
        <v>27000</v>
      </c>
      <c r="E66" s="6">
        <f>IFERROR(__xludf.DUMMYFUNCTION("""COMPUTED_VALUE"""),27063.5)</f>
        <v>27063.5</v>
      </c>
      <c r="F66" s="6">
        <f>IFERROR(__xludf.DUMMYFUNCTION("""COMPUTED_VALUE"""),126701.0)</f>
        <v>126701</v>
      </c>
    </row>
    <row r="67">
      <c r="A67" s="7">
        <f>IFERROR(__xludf.DUMMYFUNCTION("""COMPUTED_VALUE"""),45653.64583333333)</f>
        <v>45653.64583</v>
      </c>
      <c r="B67" s="6">
        <f>IFERROR(__xludf.DUMMYFUNCTION("""COMPUTED_VALUE"""),27131.15)</f>
        <v>27131.15</v>
      </c>
      <c r="C67" s="6">
        <f>IFERROR(__xludf.DUMMYFUNCTION("""COMPUTED_VALUE"""),27383.95)</f>
        <v>27383.95</v>
      </c>
      <c r="D67" s="6">
        <f>IFERROR(__xludf.DUMMYFUNCTION("""COMPUTED_VALUE"""),25864.65)</f>
        <v>25864.65</v>
      </c>
      <c r="E67" s="6">
        <f>IFERROR(__xludf.DUMMYFUNCTION("""COMPUTED_VALUE"""),26049.0)</f>
        <v>26049</v>
      </c>
      <c r="F67" s="6">
        <f>IFERROR(__xludf.DUMMYFUNCTION("""COMPUTED_VALUE"""),170376.0)</f>
        <v>170376</v>
      </c>
    </row>
    <row r="68">
      <c r="A68" s="7">
        <f>IFERROR(__xludf.DUMMYFUNCTION("""COMPUTED_VALUE"""),45660.64583333333)</f>
        <v>45660.64583</v>
      </c>
      <c r="B68" s="6">
        <f>IFERROR(__xludf.DUMMYFUNCTION("""COMPUTED_VALUE"""),25990.0)</f>
        <v>25990</v>
      </c>
      <c r="C68" s="6">
        <f>IFERROR(__xludf.DUMMYFUNCTION("""COMPUTED_VALUE"""),26955.0)</f>
        <v>26955</v>
      </c>
      <c r="D68" s="6">
        <f>IFERROR(__xludf.DUMMYFUNCTION("""COMPUTED_VALUE"""),25176.1)</f>
        <v>25176.1</v>
      </c>
      <c r="E68" s="6">
        <f>IFERROR(__xludf.DUMMYFUNCTION("""COMPUTED_VALUE"""),26096.25)</f>
        <v>26096.25</v>
      </c>
      <c r="F68" s="6">
        <f>IFERROR(__xludf.DUMMYFUNCTION("""COMPUTED_VALUE"""),192260.0)</f>
        <v>192260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IFERROR(__xludf.DUMMYFUNCTION("""COMPUTED_VALUE"""),26121.0)</f>
        <v>26121</v>
      </c>
      <c r="C69" s="6">
        <f>IFERROR(__xludf.DUMMYFUNCTION("""COMPUTED_VALUE"""),26327.95)</f>
        <v>26327.95</v>
      </c>
      <c r="D69" s="6">
        <f>IFERROR(__xludf.DUMMYFUNCTION("""COMPUTED_VALUE"""),25550.05)</f>
        <v>25550.05</v>
      </c>
      <c r="E69" s="6">
        <f>IFERROR(__xludf.DUMMYFUNCTION("""COMPUTED_VALUE"""),25738.3)</f>
        <v>25738.3</v>
      </c>
      <c r="F69" s="6">
        <f>IFERROR(__xludf.DUMMYFUNCTION("""COMPUTED_VALUE"""),127746.0)</f>
        <v>127746</v>
      </c>
    </row>
    <row r="70">
      <c r="A70" s="7">
        <f>IFERROR(__xludf.DUMMYFUNCTION("""COMPUTED_VALUE"""),45674.64583333333)</f>
        <v>45674.64583</v>
      </c>
      <c r="B70" s="6">
        <f>IFERROR(__xludf.DUMMYFUNCTION("""COMPUTED_VALUE"""),25427.6)</f>
        <v>25427.6</v>
      </c>
      <c r="C70" s="6">
        <f>IFERROR(__xludf.DUMMYFUNCTION("""COMPUTED_VALUE"""),25794.0)</f>
        <v>25794</v>
      </c>
      <c r="D70" s="6">
        <f>IFERROR(__xludf.DUMMYFUNCTION("""COMPUTED_VALUE"""),24817.8)</f>
        <v>24817.8</v>
      </c>
      <c r="E70" s="6">
        <f>IFERROR(__xludf.DUMMYFUNCTION("""COMPUTED_VALUE"""),25315.45)</f>
        <v>25315.45</v>
      </c>
      <c r="F70" s="6">
        <f>IFERROR(__xludf.DUMMYFUNCTION("""COMPUTED_VALUE"""),123156.0)</f>
        <v>123156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IFERROR(__xludf.DUMMYFUNCTION("""COMPUTED_VALUE"""),25315.45)</f>
        <v>25315.45</v>
      </c>
      <c r="C71" s="6">
        <f>IFERROR(__xludf.DUMMYFUNCTION("""COMPUTED_VALUE"""),26393.4)</f>
        <v>26393.4</v>
      </c>
      <c r="D71" s="6">
        <f>IFERROR(__xludf.DUMMYFUNCTION("""COMPUTED_VALUE"""),24967.55)</f>
        <v>24967.55</v>
      </c>
      <c r="E71" s="6">
        <f>IFERROR(__xludf.DUMMYFUNCTION("""COMPUTED_VALUE"""),25783.15)</f>
        <v>25783.15</v>
      </c>
      <c r="F71" s="6">
        <f>IFERROR(__xludf.DUMMYFUNCTION("""COMPUTED_VALUE"""),148538.0)</f>
        <v>148538</v>
      </c>
    </row>
    <row r="72">
      <c r="A72" s="7">
        <f>IFERROR(__xludf.DUMMYFUNCTION("""COMPUTED_VALUE"""),45695.64583333333)</f>
        <v>45695.64583</v>
      </c>
      <c r="B72" s="6">
        <f>IFERROR(__xludf.DUMMYFUNCTION("""COMPUTED_VALUE"""),27000.0)</f>
        <v>27000</v>
      </c>
      <c r="C72" s="6">
        <f>IFERROR(__xludf.DUMMYFUNCTION("""COMPUTED_VALUE"""),28598.45)</f>
        <v>28598.45</v>
      </c>
      <c r="D72" s="6">
        <f>IFERROR(__xludf.DUMMYFUNCTION("""COMPUTED_VALUE"""),26856.55)</f>
        <v>26856.55</v>
      </c>
      <c r="E72" s="6">
        <f>IFERROR(__xludf.DUMMYFUNCTION("""COMPUTED_VALUE"""),28249.1)</f>
        <v>28249.1</v>
      </c>
      <c r="F72" s="6">
        <f>IFERROR(__xludf.DUMMYFUNCTION("""COMPUTED_VALUE"""),167681.0)</f>
        <v>167681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IFERROR(__xludf.DUMMYFUNCTION("""COMPUTED_VALUE"""),28308.0)</f>
        <v>28308</v>
      </c>
      <c r="C73" s="6">
        <f>IFERROR(__xludf.DUMMYFUNCTION("""COMPUTED_VALUE"""),28750.0)</f>
        <v>28750</v>
      </c>
      <c r="D73" s="6">
        <f>IFERROR(__xludf.DUMMYFUNCTION("""COMPUTED_VALUE"""),27352.4)</f>
        <v>27352.4</v>
      </c>
      <c r="E73" s="6">
        <f>IFERROR(__xludf.DUMMYFUNCTION("""COMPUTED_VALUE"""),28556.05)</f>
        <v>28556.05</v>
      </c>
      <c r="F73" s="6">
        <f>IFERROR(__xludf.DUMMYFUNCTION("""COMPUTED_VALUE"""),188170.0)</f>
        <v>188170</v>
      </c>
    </row>
    <row r="74">
      <c r="A74" s="7">
        <f>IFERROR(__xludf.DUMMYFUNCTION("""COMPUTED_VALUE"""),45709.64583333333)</f>
        <v>45709.64583</v>
      </c>
      <c r="B74" s="6">
        <f>IFERROR(__xludf.DUMMYFUNCTION("""COMPUTED_VALUE"""),28490.0)</f>
        <v>28490</v>
      </c>
      <c r="C74" s="6">
        <f>IFERROR(__xludf.DUMMYFUNCTION("""COMPUTED_VALUE"""),28900.0)</f>
        <v>28900</v>
      </c>
      <c r="D74" s="6">
        <f>IFERROR(__xludf.DUMMYFUNCTION("""COMPUTED_VALUE"""),28007.65)</f>
        <v>28007.65</v>
      </c>
      <c r="E74" s="6">
        <f>IFERROR(__xludf.DUMMYFUNCTION("""COMPUTED_VALUE"""),28405.7)</f>
        <v>28405.7</v>
      </c>
      <c r="F74" s="6">
        <f>IFERROR(__xludf.DUMMYFUNCTION("""COMPUTED_VALUE"""),108864.0)</f>
        <v>108864</v>
      </c>
    </row>
    <row r="75">
      <c r="A75" s="7">
        <f>IFERROR(__xludf.DUMMYFUNCTION("""COMPUTED_VALUE"""),45716.64583333333)</f>
        <v>45716.64583</v>
      </c>
      <c r="B75" s="6">
        <f>IFERROR(__xludf.DUMMYFUNCTION("""COMPUTED_VALUE"""),28301.0)</f>
        <v>28301</v>
      </c>
      <c r="C75" s="6">
        <f>IFERROR(__xludf.DUMMYFUNCTION("""COMPUTED_VALUE"""),28589.0)</f>
        <v>28589</v>
      </c>
      <c r="D75" s="6">
        <f>IFERROR(__xludf.DUMMYFUNCTION("""COMPUTED_VALUE"""),27002.2)</f>
        <v>27002.2</v>
      </c>
      <c r="E75" s="6">
        <f>IFERROR(__xludf.DUMMYFUNCTION("""COMPUTED_VALUE"""),27284.0)</f>
        <v>27284</v>
      </c>
      <c r="F75" s="6">
        <f>IFERROR(__xludf.DUMMYFUNCTION("""COMPUTED_VALUE"""),168337.0)</f>
        <v>168337</v>
      </c>
    </row>
    <row r="76">
      <c r="A76" s="7">
        <f>IFERROR(__xludf.DUMMYFUNCTION("""COMPUTED_VALUE"""),45723.64583333333)</f>
        <v>45723.64583</v>
      </c>
      <c r="B76" s="6">
        <f>IFERROR(__xludf.DUMMYFUNCTION("""COMPUTED_VALUE"""),27284.0)</f>
        <v>27284</v>
      </c>
      <c r="C76" s="6">
        <f>IFERROR(__xludf.DUMMYFUNCTION("""COMPUTED_VALUE"""),28548.0)</f>
        <v>28548</v>
      </c>
      <c r="D76" s="6">
        <f>IFERROR(__xludf.DUMMYFUNCTION("""COMPUTED_VALUE"""),27151.05)</f>
        <v>27151.05</v>
      </c>
      <c r="E76" s="6">
        <f>IFERROR(__xludf.DUMMYFUNCTION("""COMPUTED_VALUE"""),27985.2)</f>
        <v>27985.2</v>
      </c>
      <c r="F76" s="6">
        <f>IFERROR(__xludf.DUMMYFUNCTION("""COMPUTED_VALUE"""),183314.0)</f>
        <v>183314</v>
      </c>
    </row>
    <row r="77">
      <c r="A77" s="7">
        <f>IFERROR(__xludf.DUMMYFUNCTION("""COMPUTED_VALUE"""),45729.64583333333)</f>
        <v>45729.64583</v>
      </c>
      <c r="B77" s="6">
        <f>IFERROR(__xludf.DUMMYFUNCTION("""COMPUTED_VALUE"""),27985.2)</f>
        <v>27985.2</v>
      </c>
      <c r="C77" s="6">
        <f>IFERROR(__xludf.DUMMYFUNCTION("""COMPUTED_VALUE"""),28351.0)</f>
        <v>28351</v>
      </c>
      <c r="D77" s="6">
        <f>IFERROR(__xludf.DUMMYFUNCTION("""COMPUTED_VALUE"""),27251.05)</f>
        <v>27251.05</v>
      </c>
      <c r="E77" s="6">
        <f>IFERROR(__xludf.DUMMYFUNCTION("""COMPUTED_VALUE"""),27495.15)</f>
        <v>27495.15</v>
      </c>
      <c r="F77" s="6">
        <f>IFERROR(__xludf.DUMMYFUNCTION("""COMPUTED_VALUE"""),77076.0)</f>
        <v>77076</v>
      </c>
    </row>
    <row r="78">
      <c r="A78" s="7">
        <f>IFERROR(__xludf.DUMMYFUNCTION("""COMPUTED_VALUE"""),45737.64583333333)</f>
        <v>45737.64583</v>
      </c>
      <c r="B78" s="6">
        <f>IFERROR(__xludf.DUMMYFUNCTION("""COMPUTED_VALUE"""),27495.15)</f>
        <v>27495.15</v>
      </c>
      <c r="C78" s="6">
        <f>IFERROR(__xludf.DUMMYFUNCTION("""COMPUTED_VALUE"""),29320.0)</f>
        <v>29320</v>
      </c>
      <c r="D78" s="6">
        <f>IFERROR(__xludf.DUMMYFUNCTION("""COMPUTED_VALUE"""),27373.35)</f>
        <v>27373.35</v>
      </c>
      <c r="E78" s="6">
        <f>IFERROR(__xludf.DUMMYFUNCTION("""COMPUTED_VALUE"""),28987.4)</f>
        <v>28987.4</v>
      </c>
      <c r="F78" s="6">
        <f>IFERROR(__xludf.DUMMYFUNCTION("""COMPUTED_VALUE"""),221928.0)</f>
        <v>221928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IFERROR(__xludf.DUMMYFUNCTION("""COMPUTED_VALUE"""),29050.0)</f>
        <v>29050</v>
      </c>
      <c r="C79" s="6">
        <f>IFERROR(__xludf.DUMMYFUNCTION("""COMPUTED_VALUE"""),31237.95)</f>
        <v>31237.95</v>
      </c>
      <c r="D79" s="6">
        <f>IFERROR(__xludf.DUMMYFUNCTION("""COMPUTED_VALUE"""),28931.0)</f>
        <v>28931</v>
      </c>
      <c r="E79" s="6">
        <f>IFERROR(__xludf.DUMMYFUNCTION("""COMPUTED_VALUE"""),30502.95)</f>
        <v>30502.95</v>
      </c>
      <c r="F79" s="6">
        <f>IFERROR(__xludf.DUMMYFUNCTION("""COMPUTED_VALUE"""),254097.0)</f>
        <v>254097</v>
      </c>
    </row>
    <row r="80">
      <c r="A80" s="7">
        <f>IFERROR(__xludf.DUMMYFUNCTION("""COMPUTED_VALUE"""),45751.64583333333)</f>
        <v>45751.64583</v>
      </c>
      <c r="B80" s="6">
        <f>IFERROR(__xludf.DUMMYFUNCTION("""COMPUTED_VALUE"""),30546.15)</f>
        <v>30546.15</v>
      </c>
      <c r="C80" s="6">
        <f>IFERROR(__xludf.DUMMYFUNCTION("""COMPUTED_VALUE"""),31139.95)</f>
        <v>31139.95</v>
      </c>
      <c r="D80" s="6">
        <f>IFERROR(__xludf.DUMMYFUNCTION("""COMPUTED_VALUE"""),29900.05)</f>
        <v>29900.05</v>
      </c>
      <c r="E80" s="6">
        <f>IFERROR(__xludf.DUMMYFUNCTION("""COMPUTED_VALUE"""),30694.5)</f>
        <v>30694.5</v>
      </c>
      <c r="F80" s="6">
        <f>IFERROR(__xludf.DUMMYFUNCTION("""COMPUTED_VALUE"""),112766.0)</f>
        <v>112766</v>
      </c>
    </row>
    <row r="81">
      <c r="A81" s="7">
        <f>IFERROR(__xludf.DUMMYFUNCTION("""COMPUTED_VALUE"""),45758.64583333333)</f>
        <v>45758.64583</v>
      </c>
      <c r="B81" s="6">
        <f>IFERROR(__xludf.DUMMYFUNCTION("""COMPUTED_VALUE"""),29600.3)</f>
        <v>29600.3</v>
      </c>
      <c r="C81" s="6">
        <f>IFERROR(__xludf.DUMMYFUNCTION("""COMPUTED_VALUE"""),30709.95)</f>
        <v>30709.95</v>
      </c>
      <c r="D81" s="6">
        <f>IFERROR(__xludf.DUMMYFUNCTION("""COMPUTED_VALUE"""),29390.0)</f>
        <v>29390</v>
      </c>
      <c r="E81" s="6">
        <f>IFERROR(__xludf.DUMMYFUNCTION("""COMPUTED_VALUE"""),30107.95)</f>
        <v>30107.95</v>
      </c>
      <c r="F81" s="6">
        <f>IFERROR(__xludf.DUMMYFUNCTION("""COMPUTED_VALUE"""),168506.0)</f>
        <v>168506</v>
      </c>
    </row>
    <row r="82">
      <c r="A82" s="7">
        <f>IFERROR(__xludf.DUMMYFUNCTION("""COMPUTED_VALUE"""),45764.64583333333)</f>
        <v>45764.64583</v>
      </c>
      <c r="B82" s="6">
        <f>IFERROR(__xludf.DUMMYFUNCTION("""COMPUTED_VALUE"""),31000.0)</f>
        <v>31000</v>
      </c>
      <c r="C82" s="6">
        <f>IFERROR(__xludf.DUMMYFUNCTION("""COMPUTED_VALUE"""),31290.0)</f>
        <v>31290</v>
      </c>
      <c r="D82" s="6">
        <f>IFERROR(__xludf.DUMMYFUNCTION("""COMPUTED_VALUE"""),30155.0)</f>
        <v>30155</v>
      </c>
      <c r="E82" s="6">
        <f>IFERROR(__xludf.DUMMYFUNCTION("""COMPUTED_VALUE"""),31000.0)</f>
        <v>31000</v>
      </c>
      <c r="F82" s="6">
        <f>IFERROR(__xludf.DUMMYFUNCTION("""COMPUTED_VALUE"""),101561.0)</f>
        <v>101561</v>
      </c>
    </row>
    <row r="83">
      <c r="A83" s="7">
        <f>IFERROR(__xludf.DUMMYFUNCTION("""COMPUTED_VALUE"""),45772.64583333333)</f>
        <v>45772.64583</v>
      </c>
      <c r="B83" s="6">
        <f>IFERROR(__xludf.DUMMYFUNCTION("""COMPUTED_VALUE"""),31000.0)</f>
        <v>31000</v>
      </c>
      <c r="C83" s="6">
        <f>IFERROR(__xludf.DUMMYFUNCTION("""COMPUTED_VALUE"""),31415.0)</f>
        <v>31415</v>
      </c>
      <c r="D83" s="6">
        <f>IFERROR(__xludf.DUMMYFUNCTION("""COMPUTED_VALUE"""),29955.0)</f>
        <v>29955</v>
      </c>
      <c r="E83" s="6">
        <f>IFERROR(__xludf.DUMMYFUNCTION("""COMPUTED_VALUE"""),30540.0)</f>
        <v>30540</v>
      </c>
      <c r="F83" s="6">
        <f>IFERROR(__xludf.DUMMYFUNCTION("""COMPUTED_VALUE"""),184022.0)</f>
        <v>184022</v>
      </c>
    </row>
    <row r="84">
      <c r="A84" s="7">
        <f>IFERROR(__xludf.DUMMYFUNCTION("""COMPUTED_VALUE"""),45779.64583333333)</f>
        <v>45779.64583</v>
      </c>
      <c r="B84" s="6">
        <f>IFERROR(__xludf.DUMMYFUNCTION("""COMPUTED_VALUE"""),30540.0)</f>
        <v>30540</v>
      </c>
      <c r="C84" s="6">
        <f>IFERROR(__xludf.DUMMYFUNCTION("""COMPUTED_VALUE"""),30830.0)</f>
        <v>30830</v>
      </c>
      <c r="D84" s="6">
        <f>IFERROR(__xludf.DUMMYFUNCTION("""COMPUTED_VALUE"""),28980.0)</f>
        <v>28980</v>
      </c>
      <c r="E84" s="6">
        <f>IFERROR(__xludf.DUMMYFUNCTION("""COMPUTED_VALUE"""),29335.0)</f>
        <v>29335</v>
      </c>
      <c r="F84" s="6">
        <f>IFERROR(__xludf.DUMMYFUNCTION("""COMPUTED_VALUE"""),87481.0)</f>
        <v>87481</v>
      </c>
    </row>
    <row r="85">
      <c r="A85" s="7">
        <f>IFERROR(__xludf.DUMMYFUNCTION("""COMPUTED_VALUE"""),45786.64583333333)</f>
        <v>45786.64583</v>
      </c>
      <c r="B85" s="6">
        <f>IFERROR(__xludf.DUMMYFUNCTION("""COMPUTED_VALUE"""),29340.0)</f>
        <v>29340</v>
      </c>
      <c r="C85" s="6">
        <f>IFERROR(__xludf.DUMMYFUNCTION("""COMPUTED_VALUE"""),29925.0)</f>
        <v>29925</v>
      </c>
      <c r="D85" s="6">
        <f>IFERROR(__xludf.DUMMYFUNCTION("""COMPUTED_VALUE"""),28720.0)</f>
        <v>28720</v>
      </c>
      <c r="E85" s="6">
        <f>IFERROR(__xludf.DUMMYFUNCTION("""COMPUTED_VALUE"""),29230.0)</f>
        <v>29230</v>
      </c>
      <c r="F85" s="6">
        <f>IFERROR(__xludf.DUMMYFUNCTION("""COMPUTED_VALUE"""),123213.0)</f>
        <v>123213</v>
      </c>
    </row>
    <row r="86">
      <c r="A86" s="7">
        <f>IFERROR(__xludf.DUMMYFUNCTION("""COMPUTED_VALUE"""),45793.64583333333)</f>
        <v>45793.64583</v>
      </c>
      <c r="B86" s="6">
        <f>IFERROR(__xludf.DUMMYFUNCTION("""COMPUTED_VALUE"""),29610.0)</f>
        <v>29610</v>
      </c>
      <c r="C86" s="6">
        <f>IFERROR(__xludf.DUMMYFUNCTION("""COMPUTED_VALUE"""),31835.0)</f>
        <v>31835</v>
      </c>
      <c r="D86" s="6">
        <f>IFERROR(__xludf.DUMMYFUNCTION("""COMPUTED_VALUE"""),29610.0)</f>
        <v>29610</v>
      </c>
      <c r="E86" s="6">
        <f>IFERROR(__xludf.DUMMYFUNCTION("""COMPUTED_VALUE"""),31615.0)</f>
        <v>31615</v>
      </c>
      <c r="F86" s="6">
        <f>IFERROR(__xludf.DUMMYFUNCTION("""COMPUTED_VALUE"""),357012.0)</f>
        <v>357012</v>
      </c>
    </row>
    <row r="87">
      <c r="A87" s="7">
        <f>IFERROR(__xludf.DUMMYFUNCTION("""COMPUTED_VALUE"""),45800.64583333333)</f>
        <v>45800.64583</v>
      </c>
      <c r="B87" s="6">
        <f>IFERROR(__xludf.DUMMYFUNCTION("""COMPUTED_VALUE"""),31615.0)</f>
        <v>31615</v>
      </c>
      <c r="C87" s="6">
        <f>IFERROR(__xludf.DUMMYFUNCTION("""COMPUTED_VALUE"""),31920.0)</f>
        <v>31920</v>
      </c>
      <c r="D87" s="6">
        <f>IFERROR(__xludf.DUMMYFUNCTION("""COMPUTED_VALUE"""),31190.0)</f>
        <v>31190</v>
      </c>
      <c r="E87" s="6">
        <f>IFERROR(__xludf.DUMMYFUNCTION("""COMPUTED_VALUE"""),31495.0)</f>
        <v>31495</v>
      </c>
      <c r="F87" s="6">
        <f>IFERROR(__xludf.DUMMYFUNCTION("""COMPUTED_VALUE"""),143425.0)</f>
        <v>143425</v>
      </c>
    </row>
    <row r="88">
      <c r="A88" s="7">
        <f>IFERROR(__xludf.DUMMYFUNCTION("""COMPUTED_VALUE"""),45807.64583333333)</f>
        <v>45807.64583</v>
      </c>
      <c r="B88" s="6">
        <f>IFERROR(__xludf.DUMMYFUNCTION("""COMPUTED_VALUE"""),31495.0)</f>
        <v>31495</v>
      </c>
      <c r="C88" s="6">
        <f>IFERROR(__xludf.DUMMYFUNCTION("""COMPUTED_VALUE"""),31695.0)</f>
        <v>31695</v>
      </c>
      <c r="D88" s="6">
        <f>IFERROR(__xludf.DUMMYFUNCTION("""COMPUTED_VALUE"""),29480.0)</f>
        <v>29480</v>
      </c>
      <c r="E88" s="6">
        <f>IFERROR(__xludf.DUMMYFUNCTION("""COMPUTED_VALUE"""),29595.0)</f>
        <v>29595</v>
      </c>
      <c r="F88" s="6">
        <f>IFERROR(__xludf.DUMMYFUNCTION("""COMPUTED_VALUE"""),203963.0)</f>
        <v>203963</v>
      </c>
    </row>
    <row r="89">
      <c r="A89" s="7">
        <f>IFERROR(__xludf.DUMMYFUNCTION("""COMPUTED_VALUE"""),45814.64583333333)</f>
        <v>45814.64583</v>
      </c>
      <c r="B89" s="6">
        <f>IFERROR(__xludf.DUMMYFUNCTION("""COMPUTED_VALUE"""),29785.0)</f>
        <v>29785</v>
      </c>
      <c r="C89" s="6">
        <f>IFERROR(__xludf.DUMMYFUNCTION("""COMPUTED_VALUE"""),29840.0)</f>
        <v>29840</v>
      </c>
      <c r="D89" s="6">
        <f>IFERROR(__xludf.DUMMYFUNCTION("""COMPUTED_VALUE"""),29190.0)</f>
        <v>29190</v>
      </c>
      <c r="E89" s="6">
        <f>IFERROR(__xludf.DUMMYFUNCTION("""COMPUTED_VALUE"""),29600.0)</f>
        <v>29600</v>
      </c>
      <c r="F89" s="6">
        <f>IFERROR(__xludf.DUMMYFUNCTION("""COMPUTED_VALUE"""),123522.0)</f>
        <v>123522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IFERROR(__xludf.DUMMYFUNCTION("""COMPUTED_VALUE"""),29700.0)</f>
        <v>29700</v>
      </c>
      <c r="C90" s="6">
        <f>IFERROR(__xludf.DUMMYFUNCTION("""COMPUTED_VALUE"""),30200.0)</f>
        <v>30200</v>
      </c>
      <c r="D90" s="6">
        <f>IFERROR(__xludf.DUMMYFUNCTION("""COMPUTED_VALUE"""),29240.0)</f>
        <v>29240</v>
      </c>
      <c r="E90" s="6">
        <f>IFERROR(__xludf.DUMMYFUNCTION("""COMPUTED_VALUE"""),29610.0)</f>
        <v>29610</v>
      </c>
      <c r="F90" s="6">
        <f>IFERROR(__xludf.DUMMYFUNCTION("""COMPUTED_VALUE"""),137462.0)</f>
        <v>137462</v>
      </c>
    </row>
    <row r="91">
      <c r="A91" s="7">
        <f>IFERROR(__xludf.DUMMYFUNCTION("""COMPUTED_VALUE"""),45828.64583333333)</f>
        <v>45828.64583</v>
      </c>
      <c r="B91" s="6">
        <f>IFERROR(__xludf.DUMMYFUNCTION("""COMPUTED_VALUE"""),29700.0)</f>
        <v>29700</v>
      </c>
      <c r="C91" s="6">
        <f>IFERROR(__xludf.DUMMYFUNCTION("""COMPUTED_VALUE"""),29905.0)</f>
        <v>29905</v>
      </c>
      <c r="D91" s="6">
        <f>IFERROR(__xludf.DUMMYFUNCTION("""COMPUTED_VALUE"""),28590.0)</f>
        <v>28590</v>
      </c>
      <c r="E91" s="6">
        <f>IFERROR(__xludf.DUMMYFUNCTION("""COMPUTED_VALUE"""),28875.0)</f>
        <v>28875</v>
      </c>
      <c r="F91" s="6">
        <f>IFERROR(__xludf.DUMMYFUNCTION("""COMPUTED_VALUE"""),362304.0)</f>
        <v>362304</v>
      </c>
    </row>
    <row r="92">
      <c r="A92" s="7">
        <f>IFERROR(__xludf.DUMMYFUNCTION("""COMPUTED_VALUE"""),45835.64583333333)</f>
        <v>45835.64583</v>
      </c>
      <c r="B92" s="6">
        <f>IFERROR(__xludf.DUMMYFUNCTION("""COMPUTED_VALUE"""),28755.0)</f>
        <v>28755</v>
      </c>
      <c r="C92" s="6">
        <f>IFERROR(__xludf.DUMMYFUNCTION("""COMPUTED_VALUE"""),31280.0)</f>
        <v>31280</v>
      </c>
      <c r="D92" s="6">
        <f>IFERROR(__xludf.DUMMYFUNCTION("""COMPUTED_VALUE"""),28355.0)</f>
        <v>28355</v>
      </c>
      <c r="E92" s="6">
        <f>IFERROR(__xludf.DUMMYFUNCTION("""COMPUTED_VALUE"""),31030.0)</f>
        <v>31030</v>
      </c>
      <c r="F92" s="6">
        <f>IFERROR(__xludf.DUMMYFUNCTION("""COMPUTED_VALUE"""),523956.0)</f>
        <v>523956</v>
      </c>
    </row>
    <row r="93">
      <c r="A93" s="7">
        <f>IFERROR(__xludf.DUMMYFUNCTION("""COMPUTED_VALUE"""),45842.64583333333)</f>
        <v>45842.64583</v>
      </c>
      <c r="B93" s="6">
        <f>IFERROR(__xludf.DUMMYFUNCTION("""COMPUTED_VALUE"""),30895.0)</f>
        <v>30895</v>
      </c>
      <c r="C93" s="6">
        <f>IFERROR(__xludf.DUMMYFUNCTION("""COMPUTED_VALUE"""),31885.0)</f>
        <v>31885</v>
      </c>
      <c r="D93" s="6">
        <f>IFERROR(__xludf.DUMMYFUNCTION("""COMPUTED_VALUE"""),30595.0)</f>
        <v>30595</v>
      </c>
      <c r="E93" s="6">
        <f>IFERROR(__xludf.DUMMYFUNCTION("""COMPUTED_VALUE"""),31315.0)</f>
        <v>31315</v>
      </c>
      <c r="F93" s="6">
        <f>IFERROR(__xludf.DUMMYFUNCTION("""COMPUTED_VALUE"""),148678.0)</f>
        <v>148678</v>
      </c>
    </row>
    <row r="94">
      <c r="A94" s="7">
        <f>IFERROR(__xludf.DUMMYFUNCTION("""COMPUTED_VALUE"""),45849.64583333333)</f>
        <v>45849.64583</v>
      </c>
      <c r="B94" s="6">
        <f>IFERROR(__xludf.DUMMYFUNCTION("""COMPUTED_VALUE"""),31315.0)</f>
        <v>31315</v>
      </c>
      <c r="C94" s="6">
        <f>IFERROR(__xludf.DUMMYFUNCTION("""COMPUTED_VALUE"""),31675.0)</f>
        <v>31675</v>
      </c>
      <c r="D94" s="6">
        <f>IFERROR(__xludf.DUMMYFUNCTION("""COMPUTED_VALUE"""),30825.0)</f>
        <v>30825</v>
      </c>
      <c r="E94" s="6">
        <f>IFERROR(__xludf.DUMMYFUNCTION("""COMPUTED_VALUE"""),31210.0)</f>
        <v>31210</v>
      </c>
      <c r="F94" s="6">
        <f>IFERROR(__xludf.DUMMYFUNCTION("""COMPUTED_VALUE"""),126026.0)</f>
        <v>126026</v>
      </c>
    </row>
    <row r="95">
      <c r="A95" s="7">
        <f>IFERROR(__xludf.DUMMYFUNCTION("""COMPUTED_VALUE"""),45856.64583333333)</f>
        <v>45856.64583</v>
      </c>
      <c r="B95" s="6">
        <f>IFERROR(__xludf.DUMMYFUNCTION("""COMPUTED_VALUE"""),31210.0)</f>
        <v>31210</v>
      </c>
      <c r="C95" s="6">
        <f>IFERROR(__xludf.DUMMYFUNCTION("""COMPUTED_VALUE"""),31470.0)</f>
        <v>31470</v>
      </c>
      <c r="D95" s="6">
        <f>IFERROR(__xludf.DUMMYFUNCTION("""COMPUTED_VALUE"""),30600.0)</f>
        <v>30600</v>
      </c>
      <c r="E95" s="6">
        <f>IFERROR(__xludf.DUMMYFUNCTION("""COMPUTED_VALUE"""),30790.0)</f>
        <v>30790</v>
      </c>
      <c r="F95" s="6">
        <f>IFERROR(__xludf.DUMMYFUNCTION("""COMPUTED_VALUE"""),84969.0)</f>
        <v>84969</v>
      </c>
    </row>
    <row r="96">
      <c r="A96" s="7">
        <f>IFERROR(__xludf.DUMMYFUNCTION("""COMPUTED_VALUE"""),45863.64583333333)</f>
        <v>45863.64583</v>
      </c>
      <c r="B96" s="6">
        <f>IFERROR(__xludf.DUMMYFUNCTION("""COMPUTED_VALUE"""),30900.0)</f>
        <v>30900</v>
      </c>
      <c r="C96" s="6">
        <f>IFERROR(__xludf.DUMMYFUNCTION("""COMPUTED_VALUE"""),32490.0)</f>
        <v>32490</v>
      </c>
      <c r="D96" s="6">
        <f>IFERROR(__xludf.DUMMYFUNCTION("""COMPUTED_VALUE"""),30770.0)</f>
        <v>30770</v>
      </c>
      <c r="E96" s="6">
        <f>IFERROR(__xludf.DUMMYFUNCTION("""COMPUTED_VALUE"""),30950.0)</f>
        <v>30950</v>
      </c>
      <c r="F96" s="6">
        <f>IFERROR(__xludf.DUMMYFUNCTION("""COMPUTED_VALUE"""),180978.0)</f>
        <v>180978</v>
      </c>
    </row>
    <row r="97">
      <c r="A97" s="7">
        <f>IFERROR(__xludf.DUMMYFUNCTION("""COMPUTED_VALUE"""),45870.64583333333)</f>
        <v>45870.64583</v>
      </c>
      <c r="B97" s="6">
        <f>IFERROR(__xludf.DUMMYFUNCTION("""COMPUTED_VALUE"""),31080.0)</f>
        <v>31080</v>
      </c>
      <c r="C97" s="6">
        <f>IFERROR(__xludf.DUMMYFUNCTION("""COMPUTED_VALUE"""),31505.0)</f>
        <v>31505</v>
      </c>
      <c r="D97" s="6">
        <f>IFERROR(__xludf.DUMMYFUNCTION("""COMPUTED_VALUE"""),30110.0)</f>
        <v>30110</v>
      </c>
      <c r="E97" s="6">
        <f>IFERROR(__xludf.DUMMYFUNCTION("""COMPUTED_VALUE"""),30675.0)</f>
        <v>30675</v>
      </c>
      <c r="F97" s="6">
        <f>IFERROR(__xludf.DUMMYFUNCTION("""COMPUTED_VALUE"""),111299.0)</f>
        <v>111299</v>
      </c>
    </row>
    <row r="98">
      <c r="A98" s="7">
        <f>IFERROR(__xludf.DUMMYFUNCTION("""COMPUTED_VALUE"""),45877.64583333333)</f>
        <v>45877.64583</v>
      </c>
      <c r="B98" s="6">
        <f>IFERROR(__xludf.DUMMYFUNCTION("""COMPUTED_VALUE"""),30725.0)</f>
        <v>30725</v>
      </c>
      <c r="C98" s="6">
        <f>IFERROR(__xludf.DUMMYFUNCTION("""COMPUTED_VALUE"""),31110.0)</f>
        <v>31110</v>
      </c>
      <c r="D98" s="6">
        <f>IFERROR(__xludf.DUMMYFUNCTION("""COMPUTED_VALUE"""),30000.0)</f>
        <v>30000</v>
      </c>
      <c r="E98" s="6">
        <f>IFERROR(__xludf.DUMMYFUNCTION("""COMPUTED_VALUE"""),30415.0)</f>
        <v>30415</v>
      </c>
      <c r="F98" s="6">
        <f>IFERROR(__xludf.DUMMYFUNCTION("""COMPUTED_VALUE"""),202299.0)</f>
        <v>202299</v>
      </c>
    </row>
    <row r="99">
      <c r="A99" s="7">
        <f>IFERROR(__xludf.DUMMYFUNCTION("""COMPUTED_VALUE"""),45883.64583333333)</f>
        <v>45883.64583</v>
      </c>
      <c r="B99" s="6">
        <f>IFERROR(__xludf.DUMMYFUNCTION("""COMPUTED_VALUE"""),30435.0)</f>
        <v>30435</v>
      </c>
      <c r="C99" s="6">
        <f>IFERROR(__xludf.DUMMYFUNCTION("""COMPUTED_VALUE"""),30845.0)</f>
        <v>30845</v>
      </c>
      <c r="D99" s="6">
        <f>IFERROR(__xludf.DUMMYFUNCTION("""COMPUTED_VALUE"""),30230.0)</f>
        <v>30230</v>
      </c>
      <c r="E99" s="6">
        <f>IFERROR(__xludf.DUMMYFUNCTION("""COMPUTED_VALUE"""),30400.0)</f>
        <v>30400</v>
      </c>
      <c r="F99" s="6">
        <f>IFERROR(__xludf.DUMMYFUNCTION("""COMPUTED_VALUE"""),120603.0)</f>
        <v>120603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IFERROR(__xludf.DUMMYFUNCTION("""COMPUTED_VALUE"""),31000.0)</f>
        <v>31000</v>
      </c>
      <c r="C100" s="6">
        <f>IFERROR(__xludf.DUMMYFUNCTION("""COMPUTED_VALUE"""),31920.0)</f>
        <v>31920</v>
      </c>
      <c r="D100" s="6">
        <f>IFERROR(__xludf.DUMMYFUNCTION("""COMPUTED_VALUE"""),29910.0)</f>
        <v>29910</v>
      </c>
      <c r="E100" s="6">
        <f>IFERROR(__xludf.DUMMYFUNCTION("""COMPUTED_VALUE"""),30005.0)</f>
        <v>30005</v>
      </c>
      <c r="F100" s="6">
        <f>IFERROR(__xludf.DUMMYFUNCTION("""COMPUTED_VALUE"""),149164.0)</f>
        <v>149164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IFERROR(__xludf.DUMMYFUNCTION("""COMPUTED_VALUE"""),30150.0)</f>
        <v>30150</v>
      </c>
      <c r="C101" s="6">
        <f>IFERROR(__xludf.DUMMYFUNCTION("""COMPUTED_VALUE"""),30500.0)</f>
        <v>30500</v>
      </c>
      <c r="D101" s="6">
        <f>IFERROR(__xludf.DUMMYFUNCTION("""COMPUTED_VALUE"""),29680.0)</f>
        <v>29680</v>
      </c>
      <c r="E101" s="6">
        <f>IFERROR(__xludf.DUMMYFUNCTION("""COMPUTED_VALUE"""),30110.0)</f>
        <v>30110</v>
      </c>
      <c r="F101" s="6">
        <f>IFERROR(__xludf.DUMMYFUNCTION("""COMPUTED_VALUE"""),545194.0)</f>
        <v>545194</v>
      </c>
    </row>
  </sheetData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IFERROR(__xludf.DUMMYFUNCTION("GOOGLEFINANCE(""NSE:SHRIRAMFIN"",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IFERROR(__xludf.DUMMYFUNCTION("""COMPUTED_VALUE"""),373.99)</f>
        <v>373.99</v>
      </c>
      <c r="C2" s="6">
        <f>IFERROR(__xludf.DUMMYFUNCTION("""COMPUTED_VALUE"""),387.8)</f>
        <v>387.8</v>
      </c>
      <c r="D2" s="6">
        <f>IFERROR(__xludf.DUMMYFUNCTION("""COMPUTED_VALUE"""),369.23)</f>
        <v>369.23</v>
      </c>
      <c r="E2" s="6">
        <f>IFERROR(__xludf.DUMMYFUNCTION("""COMPUTED_VALUE"""),382.41)</f>
        <v>382.41</v>
      </c>
      <c r="F2" s="6">
        <f>IFERROR(__xludf.DUMMYFUNCTION("""COMPUTED_VALUE"""),5526174.0)</f>
        <v>5526174</v>
      </c>
    </row>
    <row r="3">
      <c r="A3" s="7">
        <f>IFERROR(__xludf.DUMMYFUNCTION("""COMPUTED_VALUE"""),45177.64583333333)</f>
        <v>45177.64583</v>
      </c>
      <c r="B3" s="6">
        <f>IFERROR(__xludf.DUMMYFUNCTION("""COMPUTED_VALUE"""),383.4)</f>
        <v>383.4</v>
      </c>
      <c r="C3" s="6">
        <f>IFERROR(__xludf.DUMMYFUNCTION("""COMPUTED_VALUE"""),391.99)</f>
        <v>391.99</v>
      </c>
      <c r="D3" s="6">
        <f>IFERROR(__xludf.DUMMYFUNCTION("""COMPUTED_VALUE"""),374.13)</f>
        <v>374.13</v>
      </c>
      <c r="E3" s="6">
        <f>IFERROR(__xludf.DUMMYFUNCTION("""COMPUTED_VALUE"""),390.77)</f>
        <v>390.77</v>
      </c>
      <c r="F3" s="6">
        <f>IFERROR(__xludf.DUMMYFUNCTION("""COMPUTED_VALUE"""),6984910.0)</f>
        <v>6984910</v>
      </c>
    </row>
    <row r="4">
      <c r="A4" s="7">
        <f>IFERROR(__xludf.DUMMYFUNCTION("""COMPUTED_VALUE"""),45184.64583333333)</f>
        <v>45184.64583</v>
      </c>
      <c r="B4" s="6">
        <f>IFERROR(__xludf.DUMMYFUNCTION("""COMPUTED_VALUE"""),394.36)</f>
        <v>394.36</v>
      </c>
      <c r="C4" s="6">
        <f>IFERROR(__xludf.DUMMYFUNCTION("""COMPUTED_VALUE"""),394.36)</f>
        <v>394.36</v>
      </c>
      <c r="D4" s="6">
        <f>IFERROR(__xludf.DUMMYFUNCTION("""COMPUTED_VALUE"""),375.44)</f>
        <v>375.44</v>
      </c>
      <c r="E4" s="6">
        <f>IFERROR(__xludf.DUMMYFUNCTION("""COMPUTED_VALUE"""),384.45)</f>
        <v>384.45</v>
      </c>
      <c r="F4" s="6">
        <f>IFERROR(__xludf.DUMMYFUNCTION("""COMPUTED_VALUE"""),6397036.0)</f>
        <v>6397036</v>
      </c>
    </row>
    <row r="5">
      <c r="A5" s="7">
        <f>IFERROR(__xludf.DUMMYFUNCTION("""COMPUTED_VALUE"""),45191.64583333333)</f>
        <v>45191.64583</v>
      </c>
      <c r="B5" s="6">
        <f>IFERROR(__xludf.DUMMYFUNCTION("""COMPUTED_VALUE"""),383.23)</f>
        <v>383.23</v>
      </c>
      <c r="C5" s="6">
        <f>IFERROR(__xludf.DUMMYFUNCTION("""COMPUTED_VALUE"""),389.0)</f>
        <v>389</v>
      </c>
      <c r="D5" s="6">
        <f>IFERROR(__xludf.DUMMYFUNCTION("""COMPUTED_VALUE"""),376.2)</f>
        <v>376.2</v>
      </c>
      <c r="E5" s="6">
        <f>IFERROR(__xludf.DUMMYFUNCTION("""COMPUTED_VALUE"""),378.19)</f>
        <v>378.19</v>
      </c>
      <c r="F5" s="6">
        <f>IFERROR(__xludf.DUMMYFUNCTION("""COMPUTED_VALUE"""),2500974.0)</f>
        <v>2500974</v>
      </c>
    </row>
    <row r="6">
      <c r="A6" s="7">
        <f>IFERROR(__xludf.DUMMYFUNCTION("""COMPUTED_VALUE"""),45198.64583333333)</f>
        <v>45198.64583</v>
      </c>
      <c r="B6" s="6">
        <f>IFERROR(__xludf.DUMMYFUNCTION("""COMPUTED_VALUE"""),378.19)</f>
        <v>378.19</v>
      </c>
      <c r="C6" s="6">
        <f>IFERROR(__xludf.DUMMYFUNCTION("""COMPUTED_VALUE"""),391.87)</f>
        <v>391.87</v>
      </c>
      <c r="D6" s="6">
        <f>IFERROR(__xludf.DUMMYFUNCTION("""COMPUTED_VALUE"""),371.27)</f>
        <v>371.27</v>
      </c>
      <c r="E6" s="6">
        <f>IFERROR(__xludf.DUMMYFUNCTION("""COMPUTED_VALUE"""),383.87)</f>
        <v>383.87</v>
      </c>
      <c r="F6" s="6">
        <f>IFERROR(__xludf.DUMMYFUNCTION("""COMPUTED_VALUE"""),9612499.0)</f>
        <v>9612499</v>
      </c>
    </row>
    <row r="7">
      <c r="A7" s="7">
        <f>IFERROR(__xludf.DUMMYFUNCTION("""COMPUTED_VALUE"""),45205.64583333333)</f>
        <v>45205.64583</v>
      </c>
      <c r="B7" s="6">
        <f>IFERROR(__xludf.DUMMYFUNCTION("""COMPUTED_VALUE"""),387.6)</f>
        <v>387.6</v>
      </c>
      <c r="C7" s="6">
        <f>IFERROR(__xludf.DUMMYFUNCTION("""COMPUTED_VALUE"""),387.98)</f>
        <v>387.98</v>
      </c>
      <c r="D7" s="6">
        <f>IFERROR(__xludf.DUMMYFUNCTION("""COMPUTED_VALUE"""),364.6)</f>
        <v>364.6</v>
      </c>
      <c r="E7" s="6">
        <f>IFERROR(__xludf.DUMMYFUNCTION("""COMPUTED_VALUE"""),369.77)</f>
        <v>369.77</v>
      </c>
      <c r="F7" s="6">
        <f>IFERROR(__xludf.DUMMYFUNCTION("""COMPUTED_VALUE"""),6289941.0)</f>
        <v>6289941</v>
      </c>
    </row>
    <row r="8">
      <c r="A8" s="7">
        <f>IFERROR(__xludf.DUMMYFUNCTION("""COMPUTED_VALUE"""),45212.64583333333)</f>
        <v>45212.64583</v>
      </c>
      <c r="B8" s="6">
        <f>IFERROR(__xludf.DUMMYFUNCTION("""COMPUTED_VALUE"""),368.01)</f>
        <v>368.01</v>
      </c>
      <c r="C8" s="6">
        <f>IFERROR(__xludf.DUMMYFUNCTION("""COMPUTED_VALUE"""),384.1)</f>
        <v>384.1</v>
      </c>
      <c r="D8" s="6">
        <f>IFERROR(__xludf.DUMMYFUNCTION("""COMPUTED_VALUE"""),360.73)</f>
        <v>360.73</v>
      </c>
      <c r="E8" s="6">
        <f>IFERROR(__xludf.DUMMYFUNCTION("""COMPUTED_VALUE"""),376.19)</f>
        <v>376.19</v>
      </c>
      <c r="F8" s="6">
        <f>IFERROR(__xludf.DUMMYFUNCTION("""COMPUTED_VALUE"""),4918200.0)</f>
        <v>4918200</v>
      </c>
    </row>
    <row r="9">
      <c r="A9" s="7">
        <f>IFERROR(__xludf.DUMMYFUNCTION("""COMPUTED_VALUE"""),45219.64583333333)</f>
        <v>45219.64583</v>
      </c>
      <c r="B9" s="6">
        <f>IFERROR(__xludf.DUMMYFUNCTION("""COMPUTED_VALUE"""),376.19)</f>
        <v>376.19</v>
      </c>
      <c r="C9" s="6">
        <f>IFERROR(__xludf.DUMMYFUNCTION("""COMPUTED_VALUE"""),378.58)</f>
        <v>378.58</v>
      </c>
      <c r="D9" s="6">
        <f>IFERROR(__xludf.DUMMYFUNCTION("""COMPUTED_VALUE"""),364.69)</f>
        <v>364.69</v>
      </c>
      <c r="E9" s="6">
        <f>IFERROR(__xludf.DUMMYFUNCTION("""COMPUTED_VALUE"""),375.34)</f>
        <v>375.34</v>
      </c>
      <c r="F9" s="6">
        <f>IFERROR(__xludf.DUMMYFUNCTION("""COMPUTED_VALUE"""),2734544.0)</f>
        <v>2734544</v>
      </c>
    </row>
    <row r="10">
      <c r="A10" s="7">
        <f>IFERROR(__xludf.DUMMYFUNCTION("""COMPUTED_VALUE"""),45226.64583333333)</f>
        <v>45226.64583</v>
      </c>
      <c r="B10" s="6">
        <f>IFERROR(__xludf.DUMMYFUNCTION("""COMPUTED_VALUE"""),374.96)</f>
        <v>374.96</v>
      </c>
      <c r="C10" s="6">
        <f>IFERROR(__xludf.DUMMYFUNCTION("""COMPUTED_VALUE"""),405.94)</f>
        <v>405.94</v>
      </c>
      <c r="D10" s="6">
        <f>IFERROR(__xludf.DUMMYFUNCTION("""COMPUTED_VALUE"""),352.17)</f>
        <v>352.17</v>
      </c>
      <c r="E10" s="6">
        <f>IFERROR(__xludf.DUMMYFUNCTION("""COMPUTED_VALUE"""),387.04)</f>
        <v>387.04</v>
      </c>
      <c r="F10" s="6">
        <f>IFERROR(__xludf.DUMMYFUNCTION("""COMPUTED_VALUE"""),9412823.0)</f>
        <v>9412823</v>
      </c>
    </row>
    <row r="11">
      <c r="A11" s="7">
        <f>IFERROR(__xludf.DUMMYFUNCTION("""COMPUTED_VALUE"""),45233.64583333333)</f>
        <v>45233.64583</v>
      </c>
      <c r="B11" s="6">
        <f>IFERROR(__xludf.DUMMYFUNCTION("""COMPUTED_VALUE"""),387.0)</f>
        <v>387</v>
      </c>
      <c r="C11" s="6">
        <f>IFERROR(__xludf.DUMMYFUNCTION("""COMPUTED_VALUE"""),405.59)</f>
        <v>405.59</v>
      </c>
      <c r="D11" s="6">
        <f>IFERROR(__xludf.DUMMYFUNCTION("""COMPUTED_VALUE"""),373.05)</f>
        <v>373.05</v>
      </c>
      <c r="E11" s="6">
        <f>IFERROR(__xludf.DUMMYFUNCTION("""COMPUTED_VALUE"""),402.71)</f>
        <v>402.71</v>
      </c>
      <c r="F11" s="6">
        <f>IFERROR(__xludf.DUMMYFUNCTION("""COMPUTED_VALUE"""),7209730.0)</f>
        <v>7209730</v>
      </c>
    </row>
    <row r="12">
      <c r="A12" s="7">
        <f>IFERROR(__xludf.DUMMYFUNCTION("""COMPUTED_VALUE"""),45240.64583333333)</f>
        <v>45240.64583</v>
      </c>
      <c r="B12" s="6">
        <f>IFERROR(__xludf.DUMMYFUNCTION("""COMPUTED_VALUE"""),401.79)</f>
        <v>401.79</v>
      </c>
      <c r="C12" s="6">
        <f>IFERROR(__xludf.DUMMYFUNCTION("""COMPUTED_VALUE"""),402.48)</f>
        <v>402.48</v>
      </c>
      <c r="D12" s="6">
        <f>IFERROR(__xludf.DUMMYFUNCTION("""COMPUTED_VALUE"""),385.38)</f>
        <v>385.38</v>
      </c>
      <c r="E12" s="6">
        <f>IFERROR(__xludf.DUMMYFUNCTION("""COMPUTED_VALUE"""),390.44)</f>
        <v>390.44</v>
      </c>
      <c r="F12" s="6">
        <f>IFERROR(__xludf.DUMMYFUNCTION("""COMPUTED_VALUE"""),5074413.0)</f>
        <v>5074413</v>
      </c>
    </row>
    <row r="13">
      <c r="A13" s="7">
        <f>IFERROR(__xludf.DUMMYFUNCTION("""COMPUTED_VALUE"""),45247.64583333333)</f>
        <v>45247.64583</v>
      </c>
      <c r="B13" s="6">
        <f>IFERROR(__xludf.DUMMYFUNCTION("""COMPUTED_VALUE"""),391.7)</f>
        <v>391.7</v>
      </c>
      <c r="C13" s="6">
        <f>IFERROR(__xludf.DUMMYFUNCTION("""COMPUTED_VALUE"""),410.2)</f>
        <v>410.2</v>
      </c>
      <c r="D13" s="6">
        <f>IFERROR(__xludf.DUMMYFUNCTION("""COMPUTED_VALUE"""),386.04)</f>
        <v>386.04</v>
      </c>
      <c r="E13" s="6">
        <f>IFERROR(__xludf.DUMMYFUNCTION("""COMPUTED_VALUE"""),398.96)</f>
        <v>398.96</v>
      </c>
      <c r="F13" s="6">
        <f>IFERROR(__xludf.DUMMYFUNCTION("""COMPUTED_VALUE"""),3601949.0)</f>
        <v>3601949</v>
      </c>
    </row>
    <row r="14">
      <c r="A14" s="7">
        <f>IFERROR(__xludf.DUMMYFUNCTION("""COMPUTED_VALUE"""),45254.64583333333)</f>
        <v>45254.64583</v>
      </c>
      <c r="B14" s="6">
        <f>IFERROR(__xludf.DUMMYFUNCTION("""COMPUTED_VALUE"""),399.0)</f>
        <v>399</v>
      </c>
      <c r="C14" s="6">
        <f>IFERROR(__xludf.DUMMYFUNCTION("""COMPUTED_VALUE"""),403.96)</f>
        <v>403.96</v>
      </c>
      <c r="D14" s="6">
        <f>IFERROR(__xludf.DUMMYFUNCTION("""COMPUTED_VALUE"""),388.22)</f>
        <v>388.22</v>
      </c>
      <c r="E14" s="6">
        <f>IFERROR(__xludf.DUMMYFUNCTION("""COMPUTED_VALUE"""),389.5)</f>
        <v>389.5</v>
      </c>
      <c r="F14" s="6">
        <f>IFERROR(__xludf.DUMMYFUNCTION("""COMPUTED_VALUE"""),2900026.0)</f>
        <v>2900026</v>
      </c>
    </row>
    <row r="15">
      <c r="A15" s="7">
        <f>IFERROR(__xludf.DUMMYFUNCTION("""COMPUTED_VALUE"""),45261.64583333333)</f>
        <v>45261.64583</v>
      </c>
      <c r="B15" s="6">
        <f>IFERROR(__xludf.DUMMYFUNCTION("""COMPUTED_VALUE"""),390.36)</f>
        <v>390.36</v>
      </c>
      <c r="C15" s="6">
        <f>IFERROR(__xludf.DUMMYFUNCTION("""COMPUTED_VALUE"""),405.98)</f>
        <v>405.98</v>
      </c>
      <c r="D15" s="6">
        <f>IFERROR(__xludf.DUMMYFUNCTION("""COMPUTED_VALUE"""),386.91)</f>
        <v>386.91</v>
      </c>
      <c r="E15" s="6">
        <f>IFERROR(__xludf.DUMMYFUNCTION("""COMPUTED_VALUE"""),400.65)</f>
        <v>400.65</v>
      </c>
      <c r="F15" s="6">
        <f>IFERROR(__xludf.DUMMYFUNCTION("""COMPUTED_VALUE"""),4188225.0)</f>
        <v>4188225</v>
      </c>
    </row>
    <row r="16">
      <c r="A16" s="7">
        <f>IFERROR(__xludf.DUMMYFUNCTION("""COMPUTED_VALUE"""),45268.64583333333)</f>
        <v>45268.64583</v>
      </c>
      <c r="B16" s="6">
        <f>IFERROR(__xludf.DUMMYFUNCTION("""COMPUTED_VALUE"""),405.0)</f>
        <v>405</v>
      </c>
      <c r="C16" s="6">
        <f>IFERROR(__xludf.DUMMYFUNCTION("""COMPUTED_VALUE"""),421.6)</f>
        <v>421.6</v>
      </c>
      <c r="D16" s="6">
        <f>IFERROR(__xludf.DUMMYFUNCTION("""COMPUTED_VALUE"""),401.45)</f>
        <v>401.45</v>
      </c>
      <c r="E16" s="6">
        <f>IFERROR(__xludf.DUMMYFUNCTION("""COMPUTED_VALUE"""),406.32)</f>
        <v>406.32</v>
      </c>
      <c r="F16" s="6">
        <f>IFERROR(__xludf.DUMMYFUNCTION("""COMPUTED_VALUE"""),5875741.0)</f>
        <v>5875741</v>
      </c>
    </row>
    <row r="17">
      <c r="A17" s="7">
        <f>IFERROR(__xludf.DUMMYFUNCTION("""COMPUTED_VALUE"""),45275.64583333333)</f>
        <v>45275.64583</v>
      </c>
      <c r="B17" s="6">
        <f>IFERROR(__xludf.DUMMYFUNCTION("""COMPUTED_VALUE"""),406.32)</f>
        <v>406.32</v>
      </c>
      <c r="C17" s="6">
        <f>IFERROR(__xludf.DUMMYFUNCTION("""COMPUTED_VALUE"""),426.0)</f>
        <v>426</v>
      </c>
      <c r="D17" s="6">
        <f>IFERROR(__xludf.DUMMYFUNCTION("""COMPUTED_VALUE"""),395.21)</f>
        <v>395.21</v>
      </c>
      <c r="E17" s="6">
        <f>IFERROR(__xludf.DUMMYFUNCTION("""COMPUTED_VALUE"""),415.54)</f>
        <v>415.54</v>
      </c>
      <c r="F17" s="6">
        <f>IFERROR(__xludf.DUMMYFUNCTION("""COMPUTED_VALUE"""),8646713.0)</f>
        <v>8646713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IFERROR(__xludf.DUMMYFUNCTION("""COMPUTED_VALUE"""),415.36)</f>
        <v>415.36</v>
      </c>
      <c r="C18" s="6">
        <f>IFERROR(__xludf.DUMMYFUNCTION("""COMPUTED_VALUE"""),422.39)</f>
        <v>422.39</v>
      </c>
      <c r="D18" s="6">
        <f>IFERROR(__xludf.DUMMYFUNCTION("""COMPUTED_VALUE"""),394.4)</f>
        <v>394.4</v>
      </c>
      <c r="E18" s="6">
        <f>IFERROR(__xludf.DUMMYFUNCTION("""COMPUTED_VALUE"""),411.09)</f>
        <v>411.09</v>
      </c>
      <c r="F18" s="6">
        <f>IFERROR(__xludf.DUMMYFUNCTION("""COMPUTED_VALUE"""),8208972.0)</f>
        <v>8208972</v>
      </c>
    </row>
    <row r="19">
      <c r="A19" s="7">
        <f>IFERROR(__xludf.DUMMYFUNCTION("""COMPUTED_VALUE"""),45289.64583333333)</f>
        <v>45289.64583</v>
      </c>
      <c r="B19" s="6">
        <f>IFERROR(__xludf.DUMMYFUNCTION("""COMPUTED_VALUE"""),414.4)</f>
        <v>414.4</v>
      </c>
      <c r="C19" s="6">
        <f>IFERROR(__xludf.DUMMYFUNCTION("""COMPUTED_VALUE"""),415.36)</f>
        <v>415.36</v>
      </c>
      <c r="D19" s="6">
        <f>IFERROR(__xludf.DUMMYFUNCTION("""COMPUTED_VALUE"""),405.62)</f>
        <v>405.62</v>
      </c>
      <c r="E19" s="6">
        <f>IFERROR(__xludf.DUMMYFUNCTION("""COMPUTED_VALUE"""),410.66)</f>
        <v>410.66</v>
      </c>
      <c r="F19" s="6">
        <f>IFERROR(__xludf.DUMMYFUNCTION("""COMPUTED_VALUE"""),3430485.0)</f>
        <v>3430485</v>
      </c>
    </row>
    <row r="20">
      <c r="A20" s="7">
        <f>IFERROR(__xludf.DUMMYFUNCTION("""COMPUTED_VALUE"""),45296.64583333333)</f>
        <v>45296.64583</v>
      </c>
      <c r="B20" s="6">
        <f>IFERROR(__xludf.DUMMYFUNCTION("""COMPUTED_VALUE"""),411.11)</f>
        <v>411.11</v>
      </c>
      <c r="C20" s="6">
        <f>IFERROR(__xludf.DUMMYFUNCTION("""COMPUTED_VALUE"""),435.35)</f>
        <v>435.35</v>
      </c>
      <c r="D20" s="6">
        <f>IFERROR(__xludf.DUMMYFUNCTION("""COMPUTED_VALUE"""),403.2)</f>
        <v>403.2</v>
      </c>
      <c r="E20" s="6">
        <f>IFERROR(__xludf.DUMMYFUNCTION("""COMPUTED_VALUE"""),434.48)</f>
        <v>434.48</v>
      </c>
      <c r="F20" s="6">
        <f>IFERROR(__xludf.DUMMYFUNCTION("""COMPUTED_VALUE"""),5902091.0)</f>
        <v>5902091</v>
      </c>
    </row>
    <row r="21">
      <c r="A21" s="7">
        <f>IFERROR(__xludf.DUMMYFUNCTION("""COMPUTED_VALUE"""),45303.64583333333)</f>
        <v>45303.64583</v>
      </c>
      <c r="B21" s="6">
        <f>IFERROR(__xludf.DUMMYFUNCTION("""COMPUTED_VALUE"""),436.8)</f>
        <v>436.8</v>
      </c>
      <c r="C21" s="6">
        <f>IFERROR(__xludf.DUMMYFUNCTION("""COMPUTED_VALUE"""),460.62)</f>
        <v>460.62</v>
      </c>
      <c r="D21" s="6">
        <f>IFERROR(__xludf.DUMMYFUNCTION("""COMPUTED_VALUE"""),427.14)</f>
        <v>427.14</v>
      </c>
      <c r="E21" s="6">
        <f>IFERROR(__xludf.DUMMYFUNCTION("""COMPUTED_VALUE"""),458.56)</f>
        <v>458.56</v>
      </c>
      <c r="F21" s="6">
        <f>IFERROR(__xludf.DUMMYFUNCTION("""COMPUTED_VALUE"""),7054674.0)</f>
        <v>7054674</v>
      </c>
    </row>
    <row r="22">
      <c r="A22" s="7">
        <f>IFERROR(__xludf.DUMMYFUNCTION("""COMPUTED_VALUE"""),45316.64583333333)</f>
        <v>45316.64583</v>
      </c>
      <c r="B22" s="6">
        <f>IFERROR(__xludf.DUMMYFUNCTION("""COMPUTED_VALUE"""),457.41)</f>
        <v>457.41</v>
      </c>
      <c r="C22" s="6">
        <f>IFERROR(__xludf.DUMMYFUNCTION("""COMPUTED_VALUE"""),470.59)</f>
        <v>470.59</v>
      </c>
      <c r="D22" s="6">
        <f>IFERROR(__xludf.DUMMYFUNCTION("""COMPUTED_VALUE"""),441.91)</f>
        <v>441.91</v>
      </c>
      <c r="E22" s="6">
        <f>IFERROR(__xludf.DUMMYFUNCTION("""COMPUTED_VALUE"""),461.43)</f>
        <v>461.43</v>
      </c>
      <c r="F22" s="6">
        <f>IFERROR(__xludf.DUMMYFUNCTION("""COMPUTED_VALUE"""),4965764.0)</f>
        <v>4965764</v>
      </c>
    </row>
    <row r="23">
      <c r="A23" s="7">
        <f>IFERROR(__xludf.DUMMYFUNCTION("""COMPUTED_VALUE"""),45324.64583333333)</f>
        <v>45324.64583</v>
      </c>
      <c r="B23" s="6">
        <f>IFERROR(__xludf.DUMMYFUNCTION("""COMPUTED_VALUE"""),486.4)</f>
        <v>486.4</v>
      </c>
      <c r="C23" s="6">
        <f>IFERROR(__xludf.DUMMYFUNCTION("""COMPUTED_VALUE"""),499.31)</f>
        <v>499.31</v>
      </c>
      <c r="D23" s="6">
        <f>IFERROR(__xludf.DUMMYFUNCTION("""COMPUTED_VALUE"""),460.43)</f>
        <v>460.43</v>
      </c>
      <c r="E23" s="6">
        <f>IFERROR(__xludf.DUMMYFUNCTION("""COMPUTED_VALUE"""),481.1)</f>
        <v>481.1</v>
      </c>
      <c r="F23" s="6">
        <f>IFERROR(__xludf.DUMMYFUNCTION("""COMPUTED_VALUE"""),1.1342827E7)</f>
        <v>11342827</v>
      </c>
    </row>
    <row r="24">
      <c r="A24" s="7">
        <f>IFERROR(__xludf.DUMMYFUNCTION("""COMPUTED_VALUE"""),45331.64583333333)</f>
        <v>45331.64583</v>
      </c>
      <c r="B24" s="6">
        <f>IFERROR(__xludf.DUMMYFUNCTION("""COMPUTED_VALUE"""),483.8)</f>
        <v>483.8</v>
      </c>
      <c r="C24" s="6">
        <f>IFERROR(__xludf.DUMMYFUNCTION("""COMPUTED_VALUE"""),491.83)</f>
        <v>491.83</v>
      </c>
      <c r="D24" s="6">
        <f>IFERROR(__xludf.DUMMYFUNCTION("""COMPUTED_VALUE"""),458.3)</f>
        <v>458.3</v>
      </c>
      <c r="E24" s="6">
        <f>IFERROR(__xludf.DUMMYFUNCTION("""COMPUTED_VALUE"""),466.82)</f>
        <v>466.82</v>
      </c>
      <c r="F24" s="6">
        <f>IFERROR(__xludf.DUMMYFUNCTION("""COMPUTED_VALUE"""),4413820.0)</f>
        <v>4413820</v>
      </c>
    </row>
    <row r="25">
      <c r="A25" s="7">
        <f>IFERROR(__xludf.DUMMYFUNCTION("""COMPUTED_VALUE"""),45338.64583333333)</f>
        <v>45338.64583</v>
      </c>
      <c r="B25" s="6">
        <f>IFERROR(__xludf.DUMMYFUNCTION("""COMPUTED_VALUE"""),467.0)</f>
        <v>467</v>
      </c>
      <c r="C25" s="6">
        <f>IFERROR(__xludf.DUMMYFUNCTION("""COMPUTED_VALUE"""),492.68)</f>
        <v>492.68</v>
      </c>
      <c r="D25" s="6">
        <f>IFERROR(__xludf.DUMMYFUNCTION("""COMPUTED_VALUE"""),447.05)</f>
        <v>447.05</v>
      </c>
      <c r="E25" s="6">
        <f>IFERROR(__xludf.DUMMYFUNCTION("""COMPUTED_VALUE"""),489.88)</f>
        <v>489.88</v>
      </c>
      <c r="F25" s="6">
        <f>IFERROR(__xludf.DUMMYFUNCTION("""COMPUTED_VALUE"""),5166836.0)</f>
        <v>5166836</v>
      </c>
    </row>
    <row r="26">
      <c r="A26" s="7">
        <f>IFERROR(__xludf.DUMMYFUNCTION("""COMPUTED_VALUE"""),45345.64583333333)</f>
        <v>45345.64583</v>
      </c>
      <c r="B26" s="6">
        <f>IFERROR(__xludf.DUMMYFUNCTION("""COMPUTED_VALUE"""),489.88)</f>
        <v>489.88</v>
      </c>
      <c r="C26" s="6">
        <f>IFERROR(__xludf.DUMMYFUNCTION("""COMPUTED_VALUE"""),492.39)</f>
        <v>492.39</v>
      </c>
      <c r="D26" s="6">
        <f>IFERROR(__xludf.DUMMYFUNCTION("""COMPUTED_VALUE"""),466.61)</f>
        <v>466.61</v>
      </c>
      <c r="E26" s="6">
        <f>IFERROR(__xludf.DUMMYFUNCTION("""COMPUTED_VALUE"""),489.09)</f>
        <v>489.09</v>
      </c>
      <c r="F26" s="6">
        <f>IFERROR(__xludf.DUMMYFUNCTION("""COMPUTED_VALUE"""),3961707.0)</f>
        <v>3961707</v>
      </c>
    </row>
    <row r="27">
      <c r="A27" s="7">
        <f>IFERROR(__xludf.DUMMYFUNCTION("""COMPUTED_VALUE"""),45358.64583333333)</f>
        <v>45358.64583</v>
      </c>
      <c r="B27" s="6">
        <f>IFERROR(__xludf.DUMMYFUNCTION("""COMPUTED_VALUE"""),492.0)</f>
        <v>492</v>
      </c>
      <c r="C27" s="6">
        <f>IFERROR(__xludf.DUMMYFUNCTION("""COMPUTED_VALUE"""),493.0)</f>
        <v>493</v>
      </c>
      <c r="D27" s="6">
        <f>IFERROR(__xludf.DUMMYFUNCTION("""COMPUTED_VALUE"""),469.78)</f>
        <v>469.78</v>
      </c>
      <c r="E27" s="6">
        <f>IFERROR(__xludf.DUMMYFUNCTION("""COMPUTED_VALUE"""),489.91)</f>
        <v>489.91</v>
      </c>
      <c r="F27" s="6">
        <f>IFERROR(__xludf.DUMMYFUNCTION("""COMPUTED_VALUE"""),4313115.0)</f>
        <v>4313115</v>
      </c>
    </row>
    <row r="28">
      <c r="A28" s="7">
        <f>IFERROR(__xludf.DUMMYFUNCTION("""COMPUTED_VALUE"""),45366.64583333333)</f>
        <v>45366.64583</v>
      </c>
      <c r="B28" s="6">
        <f>IFERROR(__xludf.DUMMYFUNCTION("""COMPUTED_VALUE"""),489.2)</f>
        <v>489.2</v>
      </c>
      <c r="C28" s="6">
        <f>IFERROR(__xludf.DUMMYFUNCTION("""COMPUTED_VALUE"""),499.98)</f>
        <v>499.98</v>
      </c>
      <c r="D28" s="6">
        <f>IFERROR(__xludf.DUMMYFUNCTION("""COMPUTED_VALUE"""),450.2)</f>
        <v>450.2</v>
      </c>
      <c r="E28" s="6">
        <f>IFERROR(__xludf.DUMMYFUNCTION("""COMPUTED_VALUE"""),453.36)</f>
        <v>453.36</v>
      </c>
      <c r="F28" s="6">
        <f>IFERROR(__xludf.DUMMYFUNCTION("""COMPUTED_VALUE"""),8814413.0)</f>
        <v>8814413</v>
      </c>
    </row>
    <row r="29">
      <c r="A29" s="7">
        <f>IFERROR(__xludf.DUMMYFUNCTION("""COMPUTED_VALUE"""),45373.64583333333)</f>
        <v>45373.64583</v>
      </c>
      <c r="B29" s="6">
        <f>IFERROR(__xludf.DUMMYFUNCTION("""COMPUTED_VALUE"""),453.0)</f>
        <v>453</v>
      </c>
      <c r="C29" s="6">
        <f>IFERROR(__xludf.DUMMYFUNCTION("""COMPUTED_VALUE"""),471.74)</f>
        <v>471.74</v>
      </c>
      <c r="D29" s="6">
        <f>IFERROR(__xludf.DUMMYFUNCTION("""COMPUTED_VALUE"""),452.95)</f>
        <v>452.95</v>
      </c>
      <c r="E29" s="6">
        <f>IFERROR(__xludf.DUMMYFUNCTION("""COMPUTED_VALUE"""),466.14)</f>
        <v>466.14</v>
      </c>
      <c r="F29" s="6">
        <f>IFERROR(__xludf.DUMMYFUNCTION("""COMPUTED_VALUE"""),6416610.0)</f>
        <v>6416610</v>
      </c>
    </row>
    <row r="30">
      <c r="A30" s="7">
        <f>IFERROR(__xludf.DUMMYFUNCTION("""COMPUTED_VALUE"""),45379.64583333333)</f>
        <v>45379.64583</v>
      </c>
      <c r="B30" s="6">
        <f>IFERROR(__xludf.DUMMYFUNCTION("""COMPUTED_VALUE"""),456.2)</f>
        <v>456.2</v>
      </c>
      <c r="C30" s="6">
        <f>IFERROR(__xludf.DUMMYFUNCTION("""COMPUTED_VALUE"""),486.0)</f>
        <v>486</v>
      </c>
      <c r="D30" s="6">
        <f>IFERROR(__xludf.DUMMYFUNCTION("""COMPUTED_VALUE"""),455.99)</f>
        <v>455.99</v>
      </c>
      <c r="E30" s="6">
        <f>IFERROR(__xludf.DUMMYFUNCTION("""COMPUTED_VALUE"""),471.96)</f>
        <v>471.96</v>
      </c>
      <c r="F30" s="6">
        <f>IFERROR(__xludf.DUMMYFUNCTION("""COMPUTED_VALUE"""),1.9910245E7)</f>
        <v>19910245</v>
      </c>
    </row>
    <row r="31">
      <c r="A31" s="7">
        <f>IFERROR(__xludf.DUMMYFUNCTION("""COMPUTED_VALUE"""),45387.64583333333)</f>
        <v>45387.64583</v>
      </c>
      <c r="B31" s="6">
        <f>IFERROR(__xludf.DUMMYFUNCTION("""COMPUTED_VALUE"""),474.2)</f>
        <v>474.2</v>
      </c>
      <c r="C31" s="6">
        <f>IFERROR(__xludf.DUMMYFUNCTION("""COMPUTED_VALUE"""),514.99)</f>
        <v>514.99</v>
      </c>
      <c r="D31" s="6">
        <f>IFERROR(__xludf.DUMMYFUNCTION("""COMPUTED_VALUE"""),473.21)</f>
        <v>473.21</v>
      </c>
      <c r="E31" s="6">
        <f>IFERROR(__xludf.DUMMYFUNCTION("""COMPUTED_VALUE"""),503.77)</f>
        <v>503.77</v>
      </c>
      <c r="F31" s="6">
        <f>IFERROR(__xludf.DUMMYFUNCTION("""COMPUTED_VALUE"""),6104796.0)</f>
        <v>6104796</v>
      </c>
    </row>
    <row r="32">
      <c r="A32" s="7">
        <f>IFERROR(__xludf.DUMMYFUNCTION("""COMPUTED_VALUE"""),45394.64583333333)</f>
        <v>45394.64583</v>
      </c>
      <c r="B32" s="6">
        <f>IFERROR(__xludf.DUMMYFUNCTION("""COMPUTED_VALUE"""),508.59)</f>
        <v>508.59</v>
      </c>
      <c r="C32" s="6">
        <f>IFERROR(__xludf.DUMMYFUNCTION("""COMPUTED_VALUE"""),521.13)</f>
        <v>521.13</v>
      </c>
      <c r="D32" s="6">
        <f>IFERROR(__xludf.DUMMYFUNCTION("""COMPUTED_VALUE"""),495.78)</f>
        <v>495.78</v>
      </c>
      <c r="E32" s="6">
        <f>IFERROR(__xludf.DUMMYFUNCTION("""COMPUTED_VALUE"""),497.12)</f>
        <v>497.12</v>
      </c>
      <c r="F32" s="6">
        <f>IFERROR(__xludf.DUMMYFUNCTION("""COMPUTED_VALUE"""),3218952.0)</f>
        <v>3218952</v>
      </c>
    </row>
    <row r="33">
      <c r="A33" s="7">
        <f>IFERROR(__xludf.DUMMYFUNCTION("""COMPUTED_VALUE"""),45401.64583333333)</f>
        <v>45401.64583</v>
      </c>
      <c r="B33" s="6">
        <f>IFERROR(__xludf.DUMMYFUNCTION("""COMPUTED_VALUE"""),498.6)</f>
        <v>498.6</v>
      </c>
      <c r="C33" s="6">
        <f>IFERROR(__xludf.DUMMYFUNCTION("""COMPUTED_VALUE"""),498.6)</f>
        <v>498.6</v>
      </c>
      <c r="D33" s="6">
        <f>IFERROR(__xludf.DUMMYFUNCTION("""COMPUTED_VALUE"""),465.02)</f>
        <v>465.02</v>
      </c>
      <c r="E33" s="6">
        <f>IFERROR(__xludf.DUMMYFUNCTION("""COMPUTED_VALUE"""),473.31)</f>
        <v>473.31</v>
      </c>
      <c r="F33" s="6">
        <f>IFERROR(__xludf.DUMMYFUNCTION("""COMPUTED_VALUE"""),4074412.0)</f>
        <v>4074412</v>
      </c>
    </row>
    <row r="34">
      <c r="A34" s="7">
        <f>IFERROR(__xludf.DUMMYFUNCTION("""COMPUTED_VALUE"""),45408.64583333333)</f>
        <v>45408.64583</v>
      </c>
      <c r="B34" s="6">
        <f>IFERROR(__xludf.DUMMYFUNCTION("""COMPUTED_VALUE"""),478.0)</f>
        <v>478</v>
      </c>
      <c r="C34" s="6">
        <f>IFERROR(__xludf.DUMMYFUNCTION("""COMPUTED_VALUE"""),507.39)</f>
        <v>507.39</v>
      </c>
      <c r="D34" s="6">
        <f>IFERROR(__xludf.DUMMYFUNCTION("""COMPUTED_VALUE"""),467.4)</f>
        <v>467.4</v>
      </c>
      <c r="E34" s="6">
        <f>IFERROR(__xludf.DUMMYFUNCTION("""COMPUTED_VALUE"""),499.72)</f>
        <v>499.72</v>
      </c>
      <c r="F34" s="6">
        <f>IFERROR(__xludf.DUMMYFUNCTION("""COMPUTED_VALUE"""),1.0047901E7)</f>
        <v>10047901</v>
      </c>
    </row>
    <row r="35">
      <c r="A35" s="7">
        <f>IFERROR(__xludf.DUMMYFUNCTION("""COMPUTED_VALUE"""),45415.64583333333)</f>
        <v>45415.64583</v>
      </c>
      <c r="B35" s="6">
        <f>IFERROR(__xludf.DUMMYFUNCTION("""COMPUTED_VALUE"""),513.99)</f>
        <v>513.99</v>
      </c>
      <c r="C35" s="6">
        <f>IFERROR(__xludf.DUMMYFUNCTION("""COMPUTED_VALUE"""),531.6)</f>
        <v>531.6</v>
      </c>
      <c r="D35" s="6">
        <f>IFERROR(__xludf.DUMMYFUNCTION("""COMPUTED_VALUE"""),486.05)</f>
        <v>486.05</v>
      </c>
      <c r="E35" s="6">
        <f>IFERROR(__xludf.DUMMYFUNCTION("""COMPUTED_VALUE"""),517.71)</f>
        <v>517.71</v>
      </c>
      <c r="F35" s="6">
        <f>IFERROR(__xludf.DUMMYFUNCTION("""COMPUTED_VALUE"""),8439292.0)</f>
        <v>8439292</v>
      </c>
    </row>
    <row r="36">
      <c r="A36" s="7">
        <f>IFERROR(__xludf.DUMMYFUNCTION("""COMPUTED_VALUE"""),45422.64583333333)</f>
        <v>45422.64583</v>
      </c>
      <c r="B36" s="6">
        <f>IFERROR(__xludf.DUMMYFUNCTION("""COMPUTED_VALUE"""),520.0)</f>
        <v>520</v>
      </c>
      <c r="C36" s="6">
        <f>IFERROR(__xludf.DUMMYFUNCTION("""COMPUTED_VALUE"""),521.79)</f>
        <v>521.79</v>
      </c>
      <c r="D36" s="6">
        <f>IFERROR(__xludf.DUMMYFUNCTION("""COMPUTED_VALUE"""),466.22)</f>
        <v>466.22</v>
      </c>
      <c r="E36" s="6">
        <f>IFERROR(__xludf.DUMMYFUNCTION("""COMPUTED_VALUE"""),468.87)</f>
        <v>468.87</v>
      </c>
      <c r="F36" s="6">
        <f>IFERROR(__xludf.DUMMYFUNCTION("""COMPUTED_VALUE"""),6913219.0)</f>
        <v>6913219</v>
      </c>
    </row>
    <row r="37">
      <c r="A37" s="7">
        <f>IFERROR(__xludf.DUMMYFUNCTION("""COMPUTED_VALUE"""),45436.64583333333)</f>
        <v>45436.64583</v>
      </c>
      <c r="B37" s="6">
        <f>IFERROR(__xludf.DUMMYFUNCTION("""COMPUTED_VALUE"""),474.0)</f>
        <v>474</v>
      </c>
      <c r="C37" s="6">
        <f>IFERROR(__xludf.DUMMYFUNCTION("""COMPUTED_VALUE"""),485.79)</f>
        <v>485.79</v>
      </c>
      <c r="D37" s="6">
        <f>IFERROR(__xludf.DUMMYFUNCTION("""COMPUTED_VALUE"""),465.7)</f>
        <v>465.7</v>
      </c>
      <c r="E37" s="6">
        <f>IFERROR(__xludf.DUMMYFUNCTION("""COMPUTED_VALUE"""),479.5)</f>
        <v>479.5</v>
      </c>
      <c r="F37" s="6">
        <f>IFERROR(__xludf.DUMMYFUNCTION("""COMPUTED_VALUE"""),3558241.0)</f>
        <v>3558241</v>
      </c>
    </row>
    <row r="38">
      <c r="A38" s="7">
        <f>IFERROR(__xludf.DUMMYFUNCTION("""COMPUTED_VALUE"""),45443.64583333333)</f>
        <v>45443.64583</v>
      </c>
      <c r="B38" s="6">
        <f>IFERROR(__xludf.DUMMYFUNCTION("""COMPUTED_VALUE"""),482.0)</f>
        <v>482</v>
      </c>
      <c r="C38" s="6">
        <f>IFERROR(__xludf.DUMMYFUNCTION("""COMPUTED_VALUE"""),486.6)</f>
        <v>486.6</v>
      </c>
      <c r="D38" s="6">
        <f>IFERROR(__xludf.DUMMYFUNCTION("""COMPUTED_VALUE"""),458.4)</f>
        <v>458.4</v>
      </c>
      <c r="E38" s="6">
        <f>IFERROR(__xludf.DUMMYFUNCTION("""COMPUTED_VALUE"""),470.81)</f>
        <v>470.81</v>
      </c>
      <c r="F38" s="6">
        <f>IFERROR(__xludf.DUMMYFUNCTION("""COMPUTED_VALUE"""),6338934.0)</f>
        <v>6338934</v>
      </c>
    </row>
    <row r="39">
      <c r="A39" s="7">
        <f>IFERROR(__xludf.DUMMYFUNCTION("""COMPUTED_VALUE"""),45450.64583333333)</f>
        <v>45450.64583</v>
      </c>
      <c r="B39" s="6">
        <f>IFERROR(__xludf.DUMMYFUNCTION("""COMPUTED_VALUE"""),490.0)</f>
        <v>490</v>
      </c>
      <c r="C39" s="6">
        <f>IFERROR(__xludf.DUMMYFUNCTION("""COMPUTED_VALUE"""),509.39)</f>
        <v>509.39</v>
      </c>
      <c r="D39" s="6">
        <f>IFERROR(__xludf.DUMMYFUNCTION("""COMPUTED_VALUE"""),438.6)</f>
        <v>438.6</v>
      </c>
      <c r="E39" s="6">
        <f>IFERROR(__xludf.DUMMYFUNCTION("""COMPUTED_VALUE"""),499.59)</f>
        <v>499.59</v>
      </c>
      <c r="F39" s="6">
        <f>IFERROR(__xludf.DUMMYFUNCTION("""COMPUTED_VALUE"""),1.0854578E7)</f>
        <v>10854578</v>
      </c>
    </row>
    <row r="40">
      <c r="A40" s="7">
        <f>IFERROR(__xludf.DUMMYFUNCTION("""COMPUTED_VALUE"""),45457.64583333333)</f>
        <v>45457.64583</v>
      </c>
      <c r="B40" s="6">
        <f>IFERROR(__xludf.DUMMYFUNCTION("""COMPUTED_VALUE"""),502.0)</f>
        <v>502</v>
      </c>
      <c r="C40" s="6">
        <f>IFERROR(__xludf.DUMMYFUNCTION("""COMPUTED_VALUE"""),549.4)</f>
        <v>549.4</v>
      </c>
      <c r="D40" s="6">
        <f>IFERROR(__xludf.DUMMYFUNCTION("""COMPUTED_VALUE"""),497.04)</f>
        <v>497.04</v>
      </c>
      <c r="E40" s="6">
        <f>IFERROR(__xludf.DUMMYFUNCTION("""COMPUTED_VALUE"""),546.43)</f>
        <v>546.43</v>
      </c>
      <c r="F40" s="6">
        <f>IFERROR(__xludf.DUMMYFUNCTION("""COMPUTED_VALUE"""),7676323.0)</f>
        <v>7676323</v>
      </c>
    </row>
    <row r="41">
      <c r="A41" s="7">
        <f>IFERROR(__xludf.DUMMYFUNCTION("""COMPUTED_VALUE"""),45464.64583333333)</f>
        <v>45464.64583</v>
      </c>
      <c r="B41" s="6">
        <f>IFERROR(__xludf.DUMMYFUNCTION("""COMPUTED_VALUE"""),549.79)</f>
        <v>549.79</v>
      </c>
      <c r="C41" s="6">
        <f>IFERROR(__xludf.DUMMYFUNCTION("""COMPUTED_VALUE"""),570.9)</f>
        <v>570.9</v>
      </c>
      <c r="D41" s="6">
        <f>IFERROR(__xludf.DUMMYFUNCTION("""COMPUTED_VALUE"""),546.47)</f>
        <v>546.47</v>
      </c>
      <c r="E41" s="6">
        <f>IFERROR(__xludf.DUMMYFUNCTION("""COMPUTED_VALUE"""),564.33)</f>
        <v>564.33</v>
      </c>
      <c r="F41" s="6">
        <f>IFERROR(__xludf.DUMMYFUNCTION("""COMPUTED_VALUE"""),7637898.0)</f>
        <v>7637898</v>
      </c>
    </row>
    <row r="42">
      <c r="A42" s="7">
        <f>IFERROR(__xludf.DUMMYFUNCTION("""COMPUTED_VALUE"""),45471.64583333333)</f>
        <v>45471.64583</v>
      </c>
      <c r="B42" s="6">
        <f>IFERROR(__xludf.DUMMYFUNCTION("""COMPUTED_VALUE"""),563.86)</f>
        <v>563.86</v>
      </c>
      <c r="C42" s="6">
        <f>IFERROR(__xludf.DUMMYFUNCTION("""COMPUTED_VALUE"""),611.89)</f>
        <v>611.89</v>
      </c>
      <c r="D42" s="6">
        <f>IFERROR(__xludf.DUMMYFUNCTION("""COMPUTED_VALUE"""),555.97)</f>
        <v>555.97</v>
      </c>
      <c r="E42" s="6">
        <f>IFERROR(__xludf.DUMMYFUNCTION("""COMPUTED_VALUE"""),582.3)</f>
        <v>582.3</v>
      </c>
      <c r="F42" s="6">
        <f>IFERROR(__xludf.DUMMYFUNCTION("""COMPUTED_VALUE"""),9709717.0)</f>
        <v>9709717</v>
      </c>
    </row>
    <row r="43">
      <c r="A43" s="7">
        <f>IFERROR(__xludf.DUMMYFUNCTION("""COMPUTED_VALUE"""),45478.64583333333)</f>
        <v>45478.64583</v>
      </c>
      <c r="B43" s="6">
        <f>IFERROR(__xludf.DUMMYFUNCTION("""COMPUTED_VALUE"""),580.41)</f>
        <v>580.41</v>
      </c>
      <c r="C43" s="6">
        <f>IFERROR(__xludf.DUMMYFUNCTION("""COMPUTED_VALUE"""),588.4)</f>
        <v>588.4</v>
      </c>
      <c r="D43" s="6">
        <f>IFERROR(__xludf.DUMMYFUNCTION("""COMPUTED_VALUE"""),561.11)</f>
        <v>561.11</v>
      </c>
      <c r="E43" s="6">
        <f>IFERROR(__xludf.DUMMYFUNCTION("""COMPUTED_VALUE"""),573.17)</f>
        <v>573.17</v>
      </c>
      <c r="F43" s="6">
        <f>IFERROR(__xludf.DUMMYFUNCTION("""COMPUTED_VALUE"""),7475863.0)</f>
        <v>7475863</v>
      </c>
    </row>
    <row r="44">
      <c r="A44" s="7">
        <f>IFERROR(__xludf.DUMMYFUNCTION("""COMPUTED_VALUE"""),45485.64583333333)</f>
        <v>45485.64583</v>
      </c>
      <c r="B44" s="6">
        <f>IFERROR(__xludf.DUMMYFUNCTION("""COMPUTED_VALUE"""),571.2)</f>
        <v>571.2</v>
      </c>
      <c r="C44" s="6">
        <f>IFERROR(__xludf.DUMMYFUNCTION("""COMPUTED_VALUE"""),572.0)</f>
        <v>572</v>
      </c>
      <c r="D44" s="6">
        <f>IFERROR(__xludf.DUMMYFUNCTION("""COMPUTED_VALUE"""),541.0)</f>
        <v>541</v>
      </c>
      <c r="E44" s="6">
        <f>IFERROR(__xludf.DUMMYFUNCTION("""COMPUTED_VALUE"""),558.88)</f>
        <v>558.88</v>
      </c>
      <c r="F44" s="6">
        <f>IFERROR(__xludf.DUMMYFUNCTION("""COMPUTED_VALUE"""),6689234.0)</f>
        <v>6689234</v>
      </c>
    </row>
    <row r="45">
      <c r="A45" s="7">
        <f>IFERROR(__xludf.DUMMYFUNCTION("""COMPUTED_VALUE"""),45492.64583333333)</f>
        <v>45492.64583</v>
      </c>
      <c r="B45" s="6">
        <f>IFERROR(__xludf.DUMMYFUNCTION("""COMPUTED_VALUE"""),562.6)</f>
        <v>562.6</v>
      </c>
      <c r="C45" s="6">
        <f>IFERROR(__xludf.DUMMYFUNCTION("""COMPUTED_VALUE"""),580.0)</f>
        <v>580</v>
      </c>
      <c r="D45" s="6">
        <f>IFERROR(__xludf.DUMMYFUNCTION("""COMPUTED_VALUE"""),555.4)</f>
        <v>555.4</v>
      </c>
      <c r="E45" s="6">
        <f>IFERROR(__xludf.DUMMYFUNCTION("""COMPUTED_VALUE"""),562.17)</f>
        <v>562.17</v>
      </c>
      <c r="F45" s="6">
        <f>IFERROR(__xludf.DUMMYFUNCTION("""COMPUTED_VALUE"""),4020808.0)</f>
        <v>4020808</v>
      </c>
    </row>
    <row r="46">
      <c r="A46" s="7">
        <f>IFERROR(__xludf.DUMMYFUNCTION("""COMPUTED_VALUE"""),45499.64583333333)</f>
        <v>45499.64583</v>
      </c>
      <c r="B46" s="6">
        <f>IFERROR(__xludf.DUMMYFUNCTION("""COMPUTED_VALUE"""),559.98)</f>
        <v>559.98</v>
      </c>
      <c r="C46" s="6">
        <f>IFERROR(__xludf.DUMMYFUNCTION("""COMPUTED_VALUE"""),608.8)</f>
        <v>608.8</v>
      </c>
      <c r="D46" s="6">
        <f>IFERROR(__xludf.DUMMYFUNCTION("""COMPUTED_VALUE"""),527.1)</f>
        <v>527.1</v>
      </c>
      <c r="E46" s="6">
        <f>IFERROR(__xludf.DUMMYFUNCTION("""COMPUTED_VALUE"""),585.0)</f>
        <v>585</v>
      </c>
      <c r="F46" s="6">
        <f>IFERROR(__xludf.DUMMYFUNCTION("""COMPUTED_VALUE"""),1.2543583E7)</f>
        <v>12543583</v>
      </c>
    </row>
    <row r="47">
      <c r="A47" s="7">
        <f>IFERROR(__xludf.DUMMYFUNCTION("""COMPUTED_VALUE"""),45506.64583333333)</f>
        <v>45506.64583</v>
      </c>
      <c r="B47" s="6">
        <f>IFERROR(__xludf.DUMMYFUNCTION("""COMPUTED_VALUE"""),594.0)</f>
        <v>594</v>
      </c>
      <c r="C47" s="6">
        <f>IFERROR(__xludf.DUMMYFUNCTION("""COMPUTED_VALUE"""),607.15)</f>
        <v>607.15</v>
      </c>
      <c r="D47" s="6">
        <f>IFERROR(__xludf.DUMMYFUNCTION("""COMPUTED_VALUE"""),578.4)</f>
        <v>578.4</v>
      </c>
      <c r="E47" s="6">
        <f>IFERROR(__xludf.DUMMYFUNCTION("""COMPUTED_VALUE"""),598.42)</f>
        <v>598.42</v>
      </c>
      <c r="F47" s="6">
        <f>IFERROR(__xludf.DUMMYFUNCTION("""COMPUTED_VALUE"""),8932205.0)</f>
        <v>8932205</v>
      </c>
    </row>
    <row r="48">
      <c r="A48" s="7">
        <f>IFERROR(__xludf.DUMMYFUNCTION("""COMPUTED_VALUE"""),45513.64583333333)</f>
        <v>45513.64583</v>
      </c>
      <c r="B48" s="6">
        <f>IFERROR(__xludf.DUMMYFUNCTION("""COMPUTED_VALUE"""),575.2)</f>
        <v>575.2</v>
      </c>
      <c r="C48" s="6">
        <f>IFERROR(__xludf.DUMMYFUNCTION("""COMPUTED_VALUE"""),594.67)</f>
        <v>594.67</v>
      </c>
      <c r="D48" s="6">
        <f>IFERROR(__xludf.DUMMYFUNCTION("""COMPUTED_VALUE"""),561.62)</f>
        <v>561.62</v>
      </c>
      <c r="E48" s="6">
        <f>IFERROR(__xludf.DUMMYFUNCTION("""COMPUTED_VALUE"""),591.62)</f>
        <v>591.62</v>
      </c>
      <c r="F48" s="6">
        <f>IFERROR(__xludf.DUMMYFUNCTION("""COMPUTED_VALUE"""),5677470.0)</f>
        <v>5677470</v>
      </c>
    </row>
    <row r="49">
      <c r="A49" s="7">
        <f>IFERROR(__xludf.DUMMYFUNCTION("""COMPUTED_VALUE"""),45520.64583333333)</f>
        <v>45520.64583</v>
      </c>
      <c r="B49" s="6">
        <f>IFERROR(__xludf.DUMMYFUNCTION("""COMPUTED_VALUE"""),589.99)</f>
        <v>589.99</v>
      </c>
      <c r="C49" s="6">
        <f>IFERROR(__xludf.DUMMYFUNCTION("""COMPUTED_VALUE"""),603.0)</f>
        <v>603</v>
      </c>
      <c r="D49" s="6">
        <f>IFERROR(__xludf.DUMMYFUNCTION("""COMPUTED_VALUE"""),572.1)</f>
        <v>572.1</v>
      </c>
      <c r="E49" s="6">
        <f>IFERROR(__xludf.DUMMYFUNCTION("""COMPUTED_VALUE"""),596.3)</f>
        <v>596.3</v>
      </c>
      <c r="F49" s="6">
        <f>IFERROR(__xludf.DUMMYFUNCTION("""COMPUTED_VALUE"""),4312366.0)</f>
        <v>4312366</v>
      </c>
    </row>
    <row r="50">
      <c r="A50" s="7">
        <f>IFERROR(__xludf.DUMMYFUNCTION("""COMPUTED_VALUE"""),45527.64583333333)</f>
        <v>45527.64583</v>
      </c>
      <c r="B50" s="6">
        <f>IFERROR(__xludf.DUMMYFUNCTION("""COMPUTED_VALUE"""),605.6)</f>
        <v>605.6</v>
      </c>
      <c r="C50" s="6">
        <f>IFERROR(__xludf.DUMMYFUNCTION("""COMPUTED_VALUE"""),638.0)</f>
        <v>638</v>
      </c>
      <c r="D50" s="6">
        <f>IFERROR(__xludf.DUMMYFUNCTION("""COMPUTED_VALUE"""),602.61)</f>
        <v>602.61</v>
      </c>
      <c r="E50" s="6">
        <f>IFERROR(__xludf.DUMMYFUNCTION("""COMPUTED_VALUE"""),625.31)</f>
        <v>625.31</v>
      </c>
      <c r="F50" s="6">
        <f>IFERROR(__xludf.DUMMYFUNCTION("""COMPUTED_VALUE"""),6709283.0)</f>
        <v>6709283</v>
      </c>
    </row>
    <row r="51">
      <c r="A51" s="7">
        <f>IFERROR(__xludf.DUMMYFUNCTION("""COMPUTED_VALUE"""),45534.64583333333)</f>
        <v>45534.64583</v>
      </c>
      <c r="B51" s="6">
        <f>IFERROR(__xludf.DUMMYFUNCTION("""COMPUTED_VALUE"""),628.0)</f>
        <v>628</v>
      </c>
      <c r="C51" s="6">
        <f>IFERROR(__xludf.DUMMYFUNCTION("""COMPUTED_VALUE"""),653.78)</f>
        <v>653.78</v>
      </c>
      <c r="D51" s="6">
        <f>IFERROR(__xludf.DUMMYFUNCTION("""COMPUTED_VALUE"""),622.2)</f>
        <v>622.2</v>
      </c>
      <c r="E51" s="6">
        <f>IFERROR(__xludf.DUMMYFUNCTION("""COMPUTED_VALUE"""),640.9)</f>
        <v>640.9</v>
      </c>
      <c r="F51" s="6">
        <f>IFERROR(__xludf.DUMMYFUNCTION("""COMPUTED_VALUE"""),6727325.0)</f>
        <v>6727325</v>
      </c>
    </row>
    <row r="52">
      <c r="A52" s="7">
        <f>IFERROR(__xludf.DUMMYFUNCTION("""COMPUTED_VALUE"""),45541.64583333333)</f>
        <v>45541.64583</v>
      </c>
      <c r="B52" s="6">
        <f>IFERROR(__xludf.DUMMYFUNCTION("""COMPUTED_VALUE"""),643.99)</f>
        <v>643.99</v>
      </c>
      <c r="C52" s="6">
        <f>IFERROR(__xludf.DUMMYFUNCTION("""COMPUTED_VALUE"""),658.8)</f>
        <v>658.8</v>
      </c>
      <c r="D52" s="6">
        <f>IFERROR(__xludf.DUMMYFUNCTION("""COMPUTED_VALUE"""),638.01)</f>
        <v>638.01</v>
      </c>
      <c r="E52" s="6">
        <f>IFERROR(__xludf.DUMMYFUNCTION("""COMPUTED_VALUE"""),647.13)</f>
        <v>647.13</v>
      </c>
      <c r="F52" s="6">
        <f>IFERROR(__xludf.DUMMYFUNCTION("""COMPUTED_VALUE"""),4048186.0)</f>
        <v>4048186</v>
      </c>
    </row>
    <row r="53">
      <c r="A53" s="7">
        <f>IFERROR(__xludf.DUMMYFUNCTION("""COMPUTED_VALUE"""),45548.64583333333)</f>
        <v>45548.64583</v>
      </c>
      <c r="B53" s="6">
        <f>IFERROR(__xludf.DUMMYFUNCTION("""COMPUTED_VALUE"""),658.0)</f>
        <v>658</v>
      </c>
      <c r="C53" s="6">
        <f>IFERROR(__xludf.DUMMYFUNCTION("""COMPUTED_VALUE"""),685.0)</f>
        <v>685</v>
      </c>
      <c r="D53" s="6">
        <f>IFERROR(__xludf.DUMMYFUNCTION("""COMPUTED_VALUE"""),643.22)</f>
        <v>643.22</v>
      </c>
      <c r="E53" s="6">
        <f>IFERROR(__xludf.DUMMYFUNCTION("""COMPUTED_VALUE"""),673.65)</f>
        <v>673.65</v>
      </c>
      <c r="F53" s="6">
        <f>IFERROR(__xludf.DUMMYFUNCTION("""COMPUTED_VALUE"""),6236351.0)</f>
        <v>6236351</v>
      </c>
    </row>
    <row r="54">
      <c r="A54" s="7">
        <f>IFERROR(__xludf.DUMMYFUNCTION("""COMPUTED_VALUE"""),45555.64583333333)</f>
        <v>45555.64583</v>
      </c>
      <c r="B54" s="6">
        <f>IFERROR(__xludf.DUMMYFUNCTION("""COMPUTED_VALUE"""),675.6)</f>
        <v>675.6</v>
      </c>
      <c r="C54" s="6">
        <f>IFERROR(__xludf.DUMMYFUNCTION("""COMPUTED_VALUE"""),724.73)</f>
        <v>724.73</v>
      </c>
      <c r="D54" s="6">
        <f>IFERROR(__xludf.DUMMYFUNCTION("""COMPUTED_VALUE"""),672.52)</f>
        <v>672.52</v>
      </c>
      <c r="E54" s="6">
        <f>IFERROR(__xludf.DUMMYFUNCTION("""COMPUTED_VALUE"""),706.42)</f>
        <v>706.42</v>
      </c>
      <c r="F54" s="6">
        <f>IFERROR(__xludf.DUMMYFUNCTION("""COMPUTED_VALUE"""),7234736.0)</f>
        <v>7234736</v>
      </c>
    </row>
    <row r="55">
      <c r="A55" s="7">
        <f>IFERROR(__xludf.DUMMYFUNCTION("""COMPUTED_VALUE"""),45562.64583333333)</f>
        <v>45562.64583</v>
      </c>
      <c r="B55" s="6">
        <f>IFERROR(__xludf.DUMMYFUNCTION("""COMPUTED_VALUE"""),710.19)</f>
        <v>710.19</v>
      </c>
      <c r="C55" s="6">
        <f>IFERROR(__xludf.DUMMYFUNCTION("""COMPUTED_VALUE"""),730.45)</f>
        <v>730.45</v>
      </c>
      <c r="D55" s="6">
        <f>IFERROR(__xludf.DUMMYFUNCTION("""COMPUTED_VALUE"""),691.6)</f>
        <v>691.6</v>
      </c>
      <c r="E55" s="6">
        <f>IFERROR(__xludf.DUMMYFUNCTION("""COMPUTED_VALUE"""),724.21)</f>
        <v>724.21</v>
      </c>
      <c r="F55" s="6">
        <f>IFERROR(__xludf.DUMMYFUNCTION("""COMPUTED_VALUE"""),4749032.0)</f>
        <v>4749032</v>
      </c>
    </row>
    <row r="56">
      <c r="A56" s="7">
        <f>IFERROR(__xludf.DUMMYFUNCTION("""COMPUTED_VALUE"""),45569.64583333333)</f>
        <v>45569.64583</v>
      </c>
      <c r="B56" s="6">
        <f>IFERROR(__xludf.DUMMYFUNCTION("""COMPUTED_VALUE"""),722.79)</f>
        <v>722.79</v>
      </c>
      <c r="C56" s="6">
        <f>IFERROR(__xludf.DUMMYFUNCTION("""COMPUTED_VALUE"""),728.99)</f>
        <v>728.99</v>
      </c>
      <c r="D56" s="6">
        <f>IFERROR(__xludf.DUMMYFUNCTION("""COMPUTED_VALUE"""),663.1)</f>
        <v>663.1</v>
      </c>
      <c r="E56" s="6">
        <f>IFERROR(__xludf.DUMMYFUNCTION("""COMPUTED_VALUE"""),667.26)</f>
        <v>667.26</v>
      </c>
      <c r="F56" s="6">
        <f>IFERROR(__xludf.DUMMYFUNCTION("""COMPUTED_VALUE"""),4930208.0)</f>
        <v>4930208</v>
      </c>
    </row>
    <row r="57">
      <c r="A57" s="7">
        <f>IFERROR(__xludf.DUMMYFUNCTION("""COMPUTED_VALUE"""),45576.64583333333)</f>
        <v>45576.64583</v>
      </c>
      <c r="B57" s="6">
        <f>IFERROR(__xludf.DUMMYFUNCTION("""COMPUTED_VALUE"""),673.96)</f>
        <v>673.96</v>
      </c>
      <c r="C57" s="6">
        <f>IFERROR(__xludf.DUMMYFUNCTION("""COMPUTED_VALUE"""),696.0)</f>
        <v>696</v>
      </c>
      <c r="D57" s="6">
        <f>IFERROR(__xludf.DUMMYFUNCTION("""COMPUTED_VALUE"""),651.2)</f>
        <v>651.2</v>
      </c>
      <c r="E57" s="6">
        <f>IFERROR(__xludf.DUMMYFUNCTION("""COMPUTED_VALUE"""),668.24)</f>
        <v>668.24</v>
      </c>
      <c r="F57" s="6">
        <f>IFERROR(__xludf.DUMMYFUNCTION("""COMPUTED_VALUE"""),5342506.0)</f>
        <v>5342506</v>
      </c>
    </row>
    <row r="58">
      <c r="A58" s="7">
        <f>IFERROR(__xludf.DUMMYFUNCTION("""COMPUTED_VALUE"""),45583.64583333333)</f>
        <v>45583.64583</v>
      </c>
      <c r="B58" s="6">
        <f>IFERROR(__xludf.DUMMYFUNCTION("""COMPUTED_VALUE"""),673.6)</f>
        <v>673.6</v>
      </c>
      <c r="C58" s="6">
        <f>IFERROR(__xludf.DUMMYFUNCTION("""COMPUTED_VALUE"""),687.72)</f>
        <v>687.72</v>
      </c>
      <c r="D58" s="6">
        <f>IFERROR(__xludf.DUMMYFUNCTION("""COMPUTED_VALUE"""),629.15)</f>
        <v>629.15</v>
      </c>
      <c r="E58" s="6">
        <f>IFERROR(__xludf.DUMMYFUNCTION("""COMPUTED_VALUE"""),668.93)</f>
        <v>668.93</v>
      </c>
      <c r="F58" s="6">
        <f>IFERROR(__xludf.DUMMYFUNCTION("""COMPUTED_VALUE"""),5655862.0)</f>
        <v>5655862</v>
      </c>
    </row>
    <row r="59">
      <c r="A59" s="7">
        <f>IFERROR(__xludf.DUMMYFUNCTION("""COMPUTED_VALUE"""),45590.64583333333)</f>
        <v>45590.64583</v>
      </c>
      <c r="B59" s="6">
        <f>IFERROR(__xludf.DUMMYFUNCTION("""COMPUTED_VALUE"""),671.39)</f>
        <v>671.39</v>
      </c>
      <c r="C59" s="6">
        <f>IFERROR(__xludf.DUMMYFUNCTION("""COMPUTED_VALUE"""),678.2)</f>
        <v>678.2</v>
      </c>
      <c r="D59" s="6">
        <f>IFERROR(__xludf.DUMMYFUNCTION("""COMPUTED_VALUE"""),605.6)</f>
        <v>605.6</v>
      </c>
      <c r="E59" s="6">
        <f>IFERROR(__xludf.DUMMYFUNCTION("""COMPUTED_VALUE"""),618.53)</f>
        <v>618.53</v>
      </c>
      <c r="F59" s="6">
        <f>IFERROR(__xludf.DUMMYFUNCTION("""COMPUTED_VALUE"""),1.1546541E7)</f>
        <v>11546541</v>
      </c>
    </row>
    <row r="60">
      <c r="A60" s="7">
        <f>IFERROR(__xludf.DUMMYFUNCTION("""COMPUTED_VALUE"""),45604.64583333333)</f>
        <v>45604.64583</v>
      </c>
      <c r="B60" s="6">
        <f>IFERROR(__xludf.DUMMYFUNCTION("""COMPUTED_VALUE"""),631.08)</f>
        <v>631.08</v>
      </c>
      <c r="C60" s="6">
        <f>IFERROR(__xludf.DUMMYFUNCTION("""COMPUTED_VALUE"""),640.0)</f>
        <v>640</v>
      </c>
      <c r="D60" s="6">
        <f>IFERROR(__xludf.DUMMYFUNCTION("""COMPUTED_VALUE"""),599.41)</f>
        <v>599.41</v>
      </c>
      <c r="E60" s="6">
        <f>IFERROR(__xludf.DUMMYFUNCTION("""COMPUTED_VALUE"""),601.59)</f>
        <v>601.59</v>
      </c>
      <c r="F60" s="6">
        <f>IFERROR(__xludf.DUMMYFUNCTION("""COMPUTED_VALUE"""),5288492.0)</f>
        <v>5288492</v>
      </c>
    </row>
    <row r="61">
      <c r="A61" s="7">
        <f>IFERROR(__xludf.DUMMYFUNCTION("""COMPUTED_VALUE"""),45610.64583333333)</f>
        <v>45610.64583</v>
      </c>
      <c r="B61" s="6">
        <f>IFERROR(__xludf.DUMMYFUNCTION("""COMPUTED_VALUE"""),602.0)</f>
        <v>602</v>
      </c>
      <c r="C61" s="6">
        <f>IFERROR(__xludf.DUMMYFUNCTION("""COMPUTED_VALUE"""),611.41)</f>
        <v>611.41</v>
      </c>
      <c r="D61" s="6">
        <f>IFERROR(__xludf.DUMMYFUNCTION("""COMPUTED_VALUE"""),556.6)</f>
        <v>556.6</v>
      </c>
      <c r="E61" s="6">
        <f>IFERROR(__xludf.DUMMYFUNCTION("""COMPUTED_VALUE"""),564.52)</f>
        <v>564.52</v>
      </c>
      <c r="F61" s="6">
        <f>IFERROR(__xludf.DUMMYFUNCTION("""COMPUTED_VALUE"""),4692145.0)</f>
        <v>4692145</v>
      </c>
    </row>
    <row r="62">
      <c r="A62" s="7">
        <f>IFERROR(__xludf.DUMMYFUNCTION("""COMPUTED_VALUE"""),45618.64583333333)</f>
        <v>45618.64583</v>
      </c>
      <c r="B62" s="6">
        <f>IFERROR(__xludf.DUMMYFUNCTION("""COMPUTED_VALUE"""),564.52)</f>
        <v>564.52</v>
      </c>
      <c r="C62" s="6">
        <f>IFERROR(__xludf.DUMMYFUNCTION("""COMPUTED_VALUE"""),573.36)</f>
        <v>573.36</v>
      </c>
      <c r="D62" s="6">
        <f>IFERROR(__xludf.DUMMYFUNCTION("""COMPUTED_VALUE"""),549.11)</f>
        <v>549.11</v>
      </c>
      <c r="E62" s="6">
        <f>IFERROR(__xludf.DUMMYFUNCTION("""COMPUTED_VALUE"""),570.01)</f>
        <v>570.01</v>
      </c>
      <c r="F62" s="6">
        <f>IFERROR(__xludf.DUMMYFUNCTION("""COMPUTED_VALUE"""),4751366.0)</f>
        <v>4751366</v>
      </c>
    </row>
    <row r="63">
      <c r="A63" s="7">
        <f>IFERROR(__xludf.DUMMYFUNCTION("""COMPUTED_VALUE"""),45625.64583333333)</f>
        <v>45625.64583</v>
      </c>
      <c r="B63" s="6">
        <f>IFERROR(__xludf.DUMMYFUNCTION("""COMPUTED_VALUE"""),585.39)</f>
        <v>585.39</v>
      </c>
      <c r="C63" s="6">
        <f>IFERROR(__xludf.DUMMYFUNCTION("""COMPUTED_VALUE"""),615.86)</f>
        <v>615.86</v>
      </c>
      <c r="D63" s="6">
        <f>IFERROR(__xludf.DUMMYFUNCTION("""COMPUTED_VALUE"""),585.39)</f>
        <v>585.39</v>
      </c>
      <c r="E63" s="6">
        <f>IFERROR(__xludf.DUMMYFUNCTION("""COMPUTED_VALUE"""),603.93)</f>
        <v>603.93</v>
      </c>
      <c r="F63" s="6">
        <f>IFERROR(__xludf.DUMMYFUNCTION("""COMPUTED_VALUE"""),9123816.0)</f>
        <v>9123816</v>
      </c>
    </row>
    <row r="64">
      <c r="A64" s="7">
        <f>IFERROR(__xludf.DUMMYFUNCTION("""COMPUTED_VALUE"""),45632.64583333333)</f>
        <v>45632.64583</v>
      </c>
      <c r="B64" s="6">
        <f>IFERROR(__xludf.DUMMYFUNCTION("""COMPUTED_VALUE"""),603.93)</f>
        <v>603.93</v>
      </c>
      <c r="C64" s="6">
        <f>IFERROR(__xludf.DUMMYFUNCTION("""COMPUTED_VALUE"""),641.38)</f>
        <v>641.38</v>
      </c>
      <c r="D64" s="6">
        <f>IFERROR(__xludf.DUMMYFUNCTION("""COMPUTED_VALUE"""),602.14)</f>
        <v>602.14</v>
      </c>
      <c r="E64" s="6">
        <f>IFERROR(__xludf.DUMMYFUNCTION("""COMPUTED_VALUE"""),625.27)</f>
        <v>625.27</v>
      </c>
      <c r="F64" s="6">
        <f>IFERROR(__xludf.DUMMYFUNCTION("""COMPUTED_VALUE"""),6272104.0)</f>
        <v>6272104</v>
      </c>
    </row>
    <row r="65">
      <c r="A65" s="7">
        <f>IFERROR(__xludf.DUMMYFUNCTION("""COMPUTED_VALUE"""),45639.64583333333)</f>
        <v>45639.64583</v>
      </c>
      <c r="B65" s="6">
        <f>IFERROR(__xludf.DUMMYFUNCTION("""COMPUTED_VALUE"""),620.12)</f>
        <v>620.12</v>
      </c>
      <c r="C65" s="6">
        <f>IFERROR(__xludf.DUMMYFUNCTION("""COMPUTED_VALUE"""),653.52)</f>
        <v>653.52</v>
      </c>
      <c r="D65" s="6">
        <f>IFERROR(__xludf.DUMMYFUNCTION("""COMPUTED_VALUE"""),619.1)</f>
        <v>619.1</v>
      </c>
      <c r="E65" s="6">
        <f>IFERROR(__xludf.DUMMYFUNCTION("""COMPUTED_VALUE"""),632.51)</f>
        <v>632.51</v>
      </c>
      <c r="F65" s="6">
        <f>IFERROR(__xludf.DUMMYFUNCTION("""COMPUTED_VALUE"""),5611295.0)</f>
        <v>5611295</v>
      </c>
    </row>
    <row r="66">
      <c r="A66" s="7">
        <f>IFERROR(__xludf.DUMMYFUNCTION("""COMPUTED_VALUE"""),45646.64583333333)</f>
        <v>45646.64583</v>
      </c>
      <c r="B66" s="6">
        <f>IFERROR(__xludf.DUMMYFUNCTION("""COMPUTED_VALUE"""),634.8)</f>
        <v>634.8</v>
      </c>
      <c r="C66" s="6">
        <f>IFERROR(__xludf.DUMMYFUNCTION("""COMPUTED_VALUE"""),639.4)</f>
        <v>639.4</v>
      </c>
      <c r="D66" s="6">
        <f>IFERROR(__xludf.DUMMYFUNCTION("""COMPUTED_VALUE"""),568.73)</f>
        <v>568.73</v>
      </c>
      <c r="E66" s="6">
        <f>IFERROR(__xludf.DUMMYFUNCTION("""COMPUTED_VALUE"""),575.45)</f>
        <v>575.45</v>
      </c>
      <c r="F66" s="6">
        <f>IFERROR(__xludf.DUMMYFUNCTION("""COMPUTED_VALUE"""),8131585.0)</f>
        <v>8131585</v>
      </c>
    </row>
    <row r="67">
      <c r="A67" s="7">
        <f>IFERROR(__xludf.DUMMYFUNCTION("""COMPUTED_VALUE"""),45653.64583333333)</f>
        <v>45653.64583</v>
      </c>
      <c r="B67" s="6">
        <f>IFERROR(__xludf.DUMMYFUNCTION("""COMPUTED_VALUE"""),581.2)</f>
        <v>581.2</v>
      </c>
      <c r="C67" s="6">
        <f>IFERROR(__xludf.DUMMYFUNCTION("""COMPUTED_VALUE"""),590.8)</f>
        <v>590.8</v>
      </c>
      <c r="D67" s="6">
        <f>IFERROR(__xludf.DUMMYFUNCTION("""COMPUTED_VALUE"""),571.02)</f>
        <v>571.02</v>
      </c>
      <c r="E67" s="6">
        <f>IFERROR(__xludf.DUMMYFUNCTION("""COMPUTED_VALUE"""),579.78)</f>
        <v>579.78</v>
      </c>
      <c r="F67" s="6">
        <f>IFERROR(__xludf.DUMMYFUNCTION("""COMPUTED_VALUE"""),2539857.0)</f>
        <v>2539857</v>
      </c>
    </row>
    <row r="68">
      <c r="A68" s="7">
        <f>IFERROR(__xludf.DUMMYFUNCTION("""COMPUTED_VALUE"""),45660.64583333333)</f>
        <v>45660.64583</v>
      </c>
      <c r="B68" s="6">
        <f>IFERROR(__xludf.DUMMYFUNCTION("""COMPUTED_VALUE"""),582.56)</f>
        <v>582.56</v>
      </c>
      <c r="C68" s="6">
        <f>IFERROR(__xludf.DUMMYFUNCTION("""COMPUTED_VALUE"""),619.6)</f>
        <v>619.6</v>
      </c>
      <c r="D68" s="6">
        <f>IFERROR(__xludf.DUMMYFUNCTION("""COMPUTED_VALUE"""),576.21)</f>
        <v>576.21</v>
      </c>
      <c r="E68" s="6">
        <f>IFERROR(__xludf.DUMMYFUNCTION("""COMPUTED_VALUE"""),609.67)</f>
        <v>609.67</v>
      </c>
      <c r="F68" s="6">
        <f>IFERROR(__xludf.DUMMYFUNCTION("""COMPUTED_VALUE"""),3954855.0)</f>
        <v>3954855</v>
      </c>
    </row>
    <row r="69">
      <c r="A69" s="7">
        <f>IFERROR(__xludf.DUMMYFUNCTION("""COMPUTED_VALUE"""),45667.64583333333)</f>
        <v>45667.64583</v>
      </c>
      <c r="B69" s="6">
        <f>IFERROR(__xludf.DUMMYFUNCTION("""COMPUTED_VALUE"""),606.2)</f>
        <v>606.2</v>
      </c>
      <c r="C69" s="6">
        <f>IFERROR(__xludf.DUMMYFUNCTION("""COMPUTED_VALUE"""),616.27)</f>
        <v>616.27</v>
      </c>
      <c r="D69" s="6">
        <f>IFERROR(__xludf.DUMMYFUNCTION("""COMPUTED_VALUE"""),529.0)</f>
        <v>529</v>
      </c>
      <c r="E69" s="6">
        <f>IFERROR(__xludf.DUMMYFUNCTION("""COMPUTED_VALUE"""),532.0)</f>
        <v>532</v>
      </c>
      <c r="F69" s="6">
        <f>IFERROR(__xludf.DUMMYFUNCTION("""COMPUTED_VALUE"""),9718534.0)</f>
        <v>9718534</v>
      </c>
    </row>
    <row r="70">
      <c r="A70" s="7">
        <f>IFERROR(__xludf.DUMMYFUNCTION("""COMPUTED_VALUE"""),45674.64583333333)</f>
        <v>45674.64583</v>
      </c>
      <c r="B70" s="6">
        <f>IFERROR(__xludf.DUMMYFUNCTION("""COMPUTED_VALUE"""),530.05)</f>
        <v>530.05</v>
      </c>
      <c r="C70" s="6">
        <f>IFERROR(__xludf.DUMMYFUNCTION("""COMPUTED_VALUE"""),553.75)</f>
        <v>553.75</v>
      </c>
      <c r="D70" s="6">
        <f>IFERROR(__xludf.DUMMYFUNCTION("""COMPUTED_VALUE"""),518.3)</f>
        <v>518.3</v>
      </c>
      <c r="E70" s="6">
        <f>IFERROR(__xludf.DUMMYFUNCTION("""COMPUTED_VALUE"""),526.5)</f>
        <v>526.5</v>
      </c>
      <c r="F70" s="6">
        <f>IFERROR(__xludf.DUMMYFUNCTION("""COMPUTED_VALUE"""),2.8160943E7)</f>
        <v>28160943</v>
      </c>
    </row>
    <row r="71">
      <c r="A71" s="7">
        <f>IFERROR(__xludf.DUMMYFUNCTION("""COMPUTED_VALUE"""),45681.64583333333)</f>
        <v>45681.64583</v>
      </c>
      <c r="B71" s="6">
        <f>IFERROR(__xludf.DUMMYFUNCTION("""COMPUTED_VALUE"""),511.0)</f>
        <v>511</v>
      </c>
      <c r="C71" s="6">
        <f>IFERROR(__xludf.DUMMYFUNCTION("""COMPUTED_VALUE"""),541.8)</f>
        <v>541.8</v>
      </c>
      <c r="D71" s="6">
        <f>IFERROR(__xludf.DUMMYFUNCTION("""COMPUTED_VALUE"""),493.35)</f>
        <v>493.35</v>
      </c>
      <c r="E71" s="6">
        <f>IFERROR(__xludf.DUMMYFUNCTION("""COMPUTED_VALUE"""),527.45)</f>
        <v>527.45</v>
      </c>
      <c r="F71" s="6">
        <f>IFERROR(__xludf.DUMMYFUNCTION("""COMPUTED_VALUE"""),3.9103011E7)</f>
        <v>39103011</v>
      </c>
    </row>
    <row r="72">
      <c r="A72" s="7">
        <f>IFERROR(__xludf.DUMMYFUNCTION("""COMPUTED_VALUE"""),45695.64583333333)</f>
        <v>45695.64583</v>
      </c>
      <c r="B72" s="6">
        <f>IFERROR(__xludf.DUMMYFUNCTION("""COMPUTED_VALUE"""),525.0)</f>
        <v>525</v>
      </c>
      <c r="C72" s="6">
        <f>IFERROR(__xludf.DUMMYFUNCTION("""COMPUTED_VALUE"""),590.8)</f>
        <v>590.8</v>
      </c>
      <c r="D72" s="6">
        <f>IFERROR(__xludf.DUMMYFUNCTION("""COMPUTED_VALUE"""),516.0)</f>
        <v>516</v>
      </c>
      <c r="E72" s="6">
        <f>IFERROR(__xludf.DUMMYFUNCTION("""COMPUTED_VALUE"""),559.55)</f>
        <v>559.55</v>
      </c>
      <c r="F72" s="6">
        <f>IFERROR(__xludf.DUMMYFUNCTION("""COMPUTED_VALUE"""),3.8778801E7)</f>
        <v>38778801</v>
      </c>
    </row>
    <row r="73">
      <c r="A73" s="7">
        <f>IFERROR(__xludf.DUMMYFUNCTION("""COMPUTED_VALUE"""),45702.64583333333)</f>
        <v>45702.64583</v>
      </c>
      <c r="B73" s="6">
        <f>IFERROR(__xludf.DUMMYFUNCTION("""COMPUTED_VALUE"""),561.7)</f>
        <v>561.7</v>
      </c>
      <c r="C73" s="6">
        <f>IFERROR(__xludf.DUMMYFUNCTION("""COMPUTED_VALUE"""),566.6)</f>
        <v>566.6</v>
      </c>
      <c r="D73" s="6">
        <f>IFERROR(__xludf.DUMMYFUNCTION("""COMPUTED_VALUE"""),526.8)</f>
        <v>526.8</v>
      </c>
      <c r="E73" s="6">
        <f>IFERROR(__xludf.DUMMYFUNCTION("""COMPUTED_VALUE"""),539.15)</f>
        <v>539.15</v>
      </c>
      <c r="F73" s="6">
        <f>IFERROR(__xludf.DUMMYFUNCTION("""COMPUTED_VALUE"""),2.8624489E7)</f>
        <v>28624489</v>
      </c>
    </row>
    <row r="74">
      <c r="A74" s="7">
        <f>IFERROR(__xludf.DUMMYFUNCTION("""COMPUTED_VALUE"""),45709.64583333333)</f>
        <v>45709.64583</v>
      </c>
      <c r="B74" s="6">
        <f>IFERROR(__xludf.DUMMYFUNCTION("""COMPUTED_VALUE"""),537.0)</f>
        <v>537</v>
      </c>
      <c r="C74" s="6">
        <f>IFERROR(__xludf.DUMMYFUNCTION("""COMPUTED_VALUE"""),594.7)</f>
        <v>594.7</v>
      </c>
      <c r="D74" s="6">
        <f>IFERROR(__xludf.DUMMYFUNCTION("""COMPUTED_VALUE"""),525.1)</f>
        <v>525.1</v>
      </c>
      <c r="E74" s="6">
        <f>IFERROR(__xludf.DUMMYFUNCTION("""COMPUTED_VALUE"""),585.1)</f>
        <v>585.1</v>
      </c>
      <c r="F74" s="6">
        <f>IFERROR(__xludf.DUMMYFUNCTION("""COMPUTED_VALUE"""),2.8372554E7)</f>
        <v>28372554</v>
      </c>
    </row>
    <row r="75">
      <c r="A75" s="7">
        <f>IFERROR(__xludf.DUMMYFUNCTION("""COMPUTED_VALUE"""),45716.64583333333)</f>
        <v>45716.64583</v>
      </c>
      <c r="B75" s="6">
        <f>IFERROR(__xludf.DUMMYFUNCTION("""COMPUTED_VALUE"""),576.0)</f>
        <v>576</v>
      </c>
      <c r="C75" s="6">
        <f>IFERROR(__xludf.DUMMYFUNCTION("""COMPUTED_VALUE"""),620.0)</f>
        <v>620</v>
      </c>
      <c r="D75" s="6">
        <f>IFERROR(__xludf.DUMMYFUNCTION("""COMPUTED_VALUE"""),568.8)</f>
        <v>568.8</v>
      </c>
      <c r="E75" s="6">
        <f>IFERROR(__xludf.DUMMYFUNCTION("""COMPUTED_VALUE"""),617.3)</f>
        <v>617.3</v>
      </c>
      <c r="F75" s="6">
        <f>IFERROR(__xludf.DUMMYFUNCTION("""COMPUTED_VALUE"""),5.1616976E7)</f>
        <v>51616976</v>
      </c>
    </row>
    <row r="76">
      <c r="A76" s="7">
        <f>IFERROR(__xludf.DUMMYFUNCTION("""COMPUTED_VALUE"""),45723.64583333333)</f>
        <v>45723.64583</v>
      </c>
      <c r="B76" s="6">
        <f>IFERROR(__xludf.DUMMYFUNCTION("""COMPUTED_VALUE"""),625.3)</f>
        <v>625.3</v>
      </c>
      <c r="C76" s="6">
        <f>IFERROR(__xludf.DUMMYFUNCTION("""COMPUTED_VALUE"""),650.8)</f>
        <v>650.8</v>
      </c>
      <c r="D76" s="6">
        <f>IFERROR(__xludf.DUMMYFUNCTION("""COMPUTED_VALUE"""),613.4)</f>
        <v>613.4</v>
      </c>
      <c r="E76" s="6">
        <f>IFERROR(__xludf.DUMMYFUNCTION("""COMPUTED_VALUE"""),630.85)</f>
        <v>630.85</v>
      </c>
      <c r="F76" s="6">
        <f>IFERROR(__xludf.DUMMYFUNCTION("""COMPUTED_VALUE"""),3.9090975E7)</f>
        <v>39090975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IFERROR(__xludf.DUMMYFUNCTION("""COMPUTED_VALUE"""),631.55)</f>
        <v>631.55</v>
      </c>
      <c r="C77" s="6">
        <f>IFERROR(__xludf.DUMMYFUNCTION("""COMPUTED_VALUE"""),647.25)</f>
        <v>647.25</v>
      </c>
      <c r="D77" s="6">
        <f>IFERROR(__xludf.DUMMYFUNCTION("""COMPUTED_VALUE"""),615.55)</f>
        <v>615.55</v>
      </c>
      <c r="E77" s="6">
        <f>IFERROR(__xludf.DUMMYFUNCTION("""COMPUTED_VALUE"""),619.55)</f>
        <v>619.55</v>
      </c>
      <c r="F77" s="6">
        <f>IFERROR(__xludf.DUMMYFUNCTION("""COMPUTED_VALUE"""),2.2292825E7)</f>
        <v>22292825</v>
      </c>
    </row>
    <row r="78">
      <c r="A78" s="7">
        <f>IFERROR(__xludf.DUMMYFUNCTION("""COMPUTED_VALUE"""),45737.64583333333)</f>
        <v>45737.64583</v>
      </c>
      <c r="B78" s="6">
        <f>IFERROR(__xludf.DUMMYFUNCTION("""COMPUTED_VALUE"""),630.0)</f>
        <v>630</v>
      </c>
      <c r="C78" s="6">
        <f>IFERROR(__xludf.DUMMYFUNCTION("""COMPUTED_VALUE"""),695.0)</f>
        <v>695</v>
      </c>
      <c r="D78" s="6">
        <f>IFERROR(__xludf.DUMMYFUNCTION("""COMPUTED_VALUE"""),626.05)</f>
        <v>626.05</v>
      </c>
      <c r="E78" s="6">
        <f>IFERROR(__xludf.DUMMYFUNCTION("""COMPUTED_VALUE"""),676.8)</f>
        <v>676.8</v>
      </c>
      <c r="F78" s="6">
        <f>IFERROR(__xludf.DUMMYFUNCTION("""COMPUTED_VALUE"""),3.1852275E7)</f>
        <v>31852275</v>
      </c>
    </row>
    <row r="79">
      <c r="A79" s="7">
        <f>IFERROR(__xludf.DUMMYFUNCTION("""COMPUTED_VALUE"""),45744.64583333333)</f>
        <v>45744.64583</v>
      </c>
      <c r="B79" s="6">
        <f>IFERROR(__xludf.DUMMYFUNCTION("""COMPUTED_VALUE"""),677.0)</f>
        <v>677</v>
      </c>
      <c r="C79" s="6">
        <f>IFERROR(__xludf.DUMMYFUNCTION("""COMPUTED_VALUE"""),694.9)</f>
        <v>694.9</v>
      </c>
      <c r="D79" s="6">
        <f>IFERROR(__xludf.DUMMYFUNCTION("""COMPUTED_VALUE"""),650.15)</f>
        <v>650.15</v>
      </c>
      <c r="E79" s="6">
        <f>IFERROR(__xludf.DUMMYFUNCTION("""COMPUTED_VALUE"""),656.0)</f>
        <v>656</v>
      </c>
      <c r="F79" s="6">
        <f>IFERROR(__xludf.DUMMYFUNCTION("""COMPUTED_VALUE"""),2.6467521E7)</f>
        <v>26467521</v>
      </c>
    </row>
    <row r="80">
      <c r="A80" s="7">
        <f>IFERROR(__xludf.DUMMYFUNCTION("""COMPUTED_VALUE"""),45751.64583333333)</f>
        <v>45751.64583</v>
      </c>
      <c r="B80" s="6">
        <f>IFERROR(__xludf.DUMMYFUNCTION("""COMPUTED_VALUE"""),652.0)</f>
        <v>652</v>
      </c>
      <c r="C80" s="6">
        <f>IFERROR(__xludf.DUMMYFUNCTION("""COMPUTED_VALUE"""),665.0)</f>
        <v>665</v>
      </c>
      <c r="D80" s="6">
        <f>IFERROR(__xludf.DUMMYFUNCTION("""COMPUTED_VALUE"""),630.5)</f>
        <v>630.5</v>
      </c>
      <c r="E80" s="6">
        <f>IFERROR(__xludf.DUMMYFUNCTION("""COMPUTED_VALUE"""),653.6)</f>
        <v>653.6</v>
      </c>
      <c r="F80" s="6">
        <f>IFERROR(__xludf.DUMMYFUNCTION("""COMPUTED_VALUE"""),2.0885124E7)</f>
        <v>20885124</v>
      </c>
    </row>
    <row r="81">
      <c r="A81" s="7">
        <f>IFERROR(__xludf.DUMMYFUNCTION("""COMPUTED_VALUE"""),45758.64583333333)</f>
        <v>45758.64583</v>
      </c>
      <c r="B81" s="6">
        <f>IFERROR(__xludf.DUMMYFUNCTION("""COMPUTED_VALUE"""),596.0)</f>
        <v>596</v>
      </c>
      <c r="C81" s="6">
        <f>IFERROR(__xludf.DUMMYFUNCTION("""COMPUTED_VALUE"""),648.65)</f>
        <v>648.65</v>
      </c>
      <c r="D81" s="6">
        <f>IFERROR(__xludf.DUMMYFUNCTION("""COMPUTED_VALUE"""),589.25)</f>
        <v>589.25</v>
      </c>
      <c r="E81" s="6">
        <f>IFERROR(__xludf.DUMMYFUNCTION("""COMPUTED_VALUE"""),638.8)</f>
        <v>638.8</v>
      </c>
      <c r="F81" s="6">
        <f>IFERROR(__xludf.DUMMYFUNCTION("""COMPUTED_VALUE"""),4.1942447E7)</f>
        <v>41942447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IFERROR(__xludf.DUMMYFUNCTION("""COMPUTED_VALUE"""),651.95)</f>
        <v>651.95</v>
      </c>
      <c r="C82" s="6">
        <f>IFERROR(__xludf.DUMMYFUNCTION("""COMPUTED_VALUE"""),695.65)</f>
        <v>695.65</v>
      </c>
      <c r="D82" s="6">
        <f>IFERROR(__xludf.DUMMYFUNCTION("""COMPUTED_VALUE"""),649.15)</f>
        <v>649.15</v>
      </c>
      <c r="E82" s="6">
        <f>IFERROR(__xludf.DUMMYFUNCTION("""COMPUTED_VALUE"""),691.75)</f>
        <v>691.75</v>
      </c>
      <c r="F82" s="6">
        <f>IFERROR(__xludf.DUMMYFUNCTION("""COMPUTED_VALUE"""),1.8428302E7)</f>
        <v>18428302</v>
      </c>
    </row>
    <row r="83">
      <c r="A83" s="7">
        <f>IFERROR(__xludf.DUMMYFUNCTION("""COMPUTED_VALUE"""),45772.64583333333)</f>
        <v>45772.64583</v>
      </c>
      <c r="B83" s="6">
        <f>IFERROR(__xludf.DUMMYFUNCTION("""COMPUTED_VALUE"""),698.75)</f>
        <v>698.75</v>
      </c>
      <c r="C83" s="6">
        <f>IFERROR(__xludf.DUMMYFUNCTION("""COMPUTED_VALUE"""),717.5)</f>
        <v>717.5</v>
      </c>
      <c r="D83" s="6">
        <f>IFERROR(__xludf.DUMMYFUNCTION("""COMPUTED_VALUE"""),635.0)</f>
        <v>635</v>
      </c>
      <c r="E83" s="6">
        <f>IFERROR(__xludf.DUMMYFUNCTION("""COMPUTED_VALUE"""),655.2)</f>
        <v>655.2</v>
      </c>
      <c r="F83" s="6">
        <f>IFERROR(__xludf.DUMMYFUNCTION("""COMPUTED_VALUE"""),3.0650579E7)</f>
        <v>30650579</v>
      </c>
    </row>
    <row r="84">
      <c r="A84" s="7">
        <f>IFERROR(__xludf.DUMMYFUNCTION("""COMPUTED_VALUE"""),45779.64583333333)</f>
        <v>45779.64583</v>
      </c>
      <c r="B84" s="6">
        <f>IFERROR(__xludf.DUMMYFUNCTION("""COMPUTED_VALUE"""),622.7)</f>
        <v>622.7</v>
      </c>
      <c r="C84" s="6">
        <f>IFERROR(__xludf.DUMMYFUNCTION("""COMPUTED_VALUE"""),630.8)</f>
        <v>630.8</v>
      </c>
      <c r="D84" s="6">
        <f>IFERROR(__xludf.DUMMYFUNCTION("""COMPUTED_VALUE"""),596.15)</f>
        <v>596.15</v>
      </c>
      <c r="E84" s="6">
        <f>IFERROR(__xludf.DUMMYFUNCTION("""COMPUTED_VALUE"""),604.2)</f>
        <v>604.2</v>
      </c>
      <c r="F84" s="6">
        <f>IFERROR(__xludf.DUMMYFUNCTION("""COMPUTED_VALUE"""),5.7732426E7)</f>
        <v>57732426</v>
      </c>
    </row>
    <row r="85">
      <c r="A85" s="7">
        <f>IFERROR(__xludf.DUMMYFUNCTION("""COMPUTED_VALUE"""),45786.64583333333)</f>
        <v>45786.64583</v>
      </c>
      <c r="B85" s="6">
        <f>IFERROR(__xludf.DUMMYFUNCTION("""COMPUTED_VALUE"""),610.15)</f>
        <v>610.15</v>
      </c>
      <c r="C85" s="6">
        <f>IFERROR(__xludf.DUMMYFUNCTION("""COMPUTED_VALUE"""),640.8)</f>
        <v>640.8</v>
      </c>
      <c r="D85" s="6">
        <f>IFERROR(__xludf.DUMMYFUNCTION("""COMPUTED_VALUE"""),596.65)</f>
        <v>596.65</v>
      </c>
      <c r="E85" s="6">
        <f>IFERROR(__xludf.DUMMYFUNCTION("""COMPUTED_VALUE"""),601.45)</f>
        <v>601.45</v>
      </c>
      <c r="F85" s="6">
        <f>IFERROR(__xludf.DUMMYFUNCTION("""COMPUTED_VALUE"""),3.5388947E7)</f>
        <v>35388947</v>
      </c>
    </row>
    <row r="86">
      <c r="A86" s="7">
        <f>IFERROR(__xludf.DUMMYFUNCTION("""COMPUTED_VALUE"""),45793.64583333333)</f>
        <v>45793.64583</v>
      </c>
      <c r="B86" s="6">
        <f>IFERROR(__xludf.DUMMYFUNCTION("""COMPUTED_VALUE"""),611.05)</f>
        <v>611.05</v>
      </c>
      <c r="C86" s="6">
        <f>IFERROR(__xludf.DUMMYFUNCTION("""COMPUTED_VALUE"""),679.95)</f>
        <v>679.95</v>
      </c>
      <c r="D86" s="6">
        <f>IFERROR(__xludf.DUMMYFUNCTION("""COMPUTED_VALUE"""),611.0)</f>
        <v>611</v>
      </c>
      <c r="E86" s="6">
        <f>IFERROR(__xludf.DUMMYFUNCTION("""COMPUTED_VALUE"""),665.5)</f>
        <v>665.5</v>
      </c>
      <c r="F86" s="6">
        <f>IFERROR(__xludf.DUMMYFUNCTION("""COMPUTED_VALUE"""),3.9867025E7)</f>
        <v>39867025</v>
      </c>
    </row>
    <row r="87">
      <c r="A87" s="7">
        <f>IFERROR(__xludf.DUMMYFUNCTION("""COMPUTED_VALUE"""),45800.64583333333)</f>
        <v>45800.64583</v>
      </c>
      <c r="B87" s="6">
        <f>IFERROR(__xludf.DUMMYFUNCTION("""COMPUTED_VALUE"""),670.0)</f>
        <v>670</v>
      </c>
      <c r="C87" s="6">
        <f>IFERROR(__xludf.DUMMYFUNCTION("""COMPUTED_VALUE"""),683.9)</f>
        <v>683.9</v>
      </c>
      <c r="D87" s="6">
        <f>IFERROR(__xludf.DUMMYFUNCTION("""COMPUTED_VALUE"""),638.7)</f>
        <v>638.7</v>
      </c>
      <c r="E87" s="6">
        <f>IFERROR(__xludf.DUMMYFUNCTION("""COMPUTED_VALUE"""),659.85)</f>
        <v>659.85</v>
      </c>
      <c r="F87" s="6">
        <f>IFERROR(__xludf.DUMMYFUNCTION("""COMPUTED_VALUE"""),2.9347651E7)</f>
        <v>29347651</v>
      </c>
    </row>
    <row r="88">
      <c r="A88" s="7">
        <f>IFERROR(__xludf.DUMMYFUNCTION("""COMPUTED_VALUE"""),45807.64583333333)</f>
        <v>45807.64583</v>
      </c>
      <c r="B88" s="6">
        <f>IFERROR(__xludf.DUMMYFUNCTION("""COMPUTED_VALUE"""),664.85)</f>
        <v>664.85</v>
      </c>
      <c r="C88" s="6">
        <f>IFERROR(__xludf.DUMMYFUNCTION("""COMPUTED_VALUE"""),670.0)</f>
        <v>670</v>
      </c>
      <c r="D88" s="6">
        <f>IFERROR(__xludf.DUMMYFUNCTION("""COMPUTED_VALUE"""),637.25)</f>
        <v>637.25</v>
      </c>
      <c r="E88" s="6">
        <f>IFERROR(__xludf.DUMMYFUNCTION("""COMPUTED_VALUE"""),639.35)</f>
        <v>639.35</v>
      </c>
      <c r="F88" s="6">
        <f>IFERROR(__xludf.DUMMYFUNCTION("""COMPUTED_VALUE"""),1.9567964E7)</f>
        <v>19567964</v>
      </c>
    </row>
    <row r="89">
      <c r="A89" s="7">
        <f>IFERROR(__xludf.DUMMYFUNCTION("""COMPUTED_VALUE"""),45814.64583333333)</f>
        <v>45814.64583</v>
      </c>
      <c r="B89" s="6">
        <f>IFERROR(__xludf.DUMMYFUNCTION("""COMPUTED_VALUE"""),638.3)</f>
        <v>638.3</v>
      </c>
      <c r="C89" s="6">
        <f>IFERROR(__xludf.DUMMYFUNCTION("""COMPUTED_VALUE"""),690.9)</f>
        <v>690.9</v>
      </c>
      <c r="D89" s="6">
        <f>IFERROR(__xludf.DUMMYFUNCTION("""COMPUTED_VALUE"""),625.0)</f>
        <v>625</v>
      </c>
      <c r="E89" s="6">
        <f>IFERROR(__xludf.DUMMYFUNCTION("""COMPUTED_VALUE"""),688.25)</f>
        <v>688.25</v>
      </c>
      <c r="F89" s="6">
        <f>IFERROR(__xludf.DUMMYFUNCTION("""COMPUTED_VALUE"""),4.0628835E7)</f>
        <v>40628835</v>
      </c>
    </row>
    <row r="90">
      <c r="A90" s="7">
        <f>IFERROR(__xludf.DUMMYFUNCTION("""COMPUTED_VALUE"""),45821.64583333333)</f>
        <v>45821.64583</v>
      </c>
      <c r="B90" s="6">
        <f>IFERROR(__xludf.DUMMYFUNCTION("""COMPUTED_VALUE"""),700.0)</f>
        <v>700</v>
      </c>
      <c r="C90" s="6">
        <f>IFERROR(__xludf.DUMMYFUNCTION("""COMPUTED_VALUE"""),715.9)</f>
        <v>715.9</v>
      </c>
      <c r="D90" s="6">
        <f>IFERROR(__xludf.DUMMYFUNCTION("""COMPUTED_VALUE"""),643.5)</f>
        <v>643.5</v>
      </c>
      <c r="E90" s="6">
        <f>IFERROR(__xludf.DUMMYFUNCTION("""COMPUTED_VALUE"""),667.15)</f>
        <v>667.15</v>
      </c>
      <c r="F90" s="6">
        <f>IFERROR(__xludf.DUMMYFUNCTION("""COMPUTED_VALUE"""),3.2109889E7)</f>
        <v>32109889</v>
      </c>
    </row>
    <row r="91">
      <c r="A91" s="7">
        <f>IFERROR(__xludf.DUMMYFUNCTION("""COMPUTED_VALUE"""),45828.64583333333)</f>
        <v>45828.64583</v>
      </c>
      <c r="B91" s="6">
        <f>IFERROR(__xludf.DUMMYFUNCTION("""COMPUTED_VALUE"""),669.0)</f>
        <v>669</v>
      </c>
      <c r="C91" s="6">
        <f>IFERROR(__xludf.DUMMYFUNCTION("""COMPUTED_VALUE"""),681.25)</f>
        <v>681.25</v>
      </c>
      <c r="D91" s="6">
        <f>IFERROR(__xludf.DUMMYFUNCTION("""COMPUTED_VALUE"""),648.0)</f>
        <v>648</v>
      </c>
      <c r="E91" s="6">
        <f>IFERROR(__xludf.DUMMYFUNCTION("""COMPUTED_VALUE"""),666.35)</f>
        <v>666.35</v>
      </c>
      <c r="F91" s="6">
        <f>IFERROR(__xludf.DUMMYFUNCTION("""COMPUTED_VALUE"""),2.3409675E7)</f>
        <v>23409675</v>
      </c>
    </row>
    <row r="92">
      <c r="A92" s="7">
        <f>IFERROR(__xludf.DUMMYFUNCTION("""COMPUTED_VALUE"""),45835.64583333333)</f>
        <v>45835.64583</v>
      </c>
      <c r="B92" s="6">
        <f>IFERROR(__xludf.DUMMYFUNCTION("""COMPUTED_VALUE"""),661.8)</f>
        <v>661.8</v>
      </c>
      <c r="C92" s="6">
        <f>IFERROR(__xludf.DUMMYFUNCTION("""COMPUTED_VALUE"""),707.55)</f>
        <v>707.55</v>
      </c>
      <c r="D92" s="6">
        <f>IFERROR(__xludf.DUMMYFUNCTION("""COMPUTED_VALUE"""),648.3)</f>
        <v>648.3</v>
      </c>
      <c r="E92" s="6">
        <f>IFERROR(__xludf.DUMMYFUNCTION("""COMPUTED_VALUE"""),699.95)</f>
        <v>699.95</v>
      </c>
      <c r="F92" s="6">
        <f>IFERROR(__xludf.DUMMYFUNCTION("""COMPUTED_VALUE"""),3.8902319E7)</f>
        <v>38902319</v>
      </c>
    </row>
    <row r="93">
      <c r="A93" s="7">
        <f>IFERROR(__xludf.DUMMYFUNCTION("""COMPUTED_VALUE"""),45842.64583333333)</f>
        <v>45842.64583</v>
      </c>
      <c r="B93" s="6">
        <f>IFERROR(__xludf.DUMMYFUNCTION("""COMPUTED_VALUE"""),700.0)</f>
        <v>700</v>
      </c>
      <c r="C93" s="6">
        <f>IFERROR(__xludf.DUMMYFUNCTION("""COMPUTED_VALUE"""),714.0)</f>
        <v>714</v>
      </c>
      <c r="D93" s="6">
        <f>IFERROR(__xludf.DUMMYFUNCTION("""COMPUTED_VALUE"""),670.0)</f>
        <v>670</v>
      </c>
      <c r="E93" s="6">
        <f>IFERROR(__xludf.DUMMYFUNCTION("""COMPUTED_VALUE"""),676.15)</f>
        <v>676.15</v>
      </c>
      <c r="F93" s="6">
        <f>IFERROR(__xludf.DUMMYFUNCTION("""COMPUTED_VALUE"""),2.0392854E7)</f>
        <v>20392854</v>
      </c>
    </row>
    <row r="94">
      <c r="A94" s="7">
        <f>IFERROR(__xludf.DUMMYFUNCTION("""COMPUTED_VALUE"""),45849.64583333333)</f>
        <v>45849.64583</v>
      </c>
      <c r="B94" s="6">
        <f>IFERROR(__xludf.DUMMYFUNCTION("""COMPUTED_VALUE"""),676.15)</f>
        <v>676.15</v>
      </c>
      <c r="C94" s="6">
        <f>IFERROR(__xludf.DUMMYFUNCTION("""COMPUTED_VALUE"""),687.35)</f>
        <v>687.35</v>
      </c>
      <c r="D94" s="6">
        <f>IFERROR(__xludf.DUMMYFUNCTION("""COMPUTED_VALUE"""),662.4)</f>
        <v>662.4</v>
      </c>
      <c r="E94" s="6">
        <f>IFERROR(__xludf.DUMMYFUNCTION("""COMPUTED_VALUE"""),668.25)</f>
        <v>668.25</v>
      </c>
      <c r="F94" s="6">
        <f>IFERROR(__xludf.DUMMYFUNCTION("""COMPUTED_VALUE"""),1.6116545E7)</f>
        <v>16116545</v>
      </c>
    </row>
    <row r="95">
      <c r="A95" s="7">
        <f>IFERROR(__xludf.DUMMYFUNCTION("""COMPUTED_VALUE"""),45856.64583333333)</f>
        <v>45856.64583</v>
      </c>
      <c r="B95" s="6">
        <f>IFERROR(__xludf.DUMMYFUNCTION("""COMPUTED_VALUE"""),670.0)</f>
        <v>670</v>
      </c>
      <c r="C95" s="6">
        <f>IFERROR(__xludf.DUMMYFUNCTION("""COMPUTED_VALUE"""),688.0)</f>
        <v>688</v>
      </c>
      <c r="D95" s="6">
        <f>IFERROR(__xludf.DUMMYFUNCTION("""COMPUTED_VALUE"""),644.5)</f>
        <v>644.5</v>
      </c>
      <c r="E95" s="6">
        <f>IFERROR(__xludf.DUMMYFUNCTION("""COMPUTED_VALUE"""),645.5)</f>
        <v>645.5</v>
      </c>
      <c r="F95" s="6">
        <f>IFERROR(__xludf.DUMMYFUNCTION("""COMPUTED_VALUE"""),2.521948E7)</f>
        <v>25219480</v>
      </c>
    </row>
    <row r="96">
      <c r="A96" s="7">
        <f>IFERROR(__xludf.DUMMYFUNCTION("""COMPUTED_VALUE"""),45863.64583333333)</f>
        <v>45863.64583</v>
      </c>
      <c r="B96" s="6">
        <f>IFERROR(__xludf.DUMMYFUNCTION("""COMPUTED_VALUE"""),645.5)</f>
        <v>645.5</v>
      </c>
      <c r="C96" s="6">
        <f>IFERROR(__xludf.DUMMYFUNCTION("""COMPUTED_VALUE"""),660.0)</f>
        <v>660</v>
      </c>
      <c r="D96" s="6">
        <f>IFERROR(__xludf.DUMMYFUNCTION("""COMPUTED_VALUE"""),601.7)</f>
        <v>601.7</v>
      </c>
      <c r="E96" s="6">
        <f>IFERROR(__xludf.DUMMYFUNCTION("""COMPUTED_VALUE"""),615.85)</f>
        <v>615.85</v>
      </c>
      <c r="F96" s="6">
        <f>IFERROR(__xludf.DUMMYFUNCTION("""COMPUTED_VALUE"""),3.9014039E7)</f>
        <v>39014039</v>
      </c>
    </row>
    <row r="97">
      <c r="A97" s="7">
        <f>IFERROR(__xludf.DUMMYFUNCTION("""COMPUTED_VALUE"""),45870.64583333333)</f>
        <v>45870.64583</v>
      </c>
      <c r="B97" s="6">
        <f>IFERROR(__xludf.DUMMYFUNCTION("""COMPUTED_VALUE"""),615.85)</f>
        <v>615.85</v>
      </c>
      <c r="C97" s="6">
        <f>IFERROR(__xludf.DUMMYFUNCTION("""COMPUTED_VALUE"""),643.35)</f>
        <v>643.35</v>
      </c>
      <c r="D97" s="6">
        <f>IFERROR(__xludf.DUMMYFUNCTION("""COMPUTED_VALUE"""),611.05)</f>
        <v>611.05</v>
      </c>
      <c r="E97" s="6">
        <f>IFERROR(__xludf.DUMMYFUNCTION("""COMPUTED_VALUE"""),614.2)</f>
        <v>614.2</v>
      </c>
      <c r="F97" s="6">
        <f>IFERROR(__xludf.DUMMYFUNCTION("""COMPUTED_VALUE"""),3.4476205E7)</f>
        <v>34476205</v>
      </c>
    </row>
    <row r="98">
      <c r="A98" s="7">
        <f>IFERROR(__xludf.DUMMYFUNCTION("""COMPUTED_VALUE"""),45877.64583333333)</f>
        <v>45877.64583</v>
      </c>
      <c r="B98" s="6">
        <f>IFERROR(__xludf.DUMMYFUNCTION("""COMPUTED_VALUE"""),615.9)</f>
        <v>615.9</v>
      </c>
      <c r="C98" s="6">
        <f>IFERROR(__xludf.DUMMYFUNCTION("""COMPUTED_VALUE"""),639.8)</f>
        <v>639.8</v>
      </c>
      <c r="D98" s="6">
        <f>IFERROR(__xludf.DUMMYFUNCTION("""COMPUTED_VALUE"""),607.95)</f>
        <v>607.95</v>
      </c>
      <c r="E98" s="6">
        <f>IFERROR(__xludf.DUMMYFUNCTION("""COMPUTED_VALUE"""),609.65)</f>
        <v>609.65</v>
      </c>
      <c r="F98" s="6">
        <f>IFERROR(__xludf.DUMMYFUNCTION("""COMPUTED_VALUE"""),2.0692005E7)</f>
        <v>20692005</v>
      </c>
    </row>
    <row r="99">
      <c r="A99" s="7">
        <f>IFERROR(__xludf.DUMMYFUNCTION("""COMPUTED_VALUE"""),45883.64583333333)</f>
        <v>45883.64583</v>
      </c>
      <c r="B99" s="6">
        <f>IFERROR(__xludf.DUMMYFUNCTION("""COMPUTED_VALUE"""),610.45)</f>
        <v>610.45</v>
      </c>
      <c r="C99" s="6">
        <f>IFERROR(__xludf.DUMMYFUNCTION("""COMPUTED_VALUE"""),623.5)</f>
        <v>623.5</v>
      </c>
      <c r="D99" s="6">
        <f>IFERROR(__xludf.DUMMYFUNCTION("""COMPUTED_VALUE"""),609.15)</f>
        <v>609.15</v>
      </c>
      <c r="E99" s="6">
        <f>IFERROR(__xludf.DUMMYFUNCTION("""COMPUTED_VALUE"""),616.45)</f>
        <v>616.45</v>
      </c>
      <c r="F99" s="6">
        <f>IFERROR(__xludf.DUMMYFUNCTION("""COMPUTED_VALUE"""),1.5740266E7)</f>
        <v>15740266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IFERROR(__xludf.DUMMYFUNCTION("""COMPUTED_VALUE"""),627.0)</f>
        <v>627</v>
      </c>
      <c r="C100" s="6">
        <f>IFERROR(__xludf.DUMMYFUNCTION("""COMPUTED_VALUE"""),637.5)</f>
        <v>637.5</v>
      </c>
      <c r="D100" s="6">
        <f>IFERROR(__xludf.DUMMYFUNCTION("""COMPUTED_VALUE"""),612.55)</f>
        <v>612.55</v>
      </c>
      <c r="E100" s="6">
        <f>IFERROR(__xludf.DUMMYFUNCTION("""COMPUTED_VALUE"""),615.85)</f>
        <v>615.85</v>
      </c>
      <c r="F100" s="6">
        <f>IFERROR(__xludf.DUMMYFUNCTION("""COMPUTED_VALUE"""),2.3230814E7)</f>
        <v>23230814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IFERROR(__xludf.DUMMYFUNCTION("""COMPUTED_VALUE"""),620.0)</f>
        <v>620</v>
      </c>
      <c r="C101" s="6">
        <f>IFERROR(__xludf.DUMMYFUNCTION("""COMPUTED_VALUE"""),623.8)</f>
        <v>623.8</v>
      </c>
      <c r="D101" s="6">
        <f>IFERROR(__xludf.DUMMYFUNCTION("""COMPUTED_VALUE"""),593.1)</f>
        <v>593.1</v>
      </c>
      <c r="E101" s="6">
        <f>IFERROR(__xludf.DUMMYFUNCTION("""COMPUTED_VALUE"""),594.7)</f>
        <v>594.7</v>
      </c>
      <c r="F101" s="6">
        <f>IFERROR(__xludf.DUMMYFUNCTION("""COMPUTED_VALUE"""),1.54396021E8)</f>
        <v>154396021</v>
      </c>
    </row>
  </sheetData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IFERROR(__xludf.DUMMYFUNCTION("GOOGLEFINANCE(""NSE:SIEMENS"",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IFERROR(__xludf.DUMMYFUNCTION("""COMPUTED_VALUE"""),1971.36)</f>
        <v>1971.36</v>
      </c>
      <c r="C2" s="6">
        <f>IFERROR(__xludf.DUMMYFUNCTION("""COMPUTED_VALUE"""),2073.67)</f>
        <v>2073.67</v>
      </c>
      <c r="D2" s="6">
        <f>IFERROR(__xludf.DUMMYFUNCTION("""COMPUTED_VALUE"""),1964.77)</f>
        <v>1964.77</v>
      </c>
      <c r="E2" s="6">
        <f>IFERROR(__xludf.DUMMYFUNCTION("""COMPUTED_VALUE"""),2018.67)</f>
        <v>2018.67</v>
      </c>
      <c r="F2" s="6">
        <f>IFERROR(__xludf.DUMMYFUNCTION("""COMPUTED_VALUE"""),1805752.0)</f>
        <v>1805752</v>
      </c>
    </row>
    <row r="3">
      <c r="A3" s="7">
        <f>IFERROR(__xludf.DUMMYFUNCTION("""COMPUTED_VALUE"""),45177.64583333333)</f>
        <v>45177.64583</v>
      </c>
      <c r="B3" s="6">
        <f>IFERROR(__xludf.DUMMYFUNCTION("""COMPUTED_VALUE"""),2020.2)</f>
        <v>2020.2</v>
      </c>
      <c r="C3" s="6">
        <f>IFERROR(__xludf.DUMMYFUNCTION("""COMPUTED_VALUE"""),2067.67)</f>
        <v>2067.67</v>
      </c>
      <c r="D3" s="6">
        <f>IFERROR(__xludf.DUMMYFUNCTION("""COMPUTED_VALUE"""),1986.58)</f>
        <v>1986.58</v>
      </c>
      <c r="E3" s="6">
        <f>IFERROR(__xludf.DUMMYFUNCTION("""COMPUTED_VALUE"""),2049.08)</f>
        <v>2049.08</v>
      </c>
      <c r="F3" s="6">
        <f>IFERROR(__xludf.DUMMYFUNCTION("""COMPUTED_VALUE"""),1032173.0)</f>
        <v>1032173</v>
      </c>
    </row>
    <row r="4">
      <c r="A4" s="7">
        <f>IFERROR(__xludf.DUMMYFUNCTION("""COMPUTED_VALUE"""),45184.64583333333)</f>
        <v>45184.64583</v>
      </c>
      <c r="B4" s="6">
        <f>IFERROR(__xludf.DUMMYFUNCTION("""COMPUTED_VALUE"""),2049.08)</f>
        <v>2049.08</v>
      </c>
      <c r="C4" s="6">
        <f>IFERROR(__xludf.DUMMYFUNCTION("""COMPUTED_VALUE"""),2077.28)</f>
        <v>2077.28</v>
      </c>
      <c r="D4" s="6">
        <f>IFERROR(__xludf.DUMMYFUNCTION("""COMPUTED_VALUE"""),1973.57)</f>
        <v>1973.57</v>
      </c>
      <c r="E4" s="6">
        <f>IFERROR(__xludf.DUMMYFUNCTION("""COMPUTED_VALUE"""),1979.1)</f>
        <v>1979.1</v>
      </c>
      <c r="F4" s="6">
        <f>IFERROR(__xludf.DUMMYFUNCTION("""COMPUTED_VALUE"""),1356664.0)</f>
        <v>1356664</v>
      </c>
    </row>
    <row r="5">
      <c r="A5" s="7">
        <f>IFERROR(__xludf.DUMMYFUNCTION("""COMPUTED_VALUE"""),45191.64583333333)</f>
        <v>45191.64583</v>
      </c>
      <c r="B5" s="6">
        <f>IFERROR(__xludf.DUMMYFUNCTION("""COMPUTED_VALUE"""),1979.1)</f>
        <v>1979.1</v>
      </c>
      <c r="C5" s="6">
        <f>IFERROR(__xludf.DUMMYFUNCTION("""COMPUTED_VALUE"""),1989.51)</f>
        <v>1989.51</v>
      </c>
      <c r="D5" s="6">
        <f>IFERROR(__xludf.DUMMYFUNCTION("""COMPUTED_VALUE"""),1911.2)</f>
        <v>1911.2</v>
      </c>
      <c r="E5" s="6">
        <f>IFERROR(__xludf.DUMMYFUNCTION("""COMPUTED_VALUE"""),1915.84)</f>
        <v>1915.84</v>
      </c>
      <c r="F5" s="6">
        <f>IFERROR(__xludf.DUMMYFUNCTION("""COMPUTED_VALUE"""),857648.0)</f>
        <v>857648</v>
      </c>
    </row>
    <row r="6">
      <c r="A6" s="7">
        <f>IFERROR(__xludf.DUMMYFUNCTION("""COMPUTED_VALUE"""),45198.64583333333)</f>
        <v>45198.64583</v>
      </c>
      <c r="B6" s="6">
        <f>IFERROR(__xludf.DUMMYFUNCTION("""COMPUTED_VALUE"""),1926.72)</f>
        <v>1926.72</v>
      </c>
      <c r="C6" s="6">
        <f>IFERROR(__xludf.DUMMYFUNCTION("""COMPUTED_VALUE"""),1942.8)</f>
        <v>1942.8</v>
      </c>
      <c r="D6" s="6">
        <f>IFERROR(__xludf.DUMMYFUNCTION("""COMPUTED_VALUE"""),1877.39)</f>
        <v>1877.39</v>
      </c>
      <c r="E6" s="6">
        <f>IFERROR(__xludf.DUMMYFUNCTION("""COMPUTED_VALUE"""),1907.25)</f>
        <v>1907.25</v>
      </c>
      <c r="F6" s="6">
        <f>IFERROR(__xludf.DUMMYFUNCTION("""COMPUTED_VALUE"""),1003835.0)</f>
        <v>1003835</v>
      </c>
    </row>
    <row r="7">
      <c r="A7" s="7">
        <f>IFERROR(__xludf.DUMMYFUNCTION("""COMPUTED_VALUE"""),45205.64583333333)</f>
        <v>45205.64583</v>
      </c>
      <c r="B7" s="6">
        <f>IFERROR(__xludf.DUMMYFUNCTION("""COMPUTED_VALUE"""),1900.76)</f>
        <v>1900.76</v>
      </c>
      <c r="C7" s="6">
        <f>IFERROR(__xludf.DUMMYFUNCTION("""COMPUTED_VALUE"""),1906.99)</f>
        <v>1906.99</v>
      </c>
      <c r="D7" s="6">
        <f>IFERROR(__xludf.DUMMYFUNCTION("""COMPUTED_VALUE"""),1815.51)</f>
        <v>1815.51</v>
      </c>
      <c r="E7" s="6">
        <f>IFERROR(__xludf.DUMMYFUNCTION("""COMPUTED_VALUE"""),1834.8)</f>
        <v>1834.8</v>
      </c>
      <c r="F7" s="6">
        <f>IFERROR(__xludf.DUMMYFUNCTION("""COMPUTED_VALUE"""),2190184.0)</f>
        <v>2190184</v>
      </c>
    </row>
    <row r="8">
      <c r="A8" s="7">
        <f>IFERROR(__xludf.DUMMYFUNCTION("""COMPUTED_VALUE"""),45212.64583333333)</f>
        <v>45212.64583</v>
      </c>
      <c r="B8" s="6">
        <f>IFERROR(__xludf.DUMMYFUNCTION("""COMPUTED_VALUE"""),1828.05)</f>
        <v>1828.05</v>
      </c>
      <c r="C8" s="6">
        <f>IFERROR(__xludf.DUMMYFUNCTION("""COMPUTED_VALUE"""),1887.23)</f>
        <v>1887.23</v>
      </c>
      <c r="D8" s="6">
        <f>IFERROR(__xludf.DUMMYFUNCTION("""COMPUTED_VALUE"""),1801.38)</f>
        <v>1801.38</v>
      </c>
      <c r="E8" s="6">
        <f>IFERROR(__xludf.DUMMYFUNCTION("""COMPUTED_VALUE"""),1865.55)</f>
        <v>1865.55</v>
      </c>
      <c r="F8" s="6">
        <f>IFERROR(__xludf.DUMMYFUNCTION("""COMPUTED_VALUE"""),1361037.0)</f>
        <v>1361037</v>
      </c>
    </row>
    <row r="9">
      <c r="A9" s="7">
        <f>IFERROR(__xludf.DUMMYFUNCTION("""COMPUTED_VALUE"""),45219.64583333333)</f>
        <v>45219.64583</v>
      </c>
      <c r="B9" s="6">
        <f>IFERROR(__xludf.DUMMYFUNCTION("""COMPUTED_VALUE"""),1869.6)</f>
        <v>1869.6</v>
      </c>
      <c r="C9" s="6">
        <f>IFERROR(__xludf.DUMMYFUNCTION("""COMPUTED_VALUE"""),1882.48)</f>
        <v>1882.48</v>
      </c>
      <c r="D9" s="6">
        <f>IFERROR(__xludf.DUMMYFUNCTION("""COMPUTED_VALUE"""),1774.07)</f>
        <v>1774.07</v>
      </c>
      <c r="E9" s="6">
        <f>IFERROR(__xludf.DUMMYFUNCTION("""COMPUTED_VALUE"""),1787.44)</f>
        <v>1787.44</v>
      </c>
      <c r="F9" s="6">
        <f>IFERROR(__xludf.DUMMYFUNCTION("""COMPUTED_VALUE"""),1710231.0)</f>
        <v>1710231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IFERROR(__xludf.DUMMYFUNCTION("""COMPUTED_VALUE"""),1787.44)</f>
        <v>1787.44</v>
      </c>
      <c r="C10" s="6">
        <f>IFERROR(__xludf.DUMMYFUNCTION("""COMPUTED_VALUE"""),1804.42)</f>
        <v>1804.42</v>
      </c>
      <c r="D10" s="6">
        <f>IFERROR(__xludf.DUMMYFUNCTION("""COMPUTED_VALUE"""),1739.76)</f>
        <v>1739.76</v>
      </c>
      <c r="E10" s="6">
        <f>IFERROR(__xludf.DUMMYFUNCTION("""COMPUTED_VALUE"""),1779.75)</f>
        <v>1779.75</v>
      </c>
      <c r="F10" s="6">
        <f>IFERROR(__xludf.DUMMYFUNCTION("""COMPUTED_VALUE"""),990811.0)</f>
        <v>990811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IFERROR(__xludf.DUMMYFUNCTION("""COMPUTED_VALUE"""),1765.81)</f>
        <v>1765.81</v>
      </c>
      <c r="C11" s="6">
        <f>IFERROR(__xludf.DUMMYFUNCTION("""COMPUTED_VALUE"""),1798.94)</f>
        <v>1798.94</v>
      </c>
      <c r="D11" s="6">
        <f>IFERROR(__xludf.DUMMYFUNCTION("""COMPUTED_VALUE"""),1685.75)</f>
        <v>1685.75</v>
      </c>
      <c r="E11" s="6">
        <f>IFERROR(__xludf.DUMMYFUNCTION("""COMPUTED_VALUE"""),1748.88)</f>
        <v>1748.88</v>
      </c>
      <c r="F11" s="6">
        <f>IFERROR(__xludf.DUMMYFUNCTION("""COMPUTED_VALUE"""),2024642.0)</f>
        <v>2024642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IFERROR(__xludf.DUMMYFUNCTION("""COMPUTED_VALUE"""),1753.03)</f>
        <v>1753.03</v>
      </c>
      <c r="C12" s="6">
        <f>IFERROR(__xludf.DUMMYFUNCTION("""COMPUTED_VALUE"""),1789.1)</f>
        <v>1789.1</v>
      </c>
      <c r="D12" s="6">
        <f>IFERROR(__xludf.DUMMYFUNCTION("""COMPUTED_VALUE"""),1713.77)</f>
        <v>1713.77</v>
      </c>
      <c r="E12" s="6">
        <f>IFERROR(__xludf.DUMMYFUNCTION("""COMPUTED_VALUE"""),1769.55)</f>
        <v>1769.55</v>
      </c>
      <c r="F12" s="6">
        <f>IFERROR(__xludf.DUMMYFUNCTION("""COMPUTED_VALUE"""),1718012.0)</f>
        <v>1718012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IFERROR(__xludf.DUMMYFUNCTION("""COMPUTED_VALUE"""),1781.26)</f>
        <v>1781.26</v>
      </c>
      <c r="C13" s="6">
        <f>IFERROR(__xludf.DUMMYFUNCTION("""COMPUTED_VALUE"""),1859.83)</f>
        <v>1859.83</v>
      </c>
      <c r="D13" s="6">
        <f>IFERROR(__xludf.DUMMYFUNCTION("""COMPUTED_VALUE"""),1764.82)</f>
        <v>1764.82</v>
      </c>
      <c r="E13" s="6">
        <f>IFERROR(__xludf.DUMMYFUNCTION("""COMPUTED_VALUE"""),1854.41)</f>
        <v>1854.41</v>
      </c>
      <c r="F13" s="6">
        <f>IFERROR(__xludf.DUMMYFUNCTION("""COMPUTED_VALUE"""),1998991.0)</f>
        <v>1998991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IFERROR(__xludf.DUMMYFUNCTION("""COMPUTED_VALUE"""),1859.21)</f>
        <v>1859.21</v>
      </c>
      <c r="C14" s="6">
        <f>IFERROR(__xludf.DUMMYFUNCTION("""COMPUTED_VALUE"""),1891.33)</f>
        <v>1891.33</v>
      </c>
      <c r="D14" s="6">
        <f>IFERROR(__xludf.DUMMYFUNCTION("""COMPUTED_VALUE"""),1828.05)</f>
        <v>1828.05</v>
      </c>
      <c r="E14" s="6">
        <f>IFERROR(__xludf.DUMMYFUNCTION("""COMPUTED_VALUE"""),1884.45)</f>
        <v>1884.45</v>
      </c>
      <c r="F14" s="6">
        <f>IFERROR(__xludf.DUMMYFUNCTION("""COMPUTED_VALUE"""),994018.0)</f>
        <v>994018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IFERROR(__xludf.DUMMYFUNCTION("""COMPUTED_VALUE"""),1890.37)</f>
        <v>1890.37</v>
      </c>
      <c r="C15" s="6">
        <f>IFERROR(__xludf.DUMMYFUNCTION("""COMPUTED_VALUE"""),1963.05)</f>
        <v>1963.05</v>
      </c>
      <c r="D15" s="6">
        <f>IFERROR(__xludf.DUMMYFUNCTION("""COMPUTED_VALUE"""),1856.9)</f>
        <v>1856.9</v>
      </c>
      <c r="E15" s="6">
        <f>IFERROR(__xludf.DUMMYFUNCTION("""COMPUTED_VALUE"""),1949.11)</f>
        <v>1949.11</v>
      </c>
      <c r="F15" s="6">
        <f>IFERROR(__xludf.DUMMYFUNCTION("""COMPUTED_VALUE"""),1972704.0)</f>
        <v>1972704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IFERROR(__xludf.DUMMYFUNCTION("""COMPUTED_VALUE"""),1973.44)</f>
        <v>1973.44</v>
      </c>
      <c r="C16" s="6">
        <f>IFERROR(__xludf.DUMMYFUNCTION("""COMPUTED_VALUE"""),2038.12)</f>
        <v>2038.12</v>
      </c>
      <c r="D16" s="6">
        <f>IFERROR(__xludf.DUMMYFUNCTION("""COMPUTED_VALUE"""),1942.62)</f>
        <v>1942.62</v>
      </c>
      <c r="E16" s="6">
        <f>IFERROR(__xludf.DUMMYFUNCTION("""COMPUTED_VALUE"""),1987.59)</f>
        <v>1987.59</v>
      </c>
      <c r="F16" s="6">
        <f>IFERROR(__xludf.DUMMYFUNCTION("""COMPUTED_VALUE"""),1670155.0)</f>
        <v>1670155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IFERROR(__xludf.DUMMYFUNCTION("""COMPUTED_VALUE"""),1989.04)</f>
        <v>1989.04</v>
      </c>
      <c r="C17" s="6">
        <f>IFERROR(__xludf.DUMMYFUNCTION("""COMPUTED_VALUE"""),2053.96)</f>
        <v>2053.96</v>
      </c>
      <c r="D17" s="6">
        <f>IFERROR(__xludf.DUMMYFUNCTION("""COMPUTED_VALUE"""),1989.04)</f>
        <v>1989.04</v>
      </c>
      <c r="E17" s="6">
        <f>IFERROR(__xludf.DUMMYFUNCTION("""COMPUTED_VALUE"""),2029.19)</f>
        <v>2029.19</v>
      </c>
      <c r="F17" s="6">
        <f>IFERROR(__xludf.DUMMYFUNCTION("""COMPUTED_VALUE"""),1162804.0)</f>
        <v>1162804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IFERROR(__xludf.DUMMYFUNCTION("""COMPUTED_VALUE"""),2033.34)</f>
        <v>2033.34</v>
      </c>
      <c r="C18" s="6">
        <f>IFERROR(__xludf.DUMMYFUNCTION("""COMPUTED_VALUE"""),2204.57)</f>
        <v>2204.57</v>
      </c>
      <c r="D18" s="6">
        <f>IFERROR(__xludf.DUMMYFUNCTION("""COMPUTED_VALUE"""),1978.22)</f>
        <v>1978.22</v>
      </c>
      <c r="E18" s="6">
        <f>IFERROR(__xludf.DUMMYFUNCTION("""COMPUTED_VALUE"""),2054.25)</f>
        <v>2054.25</v>
      </c>
      <c r="F18" s="6">
        <f>IFERROR(__xludf.DUMMYFUNCTION("""COMPUTED_VALUE"""),3562543.0)</f>
        <v>3562543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IFERROR(__xludf.DUMMYFUNCTION("""COMPUTED_VALUE"""),2069.54)</f>
        <v>2069.54</v>
      </c>
      <c r="C19" s="6">
        <f>IFERROR(__xludf.DUMMYFUNCTION("""COMPUTED_VALUE"""),2104.78)</f>
        <v>2104.78</v>
      </c>
      <c r="D19" s="6">
        <f>IFERROR(__xludf.DUMMYFUNCTION("""COMPUTED_VALUE"""),2048.9)</f>
        <v>2048.9</v>
      </c>
      <c r="E19" s="6">
        <f>IFERROR(__xludf.DUMMYFUNCTION("""COMPUTED_VALUE"""),2090.16)</f>
        <v>2090.16</v>
      </c>
      <c r="F19" s="6">
        <f>IFERROR(__xludf.DUMMYFUNCTION("""COMPUTED_VALUE"""),1551671.0)</f>
        <v>1551671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IFERROR(__xludf.DUMMYFUNCTION("""COMPUTED_VALUE"""),2092.39)</f>
        <v>2092.39</v>
      </c>
      <c r="C20" s="6">
        <f>IFERROR(__xludf.DUMMYFUNCTION("""COMPUTED_VALUE"""),2143.34)</f>
        <v>2143.34</v>
      </c>
      <c r="D20" s="6">
        <f>IFERROR(__xludf.DUMMYFUNCTION("""COMPUTED_VALUE"""),2060.04)</f>
        <v>2060.04</v>
      </c>
      <c r="E20" s="6">
        <f>IFERROR(__xludf.DUMMYFUNCTION("""COMPUTED_VALUE"""),2117.42)</f>
        <v>2117.42</v>
      </c>
      <c r="F20" s="6">
        <f>IFERROR(__xludf.DUMMYFUNCTION("""COMPUTED_VALUE"""),1047030.0)</f>
        <v>1047030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IFERROR(__xludf.DUMMYFUNCTION("""COMPUTED_VALUE"""),2126.15)</f>
        <v>2126.15</v>
      </c>
      <c r="C21" s="6">
        <f>IFERROR(__xludf.DUMMYFUNCTION("""COMPUTED_VALUE"""),2196.39)</f>
        <v>2196.39</v>
      </c>
      <c r="D21" s="6">
        <f>IFERROR(__xludf.DUMMYFUNCTION("""COMPUTED_VALUE"""),2078.4)</f>
        <v>2078.4</v>
      </c>
      <c r="E21" s="6">
        <f>IFERROR(__xludf.DUMMYFUNCTION("""COMPUTED_VALUE"""),2157.36)</f>
        <v>2157.36</v>
      </c>
      <c r="F21" s="6">
        <f>IFERROR(__xludf.DUMMYFUNCTION("""COMPUTED_VALUE"""),1380275.0)</f>
        <v>1380275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IFERROR(__xludf.DUMMYFUNCTION("""COMPUTED_VALUE"""),2124.07)</f>
        <v>2124.07</v>
      </c>
      <c r="C22" s="6">
        <f>IFERROR(__xludf.DUMMYFUNCTION("""COMPUTED_VALUE"""),2192.16)</f>
        <v>2192.16</v>
      </c>
      <c r="D22" s="6">
        <f>IFERROR(__xludf.DUMMYFUNCTION("""COMPUTED_VALUE"""),2087.72)</f>
        <v>2087.72</v>
      </c>
      <c r="E22" s="6">
        <f>IFERROR(__xludf.DUMMYFUNCTION("""COMPUTED_VALUE"""),2184.0)</f>
        <v>2184</v>
      </c>
      <c r="F22" s="6">
        <f>IFERROR(__xludf.DUMMYFUNCTION("""COMPUTED_VALUE"""),862825.0)</f>
        <v>862825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IFERROR(__xludf.DUMMYFUNCTION("""COMPUTED_VALUE"""),2183.28)</f>
        <v>2183.28</v>
      </c>
      <c r="C23" s="6">
        <f>IFERROR(__xludf.DUMMYFUNCTION("""COMPUTED_VALUE"""),2251.31)</f>
        <v>2251.31</v>
      </c>
      <c r="D23" s="6">
        <f>IFERROR(__xludf.DUMMYFUNCTION("""COMPUTED_VALUE"""),2092.63)</f>
        <v>2092.63</v>
      </c>
      <c r="E23" s="6">
        <f>IFERROR(__xludf.DUMMYFUNCTION("""COMPUTED_VALUE"""),2161.62)</f>
        <v>2161.62</v>
      </c>
      <c r="F23" s="6">
        <f>IFERROR(__xludf.DUMMYFUNCTION("""COMPUTED_VALUE"""),2617670.0)</f>
        <v>2617670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IFERROR(__xludf.DUMMYFUNCTION("""COMPUTED_VALUE"""),2168.21)</f>
        <v>2168.21</v>
      </c>
      <c r="C24" s="6">
        <f>IFERROR(__xludf.DUMMYFUNCTION("""COMPUTED_VALUE"""),2251.31)</f>
        <v>2251.31</v>
      </c>
      <c r="D24" s="6">
        <f>IFERROR(__xludf.DUMMYFUNCTION("""COMPUTED_VALUE"""),2141.7)</f>
        <v>2141.7</v>
      </c>
      <c r="E24" s="6">
        <f>IFERROR(__xludf.DUMMYFUNCTION("""COMPUTED_VALUE"""),2220.56)</f>
        <v>2220.56</v>
      </c>
      <c r="F24" s="6">
        <f>IFERROR(__xludf.DUMMYFUNCTION("""COMPUTED_VALUE"""),1159832.0)</f>
        <v>1159832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IFERROR(__xludf.DUMMYFUNCTION("""COMPUTED_VALUE"""),2220.56)</f>
        <v>2220.56</v>
      </c>
      <c r="C25" s="6">
        <f>IFERROR(__xludf.DUMMYFUNCTION("""COMPUTED_VALUE"""),2336.89)</f>
        <v>2336.89</v>
      </c>
      <c r="D25" s="6">
        <f>IFERROR(__xludf.DUMMYFUNCTION("""COMPUTED_VALUE"""),2138.61)</f>
        <v>2138.61</v>
      </c>
      <c r="E25" s="6">
        <f>IFERROR(__xludf.DUMMYFUNCTION("""COMPUTED_VALUE"""),2284.36)</f>
        <v>2284.36</v>
      </c>
      <c r="F25" s="6">
        <f>IFERROR(__xludf.DUMMYFUNCTION("""COMPUTED_VALUE"""),1819949.0)</f>
        <v>1819949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IFERROR(__xludf.DUMMYFUNCTION("""COMPUTED_VALUE"""),2285.56)</f>
        <v>2285.56</v>
      </c>
      <c r="C26" s="6">
        <f>IFERROR(__xludf.DUMMYFUNCTION("""COMPUTED_VALUE"""),2384.91)</f>
        <v>2384.91</v>
      </c>
      <c r="D26" s="6">
        <f>IFERROR(__xludf.DUMMYFUNCTION("""COMPUTED_VALUE"""),2272.08)</f>
        <v>2272.08</v>
      </c>
      <c r="E26" s="6">
        <f>IFERROR(__xludf.DUMMYFUNCTION("""COMPUTED_VALUE"""),2355.95)</f>
        <v>2355.95</v>
      </c>
      <c r="F26" s="6">
        <f>IFERROR(__xludf.DUMMYFUNCTION("""COMPUTED_VALUE"""),849187.0)</f>
        <v>849187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IFERROR(__xludf.DUMMYFUNCTION("""COMPUTED_VALUE"""),2456.47)</f>
        <v>2456.47</v>
      </c>
      <c r="C27" s="6">
        <f>IFERROR(__xludf.DUMMYFUNCTION("""COMPUTED_VALUE"""),2471.84)</f>
        <v>2471.84</v>
      </c>
      <c r="D27" s="6">
        <f>IFERROR(__xludf.DUMMYFUNCTION("""COMPUTED_VALUE"""),2404.56)</f>
        <v>2404.56</v>
      </c>
      <c r="E27" s="6">
        <f>IFERROR(__xludf.DUMMYFUNCTION("""COMPUTED_VALUE"""),2424.58)</f>
        <v>2424.58</v>
      </c>
      <c r="F27" s="6">
        <f>IFERROR(__xludf.DUMMYFUNCTION("""COMPUTED_VALUE"""),535522.0)</f>
        <v>535522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IFERROR(__xludf.DUMMYFUNCTION("""COMPUTED_VALUE"""),2425.28)</f>
        <v>2425.28</v>
      </c>
      <c r="C28" s="6">
        <f>IFERROR(__xludf.DUMMYFUNCTION("""COMPUTED_VALUE"""),2582.33)</f>
        <v>2582.33</v>
      </c>
      <c r="D28" s="6">
        <f>IFERROR(__xludf.DUMMYFUNCTION("""COMPUTED_VALUE"""),2378.41)</f>
        <v>2378.41</v>
      </c>
      <c r="E28" s="6">
        <f>IFERROR(__xludf.DUMMYFUNCTION("""COMPUTED_VALUE"""),2477.89)</f>
        <v>2477.89</v>
      </c>
      <c r="F28" s="6">
        <f>IFERROR(__xludf.DUMMYFUNCTION("""COMPUTED_VALUE"""),2386206.0)</f>
        <v>2386206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IFERROR(__xludf.DUMMYFUNCTION("""COMPUTED_VALUE"""),2479.79)</f>
        <v>2479.79</v>
      </c>
      <c r="C29" s="6">
        <f>IFERROR(__xludf.DUMMYFUNCTION("""COMPUTED_VALUE"""),2595.21)</f>
        <v>2595.21</v>
      </c>
      <c r="D29" s="6">
        <f>IFERROR(__xludf.DUMMYFUNCTION("""COMPUTED_VALUE"""),2369.38)</f>
        <v>2369.38</v>
      </c>
      <c r="E29" s="6">
        <f>IFERROR(__xludf.DUMMYFUNCTION("""COMPUTED_VALUE"""),2592.28)</f>
        <v>2592.28</v>
      </c>
      <c r="F29" s="6">
        <f>IFERROR(__xludf.DUMMYFUNCTION("""COMPUTED_VALUE"""),1465803.0)</f>
        <v>1465803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IFERROR(__xludf.DUMMYFUNCTION("""COMPUTED_VALUE"""),2592.28)</f>
        <v>2592.28</v>
      </c>
      <c r="C30" s="6">
        <f>IFERROR(__xludf.DUMMYFUNCTION("""COMPUTED_VALUE"""),2806.99)</f>
        <v>2806.99</v>
      </c>
      <c r="D30" s="6">
        <f>IFERROR(__xludf.DUMMYFUNCTION("""COMPUTED_VALUE"""),2581.08)</f>
        <v>2581.08</v>
      </c>
      <c r="E30" s="6">
        <f>IFERROR(__xludf.DUMMYFUNCTION("""COMPUTED_VALUE"""),2790.92)</f>
        <v>2790.92</v>
      </c>
      <c r="F30" s="6">
        <f>IFERROR(__xludf.DUMMYFUNCTION("""COMPUTED_VALUE"""),1617147.0)</f>
        <v>1617147</v>
      </c>
    </row>
    <row r="31">
      <c r="A31" s="7">
        <f>IFERROR(__xludf.DUMMYFUNCTION("""COMPUTED_VALUE"""),45387.64583333333)</f>
        <v>45387.64583</v>
      </c>
      <c r="B31" s="6">
        <f>IFERROR(__xludf.DUMMYFUNCTION("""COMPUTED_VALUE"""),2793.41)</f>
        <v>2793.41</v>
      </c>
      <c r="C31" s="6">
        <f>IFERROR(__xludf.DUMMYFUNCTION("""COMPUTED_VALUE"""),2996.55)</f>
        <v>2996.55</v>
      </c>
      <c r="D31" s="6">
        <f>IFERROR(__xludf.DUMMYFUNCTION("""COMPUTED_VALUE"""),2793.41)</f>
        <v>2793.41</v>
      </c>
      <c r="E31" s="6">
        <f>IFERROR(__xludf.DUMMYFUNCTION("""COMPUTED_VALUE"""),2926.05)</f>
        <v>2926.05</v>
      </c>
      <c r="F31" s="6">
        <f>IFERROR(__xludf.DUMMYFUNCTION("""COMPUTED_VALUE"""),1584750.0)</f>
        <v>1584750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IFERROR(__xludf.DUMMYFUNCTION("""COMPUTED_VALUE"""),2948.77)</f>
        <v>2948.77</v>
      </c>
      <c r="C32" s="6">
        <f>IFERROR(__xludf.DUMMYFUNCTION("""COMPUTED_VALUE"""),2979.65)</f>
        <v>2979.65</v>
      </c>
      <c r="D32" s="6">
        <f>IFERROR(__xludf.DUMMYFUNCTION("""COMPUTED_VALUE"""),2882.3)</f>
        <v>2882.3</v>
      </c>
      <c r="E32" s="6">
        <f>IFERROR(__xludf.DUMMYFUNCTION("""COMPUTED_VALUE"""),2896.55)</f>
        <v>2896.55</v>
      </c>
      <c r="F32" s="6">
        <f>IFERROR(__xludf.DUMMYFUNCTION("""COMPUTED_VALUE"""),763904.0)</f>
        <v>763904</v>
      </c>
    </row>
    <row r="33">
      <c r="A33" s="7">
        <f>IFERROR(__xludf.DUMMYFUNCTION("""COMPUTED_VALUE"""),45401.64583333333)</f>
        <v>45401.64583</v>
      </c>
      <c r="B33" s="6">
        <f>IFERROR(__xludf.DUMMYFUNCTION("""COMPUTED_VALUE"""),2864.74)</f>
        <v>2864.74</v>
      </c>
      <c r="C33" s="6">
        <f>IFERROR(__xludf.DUMMYFUNCTION("""COMPUTED_VALUE"""),2932.02)</f>
        <v>2932.02</v>
      </c>
      <c r="D33" s="6">
        <f>IFERROR(__xludf.DUMMYFUNCTION("""COMPUTED_VALUE"""),2812.32)</f>
        <v>2812.32</v>
      </c>
      <c r="E33" s="6">
        <f>IFERROR(__xludf.DUMMYFUNCTION("""COMPUTED_VALUE"""),2902.81)</f>
        <v>2902.81</v>
      </c>
      <c r="F33" s="6">
        <f>IFERROR(__xludf.DUMMYFUNCTION("""COMPUTED_VALUE"""),1465969.0)</f>
        <v>1465969</v>
      </c>
    </row>
    <row r="34">
      <c r="A34" s="7">
        <f>IFERROR(__xludf.DUMMYFUNCTION("""COMPUTED_VALUE"""),45408.64583333333)</f>
        <v>45408.64583</v>
      </c>
      <c r="B34" s="6">
        <f>IFERROR(__xludf.DUMMYFUNCTION("""COMPUTED_VALUE"""),2909.28)</f>
        <v>2909.28</v>
      </c>
      <c r="C34" s="6">
        <f>IFERROR(__xludf.DUMMYFUNCTION("""COMPUTED_VALUE"""),3030.31)</f>
        <v>3030.31</v>
      </c>
      <c r="D34" s="6">
        <f>IFERROR(__xludf.DUMMYFUNCTION("""COMPUTED_VALUE"""),2907.74)</f>
        <v>2907.74</v>
      </c>
      <c r="E34" s="6">
        <f>IFERROR(__xludf.DUMMYFUNCTION("""COMPUTED_VALUE"""),2985.38)</f>
        <v>2985.38</v>
      </c>
      <c r="F34" s="6">
        <f>IFERROR(__xludf.DUMMYFUNCTION("""COMPUTED_VALUE"""),1304394.0)</f>
        <v>1304394</v>
      </c>
    </row>
    <row r="35">
      <c r="A35" s="7">
        <f>IFERROR(__xludf.DUMMYFUNCTION("""COMPUTED_VALUE"""),45415.64583333333)</f>
        <v>45415.64583</v>
      </c>
      <c r="B35" s="6">
        <f>IFERROR(__xludf.DUMMYFUNCTION("""COMPUTED_VALUE"""),2988.34)</f>
        <v>2988.34</v>
      </c>
      <c r="C35" s="6">
        <f>IFERROR(__xludf.DUMMYFUNCTION("""COMPUTED_VALUE"""),3103.25)</f>
        <v>3103.25</v>
      </c>
      <c r="D35" s="6">
        <f>IFERROR(__xludf.DUMMYFUNCTION("""COMPUTED_VALUE"""),2978.09)</f>
        <v>2978.09</v>
      </c>
      <c r="E35" s="6">
        <f>IFERROR(__xludf.DUMMYFUNCTION("""COMPUTED_VALUE"""),3078.63)</f>
        <v>3078.63</v>
      </c>
      <c r="F35" s="6">
        <f>IFERROR(__xludf.DUMMYFUNCTION("""COMPUTED_VALUE"""),909542.0)</f>
        <v>909542</v>
      </c>
    </row>
    <row r="36">
      <c r="A36" s="7">
        <f>IFERROR(__xludf.DUMMYFUNCTION("""COMPUTED_VALUE"""),45422.64583333333)</f>
        <v>45422.64583</v>
      </c>
      <c r="B36" s="6">
        <f>IFERROR(__xludf.DUMMYFUNCTION("""COMPUTED_VALUE"""),3095.22)</f>
        <v>3095.22</v>
      </c>
      <c r="C36" s="6">
        <f>IFERROR(__xludf.DUMMYFUNCTION("""COMPUTED_VALUE"""),3291.01)</f>
        <v>3291.01</v>
      </c>
      <c r="D36" s="6">
        <f>IFERROR(__xludf.DUMMYFUNCTION("""COMPUTED_VALUE"""),3094.68)</f>
        <v>3094.68</v>
      </c>
      <c r="E36" s="6">
        <f>IFERROR(__xludf.DUMMYFUNCTION("""COMPUTED_VALUE"""),3203.32)</f>
        <v>3203.32</v>
      </c>
      <c r="F36" s="6">
        <f>IFERROR(__xludf.DUMMYFUNCTION("""COMPUTED_VALUE"""),2539299.0)</f>
        <v>2539299</v>
      </c>
    </row>
    <row r="37">
      <c r="A37" s="7">
        <f>IFERROR(__xludf.DUMMYFUNCTION("""COMPUTED_VALUE"""),45436.64583333333)</f>
        <v>45436.64583</v>
      </c>
      <c r="B37" s="6">
        <f>IFERROR(__xludf.DUMMYFUNCTION("""COMPUTED_VALUE"""),3754.1)</f>
        <v>3754.1</v>
      </c>
      <c r="C37" s="6">
        <f>IFERROR(__xludf.DUMMYFUNCTION("""COMPUTED_VALUE"""),3836.42)</f>
        <v>3836.42</v>
      </c>
      <c r="D37" s="6">
        <f>IFERROR(__xludf.DUMMYFUNCTION("""COMPUTED_VALUE"""),3704.97)</f>
        <v>3704.97</v>
      </c>
      <c r="E37" s="6">
        <f>IFERROR(__xludf.DUMMYFUNCTION("""COMPUTED_VALUE"""),3782.46)</f>
        <v>3782.46</v>
      </c>
      <c r="F37" s="6">
        <f>IFERROR(__xludf.DUMMYFUNCTION("""COMPUTED_VALUE"""),1680435.0)</f>
        <v>1680435</v>
      </c>
    </row>
    <row r="38">
      <c r="A38" s="7">
        <f>IFERROR(__xludf.DUMMYFUNCTION("""COMPUTED_VALUE"""),45443.64583333333)</f>
        <v>45443.64583</v>
      </c>
      <c r="B38" s="6">
        <f>IFERROR(__xludf.DUMMYFUNCTION("""COMPUTED_VALUE"""),3782.48)</f>
        <v>3782.48</v>
      </c>
      <c r="C38" s="6">
        <f>IFERROR(__xludf.DUMMYFUNCTION("""COMPUTED_VALUE"""),3802.53)</f>
        <v>3802.53</v>
      </c>
      <c r="D38" s="6">
        <f>IFERROR(__xludf.DUMMYFUNCTION("""COMPUTED_VALUE"""),3594.85)</f>
        <v>3594.85</v>
      </c>
      <c r="E38" s="6">
        <f>IFERROR(__xludf.DUMMYFUNCTION("""COMPUTED_VALUE"""),3618.69)</f>
        <v>3618.69</v>
      </c>
      <c r="F38" s="6">
        <f>IFERROR(__xludf.DUMMYFUNCTION("""COMPUTED_VALUE"""),2371602.0)</f>
        <v>2371602</v>
      </c>
    </row>
    <row r="39">
      <c r="A39" s="7">
        <f>IFERROR(__xludf.DUMMYFUNCTION("""COMPUTED_VALUE"""),45450.64583333333)</f>
        <v>45450.64583</v>
      </c>
      <c r="B39" s="6">
        <f>IFERROR(__xludf.DUMMYFUNCTION("""COMPUTED_VALUE"""),3765.16)</f>
        <v>3765.16</v>
      </c>
      <c r="C39" s="6">
        <f>IFERROR(__xludf.DUMMYFUNCTION("""COMPUTED_VALUE"""),3814.45)</f>
        <v>3814.45</v>
      </c>
      <c r="D39" s="6">
        <f>IFERROR(__xludf.DUMMYFUNCTION("""COMPUTED_VALUE"""),3022.1)</f>
        <v>3022.1</v>
      </c>
      <c r="E39" s="6">
        <f>IFERROR(__xludf.DUMMYFUNCTION("""COMPUTED_VALUE"""),3570.47)</f>
        <v>3570.47</v>
      </c>
      <c r="F39" s="6">
        <f>IFERROR(__xludf.DUMMYFUNCTION("""COMPUTED_VALUE"""),3322609.0)</f>
        <v>3322609</v>
      </c>
    </row>
    <row r="40">
      <c r="A40" s="7">
        <f>IFERROR(__xludf.DUMMYFUNCTION("""COMPUTED_VALUE"""),45457.64583333333)</f>
        <v>45457.64583</v>
      </c>
      <c r="B40" s="6">
        <f>IFERROR(__xludf.DUMMYFUNCTION("""COMPUTED_VALUE"""),3578.18)</f>
        <v>3578.18</v>
      </c>
      <c r="C40" s="6">
        <f>IFERROR(__xludf.DUMMYFUNCTION("""COMPUTED_VALUE"""),4109.51)</f>
        <v>4109.51</v>
      </c>
      <c r="D40" s="6">
        <f>IFERROR(__xludf.DUMMYFUNCTION("""COMPUTED_VALUE"""),3544.45)</f>
        <v>3544.45</v>
      </c>
      <c r="E40" s="6">
        <f>IFERROR(__xludf.DUMMYFUNCTION("""COMPUTED_VALUE"""),4045.71)</f>
        <v>4045.71</v>
      </c>
      <c r="F40" s="6">
        <f>IFERROR(__xludf.DUMMYFUNCTION("""COMPUTED_VALUE"""),3372527.0)</f>
        <v>3372527</v>
      </c>
    </row>
    <row r="41">
      <c r="A41" s="7">
        <f>IFERROR(__xludf.DUMMYFUNCTION("""COMPUTED_VALUE"""),45464.64583333333)</f>
        <v>45464.64583</v>
      </c>
      <c r="B41" s="6">
        <f>IFERROR(__xludf.DUMMYFUNCTION("""COMPUTED_VALUE"""),4063.75)</f>
        <v>4063.75</v>
      </c>
      <c r="C41" s="6">
        <f>IFERROR(__xludf.DUMMYFUNCTION("""COMPUTED_VALUE"""),4072.09)</f>
        <v>4072.09</v>
      </c>
      <c r="D41" s="6">
        <f>IFERROR(__xludf.DUMMYFUNCTION("""COMPUTED_VALUE"""),3843.45)</f>
        <v>3843.45</v>
      </c>
      <c r="E41" s="6">
        <f>IFERROR(__xludf.DUMMYFUNCTION("""COMPUTED_VALUE"""),3861.91)</f>
        <v>3861.91</v>
      </c>
      <c r="F41" s="6">
        <f>IFERROR(__xludf.DUMMYFUNCTION("""COMPUTED_VALUE"""),1242270.0)</f>
        <v>1242270</v>
      </c>
    </row>
    <row r="42">
      <c r="A42" s="7">
        <f>IFERROR(__xludf.DUMMYFUNCTION("""COMPUTED_VALUE"""),45471.64583333333)</f>
        <v>45471.64583</v>
      </c>
      <c r="B42" s="6">
        <f>IFERROR(__xludf.DUMMYFUNCTION("""COMPUTED_VALUE"""),3855.58)</f>
        <v>3855.58</v>
      </c>
      <c r="C42" s="6">
        <f>IFERROR(__xludf.DUMMYFUNCTION("""COMPUTED_VALUE"""),4120.54)</f>
        <v>4120.54</v>
      </c>
      <c r="D42" s="6">
        <f>IFERROR(__xludf.DUMMYFUNCTION("""COMPUTED_VALUE"""),3817.98)</f>
        <v>3817.98</v>
      </c>
      <c r="E42" s="6">
        <f>IFERROR(__xludf.DUMMYFUNCTION("""COMPUTED_VALUE"""),4001.2)</f>
        <v>4001.2</v>
      </c>
      <c r="F42" s="6">
        <f>IFERROR(__xludf.DUMMYFUNCTION("""COMPUTED_VALUE"""),2710596.0)</f>
        <v>2710596</v>
      </c>
    </row>
    <row r="43">
      <c r="A43" s="7">
        <f>IFERROR(__xludf.DUMMYFUNCTION("""COMPUTED_VALUE"""),45478.64583333333)</f>
        <v>45478.64583</v>
      </c>
      <c r="B43" s="6">
        <f>IFERROR(__xludf.DUMMYFUNCTION("""COMPUTED_VALUE"""),4012.16)</f>
        <v>4012.16</v>
      </c>
      <c r="C43" s="6">
        <f>IFERROR(__xludf.DUMMYFUNCTION("""COMPUTED_VALUE"""),4138.41)</f>
        <v>4138.41</v>
      </c>
      <c r="D43" s="6">
        <f>IFERROR(__xludf.DUMMYFUNCTION("""COMPUTED_VALUE"""),3973.47)</f>
        <v>3973.47</v>
      </c>
      <c r="E43" s="6">
        <f>IFERROR(__xludf.DUMMYFUNCTION("""COMPUTED_VALUE"""),4095.22)</f>
        <v>4095.22</v>
      </c>
      <c r="F43" s="6">
        <f>IFERROR(__xludf.DUMMYFUNCTION("""COMPUTED_VALUE"""),1520034.0)</f>
        <v>1520034</v>
      </c>
    </row>
    <row r="44">
      <c r="A44" s="7">
        <f>IFERROR(__xludf.DUMMYFUNCTION("""COMPUTED_VALUE"""),45485.64583333333)</f>
        <v>45485.64583</v>
      </c>
      <c r="B44" s="6">
        <f>IFERROR(__xludf.DUMMYFUNCTION("""COMPUTED_VALUE"""),4120.52)</f>
        <v>4120.52</v>
      </c>
      <c r="C44" s="6">
        <f>IFERROR(__xludf.DUMMYFUNCTION("""COMPUTED_VALUE"""),4120.8)</f>
        <v>4120.8</v>
      </c>
      <c r="D44" s="6">
        <f>IFERROR(__xludf.DUMMYFUNCTION("""COMPUTED_VALUE"""),3946.93)</f>
        <v>3946.93</v>
      </c>
      <c r="E44" s="6">
        <f>IFERROR(__xludf.DUMMYFUNCTION("""COMPUTED_VALUE"""),3953.97)</f>
        <v>3953.97</v>
      </c>
      <c r="F44" s="6">
        <f>IFERROR(__xludf.DUMMYFUNCTION("""COMPUTED_VALUE"""),1384435.0)</f>
        <v>1384435</v>
      </c>
    </row>
    <row r="45">
      <c r="A45" s="7">
        <f>IFERROR(__xludf.DUMMYFUNCTION("""COMPUTED_VALUE"""),45492.64583333333)</f>
        <v>45492.64583</v>
      </c>
      <c r="B45" s="6">
        <f>IFERROR(__xludf.DUMMYFUNCTION("""COMPUTED_VALUE"""),3953.97)</f>
        <v>3953.97</v>
      </c>
      <c r="C45" s="6">
        <f>IFERROR(__xludf.DUMMYFUNCTION("""COMPUTED_VALUE"""),3992.58)</f>
        <v>3992.58</v>
      </c>
      <c r="D45" s="6">
        <f>IFERROR(__xludf.DUMMYFUNCTION("""COMPUTED_VALUE"""),3544.45)</f>
        <v>3544.45</v>
      </c>
      <c r="E45" s="6">
        <f>IFERROR(__xludf.DUMMYFUNCTION("""COMPUTED_VALUE"""),3557.53)</f>
        <v>3557.53</v>
      </c>
      <c r="F45" s="6">
        <f>IFERROR(__xludf.DUMMYFUNCTION("""COMPUTED_VALUE"""),2138030.0)</f>
        <v>2138030</v>
      </c>
    </row>
    <row r="46">
      <c r="A46" s="7">
        <f>IFERROR(__xludf.DUMMYFUNCTION("""COMPUTED_VALUE"""),45499.64583333333)</f>
        <v>45499.64583</v>
      </c>
      <c r="B46" s="6">
        <f>IFERROR(__xludf.DUMMYFUNCTION("""COMPUTED_VALUE"""),3474.36)</f>
        <v>3474.36</v>
      </c>
      <c r="C46" s="6">
        <f>IFERROR(__xludf.DUMMYFUNCTION("""COMPUTED_VALUE"""),3689.73)</f>
        <v>3689.73</v>
      </c>
      <c r="D46" s="6">
        <f>IFERROR(__xludf.DUMMYFUNCTION("""COMPUTED_VALUE"""),3445.77)</f>
        <v>3445.77</v>
      </c>
      <c r="E46" s="6">
        <f>IFERROR(__xludf.DUMMYFUNCTION("""COMPUTED_VALUE"""),3592.38)</f>
        <v>3592.38</v>
      </c>
      <c r="F46" s="6">
        <f>IFERROR(__xludf.DUMMYFUNCTION("""COMPUTED_VALUE"""),2159469.0)</f>
        <v>2159469</v>
      </c>
    </row>
    <row r="47">
      <c r="A47" s="7">
        <f>IFERROR(__xludf.DUMMYFUNCTION("""COMPUTED_VALUE"""),45506.64583333333)</f>
        <v>45506.64583</v>
      </c>
      <c r="B47" s="6">
        <f>IFERROR(__xludf.DUMMYFUNCTION("""COMPUTED_VALUE"""),3618.45)</f>
        <v>3618.45</v>
      </c>
      <c r="C47" s="6">
        <f>IFERROR(__xludf.DUMMYFUNCTION("""COMPUTED_VALUE"""),3728.81)</f>
        <v>3728.81</v>
      </c>
      <c r="D47" s="6">
        <f>IFERROR(__xludf.DUMMYFUNCTION("""COMPUTED_VALUE"""),3531.49)</f>
        <v>3531.49</v>
      </c>
      <c r="E47" s="6">
        <f>IFERROR(__xludf.DUMMYFUNCTION("""COMPUTED_VALUE"""),3571.19)</f>
        <v>3571.19</v>
      </c>
      <c r="F47" s="6">
        <f>IFERROR(__xludf.DUMMYFUNCTION("""COMPUTED_VALUE"""),2215056.0)</f>
        <v>2215056</v>
      </c>
    </row>
    <row r="48">
      <c r="A48" s="7">
        <f>IFERROR(__xludf.DUMMYFUNCTION("""COMPUTED_VALUE"""),45513.64583333333)</f>
        <v>45513.64583</v>
      </c>
      <c r="B48" s="6">
        <f>IFERROR(__xludf.DUMMYFUNCTION("""COMPUTED_VALUE"""),3467.79)</f>
        <v>3467.79</v>
      </c>
      <c r="C48" s="6">
        <f>IFERROR(__xludf.DUMMYFUNCTION("""COMPUTED_VALUE"""),3591.32)</f>
        <v>3591.32</v>
      </c>
      <c r="D48" s="6">
        <f>IFERROR(__xludf.DUMMYFUNCTION("""COMPUTED_VALUE"""),3409.78)</f>
        <v>3409.78</v>
      </c>
      <c r="E48" s="6">
        <f>IFERROR(__xludf.DUMMYFUNCTION("""COMPUTED_VALUE"""),3577.94)</f>
        <v>3577.94</v>
      </c>
      <c r="F48" s="6">
        <f>IFERROR(__xludf.DUMMYFUNCTION("""COMPUTED_VALUE"""),2314347.0)</f>
        <v>2314347</v>
      </c>
    </row>
    <row r="49">
      <c r="A49" s="7">
        <f>IFERROR(__xludf.DUMMYFUNCTION("""COMPUTED_VALUE"""),45520.64583333333)</f>
        <v>45520.64583</v>
      </c>
      <c r="B49" s="6">
        <f>IFERROR(__xludf.DUMMYFUNCTION("""COMPUTED_VALUE"""),3531.46)</f>
        <v>3531.46</v>
      </c>
      <c r="C49" s="6">
        <f>IFERROR(__xludf.DUMMYFUNCTION("""COMPUTED_VALUE"""),3768.67)</f>
        <v>3768.67</v>
      </c>
      <c r="D49" s="6">
        <f>IFERROR(__xludf.DUMMYFUNCTION("""COMPUTED_VALUE"""),3513.29)</f>
        <v>3513.29</v>
      </c>
      <c r="E49" s="6">
        <f>IFERROR(__xludf.DUMMYFUNCTION("""COMPUTED_VALUE"""),3733.33)</f>
        <v>3733.33</v>
      </c>
      <c r="F49" s="6">
        <f>IFERROR(__xludf.DUMMYFUNCTION("""COMPUTED_VALUE"""),2285231.0)</f>
        <v>2285231</v>
      </c>
    </row>
    <row r="50">
      <c r="A50" s="7">
        <f>IFERROR(__xludf.DUMMYFUNCTION("""COMPUTED_VALUE"""),45527.64583333333)</f>
        <v>45527.64583</v>
      </c>
      <c r="B50" s="6">
        <f>IFERROR(__xludf.DUMMYFUNCTION("""COMPUTED_VALUE"""),3762.05)</f>
        <v>3762.05</v>
      </c>
      <c r="C50" s="6">
        <f>IFERROR(__xludf.DUMMYFUNCTION("""COMPUTED_VALUE"""),3762.05)</f>
        <v>3762.05</v>
      </c>
      <c r="D50" s="6">
        <f>IFERROR(__xludf.DUMMYFUNCTION("""COMPUTED_VALUE"""),3637.61)</f>
        <v>3637.61</v>
      </c>
      <c r="E50" s="6">
        <f>IFERROR(__xludf.DUMMYFUNCTION("""COMPUTED_VALUE"""),3646.83)</f>
        <v>3646.83</v>
      </c>
      <c r="F50" s="6">
        <f>IFERROR(__xludf.DUMMYFUNCTION("""COMPUTED_VALUE"""),848523.0)</f>
        <v>848523</v>
      </c>
    </row>
    <row r="51">
      <c r="A51" s="7">
        <f>IFERROR(__xludf.DUMMYFUNCTION("""COMPUTED_VALUE"""),45534.64583333333)</f>
        <v>45534.64583</v>
      </c>
      <c r="B51" s="6">
        <f>IFERROR(__xludf.DUMMYFUNCTION("""COMPUTED_VALUE"""),3669.4)</f>
        <v>3669.4</v>
      </c>
      <c r="C51" s="6">
        <f>IFERROR(__xludf.DUMMYFUNCTION("""COMPUTED_VALUE"""),3686.54)</f>
        <v>3686.54</v>
      </c>
      <c r="D51" s="6">
        <f>IFERROR(__xludf.DUMMYFUNCTION("""COMPUTED_VALUE"""),3534.19)</f>
        <v>3534.19</v>
      </c>
      <c r="E51" s="6">
        <f>IFERROR(__xludf.DUMMYFUNCTION("""COMPUTED_VALUE"""),3579.81)</f>
        <v>3579.81</v>
      </c>
      <c r="F51" s="6">
        <f>IFERROR(__xludf.DUMMYFUNCTION("""COMPUTED_VALUE"""),1604541.0)</f>
        <v>1604541</v>
      </c>
    </row>
    <row r="52">
      <c r="A52" s="7">
        <f>IFERROR(__xludf.DUMMYFUNCTION("""COMPUTED_VALUE"""),45541.64583333333)</f>
        <v>45541.64583</v>
      </c>
      <c r="B52" s="6">
        <f>IFERROR(__xludf.DUMMYFUNCTION("""COMPUTED_VALUE"""),3597.81)</f>
        <v>3597.81</v>
      </c>
      <c r="C52" s="6">
        <f>IFERROR(__xludf.DUMMYFUNCTION("""COMPUTED_VALUE"""),3606.77)</f>
        <v>3606.77</v>
      </c>
      <c r="D52" s="6">
        <f>IFERROR(__xludf.DUMMYFUNCTION("""COMPUTED_VALUE"""),3428.12)</f>
        <v>3428.12</v>
      </c>
      <c r="E52" s="6">
        <f>IFERROR(__xludf.DUMMYFUNCTION("""COMPUTED_VALUE"""),3435.05)</f>
        <v>3435.05</v>
      </c>
      <c r="F52" s="6">
        <f>IFERROR(__xludf.DUMMYFUNCTION("""COMPUTED_VALUE"""),1318445.0)</f>
        <v>1318445</v>
      </c>
    </row>
    <row r="53">
      <c r="A53" s="7">
        <f>IFERROR(__xludf.DUMMYFUNCTION("""COMPUTED_VALUE"""),45548.64583333333)</f>
        <v>45548.64583</v>
      </c>
      <c r="B53" s="6">
        <f>IFERROR(__xludf.DUMMYFUNCTION("""COMPUTED_VALUE"""),3432.79)</f>
        <v>3432.79</v>
      </c>
      <c r="C53" s="6">
        <f>IFERROR(__xludf.DUMMYFUNCTION("""COMPUTED_VALUE"""),3505.5)</f>
        <v>3505.5</v>
      </c>
      <c r="D53" s="6">
        <f>IFERROR(__xludf.DUMMYFUNCTION("""COMPUTED_VALUE"""),3377.09)</f>
        <v>3377.09</v>
      </c>
      <c r="E53" s="6">
        <f>IFERROR(__xludf.DUMMYFUNCTION("""COMPUTED_VALUE"""),3484.85)</f>
        <v>3484.85</v>
      </c>
      <c r="F53" s="6">
        <f>IFERROR(__xludf.DUMMYFUNCTION("""COMPUTED_VALUE"""),1095472.0)</f>
        <v>1095472</v>
      </c>
    </row>
    <row r="54">
      <c r="A54" s="7">
        <f>IFERROR(__xludf.DUMMYFUNCTION("""COMPUTED_VALUE"""),45555.64583333333)</f>
        <v>45555.64583</v>
      </c>
      <c r="B54" s="6">
        <f>IFERROR(__xludf.DUMMYFUNCTION("""COMPUTED_VALUE"""),3495.11)</f>
        <v>3495.11</v>
      </c>
      <c r="C54" s="6">
        <f>IFERROR(__xludf.DUMMYFUNCTION("""COMPUTED_VALUE"""),3563.51)</f>
        <v>3563.51</v>
      </c>
      <c r="D54" s="6">
        <f>IFERROR(__xludf.DUMMYFUNCTION("""COMPUTED_VALUE"""),3378.26)</f>
        <v>3378.26</v>
      </c>
      <c r="E54" s="6">
        <f>IFERROR(__xludf.DUMMYFUNCTION("""COMPUTED_VALUE"""),3548.47)</f>
        <v>3548.47</v>
      </c>
      <c r="F54" s="6">
        <f>IFERROR(__xludf.DUMMYFUNCTION("""COMPUTED_VALUE"""),1233872.0)</f>
        <v>1233872</v>
      </c>
    </row>
    <row r="55">
      <c r="A55" s="7">
        <f>IFERROR(__xludf.DUMMYFUNCTION("""COMPUTED_VALUE"""),45562.64583333333)</f>
        <v>45562.64583</v>
      </c>
      <c r="B55" s="6">
        <f>IFERROR(__xludf.DUMMYFUNCTION("""COMPUTED_VALUE"""),3568.86)</f>
        <v>3568.86</v>
      </c>
      <c r="C55" s="6">
        <f>IFERROR(__xludf.DUMMYFUNCTION("""COMPUTED_VALUE"""),3803.59)</f>
        <v>3803.59</v>
      </c>
      <c r="D55" s="6">
        <f>IFERROR(__xludf.DUMMYFUNCTION("""COMPUTED_VALUE"""),3552.76)</f>
        <v>3552.76</v>
      </c>
      <c r="E55" s="6">
        <f>IFERROR(__xludf.DUMMYFUNCTION("""COMPUTED_VALUE"""),3788.64)</f>
        <v>3788.64</v>
      </c>
      <c r="F55" s="6">
        <f>IFERROR(__xludf.DUMMYFUNCTION("""COMPUTED_VALUE"""),1943223.0)</f>
        <v>1943223</v>
      </c>
    </row>
    <row r="56">
      <c r="A56" s="7">
        <f>IFERROR(__xludf.DUMMYFUNCTION("""COMPUTED_VALUE"""),45569.64583333333)</f>
        <v>45569.64583</v>
      </c>
      <c r="B56" s="6">
        <f>IFERROR(__xludf.DUMMYFUNCTION("""COMPUTED_VALUE"""),3788.27)</f>
        <v>3788.27</v>
      </c>
      <c r="C56" s="6">
        <f>IFERROR(__xludf.DUMMYFUNCTION("""COMPUTED_VALUE"""),3920.96)</f>
        <v>3920.96</v>
      </c>
      <c r="D56" s="6">
        <f>IFERROR(__xludf.DUMMYFUNCTION("""COMPUTED_VALUE"""),3728.34)</f>
        <v>3728.34</v>
      </c>
      <c r="E56" s="6">
        <f>IFERROR(__xludf.DUMMYFUNCTION("""COMPUTED_VALUE"""),3763.53)</f>
        <v>3763.53</v>
      </c>
      <c r="F56" s="6">
        <f>IFERROR(__xludf.DUMMYFUNCTION("""COMPUTED_VALUE"""),1368564.0)</f>
        <v>1368564</v>
      </c>
    </row>
    <row r="57">
      <c r="A57" s="7">
        <f>IFERROR(__xludf.DUMMYFUNCTION("""COMPUTED_VALUE"""),45576.64583333333)</f>
        <v>45576.64583</v>
      </c>
      <c r="B57" s="6">
        <f>IFERROR(__xludf.DUMMYFUNCTION("""COMPUTED_VALUE"""),3794.17)</f>
        <v>3794.17</v>
      </c>
      <c r="C57" s="6">
        <f>IFERROR(__xludf.DUMMYFUNCTION("""COMPUTED_VALUE"""),4040.38)</f>
        <v>4040.38</v>
      </c>
      <c r="D57" s="6">
        <f>IFERROR(__xludf.DUMMYFUNCTION("""COMPUTED_VALUE"""),3612.09)</f>
        <v>3612.09</v>
      </c>
      <c r="E57" s="6">
        <f>IFERROR(__xludf.DUMMYFUNCTION("""COMPUTED_VALUE"""),4024.78)</f>
        <v>4024.78</v>
      </c>
      <c r="F57" s="6">
        <f>IFERROR(__xludf.DUMMYFUNCTION("""COMPUTED_VALUE"""),1560426.0)</f>
        <v>1560426</v>
      </c>
    </row>
    <row r="58">
      <c r="A58" s="7">
        <f>IFERROR(__xludf.DUMMYFUNCTION("""COMPUTED_VALUE"""),45583.64583333333)</f>
        <v>45583.64583</v>
      </c>
      <c r="B58" s="6">
        <f>IFERROR(__xludf.DUMMYFUNCTION("""COMPUTED_VALUE"""),4040.41)</f>
        <v>4040.41</v>
      </c>
      <c r="C58" s="6">
        <f>IFERROR(__xludf.DUMMYFUNCTION("""COMPUTED_VALUE"""),4222.12)</f>
        <v>4222.12</v>
      </c>
      <c r="D58" s="6">
        <f>IFERROR(__xludf.DUMMYFUNCTION("""COMPUTED_VALUE"""),3928.75)</f>
        <v>3928.75</v>
      </c>
      <c r="E58" s="6">
        <f>IFERROR(__xludf.DUMMYFUNCTION("""COMPUTED_VALUE"""),4052.35)</f>
        <v>4052.35</v>
      </c>
      <c r="F58" s="6">
        <f>IFERROR(__xludf.DUMMYFUNCTION("""COMPUTED_VALUE"""),2148543.0)</f>
        <v>2148543</v>
      </c>
    </row>
    <row r="59">
      <c r="A59" s="7">
        <f>IFERROR(__xludf.DUMMYFUNCTION("""COMPUTED_VALUE"""),45590.64583333333)</f>
        <v>45590.64583</v>
      </c>
      <c r="B59" s="6">
        <f>IFERROR(__xludf.DUMMYFUNCTION("""COMPUTED_VALUE"""),4071.57)</f>
        <v>4071.57</v>
      </c>
      <c r="C59" s="6">
        <f>IFERROR(__xludf.DUMMYFUNCTION("""COMPUTED_VALUE"""),4088.94)</f>
        <v>4088.94</v>
      </c>
      <c r="D59" s="6">
        <f>IFERROR(__xludf.DUMMYFUNCTION("""COMPUTED_VALUE"""),3456.76)</f>
        <v>3456.76</v>
      </c>
      <c r="E59" s="6">
        <f>IFERROR(__xludf.DUMMYFUNCTION("""COMPUTED_VALUE"""),3519.23)</f>
        <v>3519.23</v>
      </c>
      <c r="F59" s="6">
        <f>IFERROR(__xludf.DUMMYFUNCTION("""COMPUTED_VALUE"""),1945683.0)</f>
        <v>1945683</v>
      </c>
    </row>
    <row r="60">
      <c r="A60" s="7">
        <f>IFERROR(__xludf.DUMMYFUNCTION("""COMPUTED_VALUE"""),45604.64583333333)</f>
        <v>45604.64583</v>
      </c>
      <c r="B60" s="6">
        <f>IFERROR(__xludf.DUMMYFUNCTION("""COMPUTED_VALUE"""),3638.91)</f>
        <v>3638.91</v>
      </c>
      <c r="C60" s="6">
        <f>IFERROR(__xludf.DUMMYFUNCTION("""COMPUTED_VALUE"""),3753.43)</f>
        <v>3753.43</v>
      </c>
      <c r="D60" s="6">
        <f>IFERROR(__xludf.DUMMYFUNCTION("""COMPUTED_VALUE"""),3522.74)</f>
        <v>3522.74</v>
      </c>
      <c r="E60" s="6">
        <f>IFERROR(__xludf.DUMMYFUNCTION("""COMPUTED_VALUE"""),3725.88)</f>
        <v>3725.88</v>
      </c>
      <c r="F60" s="6">
        <f>IFERROR(__xludf.DUMMYFUNCTION("""COMPUTED_VALUE"""),1325226.0)</f>
        <v>1325226</v>
      </c>
    </row>
    <row r="61">
      <c r="A61" s="7">
        <f>IFERROR(__xludf.DUMMYFUNCTION("""COMPUTED_VALUE"""),45610.64583333333)</f>
        <v>45610.64583</v>
      </c>
      <c r="B61" s="6">
        <f>IFERROR(__xludf.DUMMYFUNCTION("""COMPUTED_VALUE"""),3721.05)</f>
        <v>3721.05</v>
      </c>
      <c r="C61" s="6">
        <f>IFERROR(__xludf.DUMMYFUNCTION("""COMPUTED_VALUE"""),3728.81)</f>
        <v>3728.81</v>
      </c>
      <c r="D61" s="6">
        <f>IFERROR(__xludf.DUMMYFUNCTION("""COMPUTED_VALUE"""),3420.46)</f>
        <v>3420.46</v>
      </c>
      <c r="E61" s="6">
        <f>IFERROR(__xludf.DUMMYFUNCTION("""COMPUTED_VALUE"""),3498.67)</f>
        <v>3498.67</v>
      </c>
      <c r="F61" s="6">
        <f>IFERROR(__xludf.DUMMYFUNCTION("""COMPUTED_VALUE"""),909609.0)</f>
        <v>909609</v>
      </c>
    </row>
    <row r="62">
      <c r="A62" s="7">
        <f>IFERROR(__xludf.DUMMYFUNCTION("""COMPUTED_VALUE"""),45618.64583333333)</f>
        <v>45618.64583</v>
      </c>
      <c r="B62" s="6">
        <f>IFERROR(__xludf.DUMMYFUNCTION("""COMPUTED_VALUE"""),3544.45)</f>
        <v>3544.45</v>
      </c>
      <c r="C62" s="6">
        <f>IFERROR(__xludf.DUMMYFUNCTION("""COMPUTED_VALUE"""),3622.35)</f>
        <v>3622.35</v>
      </c>
      <c r="D62" s="6">
        <f>IFERROR(__xludf.DUMMYFUNCTION("""COMPUTED_VALUE"""),3402.38)</f>
        <v>3402.38</v>
      </c>
      <c r="E62" s="6">
        <f>IFERROR(__xludf.DUMMYFUNCTION("""COMPUTED_VALUE"""),3557.12)</f>
        <v>3557.12</v>
      </c>
      <c r="F62" s="6">
        <f>IFERROR(__xludf.DUMMYFUNCTION("""COMPUTED_VALUE"""),928821.0)</f>
        <v>928821</v>
      </c>
    </row>
    <row r="63">
      <c r="A63" s="7">
        <f>IFERROR(__xludf.DUMMYFUNCTION("""COMPUTED_VALUE"""),45625.64583333333)</f>
        <v>45625.64583</v>
      </c>
      <c r="B63" s="6">
        <f>IFERROR(__xludf.DUMMYFUNCTION("""COMPUTED_VALUE"""),3625.98)</f>
        <v>3625.98</v>
      </c>
      <c r="C63" s="6">
        <f>IFERROR(__xludf.DUMMYFUNCTION("""COMPUTED_VALUE"""),3964.07)</f>
        <v>3964.07</v>
      </c>
      <c r="D63" s="6">
        <f>IFERROR(__xludf.DUMMYFUNCTION("""COMPUTED_VALUE"""),3620.48)</f>
        <v>3620.48</v>
      </c>
      <c r="E63" s="6">
        <f>IFERROR(__xludf.DUMMYFUNCTION("""COMPUTED_VALUE"""),3926.6)</f>
        <v>3926.6</v>
      </c>
      <c r="F63" s="6">
        <f>IFERROR(__xludf.DUMMYFUNCTION("""COMPUTED_VALUE"""),4411307.0)</f>
        <v>4411307</v>
      </c>
    </row>
    <row r="64">
      <c r="A64" s="7">
        <f>IFERROR(__xludf.DUMMYFUNCTION("""COMPUTED_VALUE"""),45632.64583333333)</f>
        <v>45632.64583</v>
      </c>
      <c r="B64" s="6">
        <f>IFERROR(__xludf.DUMMYFUNCTION("""COMPUTED_VALUE"""),3933.95)</f>
        <v>3933.95</v>
      </c>
      <c r="C64" s="6">
        <f>IFERROR(__xludf.DUMMYFUNCTION("""COMPUTED_VALUE"""),4126.93)</f>
        <v>4126.93</v>
      </c>
      <c r="D64" s="6">
        <f>IFERROR(__xludf.DUMMYFUNCTION("""COMPUTED_VALUE"""),3887.23)</f>
        <v>3887.23</v>
      </c>
      <c r="E64" s="6">
        <f>IFERROR(__xludf.DUMMYFUNCTION("""COMPUTED_VALUE"""),4044.36)</f>
        <v>4044.36</v>
      </c>
      <c r="F64" s="6">
        <f>IFERROR(__xludf.DUMMYFUNCTION("""COMPUTED_VALUE"""),1960486.0)</f>
        <v>1960486</v>
      </c>
    </row>
    <row r="65">
      <c r="A65" s="7">
        <f>IFERROR(__xludf.DUMMYFUNCTION("""COMPUTED_VALUE"""),45639.64583333333)</f>
        <v>45639.64583</v>
      </c>
      <c r="B65" s="6">
        <f>IFERROR(__xludf.DUMMYFUNCTION("""COMPUTED_VALUE"""),4044.36)</f>
        <v>4044.36</v>
      </c>
      <c r="C65" s="6">
        <f>IFERROR(__xludf.DUMMYFUNCTION("""COMPUTED_VALUE"""),4133.89)</f>
        <v>4133.89</v>
      </c>
      <c r="D65" s="6">
        <f>IFERROR(__xludf.DUMMYFUNCTION("""COMPUTED_VALUE"""),4018.08)</f>
        <v>4018.08</v>
      </c>
      <c r="E65" s="6">
        <f>IFERROR(__xludf.DUMMYFUNCTION("""COMPUTED_VALUE"""),4094.86)</f>
        <v>4094.86</v>
      </c>
      <c r="F65" s="6">
        <f>IFERROR(__xludf.DUMMYFUNCTION("""COMPUTED_VALUE"""),1057027.0)</f>
        <v>1057027</v>
      </c>
    </row>
    <row r="66">
      <c r="A66" s="7">
        <f>IFERROR(__xludf.DUMMYFUNCTION("""COMPUTED_VALUE"""),45646.64583333333)</f>
        <v>45646.64583</v>
      </c>
      <c r="B66" s="6">
        <f>IFERROR(__xludf.DUMMYFUNCTION("""COMPUTED_VALUE"""),4105.46)</f>
        <v>4105.46</v>
      </c>
      <c r="C66" s="6">
        <f>IFERROR(__xludf.DUMMYFUNCTION("""COMPUTED_VALUE"""),4173.33)</f>
        <v>4173.33</v>
      </c>
      <c r="D66" s="6">
        <f>IFERROR(__xludf.DUMMYFUNCTION("""COMPUTED_VALUE"""),3542.78)</f>
        <v>3542.78</v>
      </c>
      <c r="E66" s="6">
        <f>IFERROR(__xludf.DUMMYFUNCTION("""COMPUTED_VALUE"""),3567.25)</f>
        <v>3567.25</v>
      </c>
      <c r="F66" s="6">
        <f>IFERROR(__xludf.DUMMYFUNCTION("""COMPUTED_VALUE"""),2572570.0)</f>
        <v>2572570</v>
      </c>
    </row>
    <row r="67">
      <c r="A67" s="7">
        <f>IFERROR(__xludf.DUMMYFUNCTION("""COMPUTED_VALUE"""),45653.64583333333)</f>
        <v>45653.64583</v>
      </c>
      <c r="B67" s="6">
        <f>IFERROR(__xludf.DUMMYFUNCTION("""COMPUTED_VALUE"""),3562.65)</f>
        <v>3562.65</v>
      </c>
      <c r="C67" s="6">
        <f>IFERROR(__xludf.DUMMYFUNCTION("""COMPUTED_VALUE"""),3588.49)</f>
        <v>3588.49</v>
      </c>
      <c r="D67" s="6">
        <f>IFERROR(__xludf.DUMMYFUNCTION("""COMPUTED_VALUE"""),3387.22)</f>
        <v>3387.22</v>
      </c>
      <c r="E67" s="6">
        <f>IFERROR(__xludf.DUMMYFUNCTION("""COMPUTED_VALUE"""),3399.55)</f>
        <v>3399.55</v>
      </c>
      <c r="F67" s="6">
        <f>IFERROR(__xludf.DUMMYFUNCTION("""COMPUTED_VALUE"""),2248577.0)</f>
        <v>2248577</v>
      </c>
    </row>
    <row r="68">
      <c r="A68" s="7">
        <f>IFERROR(__xludf.DUMMYFUNCTION("""COMPUTED_VALUE"""),45660.64583333333)</f>
        <v>45660.64583</v>
      </c>
      <c r="B68" s="6">
        <f>IFERROR(__xludf.DUMMYFUNCTION("""COMPUTED_VALUE"""),3417.21)</f>
        <v>3417.21</v>
      </c>
      <c r="C68" s="6">
        <f>IFERROR(__xludf.DUMMYFUNCTION("""COMPUTED_VALUE"""),3500.3)</f>
        <v>3500.3</v>
      </c>
      <c r="D68" s="6">
        <f>IFERROR(__xludf.DUMMYFUNCTION("""COMPUTED_VALUE"""),3318.67)</f>
        <v>3318.67</v>
      </c>
      <c r="E68" s="6">
        <f>IFERROR(__xludf.DUMMYFUNCTION("""COMPUTED_VALUE"""),3432.63)</f>
        <v>3432.63</v>
      </c>
      <c r="F68" s="6">
        <f>IFERROR(__xludf.DUMMYFUNCTION("""COMPUTED_VALUE"""),2560792.0)</f>
        <v>2560792</v>
      </c>
    </row>
    <row r="69">
      <c r="A69" s="7">
        <f>IFERROR(__xludf.DUMMYFUNCTION("""COMPUTED_VALUE"""),45667.64583333333)</f>
        <v>45667.64583</v>
      </c>
      <c r="B69" s="6">
        <f>IFERROR(__xludf.DUMMYFUNCTION("""COMPUTED_VALUE"""),3442.55)</f>
        <v>3442.55</v>
      </c>
      <c r="C69" s="6">
        <f>IFERROR(__xludf.DUMMYFUNCTION("""COMPUTED_VALUE"""),3444.97)</f>
        <v>3444.97</v>
      </c>
      <c r="D69" s="6">
        <f>IFERROR(__xludf.DUMMYFUNCTION("""COMPUTED_VALUE"""),3150.79)</f>
        <v>3150.79</v>
      </c>
      <c r="E69" s="6">
        <f>IFERROR(__xludf.DUMMYFUNCTION("""COMPUTED_VALUE"""),3170.42)</f>
        <v>3170.42</v>
      </c>
      <c r="F69" s="6">
        <f>IFERROR(__xludf.DUMMYFUNCTION("""COMPUTED_VALUE"""),1854388.0)</f>
        <v>1854388</v>
      </c>
    </row>
    <row r="70">
      <c r="A70" s="7">
        <f>IFERROR(__xludf.DUMMYFUNCTION("""COMPUTED_VALUE"""),45674.64583333333)</f>
        <v>45674.64583</v>
      </c>
      <c r="B70" s="6">
        <f>IFERROR(__xludf.DUMMYFUNCTION("""COMPUTED_VALUE"""),3157.05)</f>
        <v>3157.05</v>
      </c>
      <c r="C70" s="6">
        <f>IFERROR(__xludf.DUMMYFUNCTION("""COMPUTED_VALUE"""),3225.06)</f>
        <v>3225.06</v>
      </c>
      <c r="D70" s="6">
        <f>IFERROR(__xludf.DUMMYFUNCTION("""COMPUTED_VALUE"""),2995.95)</f>
        <v>2995.95</v>
      </c>
      <c r="E70" s="6">
        <f>IFERROR(__xludf.DUMMYFUNCTION("""COMPUTED_VALUE"""),3211.16)</f>
        <v>3211.16</v>
      </c>
      <c r="F70" s="6">
        <f>IFERROR(__xludf.DUMMYFUNCTION("""COMPUTED_VALUE"""),1669459.0)</f>
        <v>1669459</v>
      </c>
    </row>
    <row r="71">
      <c r="A71" s="7">
        <f>IFERROR(__xludf.DUMMYFUNCTION("""COMPUTED_VALUE"""),45681.64583333333)</f>
        <v>45681.64583</v>
      </c>
      <c r="B71" s="6">
        <f>IFERROR(__xludf.DUMMYFUNCTION("""COMPUTED_VALUE"""),3214.67)</f>
        <v>3214.67</v>
      </c>
      <c r="C71" s="6">
        <f>IFERROR(__xludf.DUMMYFUNCTION("""COMPUTED_VALUE"""),3228.3)</f>
        <v>3228.3</v>
      </c>
      <c r="D71" s="6">
        <f>IFERROR(__xludf.DUMMYFUNCTION("""COMPUTED_VALUE"""),3001.74)</f>
        <v>3001.74</v>
      </c>
      <c r="E71" s="6">
        <f>IFERROR(__xludf.DUMMYFUNCTION("""COMPUTED_VALUE"""),3053.52)</f>
        <v>3053.52</v>
      </c>
      <c r="F71" s="6">
        <f>IFERROR(__xludf.DUMMYFUNCTION("""COMPUTED_VALUE"""),1021098.0)</f>
        <v>1021098</v>
      </c>
    </row>
    <row r="72">
      <c r="A72" s="7">
        <f>IFERROR(__xludf.DUMMYFUNCTION("""COMPUTED_VALUE"""),45695.64583333333)</f>
        <v>45695.64583</v>
      </c>
      <c r="B72" s="6">
        <f>IFERROR(__xludf.DUMMYFUNCTION("""COMPUTED_VALUE"""),2987.2)</f>
        <v>2987.2</v>
      </c>
      <c r="C72" s="6">
        <f>IFERROR(__xludf.DUMMYFUNCTION("""COMPUTED_VALUE"""),2996.55)</f>
        <v>2996.55</v>
      </c>
      <c r="D72" s="6">
        <f>IFERROR(__xludf.DUMMYFUNCTION("""COMPUTED_VALUE"""),2691.36)</f>
        <v>2691.36</v>
      </c>
      <c r="E72" s="6">
        <f>IFERROR(__xludf.DUMMYFUNCTION("""COMPUTED_VALUE"""),2859.19)</f>
        <v>2859.19</v>
      </c>
      <c r="F72" s="6">
        <f>IFERROR(__xludf.DUMMYFUNCTION("""COMPUTED_VALUE"""),4205416.0)</f>
        <v>4205416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IFERROR(__xludf.DUMMYFUNCTION("""COMPUTED_VALUE"""),2858.95)</f>
        <v>2858.95</v>
      </c>
      <c r="C73" s="6">
        <f>IFERROR(__xludf.DUMMYFUNCTION("""COMPUTED_VALUE"""),2881.52)</f>
        <v>2881.52</v>
      </c>
      <c r="D73" s="6">
        <f>IFERROR(__xludf.DUMMYFUNCTION("""COMPUTED_VALUE"""),2568.96)</f>
        <v>2568.96</v>
      </c>
      <c r="E73" s="6">
        <f>IFERROR(__xludf.DUMMYFUNCTION("""COMPUTED_VALUE"""),2591.91)</f>
        <v>2591.91</v>
      </c>
      <c r="F73" s="6">
        <f>IFERROR(__xludf.DUMMYFUNCTION("""COMPUTED_VALUE"""),3059471.0)</f>
        <v>3059471</v>
      </c>
    </row>
    <row r="74">
      <c r="A74" s="7">
        <f>IFERROR(__xludf.DUMMYFUNCTION("""COMPUTED_VALUE"""),45709.64583333333)</f>
        <v>45709.64583</v>
      </c>
      <c r="B74" s="6">
        <f>IFERROR(__xludf.DUMMYFUNCTION("""COMPUTED_VALUE"""),2569.11)</f>
        <v>2569.11</v>
      </c>
      <c r="C74" s="6">
        <f>IFERROR(__xludf.DUMMYFUNCTION("""COMPUTED_VALUE"""),2627.54)</f>
        <v>2627.54</v>
      </c>
      <c r="D74" s="6">
        <f>IFERROR(__xludf.DUMMYFUNCTION("""COMPUTED_VALUE"""),2468.21)</f>
        <v>2468.21</v>
      </c>
      <c r="E74" s="6">
        <f>IFERROR(__xludf.DUMMYFUNCTION("""COMPUTED_VALUE"""),2555.82)</f>
        <v>2555.82</v>
      </c>
      <c r="F74" s="6">
        <f>IFERROR(__xludf.DUMMYFUNCTION("""COMPUTED_VALUE"""),2872418.0)</f>
        <v>2872418</v>
      </c>
    </row>
    <row r="75">
      <c r="A75" s="7">
        <f>IFERROR(__xludf.DUMMYFUNCTION("""COMPUTED_VALUE"""),45716.64583333333)</f>
        <v>45716.64583</v>
      </c>
      <c r="B75" s="6">
        <f>IFERROR(__xludf.DUMMYFUNCTION("""COMPUTED_VALUE"""),2543.12)</f>
        <v>2543.12</v>
      </c>
      <c r="C75" s="6">
        <f>IFERROR(__xludf.DUMMYFUNCTION("""COMPUTED_VALUE"""),2561.66)</f>
        <v>2561.66</v>
      </c>
      <c r="D75" s="6">
        <f>IFERROR(__xludf.DUMMYFUNCTION("""COMPUTED_VALUE"""),2379.06)</f>
        <v>2379.06</v>
      </c>
      <c r="E75" s="6">
        <f>IFERROR(__xludf.DUMMYFUNCTION("""COMPUTED_VALUE"""),2401.14)</f>
        <v>2401.14</v>
      </c>
      <c r="F75" s="6">
        <f>IFERROR(__xludf.DUMMYFUNCTION("""COMPUTED_VALUE"""),1766245.0)</f>
        <v>1766245</v>
      </c>
    </row>
    <row r="76">
      <c r="A76" s="7">
        <f>IFERROR(__xludf.DUMMYFUNCTION("""COMPUTED_VALUE"""),45723.64583333333)</f>
        <v>45723.64583</v>
      </c>
      <c r="B76" s="6">
        <f>IFERROR(__xludf.DUMMYFUNCTION("""COMPUTED_VALUE"""),2404.48)</f>
        <v>2404.48</v>
      </c>
      <c r="C76" s="6">
        <f>IFERROR(__xludf.DUMMYFUNCTION("""COMPUTED_VALUE"""),2735.98)</f>
        <v>2735.98</v>
      </c>
      <c r="D76" s="6">
        <f>IFERROR(__xludf.DUMMYFUNCTION("""COMPUTED_VALUE"""),2371.27)</f>
        <v>2371.27</v>
      </c>
      <c r="E76" s="6">
        <f>IFERROR(__xludf.DUMMYFUNCTION("""COMPUTED_VALUE"""),2651.77)</f>
        <v>2651.77</v>
      </c>
      <c r="F76" s="6">
        <f>IFERROR(__xludf.DUMMYFUNCTION("""COMPUTED_VALUE"""),3227326.0)</f>
        <v>3227326</v>
      </c>
    </row>
    <row r="77">
      <c r="A77" s="7">
        <f>IFERROR(__xludf.DUMMYFUNCTION("""COMPUTED_VALUE"""),45729.64583333333)</f>
        <v>45729.64583</v>
      </c>
      <c r="B77" s="6">
        <f>IFERROR(__xludf.DUMMYFUNCTION("""COMPUTED_VALUE"""),2651.77)</f>
        <v>2651.77</v>
      </c>
      <c r="C77" s="6">
        <f>IFERROR(__xludf.DUMMYFUNCTION("""COMPUTED_VALUE"""),2670.57)</f>
        <v>2670.57</v>
      </c>
      <c r="D77" s="6">
        <f>IFERROR(__xludf.DUMMYFUNCTION("""COMPUTED_VALUE"""),2498.28)</f>
        <v>2498.28</v>
      </c>
      <c r="E77" s="6">
        <f>IFERROR(__xludf.DUMMYFUNCTION("""COMPUTED_VALUE"""),2559.22)</f>
        <v>2559.22</v>
      </c>
      <c r="F77" s="6">
        <f>IFERROR(__xludf.DUMMYFUNCTION("""COMPUTED_VALUE"""),1508129.0)</f>
        <v>1508129</v>
      </c>
    </row>
    <row r="78">
      <c r="A78" s="7">
        <f>IFERROR(__xludf.DUMMYFUNCTION("""COMPUTED_VALUE"""),45737.64583333333)</f>
        <v>45737.64583</v>
      </c>
      <c r="B78" s="6">
        <f>IFERROR(__xludf.DUMMYFUNCTION("""COMPUTED_VALUE"""),2583.68)</f>
        <v>2583.68</v>
      </c>
      <c r="C78" s="6">
        <f>IFERROR(__xludf.DUMMYFUNCTION("""COMPUTED_VALUE"""),2757.66)</f>
        <v>2757.66</v>
      </c>
      <c r="D78" s="6">
        <f>IFERROR(__xludf.DUMMYFUNCTION("""COMPUTED_VALUE"""),2538.78)</f>
        <v>2538.78</v>
      </c>
      <c r="E78" s="6">
        <f>IFERROR(__xludf.DUMMYFUNCTION("""COMPUTED_VALUE"""),2700.87)</f>
        <v>2700.87</v>
      </c>
      <c r="F78" s="6">
        <f>IFERROR(__xludf.DUMMYFUNCTION("""COMPUTED_VALUE"""),2075664.0)</f>
        <v>2075664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IFERROR(__xludf.DUMMYFUNCTION("""COMPUTED_VALUE"""),2734.29)</f>
        <v>2734.29</v>
      </c>
      <c r="C79" s="6">
        <f>IFERROR(__xludf.DUMMYFUNCTION("""COMPUTED_VALUE"""),2866.72)</f>
        <v>2866.72</v>
      </c>
      <c r="D79" s="6">
        <f>IFERROR(__xludf.DUMMYFUNCTION("""COMPUTED_VALUE"""),2652.75)</f>
        <v>2652.75</v>
      </c>
      <c r="E79" s="6">
        <f>IFERROR(__xludf.DUMMYFUNCTION("""COMPUTED_VALUE"""),2739.66)</f>
        <v>2739.66</v>
      </c>
      <c r="F79" s="6">
        <f>IFERROR(__xludf.DUMMYFUNCTION("""COMPUTED_VALUE"""),4705859.0)</f>
        <v>4705859</v>
      </c>
    </row>
    <row r="80">
      <c r="A80" s="7">
        <f>IFERROR(__xludf.DUMMYFUNCTION("""COMPUTED_VALUE"""),45751.64583333333)</f>
        <v>45751.64583</v>
      </c>
      <c r="B80" s="6">
        <f>IFERROR(__xludf.DUMMYFUNCTION("""COMPUTED_VALUE"""),2721.3)</f>
        <v>2721.3</v>
      </c>
      <c r="C80" s="6">
        <f>IFERROR(__xludf.DUMMYFUNCTION("""COMPUTED_VALUE"""),2781.03)</f>
        <v>2781.03</v>
      </c>
      <c r="D80" s="6">
        <f>IFERROR(__xludf.DUMMYFUNCTION("""COMPUTED_VALUE"""),2519.31)</f>
        <v>2519.31</v>
      </c>
      <c r="E80" s="6">
        <f>IFERROR(__xludf.DUMMYFUNCTION("""COMPUTED_VALUE"""),2559.35)</f>
        <v>2559.35</v>
      </c>
      <c r="F80" s="6">
        <f>IFERROR(__xludf.DUMMYFUNCTION("""COMPUTED_VALUE"""),2197354.0)</f>
        <v>2197354</v>
      </c>
    </row>
    <row r="81">
      <c r="A81" s="7">
        <f>IFERROR(__xludf.DUMMYFUNCTION("""COMPUTED_VALUE"""),45758.64583333333)</f>
        <v>45758.64583</v>
      </c>
      <c r="B81" s="6">
        <f>IFERROR(__xludf.DUMMYFUNCTION("""COMPUTED_VALUE"""),2450.0)</f>
        <v>2450</v>
      </c>
      <c r="C81" s="6">
        <f>IFERROR(__xludf.DUMMYFUNCTION("""COMPUTED_VALUE"""),3087.0)</f>
        <v>3087</v>
      </c>
      <c r="D81" s="6">
        <f>IFERROR(__xludf.DUMMYFUNCTION("""COMPUTED_VALUE"""),2450.0)</f>
        <v>2450</v>
      </c>
      <c r="E81" s="6">
        <f>IFERROR(__xludf.DUMMYFUNCTION("""COMPUTED_VALUE"""),2727.8)</f>
        <v>2727.8</v>
      </c>
      <c r="F81" s="6">
        <f>IFERROR(__xludf.DUMMYFUNCTION("""COMPUTED_VALUE"""),6970108.0)</f>
        <v>6970108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IFERROR(__xludf.DUMMYFUNCTION("""COMPUTED_VALUE"""),2798.0)</f>
        <v>2798</v>
      </c>
      <c r="C82" s="6">
        <f>IFERROR(__xludf.DUMMYFUNCTION("""COMPUTED_VALUE"""),2904.5)</f>
        <v>2904.5</v>
      </c>
      <c r="D82" s="6">
        <f>IFERROR(__xludf.DUMMYFUNCTION("""COMPUTED_VALUE"""),2741.5)</f>
        <v>2741.5</v>
      </c>
      <c r="E82" s="6">
        <f>IFERROR(__xludf.DUMMYFUNCTION("""COMPUTED_VALUE"""),2810.0)</f>
        <v>2810</v>
      </c>
      <c r="F82" s="6">
        <f>IFERROR(__xludf.DUMMYFUNCTION("""COMPUTED_VALUE"""),2275471.0)</f>
        <v>2275471</v>
      </c>
    </row>
    <row r="83">
      <c r="A83" s="7">
        <f>IFERROR(__xludf.DUMMYFUNCTION("""COMPUTED_VALUE"""),45772.64583333333)</f>
        <v>45772.64583</v>
      </c>
      <c r="B83" s="6">
        <f>IFERROR(__xludf.DUMMYFUNCTION("""COMPUTED_VALUE"""),2846.0)</f>
        <v>2846</v>
      </c>
      <c r="C83" s="6">
        <f>IFERROR(__xludf.DUMMYFUNCTION("""COMPUTED_VALUE"""),2923.5)</f>
        <v>2923.5</v>
      </c>
      <c r="D83" s="6">
        <f>IFERROR(__xludf.DUMMYFUNCTION("""COMPUTED_VALUE"""),2744.0)</f>
        <v>2744</v>
      </c>
      <c r="E83" s="6">
        <f>IFERROR(__xludf.DUMMYFUNCTION("""COMPUTED_VALUE"""),2833.5)</f>
        <v>2833.5</v>
      </c>
      <c r="F83" s="6">
        <f>IFERROR(__xludf.DUMMYFUNCTION("""COMPUTED_VALUE"""),3066902.0)</f>
        <v>3066902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IFERROR(__xludf.DUMMYFUNCTION("""COMPUTED_VALUE"""),2833.5)</f>
        <v>2833.5</v>
      </c>
      <c r="C84" s="6">
        <f>IFERROR(__xludf.DUMMYFUNCTION("""COMPUTED_VALUE"""),2988.0)</f>
        <v>2988</v>
      </c>
      <c r="D84" s="6">
        <f>IFERROR(__xludf.DUMMYFUNCTION("""COMPUTED_VALUE"""),2833.0)</f>
        <v>2833</v>
      </c>
      <c r="E84" s="6">
        <f>IFERROR(__xludf.DUMMYFUNCTION("""COMPUTED_VALUE"""),2919.7)</f>
        <v>2919.7</v>
      </c>
      <c r="F84" s="6">
        <f>IFERROR(__xludf.DUMMYFUNCTION("""COMPUTED_VALUE"""),2015392.0)</f>
        <v>2015392</v>
      </c>
    </row>
    <row r="85">
      <c r="A85" s="7">
        <f>IFERROR(__xludf.DUMMYFUNCTION("""COMPUTED_VALUE"""),45786.64583333333)</f>
        <v>45786.64583</v>
      </c>
      <c r="B85" s="6">
        <f>IFERROR(__xludf.DUMMYFUNCTION("""COMPUTED_VALUE"""),2938.0)</f>
        <v>2938</v>
      </c>
      <c r="C85" s="6">
        <f>IFERROR(__xludf.DUMMYFUNCTION("""COMPUTED_VALUE"""),3009.6)</f>
        <v>3009.6</v>
      </c>
      <c r="D85" s="6">
        <f>IFERROR(__xludf.DUMMYFUNCTION("""COMPUTED_VALUE"""),2788.3)</f>
        <v>2788.3</v>
      </c>
      <c r="E85" s="6">
        <f>IFERROR(__xludf.DUMMYFUNCTION("""COMPUTED_VALUE"""),2857.2)</f>
        <v>2857.2</v>
      </c>
      <c r="F85" s="6">
        <f>IFERROR(__xludf.DUMMYFUNCTION("""COMPUTED_VALUE"""),2360326.0)</f>
        <v>2360326</v>
      </c>
    </row>
    <row r="86">
      <c r="A86" s="7">
        <f>IFERROR(__xludf.DUMMYFUNCTION("""COMPUTED_VALUE"""),45793.64583333333)</f>
        <v>45793.64583</v>
      </c>
      <c r="B86" s="6">
        <f>IFERROR(__xludf.DUMMYFUNCTION("""COMPUTED_VALUE"""),2929.0)</f>
        <v>2929</v>
      </c>
      <c r="C86" s="6">
        <f>IFERROR(__xludf.DUMMYFUNCTION("""COMPUTED_VALUE"""),3114.9)</f>
        <v>3114.9</v>
      </c>
      <c r="D86" s="6">
        <f>IFERROR(__xludf.DUMMYFUNCTION("""COMPUTED_VALUE"""),2865.9)</f>
        <v>2865.9</v>
      </c>
      <c r="E86" s="6">
        <f>IFERROR(__xludf.DUMMYFUNCTION("""COMPUTED_VALUE"""),3069.5)</f>
        <v>3069.5</v>
      </c>
      <c r="F86" s="6">
        <f>IFERROR(__xludf.DUMMYFUNCTION("""COMPUTED_VALUE"""),4416057.0)</f>
        <v>4416057</v>
      </c>
    </row>
    <row r="87">
      <c r="A87" s="7">
        <f>IFERROR(__xludf.DUMMYFUNCTION("""COMPUTED_VALUE"""),45800.64583333333)</f>
        <v>45800.64583</v>
      </c>
      <c r="B87" s="6">
        <f>IFERROR(__xludf.DUMMYFUNCTION("""COMPUTED_VALUE"""),3080.0)</f>
        <v>3080</v>
      </c>
      <c r="C87" s="6">
        <f>IFERROR(__xludf.DUMMYFUNCTION("""COMPUTED_VALUE"""),3348.0)</f>
        <v>3348</v>
      </c>
      <c r="D87" s="6">
        <f>IFERROR(__xludf.DUMMYFUNCTION("""COMPUTED_VALUE"""),3025.8)</f>
        <v>3025.8</v>
      </c>
      <c r="E87" s="6">
        <f>IFERROR(__xludf.DUMMYFUNCTION("""COMPUTED_VALUE"""),3277.3)</f>
        <v>3277.3</v>
      </c>
      <c r="F87" s="6">
        <f>IFERROR(__xludf.DUMMYFUNCTION("""COMPUTED_VALUE"""),5070161.0)</f>
        <v>5070161</v>
      </c>
    </row>
    <row r="88">
      <c r="A88" s="7">
        <f>IFERROR(__xludf.DUMMYFUNCTION("""COMPUTED_VALUE"""),45807.64583333333)</f>
        <v>45807.64583</v>
      </c>
      <c r="B88" s="6">
        <f>IFERROR(__xludf.DUMMYFUNCTION("""COMPUTED_VALUE"""),3290.0)</f>
        <v>3290</v>
      </c>
      <c r="C88" s="6">
        <f>IFERROR(__xludf.DUMMYFUNCTION("""COMPUTED_VALUE"""),3376.0)</f>
        <v>3376</v>
      </c>
      <c r="D88" s="6">
        <f>IFERROR(__xludf.DUMMYFUNCTION("""COMPUTED_VALUE"""),3240.0)</f>
        <v>3240</v>
      </c>
      <c r="E88" s="6">
        <f>IFERROR(__xludf.DUMMYFUNCTION("""COMPUTED_VALUE"""),3265.6)</f>
        <v>3265.6</v>
      </c>
      <c r="F88" s="6">
        <f>IFERROR(__xludf.DUMMYFUNCTION("""COMPUTED_VALUE"""),3090620.0)</f>
        <v>3090620</v>
      </c>
    </row>
    <row r="89">
      <c r="A89" s="7">
        <f>IFERROR(__xludf.DUMMYFUNCTION("""COMPUTED_VALUE"""),45814.64583333333)</f>
        <v>45814.64583</v>
      </c>
      <c r="B89" s="6">
        <f>IFERROR(__xludf.DUMMYFUNCTION("""COMPUTED_VALUE"""),3270.0)</f>
        <v>3270</v>
      </c>
      <c r="C89" s="6">
        <f>IFERROR(__xludf.DUMMYFUNCTION("""COMPUTED_VALUE"""),3364.8)</f>
        <v>3364.8</v>
      </c>
      <c r="D89" s="6">
        <f>IFERROR(__xludf.DUMMYFUNCTION("""COMPUTED_VALUE"""),3258.1)</f>
        <v>3258.1</v>
      </c>
      <c r="E89" s="6">
        <f>IFERROR(__xludf.DUMMYFUNCTION("""COMPUTED_VALUE"""),3297.5)</f>
        <v>3297.5</v>
      </c>
      <c r="F89" s="6">
        <f>IFERROR(__xludf.DUMMYFUNCTION("""COMPUTED_VALUE"""),1518488.0)</f>
        <v>1518488</v>
      </c>
    </row>
    <row r="90">
      <c r="A90" s="7">
        <f>IFERROR(__xludf.DUMMYFUNCTION("""COMPUTED_VALUE"""),45821.64583333333)</f>
        <v>45821.64583</v>
      </c>
      <c r="B90" s="6">
        <f>IFERROR(__xludf.DUMMYFUNCTION("""COMPUTED_VALUE"""),3320.0)</f>
        <v>3320</v>
      </c>
      <c r="C90" s="6">
        <f>IFERROR(__xludf.DUMMYFUNCTION("""COMPUTED_VALUE"""),3409.0)</f>
        <v>3409</v>
      </c>
      <c r="D90" s="6">
        <f>IFERROR(__xludf.DUMMYFUNCTION("""COMPUTED_VALUE"""),3169.9)</f>
        <v>3169.9</v>
      </c>
      <c r="E90" s="6">
        <f>IFERROR(__xludf.DUMMYFUNCTION("""COMPUTED_VALUE"""),3260.0)</f>
        <v>3260</v>
      </c>
      <c r="F90" s="6">
        <f>IFERROR(__xludf.DUMMYFUNCTION("""COMPUTED_VALUE"""),2075416.0)</f>
        <v>2075416</v>
      </c>
    </row>
    <row r="91">
      <c r="A91" s="7">
        <f>IFERROR(__xludf.DUMMYFUNCTION("""COMPUTED_VALUE"""),45828.64583333333)</f>
        <v>45828.64583</v>
      </c>
      <c r="B91" s="6">
        <f>IFERROR(__xludf.DUMMYFUNCTION("""COMPUTED_VALUE"""),3248.0)</f>
        <v>3248</v>
      </c>
      <c r="C91" s="6">
        <f>IFERROR(__xludf.DUMMYFUNCTION("""COMPUTED_VALUE"""),3385.0)</f>
        <v>3385</v>
      </c>
      <c r="D91" s="6">
        <f>IFERROR(__xludf.DUMMYFUNCTION("""COMPUTED_VALUE"""),3195.1)</f>
        <v>3195.1</v>
      </c>
      <c r="E91" s="6">
        <f>IFERROR(__xludf.DUMMYFUNCTION("""COMPUTED_VALUE"""),3214.2)</f>
        <v>3214.2</v>
      </c>
      <c r="F91" s="6">
        <f>IFERROR(__xludf.DUMMYFUNCTION("""COMPUTED_VALUE"""),3128344.0)</f>
        <v>3128344</v>
      </c>
    </row>
    <row r="92">
      <c r="A92" s="7">
        <f>IFERROR(__xludf.DUMMYFUNCTION("""COMPUTED_VALUE"""),45835.64583333333)</f>
        <v>45835.64583</v>
      </c>
      <c r="B92" s="6">
        <f>IFERROR(__xludf.DUMMYFUNCTION("""COMPUTED_VALUE"""),3200.0)</f>
        <v>3200</v>
      </c>
      <c r="C92" s="6">
        <f>IFERROR(__xludf.DUMMYFUNCTION("""COMPUTED_VALUE"""),3271.9)</f>
        <v>3271.9</v>
      </c>
      <c r="D92" s="6">
        <f>IFERROR(__xludf.DUMMYFUNCTION("""COMPUTED_VALUE"""),3082.0)</f>
        <v>3082</v>
      </c>
      <c r="E92" s="6">
        <f>IFERROR(__xludf.DUMMYFUNCTION("""COMPUTED_VALUE"""),3178.4)</f>
        <v>3178.4</v>
      </c>
      <c r="F92" s="6">
        <f>IFERROR(__xludf.DUMMYFUNCTION("""COMPUTED_VALUE"""),5887107.0)</f>
        <v>5887107</v>
      </c>
    </row>
    <row r="93">
      <c r="A93" s="7">
        <f>IFERROR(__xludf.DUMMYFUNCTION("""COMPUTED_VALUE"""),45842.64583333333)</f>
        <v>45842.64583</v>
      </c>
      <c r="B93" s="6">
        <f>IFERROR(__xludf.DUMMYFUNCTION("""COMPUTED_VALUE"""),3204.8)</f>
        <v>3204.8</v>
      </c>
      <c r="C93" s="6">
        <f>IFERROR(__xludf.DUMMYFUNCTION("""COMPUTED_VALUE"""),3378.8)</f>
        <v>3378.8</v>
      </c>
      <c r="D93" s="6">
        <f>IFERROR(__xludf.DUMMYFUNCTION("""COMPUTED_VALUE"""),3196.2)</f>
        <v>3196.2</v>
      </c>
      <c r="E93" s="6">
        <f>IFERROR(__xludf.DUMMYFUNCTION("""COMPUTED_VALUE"""),3292.4)</f>
        <v>3292.4</v>
      </c>
      <c r="F93" s="6">
        <f>IFERROR(__xludf.DUMMYFUNCTION("""COMPUTED_VALUE"""),3919484.0)</f>
        <v>3919484</v>
      </c>
    </row>
    <row r="94">
      <c r="A94" s="7">
        <f>IFERROR(__xludf.DUMMYFUNCTION("""COMPUTED_VALUE"""),45849.64583333333)</f>
        <v>45849.64583</v>
      </c>
      <c r="B94" s="6">
        <f>IFERROR(__xludf.DUMMYFUNCTION("""COMPUTED_VALUE"""),3290.0)</f>
        <v>3290</v>
      </c>
      <c r="C94" s="6">
        <f>IFERROR(__xludf.DUMMYFUNCTION("""COMPUTED_VALUE"""),3354.9)</f>
        <v>3354.9</v>
      </c>
      <c r="D94" s="6">
        <f>IFERROR(__xludf.DUMMYFUNCTION("""COMPUTED_VALUE"""),3105.1)</f>
        <v>3105.1</v>
      </c>
      <c r="E94" s="6">
        <f>IFERROR(__xludf.DUMMYFUNCTION("""COMPUTED_VALUE"""),3117.7)</f>
        <v>3117.7</v>
      </c>
      <c r="F94" s="6">
        <f>IFERROR(__xludf.DUMMYFUNCTION("""COMPUTED_VALUE"""),2173436.0)</f>
        <v>2173436</v>
      </c>
    </row>
    <row r="95">
      <c r="A95" s="7">
        <f>IFERROR(__xludf.DUMMYFUNCTION("""COMPUTED_VALUE"""),45856.64583333333)</f>
        <v>45856.64583</v>
      </c>
      <c r="B95" s="6">
        <f>IFERROR(__xludf.DUMMYFUNCTION("""COMPUTED_VALUE"""),3139.0)</f>
        <v>3139</v>
      </c>
      <c r="C95" s="6">
        <f>IFERROR(__xludf.DUMMYFUNCTION("""COMPUTED_VALUE"""),3164.0)</f>
        <v>3164</v>
      </c>
      <c r="D95" s="6">
        <f>IFERROR(__xludf.DUMMYFUNCTION("""COMPUTED_VALUE"""),3038.5)</f>
        <v>3038.5</v>
      </c>
      <c r="E95" s="6">
        <f>IFERROR(__xludf.DUMMYFUNCTION("""COMPUTED_VALUE"""),3128.4)</f>
        <v>3128.4</v>
      </c>
      <c r="F95" s="6">
        <f>IFERROR(__xludf.DUMMYFUNCTION("""COMPUTED_VALUE"""),3028909.0)</f>
        <v>3028909</v>
      </c>
    </row>
    <row r="96">
      <c r="A96" s="7">
        <f>IFERROR(__xludf.DUMMYFUNCTION("""COMPUTED_VALUE"""),45863.64583333333)</f>
        <v>45863.64583</v>
      </c>
      <c r="B96" s="6">
        <f>IFERROR(__xludf.DUMMYFUNCTION("""COMPUTED_VALUE"""),3125.0)</f>
        <v>3125</v>
      </c>
      <c r="C96" s="6">
        <f>IFERROR(__xludf.DUMMYFUNCTION("""COMPUTED_VALUE"""),3163.8)</f>
        <v>3163.8</v>
      </c>
      <c r="D96" s="6">
        <f>IFERROR(__xludf.DUMMYFUNCTION("""COMPUTED_VALUE"""),3030.2)</f>
        <v>3030.2</v>
      </c>
      <c r="E96" s="6">
        <f>IFERROR(__xludf.DUMMYFUNCTION("""COMPUTED_VALUE"""),3038.2)</f>
        <v>3038.2</v>
      </c>
      <c r="F96" s="6">
        <f>IFERROR(__xludf.DUMMYFUNCTION("""COMPUTED_VALUE"""),1354084.0)</f>
        <v>1354084</v>
      </c>
    </row>
    <row r="97">
      <c r="A97" s="7">
        <f>IFERROR(__xludf.DUMMYFUNCTION("""COMPUTED_VALUE"""),45870.64583333333)</f>
        <v>45870.64583</v>
      </c>
      <c r="B97" s="6">
        <f>IFERROR(__xludf.DUMMYFUNCTION("""COMPUTED_VALUE"""),3040.0)</f>
        <v>3040</v>
      </c>
      <c r="C97" s="6">
        <f>IFERROR(__xludf.DUMMYFUNCTION("""COMPUTED_VALUE"""),3088.7)</f>
        <v>3088.7</v>
      </c>
      <c r="D97" s="6">
        <f>IFERROR(__xludf.DUMMYFUNCTION("""COMPUTED_VALUE"""),2998.0)</f>
        <v>2998</v>
      </c>
      <c r="E97" s="6">
        <f>IFERROR(__xludf.DUMMYFUNCTION("""COMPUTED_VALUE"""),3023.6)</f>
        <v>3023.6</v>
      </c>
      <c r="F97" s="6">
        <f>IFERROR(__xludf.DUMMYFUNCTION("""COMPUTED_VALUE"""),1546343.0)</f>
        <v>1546343</v>
      </c>
    </row>
    <row r="98">
      <c r="A98" s="7">
        <f>IFERROR(__xludf.DUMMYFUNCTION("""COMPUTED_VALUE"""),45877.64583333333)</f>
        <v>45877.64583</v>
      </c>
      <c r="B98" s="6">
        <f>IFERROR(__xludf.DUMMYFUNCTION("""COMPUTED_VALUE"""),3000.0)</f>
        <v>3000</v>
      </c>
      <c r="C98" s="6">
        <f>IFERROR(__xludf.DUMMYFUNCTION("""COMPUTED_VALUE"""),3147.0)</f>
        <v>3147</v>
      </c>
      <c r="D98" s="6">
        <f>IFERROR(__xludf.DUMMYFUNCTION("""COMPUTED_VALUE"""),2928.5)</f>
        <v>2928.5</v>
      </c>
      <c r="E98" s="6">
        <f>IFERROR(__xludf.DUMMYFUNCTION("""COMPUTED_VALUE"""),3031.8)</f>
        <v>3031.8</v>
      </c>
      <c r="F98" s="6">
        <f>IFERROR(__xludf.DUMMYFUNCTION("""COMPUTED_VALUE"""),2364189.0)</f>
        <v>2364189</v>
      </c>
    </row>
    <row r="99">
      <c r="A99" s="7">
        <f>IFERROR(__xludf.DUMMYFUNCTION("""COMPUTED_VALUE"""),45883.64583333333)</f>
        <v>45883.64583</v>
      </c>
      <c r="B99" s="6">
        <f>IFERROR(__xludf.DUMMYFUNCTION("""COMPUTED_VALUE"""),3020.0)</f>
        <v>3020</v>
      </c>
      <c r="C99" s="6">
        <f>IFERROR(__xludf.DUMMYFUNCTION("""COMPUTED_VALUE"""),3200.0)</f>
        <v>3200</v>
      </c>
      <c r="D99" s="6">
        <f>IFERROR(__xludf.DUMMYFUNCTION("""COMPUTED_VALUE"""),2925.0)</f>
        <v>2925</v>
      </c>
      <c r="E99" s="6">
        <f>IFERROR(__xludf.DUMMYFUNCTION("""COMPUTED_VALUE"""),3169.0)</f>
        <v>3169</v>
      </c>
      <c r="F99" s="6">
        <f>IFERROR(__xludf.DUMMYFUNCTION("""COMPUTED_VALUE"""),2436750.0)</f>
        <v>2436750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IFERROR(__xludf.DUMMYFUNCTION("""COMPUTED_VALUE"""),3213.9)</f>
        <v>3213.9</v>
      </c>
      <c r="C100" s="6">
        <f>IFERROR(__xludf.DUMMYFUNCTION("""COMPUTED_VALUE"""),3235.0)</f>
        <v>3235</v>
      </c>
      <c r="D100" s="6">
        <f>IFERROR(__xludf.DUMMYFUNCTION("""COMPUTED_VALUE"""),3110.2)</f>
        <v>3110.2</v>
      </c>
      <c r="E100" s="6">
        <f>IFERROR(__xludf.DUMMYFUNCTION("""COMPUTED_VALUE"""),3173.2)</f>
        <v>3173.2</v>
      </c>
      <c r="F100" s="6">
        <f>IFERROR(__xludf.DUMMYFUNCTION("""COMPUTED_VALUE"""),1724692.0)</f>
        <v>1724692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IFERROR(__xludf.DUMMYFUNCTION("""COMPUTED_VALUE"""),3185.0)</f>
        <v>3185</v>
      </c>
      <c r="C101" s="6">
        <f>IFERROR(__xludf.DUMMYFUNCTION("""COMPUTED_VALUE"""),3210.0)</f>
        <v>3210</v>
      </c>
      <c r="D101" s="6">
        <f>IFERROR(__xludf.DUMMYFUNCTION("""COMPUTED_VALUE"""),3039.0)</f>
        <v>3039</v>
      </c>
      <c r="E101" s="6">
        <f>IFERROR(__xludf.DUMMYFUNCTION("""COMPUTED_VALUE"""),3048.0)</f>
        <v>3048</v>
      </c>
      <c r="F101" s="6">
        <f>IFERROR(__xludf.DUMMYFUNCTION("""COMPUTED_VALUE"""),7340338.0)</f>
        <v>7340338</v>
      </c>
    </row>
  </sheetData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IFERROR(__xludf.DUMMYFUNCTION("GOOGLEFINANCE(""NSE:SJVN"",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IFERROR(__xludf.DUMMYFUNCTION("""COMPUTED_VALUE"""),57.0)</f>
        <v>57</v>
      </c>
      <c r="C2" s="6">
        <f>IFERROR(__xludf.DUMMYFUNCTION("""COMPUTED_VALUE"""),65.3)</f>
        <v>65.3</v>
      </c>
      <c r="D2" s="6">
        <f>IFERROR(__xludf.DUMMYFUNCTION("""COMPUTED_VALUE"""),56.6)</f>
        <v>56.6</v>
      </c>
      <c r="E2" s="6">
        <f>IFERROR(__xludf.DUMMYFUNCTION("""COMPUTED_VALUE"""),63.25)</f>
        <v>63.25</v>
      </c>
      <c r="F2" s="6">
        <f>IFERROR(__xludf.DUMMYFUNCTION("""COMPUTED_VALUE"""),1.4894255E8)</f>
        <v>148942550</v>
      </c>
    </row>
    <row r="3">
      <c r="A3" s="7">
        <f>IFERROR(__xludf.DUMMYFUNCTION("""COMPUTED_VALUE"""),45177.64583333333)</f>
        <v>45177.64583</v>
      </c>
      <c r="B3" s="6">
        <f>IFERROR(__xludf.DUMMYFUNCTION("""COMPUTED_VALUE"""),63.75)</f>
        <v>63.75</v>
      </c>
      <c r="C3" s="6">
        <f>IFERROR(__xludf.DUMMYFUNCTION("""COMPUTED_VALUE"""),67.35)</f>
        <v>67.35</v>
      </c>
      <c r="D3" s="6">
        <f>IFERROR(__xludf.DUMMYFUNCTION("""COMPUTED_VALUE"""),61.35)</f>
        <v>61.35</v>
      </c>
      <c r="E3" s="6">
        <f>IFERROR(__xludf.DUMMYFUNCTION("""COMPUTED_VALUE"""),64.0)</f>
        <v>64</v>
      </c>
      <c r="F3" s="6">
        <f>IFERROR(__xludf.DUMMYFUNCTION("""COMPUTED_VALUE"""),1.03540389E8)</f>
        <v>103540389</v>
      </c>
    </row>
    <row r="4">
      <c r="A4" s="7">
        <f>IFERROR(__xludf.DUMMYFUNCTION("""COMPUTED_VALUE"""),45184.64583333333)</f>
        <v>45184.64583</v>
      </c>
      <c r="B4" s="6">
        <f>IFERROR(__xludf.DUMMYFUNCTION("""COMPUTED_VALUE"""),66.8)</f>
        <v>66.8</v>
      </c>
      <c r="C4" s="6">
        <f>IFERROR(__xludf.DUMMYFUNCTION("""COMPUTED_VALUE"""),83.25)</f>
        <v>83.25</v>
      </c>
      <c r="D4" s="6">
        <f>IFERROR(__xludf.DUMMYFUNCTION("""COMPUTED_VALUE"""),66.3)</f>
        <v>66.3</v>
      </c>
      <c r="E4" s="6">
        <f>IFERROR(__xludf.DUMMYFUNCTION("""COMPUTED_VALUE"""),75.35)</f>
        <v>75.35</v>
      </c>
      <c r="F4" s="6">
        <f>IFERROR(__xludf.DUMMYFUNCTION("""COMPUTED_VALUE"""),5.54831225E8)</f>
        <v>554831225</v>
      </c>
    </row>
    <row r="5">
      <c r="A5" s="7">
        <f>IFERROR(__xludf.DUMMYFUNCTION("""COMPUTED_VALUE"""),45191.64583333333)</f>
        <v>45191.64583</v>
      </c>
      <c r="B5" s="6">
        <f>IFERROR(__xludf.DUMMYFUNCTION("""COMPUTED_VALUE"""),75.35)</f>
        <v>75.35</v>
      </c>
      <c r="C5" s="6">
        <f>IFERROR(__xludf.DUMMYFUNCTION("""COMPUTED_VALUE"""),83.65)</f>
        <v>83.65</v>
      </c>
      <c r="D5" s="6">
        <f>IFERROR(__xludf.DUMMYFUNCTION("""COMPUTED_VALUE"""),69.35)</f>
        <v>69.35</v>
      </c>
      <c r="E5" s="6">
        <f>IFERROR(__xludf.DUMMYFUNCTION("""COMPUTED_VALUE"""),72.25)</f>
        <v>72.25</v>
      </c>
      <c r="F5" s="6">
        <f>IFERROR(__xludf.DUMMYFUNCTION("""COMPUTED_VALUE"""),5.2661277E8)</f>
        <v>526612770</v>
      </c>
    </row>
    <row r="6">
      <c r="A6" s="7">
        <f>IFERROR(__xludf.DUMMYFUNCTION("""COMPUTED_VALUE"""),45198.64583333333)</f>
        <v>45198.64583</v>
      </c>
      <c r="B6" s="6">
        <f>IFERROR(__xludf.DUMMYFUNCTION("""COMPUTED_VALUE"""),72.3)</f>
        <v>72.3</v>
      </c>
      <c r="C6" s="6">
        <f>IFERROR(__xludf.DUMMYFUNCTION("""COMPUTED_VALUE"""),74.4)</f>
        <v>74.4</v>
      </c>
      <c r="D6" s="6">
        <f>IFERROR(__xludf.DUMMYFUNCTION("""COMPUTED_VALUE"""),67.3)</f>
        <v>67.3</v>
      </c>
      <c r="E6" s="6">
        <f>IFERROR(__xludf.DUMMYFUNCTION("""COMPUTED_VALUE"""),73.15)</f>
        <v>73.15</v>
      </c>
      <c r="F6" s="6">
        <f>IFERROR(__xludf.DUMMYFUNCTION("""COMPUTED_VALUE"""),2.58732582E8)</f>
        <v>258732582</v>
      </c>
    </row>
    <row r="7">
      <c r="A7" s="7">
        <f>IFERROR(__xludf.DUMMYFUNCTION("""COMPUTED_VALUE"""),45205.64583333333)</f>
        <v>45205.64583</v>
      </c>
      <c r="B7" s="6">
        <f>IFERROR(__xludf.DUMMYFUNCTION("""COMPUTED_VALUE"""),72.95)</f>
        <v>72.95</v>
      </c>
      <c r="C7" s="6">
        <f>IFERROR(__xludf.DUMMYFUNCTION("""COMPUTED_VALUE"""),73.6)</f>
        <v>73.6</v>
      </c>
      <c r="D7" s="6">
        <f>IFERROR(__xludf.DUMMYFUNCTION("""COMPUTED_VALUE"""),69.15)</f>
        <v>69.15</v>
      </c>
      <c r="E7" s="6">
        <f>IFERROR(__xludf.DUMMYFUNCTION("""COMPUTED_VALUE"""),72.65)</f>
        <v>72.65</v>
      </c>
      <c r="F7" s="6">
        <f>IFERROR(__xludf.DUMMYFUNCTION("""COMPUTED_VALUE"""),1.01459717E8)</f>
        <v>101459717</v>
      </c>
    </row>
    <row r="8">
      <c r="A8" s="7">
        <f>IFERROR(__xludf.DUMMYFUNCTION("""COMPUTED_VALUE"""),45212.64583333333)</f>
        <v>45212.64583</v>
      </c>
      <c r="B8" s="6">
        <f>IFERROR(__xludf.DUMMYFUNCTION("""COMPUTED_VALUE"""),71.0)</f>
        <v>71</v>
      </c>
      <c r="C8" s="6">
        <f>IFERROR(__xludf.DUMMYFUNCTION("""COMPUTED_VALUE"""),74.75)</f>
        <v>74.75</v>
      </c>
      <c r="D8" s="6">
        <f>IFERROR(__xludf.DUMMYFUNCTION("""COMPUTED_VALUE"""),69.25)</f>
        <v>69.25</v>
      </c>
      <c r="E8" s="6">
        <f>IFERROR(__xludf.DUMMYFUNCTION("""COMPUTED_VALUE"""),73.05)</f>
        <v>73.05</v>
      </c>
      <c r="F8" s="6">
        <f>IFERROR(__xludf.DUMMYFUNCTION("""COMPUTED_VALUE"""),1.50196709E8)</f>
        <v>150196709</v>
      </c>
    </row>
    <row r="9">
      <c r="A9" s="7">
        <f>IFERROR(__xludf.DUMMYFUNCTION("""COMPUTED_VALUE"""),45219.64583333333)</f>
        <v>45219.64583</v>
      </c>
      <c r="B9" s="6">
        <f>IFERROR(__xludf.DUMMYFUNCTION("""COMPUTED_VALUE"""),73.55)</f>
        <v>73.55</v>
      </c>
      <c r="C9" s="6">
        <f>IFERROR(__xludf.DUMMYFUNCTION("""COMPUTED_VALUE"""),77.7)</f>
        <v>77.7</v>
      </c>
      <c r="D9" s="6">
        <f>IFERROR(__xludf.DUMMYFUNCTION("""COMPUTED_VALUE"""),72.7)</f>
        <v>72.7</v>
      </c>
      <c r="E9" s="6">
        <f>IFERROR(__xludf.DUMMYFUNCTION("""COMPUTED_VALUE"""),75.35)</f>
        <v>75.35</v>
      </c>
      <c r="F9" s="6">
        <f>IFERROR(__xludf.DUMMYFUNCTION("""COMPUTED_VALUE"""),2.13955857E8)</f>
        <v>213955857</v>
      </c>
    </row>
    <row r="10">
      <c r="A10" s="7">
        <f>IFERROR(__xludf.DUMMYFUNCTION("""COMPUTED_VALUE"""),45226.64583333333)</f>
        <v>45226.64583</v>
      </c>
      <c r="B10" s="6">
        <f>IFERROR(__xludf.DUMMYFUNCTION("""COMPUTED_VALUE"""),75.45)</f>
        <v>75.45</v>
      </c>
      <c r="C10" s="6">
        <f>IFERROR(__xludf.DUMMYFUNCTION("""COMPUTED_VALUE"""),75.7)</f>
        <v>75.7</v>
      </c>
      <c r="D10" s="6">
        <f>IFERROR(__xludf.DUMMYFUNCTION("""COMPUTED_VALUE"""),63.4)</f>
        <v>63.4</v>
      </c>
      <c r="E10" s="6">
        <f>IFERROR(__xludf.DUMMYFUNCTION("""COMPUTED_VALUE"""),69.4)</f>
        <v>69.4</v>
      </c>
      <c r="F10" s="6">
        <f>IFERROR(__xludf.DUMMYFUNCTION("""COMPUTED_VALUE"""),1.41089013E8)</f>
        <v>141089013</v>
      </c>
    </row>
    <row r="11">
      <c r="A11" s="7">
        <f>IFERROR(__xludf.DUMMYFUNCTION("""COMPUTED_VALUE"""),45233.64583333333)</f>
        <v>45233.64583</v>
      </c>
      <c r="B11" s="6">
        <f>IFERROR(__xludf.DUMMYFUNCTION("""COMPUTED_VALUE"""),69.4)</f>
        <v>69.4</v>
      </c>
      <c r="C11" s="6">
        <f>IFERROR(__xludf.DUMMYFUNCTION("""COMPUTED_VALUE"""),75.55)</f>
        <v>75.55</v>
      </c>
      <c r="D11" s="6">
        <f>IFERROR(__xludf.DUMMYFUNCTION("""COMPUTED_VALUE"""),67.65)</f>
        <v>67.65</v>
      </c>
      <c r="E11" s="6">
        <f>IFERROR(__xludf.DUMMYFUNCTION("""COMPUTED_VALUE"""),73.85)</f>
        <v>73.85</v>
      </c>
      <c r="F11" s="6">
        <f>IFERROR(__xludf.DUMMYFUNCTION("""COMPUTED_VALUE"""),1.18865661E8)</f>
        <v>118865661</v>
      </c>
    </row>
    <row r="12">
      <c r="A12" s="7">
        <f>IFERROR(__xludf.DUMMYFUNCTION("""COMPUTED_VALUE"""),45240.64583333333)</f>
        <v>45240.64583</v>
      </c>
      <c r="B12" s="6">
        <f>IFERROR(__xludf.DUMMYFUNCTION("""COMPUTED_VALUE"""),74.4)</f>
        <v>74.4</v>
      </c>
      <c r="C12" s="6">
        <f>IFERROR(__xludf.DUMMYFUNCTION("""COMPUTED_VALUE"""),78.6)</f>
        <v>78.6</v>
      </c>
      <c r="D12" s="6">
        <f>IFERROR(__xludf.DUMMYFUNCTION("""COMPUTED_VALUE"""),72.55)</f>
        <v>72.55</v>
      </c>
      <c r="E12" s="6">
        <f>IFERROR(__xludf.DUMMYFUNCTION("""COMPUTED_VALUE"""),75.8)</f>
        <v>75.8</v>
      </c>
      <c r="F12" s="6">
        <f>IFERROR(__xludf.DUMMYFUNCTION("""COMPUTED_VALUE"""),1.2332643E8)</f>
        <v>123326430</v>
      </c>
    </row>
    <row r="13">
      <c r="A13" s="7">
        <f>IFERROR(__xludf.DUMMYFUNCTION("""COMPUTED_VALUE"""),45247.64583333333)</f>
        <v>45247.64583</v>
      </c>
      <c r="B13" s="6">
        <f>IFERROR(__xludf.DUMMYFUNCTION("""COMPUTED_VALUE"""),76.7)</f>
        <v>76.7</v>
      </c>
      <c r="C13" s="6">
        <f>IFERROR(__xludf.DUMMYFUNCTION("""COMPUTED_VALUE"""),78.0)</f>
        <v>78</v>
      </c>
      <c r="D13" s="6">
        <f>IFERROR(__xludf.DUMMYFUNCTION("""COMPUTED_VALUE"""),75.0)</f>
        <v>75</v>
      </c>
      <c r="E13" s="6">
        <f>IFERROR(__xludf.DUMMYFUNCTION("""COMPUTED_VALUE"""),76.2)</f>
        <v>76.2</v>
      </c>
      <c r="F13" s="6">
        <f>IFERROR(__xludf.DUMMYFUNCTION("""COMPUTED_VALUE"""),8.4093901E7)</f>
        <v>84093901</v>
      </c>
    </row>
    <row r="14">
      <c r="A14" s="7">
        <f>IFERROR(__xludf.DUMMYFUNCTION("""COMPUTED_VALUE"""),45254.64583333333)</f>
        <v>45254.64583</v>
      </c>
      <c r="B14" s="6">
        <f>IFERROR(__xludf.DUMMYFUNCTION("""COMPUTED_VALUE"""),76.5)</f>
        <v>76.5</v>
      </c>
      <c r="C14" s="6">
        <f>IFERROR(__xludf.DUMMYFUNCTION("""COMPUTED_VALUE"""),84.9)</f>
        <v>84.9</v>
      </c>
      <c r="D14" s="6">
        <f>IFERROR(__xludf.DUMMYFUNCTION("""COMPUTED_VALUE"""),75.25)</f>
        <v>75.25</v>
      </c>
      <c r="E14" s="6">
        <f>IFERROR(__xludf.DUMMYFUNCTION("""COMPUTED_VALUE"""),82.3)</f>
        <v>82.3</v>
      </c>
      <c r="F14" s="6">
        <f>IFERROR(__xludf.DUMMYFUNCTION("""COMPUTED_VALUE"""),2.50701697E8)</f>
        <v>250701697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IFERROR(__xludf.DUMMYFUNCTION("""COMPUTED_VALUE"""),82.9)</f>
        <v>82.9</v>
      </c>
      <c r="C15" s="6">
        <f>IFERROR(__xludf.DUMMYFUNCTION("""COMPUTED_VALUE"""),87.6)</f>
        <v>87.6</v>
      </c>
      <c r="D15" s="6">
        <f>IFERROR(__xludf.DUMMYFUNCTION("""COMPUTED_VALUE"""),81.8)</f>
        <v>81.8</v>
      </c>
      <c r="E15" s="6">
        <f>IFERROR(__xludf.DUMMYFUNCTION("""COMPUTED_VALUE"""),84.9)</f>
        <v>84.9</v>
      </c>
      <c r="F15" s="6">
        <f>IFERROR(__xludf.DUMMYFUNCTION("""COMPUTED_VALUE"""),1.37070542E8)</f>
        <v>137070542</v>
      </c>
    </row>
    <row r="16">
      <c r="A16" s="7">
        <f>IFERROR(__xludf.DUMMYFUNCTION("""COMPUTED_VALUE"""),45268.64583333333)</f>
        <v>45268.64583</v>
      </c>
      <c r="B16" s="6">
        <f>IFERROR(__xludf.DUMMYFUNCTION("""COMPUTED_VALUE"""),87.5)</f>
        <v>87.5</v>
      </c>
      <c r="C16" s="6">
        <f>IFERROR(__xludf.DUMMYFUNCTION("""COMPUTED_VALUE"""),92.1)</f>
        <v>92.1</v>
      </c>
      <c r="D16" s="6">
        <f>IFERROR(__xludf.DUMMYFUNCTION("""COMPUTED_VALUE"""),82.85)</f>
        <v>82.85</v>
      </c>
      <c r="E16" s="6">
        <f>IFERROR(__xludf.DUMMYFUNCTION("""COMPUTED_VALUE"""),88.65)</f>
        <v>88.65</v>
      </c>
      <c r="F16" s="6">
        <f>IFERROR(__xludf.DUMMYFUNCTION("""COMPUTED_VALUE"""),1.63492882E8)</f>
        <v>163492882</v>
      </c>
    </row>
    <row r="17">
      <c r="A17" s="7">
        <f>IFERROR(__xludf.DUMMYFUNCTION("""COMPUTED_VALUE"""),45275.64583333333)</f>
        <v>45275.64583</v>
      </c>
      <c r="B17" s="6">
        <f>IFERROR(__xludf.DUMMYFUNCTION("""COMPUTED_VALUE"""),88.95)</f>
        <v>88.95</v>
      </c>
      <c r="C17" s="6">
        <f>IFERROR(__xludf.DUMMYFUNCTION("""COMPUTED_VALUE"""),100.4)</f>
        <v>100.4</v>
      </c>
      <c r="D17" s="6">
        <f>IFERROR(__xludf.DUMMYFUNCTION("""COMPUTED_VALUE"""),88.55)</f>
        <v>88.55</v>
      </c>
      <c r="E17" s="6">
        <f>IFERROR(__xludf.DUMMYFUNCTION("""COMPUTED_VALUE"""),96.3)</f>
        <v>96.3</v>
      </c>
      <c r="F17" s="6">
        <f>IFERROR(__xludf.DUMMYFUNCTION("""COMPUTED_VALUE"""),1.7687919E8)</f>
        <v>176879190</v>
      </c>
    </row>
    <row r="18">
      <c r="A18" s="7">
        <f>IFERROR(__xludf.DUMMYFUNCTION("""COMPUTED_VALUE"""),45282.64583333333)</f>
        <v>45282.64583</v>
      </c>
      <c r="B18" s="6">
        <f>IFERROR(__xludf.DUMMYFUNCTION("""COMPUTED_VALUE"""),94.85)</f>
        <v>94.85</v>
      </c>
      <c r="C18" s="6">
        <f>IFERROR(__xludf.DUMMYFUNCTION("""COMPUTED_VALUE"""),94.85)</f>
        <v>94.85</v>
      </c>
      <c r="D18" s="6">
        <f>IFERROR(__xludf.DUMMYFUNCTION("""COMPUTED_VALUE"""),81.05)</f>
        <v>81.05</v>
      </c>
      <c r="E18" s="6">
        <f>IFERROR(__xludf.DUMMYFUNCTION("""COMPUTED_VALUE"""),89.7)</f>
        <v>89.7</v>
      </c>
      <c r="F18" s="6">
        <f>IFERROR(__xludf.DUMMYFUNCTION("""COMPUTED_VALUE"""),1.51886775E8)</f>
        <v>151886775</v>
      </c>
    </row>
    <row r="19">
      <c r="A19" s="7">
        <f>IFERROR(__xludf.DUMMYFUNCTION("""COMPUTED_VALUE"""),45289.64583333333)</f>
        <v>45289.64583</v>
      </c>
      <c r="B19" s="6">
        <f>IFERROR(__xludf.DUMMYFUNCTION("""COMPUTED_VALUE"""),90.05)</f>
        <v>90.05</v>
      </c>
      <c r="C19" s="6">
        <f>IFERROR(__xludf.DUMMYFUNCTION("""COMPUTED_VALUE"""),95.6)</f>
        <v>95.6</v>
      </c>
      <c r="D19" s="6">
        <f>IFERROR(__xludf.DUMMYFUNCTION("""COMPUTED_VALUE"""),89.25)</f>
        <v>89.25</v>
      </c>
      <c r="E19" s="6">
        <f>IFERROR(__xludf.DUMMYFUNCTION("""COMPUTED_VALUE"""),90.95)</f>
        <v>90.95</v>
      </c>
      <c r="F19" s="6">
        <f>IFERROR(__xludf.DUMMYFUNCTION("""COMPUTED_VALUE"""),7.9622512E7)</f>
        <v>79622512</v>
      </c>
    </row>
    <row r="20">
      <c r="A20" s="7">
        <f>IFERROR(__xludf.DUMMYFUNCTION("""COMPUTED_VALUE"""),45296.64583333333)</f>
        <v>45296.64583</v>
      </c>
      <c r="B20" s="6">
        <f>IFERROR(__xludf.DUMMYFUNCTION("""COMPUTED_VALUE"""),94.0)</f>
        <v>94</v>
      </c>
      <c r="C20" s="6">
        <f>IFERROR(__xludf.DUMMYFUNCTION("""COMPUTED_VALUE"""),97.0)</f>
        <v>97</v>
      </c>
      <c r="D20" s="6">
        <f>IFERROR(__xludf.DUMMYFUNCTION("""COMPUTED_VALUE"""),91.75)</f>
        <v>91.75</v>
      </c>
      <c r="E20" s="6">
        <f>IFERROR(__xludf.DUMMYFUNCTION("""COMPUTED_VALUE"""),94.75)</f>
        <v>94.75</v>
      </c>
      <c r="F20" s="6">
        <f>IFERROR(__xludf.DUMMYFUNCTION("""COMPUTED_VALUE"""),1.51890454E8)</f>
        <v>151890454</v>
      </c>
    </row>
    <row r="21">
      <c r="A21" s="7">
        <f>IFERROR(__xludf.DUMMYFUNCTION("""COMPUTED_VALUE"""),45303.64583333333)</f>
        <v>45303.64583</v>
      </c>
      <c r="B21" s="6">
        <f>IFERROR(__xludf.DUMMYFUNCTION("""COMPUTED_VALUE"""),96.5)</f>
        <v>96.5</v>
      </c>
      <c r="C21" s="6">
        <f>IFERROR(__xludf.DUMMYFUNCTION("""COMPUTED_VALUE"""),97.0)</f>
        <v>97</v>
      </c>
      <c r="D21" s="6">
        <f>IFERROR(__xludf.DUMMYFUNCTION("""COMPUTED_VALUE"""),88.85)</f>
        <v>88.85</v>
      </c>
      <c r="E21" s="6">
        <f>IFERROR(__xludf.DUMMYFUNCTION("""COMPUTED_VALUE"""),94.15)</f>
        <v>94.15</v>
      </c>
      <c r="F21" s="6">
        <f>IFERROR(__xludf.DUMMYFUNCTION("""COMPUTED_VALUE"""),1.15552762E8)</f>
        <v>115552762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IFERROR(__xludf.DUMMYFUNCTION("""COMPUTED_VALUE"""),112.0)</f>
        <v>112</v>
      </c>
      <c r="C22" s="6">
        <f>IFERROR(__xludf.DUMMYFUNCTION("""COMPUTED_VALUE"""),118.9)</f>
        <v>118.9</v>
      </c>
      <c r="D22" s="6">
        <f>IFERROR(__xludf.DUMMYFUNCTION("""COMPUTED_VALUE"""),102.5)</f>
        <v>102.5</v>
      </c>
      <c r="E22" s="6">
        <f>IFERROR(__xludf.DUMMYFUNCTION("""COMPUTED_VALUE"""),116.45)</f>
        <v>116.45</v>
      </c>
      <c r="F22" s="6">
        <f>IFERROR(__xludf.DUMMYFUNCTION("""COMPUTED_VALUE"""),1.9447521E8)</f>
        <v>194475210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IFERROR(__xludf.DUMMYFUNCTION("""COMPUTED_VALUE"""),120.0)</f>
        <v>120</v>
      </c>
      <c r="C23" s="6">
        <f>IFERROR(__xludf.DUMMYFUNCTION("""COMPUTED_VALUE"""),146.35)</f>
        <v>146.35</v>
      </c>
      <c r="D23" s="6">
        <f>IFERROR(__xludf.DUMMYFUNCTION("""COMPUTED_VALUE"""),119.2)</f>
        <v>119.2</v>
      </c>
      <c r="E23" s="6">
        <f>IFERROR(__xludf.DUMMYFUNCTION("""COMPUTED_VALUE"""),142.25)</f>
        <v>142.25</v>
      </c>
      <c r="F23" s="6">
        <f>IFERROR(__xludf.DUMMYFUNCTION("""COMPUTED_VALUE"""),4.2563021E8)</f>
        <v>425630210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IFERROR(__xludf.DUMMYFUNCTION("""COMPUTED_VALUE"""),145.0)</f>
        <v>145</v>
      </c>
      <c r="C24" s="6">
        <f>IFERROR(__xludf.DUMMYFUNCTION("""COMPUTED_VALUE"""),170.5)</f>
        <v>170.5</v>
      </c>
      <c r="D24" s="6">
        <f>IFERROR(__xludf.DUMMYFUNCTION("""COMPUTED_VALUE"""),135.1)</f>
        <v>135.1</v>
      </c>
      <c r="E24" s="6">
        <f>IFERROR(__xludf.DUMMYFUNCTION("""COMPUTED_VALUE"""),140.55)</f>
        <v>140.55</v>
      </c>
      <c r="F24" s="6">
        <f>IFERROR(__xludf.DUMMYFUNCTION("""COMPUTED_VALUE"""),5.55994249E8)</f>
        <v>555994249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IFERROR(__xludf.DUMMYFUNCTION("""COMPUTED_VALUE"""),125.0)</f>
        <v>125</v>
      </c>
      <c r="C25" s="6">
        <f>IFERROR(__xludf.DUMMYFUNCTION("""COMPUTED_VALUE"""),130.7)</f>
        <v>130.7</v>
      </c>
      <c r="D25" s="6">
        <f>IFERROR(__xludf.DUMMYFUNCTION("""COMPUTED_VALUE"""),100.65)</f>
        <v>100.65</v>
      </c>
      <c r="E25" s="6">
        <f>IFERROR(__xludf.DUMMYFUNCTION("""COMPUTED_VALUE"""),120.5)</f>
        <v>120.5</v>
      </c>
      <c r="F25" s="6">
        <f>IFERROR(__xludf.DUMMYFUNCTION("""COMPUTED_VALUE"""),6.01373868E8)</f>
        <v>601373868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IFERROR(__xludf.DUMMYFUNCTION("""COMPUTED_VALUE"""),121.5)</f>
        <v>121.5</v>
      </c>
      <c r="C26" s="6">
        <f>IFERROR(__xludf.DUMMYFUNCTION("""COMPUTED_VALUE"""),128.5)</f>
        <v>128.5</v>
      </c>
      <c r="D26" s="6">
        <f>IFERROR(__xludf.DUMMYFUNCTION("""COMPUTED_VALUE"""),115.7)</f>
        <v>115.7</v>
      </c>
      <c r="E26" s="6">
        <f>IFERROR(__xludf.DUMMYFUNCTION("""COMPUTED_VALUE"""),119.5)</f>
        <v>119.5</v>
      </c>
      <c r="F26" s="6">
        <f>IFERROR(__xludf.DUMMYFUNCTION("""COMPUTED_VALUE"""),1.71906863E8)</f>
        <v>171906863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IFERROR(__xludf.DUMMYFUNCTION("""COMPUTED_VALUE"""),124.0)</f>
        <v>124</v>
      </c>
      <c r="C27" s="6">
        <f>IFERROR(__xludf.DUMMYFUNCTION("""COMPUTED_VALUE"""),125.8)</f>
        <v>125.8</v>
      </c>
      <c r="D27" s="6">
        <f>IFERROR(__xludf.DUMMYFUNCTION("""COMPUTED_VALUE"""),116.8)</f>
        <v>116.8</v>
      </c>
      <c r="E27" s="6">
        <f>IFERROR(__xludf.DUMMYFUNCTION("""COMPUTED_VALUE"""),122.2)</f>
        <v>122.2</v>
      </c>
      <c r="F27" s="6">
        <f>IFERROR(__xludf.DUMMYFUNCTION("""COMPUTED_VALUE"""),8.2124973E7)</f>
        <v>82124973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IFERROR(__xludf.DUMMYFUNCTION("""COMPUTED_VALUE"""),122.85)</f>
        <v>122.85</v>
      </c>
      <c r="C28" s="6">
        <f>IFERROR(__xludf.DUMMYFUNCTION("""COMPUTED_VALUE"""),128.0)</f>
        <v>128</v>
      </c>
      <c r="D28" s="6">
        <f>IFERROR(__xludf.DUMMYFUNCTION("""COMPUTED_VALUE"""),98.05)</f>
        <v>98.05</v>
      </c>
      <c r="E28" s="6">
        <f>IFERROR(__xludf.DUMMYFUNCTION("""COMPUTED_VALUE"""),124.6)</f>
        <v>124.6</v>
      </c>
      <c r="F28" s="6">
        <f>IFERROR(__xludf.DUMMYFUNCTION("""COMPUTED_VALUE"""),3.06873088E8)</f>
        <v>306873088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IFERROR(__xludf.DUMMYFUNCTION("""COMPUTED_VALUE"""),128.0)</f>
        <v>128</v>
      </c>
      <c r="C29" s="6">
        <f>IFERROR(__xludf.DUMMYFUNCTION("""COMPUTED_VALUE"""),130.8)</f>
        <v>130.8</v>
      </c>
      <c r="D29" s="6">
        <f>IFERROR(__xludf.DUMMYFUNCTION("""COMPUTED_VALUE"""),115.25)</f>
        <v>115.25</v>
      </c>
      <c r="E29" s="6">
        <f>IFERROR(__xludf.DUMMYFUNCTION("""COMPUTED_VALUE"""),122.9)</f>
        <v>122.9</v>
      </c>
      <c r="F29" s="6">
        <f>IFERROR(__xludf.DUMMYFUNCTION("""COMPUTED_VALUE"""),1.82337859E8)</f>
        <v>182337859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IFERROR(__xludf.DUMMYFUNCTION("""COMPUTED_VALUE"""),122.9)</f>
        <v>122.9</v>
      </c>
      <c r="C30" s="6">
        <f>IFERROR(__xludf.DUMMYFUNCTION("""COMPUTED_VALUE"""),127.15)</f>
        <v>127.15</v>
      </c>
      <c r="D30" s="6">
        <f>IFERROR(__xludf.DUMMYFUNCTION("""COMPUTED_VALUE"""),120.4)</f>
        <v>120.4</v>
      </c>
      <c r="E30" s="6">
        <f>IFERROR(__xludf.DUMMYFUNCTION("""COMPUTED_VALUE"""),121.4)</f>
        <v>121.4</v>
      </c>
      <c r="F30" s="6">
        <f>IFERROR(__xludf.DUMMYFUNCTION("""COMPUTED_VALUE"""),8.2684042E7)</f>
        <v>82684042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IFERROR(__xludf.DUMMYFUNCTION("""COMPUTED_VALUE"""),122.7)</f>
        <v>122.7</v>
      </c>
      <c r="C31" s="6">
        <f>IFERROR(__xludf.DUMMYFUNCTION("""COMPUTED_VALUE"""),137.5)</f>
        <v>137.5</v>
      </c>
      <c r="D31" s="6">
        <f>IFERROR(__xludf.DUMMYFUNCTION("""COMPUTED_VALUE"""),122.7)</f>
        <v>122.7</v>
      </c>
      <c r="E31" s="6">
        <f>IFERROR(__xludf.DUMMYFUNCTION("""COMPUTED_VALUE"""),135.4)</f>
        <v>135.4</v>
      </c>
      <c r="F31" s="6">
        <f>IFERROR(__xludf.DUMMYFUNCTION("""COMPUTED_VALUE"""),2.04420671E8)</f>
        <v>204420671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IFERROR(__xludf.DUMMYFUNCTION("""COMPUTED_VALUE"""),136.4)</f>
        <v>136.4</v>
      </c>
      <c r="C32" s="6">
        <f>IFERROR(__xludf.DUMMYFUNCTION("""COMPUTED_VALUE"""),137.1)</f>
        <v>137.1</v>
      </c>
      <c r="D32" s="6">
        <f>IFERROR(__xludf.DUMMYFUNCTION("""COMPUTED_VALUE"""),130.2)</f>
        <v>130.2</v>
      </c>
      <c r="E32" s="6">
        <f>IFERROR(__xludf.DUMMYFUNCTION("""COMPUTED_VALUE"""),130.85)</f>
        <v>130.85</v>
      </c>
      <c r="F32" s="6">
        <f>IFERROR(__xludf.DUMMYFUNCTION("""COMPUTED_VALUE"""),7.7691109E7)</f>
        <v>77691109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IFERROR(__xludf.DUMMYFUNCTION("""COMPUTED_VALUE"""),122.15)</f>
        <v>122.15</v>
      </c>
      <c r="C33" s="6">
        <f>IFERROR(__xludf.DUMMYFUNCTION("""COMPUTED_VALUE"""),130.45)</f>
        <v>130.45</v>
      </c>
      <c r="D33" s="6">
        <f>IFERROR(__xludf.DUMMYFUNCTION("""COMPUTED_VALUE"""),121.7)</f>
        <v>121.7</v>
      </c>
      <c r="E33" s="6">
        <f>IFERROR(__xludf.DUMMYFUNCTION("""COMPUTED_VALUE"""),124.2)</f>
        <v>124.2</v>
      </c>
      <c r="F33" s="6">
        <f>IFERROR(__xludf.DUMMYFUNCTION("""COMPUTED_VALUE"""),1.09490548E8)</f>
        <v>109490548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IFERROR(__xludf.DUMMYFUNCTION("""COMPUTED_VALUE"""),125.95)</f>
        <v>125.95</v>
      </c>
      <c r="C34" s="6">
        <f>IFERROR(__xludf.DUMMYFUNCTION("""COMPUTED_VALUE"""),137.4)</f>
        <v>137.4</v>
      </c>
      <c r="D34" s="6">
        <f>IFERROR(__xludf.DUMMYFUNCTION("""COMPUTED_VALUE"""),125.8)</f>
        <v>125.8</v>
      </c>
      <c r="E34" s="6">
        <f>IFERROR(__xludf.DUMMYFUNCTION("""COMPUTED_VALUE"""),134.6)</f>
        <v>134.6</v>
      </c>
      <c r="F34" s="6">
        <f>IFERROR(__xludf.DUMMYFUNCTION("""COMPUTED_VALUE"""),1.08495304E8)</f>
        <v>108495304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IFERROR(__xludf.DUMMYFUNCTION("""COMPUTED_VALUE"""),136.0)</f>
        <v>136</v>
      </c>
      <c r="C35" s="6">
        <f>IFERROR(__xludf.DUMMYFUNCTION("""COMPUTED_VALUE"""),141.3)</f>
        <v>141.3</v>
      </c>
      <c r="D35" s="6">
        <f>IFERROR(__xludf.DUMMYFUNCTION("""COMPUTED_VALUE"""),133.0)</f>
        <v>133</v>
      </c>
      <c r="E35" s="6">
        <f>IFERROR(__xludf.DUMMYFUNCTION("""COMPUTED_VALUE"""),135.15)</f>
        <v>135.15</v>
      </c>
      <c r="F35" s="6">
        <f>IFERROR(__xludf.DUMMYFUNCTION("""COMPUTED_VALUE"""),9.1398316E7)</f>
        <v>91398316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IFERROR(__xludf.DUMMYFUNCTION("""COMPUTED_VALUE"""),136.4)</f>
        <v>136.4</v>
      </c>
      <c r="C36" s="6">
        <f>IFERROR(__xludf.DUMMYFUNCTION("""COMPUTED_VALUE"""),136.9)</f>
        <v>136.9</v>
      </c>
      <c r="D36" s="6">
        <f>IFERROR(__xludf.DUMMYFUNCTION("""COMPUTED_VALUE"""),119.85)</f>
        <v>119.85</v>
      </c>
      <c r="E36" s="6">
        <f>IFERROR(__xludf.DUMMYFUNCTION("""COMPUTED_VALUE"""),125.2)</f>
        <v>125.2</v>
      </c>
      <c r="F36" s="6">
        <f>IFERROR(__xludf.DUMMYFUNCTION("""COMPUTED_VALUE"""),8.3665942E7)</f>
        <v>83665942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IFERROR(__xludf.DUMMYFUNCTION("""COMPUTED_VALUE"""),135.35)</f>
        <v>135.35</v>
      </c>
      <c r="C37" s="6">
        <f>IFERROR(__xludf.DUMMYFUNCTION("""COMPUTED_VALUE"""),153.0)</f>
        <v>153</v>
      </c>
      <c r="D37" s="6">
        <f>IFERROR(__xludf.DUMMYFUNCTION("""COMPUTED_VALUE"""),133.5)</f>
        <v>133.5</v>
      </c>
      <c r="E37" s="6">
        <f>IFERROR(__xludf.DUMMYFUNCTION("""COMPUTED_VALUE"""),144.85)</f>
        <v>144.85</v>
      </c>
      <c r="F37" s="6">
        <f>IFERROR(__xludf.DUMMYFUNCTION("""COMPUTED_VALUE"""),1.62662111E8)</f>
        <v>162662111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IFERROR(__xludf.DUMMYFUNCTION("""COMPUTED_VALUE"""),145.65)</f>
        <v>145.65</v>
      </c>
      <c r="C38" s="6">
        <f>IFERROR(__xludf.DUMMYFUNCTION("""COMPUTED_VALUE"""),147.2)</f>
        <v>147.2</v>
      </c>
      <c r="D38" s="6">
        <f>IFERROR(__xludf.DUMMYFUNCTION("""COMPUTED_VALUE"""),130.55)</f>
        <v>130.55</v>
      </c>
      <c r="E38" s="6">
        <f>IFERROR(__xludf.DUMMYFUNCTION("""COMPUTED_VALUE"""),139.7)</f>
        <v>139.7</v>
      </c>
      <c r="F38" s="6">
        <f>IFERROR(__xludf.DUMMYFUNCTION("""COMPUTED_VALUE"""),1.15220368E8)</f>
        <v>115220368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IFERROR(__xludf.DUMMYFUNCTION("""COMPUTED_VALUE"""),153.0)</f>
        <v>153</v>
      </c>
      <c r="C39" s="6">
        <f>IFERROR(__xludf.DUMMYFUNCTION("""COMPUTED_VALUE"""),153.0)</f>
        <v>153</v>
      </c>
      <c r="D39" s="6">
        <f>IFERROR(__xludf.DUMMYFUNCTION("""COMPUTED_VALUE"""),114.55)</f>
        <v>114.55</v>
      </c>
      <c r="E39" s="6">
        <f>IFERROR(__xludf.DUMMYFUNCTION("""COMPUTED_VALUE"""),133.35)</f>
        <v>133.35</v>
      </c>
      <c r="F39" s="6">
        <f>IFERROR(__xludf.DUMMYFUNCTION("""COMPUTED_VALUE"""),2.02956809E8)</f>
        <v>202956809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IFERROR(__xludf.DUMMYFUNCTION("""COMPUTED_VALUE"""),135.0)</f>
        <v>135</v>
      </c>
      <c r="C40" s="6">
        <f>IFERROR(__xludf.DUMMYFUNCTION("""COMPUTED_VALUE"""),138.85)</f>
        <v>138.85</v>
      </c>
      <c r="D40" s="6">
        <f>IFERROR(__xludf.DUMMYFUNCTION("""COMPUTED_VALUE"""),131.85)</f>
        <v>131.85</v>
      </c>
      <c r="E40" s="6">
        <f>IFERROR(__xludf.DUMMYFUNCTION("""COMPUTED_VALUE"""),135.03)</f>
        <v>135.03</v>
      </c>
      <c r="F40" s="6">
        <f>IFERROR(__xludf.DUMMYFUNCTION("""COMPUTED_VALUE"""),6.7674005E7)</f>
        <v>67674005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IFERROR(__xludf.DUMMYFUNCTION("""COMPUTED_VALUE"""),135.5)</f>
        <v>135.5</v>
      </c>
      <c r="C41" s="6">
        <f>IFERROR(__xludf.DUMMYFUNCTION("""COMPUTED_VALUE"""),136.24)</f>
        <v>136.24</v>
      </c>
      <c r="D41" s="6">
        <f>IFERROR(__xludf.DUMMYFUNCTION("""COMPUTED_VALUE"""),130.5)</f>
        <v>130.5</v>
      </c>
      <c r="E41" s="6">
        <f>IFERROR(__xludf.DUMMYFUNCTION("""COMPUTED_VALUE"""),131.94)</f>
        <v>131.94</v>
      </c>
      <c r="F41" s="6">
        <f>IFERROR(__xludf.DUMMYFUNCTION("""COMPUTED_VALUE"""),3.8403988E7)</f>
        <v>38403988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IFERROR(__xludf.DUMMYFUNCTION("""COMPUTED_VALUE"""),131.94)</f>
        <v>131.94</v>
      </c>
      <c r="C42" s="6">
        <f>IFERROR(__xludf.DUMMYFUNCTION("""COMPUTED_VALUE"""),133.41)</f>
        <v>133.41</v>
      </c>
      <c r="D42" s="6">
        <f>IFERROR(__xludf.DUMMYFUNCTION("""COMPUTED_VALUE"""),128.31)</f>
        <v>128.31</v>
      </c>
      <c r="E42" s="6">
        <f>IFERROR(__xludf.DUMMYFUNCTION("""COMPUTED_VALUE"""),131.63)</f>
        <v>131.63</v>
      </c>
      <c r="F42" s="6">
        <f>IFERROR(__xludf.DUMMYFUNCTION("""COMPUTED_VALUE"""),4.8622944E7)</f>
        <v>48622944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IFERROR(__xludf.DUMMYFUNCTION("""COMPUTED_VALUE"""),132.45)</f>
        <v>132.45</v>
      </c>
      <c r="C43" s="6">
        <f>IFERROR(__xludf.DUMMYFUNCTION("""COMPUTED_VALUE"""),144.2)</f>
        <v>144.2</v>
      </c>
      <c r="D43" s="6">
        <f>IFERROR(__xludf.DUMMYFUNCTION("""COMPUTED_VALUE"""),130.51)</f>
        <v>130.51</v>
      </c>
      <c r="E43" s="6">
        <f>IFERROR(__xludf.DUMMYFUNCTION("""COMPUTED_VALUE"""),142.17)</f>
        <v>142.17</v>
      </c>
      <c r="F43" s="6">
        <f>IFERROR(__xludf.DUMMYFUNCTION("""COMPUTED_VALUE"""),1.34803726E8)</f>
        <v>134803726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IFERROR(__xludf.DUMMYFUNCTION("""COMPUTED_VALUE"""),143.3)</f>
        <v>143.3</v>
      </c>
      <c r="C44" s="6">
        <f>IFERROR(__xludf.DUMMYFUNCTION("""COMPUTED_VALUE"""),157.0)</f>
        <v>157</v>
      </c>
      <c r="D44" s="6">
        <f>IFERROR(__xludf.DUMMYFUNCTION("""COMPUTED_VALUE"""),136.01)</f>
        <v>136.01</v>
      </c>
      <c r="E44" s="6">
        <f>IFERROR(__xludf.DUMMYFUNCTION("""COMPUTED_VALUE"""),150.69)</f>
        <v>150.69</v>
      </c>
      <c r="F44" s="6">
        <f>IFERROR(__xludf.DUMMYFUNCTION("""COMPUTED_VALUE"""),2.5079113E8)</f>
        <v>250791130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IFERROR(__xludf.DUMMYFUNCTION("""COMPUTED_VALUE"""),151.55)</f>
        <v>151.55</v>
      </c>
      <c r="C45" s="6">
        <f>IFERROR(__xludf.DUMMYFUNCTION("""COMPUTED_VALUE"""),158.0)</f>
        <v>158</v>
      </c>
      <c r="D45" s="6">
        <f>IFERROR(__xludf.DUMMYFUNCTION("""COMPUTED_VALUE"""),140.18)</f>
        <v>140.18</v>
      </c>
      <c r="E45" s="6">
        <f>IFERROR(__xludf.DUMMYFUNCTION("""COMPUTED_VALUE"""),140.9)</f>
        <v>140.9</v>
      </c>
      <c r="F45" s="6">
        <f>IFERROR(__xludf.DUMMYFUNCTION("""COMPUTED_VALUE"""),1.32487957E8)</f>
        <v>132487957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IFERROR(__xludf.DUMMYFUNCTION("""COMPUTED_VALUE"""),139.98)</f>
        <v>139.98</v>
      </c>
      <c r="C46" s="6">
        <f>IFERROR(__xludf.DUMMYFUNCTION("""COMPUTED_VALUE"""),159.65)</f>
        <v>159.65</v>
      </c>
      <c r="D46" s="6">
        <f>IFERROR(__xludf.DUMMYFUNCTION("""COMPUTED_VALUE"""),130.1)</f>
        <v>130.1</v>
      </c>
      <c r="E46" s="6">
        <f>IFERROR(__xludf.DUMMYFUNCTION("""COMPUTED_VALUE"""),148.11)</f>
        <v>148.11</v>
      </c>
      <c r="F46" s="6">
        <f>IFERROR(__xludf.DUMMYFUNCTION("""COMPUTED_VALUE"""),1.76650499E8)</f>
        <v>176650499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IFERROR(__xludf.DUMMYFUNCTION("""COMPUTED_VALUE"""),149.4)</f>
        <v>149.4</v>
      </c>
      <c r="C47" s="6">
        <f>IFERROR(__xludf.DUMMYFUNCTION("""COMPUTED_VALUE"""),153.7)</f>
        <v>153.7</v>
      </c>
      <c r="D47" s="6">
        <f>IFERROR(__xludf.DUMMYFUNCTION("""COMPUTED_VALUE"""),142.26)</f>
        <v>142.26</v>
      </c>
      <c r="E47" s="6">
        <f>IFERROR(__xludf.DUMMYFUNCTION("""COMPUTED_VALUE"""),143.81)</f>
        <v>143.81</v>
      </c>
      <c r="F47" s="6">
        <f>IFERROR(__xludf.DUMMYFUNCTION("""COMPUTED_VALUE"""),8.4379653E7)</f>
        <v>84379653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IFERROR(__xludf.DUMMYFUNCTION("""COMPUTED_VALUE"""),140.0)</f>
        <v>140</v>
      </c>
      <c r="C48" s="6">
        <f>IFERROR(__xludf.DUMMYFUNCTION("""COMPUTED_VALUE"""),143.77)</f>
        <v>143.77</v>
      </c>
      <c r="D48" s="6">
        <f>IFERROR(__xludf.DUMMYFUNCTION("""COMPUTED_VALUE"""),135.0)</f>
        <v>135</v>
      </c>
      <c r="E48" s="6">
        <f>IFERROR(__xludf.DUMMYFUNCTION("""COMPUTED_VALUE"""),139.32)</f>
        <v>139.32</v>
      </c>
      <c r="F48" s="6">
        <f>IFERROR(__xludf.DUMMYFUNCTION("""COMPUTED_VALUE"""),6.5710387E7)</f>
        <v>65710387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IFERROR(__xludf.DUMMYFUNCTION("""COMPUTED_VALUE"""),138.0)</f>
        <v>138</v>
      </c>
      <c r="C49" s="6">
        <f>IFERROR(__xludf.DUMMYFUNCTION("""COMPUTED_VALUE"""),148.84)</f>
        <v>148.84</v>
      </c>
      <c r="D49" s="6">
        <f>IFERROR(__xludf.DUMMYFUNCTION("""COMPUTED_VALUE"""),135.66)</f>
        <v>135.66</v>
      </c>
      <c r="E49" s="6">
        <f>IFERROR(__xludf.DUMMYFUNCTION("""COMPUTED_VALUE"""),142.96)</f>
        <v>142.96</v>
      </c>
      <c r="F49" s="6">
        <f>IFERROR(__xludf.DUMMYFUNCTION("""COMPUTED_VALUE"""),1.10047775E8)</f>
        <v>110047775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IFERROR(__xludf.DUMMYFUNCTION("""COMPUTED_VALUE"""),143.75)</f>
        <v>143.75</v>
      </c>
      <c r="C50" s="6">
        <f>IFERROR(__xludf.DUMMYFUNCTION("""COMPUTED_VALUE"""),143.75)</f>
        <v>143.75</v>
      </c>
      <c r="D50" s="6">
        <f>IFERROR(__xludf.DUMMYFUNCTION("""COMPUTED_VALUE"""),131.9)</f>
        <v>131.9</v>
      </c>
      <c r="E50" s="6">
        <f>IFERROR(__xludf.DUMMYFUNCTION("""COMPUTED_VALUE"""),133.71)</f>
        <v>133.71</v>
      </c>
      <c r="F50" s="6">
        <f>IFERROR(__xludf.DUMMYFUNCTION("""COMPUTED_VALUE"""),6.6378363E7)</f>
        <v>66378363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IFERROR(__xludf.DUMMYFUNCTION("""COMPUTED_VALUE"""),134.4)</f>
        <v>134.4</v>
      </c>
      <c r="C51" s="6">
        <f>IFERROR(__xludf.DUMMYFUNCTION("""COMPUTED_VALUE"""),136.5)</f>
        <v>136.5</v>
      </c>
      <c r="D51" s="6">
        <f>IFERROR(__xludf.DUMMYFUNCTION("""COMPUTED_VALUE"""),132.0)</f>
        <v>132</v>
      </c>
      <c r="E51" s="6">
        <f>IFERROR(__xludf.DUMMYFUNCTION("""COMPUTED_VALUE"""),133.35)</f>
        <v>133.35</v>
      </c>
      <c r="F51" s="6">
        <f>IFERROR(__xludf.DUMMYFUNCTION("""COMPUTED_VALUE"""),4.5788412E7)</f>
        <v>45788412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IFERROR(__xludf.DUMMYFUNCTION("""COMPUTED_VALUE"""),140.0)</f>
        <v>140</v>
      </c>
      <c r="C52" s="6">
        <f>IFERROR(__xludf.DUMMYFUNCTION("""COMPUTED_VALUE"""),140.0)</f>
        <v>140</v>
      </c>
      <c r="D52" s="6">
        <f>IFERROR(__xludf.DUMMYFUNCTION("""COMPUTED_VALUE"""),129.8)</f>
        <v>129.8</v>
      </c>
      <c r="E52" s="6">
        <f>IFERROR(__xludf.DUMMYFUNCTION("""COMPUTED_VALUE"""),130.51)</f>
        <v>130.51</v>
      </c>
      <c r="F52" s="6">
        <f>IFERROR(__xludf.DUMMYFUNCTION("""COMPUTED_VALUE"""),5.0243329E7)</f>
        <v>50243329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IFERROR(__xludf.DUMMYFUNCTION("""COMPUTED_VALUE"""),130.1)</f>
        <v>130.1</v>
      </c>
      <c r="C53" s="6">
        <f>IFERROR(__xludf.DUMMYFUNCTION("""COMPUTED_VALUE"""),134.44)</f>
        <v>134.44</v>
      </c>
      <c r="D53" s="6">
        <f>IFERROR(__xludf.DUMMYFUNCTION("""COMPUTED_VALUE"""),124.76)</f>
        <v>124.76</v>
      </c>
      <c r="E53" s="6">
        <f>IFERROR(__xludf.DUMMYFUNCTION("""COMPUTED_VALUE"""),130.57)</f>
        <v>130.57</v>
      </c>
      <c r="F53" s="6">
        <f>IFERROR(__xludf.DUMMYFUNCTION("""COMPUTED_VALUE"""),5.7120422E7)</f>
        <v>57120422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IFERROR(__xludf.DUMMYFUNCTION("""COMPUTED_VALUE"""),130.8)</f>
        <v>130.8</v>
      </c>
      <c r="C54" s="6">
        <f>IFERROR(__xludf.DUMMYFUNCTION("""COMPUTED_VALUE"""),132.3)</f>
        <v>132.3</v>
      </c>
      <c r="D54" s="6">
        <f>IFERROR(__xludf.DUMMYFUNCTION("""COMPUTED_VALUE"""),125.51)</f>
        <v>125.51</v>
      </c>
      <c r="E54" s="6">
        <f>IFERROR(__xludf.DUMMYFUNCTION("""COMPUTED_VALUE"""),130.3)</f>
        <v>130.3</v>
      </c>
      <c r="F54" s="6">
        <f>IFERROR(__xludf.DUMMYFUNCTION("""COMPUTED_VALUE"""),3.2891735E7)</f>
        <v>32891735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IFERROR(__xludf.DUMMYFUNCTION("""COMPUTED_VALUE"""),130.65)</f>
        <v>130.65</v>
      </c>
      <c r="C55" s="6">
        <f>IFERROR(__xludf.DUMMYFUNCTION("""COMPUTED_VALUE"""),134.89)</f>
        <v>134.89</v>
      </c>
      <c r="D55" s="6">
        <f>IFERROR(__xludf.DUMMYFUNCTION("""COMPUTED_VALUE"""),125.8)</f>
        <v>125.8</v>
      </c>
      <c r="E55" s="6">
        <f>IFERROR(__xludf.DUMMYFUNCTION("""COMPUTED_VALUE"""),133.84)</f>
        <v>133.84</v>
      </c>
      <c r="F55" s="6">
        <f>IFERROR(__xludf.DUMMYFUNCTION("""COMPUTED_VALUE"""),5.9604099E7)</f>
        <v>59604099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IFERROR(__xludf.DUMMYFUNCTION("""COMPUTED_VALUE"""),132.99)</f>
        <v>132.99</v>
      </c>
      <c r="C56" s="6">
        <f>IFERROR(__xludf.DUMMYFUNCTION("""COMPUTED_VALUE"""),135.0)</f>
        <v>135</v>
      </c>
      <c r="D56" s="6">
        <f>IFERROR(__xludf.DUMMYFUNCTION("""COMPUTED_VALUE"""),124.1)</f>
        <v>124.1</v>
      </c>
      <c r="E56" s="6">
        <f>IFERROR(__xludf.DUMMYFUNCTION("""COMPUTED_VALUE"""),126.67)</f>
        <v>126.67</v>
      </c>
      <c r="F56" s="6">
        <f>IFERROR(__xludf.DUMMYFUNCTION("""COMPUTED_VALUE"""),3.6234299E7)</f>
        <v>36234299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IFERROR(__xludf.DUMMYFUNCTION("""COMPUTED_VALUE"""),126.71)</f>
        <v>126.71</v>
      </c>
      <c r="C57" s="6">
        <f>IFERROR(__xludf.DUMMYFUNCTION("""COMPUTED_VALUE"""),127.5)</f>
        <v>127.5</v>
      </c>
      <c r="D57" s="6">
        <f>IFERROR(__xludf.DUMMYFUNCTION("""COMPUTED_VALUE"""),116.37)</f>
        <v>116.37</v>
      </c>
      <c r="E57" s="6">
        <f>IFERROR(__xludf.DUMMYFUNCTION("""COMPUTED_VALUE"""),120.19)</f>
        <v>120.19</v>
      </c>
      <c r="F57" s="6">
        <f>IFERROR(__xludf.DUMMYFUNCTION("""COMPUTED_VALUE"""),4.052107E7)</f>
        <v>40521070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IFERROR(__xludf.DUMMYFUNCTION("""COMPUTED_VALUE"""),120.71)</f>
        <v>120.71</v>
      </c>
      <c r="C58" s="6">
        <f>IFERROR(__xludf.DUMMYFUNCTION("""COMPUTED_VALUE"""),123.86)</f>
        <v>123.86</v>
      </c>
      <c r="D58" s="6">
        <f>IFERROR(__xludf.DUMMYFUNCTION("""COMPUTED_VALUE"""),115.52)</f>
        <v>115.52</v>
      </c>
      <c r="E58" s="6">
        <f>IFERROR(__xludf.DUMMYFUNCTION("""COMPUTED_VALUE"""),122.26)</f>
        <v>122.26</v>
      </c>
      <c r="F58" s="6">
        <f>IFERROR(__xludf.DUMMYFUNCTION("""COMPUTED_VALUE"""),3.240893E7)</f>
        <v>32408930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IFERROR(__xludf.DUMMYFUNCTION("""COMPUTED_VALUE"""),122.98)</f>
        <v>122.98</v>
      </c>
      <c r="C59" s="6">
        <f>IFERROR(__xludf.DUMMYFUNCTION("""COMPUTED_VALUE"""),122.98)</f>
        <v>122.98</v>
      </c>
      <c r="D59" s="6">
        <f>IFERROR(__xludf.DUMMYFUNCTION("""COMPUTED_VALUE"""),106.2)</f>
        <v>106.2</v>
      </c>
      <c r="E59" s="6">
        <f>IFERROR(__xludf.DUMMYFUNCTION("""COMPUTED_VALUE"""),107.28)</f>
        <v>107.28</v>
      </c>
      <c r="F59" s="6">
        <f>IFERROR(__xludf.DUMMYFUNCTION("""COMPUTED_VALUE"""),3.6986332E7)</f>
        <v>36986332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IFERROR(__xludf.DUMMYFUNCTION("""COMPUTED_VALUE"""),114.99)</f>
        <v>114.99</v>
      </c>
      <c r="C60" s="6">
        <f>IFERROR(__xludf.DUMMYFUNCTION("""COMPUTED_VALUE"""),117.4)</f>
        <v>117.4</v>
      </c>
      <c r="D60" s="6">
        <f>IFERROR(__xludf.DUMMYFUNCTION("""COMPUTED_VALUE"""),109.15)</f>
        <v>109.15</v>
      </c>
      <c r="E60" s="6">
        <f>IFERROR(__xludf.DUMMYFUNCTION("""COMPUTED_VALUE"""),111.46)</f>
        <v>111.46</v>
      </c>
      <c r="F60" s="6">
        <f>IFERROR(__xludf.DUMMYFUNCTION("""COMPUTED_VALUE"""),3.170315E7)</f>
        <v>31703150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IFERROR(__xludf.DUMMYFUNCTION("""COMPUTED_VALUE"""),110.02)</f>
        <v>110.02</v>
      </c>
      <c r="C61" s="6">
        <f>IFERROR(__xludf.DUMMYFUNCTION("""COMPUTED_VALUE"""),111.77)</f>
        <v>111.77</v>
      </c>
      <c r="D61" s="6">
        <f>IFERROR(__xludf.DUMMYFUNCTION("""COMPUTED_VALUE"""),103.36)</f>
        <v>103.36</v>
      </c>
      <c r="E61" s="6">
        <f>IFERROR(__xludf.DUMMYFUNCTION("""COMPUTED_VALUE"""),103.77)</f>
        <v>103.77</v>
      </c>
      <c r="F61" s="6">
        <f>IFERROR(__xludf.DUMMYFUNCTION("""COMPUTED_VALUE"""),2.0448078E7)</f>
        <v>20448078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IFERROR(__xludf.DUMMYFUNCTION("""COMPUTED_VALUE"""),104.0)</f>
        <v>104</v>
      </c>
      <c r="C62" s="6">
        <f>IFERROR(__xludf.DUMMYFUNCTION("""COMPUTED_VALUE"""),110.3)</f>
        <v>110.3</v>
      </c>
      <c r="D62" s="6">
        <f>IFERROR(__xludf.DUMMYFUNCTION("""COMPUTED_VALUE"""),101.7)</f>
        <v>101.7</v>
      </c>
      <c r="E62" s="6">
        <f>IFERROR(__xludf.DUMMYFUNCTION("""COMPUTED_VALUE"""),107.57)</f>
        <v>107.57</v>
      </c>
      <c r="F62" s="6">
        <f>IFERROR(__xludf.DUMMYFUNCTION("""COMPUTED_VALUE"""),4.3343378E7)</f>
        <v>43343378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IFERROR(__xludf.DUMMYFUNCTION("""COMPUTED_VALUE"""),109.85)</f>
        <v>109.85</v>
      </c>
      <c r="C63" s="6">
        <f>IFERROR(__xludf.DUMMYFUNCTION("""COMPUTED_VALUE"""),119.7)</f>
        <v>119.7</v>
      </c>
      <c r="D63" s="6">
        <f>IFERROR(__xludf.DUMMYFUNCTION("""COMPUTED_VALUE"""),109.75)</f>
        <v>109.75</v>
      </c>
      <c r="E63" s="6">
        <f>IFERROR(__xludf.DUMMYFUNCTION("""COMPUTED_VALUE"""),114.89)</f>
        <v>114.89</v>
      </c>
      <c r="F63" s="6">
        <f>IFERROR(__xludf.DUMMYFUNCTION("""COMPUTED_VALUE"""),3.7249132E7)</f>
        <v>37249132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IFERROR(__xludf.DUMMYFUNCTION("""COMPUTED_VALUE"""),114.5)</f>
        <v>114.5</v>
      </c>
      <c r="C64" s="6">
        <f>IFERROR(__xludf.DUMMYFUNCTION("""COMPUTED_VALUE"""),122.8)</f>
        <v>122.8</v>
      </c>
      <c r="D64" s="6">
        <f>IFERROR(__xludf.DUMMYFUNCTION("""COMPUTED_VALUE"""),113.61)</f>
        <v>113.61</v>
      </c>
      <c r="E64" s="6">
        <f>IFERROR(__xludf.DUMMYFUNCTION("""COMPUTED_VALUE"""),120.61)</f>
        <v>120.61</v>
      </c>
      <c r="F64" s="6">
        <f>IFERROR(__xludf.DUMMYFUNCTION("""COMPUTED_VALUE"""),4.0223735E7)</f>
        <v>40223735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IFERROR(__xludf.DUMMYFUNCTION("""COMPUTED_VALUE"""),121.15)</f>
        <v>121.15</v>
      </c>
      <c r="C65" s="6">
        <f>IFERROR(__xludf.DUMMYFUNCTION("""COMPUTED_VALUE"""),124.5)</f>
        <v>124.5</v>
      </c>
      <c r="D65" s="6">
        <f>IFERROR(__xludf.DUMMYFUNCTION("""COMPUTED_VALUE"""),115.0)</f>
        <v>115</v>
      </c>
      <c r="E65" s="6">
        <f>IFERROR(__xludf.DUMMYFUNCTION("""COMPUTED_VALUE"""),118.06)</f>
        <v>118.06</v>
      </c>
      <c r="F65" s="6">
        <f>IFERROR(__xludf.DUMMYFUNCTION("""COMPUTED_VALUE"""),3.3246083E7)</f>
        <v>33246083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IFERROR(__xludf.DUMMYFUNCTION("""COMPUTED_VALUE"""),118.06)</f>
        <v>118.06</v>
      </c>
      <c r="C66" s="6">
        <f>IFERROR(__xludf.DUMMYFUNCTION("""COMPUTED_VALUE"""),119.95)</f>
        <v>119.95</v>
      </c>
      <c r="D66" s="6">
        <f>IFERROR(__xludf.DUMMYFUNCTION("""COMPUTED_VALUE"""),111.0)</f>
        <v>111</v>
      </c>
      <c r="E66" s="6">
        <f>IFERROR(__xludf.DUMMYFUNCTION("""COMPUTED_VALUE"""),111.54)</f>
        <v>111.54</v>
      </c>
      <c r="F66" s="6">
        <f>IFERROR(__xludf.DUMMYFUNCTION("""COMPUTED_VALUE"""),2.4828209E7)</f>
        <v>24828209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IFERROR(__xludf.DUMMYFUNCTION("""COMPUTED_VALUE"""),112.29)</f>
        <v>112.29</v>
      </c>
      <c r="C67" s="6">
        <f>IFERROR(__xludf.DUMMYFUNCTION("""COMPUTED_VALUE"""),112.72)</f>
        <v>112.72</v>
      </c>
      <c r="D67" s="6">
        <f>IFERROR(__xludf.DUMMYFUNCTION("""COMPUTED_VALUE"""),107.0)</f>
        <v>107</v>
      </c>
      <c r="E67" s="6">
        <f>IFERROR(__xludf.DUMMYFUNCTION("""COMPUTED_VALUE"""),107.46)</f>
        <v>107.46</v>
      </c>
      <c r="F67" s="6">
        <f>IFERROR(__xludf.DUMMYFUNCTION("""COMPUTED_VALUE"""),1.5528341E7)</f>
        <v>15528341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IFERROR(__xludf.DUMMYFUNCTION("""COMPUTED_VALUE"""),107.5)</f>
        <v>107.5</v>
      </c>
      <c r="C68" s="6">
        <f>IFERROR(__xludf.DUMMYFUNCTION("""COMPUTED_VALUE"""),112.5)</f>
        <v>112.5</v>
      </c>
      <c r="D68" s="6">
        <f>IFERROR(__xludf.DUMMYFUNCTION("""COMPUTED_VALUE"""),102.71)</f>
        <v>102.71</v>
      </c>
      <c r="E68" s="6">
        <f>IFERROR(__xludf.DUMMYFUNCTION("""COMPUTED_VALUE"""),109.09)</f>
        <v>109.09</v>
      </c>
      <c r="F68" s="6">
        <f>IFERROR(__xludf.DUMMYFUNCTION("""COMPUTED_VALUE"""),1.10277974E8)</f>
        <v>110277974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IFERROR(__xludf.DUMMYFUNCTION("""COMPUTED_VALUE"""),109.45)</f>
        <v>109.45</v>
      </c>
      <c r="C69" s="6">
        <f>IFERROR(__xludf.DUMMYFUNCTION("""COMPUTED_VALUE"""),109.55)</f>
        <v>109.55</v>
      </c>
      <c r="D69" s="6">
        <f>IFERROR(__xludf.DUMMYFUNCTION("""COMPUTED_VALUE"""),96.6)</f>
        <v>96.6</v>
      </c>
      <c r="E69" s="6">
        <f>IFERROR(__xludf.DUMMYFUNCTION("""COMPUTED_VALUE"""),96.92)</f>
        <v>96.92</v>
      </c>
      <c r="F69" s="6">
        <f>IFERROR(__xludf.DUMMYFUNCTION("""COMPUTED_VALUE"""),3.9104115E7)</f>
        <v>39104115</v>
      </c>
    </row>
    <row r="70">
      <c r="A70" s="7">
        <f>IFERROR(__xludf.DUMMYFUNCTION("""COMPUTED_VALUE"""),45674.64583333333)</f>
        <v>45674.64583</v>
      </c>
      <c r="B70" s="6">
        <f>IFERROR(__xludf.DUMMYFUNCTION("""COMPUTED_VALUE"""),94.96)</f>
        <v>94.96</v>
      </c>
      <c r="C70" s="6">
        <f>IFERROR(__xludf.DUMMYFUNCTION("""COMPUTED_VALUE"""),101.06)</f>
        <v>101.06</v>
      </c>
      <c r="D70" s="6">
        <f>IFERROR(__xludf.DUMMYFUNCTION("""COMPUTED_VALUE"""),90.16)</f>
        <v>90.16</v>
      </c>
      <c r="E70" s="6">
        <f>IFERROR(__xludf.DUMMYFUNCTION("""COMPUTED_VALUE"""),100.76)</f>
        <v>100.76</v>
      </c>
      <c r="F70" s="6">
        <f>IFERROR(__xludf.DUMMYFUNCTION("""COMPUTED_VALUE"""),4.6953198E7)</f>
        <v>46953198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IFERROR(__xludf.DUMMYFUNCTION("""COMPUTED_VALUE"""),100.2)</f>
        <v>100.2</v>
      </c>
      <c r="C71" s="6">
        <f>IFERROR(__xludf.DUMMYFUNCTION("""COMPUTED_VALUE"""),102.37)</f>
        <v>102.37</v>
      </c>
      <c r="D71" s="6">
        <f>IFERROR(__xludf.DUMMYFUNCTION("""COMPUTED_VALUE"""),94.0)</f>
        <v>94</v>
      </c>
      <c r="E71" s="6">
        <f>IFERROR(__xludf.DUMMYFUNCTION("""COMPUTED_VALUE"""),95.46)</f>
        <v>95.46</v>
      </c>
      <c r="F71" s="6">
        <f>IFERROR(__xludf.DUMMYFUNCTION("""COMPUTED_VALUE"""),3.2026065E7)</f>
        <v>32026065</v>
      </c>
    </row>
    <row r="72">
      <c r="A72" s="7">
        <f>IFERROR(__xludf.DUMMYFUNCTION("""COMPUTED_VALUE"""),45695.64583333333)</f>
        <v>45695.64583</v>
      </c>
      <c r="B72" s="6">
        <f>IFERROR(__xludf.DUMMYFUNCTION("""COMPUTED_VALUE"""),95.0)</f>
        <v>95</v>
      </c>
      <c r="C72" s="6">
        <f>IFERROR(__xludf.DUMMYFUNCTION("""COMPUTED_VALUE"""),98.47)</f>
        <v>98.47</v>
      </c>
      <c r="D72" s="6">
        <f>IFERROR(__xludf.DUMMYFUNCTION("""COMPUTED_VALUE"""),92.55)</f>
        <v>92.55</v>
      </c>
      <c r="E72" s="6">
        <f>IFERROR(__xludf.DUMMYFUNCTION("""COMPUTED_VALUE"""),95.39)</f>
        <v>95.39</v>
      </c>
      <c r="F72" s="6">
        <f>IFERROR(__xludf.DUMMYFUNCTION("""COMPUTED_VALUE"""),3.2807608E7)</f>
        <v>32807608</v>
      </c>
    </row>
    <row r="73">
      <c r="A73" s="7">
        <f>IFERROR(__xludf.DUMMYFUNCTION("""COMPUTED_VALUE"""),45702.64583333333)</f>
        <v>45702.64583</v>
      </c>
      <c r="B73" s="6">
        <f>IFERROR(__xludf.DUMMYFUNCTION("""COMPUTED_VALUE"""),95.8)</f>
        <v>95.8</v>
      </c>
      <c r="C73" s="6">
        <f>IFERROR(__xludf.DUMMYFUNCTION("""COMPUTED_VALUE"""),96.37)</f>
        <v>96.37</v>
      </c>
      <c r="D73" s="6">
        <f>IFERROR(__xludf.DUMMYFUNCTION("""COMPUTED_VALUE"""),86.25)</f>
        <v>86.25</v>
      </c>
      <c r="E73" s="6">
        <f>IFERROR(__xludf.DUMMYFUNCTION("""COMPUTED_VALUE"""),89.75)</f>
        <v>89.75</v>
      </c>
      <c r="F73" s="6">
        <f>IFERROR(__xludf.DUMMYFUNCTION("""COMPUTED_VALUE"""),3.8057501E7)</f>
        <v>38057501</v>
      </c>
    </row>
    <row r="74">
      <c r="A74" s="7">
        <f>IFERROR(__xludf.DUMMYFUNCTION("""COMPUTED_VALUE"""),45709.64583333333)</f>
        <v>45709.64583</v>
      </c>
      <c r="B74" s="6">
        <f>IFERROR(__xludf.DUMMYFUNCTION("""COMPUTED_VALUE"""),89.0)</f>
        <v>89</v>
      </c>
      <c r="C74" s="6">
        <f>IFERROR(__xludf.DUMMYFUNCTION("""COMPUTED_VALUE"""),95.75)</f>
        <v>95.75</v>
      </c>
      <c r="D74" s="6">
        <f>IFERROR(__xludf.DUMMYFUNCTION("""COMPUTED_VALUE"""),86.6)</f>
        <v>86.6</v>
      </c>
      <c r="E74" s="6">
        <f>IFERROR(__xludf.DUMMYFUNCTION("""COMPUTED_VALUE"""),92.99)</f>
        <v>92.99</v>
      </c>
      <c r="F74" s="6">
        <f>IFERROR(__xludf.DUMMYFUNCTION("""COMPUTED_VALUE"""),4.2114125E7)</f>
        <v>42114125</v>
      </c>
    </row>
    <row r="75">
      <c r="A75" s="7">
        <f>IFERROR(__xludf.DUMMYFUNCTION("""COMPUTED_VALUE"""),45716.64583333333)</f>
        <v>45716.64583</v>
      </c>
      <c r="B75" s="6">
        <f>IFERROR(__xludf.DUMMYFUNCTION("""COMPUTED_VALUE"""),91.5)</f>
        <v>91.5</v>
      </c>
      <c r="C75" s="6">
        <f>IFERROR(__xludf.DUMMYFUNCTION("""COMPUTED_VALUE"""),91.8)</f>
        <v>91.8</v>
      </c>
      <c r="D75" s="6">
        <f>IFERROR(__xludf.DUMMYFUNCTION("""COMPUTED_VALUE"""),82.8)</f>
        <v>82.8</v>
      </c>
      <c r="E75" s="6">
        <f>IFERROR(__xludf.DUMMYFUNCTION("""COMPUTED_VALUE"""),84.11)</f>
        <v>84.11</v>
      </c>
      <c r="F75" s="6">
        <f>IFERROR(__xludf.DUMMYFUNCTION("""COMPUTED_VALUE"""),2.5636937E7)</f>
        <v>25636937</v>
      </c>
    </row>
    <row r="76">
      <c r="A76" s="7">
        <f>IFERROR(__xludf.DUMMYFUNCTION("""COMPUTED_VALUE"""),45723.64583333333)</f>
        <v>45723.64583</v>
      </c>
      <c r="B76" s="6">
        <f>IFERROR(__xludf.DUMMYFUNCTION("""COMPUTED_VALUE"""),84.5)</f>
        <v>84.5</v>
      </c>
      <c r="C76" s="6">
        <f>IFERROR(__xludf.DUMMYFUNCTION("""COMPUTED_VALUE"""),89.4)</f>
        <v>89.4</v>
      </c>
      <c r="D76" s="6">
        <f>IFERROR(__xludf.DUMMYFUNCTION("""COMPUTED_VALUE"""),80.54)</f>
        <v>80.54</v>
      </c>
      <c r="E76" s="6">
        <f>IFERROR(__xludf.DUMMYFUNCTION("""COMPUTED_VALUE"""),87.76)</f>
        <v>87.76</v>
      </c>
      <c r="F76" s="6">
        <f>IFERROR(__xludf.DUMMYFUNCTION("""COMPUTED_VALUE"""),3.6649441E7)</f>
        <v>36649441</v>
      </c>
    </row>
    <row r="77">
      <c r="A77" s="7">
        <f>IFERROR(__xludf.DUMMYFUNCTION("""COMPUTED_VALUE"""),45729.64583333333)</f>
        <v>45729.64583</v>
      </c>
      <c r="B77" s="6">
        <f>IFERROR(__xludf.DUMMYFUNCTION("""COMPUTED_VALUE"""),87.77)</f>
        <v>87.77</v>
      </c>
      <c r="C77" s="6">
        <f>IFERROR(__xludf.DUMMYFUNCTION("""COMPUTED_VALUE"""),88.93)</f>
        <v>88.93</v>
      </c>
      <c r="D77" s="6">
        <f>IFERROR(__xludf.DUMMYFUNCTION("""COMPUTED_VALUE"""),84.43)</f>
        <v>84.43</v>
      </c>
      <c r="E77" s="6">
        <f>IFERROR(__xludf.DUMMYFUNCTION("""COMPUTED_VALUE"""),85.42)</f>
        <v>85.42</v>
      </c>
      <c r="F77" s="6">
        <f>IFERROR(__xludf.DUMMYFUNCTION("""COMPUTED_VALUE"""),2.115162E7)</f>
        <v>21151620</v>
      </c>
    </row>
    <row r="78">
      <c r="A78" s="7">
        <f>IFERROR(__xludf.DUMMYFUNCTION("""COMPUTED_VALUE"""),45737.64583333333)</f>
        <v>45737.64583</v>
      </c>
      <c r="B78" s="6">
        <f>IFERROR(__xludf.DUMMYFUNCTION("""COMPUTED_VALUE"""),85.51)</f>
        <v>85.51</v>
      </c>
      <c r="C78" s="6">
        <f>IFERROR(__xludf.DUMMYFUNCTION("""COMPUTED_VALUE"""),96.85)</f>
        <v>96.85</v>
      </c>
      <c r="D78" s="6">
        <f>IFERROR(__xludf.DUMMYFUNCTION("""COMPUTED_VALUE"""),0.0)</f>
        <v>0</v>
      </c>
      <c r="E78" s="6">
        <f>IFERROR(__xludf.DUMMYFUNCTION("""COMPUTED_VALUE"""),95.23)</f>
        <v>95.23</v>
      </c>
      <c r="F78" s="6">
        <f>IFERROR(__xludf.DUMMYFUNCTION("""COMPUTED_VALUE"""),4.1461095E7)</f>
        <v>41461095</v>
      </c>
    </row>
    <row r="79">
      <c r="A79" s="7">
        <f>IFERROR(__xludf.DUMMYFUNCTION("""COMPUTED_VALUE"""),45744.64583333333)</f>
        <v>45744.64583</v>
      </c>
      <c r="B79" s="6">
        <f>IFERROR(__xludf.DUMMYFUNCTION("""COMPUTED_VALUE"""),96.0)</f>
        <v>96</v>
      </c>
      <c r="C79" s="6">
        <f>IFERROR(__xludf.DUMMYFUNCTION("""COMPUTED_VALUE"""),97.85)</f>
        <v>97.85</v>
      </c>
      <c r="D79" s="6">
        <f>IFERROR(__xludf.DUMMYFUNCTION("""COMPUTED_VALUE"""),90.8)</f>
        <v>90.8</v>
      </c>
      <c r="E79" s="6">
        <f>IFERROR(__xludf.DUMMYFUNCTION("""COMPUTED_VALUE"""),91.59)</f>
        <v>91.59</v>
      </c>
      <c r="F79" s="6">
        <f>IFERROR(__xludf.DUMMYFUNCTION("""COMPUTED_VALUE"""),4.6736027E7)</f>
        <v>46736027</v>
      </c>
    </row>
    <row r="80">
      <c r="A80" s="7">
        <f>IFERROR(__xludf.DUMMYFUNCTION("""COMPUTED_VALUE"""),45751.64583333333)</f>
        <v>45751.64583</v>
      </c>
      <c r="B80" s="6">
        <f>IFERROR(__xludf.DUMMYFUNCTION("""COMPUTED_VALUE"""),91.5)</f>
        <v>91.5</v>
      </c>
      <c r="C80" s="6">
        <f>IFERROR(__xludf.DUMMYFUNCTION("""COMPUTED_VALUE"""),96.12)</f>
        <v>96.12</v>
      </c>
      <c r="D80" s="6">
        <f>IFERROR(__xludf.DUMMYFUNCTION("""COMPUTED_VALUE"""),89.7)</f>
        <v>89.7</v>
      </c>
      <c r="E80" s="6">
        <f>IFERROR(__xludf.DUMMYFUNCTION("""COMPUTED_VALUE"""),92.42)</f>
        <v>92.42</v>
      </c>
      <c r="F80" s="6">
        <f>IFERROR(__xludf.DUMMYFUNCTION("""COMPUTED_VALUE"""),2.73641E7)</f>
        <v>27364100</v>
      </c>
    </row>
    <row r="81">
      <c r="A81" s="7">
        <f>IFERROR(__xludf.DUMMYFUNCTION("""COMPUTED_VALUE"""),45758.64583333333)</f>
        <v>45758.64583</v>
      </c>
      <c r="B81" s="6">
        <f>IFERROR(__xludf.DUMMYFUNCTION("""COMPUTED_VALUE"""),83.17)</f>
        <v>83.17</v>
      </c>
      <c r="C81" s="6">
        <f>IFERROR(__xludf.DUMMYFUNCTION("""COMPUTED_VALUE"""),92.5)</f>
        <v>92.5</v>
      </c>
      <c r="D81" s="6">
        <f>IFERROR(__xludf.DUMMYFUNCTION("""COMPUTED_VALUE"""),83.17)</f>
        <v>83.17</v>
      </c>
      <c r="E81" s="6">
        <f>IFERROR(__xludf.DUMMYFUNCTION("""COMPUTED_VALUE"""),91.43)</f>
        <v>91.43</v>
      </c>
      <c r="F81" s="6">
        <f>IFERROR(__xludf.DUMMYFUNCTION("""COMPUTED_VALUE"""),1.5979801E7)</f>
        <v>15979801</v>
      </c>
    </row>
    <row r="82">
      <c r="A82" s="7">
        <f>IFERROR(__xludf.DUMMYFUNCTION("""COMPUTED_VALUE"""),45764.64583333333)</f>
        <v>45764.64583</v>
      </c>
      <c r="B82" s="6">
        <f>IFERROR(__xludf.DUMMYFUNCTION("""COMPUTED_VALUE"""),92.52)</f>
        <v>92.52</v>
      </c>
      <c r="C82" s="6">
        <f>IFERROR(__xludf.DUMMYFUNCTION("""COMPUTED_VALUE"""),95.69)</f>
        <v>95.69</v>
      </c>
      <c r="D82" s="6">
        <f>IFERROR(__xludf.DUMMYFUNCTION("""COMPUTED_VALUE"""),92.34)</f>
        <v>92.34</v>
      </c>
      <c r="E82" s="6">
        <f>IFERROR(__xludf.DUMMYFUNCTION("""COMPUTED_VALUE"""),94.18)</f>
        <v>94.18</v>
      </c>
      <c r="F82" s="6">
        <f>IFERROR(__xludf.DUMMYFUNCTION("""COMPUTED_VALUE"""),1.5654175E7)</f>
        <v>15654175</v>
      </c>
    </row>
    <row r="83">
      <c r="A83" s="7">
        <f>IFERROR(__xludf.DUMMYFUNCTION("""COMPUTED_VALUE"""),45772.64583333333)</f>
        <v>45772.64583</v>
      </c>
      <c r="B83" s="6">
        <f>IFERROR(__xludf.DUMMYFUNCTION("""COMPUTED_VALUE"""),94.65)</f>
        <v>94.65</v>
      </c>
      <c r="C83" s="6">
        <f>IFERROR(__xludf.DUMMYFUNCTION("""COMPUTED_VALUE"""),101.78)</f>
        <v>101.78</v>
      </c>
      <c r="D83" s="6">
        <f>IFERROR(__xludf.DUMMYFUNCTION("""COMPUTED_VALUE"""),93.52)</f>
        <v>93.52</v>
      </c>
      <c r="E83" s="6">
        <f>IFERROR(__xludf.DUMMYFUNCTION("""COMPUTED_VALUE"""),96.64)</f>
        <v>96.64</v>
      </c>
      <c r="F83" s="6">
        <f>IFERROR(__xludf.DUMMYFUNCTION("""COMPUTED_VALUE"""),6.3084263E7)</f>
        <v>63084263</v>
      </c>
    </row>
    <row r="84">
      <c r="A84" s="7">
        <f>IFERROR(__xludf.DUMMYFUNCTION("""COMPUTED_VALUE"""),45779.64583333333)</f>
        <v>45779.64583</v>
      </c>
      <c r="B84" s="6">
        <f>IFERROR(__xludf.DUMMYFUNCTION("""COMPUTED_VALUE"""),96.0)</f>
        <v>96</v>
      </c>
      <c r="C84" s="6">
        <f>IFERROR(__xludf.DUMMYFUNCTION("""COMPUTED_VALUE"""),99.48)</f>
        <v>99.48</v>
      </c>
      <c r="D84" s="6">
        <f>IFERROR(__xludf.DUMMYFUNCTION("""COMPUTED_VALUE"""),93.0)</f>
        <v>93</v>
      </c>
      <c r="E84" s="6">
        <f>IFERROR(__xludf.DUMMYFUNCTION("""COMPUTED_VALUE"""),93.37)</f>
        <v>93.37</v>
      </c>
      <c r="F84" s="6">
        <f>IFERROR(__xludf.DUMMYFUNCTION("""COMPUTED_VALUE"""),1.932137E7)</f>
        <v>19321370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IFERROR(__xludf.DUMMYFUNCTION("""COMPUTED_VALUE"""),94.9)</f>
        <v>94.9</v>
      </c>
      <c r="C85" s="6">
        <f>IFERROR(__xludf.DUMMYFUNCTION("""COMPUTED_VALUE"""),94.9)</f>
        <v>94.9</v>
      </c>
      <c r="D85" s="6">
        <f>IFERROR(__xludf.DUMMYFUNCTION("""COMPUTED_VALUE"""),86.25)</f>
        <v>86.25</v>
      </c>
      <c r="E85" s="6">
        <f>IFERROR(__xludf.DUMMYFUNCTION("""COMPUTED_VALUE"""),88.91)</f>
        <v>88.91</v>
      </c>
      <c r="F85" s="6">
        <f>IFERROR(__xludf.DUMMYFUNCTION("""COMPUTED_VALUE"""),2.3789057E7)</f>
        <v>23789057</v>
      </c>
    </row>
    <row r="86">
      <c r="A86" s="7">
        <f>IFERROR(__xludf.DUMMYFUNCTION("""COMPUTED_VALUE"""),45793.64583333333)</f>
        <v>45793.64583</v>
      </c>
      <c r="B86" s="6">
        <f>IFERROR(__xludf.DUMMYFUNCTION("""COMPUTED_VALUE"""),92.5)</f>
        <v>92.5</v>
      </c>
      <c r="C86" s="6">
        <f>IFERROR(__xludf.DUMMYFUNCTION("""COMPUTED_VALUE"""),105.45)</f>
        <v>105.45</v>
      </c>
      <c r="D86" s="6">
        <f>IFERROR(__xludf.DUMMYFUNCTION("""COMPUTED_VALUE"""),92.0)</f>
        <v>92</v>
      </c>
      <c r="E86" s="6">
        <f>IFERROR(__xludf.DUMMYFUNCTION("""COMPUTED_VALUE"""),104.2)</f>
        <v>104.2</v>
      </c>
      <c r="F86" s="6">
        <f>IFERROR(__xludf.DUMMYFUNCTION("""COMPUTED_VALUE"""),5.2983728E7)</f>
        <v>52983728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IFERROR(__xludf.DUMMYFUNCTION("""COMPUTED_VALUE"""),105.0)</f>
        <v>105</v>
      </c>
      <c r="C87" s="6">
        <f>IFERROR(__xludf.DUMMYFUNCTION("""COMPUTED_VALUE"""),107.5)</f>
        <v>107.5</v>
      </c>
      <c r="D87" s="6">
        <f>IFERROR(__xludf.DUMMYFUNCTION("""COMPUTED_VALUE"""),99.2)</f>
        <v>99.2</v>
      </c>
      <c r="E87" s="6">
        <f>IFERROR(__xludf.DUMMYFUNCTION("""COMPUTED_VALUE"""),100.36)</f>
        <v>100.36</v>
      </c>
      <c r="F87" s="6">
        <f>IFERROR(__xludf.DUMMYFUNCTION("""COMPUTED_VALUE"""),3.8483436E7)</f>
        <v>38483436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IFERROR(__xludf.DUMMYFUNCTION("""COMPUTED_VALUE"""),100.86)</f>
        <v>100.86</v>
      </c>
      <c r="C88" s="6">
        <f>IFERROR(__xludf.DUMMYFUNCTION("""COMPUTED_VALUE"""),103.95)</f>
        <v>103.95</v>
      </c>
      <c r="D88" s="6">
        <f>IFERROR(__xludf.DUMMYFUNCTION("""COMPUTED_VALUE"""),95.84)</f>
        <v>95.84</v>
      </c>
      <c r="E88" s="6">
        <f>IFERROR(__xludf.DUMMYFUNCTION("""COMPUTED_VALUE"""),96.3)</f>
        <v>96.3</v>
      </c>
      <c r="F88" s="6">
        <f>IFERROR(__xludf.DUMMYFUNCTION("""COMPUTED_VALUE"""),4.835912E7)</f>
        <v>48359120</v>
      </c>
    </row>
    <row r="89">
      <c r="A89" s="7">
        <f>IFERROR(__xludf.DUMMYFUNCTION("""COMPUTED_VALUE"""),45814.64583333333)</f>
        <v>45814.64583</v>
      </c>
      <c r="B89" s="6">
        <f>IFERROR(__xludf.DUMMYFUNCTION("""COMPUTED_VALUE"""),96.15)</f>
        <v>96.15</v>
      </c>
      <c r="C89" s="6">
        <f>IFERROR(__xludf.DUMMYFUNCTION("""COMPUTED_VALUE"""),104.41)</f>
        <v>104.41</v>
      </c>
      <c r="D89" s="6">
        <f>IFERROR(__xludf.DUMMYFUNCTION("""COMPUTED_VALUE"""),95.11)</f>
        <v>95.11</v>
      </c>
      <c r="E89" s="6">
        <f>IFERROR(__xludf.DUMMYFUNCTION("""COMPUTED_VALUE"""),103.73)</f>
        <v>103.73</v>
      </c>
      <c r="F89" s="6">
        <f>IFERROR(__xludf.DUMMYFUNCTION("""COMPUTED_VALUE"""),5.4672009E7)</f>
        <v>54672009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IFERROR(__xludf.DUMMYFUNCTION("""COMPUTED_VALUE"""),104.55)</f>
        <v>104.55</v>
      </c>
      <c r="C90" s="6">
        <f>IFERROR(__xludf.DUMMYFUNCTION("""COMPUTED_VALUE"""),105.85)</f>
        <v>105.85</v>
      </c>
      <c r="D90" s="6">
        <f>IFERROR(__xludf.DUMMYFUNCTION("""COMPUTED_VALUE"""),97.27)</f>
        <v>97.27</v>
      </c>
      <c r="E90" s="6">
        <f>IFERROR(__xludf.DUMMYFUNCTION("""COMPUTED_VALUE"""),98.45)</f>
        <v>98.45</v>
      </c>
      <c r="F90" s="6">
        <f>IFERROR(__xludf.DUMMYFUNCTION("""COMPUTED_VALUE"""),3.2485073E7)</f>
        <v>32485073</v>
      </c>
    </row>
    <row r="91">
      <c r="A91" s="7">
        <f>IFERROR(__xludf.DUMMYFUNCTION("""COMPUTED_VALUE"""),45828.64583333333)</f>
        <v>45828.64583</v>
      </c>
      <c r="B91" s="6">
        <f>IFERROR(__xludf.DUMMYFUNCTION("""COMPUTED_VALUE"""),98.45)</f>
        <v>98.45</v>
      </c>
      <c r="C91" s="6">
        <f>IFERROR(__xludf.DUMMYFUNCTION("""COMPUTED_VALUE"""),99.5)</f>
        <v>99.5</v>
      </c>
      <c r="D91" s="6">
        <f>IFERROR(__xludf.DUMMYFUNCTION("""COMPUTED_VALUE"""),92.88)</f>
        <v>92.88</v>
      </c>
      <c r="E91" s="6">
        <f>IFERROR(__xludf.DUMMYFUNCTION("""COMPUTED_VALUE"""),96.97)</f>
        <v>96.97</v>
      </c>
      <c r="F91" s="6">
        <f>IFERROR(__xludf.DUMMYFUNCTION("""COMPUTED_VALUE"""),2.6916621E7)</f>
        <v>26916621</v>
      </c>
    </row>
    <row r="92">
      <c r="A92" s="7">
        <f>IFERROR(__xludf.DUMMYFUNCTION("""COMPUTED_VALUE"""),45835.64583333333)</f>
        <v>45835.64583</v>
      </c>
      <c r="B92" s="6">
        <f>IFERROR(__xludf.DUMMYFUNCTION("""COMPUTED_VALUE"""),95.02)</f>
        <v>95.02</v>
      </c>
      <c r="C92" s="6">
        <f>IFERROR(__xludf.DUMMYFUNCTION("""COMPUTED_VALUE"""),102.3)</f>
        <v>102.3</v>
      </c>
      <c r="D92" s="6">
        <f>IFERROR(__xludf.DUMMYFUNCTION("""COMPUTED_VALUE"""),95.02)</f>
        <v>95.02</v>
      </c>
      <c r="E92" s="6">
        <f>IFERROR(__xludf.DUMMYFUNCTION("""COMPUTED_VALUE"""),99.6)</f>
        <v>99.6</v>
      </c>
      <c r="F92" s="6">
        <f>IFERROR(__xludf.DUMMYFUNCTION("""COMPUTED_VALUE"""),4.3030817E7)</f>
        <v>43030817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IFERROR(__xludf.DUMMYFUNCTION("""COMPUTED_VALUE"""),100.21)</f>
        <v>100.21</v>
      </c>
      <c r="C93" s="6">
        <f>IFERROR(__xludf.DUMMYFUNCTION("""COMPUTED_VALUE"""),101.48)</f>
        <v>101.48</v>
      </c>
      <c r="D93" s="6">
        <f>IFERROR(__xludf.DUMMYFUNCTION("""COMPUTED_VALUE"""),97.5)</f>
        <v>97.5</v>
      </c>
      <c r="E93" s="6">
        <f>IFERROR(__xludf.DUMMYFUNCTION("""COMPUTED_VALUE"""),98.45)</f>
        <v>98.45</v>
      </c>
      <c r="F93" s="6">
        <f>IFERROR(__xludf.DUMMYFUNCTION("""COMPUTED_VALUE"""),2.357894E7)</f>
        <v>23578940</v>
      </c>
    </row>
    <row r="94">
      <c r="A94" s="7">
        <f>IFERROR(__xludf.DUMMYFUNCTION("""COMPUTED_VALUE"""),45849.64583333333)</f>
        <v>45849.64583</v>
      </c>
      <c r="B94" s="6">
        <f>IFERROR(__xludf.DUMMYFUNCTION("""COMPUTED_VALUE"""),98.0)</f>
        <v>98</v>
      </c>
      <c r="C94" s="6">
        <f>IFERROR(__xludf.DUMMYFUNCTION("""COMPUTED_VALUE"""),100.49)</f>
        <v>100.49</v>
      </c>
      <c r="D94" s="6">
        <f>IFERROR(__xludf.DUMMYFUNCTION("""COMPUTED_VALUE"""),97.25)</f>
        <v>97.25</v>
      </c>
      <c r="E94" s="6">
        <f>IFERROR(__xludf.DUMMYFUNCTION("""COMPUTED_VALUE"""),97.83)</f>
        <v>97.83</v>
      </c>
      <c r="F94" s="6">
        <f>IFERROR(__xludf.DUMMYFUNCTION("""COMPUTED_VALUE"""),2.1362274E7)</f>
        <v>21362274</v>
      </c>
    </row>
    <row r="95">
      <c r="A95" s="7">
        <f>IFERROR(__xludf.DUMMYFUNCTION("""COMPUTED_VALUE"""),45856.64583333333)</f>
        <v>45856.64583</v>
      </c>
      <c r="B95" s="6">
        <f>IFERROR(__xludf.DUMMYFUNCTION("""COMPUTED_VALUE"""),98.11)</f>
        <v>98.11</v>
      </c>
      <c r="C95" s="6">
        <f>IFERROR(__xludf.DUMMYFUNCTION("""COMPUTED_VALUE"""),99.97)</f>
        <v>99.97</v>
      </c>
      <c r="D95" s="6">
        <f>IFERROR(__xludf.DUMMYFUNCTION("""COMPUTED_VALUE"""),96.91)</f>
        <v>96.91</v>
      </c>
      <c r="E95" s="6">
        <f>IFERROR(__xludf.DUMMYFUNCTION("""COMPUTED_VALUE"""),98.87)</f>
        <v>98.87</v>
      </c>
      <c r="F95" s="6">
        <f>IFERROR(__xludf.DUMMYFUNCTION("""COMPUTED_VALUE"""),2.2161254E7)</f>
        <v>22161254</v>
      </c>
    </row>
    <row r="96">
      <c r="A96" s="7">
        <f>IFERROR(__xludf.DUMMYFUNCTION("""COMPUTED_VALUE"""),45863.64583333333)</f>
        <v>45863.64583</v>
      </c>
      <c r="B96" s="6">
        <f>IFERROR(__xludf.DUMMYFUNCTION("""COMPUTED_VALUE"""),98.9)</f>
        <v>98.9</v>
      </c>
      <c r="C96" s="6">
        <f>IFERROR(__xludf.DUMMYFUNCTION("""COMPUTED_VALUE"""),100.5)</f>
        <v>100.5</v>
      </c>
      <c r="D96" s="6">
        <f>IFERROR(__xludf.DUMMYFUNCTION("""COMPUTED_VALUE"""),95.0)</f>
        <v>95</v>
      </c>
      <c r="E96" s="6">
        <f>IFERROR(__xludf.DUMMYFUNCTION("""COMPUTED_VALUE"""),95.19)</f>
        <v>95.19</v>
      </c>
      <c r="F96" s="6">
        <f>IFERROR(__xludf.DUMMYFUNCTION("""COMPUTED_VALUE"""),1.9256287E7)</f>
        <v>19256287</v>
      </c>
    </row>
    <row r="97">
      <c r="A97" s="7">
        <f>IFERROR(__xludf.DUMMYFUNCTION("""COMPUTED_VALUE"""),45870.64583333333)</f>
        <v>45870.64583</v>
      </c>
      <c r="B97" s="6">
        <f>IFERROR(__xludf.DUMMYFUNCTION("""COMPUTED_VALUE"""),95.19)</f>
        <v>95.19</v>
      </c>
      <c r="C97" s="6">
        <f>IFERROR(__xludf.DUMMYFUNCTION("""COMPUTED_VALUE"""),97.73)</f>
        <v>97.73</v>
      </c>
      <c r="D97" s="6">
        <f>IFERROR(__xludf.DUMMYFUNCTION("""COMPUTED_VALUE"""),92.0)</f>
        <v>92</v>
      </c>
      <c r="E97" s="6">
        <f>IFERROR(__xludf.DUMMYFUNCTION("""COMPUTED_VALUE"""),92.35)</f>
        <v>92.35</v>
      </c>
      <c r="F97" s="6">
        <f>IFERROR(__xludf.DUMMYFUNCTION("""COMPUTED_VALUE"""),1.9031919E7)</f>
        <v>19031919</v>
      </c>
    </row>
    <row r="98">
      <c r="A98" s="7">
        <f>IFERROR(__xludf.DUMMYFUNCTION("""COMPUTED_VALUE"""),45877.64583333333)</f>
        <v>45877.64583</v>
      </c>
      <c r="B98" s="6">
        <f>IFERROR(__xludf.DUMMYFUNCTION("""COMPUTED_VALUE"""),92.52)</f>
        <v>92.52</v>
      </c>
      <c r="C98" s="6">
        <f>IFERROR(__xludf.DUMMYFUNCTION("""COMPUTED_VALUE"""),94.55)</f>
        <v>94.55</v>
      </c>
      <c r="D98" s="6">
        <f>IFERROR(__xludf.DUMMYFUNCTION("""COMPUTED_VALUE"""),90.71)</f>
        <v>90.71</v>
      </c>
      <c r="E98" s="6">
        <f>IFERROR(__xludf.DUMMYFUNCTION("""COMPUTED_VALUE"""),92.1)</f>
        <v>92.1</v>
      </c>
      <c r="F98" s="6">
        <f>IFERROR(__xludf.DUMMYFUNCTION("""COMPUTED_VALUE"""),1.3993351E7)</f>
        <v>13993351</v>
      </c>
    </row>
    <row r="99">
      <c r="A99" s="7">
        <f>IFERROR(__xludf.DUMMYFUNCTION("""COMPUTED_VALUE"""),45883.64583333333)</f>
        <v>45883.64583</v>
      </c>
      <c r="B99" s="6">
        <f>IFERROR(__xludf.DUMMYFUNCTION("""COMPUTED_VALUE"""),92.1)</f>
        <v>92.1</v>
      </c>
      <c r="C99" s="6">
        <f>IFERROR(__xludf.DUMMYFUNCTION("""COMPUTED_VALUE"""),98.97)</f>
        <v>98.97</v>
      </c>
      <c r="D99" s="6">
        <f>IFERROR(__xludf.DUMMYFUNCTION("""COMPUTED_VALUE"""),91.6)</f>
        <v>91.6</v>
      </c>
      <c r="E99" s="6">
        <f>IFERROR(__xludf.DUMMYFUNCTION("""COMPUTED_VALUE"""),91.96)</f>
        <v>91.96</v>
      </c>
      <c r="F99" s="6">
        <f>IFERROR(__xludf.DUMMYFUNCTION("""COMPUTED_VALUE"""),6.1177972E7)</f>
        <v>61177972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IFERROR(__xludf.DUMMYFUNCTION("""COMPUTED_VALUE"""),92.5)</f>
        <v>92.5</v>
      </c>
      <c r="C100" s="6">
        <f>IFERROR(__xludf.DUMMYFUNCTION("""COMPUTED_VALUE"""),100.5)</f>
        <v>100.5</v>
      </c>
      <c r="D100" s="6">
        <f>IFERROR(__xludf.DUMMYFUNCTION("""COMPUTED_VALUE"""),91.9)</f>
        <v>91.9</v>
      </c>
      <c r="E100" s="6">
        <f>IFERROR(__xludf.DUMMYFUNCTION("""COMPUTED_VALUE"""),99.54)</f>
        <v>99.54</v>
      </c>
      <c r="F100" s="6">
        <f>IFERROR(__xludf.DUMMYFUNCTION("""COMPUTED_VALUE"""),4.3637535E7)</f>
        <v>43637535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IFERROR(__xludf.DUMMYFUNCTION("""COMPUTED_VALUE"""),99.94)</f>
        <v>99.94</v>
      </c>
      <c r="C101" s="6">
        <f>IFERROR(__xludf.DUMMYFUNCTION("""COMPUTED_VALUE"""),101.45)</f>
        <v>101.45</v>
      </c>
      <c r="D101" s="6">
        <f>IFERROR(__xludf.DUMMYFUNCTION("""COMPUTED_VALUE"""),98.37)</f>
        <v>98.37</v>
      </c>
      <c r="E101" s="6">
        <f>IFERROR(__xludf.DUMMYFUNCTION("""COMPUTED_VALUE"""),99.23)</f>
        <v>99.23</v>
      </c>
      <c r="F101" s="6">
        <f>IFERROR(__xludf.DUMMYFUNCTION("""COMPUTED_VALUE"""),1.15415839E8)</f>
        <v>115415839</v>
      </c>
    </row>
  </sheetData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IFERROR(__xludf.DUMMYFUNCTION("GOOGLEFINANCE(""NSE:SOLARINDS"",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IFERROR(__xludf.DUMMYFUNCTION("""COMPUTED_VALUE"""),4615.0)</f>
        <v>4615</v>
      </c>
      <c r="C2" s="6">
        <f>IFERROR(__xludf.DUMMYFUNCTION("""COMPUTED_VALUE"""),4980.0)</f>
        <v>4980</v>
      </c>
      <c r="D2" s="6">
        <f>IFERROR(__xludf.DUMMYFUNCTION("""COMPUTED_VALUE"""),4601.05)</f>
        <v>4601.05</v>
      </c>
      <c r="E2" s="6">
        <f>IFERROR(__xludf.DUMMYFUNCTION("""COMPUTED_VALUE"""),4753.35)</f>
        <v>4753.35</v>
      </c>
      <c r="F2" s="6">
        <f>IFERROR(__xludf.DUMMYFUNCTION("""COMPUTED_VALUE"""),434019.0)</f>
        <v>434019</v>
      </c>
    </row>
    <row r="3">
      <c r="A3" s="7">
        <f>IFERROR(__xludf.DUMMYFUNCTION("""COMPUTED_VALUE"""),45177.64583333333)</f>
        <v>45177.64583</v>
      </c>
      <c r="B3" s="6">
        <f>IFERROR(__xludf.DUMMYFUNCTION("""COMPUTED_VALUE"""),4929.95)</f>
        <v>4929.95</v>
      </c>
      <c r="C3" s="6">
        <f>IFERROR(__xludf.DUMMYFUNCTION("""COMPUTED_VALUE"""),4929.95)</f>
        <v>4929.95</v>
      </c>
      <c r="D3" s="6">
        <f>IFERROR(__xludf.DUMMYFUNCTION("""COMPUTED_VALUE"""),4525.25)</f>
        <v>4525.25</v>
      </c>
      <c r="E3" s="6">
        <f>IFERROR(__xludf.DUMMYFUNCTION("""COMPUTED_VALUE"""),4641.75)</f>
        <v>4641.75</v>
      </c>
      <c r="F3" s="6">
        <f>IFERROR(__xludf.DUMMYFUNCTION("""COMPUTED_VALUE"""),233368.0)</f>
        <v>233368</v>
      </c>
    </row>
    <row r="4">
      <c r="A4" s="7">
        <f>IFERROR(__xludf.DUMMYFUNCTION("""COMPUTED_VALUE"""),45184.64583333333)</f>
        <v>45184.64583</v>
      </c>
      <c r="B4" s="6">
        <f>IFERROR(__xludf.DUMMYFUNCTION("""COMPUTED_VALUE"""),4701.15)</f>
        <v>4701.15</v>
      </c>
      <c r="C4" s="6">
        <f>IFERROR(__xludf.DUMMYFUNCTION("""COMPUTED_VALUE"""),4739.95)</f>
        <v>4739.95</v>
      </c>
      <c r="D4" s="6">
        <f>IFERROR(__xludf.DUMMYFUNCTION("""COMPUTED_VALUE"""),4378.05)</f>
        <v>4378.05</v>
      </c>
      <c r="E4" s="6">
        <f>IFERROR(__xludf.DUMMYFUNCTION("""COMPUTED_VALUE"""),4646.1)</f>
        <v>4646.1</v>
      </c>
      <c r="F4" s="6">
        <f>IFERROR(__xludf.DUMMYFUNCTION("""COMPUTED_VALUE"""),214412.0)</f>
        <v>214412</v>
      </c>
    </row>
    <row r="5">
      <c r="A5" s="7">
        <f>IFERROR(__xludf.DUMMYFUNCTION("""COMPUTED_VALUE"""),45191.64583333333)</f>
        <v>45191.64583</v>
      </c>
      <c r="B5" s="6">
        <f>IFERROR(__xludf.DUMMYFUNCTION("""COMPUTED_VALUE"""),4698.0)</f>
        <v>4698</v>
      </c>
      <c r="C5" s="6">
        <f>IFERROR(__xludf.DUMMYFUNCTION("""COMPUTED_VALUE"""),4698.0)</f>
        <v>4698</v>
      </c>
      <c r="D5" s="6">
        <f>IFERROR(__xludf.DUMMYFUNCTION("""COMPUTED_VALUE"""),4550.0)</f>
        <v>4550</v>
      </c>
      <c r="E5" s="6">
        <f>IFERROR(__xludf.DUMMYFUNCTION("""COMPUTED_VALUE"""),4620.7)</f>
        <v>4620.7</v>
      </c>
      <c r="F5" s="6">
        <f>IFERROR(__xludf.DUMMYFUNCTION("""COMPUTED_VALUE"""),81005.0)</f>
        <v>81005</v>
      </c>
    </row>
    <row r="6">
      <c r="A6" s="7">
        <f>IFERROR(__xludf.DUMMYFUNCTION("""COMPUTED_VALUE"""),45198.64583333333)</f>
        <v>45198.64583</v>
      </c>
      <c r="B6" s="6">
        <f>IFERROR(__xludf.DUMMYFUNCTION("""COMPUTED_VALUE"""),4635.0)</f>
        <v>4635</v>
      </c>
      <c r="C6" s="6">
        <f>IFERROR(__xludf.DUMMYFUNCTION("""COMPUTED_VALUE"""),4875.0)</f>
        <v>4875</v>
      </c>
      <c r="D6" s="6">
        <f>IFERROR(__xludf.DUMMYFUNCTION("""COMPUTED_VALUE"""),4540.0)</f>
        <v>4540</v>
      </c>
      <c r="E6" s="6">
        <f>IFERROR(__xludf.DUMMYFUNCTION("""COMPUTED_VALUE"""),4820.0)</f>
        <v>4820</v>
      </c>
      <c r="F6" s="6">
        <f>IFERROR(__xludf.DUMMYFUNCTION("""COMPUTED_VALUE"""),145600.0)</f>
        <v>145600</v>
      </c>
    </row>
    <row r="7">
      <c r="A7" s="7">
        <f>IFERROR(__xludf.DUMMYFUNCTION("""COMPUTED_VALUE"""),45205.64583333333)</f>
        <v>45205.64583</v>
      </c>
      <c r="B7" s="6">
        <f>IFERROR(__xludf.DUMMYFUNCTION("""COMPUTED_VALUE"""),4850.0)</f>
        <v>4850</v>
      </c>
      <c r="C7" s="6">
        <f>IFERROR(__xludf.DUMMYFUNCTION("""COMPUTED_VALUE"""),5177.0)</f>
        <v>5177</v>
      </c>
      <c r="D7" s="6">
        <f>IFERROR(__xludf.DUMMYFUNCTION("""COMPUTED_VALUE"""),4780.05)</f>
        <v>4780.05</v>
      </c>
      <c r="E7" s="6">
        <f>IFERROR(__xludf.DUMMYFUNCTION("""COMPUTED_VALUE"""),5147.95)</f>
        <v>5147.95</v>
      </c>
      <c r="F7" s="6">
        <f>IFERROR(__xludf.DUMMYFUNCTION("""COMPUTED_VALUE"""),341643.0)</f>
        <v>341643</v>
      </c>
    </row>
    <row r="8">
      <c r="A8" s="7">
        <f>IFERROR(__xludf.DUMMYFUNCTION("""COMPUTED_VALUE"""),45212.64583333333)</f>
        <v>45212.64583</v>
      </c>
      <c r="B8" s="6">
        <f>IFERROR(__xludf.DUMMYFUNCTION("""COMPUTED_VALUE"""),5205.05)</f>
        <v>5205.05</v>
      </c>
      <c r="C8" s="6">
        <f>IFERROR(__xludf.DUMMYFUNCTION("""COMPUTED_VALUE"""),5422.0)</f>
        <v>5422</v>
      </c>
      <c r="D8" s="6">
        <f>IFERROR(__xludf.DUMMYFUNCTION("""COMPUTED_VALUE"""),5112.0)</f>
        <v>5112</v>
      </c>
      <c r="E8" s="6">
        <f>IFERROR(__xludf.DUMMYFUNCTION("""COMPUTED_VALUE"""),5348.4)</f>
        <v>5348.4</v>
      </c>
      <c r="F8" s="6">
        <f>IFERROR(__xludf.DUMMYFUNCTION("""COMPUTED_VALUE"""),342987.0)</f>
        <v>342987</v>
      </c>
    </row>
    <row r="9">
      <c r="A9" s="7">
        <f>IFERROR(__xludf.DUMMYFUNCTION("""COMPUTED_VALUE"""),45219.64583333333)</f>
        <v>45219.64583</v>
      </c>
      <c r="B9" s="6">
        <f>IFERROR(__xludf.DUMMYFUNCTION("""COMPUTED_VALUE"""),5390.0)</f>
        <v>5390</v>
      </c>
      <c r="C9" s="6">
        <f>IFERROR(__xludf.DUMMYFUNCTION("""COMPUTED_VALUE"""),5438.75)</f>
        <v>5438.75</v>
      </c>
      <c r="D9" s="6">
        <f>IFERROR(__xludf.DUMMYFUNCTION("""COMPUTED_VALUE"""),5114.0)</f>
        <v>5114</v>
      </c>
      <c r="E9" s="6">
        <f>IFERROR(__xludf.DUMMYFUNCTION("""COMPUTED_VALUE"""),5269.25)</f>
        <v>5269.25</v>
      </c>
      <c r="F9" s="6">
        <f>IFERROR(__xludf.DUMMYFUNCTION("""COMPUTED_VALUE"""),204103.0)</f>
        <v>204103</v>
      </c>
    </row>
    <row r="10">
      <c r="A10" s="7">
        <f>IFERROR(__xludf.DUMMYFUNCTION("""COMPUTED_VALUE"""),45226.64583333333)</f>
        <v>45226.64583</v>
      </c>
      <c r="B10" s="6">
        <f>IFERROR(__xludf.DUMMYFUNCTION("""COMPUTED_VALUE"""),5306.75)</f>
        <v>5306.75</v>
      </c>
      <c r="C10" s="6">
        <f>IFERROR(__xludf.DUMMYFUNCTION("""COMPUTED_VALUE"""),5359.8)</f>
        <v>5359.8</v>
      </c>
      <c r="D10" s="6">
        <f>IFERROR(__xludf.DUMMYFUNCTION("""COMPUTED_VALUE"""),4995.85)</f>
        <v>4995.85</v>
      </c>
      <c r="E10" s="6">
        <f>IFERROR(__xludf.DUMMYFUNCTION("""COMPUTED_VALUE"""),5237.7)</f>
        <v>5237.7</v>
      </c>
      <c r="F10" s="6">
        <f>IFERROR(__xludf.DUMMYFUNCTION("""COMPUTED_VALUE"""),183097.0)</f>
        <v>183097</v>
      </c>
    </row>
    <row r="11">
      <c r="A11" s="7">
        <f>IFERROR(__xludf.DUMMYFUNCTION("""COMPUTED_VALUE"""),45233.64583333333)</f>
        <v>45233.64583</v>
      </c>
      <c r="B11" s="6">
        <f>IFERROR(__xludf.DUMMYFUNCTION("""COMPUTED_VALUE"""),5237.7)</f>
        <v>5237.7</v>
      </c>
      <c r="C11" s="6">
        <f>IFERROR(__xludf.DUMMYFUNCTION("""COMPUTED_VALUE"""),5681.6)</f>
        <v>5681.6</v>
      </c>
      <c r="D11" s="6">
        <f>IFERROR(__xludf.DUMMYFUNCTION("""COMPUTED_VALUE"""),5214.05)</f>
        <v>5214.05</v>
      </c>
      <c r="E11" s="6">
        <f>IFERROR(__xludf.DUMMYFUNCTION("""COMPUTED_VALUE"""),5577.5)</f>
        <v>5577.5</v>
      </c>
      <c r="F11" s="6">
        <f>IFERROR(__xludf.DUMMYFUNCTION("""COMPUTED_VALUE"""),412508.0)</f>
        <v>412508</v>
      </c>
    </row>
    <row r="12">
      <c r="A12" s="7">
        <f>IFERROR(__xludf.DUMMYFUNCTION("""COMPUTED_VALUE"""),45240.64583333333)</f>
        <v>45240.64583</v>
      </c>
      <c r="B12" s="6">
        <f>IFERROR(__xludf.DUMMYFUNCTION("""COMPUTED_VALUE"""),5584.95)</f>
        <v>5584.95</v>
      </c>
      <c r="C12" s="6">
        <f>IFERROR(__xludf.DUMMYFUNCTION("""COMPUTED_VALUE"""),6249.5)</f>
        <v>6249.5</v>
      </c>
      <c r="D12" s="6">
        <f>IFERROR(__xludf.DUMMYFUNCTION("""COMPUTED_VALUE"""),5550.55)</f>
        <v>5550.55</v>
      </c>
      <c r="E12" s="6">
        <f>IFERROR(__xludf.DUMMYFUNCTION("""COMPUTED_VALUE"""),6104.55)</f>
        <v>6104.55</v>
      </c>
      <c r="F12" s="6">
        <f>IFERROR(__xludf.DUMMYFUNCTION("""COMPUTED_VALUE"""),626907.0)</f>
        <v>626907</v>
      </c>
    </row>
    <row r="13">
      <c r="A13" s="7">
        <f>IFERROR(__xludf.DUMMYFUNCTION("""COMPUTED_VALUE"""),45247.64583333333)</f>
        <v>45247.64583</v>
      </c>
      <c r="B13" s="6">
        <f>IFERROR(__xludf.DUMMYFUNCTION("""COMPUTED_VALUE"""),6153.4)</f>
        <v>6153.4</v>
      </c>
      <c r="C13" s="6">
        <f>IFERROR(__xludf.DUMMYFUNCTION("""COMPUTED_VALUE"""),7499.0)</f>
        <v>7499</v>
      </c>
      <c r="D13" s="6">
        <f>IFERROR(__xludf.DUMMYFUNCTION("""COMPUTED_VALUE"""),6128.0)</f>
        <v>6128</v>
      </c>
      <c r="E13" s="6">
        <f>IFERROR(__xludf.DUMMYFUNCTION("""COMPUTED_VALUE"""),7390.5)</f>
        <v>7390.5</v>
      </c>
      <c r="F13" s="6">
        <f>IFERROR(__xludf.DUMMYFUNCTION("""COMPUTED_VALUE"""),1188935.0)</f>
        <v>1188935</v>
      </c>
    </row>
    <row r="14">
      <c r="A14" s="7">
        <f>IFERROR(__xludf.DUMMYFUNCTION("""COMPUTED_VALUE"""),45254.64583333333)</f>
        <v>45254.64583</v>
      </c>
      <c r="B14" s="6">
        <f>IFERROR(__xludf.DUMMYFUNCTION("""COMPUTED_VALUE"""),7500.0)</f>
        <v>7500</v>
      </c>
      <c r="C14" s="6">
        <f>IFERROR(__xludf.DUMMYFUNCTION("""COMPUTED_VALUE"""),7832.9)</f>
        <v>7832.9</v>
      </c>
      <c r="D14" s="6">
        <f>IFERROR(__xludf.DUMMYFUNCTION("""COMPUTED_VALUE"""),6520.1)</f>
        <v>6520.1</v>
      </c>
      <c r="E14" s="6">
        <f>IFERROR(__xludf.DUMMYFUNCTION("""COMPUTED_VALUE"""),6786.4)</f>
        <v>6786.4</v>
      </c>
      <c r="F14" s="6">
        <f>IFERROR(__xludf.DUMMYFUNCTION("""COMPUTED_VALUE"""),1038906.0)</f>
        <v>1038906</v>
      </c>
    </row>
    <row r="15">
      <c r="A15" s="7">
        <f>IFERROR(__xludf.DUMMYFUNCTION("""COMPUTED_VALUE"""),45261.64583333333)</f>
        <v>45261.64583</v>
      </c>
      <c r="B15" s="6">
        <f>IFERROR(__xludf.DUMMYFUNCTION("""COMPUTED_VALUE"""),6838.45)</f>
        <v>6838.45</v>
      </c>
      <c r="C15" s="6">
        <f>IFERROR(__xludf.DUMMYFUNCTION("""COMPUTED_VALUE"""),6838.45)</f>
        <v>6838.45</v>
      </c>
      <c r="D15" s="6">
        <f>IFERROR(__xludf.DUMMYFUNCTION("""COMPUTED_VALUE"""),6079.0)</f>
        <v>6079</v>
      </c>
      <c r="E15" s="6">
        <f>IFERROR(__xludf.DUMMYFUNCTION("""COMPUTED_VALUE"""),6188.75)</f>
        <v>6188.75</v>
      </c>
      <c r="F15" s="6">
        <f>IFERROR(__xludf.DUMMYFUNCTION("""COMPUTED_VALUE"""),1243700.0)</f>
        <v>1243700</v>
      </c>
    </row>
    <row r="16">
      <c r="A16" s="7">
        <f>IFERROR(__xludf.DUMMYFUNCTION("""COMPUTED_VALUE"""),45268.64583333333)</f>
        <v>45268.64583</v>
      </c>
      <c r="B16" s="6">
        <f>IFERROR(__xludf.DUMMYFUNCTION("""COMPUTED_VALUE"""),6310.2)</f>
        <v>6310.2</v>
      </c>
      <c r="C16" s="6">
        <f>IFERROR(__xludf.DUMMYFUNCTION("""COMPUTED_VALUE"""),6400.0)</f>
        <v>6400</v>
      </c>
      <c r="D16" s="6">
        <f>IFERROR(__xludf.DUMMYFUNCTION("""COMPUTED_VALUE"""),5909.35)</f>
        <v>5909.35</v>
      </c>
      <c r="E16" s="6">
        <f>IFERROR(__xludf.DUMMYFUNCTION("""COMPUTED_VALUE"""),6298.55)</f>
        <v>6298.55</v>
      </c>
      <c r="F16" s="6">
        <f>IFERROR(__xludf.DUMMYFUNCTION("""COMPUTED_VALUE"""),658093.0)</f>
        <v>658093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IFERROR(__xludf.DUMMYFUNCTION("""COMPUTED_VALUE"""),6349.25)</f>
        <v>6349.25</v>
      </c>
      <c r="C17" s="6">
        <f>IFERROR(__xludf.DUMMYFUNCTION("""COMPUTED_VALUE"""),6930.0)</f>
        <v>6930</v>
      </c>
      <c r="D17" s="6">
        <f>IFERROR(__xludf.DUMMYFUNCTION("""COMPUTED_VALUE"""),6221.0)</f>
        <v>6221</v>
      </c>
      <c r="E17" s="6">
        <f>IFERROR(__xludf.DUMMYFUNCTION("""COMPUTED_VALUE"""),6884.9)</f>
        <v>6884.9</v>
      </c>
      <c r="F17" s="6">
        <f>IFERROR(__xludf.DUMMYFUNCTION("""COMPUTED_VALUE"""),519786.0)</f>
        <v>519786</v>
      </c>
    </row>
    <row r="18">
      <c r="A18" s="7">
        <f>IFERROR(__xludf.DUMMYFUNCTION("""COMPUTED_VALUE"""),45282.64583333333)</f>
        <v>45282.64583</v>
      </c>
      <c r="B18" s="6">
        <f>IFERROR(__xludf.DUMMYFUNCTION("""COMPUTED_VALUE"""),6349.95)</f>
        <v>6349.95</v>
      </c>
      <c r="C18" s="6">
        <f>IFERROR(__xludf.DUMMYFUNCTION("""COMPUTED_VALUE"""),6939.75)</f>
        <v>6939.75</v>
      </c>
      <c r="D18" s="6">
        <f>IFERROR(__xludf.DUMMYFUNCTION("""COMPUTED_VALUE"""),6150.0)</f>
        <v>6150</v>
      </c>
      <c r="E18" s="6">
        <f>IFERROR(__xludf.DUMMYFUNCTION("""COMPUTED_VALUE"""),6594.9)</f>
        <v>6594.9</v>
      </c>
      <c r="F18" s="6">
        <f>IFERROR(__xludf.DUMMYFUNCTION("""COMPUTED_VALUE"""),820089.0)</f>
        <v>820089</v>
      </c>
    </row>
    <row r="19">
      <c r="A19" s="7">
        <f>IFERROR(__xludf.DUMMYFUNCTION("""COMPUTED_VALUE"""),45289.64583333333)</f>
        <v>45289.64583</v>
      </c>
      <c r="B19" s="6">
        <f>IFERROR(__xludf.DUMMYFUNCTION("""COMPUTED_VALUE"""),6600.9)</f>
        <v>6600.9</v>
      </c>
      <c r="C19" s="6">
        <f>IFERROR(__xludf.DUMMYFUNCTION("""COMPUTED_VALUE"""),6880.0)</f>
        <v>6880</v>
      </c>
      <c r="D19" s="6">
        <f>IFERROR(__xludf.DUMMYFUNCTION("""COMPUTED_VALUE"""),6596.65)</f>
        <v>6596.65</v>
      </c>
      <c r="E19" s="6">
        <f>IFERROR(__xludf.DUMMYFUNCTION("""COMPUTED_VALUE"""),6727.5)</f>
        <v>6727.5</v>
      </c>
      <c r="F19" s="6">
        <f>IFERROR(__xludf.DUMMYFUNCTION("""COMPUTED_VALUE"""),255349.0)</f>
        <v>255349</v>
      </c>
    </row>
    <row r="20">
      <c r="A20" s="7">
        <f>IFERROR(__xludf.DUMMYFUNCTION("""COMPUTED_VALUE"""),45296.64583333333)</f>
        <v>45296.64583</v>
      </c>
      <c r="B20" s="6">
        <f>IFERROR(__xludf.DUMMYFUNCTION("""COMPUTED_VALUE"""),6781.35)</f>
        <v>6781.35</v>
      </c>
      <c r="C20" s="6">
        <f>IFERROR(__xludf.DUMMYFUNCTION("""COMPUTED_VALUE"""),6866.75)</f>
        <v>6866.75</v>
      </c>
      <c r="D20" s="6">
        <f>IFERROR(__xludf.DUMMYFUNCTION("""COMPUTED_VALUE"""),6590.0)</f>
        <v>6590</v>
      </c>
      <c r="E20" s="6">
        <f>IFERROR(__xludf.DUMMYFUNCTION("""COMPUTED_VALUE"""),6703.5)</f>
        <v>6703.5</v>
      </c>
      <c r="F20" s="6">
        <f>IFERROR(__xludf.DUMMYFUNCTION("""COMPUTED_VALUE"""),476174.0)</f>
        <v>476174</v>
      </c>
    </row>
    <row r="21">
      <c r="A21" s="7">
        <f>IFERROR(__xludf.DUMMYFUNCTION("""COMPUTED_VALUE"""),45303.64583333333)</f>
        <v>45303.64583</v>
      </c>
      <c r="B21" s="6">
        <f>IFERROR(__xludf.DUMMYFUNCTION("""COMPUTED_VALUE"""),6696.05)</f>
        <v>6696.05</v>
      </c>
      <c r="C21" s="6">
        <f>IFERROR(__xludf.DUMMYFUNCTION("""COMPUTED_VALUE"""),7390.0)</f>
        <v>7390</v>
      </c>
      <c r="D21" s="6">
        <f>IFERROR(__xludf.DUMMYFUNCTION("""COMPUTED_VALUE"""),6580.0)</f>
        <v>6580</v>
      </c>
      <c r="E21" s="6">
        <f>IFERROR(__xludf.DUMMYFUNCTION("""COMPUTED_VALUE"""),7309.5)</f>
        <v>7309.5</v>
      </c>
      <c r="F21" s="6">
        <f>IFERROR(__xludf.DUMMYFUNCTION("""COMPUTED_VALUE"""),849147.0)</f>
        <v>849147</v>
      </c>
    </row>
    <row r="22">
      <c r="A22" s="7">
        <f>IFERROR(__xludf.DUMMYFUNCTION("""COMPUTED_VALUE"""),45316.64583333333)</f>
        <v>45316.64583</v>
      </c>
      <c r="B22" s="6">
        <f>IFERROR(__xludf.DUMMYFUNCTION("""COMPUTED_VALUE"""),7000.0)</f>
        <v>7000</v>
      </c>
      <c r="C22" s="6">
        <f>IFERROR(__xludf.DUMMYFUNCTION("""COMPUTED_VALUE"""),7050.0)</f>
        <v>7050</v>
      </c>
      <c r="D22" s="6">
        <f>IFERROR(__xludf.DUMMYFUNCTION("""COMPUTED_VALUE"""),6454.65)</f>
        <v>6454.65</v>
      </c>
      <c r="E22" s="6">
        <f>IFERROR(__xludf.DUMMYFUNCTION("""COMPUTED_VALUE"""),6508.15)</f>
        <v>6508.15</v>
      </c>
      <c r="F22" s="6">
        <f>IFERROR(__xludf.DUMMYFUNCTION("""COMPUTED_VALUE"""),383710.0)</f>
        <v>383710</v>
      </c>
    </row>
    <row r="23">
      <c r="A23" s="7">
        <f>IFERROR(__xludf.DUMMYFUNCTION("""COMPUTED_VALUE"""),45324.64583333333)</f>
        <v>45324.64583</v>
      </c>
      <c r="B23" s="6">
        <f>IFERROR(__xludf.DUMMYFUNCTION("""COMPUTED_VALUE"""),6572.4)</f>
        <v>6572.4</v>
      </c>
      <c r="C23" s="6">
        <f>IFERROR(__xludf.DUMMYFUNCTION("""COMPUTED_VALUE"""),6608.0)</f>
        <v>6608</v>
      </c>
      <c r="D23" s="6">
        <f>IFERROR(__xludf.DUMMYFUNCTION("""COMPUTED_VALUE"""),6275.0)</f>
        <v>6275</v>
      </c>
      <c r="E23" s="6">
        <f>IFERROR(__xludf.DUMMYFUNCTION("""COMPUTED_VALUE"""),6450.55)</f>
        <v>6450.55</v>
      </c>
      <c r="F23" s="6">
        <f>IFERROR(__xludf.DUMMYFUNCTION("""COMPUTED_VALUE"""),418541.0)</f>
        <v>418541</v>
      </c>
    </row>
    <row r="24">
      <c r="A24" s="7">
        <f>IFERROR(__xludf.DUMMYFUNCTION("""COMPUTED_VALUE"""),45331.64583333333)</f>
        <v>45331.64583</v>
      </c>
      <c r="B24" s="6">
        <f>IFERROR(__xludf.DUMMYFUNCTION("""COMPUTED_VALUE"""),6490.0)</f>
        <v>6490</v>
      </c>
      <c r="C24" s="6">
        <f>IFERROR(__xludf.DUMMYFUNCTION("""COMPUTED_VALUE"""),6997.8)</f>
        <v>6997.8</v>
      </c>
      <c r="D24" s="6">
        <f>IFERROR(__xludf.DUMMYFUNCTION("""COMPUTED_VALUE"""),6416.0)</f>
        <v>6416</v>
      </c>
      <c r="E24" s="6">
        <f>IFERROR(__xludf.DUMMYFUNCTION("""COMPUTED_VALUE"""),6890.7)</f>
        <v>6890.7</v>
      </c>
      <c r="F24" s="6">
        <f>IFERROR(__xludf.DUMMYFUNCTION("""COMPUTED_VALUE"""),405089.0)</f>
        <v>405089</v>
      </c>
    </row>
    <row r="25">
      <c r="A25" s="7">
        <f>IFERROR(__xludf.DUMMYFUNCTION("""COMPUTED_VALUE"""),45338.64583333333)</f>
        <v>45338.64583</v>
      </c>
      <c r="B25" s="6">
        <f>IFERROR(__xludf.DUMMYFUNCTION("""COMPUTED_VALUE"""),6894.95)</f>
        <v>6894.95</v>
      </c>
      <c r="C25" s="6">
        <f>IFERROR(__xludf.DUMMYFUNCTION("""COMPUTED_VALUE"""),7148.0)</f>
        <v>7148</v>
      </c>
      <c r="D25" s="6">
        <f>IFERROR(__xludf.DUMMYFUNCTION("""COMPUTED_VALUE"""),6617.0)</f>
        <v>6617</v>
      </c>
      <c r="E25" s="6">
        <f>IFERROR(__xludf.DUMMYFUNCTION("""COMPUTED_VALUE"""),6690.6)</f>
        <v>6690.6</v>
      </c>
      <c r="F25" s="6">
        <f>IFERROR(__xludf.DUMMYFUNCTION("""COMPUTED_VALUE"""),585215.0)</f>
        <v>585215</v>
      </c>
    </row>
    <row r="26">
      <c r="A26" s="7">
        <f>IFERROR(__xludf.DUMMYFUNCTION("""COMPUTED_VALUE"""),45345.64583333333)</f>
        <v>45345.64583</v>
      </c>
      <c r="B26" s="6">
        <f>IFERROR(__xludf.DUMMYFUNCTION("""COMPUTED_VALUE"""),6789.8)</f>
        <v>6789.8</v>
      </c>
      <c r="C26" s="6">
        <f>IFERROR(__xludf.DUMMYFUNCTION("""COMPUTED_VALUE"""),6920.0)</f>
        <v>6920</v>
      </c>
      <c r="D26" s="6">
        <f>IFERROR(__xludf.DUMMYFUNCTION("""COMPUTED_VALUE"""),6551.0)</f>
        <v>6551</v>
      </c>
      <c r="E26" s="6">
        <f>IFERROR(__xludf.DUMMYFUNCTION("""COMPUTED_VALUE"""),6872.45)</f>
        <v>6872.45</v>
      </c>
      <c r="F26" s="6">
        <f>IFERROR(__xludf.DUMMYFUNCTION("""COMPUTED_VALUE"""),335045.0)</f>
        <v>335045</v>
      </c>
    </row>
    <row r="27">
      <c r="A27" s="7">
        <f>IFERROR(__xludf.DUMMYFUNCTION("""COMPUTED_VALUE"""),45358.64583333333)</f>
        <v>45358.64583</v>
      </c>
      <c r="B27" s="6">
        <f>IFERROR(__xludf.DUMMYFUNCTION("""COMPUTED_VALUE"""),6923.05)</f>
        <v>6923.05</v>
      </c>
      <c r="C27" s="6">
        <f>IFERROR(__xludf.DUMMYFUNCTION("""COMPUTED_VALUE"""),7820.0)</f>
        <v>7820</v>
      </c>
      <c r="D27" s="6">
        <f>IFERROR(__xludf.DUMMYFUNCTION("""COMPUTED_VALUE"""),6855.25)</f>
        <v>6855.25</v>
      </c>
      <c r="E27" s="6">
        <f>IFERROR(__xludf.DUMMYFUNCTION("""COMPUTED_VALUE"""),7513.1)</f>
        <v>7513.1</v>
      </c>
      <c r="F27" s="6">
        <f>IFERROR(__xludf.DUMMYFUNCTION("""COMPUTED_VALUE"""),1681273.0)</f>
        <v>1681273</v>
      </c>
    </row>
    <row r="28">
      <c r="A28" s="7">
        <f>IFERROR(__xludf.DUMMYFUNCTION("""COMPUTED_VALUE"""),45366.64583333333)</f>
        <v>45366.64583</v>
      </c>
      <c r="B28" s="6">
        <f>IFERROR(__xludf.DUMMYFUNCTION("""COMPUTED_VALUE"""),7564.0)</f>
        <v>7564</v>
      </c>
      <c r="C28" s="6">
        <f>IFERROR(__xludf.DUMMYFUNCTION("""COMPUTED_VALUE"""),8989.0)</f>
        <v>8989</v>
      </c>
      <c r="D28" s="6">
        <f>IFERROR(__xludf.DUMMYFUNCTION("""COMPUTED_VALUE"""),7255.55)</f>
        <v>7255.55</v>
      </c>
      <c r="E28" s="6">
        <f>IFERROR(__xludf.DUMMYFUNCTION("""COMPUTED_VALUE"""),8855.5)</f>
        <v>8855.5</v>
      </c>
      <c r="F28" s="6">
        <f>IFERROR(__xludf.DUMMYFUNCTION("""COMPUTED_VALUE"""),2485872.0)</f>
        <v>2485872</v>
      </c>
    </row>
    <row r="29">
      <c r="A29" s="7">
        <f>IFERROR(__xludf.DUMMYFUNCTION("""COMPUTED_VALUE"""),45373.64583333333)</f>
        <v>45373.64583</v>
      </c>
      <c r="B29" s="6">
        <f>IFERROR(__xludf.DUMMYFUNCTION("""COMPUTED_VALUE"""),8900.05)</f>
        <v>8900.05</v>
      </c>
      <c r="C29" s="6">
        <f>IFERROR(__xludf.DUMMYFUNCTION("""COMPUTED_VALUE"""),9418.95)</f>
        <v>9418.95</v>
      </c>
      <c r="D29" s="6">
        <f>IFERROR(__xludf.DUMMYFUNCTION("""COMPUTED_VALUE"""),8401.0)</f>
        <v>8401</v>
      </c>
      <c r="E29" s="6">
        <f>IFERROR(__xludf.DUMMYFUNCTION("""COMPUTED_VALUE"""),9322.0)</f>
        <v>9322</v>
      </c>
      <c r="F29" s="6">
        <f>IFERROR(__xludf.DUMMYFUNCTION("""COMPUTED_VALUE"""),2142445.0)</f>
        <v>2142445</v>
      </c>
    </row>
    <row r="30">
      <c r="A30" s="7">
        <f>IFERROR(__xludf.DUMMYFUNCTION("""COMPUTED_VALUE"""),45379.64583333333)</f>
        <v>45379.64583</v>
      </c>
      <c r="B30" s="6">
        <f>IFERROR(__xludf.DUMMYFUNCTION("""COMPUTED_VALUE"""),9300.0)</f>
        <v>9300</v>
      </c>
      <c r="C30" s="6">
        <f>IFERROR(__xludf.DUMMYFUNCTION("""COMPUTED_VALUE"""),9449.0)</f>
        <v>9449</v>
      </c>
      <c r="D30" s="6">
        <f>IFERROR(__xludf.DUMMYFUNCTION("""COMPUTED_VALUE"""),8668.4)</f>
        <v>8668.4</v>
      </c>
      <c r="E30" s="6">
        <f>IFERROR(__xludf.DUMMYFUNCTION("""COMPUTED_VALUE"""),8781.75)</f>
        <v>8781.75</v>
      </c>
      <c r="F30" s="6">
        <f>IFERROR(__xludf.DUMMYFUNCTION("""COMPUTED_VALUE"""),842401.0)</f>
        <v>842401</v>
      </c>
    </row>
    <row r="31">
      <c r="A31" s="7">
        <f>IFERROR(__xludf.DUMMYFUNCTION("""COMPUTED_VALUE"""),45387.64583333333)</f>
        <v>45387.64583</v>
      </c>
      <c r="B31" s="6">
        <f>IFERROR(__xludf.DUMMYFUNCTION("""COMPUTED_VALUE"""),8950.0)</f>
        <v>8950</v>
      </c>
      <c r="C31" s="6">
        <f>IFERROR(__xludf.DUMMYFUNCTION("""COMPUTED_VALUE"""),9049.0)</f>
        <v>9049</v>
      </c>
      <c r="D31" s="6">
        <f>IFERROR(__xludf.DUMMYFUNCTION("""COMPUTED_VALUE"""),8621.0)</f>
        <v>8621</v>
      </c>
      <c r="E31" s="6">
        <f>IFERROR(__xludf.DUMMYFUNCTION("""COMPUTED_VALUE"""),8658.4)</f>
        <v>8658.4</v>
      </c>
      <c r="F31" s="6">
        <f>IFERROR(__xludf.DUMMYFUNCTION("""COMPUTED_VALUE"""),708419.0)</f>
        <v>708419</v>
      </c>
    </row>
    <row r="32">
      <c r="A32" s="7">
        <f>IFERROR(__xludf.DUMMYFUNCTION("""COMPUTED_VALUE"""),45394.64583333333)</f>
        <v>45394.64583</v>
      </c>
      <c r="B32" s="6">
        <f>IFERROR(__xludf.DUMMYFUNCTION("""COMPUTED_VALUE"""),8729.85)</f>
        <v>8729.85</v>
      </c>
      <c r="C32" s="6">
        <f>IFERROR(__xludf.DUMMYFUNCTION("""COMPUTED_VALUE"""),8852.1)</f>
        <v>8852.1</v>
      </c>
      <c r="D32" s="6">
        <f>IFERROR(__xludf.DUMMYFUNCTION("""COMPUTED_VALUE"""),8431.0)</f>
        <v>8431</v>
      </c>
      <c r="E32" s="6">
        <f>IFERROR(__xludf.DUMMYFUNCTION("""COMPUTED_VALUE"""),8528.2)</f>
        <v>8528.2</v>
      </c>
      <c r="F32" s="6">
        <f>IFERROR(__xludf.DUMMYFUNCTION("""COMPUTED_VALUE"""),433702.0)</f>
        <v>433702</v>
      </c>
    </row>
    <row r="33">
      <c r="A33" s="7">
        <f>IFERROR(__xludf.DUMMYFUNCTION("""COMPUTED_VALUE"""),45401.64583333333)</f>
        <v>45401.64583</v>
      </c>
      <c r="B33" s="6">
        <f>IFERROR(__xludf.DUMMYFUNCTION("""COMPUTED_VALUE"""),8422.0)</f>
        <v>8422</v>
      </c>
      <c r="C33" s="6">
        <f>IFERROR(__xludf.DUMMYFUNCTION("""COMPUTED_VALUE"""),8708.0)</f>
        <v>8708</v>
      </c>
      <c r="D33" s="6">
        <f>IFERROR(__xludf.DUMMYFUNCTION("""COMPUTED_VALUE"""),8256.3)</f>
        <v>8256.3</v>
      </c>
      <c r="E33" s="6">
        <f>IFERROR(__xludf.DUMMYFUNCTION("""COMPUTED_VALUE"""),8526.9)</f>
        <v>8526.9</v>
      </c>
      <c r="F33" s="6">
        <f>IFERROR(__xludf.DUMMYFUNCTION("""COMPUTED_VALUE"""),556744.0)</f>
        <v>556744</v>
      </c>
    </row>
    <row r="34">
      <c r="A34" s="7">
        <f>IFERROR(__xludf.DUMMYFUNCTION("""COMPUTED_VALUE"""),45408.64583333333)</f>
        <v>45408.64583</v>
      </c>
      <c r="B34" s="6">
        <f>IFERROR(__xludf.DUMMYFUNCTION("""COMPUTED_VALUE"""),8679.85)</f>
        <v>8679.85</v>
      </c>
      <c r="C34" s="6">
        <f>IFERROR(__xludf.DUMMYFUNCTION("""COMPUTED_VALUE"""),8849.95)</f>
        <v>8849.95</v>
      </c>
      <c r="D34" s="6">
        <f>IFERROR(__xludf.DUMMYFUNCTION("""COMPUTED_VALUE"""),8498.6)</f>
        <v>8498.6</v>
      </c>
      <c r="E34" s="6">
        <f>IFERROR(__xludf.DUMMYFUNCTION("""COMPUTED_VALUE"""),8784.7)</f>
        <v>8784.7</v>
      </c>
      <c r="F34" s="6">
        <f>IFERROR(__xludf.DUMMYFUNCTION("""COMPUTED_VALUE"""),659935.0)</f>
        <v>659935</v>
      </c>
    </row>
    <row r="35">
      <c r="A35" s="7">
        <f>IFERROR(__xludf.DUMMYFUNCTION("""COMPUTED_VALUE"""),45415.64583333333)</f>
        <v>45415.64583</v>
      </c>
      <c r="B35" s="6">
        <f>IFERROR(__xludf.DUMMYFUNCTION("""COMPUTED_VALUE"""),8830.0)</f>
        <v>8830</v>
      </c>
      <c r="C35" s="6">
        <f>IFERROR(__xludf.DUMMYFUNCTION("""COMPUTED_VALUE"""),9060.0)</f>
        <v>9060</v>
      </c>
      <c r="D35" s="6">
        <f>IFERROR(__xludf.DUMMYFUNCTION("""COMPUTED_VALUE"""),8800.0)</f>
        <v>8800</v>
      </c>
      <c r="E35" s="6">
        <f>IFERROR(__xludf.DUMMYFUNCTION("""COMPUTED_VALUE"""),8999.9)</f>
        <v>8999.9</v>
      </c>
      <c r="F35" s="6">
        <f>IFERROR(__xludf.DUMMYFUNCTION("""COMPUTED_VALUE"""),436775.0)</f>
        <v>436775</v>
      </c>
    </row>
    <row r="36">
      <c r="A36" s="7">
        <f>IFERROR(__xludf.DUMMYFUNCTION("""COMPUTED_VALUE"""),45422.64583333333)</f>
        <v>45422.64583</v>
      </c>
      <c r="B36" s="6">
        <f>IFERROR(__xludf.DUMMYFUNCTION("""COMPUTED_VALUE"""),9098.8)</f>
        <v>9098.8</v>
      </c>
      <c r="C36" s="6">
        <f>IFERROR(__xludf.DUMMYFUNCTION("""COMPUTED_VALUE"""),9098.85)</f>
        <v>9098.85</v>
      </c>
      <c r="D36" s="6">
        <f>IFERROR(__xludf.DUMMYFUNCTION("""COMPUTED_VALUE"""),8520.0)</f>
        <v>8520</v>
      </c>
      <c r="E36" s="6">
        <f>IFERROR(__xludf.DUMMYFUNCTION("""COMPUTED_VALUE"""),8862.4)</f>
        <v>8862.4</v>
      </c>
      <c r="F36" s="6">
        <f>IFERROR(__xludf.DUMMYFUNCTION("""COMPUTED_VALUE"""),526500.0)</f>
        <v>526500</v>
      </c>
    </row>
    <row r="37">
      <c r="A37" s="7">
        <f>IFERROR(__xludf.DUMMYFUNCTION("""COMPUTED_VALUE"""),45436.64583333333)</f>
        <v>45436.64583</v>
      </c>
      <c r="B37" s="6">
        <f>IFERROR(__xludf.DUMMYFUNCTION("""COMPUTED_VALUE"""),8970.0)</f>
        <v>8970</v>
      </c>
      <c r="C37" s="6">
        <f>IFERROR(__xludf.DUMMYFUNCTION("""COMPUTED_VALUE"""),10450.0)</f>
        <v>10450</v>
      </c>
      <c r="D37" s="6">
        <f>IFERROR(__xludf.DUMMYFUNCTION("""COMPUTED_VALUE"""),8875.8)</f>
        <v>8875.8</v>
      </c>
      <c r="E37" s="6">
        <f>IFERROR(__xludf.DUMMYFUNCTION("""COMPUTED_VALUE"""),10007.3)</f>
        <v>10007.3</v>
      </c>
      <c r="F37" s="6">
        <f>IFERROR(__xludf.DUMMYFUNCTION("""COMPUTED_VALUE"""),1358324.0)</f>
        <v>1358324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IFERROR(__xludf.DUMMYFUNCTION("""COMPUTED_VALUE"""),10071.9)</f>
        <v>10071.9</v>
      </c>
      <c r="C38" s="6">
        <f>IFERROR(__xludf.DUMMYFUNCTION("""COMPUTED_VALUE"""),10100.8)</f>
        <v>10100.8</v>
      </c>
      <c r="D38" s="6">
        <f>IFERROR(__xludf.DUMMYFUNCTION("""COMPUTED_VALUE"""),9106.5)</f>
        <v>9106.5</v>
      </c>
      <c r="E38" s="6">
        <f>IFERROR(__xludf.DUMMYFUNCTION("""COMPUTED_VALUE"""),9370.5)</f>
        <v>9370.5</v>
      </c>
      <c r="F38" s="6">
        <f>IFERROR(__xludf.DUMMYFUNCTION("""COMPUTED_VALUE"""),4621190.0)</f>
        <v>4621190</v>
      </c>
    </row>
    <row r="39">
      <c r="A39" s="7">
        <f>IFERROR(__xludf.DUMMYFUNCTION("""COMPUTED_VALUE"""),45450.64583333333)</f>
        <v>45450.64583</v>
      </c>
      <c r="B39" s="6">
        <f>IFERROR(__xludf.DUMMYFUNCTION("""COMPUTED_VALUE"""),9818.9)</f>
        <v>9818.9</v>
      </c>
      <c r="C39" s="6">
        <f>IFERROR(__xludf.DUMMYFUNCTION("""COMPUTED_VALUE"""),10110.0)</f>
        <v>10110</v>
      </c>
      <c r="D39" s="6">
        <f>IFERROR(__xludf.DUMMYFUNCTION("""COMPUTED_VALUE"""),7888.25)</f>
        <v>7888.25</v>
      </c>
      <c r="E39" s="6">
        <f>IFERROR(__xludf.DUMMYFUNCTION("""COMPUTED_VALUE"""),9295.0)</f>
        <v>9295</v>
      </c>
      <c r="F39" s="6">
        <f>IFERROR(__xludf.DUMMYFUNCTION("""COMPUTED_VALUE"""),1240588.0)</f>
        <v>1240588</v>
      </c>
    </row>
    <row r="40">
      <c r="A40" s="7">
        <f>IFERROR(__xludf.DUMMYFUNCTION("""COMPUTED_VALUE"""),45457.64583333333)</f>
        <v>45457.64583</v>
      </c>
      <c r="B40" s="6">
        <f>IFERROR(__xludf.DUMMYFUNCTION("""COMPUTED_VALUE"""),9388.9)</f>
        <v>9388.9</v>
      </c>
      <c r="C40" s="6">
        <f>IFERROR(__xludf.DUMMYFUNCTION("""COMPUTED_VALUE"""),9972.0)</f>
        <v>9972</v>
      </c>
      <c r="D40" s="6">
        <f>IFERROR(__xludf.DUMMYFUNCTION("""COMPUTED_VALUE"""),9250.0)</f>
        <v>9250</v>
      </c>
      <c r="E40" s="6">
        <f>IFERROR(__xludf.DUMMYFUNCTION("""COMPUTED_VALUE"""),9898.15)</f>
        <v>9898.15</v>
      </c>
      <c r="F40" s="6">
        <f>IFERROR(__xludf.DUMMYFUNCTION("""COMPUTED_VALUE"""),494564.0)</f>
        <v>494564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IFERROR(__xludf.DUMMYFUNCTION("""COMPUTED_VALUE"""),10225.0)</f>
        <v>10225</v>
      </c>
      <c r="C41" s="6">
        <f>IFERROR(__xludf.DUMMYFUNCTION("""COMPUTED_VALUE"""),10225.0)</f>
        <v>10225</v>
      </c>
      <c r="D41" s="6">
        <f>IFERROR(__xludf.DUMMYFUNCTION("""COMPUTED_VALUE"""),9732.55)</f>
        <v>9732.55</v>
      </c>
      <c r="E41" s="6">
        <f>IFERROR(__xludf.DUMMYFUNCTION("""COMPUTED_VALUE"""),10036.95)</f>
        <v>10036.95</v>
      </c>
      <c r="F41" s="6">
        <f>IFERROR(__xludf.DUMMYFUNCTION("""COMPUTED_VALUE"""),446926.0)</f>
        <v>446926</v>
      </c>
    </row>
    <row r="42">
      <c r="A42" s="7">
        <f>IFERROR(__xludf.DUMMYFUNCTION("""COMPUTED_VALUE"""),45471.64583333333)</f>
        <v>45471.64583</v>
      </c>
      <c r="B42" s="6">
        <f>IFERROR(__xludf.DUMMYFUNCTION("""COMPUTED_VALUE"""),9990.05)</f>
        <v>9990.05</v>
      </c>
      <c r="C42" s="6">
        <f>IFERROR(__xludf.DUMMYFUNCTION("""COMPUTED_VALUE"""),10187.0)</f>
        <v>10187</v>
      </c>
      <c r="D42" s="6">
        <f>IFERROR(__xludf.DUMMYFUNCTION("""COMPUTED_VALUE"""),9801.0)</f>
        <v>9801</v>
      </c>
      <c r="E42" s="6">
        <f>IFERROR(__xludf.DUMMYFUNCTION("""COMPUTED_VALUE"""),10020.8)</f>
        <v>10020.8</v>
      </c>
      <c r="F42" s="6">
        <f>IFERROR(__xludf.DUMMYFUNCTION("""COMPUTED_VALUE"""),462381.0)</f>
        <v>462381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IFERROR(__xludf.DUMMYFUNCTION("""COMPUTED_VALUE"""),10074.05)</f>
        <v>10074.05</v>
      </c>
      <c r="C43" s="6">
        <f>IFERROR(__xludf.DUMMYFUNCTION("""COMPUTED_VALUE"""),12539.25)</f>
        <v>12539.25</v>
      </c>
      <c r="D43" s="6">
        <f>IFERROR(__xludf.DUMMYFUNCTION("""COMPUTED_VALUE"""),9925.0)</f>
        <v>9925</v>
      </c>
      <c r="E43" s="6">
        <f>IFERROR(__xludf.DUMMYFUNCTION("""COMPUTED_VALUE"""),12160.65)</f>
        <v>12160.65</v>
      </c>
      <c r="F43" s="6">
        <f>IFERROR(__xludf.DUMMYFUNCTION("""COMPUTED_VALUE"""),1657469.0)</f>
        <v>1657469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IFERROR(__xludf.DUMMYFUNCTION("""COMPUTED_VALUE"""),12238.75)</f>
        <v>12238.75</v>
      </c>
      <c r="C44" s="6">
        <f>IFERROR(__xludf.DUMMYFUNCTION("""COMPUTED_VALUE"""),13298.0)</f>
        <v>13298</v>
      </c>
      <c r="D44" s="6">
        <f>IFERROR(__xludf.DUMMYFUNCTION("""COMPUTED_VALUE"""),11800.0)</f>
        <v>11800</v>
      </c>
      <c r="E44" s="6">
        <f>IFERROR(__xludf.DUMMYFUNCTION("""COMPUTED_VALUE"""),11996.6)</f>
        <v>11996.6</v>
      </c>
      <c r="F44" s="6">
        <f>IFERROR(__xludf.DUMMYFUNCTION("""COMPUTED_VALUE"""),613743.0)</f>
        <v>613743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IFERROR(__xludf.DUMMYFUNCTION("""COMPUTED_VALUE"""),12133.75)</f>
        <v>12133.75</v>
      </c>
      <c r="C45" s="6">
        <f>IFERROR(__xludf.DUMMYFUNCTION("""COMPUTED_VALUE"""),12249.9)</f>
        <v>12249.9</v>
      </c>
      <c r="D45" s="6">
        <f>IFERROR(__xludf.DUMMYFUNCTION("""COMPUTED_VALUE"""),10718.65)</f>
        <v>10718.65</v>
      </c>
      <c r="E45" s="6">
        <f>IFERROR(__xludf.DUMMYFUNCTION("""COMPUTED_VALUE"""),10869.25)</f>
        <v>10869.25</v>
      </c>
      <c r="F45" s="6">
        <f>IFERROR(__xludf.DUMMYFUNCTION("""COMPUTED_VALUE"""),352167.0)</f>
        <v>352167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IFERROR(__xludf.DUMMYFUNCTION("""COMPUTED_VALUE"""),10822.35)</f>
        <v>10822.35</v>
      </c>
      <c r="C46" s="6">
        <f>IFERROR(__xludf.DUMMYFUNCTION("""COMPUTED_VALUE"""),11449.0)</f>
        <v>11449</v>
      </c>
      <c r="D46" s="6">
        <f>IFERROR(__xludf.DUMMYFUNCTION("""COMPUTED_VALUE"""),9981.05)</f>
        <v>9981.05</v>
      </c>
      <c r="E46" s="6">
        <f>IFERROR(__xludf.DUMMYFUNCTION("""COMPUTED_VALUE"""),10966.8)</f>
        <v>10966.8</v>
      </c>
      <c r="F46" s="6">
        <f>IFERROR(__xludf.DUMMYFUNCTION("""COMPUTED_VALUE"""),545363.0)</f>
        <v>545363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IFERROR(__xludf.DUMMYFUNCTION("""COMPUTED_VALUE"""),11188.35)</f>
        <v>11188.35</v>
      </c>
      <c r="C47" s="6">
        <f>IFERROR(__xludf.DUMMYFUNCTION("""COMPUTED_VALUE"""),11298.3)</f>
        <v>11298.3</v>
      </c>
      <c r="D47" s="6">
        <f>IFERROR(__xludf.DUMMYFUNCTION("""COMPUTED_VALUE"""),10601.25)</f>
        <v>10601.25</v>
      </c>
      <c r="E47" s="6">
        <f>IFERROR(__xludf.DUMMYFUNCTION("""COMPUTED_VALUE"""),10636.35)</f>
        <v>10636.35</v>
      </c>
      <c r="F47" s="6">
        <f>IFERROR(__xludf.DUMMYFUNCTION("""COMPUTED_VALUE"""),421101.0)</f>
        <v>421101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IFERROR(__xludf.DUMMYFUNCTION("""COMPUTED_VALUE"""),10350.0)</f>
        <v>10350</v>
      </c>
      <c r="C48" s="6">
        <f>IFERROR(__xludf.DUMMYFUNCTION("""COMPUTED_VALUE"""),10850.0)</f>
        <v>10850</v>
      </c>
      <c r="D48" s="6">
        <f>IFERROR(__xludf.DUMMYFUNCTION("""COMPUTED_VALUE"""),10080.05)</f>
        <v>10080.05</v>
      </c>
      <c r="E48" s="6">
        <f>IFERROR(__xludf.DUMMYFUNCTION("""COMPUTED_VALUE"""),10333.6)</f>
        <v>10333.6</v>
      </c>
      <c r="F48" s="6">
        <f>IFERROR(__xludf.DUMMYFUNCTION("""COMPUTED_VALUE"""),424859.0)</f>
        <v>424859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IFERROR(__xludf.DUMMYFUNCTION("""COMPUTED_VALUE"""),10250.05)</f>
        <v>10250.05</v>
      </c>
      <c r="C49" s="6">
        <f>IFERROR(__xludf.DUMMYFUNCTION("""COMPUTED_VALUE"""),10510.0)</f>
        <v>10510</v>
      </c>
      <c r="D49" s="6">
        <f>IFERROR(__xludf.DUMMYFUNCTION("""COMPUTED_VALUE"""),9967.55)</f>
        <v>9967.55</v>
      </c>
      <c r="E49" s="6">
        <f>IFERROR(__xludf.DUMMYFUNCTION("""COMPUTED_VALUE"""),10497.45)</f>
        <v>10497.45</v>
      </c>
      <c r="F49" s="6">
        <f>IFERROR(__xludf.DUMMYFUNCTION("""COMPUTED_VALUE"""),200465.0)</f>
        <v>200465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IFERROR(__xludf.DUMMYFUNCTION("""COMPUTED_VALUE"""),10580.0)</f>
        <v>10580</v>
      </c>
      <c r="C50" s="6">
        <f>IFERROR(__xludf.DUMMYFUNCTION("""COMPUTED_VALUE"""),10696.0)</f>
        <v>10696</v>
      </c>
      <c r="D50" s="6">
        <f>IFERROR(__xludf.DUMMYFUNCTION("""COMPUTED_VALUE"""),10200.0)</f>
        <v>10200</v>
      </c>
      <c r="E50" s="6">
        <f>IFERROR(__xludf.DUMMYFUNCTION("""COMPUTED_VALUE"""),10622.8)</f>
        <v>10622.8</v>
      </c>
      <c r="F50" s="6">
        <f>IFERROR(__xludf.DUMMYFUNCTION("""COMPUTED_VALUE"""),172763.0)</f>
        <v>172763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IFERROR(__xludf.DUMMYFUNCTION("""COMPUTED_VALUE"""),10685.0)</f>
        <v>10685</v>
      </c>
      <c r="C51" s="6">
        <f>IFERROR(__xludf.DUMMYFUNCTION("""COMPUTED_VALUE"""),10935.0)</f>
        <v>10935</v>
      </c>
      <c r="D51" s="6">
        <f>IFERROR(__xludf.DUMMYFUNCTION("""COMPUTED_VALUE"""),10155.0)</f>
        <v>10155</v>
      </c>
      <c r="E51" s="6">
        <f>IFERROR(__xludf.DUMMYFUNCTION("""COMPUTED_VALUE"""),10729.0)</f>
        <v>10729</v>
      </c>
      <c r="F51" s="6">
        <f>IFERROR(__xludf.DUMMYFUNCTION("""COMPUTED_VALUE"""),372753.0)</f>
        <v>372753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IFERROR(__xludf.DUMMYFUNCTION("""COMPUTED_VALUE"""),10729.0)</f>
        <v>10729</v>
      </c>
      <c r="C52" s="6">
        <f>IFERROR(__xludf.DUMMYFUNCTION("""COMPUTED_VALUE"""),11201.05)</f>
        <v>11201.05</v>
      </c>
      <c r="D52" s="6">
        <f>IFERROR(__xludf.DUMMYFUNCTION("""COMPUTED_VALUE"""),10627.5)</f>
        <v>10627.5</v>
      </c>
      <c r="E52" s="6">
        <f>IFERROR(__xludf.DUMMYFUNCTION("""COMPUTED_VALUE"""),11032.85)</f>
        <v>11032.85</v>
      </c>
      <c r="F52" s="6">
        <f>IFERROR(__xludf.DUMMYFUNCTION("""COMPUTED_VALUE"""),250295.0)</f>
        <v>250295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IFERROR(__xludf.DUMMYFUNCTION("""COMPUTED_VALUE"""),11000.0)</f>
        <v>11000</v>
      </c>
      <c r="C53" s="6">
        <f>IFERROR(__xludf.DUMMYFUNCTION("""COMPUTED_VALUE"""),11298.85)</f>
        <v>11298.85</v>
      </c>
      <c r="D53" s="6">
        <f>IFERROR(__xludf.DUMMYFUNCTION("""COMPUTED_VALUE"""),10750.0)</f>
        <v>10750</v>
      </c>
      <c r="E53" s="6">
        <f>IFERROR(__xludf.DUMMYFUNCTION("""COMPUTED_VALUE"""),11106.1)</f>
        <v>11106.1</v>
      </c>
      <c r="F53" s="6">
        <f>IFERROR(__xludf.DUMMYFUNCTION("""COMPUTED_VALUE"""),295915.0)</f>
        <v>295915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IFERROR(__xludf.DUMMYFUNCTION("""COMPUTED_VALUE"""),11194.95)</f>
        <v>11194.95</v>
      </c>
      <c r="C54" s="6">
        <f>IFERROR(__xludf.DUMMYFUNCTION("""COMPUTED_VALUE"""),11299.7)</f>
        <v>11299.7</v>
      </c>
      <c r="D54" s="6">
        <f>IFERROR(__xludf.DUMMYFUNCTION("""COMPUTED_VALUE"""),10510.6)</f>
        <v>10510.6</v>
      </c>
      <c r="E54" s="6">
        <f>IFERROR(__xludf.DUMMYFUNCTION("""COMPUTED_VALUE"""),11090.8)</f>
        <v>11090.8</v>
      </c>
      <c r="F54" s="6">
        <f>IFERROR(__xludf.DUMMYFUNCTION("""COMPUTED_VALUE"""),219423.0)</f>
        <v>219423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IFERROR(__xludf.DUMMYFUNCTION("""COMPUTED_VALUE"""),11092.1)</f>
        <v>11092.1</v>
      </c>
      <c r="C55" s="6">
        <f>IFERROR(__xludf.DUMMYFUNCTION("""COMPUTED_VALUE"""),12124.05)</f>
        <v>12124.05</v>
      </c>
      <c r="D55" s="6">
        <f>IFERROR(__xludf.DUMMYFUNCTION("""COMPUTED_VALUE"""),10900.0)</f>
        <v>10900</v>
      </c>
      <c r="E55" s="6">
        <f>IFERROR(__xludf.DUMMYFUNCTION("""COMPUTED_VALUE"""),11735.85)</f>
        <v>11735.85</v>
      </c>
      <c r="F55" s="6">
        <f>IFERROR(__xludf.DUMMYFUNCTION("""COMPUTED_VALUE"""),390709.0)</f>
        <v>390709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IFERROR(__xludf.DUMMYFUNCTION("""COMPUTED_VALUE"""),11735.85)</f>
        <v>11735.85</v>
      </c>
      <c r="C56" s="6">
        <f>IFERROR(__xludf.DUMMYFUNCTION("""COMPUTED_VALUE"""),11830.5)</f>
        <v>11830.5</v>
      </c>
      <c r="D56" s="6">
        <f>IFERROR(__xludf.DUMMYFUNCTION("""COMPUTED_VALUE"""),10905.0)</f>
        <v>10905</v>
      </c>
      <c r="E56" s="6">
        <f>IFERROR(__xludf.DUMMYFUNCTION("""COMPUTED_VALUE"""),10949.9)</f>
        <v>10949.9</v>
      </c>
      <c r="F56" s="6">
        <f>IFERROR(__xludf.DUMMYFUNCTION("""COMPUTED_VALUE"""),158829.0)</f>
        <v>158829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IFERROR(__xludf.DUMMYFUNCTION("""COMPUTED_VALUE"""),10865.0)</f>
        <v>10865</v>
      </c>
      <c r="C57" s="6">
        <f>IFERROR(__xludf.DUMMYFUNCTION("""COMPUTED_VALUE"""),11444.0)</f>
        <v>11444</v>
      </c>
      <c r="D57" s="6">
        <f>IFERROR(__xludf.DUMMYFUNCTION("""COMPUTED_VALUE"""),10349.05)</f>
        <v>10349.05</v>
      </c>
      <c r="E57" s="6">
        <f>IFERROR(__xludf.DUMMYFUNCTION("""COMPUTED_VALUE"""),11318.45)</f>
        <v>11318.45</v>
      </c>
      <c r="F57" s="6">
        <f>IFERROR(__xludf.DUMMYFUNCTION("""COMPUTED_VALUE"""),235822.0)</f>
        <v>235822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IFERROR(__xludf.DUMMYFUNCTION("""COMPUTED_VALUE"""),11318.0)</f>
        <v>11318</v>
      </c>
      <c r="C58" s="6">
        <f>IFERROR(__xludf.DUMMYFUNCTION("""COMPUTED_VALUE"""),11570.0)</f>
        <v>11570</v>
      </c>
      <c r="D58" s="6">
        <f>IFERROR(__xludf.DUMMYFUNCTION("""COMPUTED_VALUE"""),10862.25)</f>
        <v>10862.25</v>
      </c>
      <c r="E58" s="6">
        <f>IFERROR(__xludf.DUMMYFUNCTION("""COMPUTED_VALUE"""),11421.8)</f>
        <v>11421.8</v>
      </c>
      <c r="F58" s="6">
        <f>IFERROR(__xludf.DUMMYFUNCTION("""COMPUTED_VALUE"""),208116.0)</f>
        <v>208116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IFERROR(__xludf.DUMMYFUNCTION("""COMPUTED_VALUE"""),11421.8)</f>
        <v>11421.8</v>
      </c>
      <c r="C59" s="6">
        <f>IFERROR(__xludf.DUMMYFUNCTION("""COMPUTED_VALUE"""),11624.8)</f>
        <v>11624.8</v>
      </c>
      <c r="D59" s="6">
        <f>IFERROR(__xludf.DUMMYFUNCTION("""COMPUTED_VALUE"""),10185.3)</f>
        <v>10185.3</v>
      </c>
      <c r="E59" s="6">
        <f>IFERROR(__xludf.DUMMYFUNCTION("""COMPUTED_VALUE"""),10464.85)</f>
        <v>10464.85</v>
      </c>
      <c r="F59" s="6">
        <f>IFERROR(__xludf.DUMMYFUNCTION("""COMPUTED_VALUE"""),239452.0)</f>
        <v>239452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IFERROR(__xludf.DUMMYFUNCTION("""COMPUTED_VALUE"""),10370.05)</f>
        <v>10370.05</v>
      </c>
      <c r="C60" s="6">
        <f>IFERROR(__xludf.DUMMYFUNCTION("""COMPUTED_VALUE"""),10370.05)</f>
        <v>10370.05</v>
      </c>
      <c r="D60" s="6">
        <f>IFERROR(__xludf.DUMMYFUNCTION("""COMPUTED_VALUE"""),9680.0)</f>
        <v>9680</v>
      </c>
      <c r="E60" s="6">
        <f>IFERROR(__xludf.DUMMYFUNCTION("""COMPUTED_VALUE"""),10149.6)</f>
        <v>10149.6</v>
      </c>
      <c r="F60" s="6">
        <f>IFERROR(__xludf.DUMMYFUNCTION("""COMPUTED_VALUE"""),355646.0)</f>
        <v>355646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IFERROR(__xludf.DUMMYFUNCTION("""COMPUTED_VALUE"""),10205.35)</f>
        <v>10205.35</v>
      </c>
      <c r="C61" s="6">
        <f>IFERROR(__xludf.DUMMYFUNCTION("""COMPUTED_VALUE"""),10350.0)</f>
        <v>10350</v>
      </c>
      <c r="D61" s="6">
        <f>IFERROR(__xludf.DUMMYFUNCTION("""COMPUTED_VALUE"""),9630.55)</f>
        <v>9630.55</v>
      </c>
      <c r="E61" s="6">
        <f>IFERROR(__xludf.DUMMYFUNCTION("""COMPUTED_VALUE"""),10008.55)</f>
        <v>10008.55</v>
      </c>
      <c r="F61" s="6">
        <f>IFERROR(__xludf.DUMMYFUNCTION("""COMPUTED_VALUE"""),182368.0)</f>
        <v>182368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IFERROR(__xludf.DUMMYFUNCTION("""COMPUTED_VALUE"""),10008.55)</f>
        <v>10008.55</v>
      </c>
      <c r="C62" s="6">
        <f>IFERROR(__xludf.DUMMYFUNCTION("""COMPUTED_VALUE"""),10242.1)</f>
        <v>10242.1</v>
      </c>
      <c r="D62" s="6">
        <f>IFERROR(__xludf.DUMMYFUNCTION("""COMPUTED_VALUE"""),9659.05)</f>
        <v>9659.05</v>
      </c>
      <c r="E62" s="6">
        <f>IFERROR(__xludf.DUMMYFUNCTION("""COMPUTED_VALUE"""),10036.95)</f>
        <v>10036.95</v>
      </c>
      <c r="F62" s="6">
        <f>IFERROR(__xludf.DUMMYFUNCTION("""COMPUTED_VALUE"""),219739.0)</f>
        <v>219739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IFERROR(__xludf.DUMMYFUNCTION("""COMPUTED_VALUE"""),10105.7)</f>
        <v>10105.7</v>
      </c>
      <c r="C63" s="6">
        <f>IFERROR(__xludf.DUMMYFUNCTION("""COMPUTED_VALUE"""),11142.95)</f>
        <v>11142.95</v>
      </c>
      <c r="D63" s="6">
        <f>IFERROR(__xludf.DUMMYFUNCTION("""COMPUTED_VALUE"""),9901.0)</f>
        <v>9901</v>
      </c>
      <c r="E63" s="6">
        <f>IFERROR(__xludf.DUMMYFUNCTION("""COMPUTED_VALUE"""),10681.2)</f>
        <v>10681.2</v>
      </c>
      <c r="F63" s="6">
        <f>IFERROR(__xludf.DUMMYFUNCTION("""COMPUTED_VALUE"""),509934.0)</f>
        <v>509934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IFERROR(__xludf.DUMMYFUNCTION("""COMPUTED_VALUE"""),10681.2)</f>
        <v>10681.2</v>
      </c>
      <c r="C64" s="6">
        <f>IFERROR(__xludf.DUMMYFUNCTION("""COMPUTED_VALUE"""),11597.0)</f>
        <v>11597</v>
      </c>
      <c r="D64" s="6">
        <f>IFERROR(__xludf.DUMMYFUNCTION("""COMPUTED_VALUE"""),10314.65)</f>
        <v>10314.65</v>
      </c>
      <c r="E64" s="6">
        <f>IFERROR(__xludf.DUMMYFUNCTION("""COMPUTED_VALUE"""),10808.3)</f>
        <v>10808.3</v>
      </c>
      <c r="F64" s="6">
        <f>IFERROR(__xludf.DUMMYFUNCTION("""COMPUTED_VALUE"""),897666.0)</f>
        <v>897666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IFERROR(__xludf.DUMMYFUNCTION("""COMPUTED_VALUE"""),10800.0)</f>
        <v>10800</v>
      </c>
      <c r="C65" s="6">
        <f>IFERROR(__xludf.DUMMYFUNCTION("""COMPUTED_VALUE"""),11076.05)</f>
        <v>11076.05</v>
      </c>
      <c r="D65" s="6">
        <f>IFERROR(__xludf.DUMMYFUNCTION("""COMPUTED_VALUE"""),10341.0)</f>
        <v>10341</v>
      </c>
      <c r="E65" s="6">
        <f>IFERROR(__xludf.DUMMYFUNCTION("""COMPUTED_VALUE"""),10396.7)</f>
        <v>10396.7</v>
      </c>
      <c r="F65" s="6">
        <f>IFERROR(__xludf.DUMMYFUNCTION("""COMPUTED_VALUE"""),355879.0)</f>
        <v>355879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IFERROR(__xludf.DUMMYFUNCTION("""COMPUTED_VALUE"""),10497.0)</f>
        <v>10497</v>
      </c>
      <c r="C66" s="6">
        <f>IFERROR(__xludf.DUMMYFUNCTION("""COMPUTED_VALUE"""),10635.8)</f>
        <v>10635.8</v>
      </c>
      <c r="D66" s="6">
        <f>IFERROR(__xludf.DUMMYFUNCTION("""COMPUTED_VALUE"""),9731.0)</f>
        <v>9731</v>
      </c>
      <c r="E66" s="6">
        <f>IFERROR(__xludf.DUMMYFUNCTION("""COMPUTED_VALUE"""),9787.6)</f>
        <v>9787.6</v>
      </c>
      <c r="F66" s="6">
        <f>IFERROR(__xludf.DUMMYFUNCTION("""COMPUTED_VALUE"""),223774.0)</f>
        <v>223774</v>
      </c>
    </row>
    <row r="67">
      <c r="A67" s="7">
        <f>IFERROR(__xludf.DUMMYFUNCTION("""COMPUTED_VALUE"""),45653.64583333333)</f>
        <v>45653.64583</v>
      </c>
      <c r="B67" s="6">
        <f>IFERROR(__xludf.DUMMYFUNCTION("""COMPUTED_VALUE"""),9942.45)</f>
        <v>9942.45</v>
      </c>
      <c r="C67" s="6">
        <f>IFERROR(__xludf.DUMMYFUNCTION("""COMPUTED_VALUE"""),10450.0)</f>
        <v>10450</v>
      </c>
      <c r="D67" s="6">
        <f>IFERROR(__xludf.DUMMYFUNCTION("""COMPUTED_VALUE"""),9530.05)</f>
        <v>9530.05</v>
      </c>
      <c r="E67" s="6">
        <f>IFERROR(__xludf.DUMMYFUNCTION("""COMPUTED_VALUE"""),10183.25)</f>
        <v>10183.25</v>
      </c>
      <c r="F67" s="6">
        <f>IFERROR(__xludf.DUMMYFUNCTION("""COMPUTED_VALUE"""),282174.0)</f>
        <v>282174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IFERROR(__xludf.DUMMYFUNCTION("""COMPUTED_VALUE"""),10204.0)</f>
        <v>10204</v>
      </c>
      <c r="C68" s="6">
        <f>IFERROR(__xludf.DUMMYFUNCTION("""COMPUTED_VALUE"""),10215.75)</f>
        <v>10215.75</v>
      </c>
      <c r="D68" s="6">
        <f>IFERROR(__xludf.DUMMYFUNCTION("""COMPUTED_VALUE"""),9410.05)</f>
        <v>9410.05</v>
      </c>
      <c r="E68" s="6">
        <f>IFERROR(__xludf.DUMMYFUNCTION("""COMPUTED_VALUE"""),9744.2)</f>
        <v>9744.2</v>
      </c>
      <c r="F68" s="6">
        <f>IFERROR(__xludf.DUMMYFUNCTION("""COMPUTED_VALUE"""),343550.0)</f>
        <v>343550</v>
      </c>
    </row>
    <row r="69">
      <c r="A69" s="7">
        <f>IFERROR(__xludf.DUMMYFUNCTION("""COMPUTED_VALUE"""),45667.64583333333)</f>
        <v>45667.64583</v>
      </c>
      <c r="B69" s="6">
        <f>IFERROR(__xludf.DUMMYFUNCTION("""COMPUTED_VALUE"""),9745.15)</f>
        <v>9745.15</v>
      </c>
      <c r="C69" s="6">
        <f>IFERROR(__xludf.DUMMYFUNCTION("""COMPUTED_VALUE"""),9833.0)</f>
        <v>9833</v>
      </c>
      <c r="D69" s="6">
        <f>IFERROR(__xludf.DUMMYFUNCTION("""COMPUTED_VALUE"""),9415.05)</f>
        <v>9415.05</v>
      </c>
      <c r="E69" s="6">
        <f>IFERROR(__xludf.DUMMYFUNCTION("""COMPUTED_VALUE"""),9529.95)</f>
        <v>9529.95</v>
      </c>
      <c r="F69" s="6">
        <f>IFERROR(__xludf.DUMMYFUNCTION("""COMPUTED_VALUE"""),397357.0)</f>
        <v>397357</v>
      </c>
    </row>
    <row r="70">
      <c r="A70" s="7">
        <f>IFERROR(__xludf.DUMMYFUNCTION("""COMPUTED_VALUE"""),45674.64583333333)</f>
        <v>45674.64583</v>
      </c>
      <c r="B70" s="6">
        <f>IFERROR(__xludf.DUMMYFUNCTION("""COMPUTED_VALUE"""),9480.0)</f>
        <v>9480</v>
      </c>
      <c r="C70" s="6">
        <f>IFERROR(__xludf.DUMMYFUNCTION("""COMPUTED_VALUE"""),9815.65)</f>
        <v>9815.65</v>
      </c>
      <c r="D70" s="6">
        <f>IFERROR(__xludf.DUMMYFUNCTION("""COMPUTED_VALUE"""),8804.35)</f>
        <v>8804.35</v>
      </c>
      <c r="E70" s="6">
        <f>IFERROR(__xludf.DUMMYFUNCTION("""COMPUTED_VALUE"""),9713.4)</f>
        <v>9713.4</v>
      </c>
      <c r="F70" s="6">
        <f>IFERROR(__xludf.DUMMYFUNCTION("""COMPUTED_VALUE"""),479857.0)</f>
        <v>479857</v>
      </c>
    </row>
    <row r="71">
      <c r="A71" s="7">
        <f>IFERROR(__xludf.DUMMYFUNCTION("""COMPUTED_VALUE"""),45681.64583333333)</f>
        <v>45681.64583</v>
      </c>
      <c r="B71" s="6">
        <f>IFERROR(__xludf.DUMMYFUNCTION("""COMPUTED_VALUE"""),9790.0)</f>
        <v>9790</v>
      </c>
      <c r="C71" s="6">
        <f>IFERROR(__xludf.DUMMYFUNCTION("""COMPUTED_VALUE"""),9790.0)</f>
        <v>9790</v>
      </c>
      <c r="D71" s="6">
        <f>IFERROR(__xludf.DUMMYFUNCTION("""COMPUTED_VALUE"""),9080.0)</f>
        <v>9080</v>
      </c>
      <c r="E71" s="6">
        <f>IFERROR(__xludf.DUMMYFUNCTION("""COMPUTED_VALUE"""),9478.2)</f>
        <v>9478.2</v>
      </c>
      <c r="F71" s="6">
        <f>IFERROR(__xludf.DUMMYFUNCTION("""COMPUTED_VALUE"""),242962.0)</f>
        <v>242962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IFERROR(__xludf.DUMMYFUNCTION("""COMPUTED_VALUE"""),10015.0)</f>
        <v>10015</v>
      </c>
      <c r="C72" s="6">
        <f>IFERROR(__xludf.DUMMYFUNCTION("""COMPUTED_VALUE"""),10084.95)</f>
        <v>10084.95</v>
      </c>
      <c r="D72" s="6">
        <f>IFERROR(__xludf.DUMMYFUNCTION("""COMPUTED_VALUE"""),8951.1)</f>
        <v>8951.1</v>
      </c>
      <c r="E72" s="6">
        <f>IFERROR(__xludf.DUMMYFUNCTION("""COMPUTED_VALUE"""),9085.8)</f>
        <v>9085.8</v>
      </c>
      <c r="F72" s="6">
        <f>IFERROR(__xludf.DUMMYFUNCTION("""COMPUTED_VALUE"""),1202864.0)</f>
        <v>1202864</v>
      </c>
    </row>
    <row r="73">
      <c r="A73" s="7">
        <f>IFERROR(__xludf.DUMMYFUNCTION("""COMPUTED_VALUE"""),45702.64583333333)</f>
        <v>45702.64583</v>
      </c>
      <c r="B73" s="6">
        <f>IFERROR(__xludf.DUMMYFUNCTION("""COMPUTED_VALUE"""),9140.0)</f>
        <v>9140</v>
      </c>
      <c r="C73" s="6">
        <f>IFERROR(__xludf.DUMMYFUNCTION("""COMPUTED_VALUE"""),9230.0)</f>
        <v>9230</v>
      </c>
      <c r="D73" s="6">
        <f>IFERROR(__xludf.DUMMYFUNCTION("""COMPUTED_VALUE"""),8627.55)</f>
        <v>8627.55</v>
      </c>
      <c r="E73" s="6">
        <f>IFERROR(__xludf.DUMMYFUNCTION("""COMPUTED_VALUE"""),8862.4)</f>
        <v>8862.4</v>
      </c>
      <c r="F73" s="6">
        <f>IFERROR(__xludf.DUMMYFUNCTION("""COMPUTED_VALUE"""),493263.0)</f>
        <v>493263</v>
      </c>
    </row>
    <row r="74">
      <c r="A74" s="7">
        <f>IFERROR(__xludf.DUMMYFUNCTION("""COMPUTED_VALUE"""),45709.64583333333)</f>
        <v>45709.64583</v>
      </c>
      <c r="B74" s="6">
        <f>IFERROR(__xludf.DUMMYFUNCTION("""COMPUTED_VALUE"""),8802.05)</f>
        <v>8802.05</v>
      </c>
      <c r="C74" s="6">
        <f>IFERROR(__xludf.DUMMYFUNCTION("""COMPUTED_VALUE"""),8994.0)</f>
        <v>8994</v>
      </c>
      <c r="D74" s="6">
        <f>IFERROR(__xludf.DUMMYFUNCTION("""COMPUTED_VALUE"""),8500.0)</f>
        <v>8500</v>
      </c>
      <c r="E74" s="6">
        <f>IFERROR(__xludf.DUMMYFUNCTION("""COMPUTED_VALUE"""),8850.5)</f>
        <v>8850.5</v>
      </c>
      <c r="F74" s="6">
        <f>IFERROR(__xludf.DUMMYFUNCTION("""COMPUTED_VALUE"""),366037.0)</f>
        <v>366037</v>
      </c>
    </row>
    <row r="75">
      <c r="A75" s="7">
        <f>IFERROR(__xludf.DUMMYFUNCTION("""COMPUTED_VALUE"""),45716.64583333333)</f>
        <v>45716.64583</v>
      </c>
      <c r="B75" s="6">
        <f>IFERROR(__xludf.DUMMYFUNCTION("""COMPUTED_VALUE"""),8800.0)</f>
        <v>8800</v>
      </c>
      <c r="C75" s="6">
        <f>IFERROR(__xludf.DUMMYFUNCTION("""COMPUTED_VALUE"""),8918.05)</f>
        <v>8918.05</v>
      </c>
      <c r="D75" s="6">
        <f>IFERROR(__xludf.DUMMYFUNCTION("""COMPUTED_VALUE"""),8482.5)</f>
        <v>8482.5</v>
      </c>
      <c r="E75" s="6">
        <f>IFERROR(__xludf.DUMMYFUNCTION("""COMPUTED_VALUE"""),8710.6)</f>
        <v>8710.6</v>
      </c>
      <c r="F75" s="6">
        <f>IFERROR(__xludf.DUMMYFUNCTION("""COMPUTED_VALUE"""),373512.0)</f>
        <v>373512</v>
      </c>
    </row>
    <row r="76">
      <c r="A76" s="7">
        <f>IFERROR(__xludf.DUMMYFUNCTION("""COMPUTED_VALUE"""),45723.64583333333)</f>
        <v>45723.64583</v>
      </c>
      <c r="B76" s="6">
        <f>IFERROR(__xludf.DUMMYFUNCTION("""COMPUTED_VALUE"""),8841.3)</f>
        <v>8841.3</v>
      </c>
      <c r="C76" s="6">
        <f>IFERROR(__xludf.DUMMYFUNCTION("""COMPUTED_VALUE"""),9525.0)</f>
        <v>9525</v>
      </c>
      <c r="D76" s="6">
        <f>IFERROR(__xludf.DUMMYFUNCTION("""COMPUTED_VALUE"""),8649.9)</f>
        <v>8649.9</v>
      </c>
      <c r="E76" s="6">
        <f>IFERROR(__xludf.DUMMYFUNCTION("""COMPUTED_VALUE"""),9486.5)</f>
        <v>9486.5</v>
      </c>
      <c r="F76" s="6">
        <f>IFERROR(__xludf.DUMMYFUNCTION("""COMPUTED_VALUE"""),589369.0)</f>
        <v>589369</v>
      </c>
    </row>
    <row r="77">
      <c r="A77" s="7">
        <f>IFERROR(__xludf.DUMMYFUNCTION("""COMPUTED_VALUE"""),45729.64583333333)</f>
        <v>45729.64583</v>
      </c>
      <c r="B77" s="6">
        <f>IFERROR(__xludf.DUMMYFUNCTION("""COMPUTED_VALUE"""),9480.1)</f>
        <v>9480.1</v>
      </c>
      <c r="C77" s="6">
        <f>IFERROR(__xludf.DUMMYFUNCTION("""COMPUTED_VALUE"""),10238.7)</f>
        <v>10238.7</v>
      </c>
      <c r="D77" s="6">
        <f>IFERROR(__xludf.DUMMYFUNCTION("""COMPUTED_VALUE"""),9445.05)</f>
        <v>9445.05</v>
      </c>
      <c r="E77" s="6">
        <f>IFERROR(__xludf.DUMMYFUNCTION("""COMPUTED_VALUE"""),10097.15)</f>
        <v>10097.15</v>
      </c>
      <c r="F77" s="6">
        <f>IFERROR(__xludf.DUMMYFUNCTION("""COMPUTED_VALUE"""),758116.0)</f>
        <v>758116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IFERROR(__xludf.DUMMYFUNCTION("""COMPUTED_VALUE"""),10109.6)</f>
        <v>10109.6</v>
      </c>
      <c r="C78" s="6">
        <f>IFERROR(__xludf.DUMMYFUNCTION("""COMPUTED_VALUE"""),10698.85)</f>
        <v>10698.85</v>
      </c>
      <c r="D78" s="6">
        <f>IFERROR(__xludf.DUMMYFUNCTION("""COMPUTED_VALUE"""),9981.1)</f>
        <v>9981.1</v>
      </c>
      <c r="E78" s="6">
        <f>IFERROR(__xludf.DUMMYFUNCTION("""COMPUTED_VALUE"""),10650.65)</f>
        <v>10650.65</v>
      </c>
      <c r="F78" s="6">
        <f>IFERROR(__xludf.DUMMYFUNCTION("""COMPUTED_VALUE"""),490628.0)</f>
        <v>490628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IFERROR(__xludf.DUMMYFUNCTION("""COMPUTED_VALUE"""),10699.05)</f>
        <v>10699.05</v>
      </c>
      <c r="C79" s="6">
        <f>IFERROR(__xludf.DUMMYFUNCTION("""COMPUTED_VALUE"""),11285.0)</f>
        <v>11285</v>
      </c>
      <c r="D79" s="6">
        <f>IFERROR(__xludf.DUMMYFUNCTION("""COMPUTED_VALUE"""),10650.7)</f>
        <v>10650.7</v>
      </c>
      <c r="E79" s="6">
        <f>IFERROR(__xludf.DUMMYFUNCTION("""COMPUTED_VALUE"""),11244.0)</f>
        <v>11244</v>
      </c>
      <c r="F79" s="6">
        <f>IFERROR(__xludf.DUMMYFUNCTION("""COMPUTED_VALUE"""),533861.0)</f>
        <v>533861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IFERROR(__xludf.DUMMYFUNCTION("""COMPUTED_VALUE"""),11330.6)</f>
        <v>11330.6</v>
      </c>
      <c r="C80" s="6">
        <f>IFERROR(__xludf.DUMMYFUNCTION("""COMPUTED_VALUE"""),11419.8)</f>
        <v>11419.8</v>
      </c>
      <c r="D80" s="6">
        <f>IFERROR(__xludf.DUMMYFUNCTION("""COMPUTED_VALUE"""),10913.2)</f>
        <v>10913.2</v>
      </c>
      <c r="E80" s="6">
        <f>IFERROR(__xludf.DUMMYFUNCTION("""COMPUTED_VALUE"""),10987.1)</f>
        <v>10987.1</v>
      </c>
      <c r="F80" s="6">
        <f>IFERROR(__xludf.DUMMYFUNCTION("""COMPUTED_VALUE"""),232474.0)</f>
        <v>232474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IFERROR(__xludf.DUMMYFUNCTION("""COMPUTED_VALUE"""),10283.0)</f>
        <v>10283</v>
      </c>
      <c r="C81" s="6">
        <f>IFERROR(__xludf.DUMMYFUNCTION("""COMPUTED_VALUE"""),11411.0)</f>
        <v>11411</v>
      </c>
      <c r="D81" s="6">
        <f>IFERROR(__xludf.DUMMYFUNCTION("""COMPUTED_VALUE"""),9888.4)</f>
        <v>9888.4</v>
      </c>
      <c r="E81" s="6">
        <f>IFERROR(__xludf.DUMMYFUNCTION("""COMPUTED_VALUE"""),11317.05)</f>
        <v>11317.05</v>
      </c>
      <c r="F81" s="6">
        <f>IFERROR(__xludf.DUMMYFUNCTION("""COMPUTED_VALUE"""),349423.0)</f>
        <v>349423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IFERROR(__xludf.DUMMYFUNCTION("""COMPUTED_VALUE"""),11517.0)</f>
        <v>11517</v>
      </c>
      <c r="C82" s="6">
        <f>IFERROR(__xludf.DUMMYFUNCTION("""COMPUTED_VALUE"""),12349.0)</f>
        <v>12349</v>
      </c>
      <c r="D82" s="6">
        <f>IFERROR(__xludf.DUMMYFUNCTION("""COMPUTED_VALUE"""),11469.0)</f>
        <v>11469</v>
      </c>
      <c r="E82" s="6">
        <f>IFERROR(__xludf.DUMMYFUNCTION("""COMPUTED_VALUE"""),12233.0)</f>
        <v>12233</v>
      </c>
      <c r="F82" s="6">
        <f>IFERROR(__xludf.DUMMYFUNCTION("""COMPUTED_VALUE"""),287277.0)</f>
        <v>287277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IFERROR(__xludf.DUMMYFUNCTION("""COMPUTED_VALUE"""),12270.0)</f>
        <v>12270</v>
      </c>
      <c r="C83" s="6">
        <f>IFERROR(__xludf.DUMMYFUNCTION("""COMPUTED_VALUE"""),13300.0)</f>
        <v>13300</v>
      </c>
      <c r="D83" s="6">
        <f>IFERROR(__xludf.DUMMYFUNCTION("""COMPUTED_VALUE"""),12270.0)</f>
        <v>12270</v>
      </c>
      <c r="E83" s="6">
        <f>IFERROR(__xludf.DUMMYFUNCTION("""COMPUTED_VALUE"""),12757.0)</f>
        <v>12757</v>
      </c>
      <c r="F83" s="6">
        <f>IFERROR(__xludf.DUMMYFUNCTION("""COMPUTED_VALUE"""),486382.0)</f>
        <v>486382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IFERROR(__xludf.DUMMYFUNCTION("""COMPUTED_VALUE"""),12757.0)</f>
        <v>12757</v>
      </c>
      <c r="C84" s="6">
        <f>IFERROR(__xludf.DUMMYFUNCTION("""COMPUTED_VALUE"""),13664.0)</f>
        <v>13664</v>
      </c>
      <c r="D84" s="6">
        <f>IFERROR(__xludf.DUMMYFUNCTION("""COMPUTED_VALUE"""),12716.0)</f>
        <v>12716</v>
      </c>
      <c r="E84" s="6">
        <f>IFERROR(__xludf.DUMMYFUNCTION("""COMPUTED_VALUE"""),13049.0)</f>
        <v>13049</v>
      </c>
      <c r="F84" s="6">
        <f>IFERROR(__xludf.DUMMYFUNCTION("""COMPUTED_VALUE"""),472793.0)</f>
        <v>472793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IFERROR(__xludf.DUMMYFUNCTION("""COMPUTED_VALUE"""),13101.0)</f>
        <v>13101</v>
      </c>
      <c r="C85" s="6">
        <f>IFERROR(__xludf.DUMMYFUNCTION("""COMPUTED_VALUE"""),13627.0)</f>
        <v>13627</v>
      </c>
      <c r="D85" s="6">
        <f>IFERROR(__xludf.DUMMYFUNCTION("""COMPUTED_VALUE"""),12900.0)</f>
        <v>12900</v>
      </c>
      <c r="E85" s="6">
        <f>IFERROR(__xludf.DUMMYFUNCTION("""COMPUTED_VALUE"""),13487.0)</f>
        <v>13487</v>
      </c>
      <c r="F85" s="6">
        <f>IFERROR(__xludf.DUMMYFUNCTION("""COMPUTED_VALUE"""),546670.0)</f>
        <v>546670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IFERROR(__xludf.DUMMYFUNCTION("""COMPUTED_VALUE"""),13759.0)</f>
        <v>13759</v>
      </c>
      <c r="C86" s="6">
        <f>IFERROR(__xludf.DUMMYFUNCTION("""COMPUTED_VALUE"""),14339.0)</f>
        <v>14339</v>
      </c>
      <c r="D86" s="6">
        <f>IFERROR(__xludf.DUMMYFUNCTION("""COMPUTED_VALUE"""),13010.0)</f>
        <v>13010</v>
      </c>
      <c r="E86" s="6">
        <f>IFERROR(__xludf.DUMMYFUNCTION("""COMPUTED_VALUE"""),14025.0)</f>
        <v>14025</v>
      </c>
      <c r="F86" s="6">
        <f>IFERROR(__xludf.DUMMYFUNCTION("""COMPUTED_VALUE"""),809360.0)</f>
        <v>809360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IFERROR(__xludf.DUMMYFUNCTION("""COMPUTED_VALUE"""),14292.0)</f>
        <v>14292</v>
      </c>
      <c r="C87" s="6">
        <f>IFERROR(__xludf.DUMMYFUNCTION("""COMPUTED_VALUE"""),15390.0)</f>
        <v>15390</v>
      </c>
      <c r="D87" s="6">
        <f>IFERROR(__xludf.DUMMYFUNCTION("""COMPUTED_VALUE"""),13075.0)</f>
        <v>13075</v>
      </c>
      <c r="E87" s="6">
        <f>IFERROR(__xludf.DUMMYFUNCTION("""COMPUTED_VALUE"""),15334.0)</f>
        <v>15334</v>
      </c>
      <c r="F87" s="6">
        <f>IFERROR(__xludf.DUMMYFUNCTION("""COMPUTED_VALUE"""),2129030.0)</f>
        <v>2129030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IFERROR(__xludf.DUMMYFUNCTION("""COMPUTED_VALUE"""),15390.0)</f>
        <v>15390</v>
      </c>
      <c r="C88" s="6">
        <f>IFERROR(__xludf.DUMMYFUNCTION("""COMPUTED_VALUE"""),16305.0)</f>
        <v>16305</v>
      </c>
      <c r="D88" s="6">
        <f>IFERROR(__xludf.DUMMYFUNCTION("""COMPUTED_VALUE"""),15361.0)</f>
        <v>15361</v>
      </c>
      <c r="E88" s="6">
        <f>IFERROR(__xludf.DUMMYFUNCTION("""COMPUTED_VALUE"""),16104.0)</f>
        <v>16104</v>
      </c>
      <c r="F88" s="6">
        <f>IFERROR(__xludf.DUMMYFUNCTION("""COMPUTED_VALUE"""),1515688.0)</f>
        <v>1515688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IFERROR(__xludf.DUMMYFUNCTION("""COMPUTED_VALUE"""),16151.0)</f>
        <v>16151</v>
      </c>
      <c r="C89" s="6">
        <f>IFERROR(__xludf.DUMMYFUNCTION("""COMPUTED_VALUE"""),17129.0)</f>
        <v>17129</v>
      </c>
      <c r="D89" s="6">
        <f>IFERROR(__xludf.DUMMYFUNCTION("""COMPUTED_VALUE"""),16057.0)</f>
        <v>16057</v>
      </c>
      <c r="E89" s="6">
        <f>IFERROR(__xludf.DUMMYFUNCTION("""COMPUTED_VALUE"""),16523.0)</f>
        <v>16523</v>
      </c>
      <c r="F89" s="6">
        <f>IFERROR(__xludf.DUMMYFUNCTION("""COMPUTED_VALUE"""),864762.0)</f>
        <v>864762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IFERROR(__xludf.DUMMYFUNCTION("""COMPUTED_VALUE"""),16599.0)</f>
        <v>16599</v>
      </c>
      <c r="C90" s="6">
        <f>IFERROR(__xludf.DUMMYFUNCTION("""COMPUTED_VALUE"""),17035.0)</f>
        <v>17035</v>
      </c>
      <c r="D90" s="6">
        <f>IFERROR(__xludf.DUMMYFUNCTION("""COMPUTED_VALUE"""),16055.0)</f>
        <v>16055</v>
      </c>
      <c r="E90" s="6">
        <f>IFERROR(__xludf.DUMMYFUNCTION("""COMPUTED_VALUE"""),16850.0)</f>
        <v>16850</v>
      </c>
      <c r="F90" s="6">
        <f>IFERROR(__xludf.DUMMYFUNCTION("""COMPUTED_VALUE"""),727887.0)</f>
        <v>727887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IFERROR(__xludf.DUMMYFUNCTION("""COMPUTED_VALUE"""),16890.0)</f>
        <v>16890</v>
      </c>
      <c r="C91" s="6">
        <f>IFERROR(__xludf.DUMMYFUNCTION("""COMPUTED_VALUE"""),17300.0)</f>
        <v>17300</v>
      </c>
      <c r="D91" s="6">
        <f>IFERROR(__xludf.DUMMYFUNCTION("""COMPUTED_VALUE"""),16602.0)</f>
        <v>16602</v>
      </c>
      <c r="E91" s="6">
        <f>IFERROR(__xludf.DUMMYFUNCTION("""COMPUTED_VALUE"""),16996.0)</f>
        <v>16996</v>
      </c>
      <c r="F91" s="6">
        <f>IFERROR(__xludf.DUMMYFUNCTION("""COMPUTED_VALUE"""),701821.0)</f>
        <v>701821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IFERROR(__xludf.DUMMYFUNCTION("""COMPUTED_VALUE"""),17050.0)</f>
        <v>17050</v>
      </c>
      <c r="C92" s="6">
        <f>IFERROR(__xludf.DUMMYFUNCTION("""COMPUTED_VALUE"""),17795.0)</f>
        <v>17795</v>
      </c>
      <c r="D92" s="6">
        <f>IFERROR(__xludf.DUMMYFUNCTION("""COMPUTED_VALUE"""),16789.0)</f>
        <v>16789</v>
      </c>
      <c r="E92" s="6">
        <f>IFERROR(__xludf.DUMMYFUNCTION("""COMPUTED_VALUE"""),17484.0)</f>
        <v>17484</v>
      </c>
      <c r="F92" s="6">
        <f>IFERROR(__xludf.DUMMYFUNCTION("""COMPUTED_VALUE"""),1148850.0)</f>
        <v>1148850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IFERROR(__xludf.DUMMYFUNCTION("""COMPUTED_VALUE"""),17571.0)</f>
        <v>17571</v>
      </c>
      <c r="C93" s="6">
        <f>IFERROR(__xludf.DUMMYFUNCTION("""COMPUTED_VALUE"""),17820.0)</f>
        <v>17820</v>
      </c>
      <c r="D93" s="6">
        <f>IFERROR(__xludf.DUMMYFUNCTION("""COMPUTED_VALUE"""),16750.0)</f>
        <v>16750</v>
      </c>
      <c r="E93" s="6">
        <f>IFERROR(__xludf.DUMMYFUNCTION("""COMPUTED_VALUE"""),16856.0)</f>
        <v>16856</v>
      </c>
      <c r="F93" s="6">
        <f>IFERROR(__xludf.DUMMYFUNCTION("""COMPUTED_VALUE"""),762970.0)</f>
        <v>762970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IFERROR(__xludf.DUMMYFUNCTION("""COMPUTED_VALUE"""),16856.0)</f>
        <v>16856</v>
      </c>
      <c r="C94" s="6">
        <f>IFERROR(__xludf.DUMMYFUNCTION("""COMPUTED_VALUE"""),16944.0)</f>
        <v>16944</v>
      </c>
      <c r="D94" s="6">
        <f>IFERROR(__xludf.DUMMYFUNCTION("""COMPUTED_VALUE"""),15380.0)</f>
        <v>15380</v>
      </c>
      <c r="E94" s="6">
        <f>IFERROR(__xludf.DUMMYFUNCTION("""COMPUTED_VALUE"""),15420.0)</f>
        <v>15420</v>
      </c>
      <c r="F94" s="6">
        <f>IFERROR(__xludf.DUMMYFUNCTION("""COMPUTED_VALUE"""),820633.0)</f>
        <v>820633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IFERROR(__xludf.DUMMYFUNCTION("""COMPUTED_VALUE"""),15400.0)</f>
        <v>15400</v>
      </c>
      <c r="C95" s="6">
        <f>IFERROR(__xludf.DUMMYFUNCTION("""COMPUTED_VALUE"""),15493.0)</f>
        <v>15493</v>
      </c>
      <c r="D95" s="6">
        <f>IFERROR(__xludf.DUMMYFUNCTION("""COMPUTED_VALUE"""),14876.0)</f>
        <v>14876</v>
      </c>
      <c r="E95" s="6">
        <f>IFERROR(__xludf.DUMMYFUNCTION("""COMPUTED_VALUE"""),14906.0)</f>
        <v>14906</v>
      </c>
      <c r="F95" s="6">
        <f>IFERROR(__xludf.DUMMYFUNCTION("""COMPUTED_VALUE"""),627536.0)</f>
        <v>627536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IFERROR(__xludf.DUMMYFUNCTION("""COMPUTED_VALUE"""),14896.0)</f>
        <v>14896</v>
      </c>
      <c r="C96" s="6">
        <f>IFERROR(__xludf.DUMMYFUNCTION("""COMPUTED_VALUE"""),15149.0)</f>
        <v>15149</v>
      </c>
      <c r="D96" s="6">
        <f>IFERROR(__xludf.DUMMYFUNCTION("""COMPUTED_VALUE"""),14487.0)</f>
        <v>14487</v>
      </c>
      <c r="E96" s="6">
        <f>IFERROR(__xludf.DUMMYFUNCTION("""COMPUTED_VALUE"""),14505.0)</f>
        <v>14505</v>
      </c>
      <c r="F96" s="6">
        <f>IFERROR(__xludf.DUMMYFUNCTION("""COMPUTED_VALUE"""),607152.0)</f>
        <v>607152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IFERROR(__xludf.DUMMYFUNCTION("""COMPUTED_VALUE"""),14509.0)</f>
        <v>14509</v>
      </c>
      <c r="C97" s="6">
        <f>IFERROR(__xludf.DUMMYFUNCTION("""COMPUTED_VALUE"""),14600.0)</f>
        <v>14600</v>
      </c>
      <c r="D97" s="6">
        <f>IFERROR(__xludf.DUMMYFUNCTION("""COMPUTED_VALUE"""),13631.0)</f>
        <v>13631</v>
      </c>
      <c r="E97" s="6">
        <f>IFERROR(__xludf.DUMMYFUNCTION("""COMPUTED_VALUE"""),13807.0)</f>
        <v>13807</v>
      </c>
      <c r="F97" s="6">
        <f>IFERROR(__xludf.DUMMYFUNCTION("""COMPUTED_VALUE"""),725560.0)</f>
        <v>725560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IFERROR(__xludf.DUMMYFUNCTION("""COMPUTED_VALUE"""),13900.0)</f>
        <v>13900</v>
      </c>
      <c r="C98" s="6">
        <f>IFERROR(__xludf.DUMMYFUNCTION("""COMPUTED_VALUE"""),15248.0)</f>
        <v>15248</v>
      </c>
      <c r="D98" s="6">
        <f>IFERROR(__xludf.DUMMYFUNCTION("""COMPUTED_VALUE"""),13750.0)</f>
        <v>13750</v>
      </c>
      <c r="E98" s="6">
        <f>IFERROR(__xludf.DUMMYFUNCTION("""COMPUTED_VALUE"""),14462.0)</f>
        <v>14462</v>
      </c>
      <c r="F98" s="6">
        <f>IFERROR(__xludf.DUMMYFUNCTION("""COMPUTED_VALUE"""),810699.0)</f>
        <v>810699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IFERROR(__xludf.DUMMYFUNCTION("""COMPUTED_VALUE"""),14400.0)</f>
        <v>14400</v>
      </c>
      <c r="C99" s="6">
        <f>IFERROR(__xludf.DUMMYFUNCTION("""COMPUTED_VALUE"""),15144.0)</f>
        <v>15144</v>
      </c>
      <c r="D99" s="6">
        <f>IFERROR(__xludf.DUMMYFUNCTION("""COMPUTED_VALUE"""),14341.0)</f>
        <v>14341</v>
      </c>
      <c r="E99" s="6">
        <f>IFERROR(__xludf.DUMMYFUNCTION("""COMPUTED_VALUE"""),15100.0)</f>
        <v>15100</v>
      </c>
      <c r="F99" s="6">
        <f>IFERROR(__xludf.DUMMYFUNCTION("""COMPUTED_VALUE"""),476978.0)</f>
        <v>476978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IFERROR(__xludf.DUMMYFUNCTION("""COMPUTED_VALUE"""),15200.0)</f>
        <v>15200</v>
      </c>
      <c r="C100" s="6">
        <f>IFERROR(__xludf.DUMMYFUNCTION("""COMPUTED_VALUE"""),15243.0)</f>
        <v>15243</v>
      </c>
      <c r="D100" s="6">
        <f>IFERROR(__xludf.DUMMYFUNCTION("""COMPUTED_VALUE"""),14401.0)</f>
        <v>14401</v>
      </c>
      <c r="E100" s="6">
        <f>IFERROR(__xludf.DUMMYFUNCTION("""COMPUTED_VALUE"""),14845.0)</f>
        <v>14845</v>
      </c>
      <c r="F100" s="6">
        <f>IFERROR(__xludf.DUMMYFUNCTION("""COMPUTED_VALUE"""),505910.0)</f>
        <v>505910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IFERROR(__xludf.DUMMYFUNCTION("""COMPUTED_VALUE"""),14932.0)</f>
        <v>14932</v>
      </c>
      <c r="C101" s="6">
        <f>IFERROR(__xludf.DUMMYFUNCTION("""COMPUTED_VALUE"""),14940.0)</f>
        <v>14940</v>
      </c>
      <c r="D101" s="6">
        <f>IFERROR(__xludf.DUMMYFUNCTION("""COMPUTED_VALUE"""),14105.0)</f>
        <v>14105</v>
      </c>
      <c r="E101" s="6">
        <f>IFERROR(__xludf.DUMMYFUNCTION("""COMPUTED_VALUE"""),14233.0)</f>
        <v>14233</v>
      </c>
      <c r="F101" s="6">
        <f>IFERROR(__xludf.DUMMYFUNCTION("""COMPUTED_VALUE"""),1476542.0)</f>
        <v>1476542</v>
      </c>
    </row>
  </sheetData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IFERROR(__xludf.DUMMYFUNCTION("GOOGLEFINANCE(""NSE:SONACOMS"",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IFERROR(__xludf.DUMMYFUNCTION("""COMPUTED_VALUE"""),589.4)</f>
        <v>589.4</v>
      </c>
      <c r="C2" s="6">
        <f>IFERROR(__xludf.DUMMYFUNCTION("""COMPUTED_VALUE"""),605.75)</f>
        <v>605.75</v>
      </c>
      <c r="D2" s="6">
        <f>IFERROR(__xludf.DUMMYFUNCTION("""COMPUTED_VALUE"""),573.6)</f>
        <v>573.6</v>
      </c>
      <c r="E2" s="6">
        <f>IFERROR(__xludf.DUMMYFUNCTION("""COMPUTED_VALUE"""),592.25)</f>
        <v>592.25</v>
      </c>
      <c r="F2" s="6">
        <f>IFERROR(__xludf.DUMMYFUNCTION("""COMPUTED_VALUE"""),7783254.0)</f>
        <v>7783254</v>
      </c>
    </row>
    <row r="3">
      <c r="A3" s="7">
        <f>IFERROR(__xludf.DUMMYFUNCTION("""COMPUTED_VALUE"""),45177.64583333333)</f>
        <v>45177.64583</v>
      </c>
      <c r="B3" s="6">
        <f>IFERROR(__xludf.DUMMYFUNCTION("""COMPUTED_VALUE"""),596.0)</f>
        <v>596</v>
      </c>
      <c r="C3" s="6">
        <f>IFERROR(__xludf.DUMMYFUNCTION("""COMPUTED_VALUE"""),597.8)</f>
        <v>597.8</v>
      </c>
      <c r="D3" s="6">
        <f>IFERROR(__xludf.DUMMYFUNCTION("""COMPUTED_VALUE"""),573.05)</f>
        <v>573.05</v>
      </c>
      <c r="E3" s="6">
        <f>IFERROR(__xludf.DUMMYFUNCTION("""COMPUTED_VALUE"""),591.9)</f>
        <v>591.9</v>
      </c>
      <c r="F3" s="6">
        <f>IFERROR(__xludf.DUMMYFUNCTION("""COMPUTED_VALUE"""),4588899.0)</f>
        <v>4588899</v>
      </c>
    </row>
    <row r="4">
      <c r="A4" s="7">
        <f>IFERROR(__xludf.DUMMYFUNCTION("""COMPUTED_VALUE"""),45184.64583333333)</f>
        <v>45184.64583</v>
      </c>
      <c r="B4" s="6">
        <f>IFERROR(__xludf.DUMMYFUNCTION("""COMPUTED_VALUE"""),594.55)</f>
        <v>594.55</v>
      </c>
      <c r="C4" s="6">
        <f>IFERROR(__xludf.DUMMYFUNCTION("""COMPUTED_VALUE"""),610.0)</f>
        <v>610</v>
      </c>
      <c r="D4" s="6">
        <f>IFERROR(__xludf.DUMMYFUNCTION("""COMPUTED_VALUE"""),566.05)</f>
        <v>566.05</v>
      </c>
      <c r="E4" s="6">
        <f>IFERROR(__xludf.DUMMYFUNCTION("""COMPUTED_VALUE"""),599.25)</f>
        <v>599.25</v>
      </c>
      <c r="F4" s="6">
        <f>IFERROR(__xludf.DUMMYFUNCTION("""COMPUTED_VALUE"""),7619046.0)</f>
        <v>7619046</v>
      </c>
    </row>
    <row r="5">
      <c r="A5" s="7">
        <f>IFERROR(__xludf.DUMMYFUNCTION("""COMPUTED_VALUE"""),45191.64583333333)</f>
        <v>45191.64583</v>
      </c>
      <c r="B5" s="6">
        <f>IFERROR(__xludf.DUMMYFUNCTION("""COMPUTED_VALUE"""),598.0)</f>
        <v>598</v>
      </c>
      <c r="C5" s="6">
        <f>IFERROR(__xludf.DUMMYFUNCTION("""COMPUTED_VALUE"""),618.0)</f>
        <v>618</v>
      </c>
      <c r="D5" s="6">
        <f>IFERROR(__xludf.DUMMYFUNCTION("""COMPUTED_VALUE"""),579.05)</f>
        <v>579.05</v>
      </c>
      <c r="E5" s="6">
        <f>IFERROR(__xludf.DUMMYFUNCTION("""COMPUTED_VALUE"""),580.05)</f>
        <v>580.05</v>
      </c>
      <c r="F5" s="6">
        <f>IFERROR(__xludf.DUMMYFUNCTION("""COMPUTED_VALUE"""),5292598.0)</f>
        <v>5292598</v>
      </c>
    </row>
    <row r="6">
      <c r="A6" s="7">
        <f>IFERROR(__xludf.DUMMYFUNCTION("""COMPUTED_VALUE"""),45198.64583333333)</f>
        <v>45198.64583</v>
      </c>
      <c r="B6" s="6">
        <f>IFERROR(__xludf.DUMMYFUNCTION("""COMPUTED_VALUE"""),582.65)</f>
        <v>582.65</v>
      </c>
      <c r="C6" s="6">
        <f>IFERROR(__xludf.DUMMYFUNCTION("""COMPUTED_VALUE"""),595.75)</f>
        <v>595.75</v>
      </c>
      <c r="D6" s="6">
        <f>IFERROR(__xludf.DUMMYFUNCTION("""COMPUTED_VALUE"""),567.5)</f>
        <v>567.5</v>
      </c>
      <c r="E6" s="6">
        <f>IFERROR(__xludf.DUMMYFUNCTION("""COMPUTED_VALUE"""),583.4)</f>
        <v>583.4</v>
      </c>
      <c r="F6" s="6">
        <f>IFERROR(__xludf.DUMMYFUNCTION("""COMPUTED_VALUE"""),3613988.0)</f>
        <v>3613988</v>
      </c>
    </row>
    <row r="7">
      <c r="A7" s="7">
        <f>IFERROR(__xludf.DUMMYFUNCTION("""COMPUTED_VALUE"""),45205.64583333333)</f>
        <v>45205.64583</v>
      </c>
      <c r="B7" s="6">
        <f>IFERROR(__xludf.DUMMYFUNCTION("""COMPUTED_VALUE"""),583.3)</f>
        <v>583.3</v>
      </c>
      <c r="C7" s="6">
        <f>IFERROR(__xludf.DUMMYFUNCTION("""COMPUTED_VALUE"""),586.95)</f>
        <v>586.95</v>
      </c>
      <c r="D7" s="6">
        <f>IFERROR(__xludf.DUMMYFUNCTION("""COMPUTED_VALUE"""),568.0)</f>
        <v>568</v>
      </c>
      <c r="E7" s="6">
        <f>IFERROR(__xludf.DUMMYFUNCTION("""COMPUTED_VALUE"""),569.1)</f>
        <v>569.1</v>
      </c>
      <c r="F7" s="6">
        <f>IFERROR(__xludf.DUMMYFUNCTION("""COMPUTED_VALUE"""),2642844.0)</f>
        <v>2642844</v>
      </c>
    </row>
    <row r="8">
      <c r="A8" s="7">
        <f>IFERROR(__xludf.DUMMYFUNCTION("""COMPUTED_VALUE"""),45212.64583333333)</f>
        <v>45212.64583</v>
      </c>
      <c r="B8" s="6">
        <f>IFERROR(__xludf.DUMMYFUNCTION("""COMPUTED_VALUE"""),565.4)</f>
        <v>565.4</v>
      </c>
      <c r="C8" s="6">
        <f>IFERROR(__xludf.DUMMYFUNCTION("""COMPUTED_VALUE"""),568.6)</f>
        <v>568.6</v>
      </c>
      <c r="D8" s="6">
        <f>IFERROR(__xludf.DUMMYFUNCTION("""COMPUTED_VALUE"""),550.3)</f>
        <v>550.3</v>
      </c>
      <c r="E8" s="6">
        <f>IFERROR(__xludf.DUMMYFUNCTION("""COMPUTED_VALUE"""),560.1)</f>
        <v>560.1</v>
      </c>
      <c r="F8" s="6">
        <f>IFERROR(__xludf.DUMMYFUNCTION("""COMPUTED_VALUE"""),4011083.0)</f>
        <v>4011083</v>
      </c>
    </row>
    <row r="9">
      <c r="A9" s="7">
        <f>IFERROR(__xludf.DUMMYFUNCTION("""COMPUTED_VALUE"""),45219.64583333333)</f>
        <v>45219.64583</v>
      </c>
      <c r="B9" s="6">
        <f>IFERROR(__xludf.DUMMYFUNCTION("""COMPUTED_VALUE"""),560.05)</f>
        <v>560.05</v>
      </c>
      <c r="C9" s="6">
        <f>IFERROR(__xludf.DUMMYFUNCTION("""COMPUTED_VALUE"""),563.65)</f>
        <v>563.65</v>
      </c>
      <c r="D9" s="6">
        <f>IFERROR(__xludf.DUMMYFUNCTION("""COMPUTED_VALUE"""),535.9)</f>
        <v>535.9</v>
      </c>
      <c r="E9" s="6">
        <f>IFERROR(__xludf.DUMMYFUNCTION("""COMPUTED_VALUE"""),540.5)</f>
        <v>540.5</v>
      </c>
      <c r="F9" s="6">
        <f>IFERROR(__xludf.DUMMYFUNCTION("""COMPUTED_VALUE"""),3271297.0)</f>
        <v>3271297</v>
      </c>
    </row>
    <row r="10">
      <c r="A10" s="7">
        <f>IFERROR(__xludf.DUMMYFUNCTION("""COMPUTED_VALUE"""),45226.64583333333)</f>
        <v>45226.64583</v>
      </c>
      <c r="B10" s="6">
        <f>IFERROR(__xludf.DUMMYFUNCTION("""COMPUTED_VALUE"""),544.5)</f>
        <v>544.5</v>
      </c>
      <c r="C10" s="6">
        <f>IFERROR(__xludf.DUMMYFUNCTION("""COMPUTED_VALUE"""),563.4)</f>
        <v>563.4</v>
      </c>
      <c r="D10" s="6">
        <f>IFERROR(__xludf.DUMMYFUNCTION("""COMPUTED_VALUE"""),488.1)</f>
        <v>488.1</v>
      </c>
      <c r="E10" s="6">
        <f>IFERROR(__xludf.DUMMYFUNCTION("""COMPUTED_VALUE"""),551.2)</f>
        <v>551.2</v>
      </c>
      <c r="F10" s="6">
        <f>IFERROR(__xludf.DUMMYFUNCTION("""COMPUTED_VALUE"""),1.3221827E7)</f>
        <v>13221827</v>
      </c>
    </row>
    <row r="11">
      <c r="A11" s="7">
        <f>IFERROR(__xludf.DUMMYFUNCTION("""COMPUTED_VALUE"""),45233.64583333333)</f>
        <v>45233.64583</v>
      </c>
      <c r="B11" s="6">
        <f>IFERROR(__xludf.DUMMYFUNCTION("""COMPUTED_VALUE"""),554.4)</f>
        <v>554.4</v>
      </c>
      <c r="C11" s="6">
        <f>IFERROR(__xludf.DUMMYFUNCTION("""COMPUTED_VALUE"""),557.05)</f>
        <v>557.05</v>
      </c>
      <c r="D11" s="6">
        <f>IFERROR(__xludf.DUMMYFUNCTION("""COMPUTED_VALUE"""),539.75)</f>
        <v>539.75</v>
      </c>
      <c r="E11" s="6">
        <f>IFERROR(__xludf.DUMMYFUNCTION("""COMPUTED_VALUE"""),548.45)</f>
        <v>548.45</v>
      </c>
      <c r="F11" s="6">
        <f>IFERROR(__xludf.DUMMYFUNCTION("""COMPUTED_VALUE"""),4328023.0)</f>
        <v>4328023</v>
      </c>
    </row>
    <row r="12">
      <c r="A12" s="7">
        <f>IFERROR(__xludf.DUMMYFUNCTION("""COMPUTED_VALUE"""),45240.64583333333)</f>
        <v>45240.64583</v>
      </c>
      <c r="B12" s="6">
        <f>IFERROR(__xludf.DUMMYFUNCTION("""COMPUTED_VALUE"""),551.65)</f>
        <v>551.65</v>
      </c>
      <c r="C12" s="6">
        <f>IFERROR(__xludf.DUMMYFUNCTION("""COMPUTED_VALUE"""),568.45)</f>
        <v>568.45</v>
      </c>
      <c r="D12" s="6">
        <f>IFERROR(__xludf.DUMMYFUNCTION("""COMPUTED_VALUE"""),547.15)</f>
        <v>547.15</v>
      </c>
      <c r="E12" s="6">
        <f>IFERROR(__xludf.DUMMYFUNCTION("""COMPUTED_VALUE"""),565.25)</f>
        <v>565.25</v>
      </c>
      <c r="F12" s="6">
        <f>IFERROR(__xludf.DUMMYFUNCTION("""COMPUTED_VALUE"""),3557998.0)</f>
        <v>3557998</v>
      </c>
    </row>
    <row r="13">
      <c r="A13" s="7">
        <f>IFERROR(__xludf.DUMMYFUNCTION("""COMPUTED_VALUE"""),45247.64583333333)</f>
        <v>45247.64583</v>
      </c>
      <c r="B13" s="6">
        <f>IFERROR(__xludf.DUMMYFUNCTION("""COMPUTED_VALUE"""),570.0)</f>
        <v>570</v>
      </c>
      <c r="C13" s="6">
        <f>IFERROR(__xludf.DUMMYFUNCTION("""COMPUTED_VALUE"""),603.9)</f>
        <v>603.9</v>
      </c>
      <c r="D13" s="6">
        <f>IFERROR(__xludf.DUMMYFUNCTION("""COMPUTED_VALUE"""),558.0)</f>
        <v>558</v>
      </c>
      <c r="E13" s="6">
        <f>IFERROR(__xludf.DUMMYFUNCTION("""COMPUTED_VALUE"""),585.8)</f>
        <v>585.8</v>
      </c>
      <c r="F13" s="6">
        <f>IFERROR(__xludf.DUMMYFUNCTION("""COMPUTED_VALUE"""),6109224.0)</f>
        <v>6109224</v>
      </c>
    </row>
    <row r="14">
      <c r="A14" s="7">
        <f>IFERROR(__xludf.DUMMYFUNCTION("""COMPUTED_VALUE"""),45254.64583333333)</f>
        <v>45254.64583</v>
      </c>
      <c r="B14" s="6">
        <f>IFERROR(__xludf.DUMMYFUNCTION("""COMPUTED_VALUE"""),586.4)</f>
        <v>586.4</v>
      </c>
      <c r="C14" s="6">
        <f>IFERROR(__xludf.DUMMYFUNCTION("""COMPUTED_VALUE"""),598.4)</f>
        <v>598.4</v>
      </c>
      <c r="D14" s="6">
        <f>IFERROR(__xludf.DUMMYFUNCTION("""COMPUTED_VALUE"""),566.95)</f>
        <v>566.95</v>
      </c>
      <c r="E14" s="6">
        <f>IFERROR(__xludf.DUMMYFUNCTION("""COMPUTED_VALUE"""),568.15)</f>
        <v>568.15</v>
      </c>
      <c r="F14" s="6">
        <f>IFERROR(__xludf.DUMMYFUNCTION("""COMPUTED_VALUE"""),4469920.0)</f>
        <v>4469920</v>
      </c>
    </row>
    <row r="15">
      <c r="A15" s="7">
        <f>IFERROR(__xludf.DUMMYFUNCTION("""COMPUTED_VALUE"""),45261.64583333333)</f>
        <v>45261.64583</v>
      </c>
      <c r="B15" s="6">
        <f>IFERROR(__xludf.DUMMYFUNCTION("""COMPUTED_VALUE"""),572.4)</f>
        <v>572.4</v>
      </c>
      <c r="C15" s="6">
        <f>IFERROR(__xludf.DUMMYFUNCTION("""COMPUTED_VALUE"""),573.4)</f>
        <v>573.4</v>
      </c>
      <c r="D15" s="6">
        <f>IFERROR(__xludf.DUMMYFUNCTION("""COMPUTED_VALUE"""),551.25)</f>
        <v>551.25</v>
      </c>
      <c r="E15" s="6">
        <f>IFERROR(__xludf.DUMMYFUNCTION("""COMPUTED_VALUE"""),562.15)</f>
        <v>562.15</v>
      </c>
      <c r="F15" s="6">
        <f>IFERROR(__xludf.DUMMYFUNCTION("""COMPUTED_VALUE"""),8394586.0)</f>
        <v>8394586</v>
      </c>
    </row>
    <row r="16">
      <c r="A16" s="7">
        <f>IFERROR(__xludf.DUMMYFUNCTION("""COMPUTED_VALUE"""),45268.64583333333)</f>
        <v>45268.64583</v>
      </c>
      <c r="B16" s="6">
        <f>IFERROR(__xludf.DUMMYFUNCTION("""COMPUTED_VALUE"""),565.0)</f>
        <v>565</v>
      </c>
      <c r="C16" s="6">
        <f>IFERROR(__xludf.DUMMYFUNCTION("""COMPUTED_VALUE"""),585.5)</f>
        <v>585.5</v>
      </c>
      <c r="D16" s="6">
        <f>IFERROR(__xludf.DUMMYFUNCTION("""COMPUTED_VALUE"""),559.0)</f>
        <v>559</v>
      </c>
      <c r="E16" s="6">
        <f>IFERROR(__xludf.DUMMYFUNCTION("""COMPUTED_VALUE"""),571.8)</f>
        <v>571.8</v>
      </c>
      <c r="F16" s="6">
        <f>IFERROR(__xludf.DUMMYFUNCTION("""COMPUTED_VALUE"""),5732561.0)</f>
        <v>5732561</v>
      </c>
    </row>
    <row r="17">
      <c r="A17" s="7">
        <f>IFERROR(__xludf.DUMMYFUNCTION("""COMPUTED_VALUE"""),45275.64583333333)</f>
        <v>45275.64583</v>
      </c>
      <c r="B17" s="6">
        <f>IFERROR(__xludf.DUMMYFUNCTION("""COMPUTED_VALUE"""),571.8)</f>
        <v>571.8</v>
      </c>
      <c r="C17" s="6">
        <f>IFERROR(__xludf.DUMMYFUNCTION("""COMPUTED_VALUE"""),573.0)</f>
        <v>573</v>
      </c>
      <c r="D17" s="6">
        <f>IFERROR(__xludf.DUMMYFUNCTION("""COMPUTED_VALUE"""),548.5)</f>
        <v>548.5</v>
      </c>
      <c r="E17" s="6">
        <f>IFERROR(__xludf.DUMMYFUNCTION("""COMPUTED_VALUE"""),552.8)</f>
        <v>552.8</v>
      </c>
      <c r="F17" s="6">
        <f>IFERROR(__xludf.DUMMYFUNCTION("""COMPUTED_VALUE"""),3871135.0)</f>
        <v>3871135</v>
      </c>
    </row>
    <row r="18">
      <c r="A18" s="7">
        <f>IFERROR(__xludf.DUMMYFUNCTION("""COMPUTED_VALUE"""),45282.64583333333)</f>
        <v>45282.64583</v>
      </c>
      <c r="B18" s="6">
        <f>IFERROR(__xludf.DUMMYFUNCTION("""COMPUTED_VALUE"""),556.5)</f>
        <v>556.5</v>
      </c>
      <c r="C18" s="6">
        <f>IFERROR(__xludf.DUMMYFUNCTION("""COMPUTED_VALUE"""),580.9)</f>
        <v>580.9</v>
      </c>
      <c r="D18" s="6">
        <f>IFERROR(__xludf.DUMMYFUNCTION("""COMPUTED_VALUE"""),531.6)</f>
        <v>531.6</v>
      </c>
      <c r="E18" s="6">
        <f>IFERROR(__xludf.DUMMYFUNCTION("""COMPUTED_VALUE"""),577.0)</f>
        <v>577</v>
      </c>
      <c r="F18" s="6">
        <f>IFERROR(__xludf.DUMMYFUNCTION("""COMPUTED_VALUE"""),1.041697E7)</f>
        <v>10416970</v>
      </c>
    </row>
    <row r="19">
      <c r="A19" s="7">
        <f>IFERROR(__xludf.DUMMYFUNCTION("""COMPUTED_VALUE"""),45289.64583333333)</f>
        <v>45289.64583</v>
      </c>
      <c r="B19" s="6">
        <f>IFERROR(__xludf.DUMMYFUNCTION("""COMPUTED_VALUE"""),579.95)</f>
        <v>579.95</v>
      </c>
      <c r="C19" s="6">
        <f>IFERROR(__xludf.DUMMYFUNCTION("""COMPUTED_VALUE"""),651.65)</f>
        <v>651.65</v>
      </c>
      <c r="D19" s="6">
        <f>IFERROR(__xludf.DUMMYFUNCTION("""COMPUTED_VALUE"""),576.0)</f>
        <v>576</v>
      </c>
      <c r="E19" s="6">
        <f>IFERROR(__xludf.DUMMYFUNCTION("""COMPUTED_VALUE"""),644.5)</f>
        <v>644.5</v>
      </c>
      <c r="F19" s="6">
        <f>IFERROR(__xludf.DUMMYFUNCTION("""COMPUTED_VALUE"""),2.2909598E7)</f>
        <v>22909598</v>
      </c>
    </row>
    <row r="20">
      <c r="A20" s="7">
        <f>IFERROR(__xludf.DUMMYFUNCTION("""COMPUTED_VALUE"""),45296.64583333333)</f>
        <v>45296.64583</v>
      </c>
      <c r="B20" s="6">
        <f>IFERROR(__xludf.DUMMYFUNCTION("""COMPUTED_VALUE"""),646.0)</f>
        <v>646</v>
      </c>
      <c r="C20" s="6">
        <f>IFERROR(__xludf.DUMMYFUNCTION("""COMPUTED_VALUE"""),669.95)</f>
        <v>669.95</v>
      </c>
      <c r="D20" s="6">
        <f>IFERROR(__xludf.DUMMYFUNCTION("""COMPUTED_VALUE"""),630.0)</f>
        <v>630</v>
      </c>
      <c r="E20" s="6">
        <f>IFERROR(__xludf.DUMMYFUNCTION("""COMPUTED_VALUE"""),647.1)</f>
        <v>647.1</v>
      </c>
      <c r="F20" s="6">
        <f>IFERROR(__xludf.DUMMYFUNCTION("""COMPUTED_VALUE"""),9806815.0)</f>
        <v>9806815</v>
      </c>
    </row>
    <row r="21">
      <c r="A21" s="7">
        <f>IFERROR(__xludf.DUMMYFUNCTION("""COMPUTED_VALUE"""),45303.64583333333)</f>
        <v>45303.64583</v>
      </c>
      <c r="B21" s="6">
        <f>IFERROR(__xludf.DUMMYFUNCTION("""COMPUTED_VALUE"""),648.0)</f>
        <v>648</v>
      </c>
      <c r="C21" s="6">
        <f>IFERROR(__xludf.DUMMYFUNCTION("""COMPUTED_VALUE"""),649.25)</f>
        <v>649.25</v>
      </c>
      <c r="D21" s="6">
        <f>IFERROR(__xludf.DUMMYFUNCTION("""COMPUTED_VALUE"""),602.65)</f>
        <v>602.65</v>
      </c>
      <c r="E21" s="6">
        <f>IFERROR(__xludf.DUMMYFUNCTION("""COMPUTED_VALUE"""),605.35)</f>
        <v>605.35</v>
      </c>
      <c r="F21" s="6">
        <f>IFERROR(__xludf.DUMMYFUNCTION("""COMPUTED_VALUE"""),8103660.0)</f>
        <v>8103660</v>
      </c>
    </row>
    <row r="22">
      <c r="A22" s="7">
        <f>IFERROR(__xludf.DUMMYFUNCTION("""COMPUTED_VALUE"""),45316.64583333333)</f>
        <v>45316.64583</v>
      </c>
      <c r="B22" s="6">
        <f>IFERROR(__xludf.DUMMYFUNCTION("""COMPUTED_VALUE"""),590.1)</f>
        <v>590.1</v>
      </c>
      <c r="C22" s="6">
        <f>IFERROR(__xludf.DUMMYFUNCTION("""COMPUTED_VALUE"""),599.0)</f>
        <v>599</v>
      </c>
      <c r="D22" s="6">
        <f>IFERROR(__xludf.DUMMYFUNCTION("""COMPUTED_VALUE"""),571.25)</f>
        <v>571.25</v>
      </c>
      <c r="E22" s="6">
        <f>IFERROR(__xludf.DUMMYFUNCTION("""COMPUTED_VALUE"""),585.4)</f>
        <v>585.4</v>
      </c>
      <c r="F22" s="6">
        <f>IFERROR(__xludf.DUMMYFUNCTION("""COMPUTED_VALUE"""),5172017.0)</f>
        <v>5172017</v>
      </c>
    </row>
    <row r="23">
      <c r="A23" s="7">
        <f>IFERROR(__xludf.DUMMYFUNCTION("""COMPUTED_VALUE"""),45324.64583333333)</f>
        <v>45324.64583</v>
      </c>
      <c r="B23" s="6">
        <f>IFERROR(__xludf.DUMMYFUNCTION("""COMPUTED_VALUE"""),590.0)</f>
        <v>590</v>
      </c>
      <c r="C23" s="6">
        <f>IFERROR(__xludf.DUMMYFUNCTION("""COMPUTED_VALUE"""),641.0)</f>
        <v>641</v>
      </c>
      <c r="D23" s="6">
        <f>IFERROR(__xludf.DUMMYFUNCTION("""COMPUTED_VALUE"""),587.0)</f>
        <v>587</v>
      </c>
      <c r="E23" s="6">
        <f>IFERROR(__xludf.DUMMYFUNCTION("""COMPUTED_VALUE"""),630.35)</f>
        <v>630.35</v>
      </c>
      <c r="F23" s="6">
        <f>IFERROR(__xludf.DUMMYFUNCTION("""COMPUTED_VALUE"""),9296101.0)</f>
        <v>9296101</v>
      </c>
    </row>
    <row r="24">
      <c r="A24" s="7">
        <f>IFERROR(__xludf.DUMMYFUNCTION("""COMPUTED_VALUE"""),45331.64583333333)</f>
        <v>45331.64583</v>
      </c>
      <c r="B24" s="6">
        <f>IFERROR(__xludf.DUMMYFUNCTION("""COMPUTED_VALUE"""),630.35)</f>
        <v>630.35</v>
      </c>
      <c r="C24" s="6">
        <f>IFERROR(__xludf.DUMMYFUNCTION("""COMPUTED_VALUE"""),646.9)</f>
        <v>646.9</v>
      </c>
      <c r="D24" s="6">
        <f>IFERROR(__xludf.DUMMYFUNCTION("""COMPUTED_VALUE"""),590.7)</f>
        <v>590.7</v>
      </c>
      <c r="E24" s="6">
        <f>IFERROR(__xludf.DUMMYFUNCTION("""COMPUTED_VALUE"""),619.35)</f>
        <v>619.35</v>
      </c>
      <c r="F24" s="6">
        <f>IFERROR(__xludf.DUMMYFUNCTION("""COMPUTED_VALUE"""),4351103.0)</f>
        <v>4351103</v>
      </c>
    </row>
    <row r="25">
      <c r="A25" s="7">
        <f>IFERROR(__xludf.DUMMYFUNCTION("""COMPUTED_VALUE"""),45338.64583333333)</f>
        <v>45338.64583</v>
      </c>
      <c r="B25" s="6">
        <f>IFERROR(__xludf.DUMMYFUNCTION("""COMPUTED_VALUE"""),627.0)</f>
        <v>627</v>
      </c>
      <c r="C25" s="6">
        <f>IFERROR(__xludf.DUMMYFUNCTION("""COMPUTED_VALUE"""),627.9)</f>
        <v>627.9</v>
      </c>
      <c r="D25" s="6">
        <f>IFERROR(__xludf.DUMMYFUNCTION("""COMPUTED_VALUE"""),580.0)</f>
        <v>580</v>
      </c>
      <c r="E25" s="6">
        <f>IFERROR(__xludf.DUMMYFUNCTION("""COMPUTED_VALUE"""),613.9)</f>
        <v>613.9</v>
      </c>
      <c r="F25" s="6">
        <f>IFERROR(__xludf.DUMMYFUNCTION("""COMPUTED_VALUE"""),3708489.0)</f>
        <v>3708489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IFERROR(__xludf.DUMMYFUNCTION("""COMPUTED_VALUE"""),618.0)</f>
        <v>618</v>
      </c>
      <c r="C26" s="6">
        <f>IFERROR(__xludf.DUMMYFUNCTION("""COMPUTED_VALUE"""),656.5)</f>
        <v>656.5</v>
      </c>
      <c r="D26" s="6">
        <f>IFERROR(__xludf.DUMMYFUNCTION("""COMPUTED_VALUE"""),605.7)</f>
        <v>605.7</v>
      </c>
      <c r="E26" s="6">
        <f>IFERROR(__xludf.DUMMYFUNCTION("""COMPUTED_VALUE"""),649.25)</f>
        <v>649.25</v>
      </c>
      <c r="F26" s="6">
        <f>IFERROR(__xludf.DUMMYFUNCTION("""COMPUTED_VALUE"""),1.3399614E7)</f>
        <v>13399614</v>
      </c>
    </row>
    <row r="27">
      <c r="A27" s="7">
        <f>IFERROR(__xludf.DUMMYFUNCTION("""COMPUTED_VALUE"""),45358.64583333333)</f>
        <v>45358.64583</v>
      </c>
      <c r="B27" s="6">
        <f>IFERROR(__xludf.DUMMYFUNCTION("""COMPUTED_VALUE"""),694.2)</f>
        <v>694.2</v>
      </c>
      <c r="C27" s="6">
        <f>IFERROR(__xludf.DUMMYFUNCTION("""COMPUTED_VALUE"""),695.25)</f>
        <v>695.25</v>
      </c>
      <c r="D27" s="6">
        <f>IFERROR(__xludf.DUMMYFUNCTION("""COMPUTED_VALUE"""),663.15)</f>
        <v>663.15</v>
      </c>
      <c r="E27" s="6">
        <f>IFERROR(__xludf.DUMMYFUNCTION("""COMPUTED_VALUE"""),684.35)</f>
        <v>684.35</v>
      </c>
      <c r="F27" s="6">
        <f>IFERROR(__xludf.DUMMYFUNCTION("""COMPUTED_VALUE"""),6142728.0)</f>
        <v>6142728</v>
      </c>
    </row>
    <row r="28">
      <c r="A28" s="7">
        <f>IFERROR(__xludf.DUMMYFUNCTION("""COMPUTED_VALUE"""),45366.64583333333)</f>
        <v>45366.64583</v>
      </c>
      <c r="B28" s="6">
        <f>IFERROR(__xludf.DUMMYFUNCTION("""COMPUTED_VALUE"""),690.0)</f>
        <v>690</v>
      </c>
      <c r="C28" s="6">
        <f>IFERROR(__xludf.DUMMYFUNCTION("""COMPUTED_VALUE"""),715.2)</f>
        <v>715.2</v>
      </c>
      <c r="D28" s="6">
        <f>IFERROR(__xludf.DUMMYFUNCTION("""COMPUTED_VALUE"""),603.65)</f>
        <v>603.65</v>
      </c>
      <c r="E28" s="6">
        <f>IFERROR(__xludf.DUMMYFUNCTION("""COMPUTED_VALUE"""),641.6)</f>
        <v>641.6</v>
      </c>
      <c r="F28" s="6">
        <f>IFERROR(__xludf.DUMMYFUNCTION("""COMPUTED_VALUE"""),1.5271548E7)</f>
        <v>15271548</v>
      </c>
    </row>
    <row r="29">
      <c r="A29" s="7">
        <f>IFERROR(__xludf.DUMMYFUNCTION("""COMPUTED_VALUE"""),45373.64583333333)</f>
        <v>45373.64583</v>
      </c>
      <c r="B29" s="6">
        <f>IFERROR(__xludf.DUMMYFUNCTION("""COMPUTED_VALUE"""),645.0)</f>
        <v>645</v>
      </c>
      <c r="C29" s="6">
        <f>IFERROR(__xludf.DUMMYFUNCTION("""COMPUTED_VALUE"""),698.7)</f>
        <v>698.7</v>
      </c>
      <c r="D29" s="6">
        <f>IFERROR(__xludf.DUMMYFUNCTION("""COMPUTED_VALUE"""),631.1)</f>
        <v>631.1</v>
      </c>
      <c r="E29" s="6">
        <f>IFERROR(__xludf.DUMMYFUNCTION("""COMPUTED_VALUE"""),691.45)</f>
        <v>691.45</v>
      </c>
      <c r="F29" s="6">
        <f>IFERROR(__xludf.DUMMYFUNCTION("""COMPUTED_VALUE"""),1.0190503E7)</f>
        <v>10190503</v>
      </c>
    </row>
    <row r="30">
      <c r="A30" s="7">
        <f>IFERROR(__xludf.DUMMYFUNCTION("""COMPUTED_VALUE"""),45379.64583333333)</f>
        <v>45379.64583</v>
      </c>
      <c r="B30" s="6">
        <f>IFERROR(__xludf.DUMMYFUNCTION("""COMPUTED_VALUE"""),689.9)</f>
        <v>689.9</v>
      </c>
      <c r="C30" s="6">
        <f>IFERROR(__xludf.DUMMYFUNCTION("""COMPUTED_VALUE"""),716.0)</f>
        <v>716</v>
      </c>
      <c r="D30" s="6">
        <f>IFERROR(__xludf.DUMMYFUNCTION("""COMPUTED_VALUE"""),671.95)</f>
        <v>671.95</v>
      </c>
      <c r="E30" s="6">
        <f>IFERROR(__xludf.DUMMYFUNCTION("""COMPUTED_VALUE"""),705.95)</f>
        <v>705.95</v>
      </c>
      <c r="F30" s="6">
        <f>IFERROR(__xludf.DUMMYFUNCTION("""COMPUTED_VALUE"""),6330573.0)</f>
        <v>6330573</v>
      </c>
    </row>
    <row r="31">
      <c r="A31" s="7">
        <f>IFERROR(__xludf.DUMMYFUNCTION("""COMPUTED_VALUE"""),45387.64583333333)</f>
        <v>45387.64583</v>
      </c>
      <c r="B31" s="6">
        <f>IFERROR(__xludf.DUMMYFUNCTION("""COMPUTED_VALUE"""),709.95)</f>
        <v>709.95</v>
      </c>
      <c r="C31" s="6">
        <f>IFERROR(__xludf.DUMMYFUNCTION("""COMPUTED_VALUE"""),714.0)</f>
        <v>714</v>
      </c>
      <c r="D31" s="6">
        <f>IFERROR(__xludf.DUMMYFUNCTION("""COMPUTED_VALUE"""),659.2)</f>
        <v>659.2</v>
      </c>
      <c r="E31" s="6">
        <f>IFERROR(__xludf.DUMMYFUNCTION("""COMPUTED_VALUE"""),662.6)</f>
        <v>662.6</v>
      </c>
      <c r="F31" s="6">
        <f>IFERROR(__xludf.DUMMYFUNCTION("""COMPUTED_VALUE"""),6776613.0)</f>
        <v>6776613</v>
      </c>
    </row>
    <row r="32">
      <c r="A32" s="7">
        <f>IFERROR(__xludf.DUMMYFUNCTION("""COMPUTED_VALUE"""),45394.64583333333)</f>
        <v>45394.64583</v>
      </c>
      <c r="B32" s="6">
        <f>IFERROR(__xludf.DUMMYFUNCTION("""COMPUTED_VALUE"""),667.0)</f>
        <v>667</v>
      </c>
      <c r="C32" s="6">
        <f>IFERROR(__xludf.DUMMYFUNCTION("""COMPUTED_VALUE"""),706.1)</f>
        <v>706.1</v>
      </c>
      <c r="D32" s="6">
        <f>IFERROR(__xludf.DUMMYFUNCTION("""COMPUTED_VALUE"""),642.5)</f>
        <v>642.5</v>
      </c>
      <c r="E32" s="6">
        <f>IFERROR(__xludf.DUMMYFUNCTION("""COMPUTED_VALUE"""),680.0)</f>
        <v>680</v>
      </c>
      <c r="F32" s="6">
        <f>IFERROR(__xludf.DUMMYFUNCTION("""COMPUTED_VALUE"""),1.4857849E7)</f>
        <v>14857849</v>
      </c>
    </row>
    <row r="33">
      <c r="A33" s="7">
        <f>IFERROR(__xludf.DUMMYFUNCTION("""COMPUTED_VALUE"""),45401.64583333333)</f>
        <v>45401.64583</v>
      </c>
      <c r="B33" s="6">
        <f>IFERROR(__xludf.DUMMYFUNCTION("""COMPUTED_VALUE"""),662.05)</f>
        <v>662.05</v>
      </c>
      <c r="C33" s="6">
        <f>IFERROR(__xludf.DUMMYFUNCTION("""COMPUTED_VALUE"""),691.0)</f>
        <v>691</v>
      </c>
      <c r="D33" s="6">
        <f>IFERROR(__xludf.DUMMYFUNCTION("""COMPUTED_VALUE"""),652.0)</f>
        <v>652</v>
      </c>
      <c r="E33" s="6">
        <f>IFERROR(__xludf.DUMMYFUNCTION("""COMPUTED_VALUE"""),681.25)</f>
        <v>681.25</v>
      </c>
      <c r="F33" s="6">
        <f>IFERROR(__xludf.DUMMYFUNCTION("""COMPUTED_VALUE"""),5958366.0)</f>
        <v>5958366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IFERROR(__xludf.DUMMYFUNCTION("""COMPUTED_VALUE"""),671.0)</f>
        <v>671</v>
      </c>
      <c r="C34" s="6">
        <f>IFERROR(__xludf.DUMMYFUNCTION("""COMPUTED_VALUE"""),681.0)</f>
        <v>681</v>
      </c>
      <c r="D34" s="6">
        <f>IFERROR(__xludf.DUMMYFUNCTION("""COMPUTED_VALUE"""),646.5)</f>
        <v>646.5</v>
      </c>
      <c r="E34" s="6">
        <f>IFERROR(__xludf.DUMMYFUNCTION("""COMPUTED_VALUE"""),647.7)</f>
        <v>647.7</v>
      </c>
      <c r="F34" s="6">
        <f>IFERROR(__xludf.DUMMYFUNCTION("""COMPUTED_VALUE"""),6618254.0)</f>
        <v>6618254</v>
      </c>
    </row>
    <row r="35">
      <c r="A35" s="7">
        <f>IFERROR(__xludf.DUMMYFUNCTION("""COMPUTED_VALUE"""),45415.64583333333)</f>
        <v>45415.64583</v>
      </c>
      <c r="B35" s="6">
        <f>IFERROR(__xludf.DUMMYFUNCTION("""COMPUTED_VALUE"""),650.0)</f>
        <v>650</v>
      </c>
      <c r="C35" s="6">
        <f>IFERROR(__xludf.DUMMYFUNCTION("""COMPUTED_VALUE"""),654.2)</f>
        <v>654.2</v>
      </c>
      <c r="D35" s="6">
        <f>IFERROR(__xludf.DUMMYFUNCTION("""COMPUTED_VALUE"""),604.65)</f>
        <v>604.65</v>
      </c>
      <c r="E35" s="6">
        <f>IFERROR(__xludf.DUMMYFUNCTION("""COMPUTED_VALUE"""),610.25)</f>
        <v>610.25</v>
      </c>
      <c r="F35" s="6">
        <f>IFERROR(__xludf.DUMMYFUNCTION("""COMPUTED_VALUE"""),1.0034886E7)</f>
        <v>10034886</v>
      </c>
    </row>
    <row r="36">
      <c r="A36" s="7">
        <f>IFERROR(__xludf.DUMMYFUNCTION("""COMPUTED_VALUE"""),45422.64583333333)</f>
        <v>45422.64583</v>
      </c>
      <c r="B36" s="6">
        <f>IFERROR(__xludf.DUMMYFUNCTION("""COMPUTED_VALUE"""),615.0)</f>
        <v>615</v>
      </c>
      <c r="C36" s="6">
        <f>IFERROR(__xludf.DUMMYFUNCTION("""COMPUTED_VALUE"""),623.0)</f>
        <v>623</v>
      </c>
      <c r="D36" s="6">
        <f>IFERROR(__xludf.DUMMYFUNCTION("""COMPUTED_VALUE"""),588.0)</f>
        <v>588</v>
      </c>
      <c r="E36" s="6">
        <f>IFERROR(__xludf.DUMMYFUNCTION("""COMPUTED_VALUE"""),590.2)</f>
        <v>590.2</v>
      </c>
      <c r="F36" s="6">
        <f>IFERROR(__xludf.DUMMYFUNCTION("""COMPUTED_VALUE"""),6800654.0)</f>
        <v>6800654</v>
      </c>
    </row>
    <row r="37">
      <c r="A37" s="7">
        <f>IFERROR(__xludf.DUMMYFUNCTION("""COMPUTED_VALUE"""),45436.64583333333)</f>
        <v>45436.64583</v>
      </c>
      <c r="B37" s="6">
        <f>IFERROR(__xludf.DUMMYFUNCTION("""COMPUTED_VALUE"""),613.0)</f>
        <v>613</v>
      </c>
      <c r="C37" s="6">
        <f>IFERROR(__xludf.DUMMYFUNCTION("""COMPUTED_VALUE"""),647.9)</f>
        <v>647.9</v>
      </c>
      <c r="D37" s="6">
        <f>IFERROR(__xludf.DUMMYFUNCTION("""COMPUTED_VALUE"""),608.6)</f>
        <v>608.6</v>
      </c>
      <c r="E37" s="6">
        <f>IFERROR(__xludf.DUMMYFUNCTION("""COMPUTED_VALUE"""),630.4)</f>
        <v>630.4</v>
      </c>
      <c r="F37" s="6">
        <f>IFERROR(__xludf.DUMMYFUNCTION("""COMPUTED_VALUE"""),6861216.0)</f>
        <v>6861216</v>
      </c>
    </row>
    <row r="38">
      <c r="A38" s="7">
        <f>IFERROR(__xludf.DUMMYFUNCTION("""COMPUTED_VALUE"""),45443.64583333333)</f>
        <v>45443.64583</v>
      </c>
      <c r="B38" s="6">
        <f>IFERROR(__xludf.DUMMYFUNCTION("""COMPUTED_VALUE"""),633.75)</f>
        <v>633.75</v>
      </c>
      <c r="C38" s="6">
        <f>IFERROR(__xludf.DUMMYFUNCTION("""COMPUTED_VALUE"""),657.0)</f>
        <v>657</v>
      </c>
      <c r="D38" s="6">
        <f>IFERROR(__xludf.DUMMYFUNCTION("""COMPUTED_VALUE"""),610.55)</f>
        <v>610.55</v>
      </c>
      <c r="E38" s="6">
        <f>IFERROR(__xludf.DUMMYFUNCTION("""COMPUTED_VALUE"""),651.1)</f>
        <v>651.1</v>
      </c>
      <c r="F38" s="6">
        <f>IFERROR(__xludf.DUMMYFUNCTION("""COMPUTED_VALUE"""),1.1402893E7)</f>
        <v>11402893</v>
      </c>
    </row>
    <row r="39">
      <c r="A39" s="7">
        <f>IFERROR(__xludf.DUMMYFUNCTION("""COMPUTED_VALUE"""),45450.64583333333)</f>
        <v>45450.64583</v>
      </c>
      <c r="B39" s="6">
        <f>IFERROR(__xludf.DUMMYFUNCTION("""COMPUTED_VALUE"""),675.0)</f>
        <v>675</v>
      </c>
      <c r="C39" s="6">
        <f>IFERROR(__xludf.DUMMYFUNCTION("""COMPUTED_VALUE"""),676.0)</f>
        <v>676</v>
      </c>
      <c r="D39" s="6">
        <f>IFERROR(__xludf.DUMMYFUNCTION("""COMPUTED_VALUE"""),605.0)</f>
        <v>605</v>
      </c>
      <c r="E39" s="6">
        <f>IFERROR(__xludf.DUMMYFUNCTION("""COMPUTED_VALUE"""),664.45)</f>
        <v>664.45</v>
      </c>
      <c r="F39" s="6">
        <f>IFERROR(__xludf.DUMMYFUNCTION("""COMPUTED_VALUE"""),7061562.0)</f>
        <v>7061562</v>
      </c>
    </row>
    <row r="40">
      <c r="A40" s="7">
        <f>IFERROR(__xludf.DUMMYFUNCTION("""COMPUTED_VALUE"""),45457.64583333333)</f>
        <v>45457.64583</v>
      </c>
      <c r="B40" s="6">
        <f>IFERROR(__xludf.DUMMYFUNCTION("""COMPUTED_VALUE"""),670.0)</f>
        <v>670</v>
      </c>
      <c r="C40" s="6">
        <f>IFERROR(__xludf.DUMMYFUNCTION("""COMPUTED_VALUE"""),672.1)</f>
        <v>672.1</v>
      </c>
      <c r="D40" s="6">
        <f>IFERROR(__xludf.DUMMYFUNCTION("""COMPUTED_VALUE"""),640.15)</f>
        <v>640.15</v>
      </c>
      <c r="E40" s="6">
        <f>IFERROR(__xludf.DUMMYFUNCTION("""COMPUTED_VALUE"""),648.3)</f>
        <v>648.3</v>
      </c>
      <c r="F40" s="6">
        <f>IFERROR(__xludf.DUMMYFUNCTION("""COMPUTED_VALUE"""),5399450.0)</f>
        <v>5399450</v>
      </c>
    </row>
    <row r="41">
      <c r="A41" s="7">
        <f>IFERROR(__xludf.DUMMYFUNCTION("""COMPUTED_VALUE"""),45464.64583333333)</f>
        <v>45464.64583</v>
      </c>
      <c r="B41" s="6">
        <f>IFERROR(__xludf.DUMMYFUNCTION("""COMPUTED_VALUE"""),654.0)</f>
        <v>654</v>
      </c>
      <c r="C41" s="6">
        <f>IFERROR(__xludf.DUMMYFUNCTION("""COMPUTED_VALUE"""),664.3)</f>
        <v>664.3</v>
      </c>
      <c r="D41" s="6">
        <f>IFERROR(__xludf.DUMMYFUNCTION("""COMPUTED_VALUE"""),626.5)</f>
        <v>626.5</v>
      </c>
      <c r="E41" s="6">
        <f>IFERROR(__xludf.DUMMYFUNCTION("""COMPUTED_VALUE"""),629.05)</f>
        <v>629.05</v>
      </c>
      <c r="F41" s="6">
        <f>IFERROR(__xludf.DUMMYFUNCTION("""COMPUTED_VALUE"""),6310995.0)</f>
        <v>6310995</v>
      </c>
    </row>
    <row r="42">
      <c r="A42" s="7">
        <f>IFERROR(__xludf.DUMMYFUNCTION("""COMPUTED_VALUE"""),45471.64583333333)</f>
        <v>45471.64583</v>
      </c>
      <c r="B42" s="6">
        <f>IFERROR(__xludf.DUMMYFUNCTION("""COMPUTED_VALUE"""),629.05)</f>
        <v>629.05</v>
      </c>
      <c r="C42" s="6">
        <f>IFERROR(__xludf.DUMMYFUNCTION("""COMPUTED_VALUE"""),651.9)</f>
        <v>651.9</v>
      </c>
      <c r="D42" s="6">
        <f>IFERROR(__xludf.DUMMYFUNCTION("""COMPUTED_VALUE"""),625.1)</f>
        <v>625.1</v>
      </c>
      <c r="E42" s="6">
        <f>IFERROR(__xludf.DUMMYFUNCTION("""COMPUTED_VALUE"""),641.0)</f>
        <v>641</v>
      </c>
      <c r="F42" s="6">
        <f>IFERROR(__xludf.DUMMYFUNCTION("""COMPUTED_VALUE"""),3845157.0)</f>
        <v>3845157</v>
      </c>
    </row>
    <row r="43">
      <c r="A43" s="7">
        <f>IFERROR(__xludf.DUMMYFUNCTION("""COMPUTED_VALUE"""),45478.64583333333)</f>
        <v>45478.64583</v>
      </c>
      <c r="B43" s="6">
        <f>IFERROR(__xludf.DUMMYFUNCTION("""COMPUTED_VALUE"""),644.75)</f>
        <v>644.75</v>
      </c>
      <c r="C43" s="6">
        <f>IFERROR(__xludf.DUMMYFUNCTION("""COMPUTED_VALUE"""),684.3)</f>
        <v>684.3</v>
      </c>
      <c r="D43" s="6">
        <f>IFERROR(__xludf.DUMMYFUNCTION("""COMPUTED_VALUE"""),641.85)</f>
        <v>641.85</v>
      </c>
      <c r="E43" s="6">
        <f>IFERROR(__xludf.DUMMYFUNCTION("""COMPUTED_VALUE"""),656.9)</f>
        <v>656.9</v>
      </c>
      <c r="F43" s="6">
        <f>IFERROR(__xludf.DUMMYFUNCTION("""COMPUTED_VALUE"""),6547132.0)</f>
        <v>6547132</v>
      </c>
    </row>
    <row r="44">
      <c r="A44" s="7">
        <f>IFERROR(__xludf.DUMMYFUNCTION("""COMPUTED_VALUE"""),45485.64583333333)</f>
        <v>45485.64583</v>
      </c>
      <c r="B44" s="6">
        <f>IFERROR(__xludf.DUMMYFUNCTION("""COMPUTED_VALUE"""),656.45)</f>
        <v>656.45</v>
      </c>
      <c r="C44" s="6">
        <f>IFERROR(__xludf.DUMMYFUNCTION("""COMPUTED_VALUE"""),744.3)</f>
        <v>744.3</v>
      </c>
      <c r="D44" s="6">
        <f>IFERROR(__xludf.DUMMYFUNCTION("""COMPUTED_VALUE"""),656.0)</f>
        <v>656</v>
      </c>
      <c r="E44" s="6">
        <f>IFERROR(__xludf.DUMMYFUNCTION("""COMPUTED_VALUE"""),724.4)</f>
        <v>724.4</v>
      </c>
      <c r="F44" s="6">
        <f>IFERROR(__xludf.DUMMYFUNCTION("""COMPUTED_VALUE"""),1.8678909E7)</f>
        <v>18678909</v>
      </c>
    </row>
    <row r="45">
      <c r="A45" s="7">
        <f>IFERROR(__xludf.DUMMYFUNCTION("""COMPUTED_VALUE"""),45492.64583333333)</f>
        <v>45492.64583</v>
      </c>
      <c r="B45" s="6">
        <f>IFERROR(__xludf.DUMMYFUNCTION("""COMPUTED_VALUE"""),731.6)</f>
        <v>731.6</v>
      </c>
      <c r="C45" s="6">
        <f>IFERROR(__xludf.DUMMYFUNCTION("""COMPUTED_VALUE"""),764.5)</f>
        <v>764.5</v>
      </c>
      <c r="D45" s="6">
        <f>IFERROR(__xludf.DUMMYFUNCTION("""COMPUTED_VALUE"""),682.0)</f>
        <v>682</v>
      </c>
      <c r="E45" s="6">
        <f>IFERROR(__xludf.DUMMYFUNCTION("""COMPUTED_VALUE"""),693.5)</f>
        <v>693.5</v>
      </c>
      <c r="F45" s="6">
        <f>IFERROR(__xludf.DUMMYFUNCTION("""COMPUTED_VALUE"""),6689659.0)</f>
        <v>6689659</v>
      </c>
    </row>
    <row r="46">
      <c r="A46" s="7">
        <f>IFERROR(__xludf.DUMMYFUNCTION("""COMPUTED_VALUE"""),45499.64583333333)</f>
        <v>45499.64583</v>
      </c>
      <c r="B46" s="6">
        <f>IFERROR(__xludf.DUMMYFUNCTION("""COMPUTED_VALUE"""),686.95)</f>
        <v>686.95</v>
      </c>
      <c r="C46" s="6">
        <f>IFERROR(__xludf.DUMMYFUNCTION("""COMPUTED_VALUE"""),718.0)</f>
        <v>718</v>
      </c>
      <c r="D46" s="6">
        <f>IFERROR(__xludf.DUMMYFUNCTION("""COMPUTED_VALUE"""),678.0)</f>
        <v>678</v>
      </c>
      <c r="E46" s="6">
        <f>IFERROR(__xludf.DUMMYFUNCTION("""COMPUTED_VALUE"""),690.25)</f>
        <v>690.25</v>
      </c>
      <c r="F46" s="6">
        <f>IFERROR(__xludf.DUMMYFUNCTION("""COMPUTED_VALUE"""),7304453.0)</f>
        <v>7304453</v>
      </c>
    </row>
    <row r="47">
      <c r="A47" s="7">
        <f>IFERROR(__xludf.DUMMYFUNCTION("""COMPUTED_VALUE"""),45506.64583333333)</f>
        <v>45506.64583</v>
      </c>
      <c r="B47" s="6">
        <f>IFERROR(__xludf.DUMMYFUNCTION("""COMPUTED_VALUE"""),695.85)</f>
        <v>695.85</v>
      </c>
      <c r="C47" s="6">
        <f>IFERROR(__xludf.DUMMYFUNCTION("""COMPUTED_VALUE"""),703.0)</f>
        <v>703</v>
      </c>
      <c r="D47" s="6">
        <f>IFERROR(__xludf.DUMMYFUNCTION("""COMPUTED_VALUE"""),663.4)</f>
        <v>663.4</v>
      </c>
      <c r="E47" s="6">
        <f>IFERROR(__xludf.DUMMYFUNCTION("""COMPUTED_VALUE"""),689.2)</f>
        <v>689.2</v>
      </c>
      <c r="F47" s="6">
        <f>IFERROR(__xludf.DUMMYFUNCTION("""COMPUTED_VALUE"""),6684399.0)</f>
        <v>6684399</v>
      </c>
    </row>
    <row r="48">
      <c r="A48" s="7">
        <f>IFERROR(__xludf.DUMMYFUNCTION("""COMPUTED_VALUE"""),45513.64583333333)</f>
        <v>45513.64583</v>
      </c>
      <c r="B48" s="6">
        <f>IFERROR(__xludf.DUMMYFUNCTION("""COMPUTED_VALUE"""),671.0)</f>
        <v>671</v>
      </c>
      <c r="C48" s="6">
        <f>IFERROR(__xludf.DUMMYFUNCTION("""COMPUTED_VALUE"""),689.0)</f>
        <v>689</v>
      </c>
      <c r="D48" s="6">
        <f>IFERROR(__xludf.DUMMYFUNCTION("""COMPUTED_VALUE"""),647.6)</f>
        <v>647.6</v>
      </c>
      <c r="E48" s="6">
        <f>IFERROR(__xludf.DUMMYFUNCTION("""COMPUTED_VALUE"""),678.8)</f>
        <v>678.8</v>
      </c>
      <c r="F48" s="6">
        <f>IFERROR(__xludf.DUMMYFUNCTION("""COMPUTED_VALUE"""),7571683.0)</f>
        <v>7571683</v>
      </c>
    </row>
    <row r="49">
      <c r="A49" s="7">
        <f>IFERROR(__xludf.DUMMYFUNCTION("""COMPUTED_VALUE"""),45520.64583333333)</f>
        <v>45520.64583</v>
      </c>
      <c r="B49" s="6">
        <f>IFERROR(__xludf.DUMMYFUNCTION("""COMPUTED_VALUE"""),670.1)</f>
        <v>670.1</v>
      </c>
      <c r="C49" s="6">
        <f>IFERROR(__xludf.DUMMYFUNCTION("""COMPUTED_VALUE"""),691.3)</f>
        <v>691.3</v>
      </c>
      <c r="D49" s="6">
        <f>IFERROR(__xludf.DUMMYFUNCTION("""COMPUTED_VALUE"""),643.75)</f>
        <v>643.75</v>
      </c>
      <c r="E49" s="6">
        <f>IFERROR(__xludf.DUMMYFUNCTION("""COMPUTED_VALUE"""),686.7)</f>
        <v>686.7</v>
      </c>
      <c r="F49" s="6">
        <f>IFERROR(__xludf.DUMMYFUNCTION("""COMPUTED_VALUE"""),5697925.0)</f>
        <v>5697925</v>
      </c>
    </row>
    <row r="50">
      <c r="A50" s="7">
        <f>IFERROR(__xludf.DUMMYFUNCTION("""COMPUTED_VALUE"""),45527.64583333333)</f>
        <v>45527.64583</v>
      </c>
      <c r="B50" s="6">
        <f>IFERROR(__xludf.DUMMYFUNCTION("""COMPUTED_VALUE"""),693.9)</f>
        <v>693.9</v>
      </c>
      <c r="C50" s="6">
        <f>IFERROR(__xludf.DUMMYFUNCTION("""COMPUTED_VALUE"""),702.2)</f>
        <v>702.2</v>
      </c>
      <c r="D50" s="6">
        <f>IFERROR(__xludf.DUMMYFUNCTION("""COMPUTED_VALUE"""),679.0)</f>
        <v>679</v>
      </c>
      <c r="E50" s="6">
        <f>IFERROR(__xludf.DUMMYFUNCTION("""COMPUTED_VALUE"""),695.35)</f>
        <v>695.35</v>
      </c>
      <c r="F50" s="6">
        <f>IFERROR(__xludf.DUMMYFUNCTION("""COMPUTED_VALUE"""),3724130.0)</f>
        <v>3724130</v>
      </c>
    </row>
    <row r="51">
      <c r="A51" s="7">
        <f>IFERROR(__xludf.DUMMYFUNCTION("""COMPUTED_VALUE"""),45534.64583333333)</f>
        <v>45534.64583</v>
      </c>
      <c r="B51" s="6">
        <f>IFERROR(__xludf.DUMMYFUNCTION("""COMPUTED_VALUE"""),695.65)</f>
        <v>695.65</v>
      </c>
      <c r="C51" s="6">
        <f>IFERROR(__xludf.DUMMYFUNCTION("""COMPUTED_VALUE"""),736.9)</f>
        <v>736.9</v>
      </c>
      <c r="D51" s="6">
        <f>IFERROR(__xludf.DUMMYFUNCTION("""COMPUTED_VALUE"""),678.0)</f>
        <v>678</v>
      </c>
      <c r="E51" s="6">
        <f>IFERROR(__xludf.DUMMYFUNCTION("""COMPUTED_VALUE"""),683.35)</f>
        <v>683.35</v>
      </c>
      <c r="F51" s="6">
        <f>IFERROR(__xludf.DUMMYFUNCTION("""COMPUTED_VALUE"""),9544212.0)</f>
        <v>9544212</v>
      </c>
    </row>
    <row r="52">
      <c r="A52" s="7">
        <f>IFERROR(__xludf.DUMMYFUNCTION("""COMPUTED_VALUE"""),45541.64583333333)</f>
        <v>45541.64583</v>
      </c>
      <c r="B52" s="6">
        <f>IFERROR(__xludf.DUMMYFUNCTION("""COMPUTED_VALUE"""),685.0)</f>
        <v>685</v>
      </c>
      <c r="C52" s="6">
        <f>IFERROR(__xludf.DUMMYFUNCTION("""COMPUTED_VALUE"""),752.4)</f>
        <v>752.4</v>
      </c>
      <c r="D52" s="6">
        <f>IFERROR(__xludf.DUMMYFUNCTION("""COMPUTED_VALUE"""),682.5)</f>
        <v>682.5</v>
      </c>
      <c r="E52" s="6">
        <f>IFERROR(__xludf.DUMMYFUNCTION("""COMPUTED_VALUE"""),718.9)</f>
        <v>718.9</v>
      </c>
      <c r="F52" s="6">
        <f>IFERROR(__xludf.DUMMYFUNCTION("""COMPUTED_VALUE"""),1.8009138E7)</f>
        <v>18009138</v>
      </c>
    </row>
    <row r="53">
      <c r="A53" s="7">
        <f>IFERROR(__xludf.DUMMYFUNCTION("""COMPUTED_VALUE"""),45548.64583333333)</f>
        <v>45548.64583</v>
      </c>
      <c r="B53" s="6">
        <f>IFERROR(__xludf.DUMMYFUNCTION("""COMPUTED_VALUE"""),714.9)</f>
        <v>714.9</v>
      </c>
      <c r="C53" s="6">
        <f>IFERROR(__xludf.DUMMYFUNCTION("""COMPUTED_VALUE"""),746.0)</f>
        <v>746</v>
      </c>
      <c r="D53" s="6">
        <f>IFERROR(__xludf.DUMMYFUNCTION("""COMPUTED_VALUE"""),685.6)</f>
        <v>685.6</v>
      </c>
      <c r="E53" s="6">
        <f>IFERROR(__xludf.DUMMYFUNCTION("""COMPUTED_VALUE"""),724.25)</f>
        <v>724.25</v>
      </c>
      <c r="F53" s="6">
        <f>IFERROR(__xludf.DUMMYFUNCTION("""COMPUTED_VALUE"""),9225481.0)</f>
        <v>9225481</v>
      </c>
    </row>
    <row r="54">
      <c r="A54" s="7">
        <f>IFERROR(__xludf.DUMMYFUNCTION("""COMPUTED_VALUE"""),45555.64583333333)</f>
        <v>45555.64583</v>
      </c>
      <c r="B54" s="6">
        <f>IFERROR(__xludf.DUMMYFUNCTION("""COMPUTED_VALUE"""),730.0)</f>
        <v>730</v>
      </c>
      <c r="C54" s="6">
        <f>IFERROR(__xludf.DUMMYFUNCTION("""COMPUTED_VALUE"""),759.45)</f>
        <v>759.45</v>
      </c>
      <c r="D54" s="6">
        <f>IFERROR(__xludf.DUMMYFUNCTION("""COMPUTED_VALUE"""),698.0)</f>
        <v>698</v>
      </c>
      <c r="E54" s="6">
        <f>IFERROR(__xludf.DUMMYFUNCTION("""COMPUTED_VALUE"""),748.35)</f>
        <v>748.35</v>
      </c>
      <c r="F54" s="6">
        <f>IFERROR(__xludf.DUMMYFUNCTION("""COMPUTED_VALUE"""),1.3152146E7)</f>
        <v>13152146</v>
      </c>
    </row>
    <row r="55">
      <c r="A55" s="7">
        <f>IFERROR(__xludf.DUMMYFUNCTION("""COMPUTED_VALUE"""),45562.64583333333)</f>
        <v>45562.64583</v>
      </c>
      <c r="B55" s="6">
        <f>IFERROR(__xludf.DUMMYFUNCTION("""COMPUTED_VALUE"""),763.35)</f>
        <v>763.35</v>
      </c>
      <c r="C55" s="6">
        <f>IFERROR(__xludf.DUMMYFUNCTION("""COMPUTED_VALUE"""),768.65)</f>
        <v>768.65</v>
      </c>
      <c r="D55" s="6">
        <f>IFERROR(__xludf.DUMMYFUNCTION("""COMPUTED_VALUE"""),714.05)</f>
        <v>714.05</v>
      </c>
      <c r="E55" s="6">
        <f>IFERROR(__xludf.DUMMYFUNCTION("""COMPUTED_VALUE"""),735.45)</f>
        <v>735.45</v>
      </c>
      <c r="F55" s="6">
        <f>IFERROR(__xludf.DUMMYFUNCTION("""COMPUTED_VALUE"""),1.0282659E7)</f>
        <v>10282659</v>
      </c>
    </row>
    <row r="56">
      <c r="A56" s="7">
        <f>IFERROR(__xludf.DUMMYFUNCTION("""COMPUTED_VALUE"""),45569.64583333333)</f>
        <v>45569.64583</v>
      </c>
      <c r="B56" s="6">
        <f>IFERROR(__xludf.DUMMYFUNCTION("""COMPUTED_VALUE"""),734.0)</f>
        <v>734</v>
      </c>
      <c r="C56" s="6">
        <f>IFERROR(__xludf.DUMMYFUNCTION("""COMPUTED_VALUE"""),746.3)</f>
        <v>746.3</v>
      </c>
      <c r="D56" s="6">
        <f>IFERROR(__xludf.DUMMYFUNCTION("""COMPUTED_VALUE"""),686.55)</f>
        <v>686.55</v>
      </c>
      <c r="E56" s="6">
        <f>IFERROR(__xludf.DUMMYFUNCTION("""COMPUTED_VALUE"""),696.8)</f>
        <v>696.8</v>
      </c>
      <c r="F56" s="6">
        <f>IFERROR(__xludf.DUMMYFUNCTION("""COMPUTED_VALUE"""),5574139.0)</f>
        <v>5574139</v>
      </c>
    </row>
    <row r="57">
      <c r="A57" s="7">
        <f>IFERROR(__xludf.DUMMYFUNCTION("""COMPUTED_VALUE"""),45576.64583333333)</f>
        <v>45576.64583</v>
      </c>
      <c r="B57" s="6">
        <f>IFERROR(__xludf.DUMMYFUNCTION("""COMPUTED_VALUE"""),694.0)</f>
        <v>694</v>
      </c>
      <c r="C57" s="6">
        <f>IFERROR(__xludf.DUMMYFUNCTION("""COMPUTED_VALUE"""),694.5)</f>
        <v>694.5</v>
      </c>
      <c r="D57" s="6">
        <f>IFERROR(__xludf.DUMMYFUNCTION("""COMPUTED_VALUE"""),661.5)</f>
        <v>661.5</v>
      </c>
      <c r="E57" s="6">
        <f>IFERROR(__xludf.DUMMYFUNCTION("""COMPUTED_VALUE"""),665.1)</f>
        <v>665.1</v>
      </c>
      <c r="F57" s="6">
        <f>IFERROR(__xludf.DUMMYFUNCTION("""COMPUTED_VALUE"""),9556189.0)</f>
        <v>9556189</v>
      </c>
    </row>
    <row r="58">
      <c r="A58" s="7">
        <f>IFERROR(__xludf.DUMMYFUNCTION("""COMPUTED_VALUE"""),45583.64583333333)</f>
        <v>45583.64583</v>
      </c>
      <c r="B58" s="6">
        <f>IFERROR(__xludf.DUMMYFUNCTION("""COMPUTED_VALUE"""),666.65)</f>
        <v>666.65</v>
      </c>
      <c r="C58" s="6">
        <f>IFERROR(__xludf.DUMMYFUNCTION("""COMPUTED_VALUE"""),669.95)</f>
        <v>669.95</v>
      </c>
      <c r="D58" s="6">
        <f>IFERROR(__xludf.DUMMYFUNCTION("""COMPUTED_VALUE"""),635.0)</f>
        <v>635</v>
      </c>
      <c r="E58" s="6">
        <f>IFERROR(__xludf.DUMMYFUNCTION("""COMPUTED_VALUE"""),637.3)</f>
        <v>637.3</v>
      </c>
      <c r="F58" s="6">
        <f>IFERROR(__xludf.DUMMYFUNCTION("""COMPUTED_VALUE"""),8205672.0)</f>
        <v>8205672</v>
      </c>
    </row>
    <row r="59">
      <c r="A59" s="7">
        <f>IFERROR(__xludf.DUMMYFUNCTION("""COMPUTED_VALUE"""),45590.64583333333)</f>
        <v>45590.64583</v>
      </c>
      <c r="B59" s="6">
        <f>IFERROR(__xludf.DUMMYFUNCTION("""COMPUTED_VALUE"""),637.3)</f>
        <v>637.3</v>
      </c>
      <c r="C59" s="6">
        <f>IFERROR(__xludf.DUMMYFUNCTION("""COMPUTED_VALUE"""),744.9)</f>
        <v>744.9</v>
      </c>
      <c r="D59" s="6">
        <f>IFERROR(__xludf.DUMMYFUNCTION("""COMPUTED_VALUE"""),626.85)</f>
        <v>626.85</v>
      </c>
      <c r="E59" s="6">
        <f>IFERROR(__xludf.DUMMYFUNCTION("""COMPUTED_VALUE"""),699.25)</f>
        <v>699.25</v>
      </c>
      <c r="F59" s="6">
        <f>IFERROR(__xludf.DUMMYFUNCTION("""COMPUTED_VALUE"""),3.7991666E7)</f>
        <v>37991666</v>
      </c>
    </row>
    <row r="60">
      <c r="A60" s="7">
        <f>IFERROR(__xludf.DUMMYFUNCTION("""COMPUTED_VALUE"""),45604.64583333333)</f>
        <v>45604.64583</v>
      </c>
      <c r="B60" s="6">
        <f>IFERROR(__xludf.DUMMYFUNCTION("""COMPUTED_VALUE"""),700.85)</f>
        <v>700.85</v>
      </c>
      <c r="C60" s="6">
        <f>IFERROR(__xludf.DUMMYFUNCTION("""COMPUTED_VALUE"""),720.9)</f>
        <v>720.9</v>
      </c>
      <c r="D60" s="6">
        <f>IFERROR(__xludf.DUMMYFUNCTION("""COMPUTED_VALUE"""),675.25)</f>
        <v>675.25</v>
      </c>
      <c r="E60" s="6">
        <f>IFERROR(__xludf.DUMMYFUNCTION("""COMPUTED_VALUE"""),704.0)</f>
        <v>704</v>
      </c>
      <c r="F60" s="6">
        <f>IFERROR(__xludf.DUMMYFUNCTION("""COMPUTED_VALUE"""),6292453.0)</f>
        <v>6292453</v>
      </c>
    </row>
    <row r="61">
      <c r="A61" s="7">
        <f>IFERROR(__xludf.DUMMYFUNCTION("""COMPUTED_VALUE"""),45610.64583333333)</f>
        <v>45610.64583</v>
      </c>
      <c r="B61" s="6">
        <f>IFERROR(__xludf.DUMMYFUNCTION("""COMPUTED_VALUE"""),701.0)</f>
        <v>701</v>
      </c>
      <c r="C61" s="6">
        <f>IFERROR(__xludf.DUMMYFUNCTION("""COMPUTED_VALUE"""),714.6)</f>
        <v>714.6</v>
      </c>
      <c r="D61" s="6">
        <f>IFERROR(__xludf.DUMMYFUNCTION("""COMPUTED_VALUE"""),660.55)</f>
        <v>660.55</v>
      </c>
      <c r="E61" s="6">
        <f>IFERROR(__xludf.DUMMYFUNCTION("""COMPUTED_VALUE"""),668.65)</f>
        <v>668.65</v>
      </c>
      <c r="F61" s="6">
        <f>IFERROR(__xludf.DUMMYFUNCTION("""COMPUTED_VALUE"""),3359539.0)</f>
        <v>3359539</v>
      </c>
    </row>
    <row r="62">
      <c r="A62" s="7">
        <f>IFERROR(__xludf.DUMMYFUNCTION("""COMPUTED_VALUE"""),45618.64583333333)</f>
        <v>45618.64583</v>
      </c>
      <c r="B62" s="6">
        <f>IFERROR(__xludf.DUMMYFUNCTION("""COMPUTED_VALUE"""),679.0)</f>
        <v>679</v>
      </c>
      <c r="C62" s="6">
        <f>IFERROR(__xludf.DUMMYFUNCTION("""COMPUTED_VALUE"""),696.6)</f>
        <v>696.6</v>
      </c>
      <c r="D62" s="6">
        <f>IFERROR(__xludf.DUMMYFUNCTION("""COMPUTED_VALUE"""),658.65)</f>
        <v>658.65</v>
      </c>
      <c r="E62" s="6">
        <f>IFERROR(__xludf.DUMMYFUNCTION("""COMPUTED_VALUE"""),685.7)</f>
        <v>685.7</v>
      </c>
      <c r="F62" s="6">
        <f>IFERROR(__xludf.DUMMYFUNCTION("""COMPUTED_VALUE"""),4362257.0)</f>
        <v>4362257</v>
      </c>
    </row>
    <row r="63">
      <c r="A63" s="7">
        <f>IFERROR(__xludf.DUMMYFUNCTION("""COMPUTED_VALUE"""),45625.64583333333)</f>
        <v>45625.64583</v>
      </c>
      <c r="B63" s="6">
        <f>IFERROR(__xludf.DUMMYFUNCTION("""COMPUTED_VALUE"""),694.0)</f>
        <v>694</v>
      </c>
      <c r="C63" s="6">
        <f>IFERROR(__xludf.DUMMYFUNCTION("""COMPUTED_VALUE"""),701.0)</f>
        <v>701</v>
      </c>
      <c r="D63" s="6">
        <f>IFERROR(__xludf.DUMMYFUNCTION("""COMPUTED_VALUE"""),658.15)</f>
        <v>658.15</v>
      </c>
      <c r="E63" s="6">
        <f>IFERROR(__xludf.DUMMYFUNCTION("""COMPUTED_VALUE"""),671.6)</f>
        <v>671.6</v>
      </c>
      <c r="F63" s="6">
        <f>IFERROR(__xludf.DUMMYFUNCTION("""COMPUTED_VALUE"""),6850566.0)</f>
        <v>6850566</v>
      </c>
    </row>
    <row r="64">
      <c r="A64" s="7">
        <f>IFERROR(__xludf.DUMMYFUNCTION("""COMPUTED_VALUE"""),45632.64583333333)</f>
        <v>45632.64583</v>
      </c>
      <c r="B64" s="6">
        <f>IFERROR(__xludf.DUMMYFUNCTION("""COMPUTED_VALUE"""),671.0)</f>
        <v>671</v>
      </c>
      <c r="C64" s="6">
        <f>IFERROR(__xludf.DUMMYFUNCTION("""COMPUTED_VALUE"""),697.45)</f>
        <v>697.45</v>
      </c>
      <c r="D64" s="6">
        <f>IFERROR(__xludf.DUMMYFUNCTION("""COMPUTED_VALUE"""),667.1)</f>
        <v>667.1</v>
      </c>
      <c r="E64" s="6">
        <f>IFERROR(__xludf.DUMMYFUNCTION("""COMPUTED_VALUE"""),669.0)</f>
        <v>669</v>
      </c>
      <c r="F64" s="6">
        <f>IFERROR(__xludf.DUMMYFUNCTION("""COMPUTED_VALUE"""),5649577.0)</f>
        <v>5649577</v>
      </c>
    </row>
    <row r="65">
      <c r="A65" s="7">
        <f>IFERROR(__xludf.DUMMYFUNCTION("""COMPUTED_VALUE"""),45639.64583333333)</f>
        <v>45639.64583</v>
      </c>
      <c r="B65" s="6">
        <f>IFERROR(__xludf.DUMMYFUNCTION("""COMPUTED_VALUE"""),669.0)</f>
        <v>669</v>
      </c>
      <c r="C65" s="6">
        <f>IFERROR(__xludf.DUMMYFUNCTION("""COMPUTED_VALUE"""),675.95)</f>
        <v>675.95</v>
      </c>
      <c r="D65" s="6">
        <f>IFERROR(__xludf.DUMMYFUNCTION("""COMPUTED_VALUE"""),626.1)</f>
        <v>626.1</v>
      </c>
      <c r="E65" s="6">
        <f>IFERROR(__xludf.DUMMYFUNCTION("""COMPUTED_VALUE"""),631.8)</f>
        <v>631.8</v>
      </c>
      <c r="F65" s="6">
        <f>IFERROR(__xludf.DUMMYFUNCTION("""COMPUTED_VALUE"""),6269658.0)</f>
        <v>6269658</v>
      </c>
    </row>
    <row r="66">
      <c r="A66" s="7">
        <f>IFERROR(__xludf.DUMMYFUNCTION("""COMPUTED_VALUE"""),45646.64583333333)</f>
        <v>45646.64583</v>
      </c>
      <c r="B66" s="6">
        <f>IFERROR(__xludf.DUMMYFUNCTION("""COMPUTED_VALUE"""),631.9)</f>
        <v>631.9</v>
      </c>
      <c r="C66" s="6">
        <f>IFERROR(__xludf.DUMMYFUNCTION("""COMPUTED_VALUE"""),640.1)</f>
        <v>640.1</v>
      </c>
      <c r="D66" s="6">
        <f>IFERROR(__xludf.DUMMYFUNCTION("""COMPUTED_VALUE"""),586.55)</f>
        <v>586.55</v>
      </c>
      <c r="E66" s="6">
        <f>IFERROR(__xludf.DUMMYFUNCTION("""COMPUTED_VALUE"""),588.45)</f>
        <v>588.45</v>
      </c>
      <c r="F66" s="6">
        <f>IFERROR(__xludf.DUMMYFUNCTION("""COMPUTED_VALUE"""),1.2525792E7)</f>
        <v>12525792</v>
      </c>
    </row>
    <row r="67">
      <c r="A67" s="7">
        <f>IFERROR(__xludf.DUMMYFUNCTION("""COMPUTED_VALUE"""),45653.64583333333)</f>
        <v>45653.64583</v>
      </c>
      <c r="B67" s="6">
        <f>IFERROR(__xludf.DUMMYFUNCTION("""COMPUTED_VALUE"""),590.55)</f>
        <v>590.55</v>
      </c>
      <c r="C67" s="6">
        <f>IFERROR(__xludf.DUMMYFUNCTION("""COMPUTED_VALUE"""),601.9)</f>
        <v>601.9</v>
      </c>
      <c r="D67" s="6">
        <f>IFERROR(__xludf.DUMMYFUNCTION("""COMPUTED_VALUE"""),580.85)</f>
        <v>580.85</v>
      </c>
      <c r="E67" s="6">
        <f>IFERROR(__xludf.DUMMYFUNCTION("""COMPUTED_VALUE"""),600.35)</f>
        <v>600.35</v>
      </c>
      <c r="F67" s="6">
        <f>IFERROR(__xludf.DUMMYFUNCTION("""COMPUTED_VALUE"""),5042293.0)</f>
        <v>5042293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IFERROR(__xludf.DUMMYFUNCTION("""COMPUTED_VALUE"""),600.5)</f>
        <v>600.5</v>
      </c>
      <c r="C68" s="6">
        <f>IFERROR(__xludf.DUMMYFUNCTION("""COMPUTED_VALUE"""),607.3)</f>
        <v>607.3</v>
      </c>
      <c r="D68" s="6">
        <f>IFERROR(__xludf.DUMMYFUNCTION("""COMPUTED_VALUE"""),584.7)</f>
        <v>584.7</v>
      </c>
      <c r="E68" s="6">
        <f>IFERROR(__xludf.DUMMYFUNCTION("""COMPUTED_VALUE"""),591.1)</f>
        <v>591.1</v>
      </c>
      <c r="F68" s="6">
        <f>IFERROR(__xludf.DUMMYFUNCTION("""COMPUTED_VALUE"""),7315316.0)</f>
        <v>7315316</v>
      </c>
    </row>
    <row r="69">
      <c r="A69" s="7">
        <f>IFERROR(__xludf.DUMMYFUNCTION("""COMPUTED_VALUE"""),45667.64583333333)</f>
        <v>45667.64583</v>
      </c>
      <c r="B69" s="6">
        <f>IFERROR(__xludf.DUMMYFUNCTION("""COMPUTED_VALUE"""),590.0)</f>
        <v>590</v>
      </c>
      <c r="C69" s="6">
        <f>IFERROR(__xludf.DUMMYFUNCTION("""COMPUTED_VALUE"""),595.15)</f>
        <v>595.15</v>
      </c>
      <c r="D69" s="6">
        <f>IFERROR(__xludf.DUMMYFUNCTION("""COMPUTED_VALUE"""),558.55)</f>
        <v>558.55</v>
      </c>
      <c r="E69" s="6">
        <f>IFERROR(__xludf.DUMMYFUNCTION("""COMPUTED_VALUE"""),569.55)</f>
        <v>569.55</v>
      </c>
      <c r="F69" s="6">
        <f>IFERROR(__xludf.DUMMYFUNCTION("""COMPUTED_VALUE"""),7090232.0)</f>
        <v>7090232</v>
      </c>
    </row>
    <row r="70">
      <c r="A70" s="7">
        <f>IFERROR(__xludf.DUMMYFUNCTION("""COMPUTED_VALUE"""),45674.64583333333)</f>
        <v>45674.64583</v>
      </c>
      <c r="B70" s="6">
        <f>IFERROR(__xludf.DUMMYFUNCTION("""COMPUTED_VALUE"""),557.0)</f>
        <v>557</v>
      </c>
      <c r="C70" s="6">
        <f>IFERROR(__xludf.DUMMYFUNCTION("""COMPUTED_VALUE"""),588.95)</f>
        <v>588.95</v>
      </c>
      <c r="D70" s="6">
        <f>IFERROR(__xludf.DUMMYFUNCTION("""COMPUTED_VALUE"""),556.25)</f>
        <v>556.25</v>
      </c>
      <c r="E70" s="6">
        <f>IFERROR(__xludf.DUMMYFUNCTION("""COMPUTED_VALUE"""),574.75)</f>
        <v>574.75</v>
      </c>
      <c r="F70" s="6">
        <f>IFERROR(__xludf.DUMMYFUNCTION("""COMPUTED_VALUE"""),8055631.0)</f>
        <v>8055631</v>
      </c>
    </row>
    <row r="71">
      <c r="A71" s="7">
        <f>IFERROR(__xludf.DUMMYFUNCTION("""COMPUTED_VALUE"""),45681.64583333333)</f>
        <v>45681.64583</v>
      </c>
      <c r="B71" s="6">
        <f>IFERROR(__xludf.DUMMYFUNCTION("""COMPUTED_VALUE"""),578.55)</f>
        <v>578.55</v>
      </c>
      <c r="C71" s="6">
        <f>IFERROR(__xludf.DUMMYFUNCTION("""COMPUTED_VALUE"""),579.95)</f>
        <v>579.95</v>
      </c>
      <c r="D71" s="6">
        <f>IFERROR(__xludf.DUMMYFUNCTION("""COMPUTED_VALUE"""),510.0)</f>
        <v>510</v>
      </c>
      <c r="E71" s="6">
        <f>IFERROR(__xludf.DUMMYFUNCTION("""COMPUTED_VALUE"""),525.05)</f>
        <v>525.05</v>
      </c>
      <c r="F71" s="6">
        <f>IFERROR(__xludf.DUMMYFUNCTION("""COMPUTED_VALUE"""),1.6838318E7)</f>
        <v>16838318</v>
      </c>
    </row>
    <row r="72">
      <c r="A72" s="7">
        <f>IFERROR(__xludf.DUMMYFUNCTION("""COMPUTED_VALUE"""),45695.64583333333)</f>
        <v>45695.64583</v>
      </c>
      <c r="B72" s="6">
        <f>IFERROR(__xludf.DUMMYFUNCTION("""COMPUTED_VALUE"""),500.0)</f>
        <v>500</v>
      </c>
      <c r="C72" s="6">
        <f>IFERROR(__xludf.DUMMYFUNCTION("""COMPUTED_VALUE"""),535.85)</f>
        <v>535.85</v>
      </c>
      <c r="D72" s="6">
        <f>IFERROR(__xludf.DUMMYFUNCTION("""COMPUTED_VALUE"""),477.6)</f>
        <v>477.6</v>
      </c>
      <c r="E72" s="6">
        <f>IFERROR(__xludf.DUMMYFUNCTION("""COMPUTED_VALUE"""),529.6)</f>
        <v>529.6</v>
      </c>
      <c r="F72" s="6">
        <f>IFERROR(__xludf.DUMMYFUNCTION("""COMPUTED_VALUE"""),2.123236E7)</f>
        <v>21232360</v>
      </c>
    </row>
    <row r="73">
      <c r="A73" s="7">
        <f>IFERROR(__xludf.DUMMYFUNCTION("""COMPUTED_VALUE"""),45702.64583333333)</f>
        <v>45702.64583</v>
      </c>
      <c r="B73" s="6">
        <f>IFERROR(__xludf.DUMMYFUNCTION("""COMPUTED_VALUE"""),529.5)</f>
        <v>529.5</v>
      </c>
      <c r="C73" s="6">
        <f>IFERROR(__xludf.DUMMYFUNCTION("""COMPUTED_VALUE"""),534.5)</f>
        <v>534.5</v>
      </c>
      <c r="D73" s="6">
        <f>IFERROR(__xludf.DUMMYFUNCTION("""COMPUTED_VALUE"""),485.0)</f>
        <v>485</v>
      </c>
      <c r="E73" s="6">
        <f>IFERROR(__xludf.DUMMYFUNCTION("""COMPUTED_VALUE"""),489.25)</f>
        <v>489.25</v>
      </c>
      <c r="F73" s="6">
        <f>IFERROR(__xludf.DUMMYFUNCTION("""COMPUTED_VALUE"""),8608137.0)</f>
        <v>8608137</v>
      </c>
    </row>
    <row r="74">
      <c r="A74" s="7">
        <f>IFERROR(__xludf.DUMMYFUNCTION("""COMPUTED_VALUE"""),45709.64583333333)</f>
        <v>45709.64583</v>
      </c>
      <c r="B74" s="6">
        <f>IFERROR(__xludf.DUMMYFUNCTION("""COMPUTED_VALUE"""),483.9)</f>
        <v>483.9</v>
      </c>
      <c r="C74" s="6">
        <f>IFERROR(__xludf.DUMMYFUNCTION("""COMPUTED_VALUE"""),524.65)</f>
        <v>524.65</v>
      </c>
      <c r="D74" s="6">
        <f>IFERROR(__xludf.DUMMYFUNCTION("""COMPUTED_VALUE"""),475.05)</f>
        <v>475.05</v>
      </c>
      <c r="E74" s="6">
        <f>IFERROR(__xludf.DUMMYFUNCTION("""COMPUTED_VALUE"""),507.45)</f>
        <v>507.45</v>
      </c>
      <c r="F74" s="6">
        <f>IFERROR(__xludf.DUMMYFUNCTION("""COMPUTED_VALUE"""),1.0618899E7)</f>
        <v>10618899</v>
      </c>
    </row>
    <row r="75">
      <c r="A75" s="7">
        <f>IFERROR(__xludf.DUMMYFUNCTION("""COMPUTED_VALUE"""),45716.64583333333)</f>
        <v>45716.64583</v>
      </c>
      <c r="B75" s="6">
        <f>IFERROR(__xludf.DUMMYFUNCTION("""COMPUTED_VALUE"""),504.85)</f>
        <v>504.85</v>
      </c>
      <c r="C75" s="6">
        <f>IFERROR(__xludf.DUMMYFUNCTION("""COMPUTED_VALUE"""),513.55)</f>
        <v>513.55</v>
      </c>
      <c r="D75" s="6">
        <f>IFERROR(__xludf.DUMMYFUNCTION("""COMPUTED_VALUE"""),476.7)</f>
        <v>476.7</v>
      </c>
      <c r="E75" s="6">
        <f>IFERROR(__xludf.DUMMYFUNCTION("""COMPUTED_VALUE"""),493.9)</f>
        <v>493.9</v>
      </c>
      <c r="F75" s="6">
        <f>IFERROR(__xludf.DUMMYFUNCTION("""COMPUTED_VALUE"""),7047343.0)</f>
        <v>7047343</v>
      </c>
    </row>
    <row r="76">
      <c r="A76" s="7">
        <f>IFERROR(__xludf.DUMMYFUNCTION("""COMPUTED_VALUE"""),45723.64583333333)</f>
        <v>45723.64583</v>
      </c>
      <c r="B76" s="6">
        <f>IFERROR(__xludf.DUMMYFUNCTION("""COMPUTED_VALUE"""),503.95)</f>
        <v>503.95</v>
      </c>
      <c r="C76" s="6">
        <f>IFERROR(__xludf.DUMMYFUNCTION("""COMPUTED_VALUE"""),532.45)</f>
        <v>532.45</v>
      </c>
      <c r="D76" s="6">
        <f>IFERROR(__xludf.DUMMYFUNCTION("""COMPUTED_VALUE"""),464.05)</f>
        <v>464.05</v>
      </c>
      <c r="E76" s="6">
        <f>IFERROR(__xludf.DUMMYFUNCTION("""COMPUTED_VALUE"""),517.6)</f>
        <v>517.6</v>
      </c>
      <c r="F76" s="6">
        <f>IFERROR(__xludf.DUMMYFUNCTION("""COMPUTED_VALUE"""),7468992.0)</f>
        <v>7468992</v>
      </c>
    </row>
    <row r="77">
      <c r="A77" s="7">
        <f>IFERROR(__xludf.DUMMYFUNCTION("""COMPUTED_VALUE"""),45729.64583333333)</f>
        <v>45729.64583</v>
      </c>
      <c r="B77" s="6">
        <f>IFERROR(__xludf.DUMMYFUNCTION("""COMPUTED_VALUE"""),518.0)</f>
        <v>518</v>
      </c>
      <c r="C77" s="6">
        <f>IFERROR(__xludf.DUMMYFUNCTION("""COMPUTED_VALUE"""),522.9)</f>
        <v>522.9</v>
      </c>
      <c r="D77" s="6">
        <f>IFERROR(__xludf.DUMMYFUNCTION("""COMPUTED_VALUE"""),484.45)</f>
        <v>484.45</v>
      </c>
      <c r="E77" s="6">
        <f>IFERROR(__xludf.DUMMYFUNCTION("""COMPUTED_VALUE"""),485.8)</f>
        <v>485.8</v>
      </c>
      <c r="F77" s="6">
        <f>IFERROR(__xludf.DUMMYFUNCTION("""COMPUTED_VALUE"""),6021677.0)</f>
        <v>6021677</v>
      </c>
    </row>
    <row r="78">
      <c r="A78" s="7">
        <f>IFERROR(__xludf.DUMMYFUNCTION("""COMPUTED_VALUE"""),45737.64583333333)</f>
        <v>45737.64583</v>
      </c>
      <c r="B78" s="6">
        <f>IFERROR(__xludf.DUMMYFUNCTION("""COMPUTED_VALUE"""),485.1)</f>
        <v>485.1</v>
      </c>
      <c r="C78" s="6">
        <f>IFERROR(__xludf.DUMMYFUNCTION("""COMPUTED_VALUE"""),518.0)</f>
        <v>518</v>
      </c>
      <c r="D78" s="6">
        <f>IFERROR(__xludf.DUMMYFUNCTION("""COMPUTED_VALUE"""),481.0)</f>
        <v>481</v>
      </c>
      <c r="E78" s="6">
        <f>IFERROR(__xludf.DUMMYFUNCTION("""COMPUTED_VALUE"""),509.35)</f>
        <v>509.35</v>
      </c>
      <c r="F78" s="6">
        <f>IFERROR(__xludf.DUMMYFUNCTION("""COMPUTED_VALUE"""),5269554.0)</f>
        <v>5269554</v>
      </c>
    </row>
    <row r="79">
      <c r="A79" s="7">
        <f>IFERROR(__xludf.DUMMYFUNCTION("""COMPUTED_VALUE"""),45744.64583333333)</f>
        <v>45744.64583</v>
      </c>
      <c r="B79" s="6">
        <f>IFERROR(__xludf.DUMMYFUNCTION("""COMPUTED_VALUE"""),512.15)</f>
        <v>512.15</v>
      </c>
      <c r="C79" s="6">
        <f>IFERROR(__xludf.DUMMYFUNCTION("""COMPUTED_VALUE"""),520.5)</f>
        <v>520.5</v>
      </c>
      <c r="D79" s="6">
        <f>IFERROR(__xludf.DUMMYFUNCTION("""COMPUTED_VALUE"""),458.0)</f>
        <v>458</v>
      </c>
      <c r="E79" s="6">
        <f>IFERROR(__xludf.DUMMYFUNCTION("""COMPUTED_VALUE"""),461.2)</f>
        <v>461.2</v>
      </c>
      <c r="F79" s="6">
        <f>IFERROR(__xludf.DUMMYFUNCTION("""COMPUTED_VALUE"""),1.7071306E7)</f>
        <v>17071306</v>
      </c>
    </row>
    <row r="80">
      <c r="A80" s="7">
        <f>IFERROR(__xludf.DUMMYFUNCTION("""COMPUTED_VALUE"""),45751.64583333333)</f>
        <v>45751.64583</v>
      </c>
      <c r="B80" s="6">
        <f>IFERROR(__xludf.DUMMYFUNCTION("""COMPUTED_VALUE"""),460.0)</f>
        <v>460</v>
      </c>
      <c r="C80" s="6">
        <f>IFERROR(__xludf.DUMMYFUNCTION("""COMPUTED_VALUE"""),468.5)</f>
        <v>468.5</v>
      </c>
      <c r="D80" s="6">
        <f>IFERROR(__xludf.DUMMYFUNCTION("""COMPUTED_VALUE"""),414.15)</f>
        <v>414.15</v>
      </c>
      <c r="E80" s="6">
        <f>IFERROR(__xludf.DUMMYFUNCTION("""COMPUTED_VALUE"""),421.85)</f>
        <v>421.85</v>
      </c>
      <c r="F80" s="6">
        <f>IFERROR(__xludf.DUMMYFUNCTION("""COMPUTED_VALUE"""),1.1124517E7)</f>
        <v>11124517</v>
      </c>
    </row>
    <row r="81">
      <c r="A81" s="7">
        <f>IFERROR(__xludf.DUMMYFUNCTION("""COMPUTED_VALUE"""),45758.64583333333)</f>
        <v>45758.64583</v>
      </c>
      <c r="B81" s="6">
        <f>IFERROR(__xludf.DUMMYFUNCTION("""COMPUTED_VALUE"""),380.0)</f>
        <v>380</v>
      </c>
      <c r="C81" s="6">
        <f>IFERROR(__xludf.DUMMYFUNCTION("""COMPUTED_VALUE"""),431.25)</f>
        <v>431.25</v>
      </c>
      <c r="D81" s="6">
        <f>IFERROR(__xludf.DUMMYFUNCTION("""COMPUTED_VALUE"""),380.0)</f>
        <v>380</v>
      </c>
      <c r="E81" s="6">
        <f>IFERROR(__xludf.DUMMYFUNCTION("""COMPUTED_VALUE"""),430.1)</f>
        <v>430.1</v>
      </c>
      <c r="F81" s="6">
        <f>IFERROR(__xludf.DUMMYFUNCTION("""COMPUTED_VALUE"""),8640545.0)</f>
        <v>8640545</v>
      </c>
    </row>
    <row r="82">
      <c r="A82" s="7">
        <f>IFERROR(__xludf.DUMMYFUNCTION("""COMPUTED_VALUE"""),45764.64583333333)</f>
        <v>45764.64583</v>
      </c>
      <c r="B82" s="6">
        <f>IFERROR(__xludf.DUMMYFUNCTION("""COMPUTED_VALUE"""),452.6)</f>
        <v>452.6</v>
      </c>
      <c r="C82" s="6">
        <f>IFERROR(__xludf.DUMMYFUNCTION("""COMPUTED_VALUE"""),466.0)</f>
        <v>466</v>
      </c>
      <c r="D82" s="6">
        <f>IFERROR(__xludf.DUMMYFUNCTION("""COMPUTED_VALUE"""),435.85)</f>
        <v>435.85</v>
      </c>
      <c r="E82" s="6">
        <f>IFERROR(__xludf.DUMMYFUNCTION("""COMPUTED_VALUE"""),451.7)</f>
        <v>451.7</v>
      </c>
      <c r="F82" s="6">
        <f>IFERROR(__xludf.DUMMYFUNCTION("""COMPUTED_VALUE"""),1.1053061E7)</f>
        <v>11053061</v>
      </c>
    </row>
    <row r="83">
      <c r="A83" s="7">
        <f>IFERROR(__xludf.DUMMYFUNCTION("""COMPUTED_VALUE"""),45772.64583333333)</f>
        <v>45772.64583</v>
      </c>
      <c r="B83" s="6">
        <f>IFERROR(__xludf.DUMMYFUNCTION("""COMPUTED_VALUE"""),451.7)</f>
        <v>451.7</v>
      </c>
      <c r="C83" s="6">
        <f>IFERROR(__xludf.DUMMYFUNCTION("""COMPUTED_VALUE"""),488.0)</f>
        <v>488</v>
      </c>
      <c r="D83" s="6">
        <f>IFERROR(__xludf.DUMMYFUNCTION("""COMPUTED_VALUE"""),449.3)</f>
        <v>449.3</v>
      </c>
      <c r="E83" s="6">
        <f>IFERROR(__xludf.DUMMYFUNCTION("""COMPUTED_VALUE"""),453.65)</f>
        <v>453.65</v>
      </c>
      <c r="F83" s="6">
        <f>IFERROR(__xludf.DUMMYFUNCTION("""COMPUTED_VALUE"""),1.4211898E7)</f>
        <v>14211898</v>
      </c>
    </row>
    <row r="84">
      <c r="A84" s="7">
        <f>IFERROR(__xludf.DUMMYFUNCTION("""COMPUTED_VALUE"""),45779.64583333333)</f>
        <v>45779.64583</v>
      </c>
      <c r="B84" s="6">
        <f>IFERROR(__xludf.DUMMYFUNCTION("""COMPUTED_VALUE"""),453.0)</f>
        <v>453</v>
      </c>
      <c r="C84" s="6">
        <f>IFERROR(__xludf.DUMMYFUNCTION("""COMPUTED_VALUE"""),499.3)</f>
        <v>499.3</v>
      </c>
      <c r="D84" s="6">
        <f>IFERROR(__xludf.DUMMYFUNCTION("""COMPUTED_VALUE"""),452.1)</f>
        <v>452.1</v>
      </c>
      <c r="E84" s="6">
        <f>IFERROR(__xludf.DUMMYFUNCTION("""COMPUTED_VALUE"""),496.95)</f>
        <v>496.95</v>
      </c>
      <c r="F84" s="6">
        <f>IFERROR(__xludf.DUMMYFUNCTION("""COMPUTED_VALUE"""),1.8036373E7)</f>
        <v>18036373</v>
      </c>
    </row>
    <row r="85">
      <c r="A85" s="7">
        <f>IFERROR(__xludf.DUMMYFUNCTION("""COMPUTED_VALUE"""),45786.64583333333)</f>
        <v>45786.64583</v>
      </c>
      <c r="B85" s="6">
        <f>IFERROR(__xludf.DUMMYFUNCTION("""COMPUTED_VALUE"""),497.0)</f>
        <v>497</v>
      </c>
      <c r="C85" s="6">
        <f>IFERROR(__xludf.DUMMYFUNCTION("""COMPUTED_VALUE"""),515.8)</f>
        <v>515.8</v>
      </c>
      <c r="D85" s="6">
        <f>IFERROR(__xludf.DUMMYFUNCTION("""COMPUTED_VALUE"""),490.0)</f>
        <v>490</v>
      </c>
      <c r="E85" s="6">
        <f>IFERROR(__xludf.DUMMYFUNCTION("""COMPUTED_VALUE"""),500.5)</f>
        <v>500.5</v>
      </c>
      <c r="F85" s="6">
        <f>IFERROR(__xludf.DUMMYFUNCTION("""COMPUTED_VALUE"""),1.1085075E7)</f>
        <v>11085075</v>
      </c>
    </row>
    <row r="86">
      <c r="A86" s="7">
        <f>IFERROR(__xludf.DUMMYFUNCTION("""COMPUTED_VALUE"""),45793.64583333333)</f>
        <v>45793.64583</v>
      </c>
      <c r="B86" s="6">
        <f>IFERROR(__xludf.DUMMYFUNCTION("""COMPUTED_VALUE"""),512.95)</f>
        <v>512.95</v>
      </c>
      <c r="C86" s="6">
        <f>IFERROR(__xludf.DUMMYFUNCTION("""COMPUTED_VALUE"""),545.35)</f>
        <v>545.35</v>
      </c>
      <c r="D86" s="6">
        <f>IFERROR(__xludf.DUMMYFUNCTION("""COMPUTED_VALUE"""),506.5)</f>
        <v>506.5</v>
      </c>
      <c r="E86" s="6">
        <f>IFERROR(__xludf.DUMMYFUNCTION("""COMPUTED_VALUE"""),542.85)</f>
        <v>542.85</v>
      </c>
      <c r="F86" s="6">
        <f>IFERROR(__xludf.DUMMYFUNCTION("""COMPUTED_VALUE"""),6347599.0)</f>
        <v>6347599</v>
      </c>
    </row>
    <row r="87">
      <c r="A87" s="7">
        <f>IFERROR(__xludf.DUMMYFUNCTION("""COMPUTED_VALUE"""),45800.64583333333)</f>
        <v>45800.64583</v>
      </c>
      <c r="B87" s="6">
        <f>IFERROR(__xludf.DUMMYFUNCTION("""COMPUTED_VALUE"""),544.8)</f>
        <v>544.8</v>
      </c>
      <c r="C87" s="6">
        <f>IFERROR(__xludf.DUMMYFUNCTION("""COMPUTED_VALUE"""),548.55)</f>
        <v>548.55</v>
      </c>
      <c r="D87" s="6">
        <f>IFERROR(__xludf.DUMMYFUNCTION("""COMPUTED_VALUE"""),521.65)</f>
        <v>521.65</v>
      </c>
      <c r="E87" s="6">
        <f>IFERROR(__xludf.DUMMYFUNCTION("""COMPUTED_VALUE"""),537.3)</f>
        <v>537.3</v>
      </c>
      <c r="F87" s="6">
        <f>IFERROR(__xludf.DUMMYFUNCTION("""COMPUTED_VALUE"""),4500733.0)</f>
        <v>4500733</v>
      </c>
    </row>
    <row r="88">
      <c r="A88" s="7">
        <f>IFERROR(__xludf.DUMMYFUNCTION("""COMPUTED_VALUE"""),45807.64583333333)</f>
        <v>45807.64583</v>
      </c>
      <c r="B88" s="6">
        <f>IFERROR(__xludf.DUMMYFUNCTION("""COMPUTED_VALUE"""),537.3)</f>
        <v>537.3</v>
      </c>
      <c r="C88" s="6">
        <f>IFERROR(__xludf.DUMMYFUNCTION("""COMPUTED_VALUE"""),559.5)</f>
        <v>559.5</v>
      </c>
      <c r="D88" s="6">
        <f>IFERROR(__xludf.DUMMYFUNCTION("""COMPUTED_VALUE"""),532.0)</f>
        <v>532</v>
      </c>
      <c r="E88" s="6">
        <f>IFERROR(__xludf.DUMMYFUNCTION("""COMPUTED_VALUE"""),543.95)</f>
        <v>543.95</v>
      </c>
      <c r="F88" s="6">
        <f>IFERROR(__xludf.DUMMYFUNCTION("""COMPUTED_VALUE"""),1.3635294E7)</f>
        <v>13635294</v>
      </c>
    </row>
    <row r="89">
      <c r="A89" s="7">
        <f>IFERROR(__xludf.DUMMYFUNCTION("""COMPUTED_VALUE"""),45814.64583333333)</f>
        <v>45814.64583</v>
      </c>
      <c r="B89" s="6">
        <f>IFERROR(__xludf.DUMMYFUNCTION("""COMPUTED_VALUE"""),539.95)</f>
        <v>539.95</v>
      </c>
      <c r="C89" s="6">
        <f>IFERROR(__xludf.DUMMYFUNCTION("""COMPUTED_VALUE"""),548.0)</f>
        <v>548</v>
      </c>
      <c r="D89" s="6">
        <f>IFERROR(__xludf.DUMMYFUNCTION("""COMPUTED_VALUE"""),508.25)</f>
        <v>508.25</v>
      </c>
      <c r="E89" s="6">
        <f>IFERROR(__xludf.DUMMYFUNCTION("""COMPUTED_VALUE"""),510.15)</f>
        <v>510.15</v>
      </c>
      <c r="F89" s="6">
        <f>IFERROR(__xludf.DUMMYFUNCTION("""COMPUTED_VALUE"""),9031020.0)</f>
        <v>9031020</v>
      </c>
    </row>
    <row r="90">
      <c r="A90" s="7">
        <f>IFERROR(__xludf.DUMMYFUNCTION("""COMPUTED_VALUE"""),45821.64583333333)</f>
        <v>45821.64583</v>
      </c>
      <c r="B90" s="6">
        <f>IFERROR(__xludf.DUMMYFUNCTION("""COMPUTED_VALUE"""),512.0)</f>
        <v>512</v>
      </c>
      <c r="C90" s="6">
        <f>IFERROR(__xludf.DUMMYFUNCTION("""COMPUTED_VALUE"""),534.65)</f>
        <v>534.65</v>
      </c>
      <c r="D90" s="6">
        <f>IFERROR(__xludf.DUMMYFUNCTION("""COMPUTED_VALUE"""),467.95)</f>
        <v>467.95</v>
      </c>
      <c r="E90" s="6">
        <f>IFERROR(__xludf.DUMMYFUNCTION("""COMPUTED_VALUE"""),501.85)</f>
        <v>501.85</v>
      </c>
      <c r="F90" s="6">
        <f>IFERROR(__xludf.DUMMYFUNCTION("""COMPUTED_VALUE"""),8504518.0)</f>
        <v>8504518</v>
      </c>
    </row>
    <row r="91">
      <c r="A91" s="7">
        <f>IFERROR(__xludf.DUMMYFUNCTION("""COMPUTED_VALUE"""),45828.64583333333)</f>
        <v>45828.64583</v>
      </c>
      <c r="B91" s="6">
        <f>IFERROR(__xludf.DUMMYFUNCTION("""COMPUTED_VALUE"""),499.35)</f>
        <v>499.35</v>
      </c>
      <c r="C91" s="6">
        <f>IFERROR(__xludf.DUMMYFUNCTION("""COMPUTED_VALUE"""),504.5)</f>
        <v>504.5</v>
      </c>
      <c r="D91" s="6">
        <f>IFERROR(__xludf.DUMMYFUNCTION("""COMPUTED_VALUE"""),473.9)</f>
        <v>473.9</v>
      </c>
      <c r="E91" s="6">
        <f>IFERROR(__xludf.DUMMYFUNCTION("""COMPUTED_VALUE"""),486.95)</f>
        <v>486.95</v>
      </c>
      <c r="F91" s="6">
        <f>IFERROR(__xludf.DUMMYFUNCTION("""COMPUTED_VALUE"""),1.5328991E7)</f>
        <v>15328991</v>
      </c>
    </row>
    <row r="92">
      <c r="A92" s="7">
        <f>IFERROR(__xludf.DUMMYFUNCTION("""COMPUTED_VALUE"""),45835.64583333333)</f>
        <v>45835.64583</v>
      </c>
      <c r="B92" s="6">
        <f>IFERROR(__xludf.DUMMYFUNCTION("""COMPUTED_VALUE"""),479.9)</f>
        <v>479.9</v>
      </c>
      <c r="C92" s="6">
        <f>IFERROR(__xludf.DUMMYFUNCTION("""COMPUTED_VALUE"""),488.9)</f>
        <v>488.9</v>
      </c>
      <c r="D92" s="6">
        <f>IFERROR(__xludf.DUMMYFUNCTION("""COMPUTED_VALUE"""),475.05)</f>
        <v>475.05</v>
      </c>
      <c r="E92" s="6">
        <f>IFERROR(__xludf.DUMMYFUNCTION("""COMPUTED_VALUE"""),479.25)</f>
        <v>479.25</v>
      </c>
      <c r="F92" s="6">
        <f>IFERROR(__xludf.DUMMYFUNCTION("""COMPUTED_VALUE"""),1.2412162E7)</f>
        <v>12412162</v>
      </c>
    </row>
    <row r="93">
      <c r="A93" s="7">
        <f>IFERROR(__xludf.DUMMYFUNCTION("""COMPUTED_VALUE"""),45842.64583333333)</f>
        <v>45842.64583</v>
      </c>
      <c r="B93" s="6">
        <f>IFERROR(__xludf.DUMMYFUNCTION("""COMPUTED_VALUE"""),481.5)</f>
        <v>481.5</v>
      </c>
      <c r="C93" s="6">
        <f>IFERROR(__xludf.DUMMYFUNCTION("""COMPUTED_VALUE"""),489.0)</f>
        <v>489</v>
      </c>
      <c r="D93" s="6">
        <f>IFERROR(__xludf.DUMMYFUNCTION("""COMPUTED_VALUE"""),471.15)</f>
        <v>471.15</v>
      </c>
      <c r="E93" s="6">
        <f>IFERROR(__xludf.DUMMYFUNCTION("""COMPUTED_VALUE"""),478.4)</f>
        <v>478.4</v>
      </c>
      <c r="F93" s="6">
        <f>IFERROR(__xludf.DUMMYFUNCTION("""COMPUTED_VALUE"""),7073489.0)</f>
        <v>7073489</v>
      </c>
    </row>
    <row r="94">
      <c r="A94" s="7">
        <f>IFERROR(__xludf.DUMMYFUNCTION("""COMPUTED_VALUE"""),45849.64583333333)</f>
        <v>45849.64583</v>
      </c>
      <c r="B94" s="6">
        <f>IFERROR(__xludf.DUMMYFUNCTION("""COMPUTED_VALUE"""),478.4)</f>
        <v>478.4</v>
      </c>
      <c r="C94" s="6">
        <f>IFERROR(__xludf.DUMMYFUNCTION("""COMPUTED_VALUE"""),480.5)</f>
        <v>480.5</v>
      </c>
      <c r="D94" s="6">
        <f>IFERROR(__xludf.DUMMYFUNCTION("""COMPUTED_VALUE"""),446.15)</f>
        <v>446.15</v>
      </c>
      <c r="E94" s="6">
        <f>IFERROR(__xludf.DUMMYFUNCTION("""COMPUTED_VALUE"""),447.15)</f>
        <v>447.15</v>
      </c>
      <c r="F94" s="6">
        <f>IFERROR(__xludf.DUMMYFUNCTION("""COMPUTED_VALUE"""),1.489371E7)</f>
        <v>14893710</v>
      </c>
    </row>
    <row r="95">
      <c r="A95" s="7">
        <f>IFERROR(__xludf.DUMMYFUNCTION("""COMPUTED_VALUE"""),45856.64583333333)</f>
        <v>45856.64583</v>
      </c>
      <c r="B95" s="6">
        <f>IFERROR(__xludf.DUMMYFUNCTION("""COMPUTED_VALUE"""),470.0)</f>
        <v>470</v>
      </c>
      <c r="C95" s="6">
        <f>IFERROR(__xludf.DUMMYFUNCTION("""COMPUTED_VALUE"""),494.0)</f>
        <v>494</v>
      </c>
      <c r="D95" s="6">
        <f>IFERROR(__xludf.DUMMYFUNCTION("""COMPUTED_VALUE"""),445.5)</f>
        <v>445.5</v>
      </c>
      <c r="E95" s="6">
        <f>IFERROR(__xludf.DUMMYFUNCTION("""COMPUTED_VALUE"""),479.75)</f>
        <v>479.75</v>
      </c>
      <c r="F95" s="6">
        <f>IFERROR(__xludf.DUMMYFUNCTION("""COMPUTED_VALUE"""),5.2234234E7)</f>
        <v>52234234</v>
      </c>
    </row>
    <row r="96">
      <c r="A96" s="7">
        <f>IFERROR(__xludf.DUMMYFUNCTION("""COMPUTED_VALUE"""),45863.64583333333)</f>
        <v>45863.64583</v>
      </c>
      <c r="B96" s="6">
        <f>IFERROR(__xludf.DUMMYFUNCTION("""COMPUTED_VALUE"""),485.1)</f>
        <v>485.1</v>
      </c>
      <c r="C96" s="6">
        <f>IFERROR(__xludf.DUMMYFUNCTION("""COMPUTED_VALUE"""),496.45)</f>
        <v>496.45</v>
      </c>
      <c r="D96" s="6">
        <f>IFERROR(__xludf.DUMMYFUNCTION("""COMPUTED_VALUE"""),467.0)</f>
        <v>467</v>
      </c>
      <c r="E96" s="6">
        <f>IFERROR(__xludf.DUMMYFUNCTION("""COMPUTED_VALUE"""),469.45)</f>
        <v>469.45</v>
      </c>
      <c r="F96" s="6">
        <f>IFERROR(__xludf.DUMMYFUNCTION("""COMPUTED_VALUE"""),2.1842409E7)</f>
        <v>21842409</v>
      </c>
    </row>
    <row r="97">
      <c r="A97" s="7">
        <f>IFERROR(__xludf.DUMMYFUNCTION("""COMPUTED_VALUE"""),45870.64583333333)</f>
        <v>45870.64583</v>
      </c>
      <c r="B97" s="6">
        <f>IFERROR(__xludf.DUMMYFUNCTION("""COMPUTED_VALUE"""),469.05)</f>
        <v>469.05</v>
      </c>
      <c r="C97" s="6">
        <f>IFERROR(__xludf.DUMMYFUNCTION("""COMPUTED_VALUE"""),479.7)</f>
        <v>479.7</v>
      </c>
      <c r="D97" s="6">
        <f>IFERROR(__xludf.DUMMYFUNCTION("""COMPUTED_VALUE"""),435.3)</f>
        <v>435.3</v>
      </c>
      <c r="E97" s="6">
        <f>IFERROR(__xludf.DUMMYFUNCTION("""COMPUTED_VALUE"""),437.55)</f>
        <v>437.55</v>
      </c>
      <c r="F97" s="6">
        <f>IFERROR(__xludf.DUMMYFUNCTION("""COMPUTED_VALUE"""),1.556635E7)</f>
        <v>15566350</v>
      </c>
    </row>
    <row r="98">
      <c r="A98" s="7">
        <f>IFERROR(__xludf.DUMMYFUNCTION("""COMPUTED_VALUE"""),45877.64583333333)</f>
        <v>45877.64583</v>
      </c>
      <c r="B98" s="6">
        <f>IFERROR(__xludf.DUMMYFUNCTION("""COMPUTED_VALUE"""),439.0)</f>
        <v>439</v>
      </c>
      <c r="C98" s="6">
        <f>IFERROR(__xludf.DUMMYFUNCTION("""COMPUTED_VALUE"""),455.25)</f>
        <v>455.25</v>
      </c>
      <c r="D98" s="6">
        <f>IFERROR(__xludf.DUMMYFUNCTION("""COMPUTED_VALUE"""),431.35)</f>
        <v>431.35</v>
      </c>
      <c r="E98" s="6">
        <f>IFERROR(__xludf.DUMMYFUNCTION("""COMPUTED_VALUE"""),445.0)</f>
        <v>445</v>
      </c>
      <c r="F98" s="6">
        <f>IFERROR(__xludf.DUMMYFUNCTION("""COMPUTED_VALUE"""),1.1828638E7)</f>
        <v>11828638</v>
      </c>
    </row>
    <row r="99">
      <c r="A99" s="7">
        <f>IFERROR(__xludf.DUMMYFUNCTION("""COMPUTED_VALUE"""),45883.64583333333)</f>
        <v>45883.64583</v>
      </c>
      <c r="B99" s="6">
        <f>IFERROR(__xludf.DUMMYFUNCTION("""COMPUTED_VALUE"""),445.45)</f>
        <v>445.45</v>
      </c>
      <c r="C99" s="6">
        <f>IFERROR(__xludf.DUMMYFUNCTION("""COMPUTED_VALUE"""),453.0)</f>
        <v>453</v>
      </c>
      <c r="D99" s="6">
        <f>IFERROR(__xludf.DUMMYFUNCTION("""COMPUTED_VALUE"""),439.25)</f>
        <v>439.25</v>
      </c>
      <c r="E99" s="6">
        <f>IFERROR(__xludf.DUMMYFUNCTION("""COMPUTED_VALUE"""),451.85)</f>
        <v>451.85</v>
      </c>
      <c r="F99" s="6">
        <f>IFERROR(__xludf.DUMMYFUNCTION("""COMPUTED_VALUE"""),6361516.0)</f>
        <v>6361516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IFERROR(__xludf.DUMMYFUNCTION("""COMPUTED_VALUE"""),454.95)</f>
        <v>454.95</v>
      </c>
      <c r="C100" s="6">
        <f>IFERROR(__xludf.DUMMYFUNCTION("""COMPUTED_VALUE"""),466.65)</f>
        <v>466.65</v>
      </c>
      <c r="D100" s="6">
        <f>IFERROR(__xludf.DUMMYFUNCTION("""COMPUTED_VALUE"""),441.55)</f>
        <v>441.55</v>
      </c>
      <c r="E100" s="6">
        <f>IFERROR(__xludf.DUMMYFUNCTION("""COMPUTED_VALUE"""),449.65)</f>
        <v>449.65</v>
      </c>
      <c r="F100" s="6">
        <f>IFERROR(__xludf.DUMMYFUNCTION("""COMPUTED_VALUE"""),1.9103143E7)</f>
        <v>19103143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IFERROR(__xludf.DUMMYFUNCTION("""COMPUTED_VALUE"""),449.65)</f>
        <v>449.65</v>
      </c>
      <c r="C101" s="6">
        <f>IFERROR(__xludf.DUMMYFUNCTION("""COMPUTED_VALUE"""),463.2)</f>
        <v>463.2</v>
      </c>
      <c r="D101" s="6">
        <f>IFERROR(__xludf.DUMMYFUNCTION("""COMPUTED_VALUE"""),441.8)</f>
        <v>441.8</v>
      </c>
      <c r="E101" s="6">
        <f>IFERROR(__xludf.DUMMYFUNCTION("""COMPUTED_VALUE"""),453.7)</f>
        <v>453.7</v>
      </c>
      <c r="F101" s="6">
        <f>IFERROR(__xludf.DUMMYFUNCTION("""COMPUTED_VALUE"""),2.48601435E8)</f>
        <v>248601435</v>
      </c>
    </row>
  </sheetData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IFERROR(__xludf.DUMMYFUNCTION("GOOGLEFINANCE(""NSE:SRF"",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IFERROR(__xludf.DUMMYFUNCTION("""COMPUTED_VALUE"""),2314.95)</f>
        <v>2314.95</v>
      </c>
      <c r="C2" s="6">
        <f>IFERROR(__xludf.DUMMYFUNCTION("""COMPUTED_VALUE"""),2397.0)</f>
        <v>2397</v>
      </c>
      <c r="D2" s="6">
        <f>IFERROR(__xludf.DUMMYFUNCTION("""COMPUTED_VALUE"""),2301.05)</f>
        <v>2301.05</v>
      </c>
      <c r="E2" s="6">
        <f>IFERROR(__xludf.DUMMYFUNCTION("""COMPUTED_VALUE"""),2384.05)</f>
        <v>2384.05</v>
      </c>
      <c r="F2" s="6">
        <f>IFERROR(__xludf.DUMMYFUNCTION("""COMPUTED_VALUE"""),2992993.0)</f>
        <v>2992993</v>
      </c>
    </row>
    <row r="3">
      <c r="A3" s="7">
        <f>IFERROR(__xludf.DUMMYFUNCTION("""COMPUTED_VALUE"""),45177.64583333333)</f>
        <v>45177.64583</v>
      </c>
      <c r="B3" s="6">
        <f>IFERROR(__xludf.DUMMYFUNCTION("""COMPUTED_VALUE"""),2390.0)</f>
        <v>2390</v>
      </c>
      <c r="C3" s="6">
        <f>IFERROR(__xludf.DUMMYFUNCTION("""COMPUTED_VALUE"""),2475.5)</f>
        <v>2475.5</v>
      </c>
      <c r="D3" s="6">
        <f>IFERROR(__xludf.DUMMYFUNCTION("""COMPUTED_VALUE"""),2375.0)</f>
        <v>2375</v>
      </c>
      <c r="E3" s="6">
        <f>IFERROR(__xludf.DUMMYFUNCTION("""COMPUTED_VALUE"""),2440.3)</f>
        <v>2440.3</v>
      </c>
      <c r="F3" s="6">
        <f>IFERROR(__xludf.DUMMYFUNCTION("""COMPUTED_VALUE"""),2532962.0)</f>
        <v>2532962</v>
      </c>
    </row>
    <row r="4">
      <c r="A4" s="7">
        <f>IFERROR(__xludf.DUMMYFUNCTION("""COMPUTED_VALUE"""),45184.64583333333)</f>
        <v>45184.64583</v>
      </c>
      <c r="B4" s="6">
        <f>IFERROR(__xludf.DUMMYFUNCTION("""COMPUTED_VALUE"""),2441.0)</f>
        <v>2441</v>
      </c>
      <c r="C4" s="6">
        <f>IFERROR(__xludf.DUMMYFUNCTION("""COMPUTED_VALUE"""),2458.95)</f>
        <v>2458.95</v>
      </c>
      <c r="D4" s="6">
        <f>IFERROR(__xludf.DUMMYFUNCTION("""COMPUTED_VALUE"""),2360.3)</f>
        <v>2360.3</v>
      </c>
      <c r="E4" s="6">
        <f>IFERROR(__xludf.DUMMYFUNCTION("""COMPUTED_VALUE"""),2370.5)</f>
        <v>2370.5</v>
      </c>
      <c r="F4" s="6">
        <f>IFERROR(__xludf.DUMMYFUNCTION("""COMPUTED_VALUE"""),1591484.0)</f>
        <v>1591484</v>
      </c>
    </row>
    <row r="5">
      <c r="A5" s="7">
        <f>IFERROR(__xludf.DUMMYFUNCTION("""COMPUTED_VALUE"""),45191.64583333333)</f>
        <v>45191.64583</v>
      </c>
      <c r="B5" s="6">
        <f>IFERROR(__xludf.DUMMYFUNCTION("""COMPUTED_VALUE"""),2341.0)</f>
        <v>2341</v>
      </c>
      <c r="C5" s="6">
        <f>IFERROR(__xludf.DUMMYFUNCTION("""COMPUTED_VALUE"""),2373.6)</f>
        <v>2373.6</v>
      </c>
      <c r="D5" s="6">
        <f>IFERROR(__xludf.DUMMYFUNCTION("""COMPUTED_VALUE"""),2260.05)</f>
        <v>2260.05</v>
      </c>
      <c r="E5" s="6">
        <f>IFERROR(__xludf.DUMMYFUNCTION("""COMPUTED_VALUE"""),2264.55)</f>
        <v>2264.55</v>
      </c>
      <c r="F5" s="6">
        <f>IFERROR(__xludf.DUMMYFUNCTION("""COMPUTED_VALUE"""),1804372.0)</f>
        <v>1804372</v>
      </c>
    </row>
    <row r="6">
      <c r="A6" s="7">
        <f>IFERROR(__xludf.DUMMYFUNCTION("""COMPUTED_VALUE"""),45198.64583333333)</f>
        <v>45198.64583</v>
      </c>
      <c r="B6" s="6">
        <f>IFERROR(__xludf.DUMMYFUNCTION("""COMPUTED_VALUE"""),2270.0)</f>
        <v>2270</v>
      </c>
      <c r="C6" s="6">
        <f>IFERROR(__xludf.DUMMYFUNCTION("""COMPUTED_VALUE"""),2274.95)</f>
        <v>2274.95</v>
      </c>
      <c r="D6" s="6">
        <f>IFERROR(__xludf.DUMMYFUNCTION("""COMPUTED_VALUE"""),2224.25)</f>
        <v>2224.25</v>
      </c>
      <c r="E6" s="6">
        <f>IFERROR(__xludf.DUMMYFUNCTION("""COMPUTED_VALUE"""),2249.4)</f>
        <v>2249.4</v>
      </c>
      <c r="F6" s="6">
        <f>IFERROR(__xludf.DUMMYFUNCTION("""COMPUTED_VALUE"""),2373218.0)</f>
        <v>2373218</v>
      </c>
    </row>
    <row r="7">
      <c r="A7" s="7">
        <f>IFERROR(__xludf.DUMMYFUNCTION("""COMPUTED_VALUE"""),45205.64583333333)</f>
        <v>45205.64583</v>
      </c>
      <c r="B7" s="6">
        <f>IFERROR(__xludf.DUMMYFUNCTION("""COMPUTED_VALUE"""),2258.0)</f>
        <v>2258</v>
      </c>
      <c r="C7" s="6">
        <f>IFERROR(__xludf.DUMMYFUNCTION("""COMPUTED_VALUE"""),2280.0)</f>
        <v>2280</v>
      </c>
      <c r="D7" s="6">
        <f>IFERROR(__xludf.DUMMYFUNCTION("""COMPUTED_VALUE"""),2220.0)</f>
        <v>2220</v>
      </c>
      <c r="E7" s="6">
        <f>IFERROR(__xludf.DUMMYFUNCTION("""COMPUTED_VALUE"""),2245.55)</f>
        <v>2245.55</v>
      </c>
      <c r="F7" s="6">
        <f>IFERROR(__xludf.DUMMYFUNCTION("""COMPUTED_VALUE"""),1288520.0)</f>
        <v>1288520</v>
      </c>
    </row>
    <row r="8">
      <c r="A8" s="7">
        <f>IFERROR(__xludf.DUMMYFUNCTION("""COMPUTED_VALUE"""),45212.64583333333)</f>
        <v>45212.64583</v>
      </c>
      <c r="B8" s="6">
        <f>IFERROR(__xludf.DUMMYFUNCTION("""COMPUTED_VALUE"""),2228.0)</f>
        <v>2228</v>
      </c>
      <c r="C8" s="6">
        <f>IFERROR(__xludf.DUMMYFUNCTION("""COMPUTED_VALUE"""),2280.0)</f>
        <v>2280</v>
      </c>
      <c r="D8" s="6">
        <f>IFERROR(__xludf.DUMMYFUNCTION("""COMPUTED_VALUE"""),2198.0)</f>
        <v>2198</v>
      </c>
      <c r="E8" s="6">
        <f>IFERROR(__xludf.DUMMYFUNCTION("""COMPUTED_VALUE"""),2255.45)</f>
        <v>2255.45</v>
      </c>
      <c r="F8" s="6">
        <f>IFERROR(__xludf.DUMMYFUNCTION("""COMPUTED_VALUE"""),1846747.0)</f>
        <v>1846747</v>
      </c>
    </row>
    <row r="9">
      <c r="A9" s="7">
        <f>IFERROR(__xludf.DUMMYFUNCTION("""COMPUTED_VALUE"""),45219.64583333333)</f>
        <v>45219.64583</v>
      </c>
      <c r="B9" s="6">
        <f>IFERROR(__xludf.DUMMYFUNCTION("""COMPUTED_VALUE"""),2240.05)</f>
        <v>2240.05</v>
      </c>
      <c r="C9" s="6">
        <f>IFERROR(__xludf.DUMMYFUNCTION("""COMPUTED_VALUE"""),2301.2)</f>
        <v>2301.2</v>
      </c>
      <c r="D9" s="6">
        <f>IFERROR(__xludf.DUMMYFUNCTION("""COMPUTED_VALUE"""),2217.8)</f>
        <v>2217.8</v>
      </c>
      <c r="E9" s="6">
        <f>IFERROR(__xludf.DUMMYFUNCTION("""COMPUTED_VALUE"""),2234.0)</f>
        <v>2234</v>
      </c>
      <c r="F9" s="6">
        <f>IFERROR(__xludf.DUMMYFUNCTION("""COMPUTED_VALUE"""),1903370.0)</f>
        <v>1903370</v>
      </c>
    </row>
    <row r="10">
      <c r="A10" s="7">
        <f>IFERROR(__xludf.DUMMYFUNCTION("""COMPUTED_VALUE"""),45226.64583333333)</f>
        <v>45226.64583</v>
      </c>
      <c r="B10" s="6">
        <f>IFERROR(__xludf.DUMMYFUNCTION("""COMPUTED_VALUE"""),2220.1)</f>
        <v>2220.1</v>
      </c>
      <c r="C10" s="6">
        <f>IFERROR(__xludf.DUMMYFUNCTION("""COMPUTED_VALUE"""),2241.45)</f>
        <v>2241.45</v>
      </c>
      <c r="D10" s="6">
        <f>IFERROR(__xludf.DUMMYFUNCTION("""COMPUTED_VALUE"""),2082.25)</f>
        <v>2082.25</v>
      </c>
      <c r="E10" s="6">
        <f>IFERROR(__xludf.DUMMYFUNCTION("""COMPUTED_VALUE"""),2175.1)</f>
        <v>2175.1</v>
      </c>
      <c r="F10" s="6">
        <f>IFERROR(__xludf.DUMMYFUNCTION("""COMPUTED_VALUE"""),2022921.0)</f>
        <v>2022921</v>
      </c>
    </row>
    <row r="11">
      <c r="A11" s="7">
        <f>IFERROR(__xludf.DUMMYFUNCTION("""COMPUTED_VALUE"""),45233.64583333333)</f>
        <v>45233.64583</v>
      </c>
      <c r="B11" s="6">
        <f>IFERROR(__xludf.DUMMYFUNCTION("""COMPUTED_VALUE"""),2172.95)</f>
        <v>2172.95</v>
      </c>
      <c r="C11" s="6">
        <f>IFERROR(__xludf.DUMMYFUNCTION("""COMPUTED_VALUE"""),2268.95)</f>
        <v>2268.95</v>
      </c>
      <c r="D11" s="6">
        <f>IFERROR(__xludf.DUMMYFUNCTION("""COMPUTED_VALUE"""),2154.0)</f>
        <v>2154</v>
      </c>
      <c r="E11" s="6">
        <f>IFERROR(__xludf.DUMMYFUNCTION("""COMPUTED_VALUE"""),2253.35)</f>
        <v>2253.35</v>
      </c>
      <c r="F11" s="6">
        <f>IFERROR(__xludf.DUMMYFUNCTION("""COMPUTED_VALUE"""),1690564.0)</f>
        <v>1690564</v>
      </c>
    </row>
    <row r="12">
      <c r="A12" s="7">
        <f>IFERROR(__xludf.DUMMYFUNCTION("""COMPUTED_VALUE"""),45240.64583333333)</f>
        <v>45240.64583</v>
      </c>
      <c r="B12" s="6">
        <f>IFERROR(__xludf.DUMMYFUNCTION("""COMPUTED_VALUE"""),2290.35)</f>
        <v>2290.35</v>
      </c>
      <c r="C12" s="6">
        <f>IFERROR(__xludf.DUMMYFUNCTION("""COMPUTED_VALUE"""),2361.2)</f>
        <v>2361.2</v>
      </c>
      <c r="D12" s="6">
        <f>IFERROR(__xludf.DUMMYFUNCTION("""COMPUTED_VALUE"""),2260.05)</f>
        <v>2260.05</v>
      </c>
      <c r="E12" s="6">
        <f>IFERROR(__xludf.DUMMYFUNCTION("""COMPUTED_VALUE"""),2351.2)</f>
        <v>2351.2</v>
      </c>
      <c r="F12" s="6">
        <f>IFERROR(__xludf.DUMMYFUNCTION("""COMPUTED_VALUE"""),1602196.0)</f>
        <v>1602196</v>
      </c>
    </row>
    <row r="13">
      <c r="A13" s="7">
        <f>IFERROR(__xludf.DUMMYFUNCTION("""COMPUTED_VALUE"""),45247.64583333333)</f>
        <v>45247.64583</v>
      </c>
      <c r="B13" s="6">
        <f>IFERROR(__xludf.DUMMYFUNCTION("""COMPUTED_VALUE"""),2368.0)</f>
        <v>2368</v>
      </c>
      <c r="C13" s="6">
        <f>IFERROR(__xludf.DUMMYFUNCTION("""COMPUTED_VALUE"""),2378.85)</f>
        <v>2378.85</v>
      </c>
      <c r="D13" s="6">
        <f>IFERROR(__xludf.DUMMYFUNCTION("""COMPUTED_VALUE"""),2325.5)</f>
        <v>2325.5</v>
      </c>
      <c r="E13" s="6">
        <f>IFERROR(__xludf.DUMMYFUNCTION("""COMPUTED_VALUE"""),2361.35)</f>
        <v>2361.35</v>
      </c>
      <c r="F13" s="6">
        <f>IFERROR(__xludf.DUMMYFUNCTION("""COMPUTED_VALUE"""),826566.0)</f>
        <v>826566</v>
      </c>
    </row>
    <row r="14">
      <c r="A14" s="7">
        <f>IFERROR(__xludf.DUMMYFUNCTION("""COMPUTED_VALUE"""),45254.64583333333)</f>
        <v>45254.64583</v>
      </c>
      <c r="B14" s="6">
        <f>IFERROR(__xludf.DUMMYFUNCTION("""COMPUTED_VALUE"""),2361.35)</f>
        <v>2361.35</v>
      </c>
      <c r="C14" s="6">
        <f>IFERROR(__xludf.DUMMYFUNCTION("""COMPUTED_VALUE"""),2383.25)</f>
        <v>2383.25</v>
      </c>
      <c r="D14" s="6">
        <f>IFERROR(__xludf.DUMMYFUNCTION("""COMPUTED_VALUE"""),2324.05)</f>
        <v>2324.05</v>
      </c>
      <c r="E14" s="6">
        <f>IFERROR(__xludf.DUMMYFUNCTION("""COMPUTED_VALUE"""),2359.4)</f>
        <v>2359.4</v>
      </c>
      <c r="F14" s="6">
        <f>IFERROR(__xludf.DUMMYFUNCTION("""COMPUTED_VALUE"""),746249.0)</f>
        <v>746249</v>
      </c>
    </row>
    <row r="15">
      <c r="A15" s="7">
        <f>IFERROR(__xludf.DUMMYFUNCTION("""COMPUTED_VALUE"""),45261.64583333333)</f>
        <v>45261.64583</v>
      </c>
      <c r="B15" s="6">
        <f>IFERROR(__xludf.DUMMYFUNCTION("""COMPUTED_VALUE"""),2365.0)</f>
        <v>2365</v>
      </c>
      <c r="C15" s="6">
        <f>IFERROR(__xludf.DUMMYFUNCTION("""COMPUTED_VALUE"""),2445.0)</f>
        <v>2445</v>
      </c>
      <c r="D15" s="6">
        <f>IFERROR(__xludf.DUMMYFUNCTION("""COMPUTED_VALUE"""),2331.4)</f>
        <v>2331.4</v>
      </c>
      <c r="E15" s="6">
        <f>IFERROR(__xludf.DUMMYFUNCTION("""COMPUTED_VALUE"""),2412.5)</f>
        <v>2412.5</v>
      </c>
      <c r="F15" s="6">
        <f>IFERROR(__xludf.DUMMYFUNCTION("""COMPUTED_VALUE"""),2103261.0)</f>
        <v>2103261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IFERROR(__xludf.DUMMYFUNCTION("""COMPUTED_VALUE"""),2435.0)</f>
        <v>2435</v>
      </c>
      <c r="C16" s="6">
        <f>IFERROR(__xludf.DUMMYFUNCTION("""COMPUTED_VALUE"""),2510.0)</f>
        <v>2510</v>
      </c>
      <c r="D16" s="6">
        <f>IFERROR(__xludf.DUMMYFUNCTION("""COMPUTED_VALUE"""),2396.25)</f>
        <v>2396.25</v>
      </c>
      <c r="E16" s="6">
        <f>IFERROR(__xludf.DUMMYFUNCTION("""COMPUTED_VALUE"""),2423.1)</f>
        <v>2423.1</v>
      </c>
      <c r="F16" s="6">
        <f>IFERROR(__xludf.DUMMYFUNCTION("""COMPUTED_VALUE"""),2968500.0)</f>
        <v>2968500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IFERROR(__xludf.DUMMYFUNCTION("""COMPUTED_VALUE"""),2425.0)</f>
        <v>2425</v>
      </c>
      <c r="C17" s="6">
        <f>IFERROR(__xludf.DUMMYFUNCTION("""COMPUTED_VALUE"""),2477.0)</f>
        <v>2477</v>
      </c>
      <c r="D17" s="6">
        <f>IFERROR(__xludf.DUMMYFUNCTION("""COMPUTED_VALUE"""),2359.2)</f>
        <v>2359.2</v>
      </c>
      <c r="E17" s="6">
        <f>IFERROR(__xludf.DUMMYFUNCTION("""COMPUTED_VALUE"""),2439.75)</f>
        <v>2439.75</v>
      </c>
      <c r="F17" s="6">
        <f>IFERROR(__xludf.DUMMYFUNCTION("""COMPUTED_VALUE"""),2871109.0)</f>
        <v>2871109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IFERROR(__xludf.DUMMYFUNCTION("""COMPUTED_VALUE"""),2439.75)</f>
        <v>2439.75</v>
      </c>
      <c r="C18" s="6">
        <f>IFERROR(__xludf.DUMMYFUNCTION("""COMPUTED_VALUE"""),2494.5)</f>
        <v>2494.5</v>
      </c>
      <c r="D18" s="6">
        <f>IFERROR(__xludf.DUMMYFUNCTION("""COMPUTED_VALUE"""),2344.6)</f>
        <v>2344.6</v>
      </c>
      <c r="E18" s="6">
        <f>IFERROR(__xludf.DUMMYFUNCTION("""COMPUTED_VALUE"""),2454.25)</f>
        <v>2454.25</v>
      </c>
      <c r="F18" s="6">
        <f>IFERROR(__xludf.DUMMYFUNCTION("""COMPUTED_VALUE"""),2066712.0)</f>
        <v>2066712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IFERROR(__xludf.DUMMYFUNCTION("""COMPUTED_VALUE"""),2463.9)</f>
        <v>2463.9</v>
      </c>
      <c r="C19" s="6">
        <f>IFERROR(__xludf.DUMMYFUNCTION("""COMPUTED_VALUE"""),2529.0)</f>
        <v>2529</v>
      </c>
      <c r="D19" s="6">
        <f>IFERROR(__xludf.DUMMYFUNCTION("""COMPUTED_VALUE"""),2455.2)</f>
        <v>2455.2</v>
      </c>
      <c r="E19" s="6">
        <f>IFERROR(__xludf.DUMMYFUNCTION("""COMPUTED_VALUE"""),2479.25)</f>
        <v>2479.25</v>
      </c>
      <c r="F19" s="6">
        <f>IFERROR(__xludf.DUMMYFUNCTION("""COMPUTED_VALUE"""),2006648.0)</f>
        <v>2006648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IFERROR(__xludf.DUMMYFUNCTION("""COMPUTED_VALUE"""),2488.75)</f>
        <v>2488.75</v>
      </c>
      <c r="C20" s="6">
        <f>IFERROR(__xludf.DUMMYFUNCTION("""COMPUTED_VALUE"""),2525.0)</f>
        <v>2525</v>
      </c>
      <c r="D20" s="6">
        <f>IFERROR(__xludf.DUMMYFUNCTION("""COMPUTED_VALUE"""),2424.8)</f>
        <v>2424.8</v>
      </c>
      <c r="E20" s="6">
        <f>IFERROR(__xludf.DUMMYFUNCTION("""COMPUTED_VALUE"""),2480.6)</f>
        <v>2480.6</v>
      </c>
      <c r="F20" s="6">
        <f>IFERROR(__xludf.DUMMYFUNCTION("""COMPUTED_VALUE"""),2289477.0)</f>
        <v>2289477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IFERROR(__xludf.DUMMYFUNCTION("""COMPUTED_VALUE"""),2468.0)</f>
        <v>2468</v>
      </c>
      <c r="C21" s="6">
        <f>IFERROR(__xludf.DUMMYFUNCTION("""COMPUTED_VALUE"""),2478.95)</f>
        <v>2478.95</v>
      </c>
      <c r="D21" s="6">
        <f>IFERROR(__xludf.DUMMYFUNCTION("""COMPUTED_VALUE"""),2281.0)</f>
        <v>2281</v>
      </c>
      <c r="E21" s="6">
        <f>IFERROR(__xludf.DUMMYFUNCTION("""COMPUTED_VALUE"""),2343.95)</f>
        <v>2343.95</v>
      </c>
      <c r="F21" s="6">
        <f>IFERROR(__xludf.DUMMYFUNCTION("""COMPUTED_VALUE"""),3000914.0)</f>
        <v>3000914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IFERROR(__xludf.DUMMYFUNCTION("""COMPUTED_VALUE"""),2294.95)</f>
        <v>2294.95</v>
      </c>
      <c r="C22" s="6">
        <f>IFERROR(__xludf.DUMMYFUNCTION("""COMPUTED_VALUE"""),2302.0)</f>
        <v>2302</v>
      </c>
      <c r="D22" s="6">
        <f>IFERROR(__xludf.DUMMYFUNCTION("""COMPUTED_VALUE"""),2235.5)</f>
        <v>2235.5</v>
      </c>
      <c r="E22" s="6">
        <f>IFERROR(__xludf.DUMMYFUNCTION("""COMPUTED_VALUE"""),2268.9)</f>
        <v>2268.9</v>
      </c>
      <c r="F22" s="6">
        <f>IFERROR(__xludf.DUMMYFUNCTION("""COMPUTED_VALUE"""),1381343.0)</f>
        <v>1381343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IFERROR(__xludf.DUMMYFUNCTION("""COMPUTED_VALUE"""),2270.0)</f>
        <v>2270</v>
      </c>
      <c r="C23" s="6">
        <f>IFERROR(__xludf.DUMMYFUNCTION("""COMPUTED_VALUE"""),2333.2)</f>
        <v>2333.2</v>
      </c>
      <c r="D23" s="6">
        <f>IFERROR(__xludf.DUMMYFUNCTION("""COMPUTED_VALUE"""),2210.0)</f>
        <v>2210</v>
      </c>
      <c r="E23" s="6">
        <f>IFERROR(__xludf.DUMMYFUNCTION("""COMPUTED_VALUE"""),2318.65)</f>
        <v>2318.65</v>
      </c>
      <c r="F23" s="6">
        <f>IFERROR(__xludf.DUMMYFUNCTION("""COMPUTED_VALUE"""),6198817.0)</f>
        <v>6198817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IFERROR(__xludf.DUMMYFUNCTION("""COMPUTED_VALUE"""),2315.0)</f>
        <v>2315</v>
      </c>
      <c r="C24" s="6">
        <f>IFERROR(__xludf.DUMMYFUNCTION("""COMPUTED_VALUE"""),2326.2)</f>
        <v>2326.2</v>
      </c>
      <c r="D24" s="6">
        <f>IFERROR(__xludf.DUMMYFUNCTION("""COMPUTED_VALUE"""),2245.0)</f>
        <v>2245</v>
      </c>
      <c r="E24" s="6">
        <f>IFERROR(__xludf.DUMMYFUNCTION("""COMPUTED_VALUE"""),2298.55)</f>
        <v>2298.55</v>
      </c>
      <c r="F24" s="6">
        <f>IFERROR(__xludf.DUMMYFUNCTION("""COMPUTED_VALUE"""),2873916.0)</f>
        <v>2873916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IFERROR(__xludf.DUMMYFUNCTION("""COMPUTED_VALUE"""),2303.0)</f>
        <v>2303</v>
      </c>
      <c r="C25" s="6">
        <f>IFERROR(__xludf.DUMMYFUNCTION("""COMPUTED_VALUE"""),2403.0)</f>
        <v>2403</v>
      </c>
      <c r="D25" s="6">
        <f>IFERROR(__xludf.DUMMYFUNCTION("""COMPUTED_VALUE"""),2258.25)</f>
        <v>2258.25</v>
      </c>
      <c r="E25" s="6">
        <f>IFERROR(__xludf.DUMMYFUNCTION("""COMPUTED_VALUE"""),2380.1)</f>
        <v>2380.1</v>
      </c>
      <c r="F25" s="6">
        <f>IFERROR(__xludf.DUMMYFUNCTION("""COMPUTED_VALUE"""),1445304.0)</f>
        <v>1445304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IFERROR(__xludf.DUMMYFUNCTION("""COMPUTED_VALUE"""),2380.0)</f>
        <v>2380</v>
      </c>
      <c r="C26" s="6">
        <f>IFERROR(__xludf.DUMMYFUNCTION("""COMPUTED_VALUE"""),2423.55)</f>
        <v>2423.55</v>
      </c>
      <c r="D26" s="6">
        <f>IFERROR(__xludf.DUMMYFUNCTION("""COMPUTED_VALUE"""),2325.3)</f>
        <v>2325.3</v>
      </c>
      <c r="E26" s="6">
        <f>IFERROR(__xludf.DUMMYFUNCTION("""COMPUTED_VALUE"""),2385.8)</f>
        <v>2385.8</v>
      </c>
      <c r="F26" s="6">
        <f>IFERROR(__xludf.DUMMYFUNCTION("""COMPUTED_VALUE"""),1816782.0)</f>
        <v>1816782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IFERROR(__xludf.DUMMYFUNCTION("""COMPUTED_VALUE"""),2394.05)</f>
        <v>2394.05</v>
      </c>
      <c r="C27" s="6">
        <f>IFERROR(__xludf.DUMMYFUNCTION("""COMPUTED_VALUE"""),2464.4)</f>
        <v>2464.4</v>
      </c>
      <c r="D27" s="6">
        <f>IFERROR(__xludf.DUMMYFUNCTION("""COMPUTED_VALUE"""),2364.05)</f>
        <v>2364.05</v>
      </c>
      <c r="E27" s="6">
        <f>IFERROR(__xludf.DUMMYFUNCTION("""COMPUTED_VALUE"""),2450.05)</f>
        <v>2450.05</v>
      </c>
      <c r="F27" s="6">
        <f>IFERROR(__xludf.DUMMYFUNCTION("""COMPUTED_VALUE"""),1267205.0)</f>
        <v>1267205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IFERROR(__xludf.DUMMYFUNCTION("""COMPUTED_VALUE"""),2472.0)</f>
        <v>2472</v>
      </c>
      <c r="C28" s="6">
        <f>IFERROR(__xludf.DUMMYFUNCTION("""COMPUTED_VALUE"""),2491.0)</f>
        <v>2491</v>
      </c>
      <c r="D28" s="6">
        <f>IFERROR(__xludf.DUMMYFUNCTION("""COMPUTED_VALUE"""),2344.35)</f>
        <v>2344.35</v>
      </c>
      <c r="E28" s="6">
        <f>IFERROR(__xludf.DUMMYFUNCTION("""COMPUTED_VALUE"""),2428.55)</f>
        <v>2428.55</v>
      </c>
      <c r="F28" s="6">
        <f>IFERROR(__xludf.DUMMYFUNCTION("""COMPUTED_VALUE"""),1883006.0)</f>
        <v>1883006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IFERROR(__xludf.DUMMYFUNCTION("""COMPUTED_VALUE"""),2427.6)</f>
        <v>2427.6</v>
      </c>
      <c r="C29" s="6">
        <f>IFERROR(__xludf.DUMMYFUNCTION("""COMPUTED_VALUE"""),2600.0)</f>
        <v>2600</v>
      </c>
      <c r="D29" s="6">
        <f>IFERROR(__xludf.DUMMYFUNCTION("""COMPUTED_VALUE"""),2400.6)</f>
        <v>2400.6</v>
      </c>
      <c r="E29" s="6">
        <f>IFERROR(__xludf.DUMMYFUNCTION("""COMPUTED_VALUE"""),2550.95)</f>
        <v>2550.95</v>
      </c>
      <c r="F29" s="6">
        <f>IFERROR(__xludf.DUMMYFUNCTION("""COMPUTED_VALUE"""),3670695.0)</f>
        <v>3670695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IFERROR(__xludf.DUMMYFUNCTION("""COMPUTED_VALUE"""),2553.0)</f>
        <v>2553</v>
      </c>
      <c r="C30" s="6">
        <f>IFERROR(__xludf.DUMMYFUNCTION("""COMPUTED_VALUE"""),2598.0)</f>
        <v>2598</v>
      </c>
      <c r="D30" s="6">
        <f>IFERROR(__xludf.DUMMYFUNCTION("""COMPUTED_VALUE"""),2503.3)</f>
        <v>2503.3</v>
      </c>
      <c r="E30" s="6">
        <f>IFERROR(__xludf.DUMMYFUNCTION("""COMPUTED_VALUE"""),2560.25)</f>
        <v>2560.25</v>
      </c>
      <c r="F30" s="6">
        <f>IFERROR(__xludf.DUMMYFUNCTION("""COMPUTED_VALUE"""),2305839.0)</f>
        <v>2305839</v>
      </c>
    </row>
    <row r="31">
      <c r="A31" s="7">
        <f>IFERROR(__xludf.DUMMYFUNCTION("""COMPUTED_VALUE"""),45387.64583333333)</f>
        <v>45387.64583</v>
      </c>
      <c r="B31" s="6">
        <f>IFERROR(__xludf.DUMMYFUNCTION("""COMPUTED_VALUE"""),2559.9)</f>
        <v>2559.9</v>
      </c>
      <c r="C31" s="6">
        <f>IFERROR(__xludf.DUMMYFUNCTION("""COMPUTED_VALUE"""),2662.95)</f>
        <v>2662.95</v>
      </c>
      <c r="D31" s="6">
        <f>IFERROR(__xludf.DUMMYFUNCTION("""COMPUTED_VALUE"""),2552.05)</f>
        <v>2552.05</v>
      </c>
      <c r="E31" s="6">
        <f>IFERROR(__xludf.DUMMYFUNCTION("""COMPUTED_VALUE"""),2586.85)</f>
        <v>2586.85</v>
      </c>
      <c r="F31" s="6">
        <f>IFERROR(__xludf.DUMMYFUNCTION("""COMPUTED_VALUE"""),3016543.0)</f>
        <v>3016543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IFERROR(__xludf.DUMMYFUNCTION("""COMPUTED_VALUE"""),2600.0)</f>
        <v>2600</v>
      </c>
      <c r="C32" s="6">
        <f>IFERROR(__xludf.DUMMYFUNCTION("""COMPUTED_VALUE"""),2687.5)</f>
        <v>2687.5</v>
      </c>
      <c r="D32" s="6">
        <f>IFERROR(__xludf.DUMMYFUNCTION("""COMPUTED_VALUE"""),2555.65)</f>
        <v>2555.65</v>
      </c>
      <c r="E32" s="6">
        <f>IFERROR(__xludf.DUMMYFUNCTION("""COMPUTED_VALUE"""),2632.3)</f>
        <v>2632.3</v>
      </c>
      <c r="F32" s="6">
        <f>IFERROR(__xludf.DUMMYFUNCTION("""COMPUTED_VALUE"""),2308634.0)</f>
        <v>2308634</v>
      </c>
    </row>
    <row r="33">
      <c r="A33" s="7">
        <f>IFERROR(__xludf.DUMMYFUNCTION("""COMPUTED_VALUE"""),45401.64583333333)</f>
        <v>45401.64583</v>
      </c>
      <c r="B33" s="6">
        <f>IFERROR(__xludf.DUMMYFUNCTION("""COMPUTED_VALUE"""),2580.0)</f>
        <v>2580</v>
      </c>
      <c r="C33" s="6">
        <f>IFERROR(__xludf.DUMMYFUNCTION("""COMPUTED_VALUE"""),2618.0)</f>
        <v>2618</v>
      </c>
      <c r="D33" s="6">
        <f>IFERROR(__xludf.DUMMYFUNCTION("""COMPUTED_VALUE"""),2480.0)</f>
        <v>2480</v>
      </c>
      <c r="E33" s="6">
        <f>IFERROR(__xludf.DUMMYFUNCTION("""COMPUTED_VALUE"""),2529.05)</f>
        <v>2529.05</v>
      </c>
      <c r="F33" s="6">
        <f>IFERROR(__xludf.DUMMYFUNCTION("""COMPUTED_VALUE"""),1992883.0)</f>
        <v>1992883</v>
      </c>
    </row>
    <row r="34">
      <c r="A34" s="7">
        <f>IFERROR(__xludf.DUMMYFUNCTION("""COMPUTED_VALUE"""),45408.64583333333)</f>
        <v>45408.64583</v>
      </c>
      <c r="B34" s="6">
        <f>IFERROR(__xludf.DUMMYFUNCTION("""COMPUTED_VALUE"""),2552.95)</f>
        <v>2552.95</v>
      </c>
      <c r="C34" s="6">
        <f>IFERROR(__xludf.DUMMYFUNCTION("""COMPUTED_VALUE"""),2659.3)</f>
        <v>2659.3</v>
      </c>
      <c r="D34" s="6">
        <f>IFERROR(__xludf.DUMMYFUNCTION("""COMPUTED_VALUE"""),2531.7)</f>
        <v>2531.7</v>
      </c>
      <c r="E34" s="6">
        <f>IFERROR(__xludf.DUMMYFUNCTION("""COMPUTED_VALUE"""),2640.8)</f>
        <v>2640.8</v>
      </c>
      <c r="F34" s="6">
        <f>IFERROR(__xludf.DUMMYFUNCTION("""COMPUTED_VALUE"""),2389030.0)</f>
        <v>2389030</v>
      </c>
    </row>
    <row r="35">
      <c r="A35" s="7">
        <f>IFERROR(__xludf.DUMMYFUNCTION("""COMPUTED_VALUE"""),45415.64583333333)</f>
        <v>45415.64583</v>
      </c>
      <c r="B35" s="6">
        <f>IFERROR(__xludf.DUMMYFUNCTION("""COMPUTED_VALUE"""),2649.95)</f>
        <v>2649.95</v>
      </c>
      <c r="C35" s="6">
        <f>IFERROR(__xludf.DUMMYFUNCTION("""COMPUTED_VALUE"""),2693.95)</f>
        <v>2693.95</v>
      </c>
      <c r="D35" s="6">
        <f>IFERROR(__xludf.DUMMYFUNCTION("""COMPUTED_VALUE"""),2535.0)</f>
        <v>2535</v>
      </c>
      <c r="E35" s="6">
        <f>IFERROR(__xludf.DUMMYFUNCTION("""COMPUTED_VALUE"""),2567.65)</f>
        <v>2567.65</v>
      </c>
      <c r="F35" s="6">
        <f>IFERROR(__xludf.DUMMYFUNCTION("""COMPUTED_VALUE"""),1736352.0)</f>
        <v>1736352</v>
      </c>
    </row>
    <row r="36">
      <c r="A36" s="7">
        <f>IFERROR(__xludf.DUMMYFUNCTION("""COMPUTED_VALUE"""),45422.64583333333)</f>
        <v>45422.64583</v>
      </c>
      <c r="B36" s="6">
        <f>IFERROR(__xludf.DUMMYFUNCTION("""COMPUTED_VALUE"""),2578.55)</f>
        <v>2578.55</v>
      </c>
      <c r="C36" s="6">
        <f>IFERROR(__xludf.DUMMYFUNCTION("""COMPUTED_VALUE"""),2614.0)</f>
        <v>2614</v>
      </c>
      <c r="D36" s="6">
        <f>IFERROR(__xludf.DUMMYFUNCTION("""COMPUTED_VALUE"""),2256.0)</f>
        <v>2256</v>
      </c>
      <c r="E36" s="6">
        <f>IFERROR(__xludf.DUMMYFUNCTION("""COMPUTED_VALUE"""),2278.05)</f>
        <v>2278.05</v>
      </c>
      <c r="F36" s="6">
        <f>IFERROR(__xludf.DUMMYFUNCTION("""COMPUTED_VALUE"""),6225819.0)</f>
        <v>6225819</v>
      </c>
    </row>
    <row r="37">
      <c r="A37" s="7">
        <f>IFERROR(__xludf.DUMMYFUNCTION("""COMPUTED_VALUE"""),45436.64583333333)</f>
        <v>45436.64583</v>
      </c>
      <c r="B37" s="6">
        <f>IFERROR(__xludf.DUMMYFUNCTION("""COMPUTED_VALUE"""),2275.6)</f>
        <v>2275.6</v>
      </c>
      <c r="C37" s="6">
        <f>IFERROR(__xludf.DUMMYFUNCTION("""COMPUTED_VALUE"""),2326.8)</f>
        <v>2326.8</v>
      </c>
      <c r="D37" s="6">
        <f>IFERROR(__xludf.DUMMYFUNCTION("""COMPUTED_VALUE"""),2265.15)</f>
        <v>2265.15</v>
      </c>
      <c r="E37" s="6">
        <f>IFERROR(__xludf.DUMMYFUNCTION("""COMPUTED_VALUE"""),2289.1)</f>
        <v>2289.1</v>
      </c>
      <c r="F37" s="6">
        <f>IFERROR(__xludf.DUMMYFUNCTION("""COMPUTED_VALUE"""),1242290.0)</f>
        <v>1242290</v>
      </c>
    </row>
    <row r="38">
      <c r="A38" s="7">
        <f>IFERROR(__xludf.DUMMYFUNCTION("""COMPUTED_VALUE"""),45443.64583333333)</f>
        <v>45443.64583</v>
      </c>
      <c r="B38" s="6">
        <f>IFERROR(__xludf.DUMMYFUNCTION("""COMPUTED_VALUE"""),2289.15)</f>
        <v>2289.15</v>
      </c>
      <c r="C38" s="6">
        <f>IFERROR(__xludf.DUMMYFUNCTION("""COMPUTED_VALUE"""),2324.9)</f>
        <v>2324.9</v>
      </c>
      <c r="D38" s="6">
        <f>IFERROR(__xludf.DUMMYFUNCTION("""COMPUTED_VALUE"""),2182.45)</f>
        <v>2182.45</v>
      </c>
      <c r="E38" s="6">
        <f>IFERROR(__xludf.DUMMYFUNCTION("""COMPUTED_VALUE"""),2211.35)</f>
        <v>2211.35</v>
      </c>
      <c r="F38" s="6">
        <f>IFERROR(__xludf.DUMMYFUNCTION("""COMPUTED_VALUE"""),2871479.0)</f>
        <v>2871479</v>
      </c>
    </row>
    <row r="39">
      <c r="A39" s="7">
        <f>IFERROR(__xludf.DUMMYFUNCTION("""COMPUTED_VALUE"""),45450.64583333333)</f>
        <v>45450.64583</v>
      </c>
      <c r="B39" s="6">
        <f>IFERROR(__xludf.DUMMYFUNCTION("""COMPUTED_VALUE"""),2251.6)</f>
        <v>2251.6</v>
      </c>
      <c r="C39" s="6">
        <f>IFERROR(__xludf.DUMMYFUNCTION("""COMPUTED_VALUE"""),2316.95)</f>
        <v>2316.95</v>
      </c>
      <c r="D39" s="6">
        <f>IFERROR(__xludf.DUMMYFUNCTION("""COMPUTED_VALUE"""),2089.1)</f>
        <v>2089.1</v>
      </c>
      <c r="E39" s="6">
        <f>IFERROR(__xludf.DUMMYFUNCTION("""COMPUTED_VALUE"""),2312.3)</f>
        <v>2312.3</v>
      </c>
      <c r="F39" s="6">
        <f>IFERROR(__xludf.DUMMYFUNCTION("""COMPUTED_VALUE"""),2203929.0)</f>
        <v>2203929</v>
      </c>
    </row>
    <row r="40">
      <c r="A40" s="7">
        <f>IFERROR(__xludf.DUMMYFUNCTION("""COMPUTED_VALUE"""),45457.64583333333)</f>
        <v>45457.64583</v>
      </c>
      <c r="B40" s="6">
        <f>IFERROR(__xludf.DUMMYFUNCTION("""COMPUTED_VALUE"""),2322.0)</f>
        <v>2322</v>
      </c>
      <c r="C40" s="6">
        <f>IFERROR(__xludf.DUMMYFUNCTION("""COMPUTED_VALUE"""),2414.2)</f>
        <v>2414.2</v>
      </c>
      <c r="D40" s="6">
        <f>IFERROR(__xludf.DUMMYFUNCTION("""COMPUTED_VALUE"""),2295.6)</f>
        <v>2295.6</v>
      </c>
      <c r="E40" s="6">
        <f>IFERROR(__xludf.DUMMYFUNCTION("""COMPUTED_VALUE"""),2402.0)</f>
        <v>2402</v>
      </c>
      <c r="F40" s="6">
        <f>IFERROR(__xludf.DUMMYFUNCTION("""COMPUTED_VALUE"""),3059351.0)</f>
        <v>3059351</v>
      </c>
    </row>
    <row r="41">
      <c r="A41" s="7">
        <f>IFERROR(__xludf.DUMMYFUNCTION("""COMPUTED_VALUE"""),45464.64583333333)</f>
        <v>45464.64583</v>
      </c>
      <c r="B41" s="6">
        <f>IFERROR(__xludf.DUMMYFUNCTION("""COMPUTED_VALUE"""),2402.0)</f>
        <v>2402</v>
      </c>
      <c r="C41" s="6">
        <f>IFERROR(__xludf.DUMMYFUNCTION("""COMPUTED_VALUE"""),2520.2)</f>
        <v>2520.2</v>
      </c>
      <c r="D41" s="6">
        <f>IFERROR(__xludf.DUMMYFUNCTION("""COMPUTED_VALUE"""),2380.0)</f>
        <v>2380</v>
      </c>
      <c r="E41" s="6">
        <f>IFERROR(__xludf.DUMMYFUNCTION("""COMPUTED_VALUE"""),2460.05)</f>
        <v>2460.05</v>
      </c>
      <c r="F41" s="6">
        <f>IFERROR(__xludf.DUMMYFUNCTION("""COMPUTED_VALUE"""),2367885.0)</f>
        <v>2367885</v>
      </c>
    </row>
    <row r="42">
      <c r="A42" s="7">
        <f>IFERROR(__xludf.DUMMYFUNCTION("""COMPUTED_VALUE"""),45471.64583333333)</f>
        <v>45471.64583</v>
      </c>
      <c r="B42" s="6">
        <f>IFERROR(__xludf.DUMMYFUNCTION("""COMPUTED_VALUE"""),2459.0)</f>
        <v>2459</v>
      </c>
      <c r="C42" s="6">
        <f>IFERROR(__xludf.DUMMYFUNCTION("""COMPUTED_VALUE"""),2474.65)</f>
        <v>2474.65</v>
      </c>
      <c r="D42" s="6">
        <f>IFERROR(__xludf.DUMMYFUNCTION("""COMPUTED_VALUE"""),2376.3)</f>
        <v>2376.3</v>
      </c>
      <c r="E42" s="6">
        <f>IFERROR(__xludf.DUMMYFUNCTION("""COMPUTED_VALUE"""),2436.05)</f>
        <v>2436.05</v>
      </c>
      <c r="F42" s="6">
        <f>IFERROR(__xludf.DUMMYFUNCTION("""COMPUTED_VALUE"""),2946571.0)</f>
        <v>2946571</v>
      </c>
    </row>
    <row r="43">
      <c r="A43" s="7">
        <f>IFERROR(__xludf.DUMMYFUNCTION("""COMPUTED_VALUE"""),45478.64583333333)</f>
        <v>45478.64583</v>
      </c>
      <c r="B43" s="6">
        <f>IFERROR(__xludf.DUMMYFUNCTION("""COMPUTED_VALUE"""),2426.05)</f>
        <v>2426.05</v>
      </c>
      <c r="C43" s="6">
        <f>IFERROR(__xludf.DUMMYFUNCTION("""COMPUTED_VALUE"""),2471.0)</f>
        <v>2471</v>
      </c>
      <c r="D43" s="6">
        <f>IFERROR(__xludf.DUMMYFUNCTION("""COMPUTED_VALUE"""),2369.95)</f>
        <v>2369.95</v>
      </c>
      <c r="E43" s="6">
        <f>IFERROR(__xludf.DUMMYFUNCTION("""COMPUTED_VALUE"""),2400.75)</f>
        <v>2400.75</v>
      </c>
      <c r="F43" s="6">
        <f>IFERROR(__xludf.DUMMYFUNCTION("""COMPUTED_VALUE"""),2552106.0)</f>
        <v>2552106</v>
      </c>
    </row>
    <row r="44">
      <c r="A44" s="7">
        <f>IFERROR(__xludf.DUMMYFUNCTION("""COMPUTED_VALUE"""),45485.64583333333)</f>
        <v>45485.64583</v>
      </c>
      <c r="B44" s="6">
        <f>IFERROR(__xludf.DUMMYFUNCTION("""COMPUTED_VALUE"""),2401.0)</f>
        <v>2401</v>
      </c>
      <c r="C44" s="6">
        <f>IFERROR(__xludf.DUMMYFUNCTION("""COMPUTED_VALUE"""),2419.7)</f>
        <v>2419.7</v>
      </c>
      <c r="D44" s="6">
        <f>IFERROR(__xludf.DUMMYFUNCTION("""COMPUTED_VALUE"""),2354.55)</f>
        <v>2354.55</v>
      </c>
      <c r="E44" s="6">
        <f>IFERROR(__xludf.DUMMYFUNCTION("""COMPUTED_VALUE"""),2390.25)</f>
        <v>2390.25</v>
      </c>
      <c r="F44" s="6">
        <f>IFERROR(__xludf.DUMMYFUNCTION("""COMPUTED_VALUE"""),1579286.0)</f>
        <v>1579286</v>
      </c>
    </row>
    <row r="45">
      <c r="A45" s="7">
        <f>IFERROR(__xludf.DUMMYFUNCTION("""COMPUTED_VALUE"""),45492.64583333333)</f>
        <v>45492.64583</v>
      </c>
      <c r="B45" s="6">
        <f>IFERROR(__xludf.DUMMYFUNCTION("""COMPUTED_VALUE"""),2390.25)</f>
        <v>2390.25</v>
      </c>
      <c r="C45" s="6">
        <f>IFERROR(__xludf.DUMMYFUNCTION("""COMPUTED_VALUE"""),2415.95)</f>
        <v>2415.95</v>
      </c>
      <c r="D45" s="6">
        <f>IFERROR(__xludf.DUMMYFUNCTION("""COMPUTED_VALUE"""),2331.05)</f>
        <v>2331.05</v>
      </c>
      <c r="E45" s="6">
        <f>IFERROR(__xludf.DUMMYFUNCTION("""COMPUTED_VALUE"""),2342.6)</f>
        <v>2342.6</v>
      </c>
      <c r="F45" s="6">
        <f>IFERROR(__xludf.DUMMYFUNCTION("""COMPUTED_VALUE"""),1686831.0)</f>
        <v>1686831</v>
      </c>
    </row>
    <row r="46">
      <c r="A46" s="7">
        <f>IFERROR(__xludf.DUMMYFUNCTION("""COMPUTED_VALUE"""),45499.64583333333)</f>
        <v>45499.64583</v>
      </c>
      <c r="B46" s="6">
        <f>IFERROR(__xludf.DUMMYFUNCTION("""COMPUTED_VALUE"""),2315.0)</f>
        <v>2315</v>
      </c>
      <c r="C46" s="6">
        <f>IFERROR(__xludf.DUMMYFUNCTION("""COMPUTED_VALUE"""),2476.0)</f>
        <v>2476</v>
      </c>
      <c r="D46" s="6">
        <f>IFERROR(__xludf.DUMMYFUNCTION("""COMPUTED_VALUE"""),2283.1)</f>
        <v>2283.1</v>
      </c>
      <c r="E46" s="6">
        <f>IFERROR(__xludf.DUMMYFUNCTION("""COMPUTED_VALUE"""),2456.15)</f>
        <v>2456.15</v>
      </c>
      <c r="F46" s="6">
        <f>IFERROR(__xludf.DUMMYFUNCTION("""COMPUTED_VALUE"""),5622655.0)</f>
        <v>5622655</v>
      </c>
    </row>
    <row r="47">
      <c r="A47" s="7">
        <f>IFERROR(__xludf.DUMMYFUNCTION("""COMPUTED_VALUE"""),45506.64583333333)</f>
        <v>45506.64583</v>
      </c>
      <c r="B47" s="6">
        <f>IFERROR(__xludf.DUMMYFUNCTION("""COMPUTED_VALUE"""),2471.85)</f>
        <v>2471.85</v>
      </c>
      <c r="C47" s="6">
        <f>IFERROR(__xludf.DUMMYFUNCTION("""COMPUTED_VALUE"""),2659.0)</f>
        <v>2659</v>
      </c>
      <c r="D47" s="6">
        <f>IFERROR(__xludf.DUMMYFUNCTION("""COMPUTED_VALUE"""),2466.15)</f>
        <v>2466.15</v>
      </c>
      <c r="E47" s="6">
        <f>IFERROR(__xludf.DUMMYFUNCTION("""COMPUTED_VALUE"""),2522.8)</f>
        <v>2522.8</v>
      </c>
      <c r="F47" s="6">
        <f>IFERROR(__xludf.DUMMYFUNCTION("""COMPUTED_VALUE"""),4307114.0)</f>
        <v>4307114</v>
      </c>
    </row>
    <row r="48">
      <c r="A48" s="7">
        <f>IFERROR(__xludf.DUMMYFUNCTION("""COMPUTED_VALUE"""),45513.64583333333)</f>
        <v>45513.64583</v>
      </c>
      <c r="B48" s="6">
        <f>IFERROR(__xludf.DUMMYFUNCTION("""COMPUTED_VALUE"""),2460.1)</f>
        <v>2460.1</v>
      </c>
      <c r="C48" s="6">
        <f>IFERROR(__xludf.DUMMYFUNCTION("""COMPUTED_VALUE"""),2615.0)</f>
        <v>2615</v>
      </c>
      <c r="D48" s="6">
        <f>IFERROR(__xludf.DUMMYFUNCTION("""COMPUTED_VALUE"""),2418.0)</f>
        <v>2418</v>
      </c>
      <c r="E48" s="6">
        <f>IFERROR(__xludf.DUMMYFUNCTION("""COMPUTED_VALUE"""),2553.65)</f>
        <v>2553.65</v>
      </c>
      <c r="F48" s="6">
        <f>IFERROR(__xludf.DUMMYFUNCTION("""COMPUTED_VALUE"""),3144166.0)</f>
        <v>3144166</v>
      </c>
    </row>
    <row r="49">
      <c r="A49" s="7">
        <f>IFERROR(__xludf.DUMMYFUNCTION("""COMPUTED_VALUE"""),45520.64583333333)</f>
        <v>45520.64583</v>
      </c>
      <c r="B49" s="6">
        <f>IFERROR(__xludf.DUMMYFUNCTION("""COMPUTED_VALUE"""),2553.55)</f>
        <v>2553.55</v>
      </c>
      <c r="C49" s="6">
        <f>IFERROR(__xludf.DUMMYFUNCTION("""COMPUTED_VALUE"""),2592.2)</f>
        <v>2592.2</v>
      </c>
      <c r="D49" s="6">
        <f>IFERROR(__xludf.DUMMYFUNCTION("""COMPUTED_VALUE"""),2445.05)</f>
        <v>2445.05</v>
      </c>
      <c r="E49" s="6">
        <f>IFERROR(__xludf.DUMMYFUNCTION("""COMPUTED_VALUE"""),2481.2)</f>
        <v>2481.2</v>
      </c>
      <c r="F49" s="6">
        <f>IFERROR(__xludf.DUMMYFUNCTION("""COMPUTED_VALUE"""),1306413.0)</f>
        <v>1306413</v>
      </c>
    </row>
    <row r="50">
      <c r="A50" s="7">
        <f>IFERROR(__xludf.DUMMYFUNCTION("""COMPUTED_VALUE"""),45527.64583333333)</f>
        <v>45527.64583</v>
      </c>
      <c r="B50" s="6">
        <f>IFERROR(__xludf.DUMMYFUNCTION("""COMPUTED_VALUE"""),2492.0)</f>
        <v>2492</v>
      </c>
      <c r="C50" s="6">
        <f>IFERROR(__xludf.DUMMYFUNCTION("""COMPUTED_VALUE"""),2566.0)</f>
        <v>2566</v>
      </c>
      <c r="D50" s="6">
        <f>IFERROR(__xludf.DUMMYFUNCTION("""COMPUTED_VALUE"""),2451.6)</f>
        <v>2451.6</v>
      </c>
      <c r="E50" s="6">
        <f>IFERROR(__xludf.DUMMYFUNCTION("""COMPUTED_VALUE"""),2490.65)</f>
        <v>2490.65</v>
      </c>
      <c r="F50" s="6">
        <f>IFERROR(__xludf.DUMMYFUNCTION("""COMPUTED_VALUE"""),2180083.0)</f>
        <v>2180083</v>
      </c>
    </row>
    <row r="51">
      <c r="A51" s="7">
        <f>IFERROR(__xludf.DUMMYFUNCTION("""COMPUTED_VALUE"""),45534.64583333333)</f>
        <v>45534.64583</v>
      </c>
      <c r="B51" s="6">
        <f>IFERROR(__xludf.DUMMYFUNCTION("""COMPUTED_VALUE"""),2490.65)</f>
        <v>2490.65</v>
      </c>
      <c r="C51" s="6">
        <f>IFERROR(__xludf.DUMMYFUNCTION("""COMPUTED_VALUE"""),2599.95)</f>
        <v>2599.95</v>
      </c>
      <c r="D51" s="6">
        <f>IFERROR(__xludf.DUMMYFUNCTION("""COMPUTED_VALUE"""),2486.65)</f>
        <v>2486.65</v>
      </c>
      <c r="E51" s="6">
        <f>IFERROR(__xludf.DUMMYFUNCTION("""COMPUTED_VALUE"""),2564.6)</f>
        <v>2564.6</v>
      </c>
      <c r="F51" s="6">
        <f>IFERROR(__xludf.DUMMYFUNCTION("""COMPUTED_VALUE"""),3934252.0)</f>
        <v>3934252</v>
      </c>
    </row>
    <row r="52">
      <c r="A52" s="7">
        <f>IFERROR(__xludf.DUMMYFUNCTION("""COMPUTED_VALUE"""),45541.64583333333)</f>
        <v>45541.64583</v>
      </c>
      <c r="B52" s="6">
        <f>IFERROR(__xludf.DUMMYFUNCTION("""COMPUTED_VALUE"""),2579.9)</f>
        <v>2579.9</v>
      </c>
      <c r="C52" s="6">
        <f>IFERROR(__xludf.DUMMYFUNCTION("""COMPUTED_VALUE"""),2649.0)</f>
        <v>2649</v>
      </c>
      <c r="D52" s="6">
        <f>IFERROR(__xludf.DUMMYFUNCTION("""COMPUTED_VALUE"""),2501.2)</f>
        <v>2501.2</v>
      </c>
      <c r="E52" s="6">
        <f>IFERROR(__xludf.DUMMYFUNCTION("""COMPUTED_VALUE"""),2509.05)</f>
        <v>2509.05</v>
      </c>
      <c r="F52" s="6">
        <f>IFERROR(__xludf.DUMMYFUNCTION("""COMPUTED_VALUE"""),3202195.0)</f>
        <v>3202195</v>
      </c>
    </row>
    <row r="53">
      <c r="A53" s="7">
        <f>IFERROR(__xludf.DUMMYFUNCTION("""COMPUTED_VALUE"""),45548.64583333333)</f>
        <v>45548.64583</v>
      </c>
      <c r="B53" s="6">
        <f>IFERROR(__xludf.DUMMYFUNCTION("""COMPUTED_VALUE"""),2499.3)</f>
        <v>2499.3</v>
      </c>
      <c r="C53" s="6">
        <f>IFERROR(__xludf.DUMMYFUNCTION("""COMPUTED_VALUE"""),2564.95)</f>
        <v>2564.95</v>
      </c>
      <c r="D53" s="6">
        <f>IFERROR(__xludf.DUMMYFUNCTION("""COMPUTED_VALUE"""),2460.8)</f>
        <v>2460.8</v>
      </c>
      <c r="E53" s="6">
        <f>IFERROR(__xludf.DUMMYFUNCTION("""COMPUTED_VALUE"""),2466.4)</f>
        <v>2466.4</v>
      </c>
      <c r="F53" s="6">
        <f>IFERROR(__xludf.DUMMYFUNCTION("""COMPUTED_VALUE"""),1811605.0)</f>
        <v>1811605</v>
      </c>
    </row>
    <row r="54">
      <c r="A54" s="7">
        <f>IFERROR(__xludf.DUMMYFUNCTION("""COMPUTED_VALUE"""),45555.64583333333)</f>
        <v>45555.64583</v>
      </c>
      <c r="B54" s="6">
        <f>IFERROR(__xludf.DUMMYFUNCTION("""COMPUTED_VALUE"""),2459.8)</f>
        <v>2459.8</v>
      </c>
      <c r="C54" s="6">
        <f>IFERROR(__xludf.DUMMYFUNCTION("""COMPUTED_VALUE"""),2475.95)</f>
        <v>2475.95</v>
      </c>
      <c r="D54" s="6">
        <f>IFERROR(__xludf.DUMMYFUNCTION("""COMPUTED_VALUE"""),2360.3)</f>
        <v>2360.3</v>
      </c>
      <c r="E54" s="6">
        <f>IFERROR(__xludf.DUMMYFUNCTION("""COMPUTED_VALUE"""),2419.7)</f>
        <v>2419.7</v>
      </c>
      <c r="F54" s="6">
        <f>IFERROR(__xludf.DUMMYFUNCTION("""COMPUTED_VALUE"""),3279845.0)</f>
        <v>3279845</v>
      </c>
    </row>
    <row r="55">
      <c r="A55" s="7">
        <f>IFERROR(__xludf.DUMMYFUNCTION("""COMPUTED_VALUE"""),45562.64583333333)</f>
        <v>45562.64583</v>
      </c>
      <c r="B55" s="6">
        <f>IFERROR(__xludf.DUMMYFUNCTION("""COMPUTED_VALUE"""),2435.0)</f>
        <v>2435</v>
      </c>
      <c r="C55" s="6">
        <f>IFERROR(__xludf.DUMMYFUNCTION("""COMPUTED_VALUE"""),2498.85)</f>
        <v>2498.85</v>
      </c>
      <c r="D55" s="6">
        <f>IFERROR(__xludf.DUMMYFUNCTION("""COMPUTED_VALUE"""),2411.2)</f>
        <v>2411.2</v>
      </c>
      <c r="E55" s="6">
        <f>IFERROR(__xludf.DUMMYFUNCTION("""COMPUTED_VALUE"""),2461.55)</f>
        <v>2461.55</v>
      </c>
      <c r="F55" s="6">
        <f>IFERROR(__xludf.DUMMYFUNCTION("""COMPUTED_VALUE"""),6487660.0)</f>
        <v>6487660</v>
      </c>
    </row>
    <row r="56">
      <c r="A56" s="7">
        <f>IFERROR(__xludf.DUMMYFUNCTION("""COMPUTED_VALUE"""),45569.64583333333)</f>
        <v>45569.64583</v>
      </c>
      <c r="B56" s="6">
        <f>IFERROR(__xludf.DUMMYFUNCTION("""COMPUTED_VALUE"""),2474.95)</f>
        <v>2474.95</v>
      </c>
      <c r="C56" s="6">
        <f>IFERROR(__xludf.DUMMYFUNCTION("""COMPUTED_VALUE"""),2519.95)</f>
        <v>2519.95</v>
      </c>
      <c r="D56" s="6">
        <f>IFERROR(__xludf.DUMMYFUNCTION("""COMPUTED_VALUE"""),2345.0)</f>
        <v>2345</v>
      </c>
      <c r="E56" s="6">
        <f>IFERROR(__xludf.DUMMYFUNCTION("""COMPUTED_VALUE"""),2350.35)</f>
        <v>2350.35</v>
      </c>
      <c r="F56" s="6">
        <f>IFERROR(__xludf.DUMMYFUNCTION("""COMPUTED_VALUE"""),2054454.0)</f>
        <v>2054454</v>
      </c>
    </row>
    <row r="57">
      <c r="A57" s="7">
        <f>IFERROR(__xludf.DUMMYFUNCTION("""COMPUTED_VALUE"""),45576.64583333333)</f>
        <v>45576.64583</v>
      </c>
      <c r="B57" s="6">
        <f>IFERROR(__xludf.DUMMYFUNCTION("""COMPUTED_VALUE"""),2350.35)</f>
        <v>2350.35</v>
      </c>
      <c r="C57" s="6">
        <f>IFERROR(__xludf.DUMMYFUNCTION("""COMPUTED_VALUE"""),2366.95)</f>
        <v>2366.95</v>
      </c>
      <c r="D57" s="6">
        <f>IFERROR(__xludf.DUMMYFUNCTION("""COMPUTED_VALUE"""),2292.3)</f>
        <v>2292.3</v>
      </c>
      <c r="E57" s="6">
        <f>IFERROR(__xludf.DUMMYFUNCTION("""COMPUTED_VALUE"""),2348.75)</f>
        <v>2348.75</v>
      </c>
      <c r="F57" s="6">
        <f>IFERROR(__xludf.DUMMYFUNCTION("""COMPUTED_VALUE"""),1538053.0)</f>
        <v>1538053</v>
      </c>
    </row>
    <row r="58">
      <c r="A58" s="7">
        <f>IFERROR(__xludf.DUMMYFUNCTION("""COMPUTED_VALUE"""),45583.64583333333)</f>
        <v>45583.64583</v>
      </c>
      <c r="B58" s="6">
        <f>IFERROR(__xludf.DUMMYFUNCTION("""COMPUTED_VALUE"""),2359.0)</f>
        <v>2359</v>
      </c>
      <c r="C58" s="6">
        <f>IFERROR(__xludf.DUMMYFUNCTION("""COMPUTED_VALUE"""),2363.6)</f>
        <v>2363.6</v>
      </c>
      <c r="D58" s="6">
        <f>IFERROR(__xludf.DUMMYFUNCTION("""COMPUTED_VALUE"""),2206.3)</f>
        <v>2206.3</v>
      </c>
      <c r="E58" s="6">
        <f>IFERROR(__xludf.DUMMYFUNCTION("""COMPUTED_VALUE"""),2325.7)</f>
        <v>2325.7</v>
      </c>
      <c r="F58" s="6">
        <f>IFERROR(__xludf.DUMMYFUNCTION("""COMPUTED_VALUE"""),3590958.0)</f>
        <v>3590958</v>
      </c>
    </row>
    <row r="59">
      <c r="A59" s="7">
        <f>IFERROR(__xludf.DUMMYFUNCTION("""COMPUTED_VALUE"""),45590.64583333333)</f>
        <v>45590.64583</v>
      </c>
      <c r="B59" s="6">
        <f>IFERROR(__xludf.DUMMYFUNCTION("""COMPUTED_VALUE"""),2331.95)</f>
        <v>2331.95</v>
      </c>
      <c r="C59" s="6">
        <f>IFERROR(__xludf.DUMMYFUNCTION("""COMPUTED_VALUE"""),2336.0)</f>
        <v>2336</v>
      </c>
      <c r="D59" s="6">
        <f>IFERROR(__xludf.DUMMYFUNCTION("""COMPUTED_VALUE"""),2146.5)</f>
        <v>2146.5</v>
      </c>
      <c r="E59" s="6">
        <f>IFERROR(__xludf.DUMMYFUNCTION("""COMPUTED_VALUE"""),2206.9)</f>
        <v>2206.9</v>
      </c>
      <c r="F59" s="6">
        <f>IFERROR(__xludf.DUMMYFUNCTION("""COMPUTED_VALUE"""),5962311.0)</f>
        <v>5962311</v>
      </c>
    </row>
    <row r="60">
      <c r="A60" s="7">
        <f>IFERROR(__xludf.DUMMYFUNCTION("""COMPUTED_VALUE"""),45604.64583333333)</f>
        <v>45604.64583</v>
      </c>
      <c r="B60" s="6">
        <f>IFERROR(__xludf.DUMMYFUNCTION("""COMPUTED_VALUE"""),2249.0)</f>
        <v>2249</v>
      </c>
      <c r="C60" s="6">
        <f>IFERROR(__xludf.DUMMYFUNCTION("""COMPUTED_VALUE"""),2389.0)</f>
        <v>2389</v>
      </c>
      <c r="D60" s="6">
        <f>IFERROR(__xludf.DUMMYFUNCTION("""COMPUTED_VALUE"""),2220.25)</f>
        <v>2220.25</v>
      </c>
      <c r="E60" s="6">
        <f>IFERROR(__xludf.DUMMYFUNCTION("""COMPUTED_VALUE"""),2305.95)</f>
        <v>2305.95</v>
      </c>
      <c r="F60" s="6">
        <f>IFERROR(__xludf.DUMMYFUNCTION("""COMPUTED_VALUE"""),1730358.0)</f>
        <v>1730358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IFERROR(__xludf.DUMMYFUNCTION("""COMPUTED_VALUE"""),2295.25)</f>
        <v>2295.25</v>
      </c>
      <c r="C61" s="6">
        <f>IFERROR(__xludf.DUMMYFUNCTION("""COMPUTED_VALUE"""),2308.95)</f>
        <v>2308.95</v>
      </c>
      <c r="D61" s="6">
        <f>IFERROR(__xludf.DUMMYFUNCTION("""COMPUTED_VALUE"""),2187.75)</f>
        <v>2187.75</v>
      </c>
      <c r="E61" s="6">
        <f>IFERROR(__xludf.DUMMYFUNCTION("""COMPUTED_VALUE"""),2235.2)</f>
        <v>2235.2</v>
      </c>
      <c r="F61" s="6">
        <f>IFERROR(__xludf.DUMMYFUNCTION("""COMPUTED_VALUE"""),1046273.0)</f>
        <v>1046273</v>
      </c>
    </row>
    <row r="62">
      <c r="A62" s="7">
        <f>IFERROR(__xludf.DUMMYFUNCTION("""COMPUTED_VALUE"""),45618.64583333333)</f>
        <v>45618.64583</v>
      </c>
      <c r="B62" s="6">
        <f>IFERROR(__xludf.DUMMYFUNCTION("""COMPUTED_VALUE"""),2238.0)</f>
        <v>2238</v>
      </c>
      <c r="C62" s="6">
        <f>IFERROR(__xludf.DUMMYFUNCTION("""COMPUTED_VALUE"""),2242.3)</f>
        <v>2242.3</v>
      </c>
      <c r="D62" s="6">
        <f>IFERROR(__xludf.DUMMYFUNCTION("""COMPUTED_VALUE"""),2126.85)</f>
        <v>2126.85</v>
      </c>
      <c r="E62" s="6">
        <f>IFERROR(__xludf.DUMMYFUNCTION("""COMPUTED_VALUE"""),2163.25)</f>
        <v>2163.25</v>
      </c>
      <c r="F62" s="6">
        <f>IFERROR(__xludf.DUMMYFUNCTION("""COMPUTED_VALUE"""),1207245.0)</f>
        <v>1207245</v>
      </c>
    </row>
    <row r="63">
      <c r="A63" s="7">
        <f>IFERROR(__xludf.DUMMYFUNCTION("""COMPUTED_VALUE"""),45625.64583333333)</f>
        <v>45625.64583</v>
      </c>
      <c r="B63" s="6">
        <f>IFERROR(__xludf.DUMMYFUNCTION("""COMPUTED_VALUE"""),2190.1)</f>
        <v>2190.1</v>
      </c>
      <c r="C63" s="6">
        <f>IFERROR(__xludf.DUMMYFUNCTION("""COMPUTED_VALUE"""),2311.45)</f>
        <v>2311.45</v>
      </c>
      <c r="D63" s="6">
        <f>IFERROR(__xludf.DUMMYFUNCTION("""COMPUTED_VALUE"""),2185.5)</f>
        <v>2185.5</v>
      </c>
      <c r="E63" s="6">
        <f>IFERROR(__xludf.DUMMYFUNCTION("""COMPUTED_VALUE"""),2265.0)</f>
        <v>2265</v>
      </c>
      <c r="F63" s="6">
        <f>IFERROR(__xludf.DUMMYFUNCTION("""COMPUTED_VALUE"""),2059350.0)</f>
        <v>2059350</v>
      </c>
    </row>
    <row r="64">
      <c r="A64" s="7">
        <f>IFERROR(__xludf.DUMMYFUNCTION("""COMPUTED_VALUE"""),45632.64583333333)</f>
        <v>45632.64583</v>
      </c>
      <c r="B64" s="6">
        <f>IFERROR(__xludf.DUMMYFUNCTION("""COMPUTED_VALUE"""),2264.95)</f>
        <v>2264.95</v>
      </c>
      <c r="C64" s="6">
        <f>IFERROR(__xludf.DUMMYFUNCTION("""COMPUTED_VALUE"""),2348.0)</f>
        <v>2348</v>
      </c>
      <c r="D64" s="6">
        <f>IFERROR(__xludf.DUMMYFUNCTION("""COMPUTED_VALUE"""),2245.1)</f>
        <v>2245.1</v>
      </c>
      <c r="E64" s="6">
        <f>IFERROR(__xludf.DUMMYFUNCTION("""COMPUTED_VALUE"""),2294.7)</f>
        <v>2294.7</v>
      </c>
      <c r="F64" s="6">
        <f>IFERROR(__xludf.DUMMYFUNCTION("""COMPUTED_VALUE"""),1568902.0)</f>
        <v>1568902</v>
      </c>
    </row>
    <row r="65">
      <c r="A65" s="7">
        <f>IFERROR(__xludf.DUMMYFUNCTION("""COMPUTED_VALUE"""),45639.64583333333)</f>
        <v>45639.64583</v>
      </c>
      <c r="B65" s="6">
        <f>IFERROR(__xludf.DUMMYFUNCTION("""COMPUTED_VALUE"""),2290.0)</f>
        <v>2290</v>
      </c>
      <c r="C65" s="6">
        <f>IFERROR(__xludf.DUMMYFUNCTION("""COMPUTED_VALUE"""),2369.9)</f>
        <v>2369.9</v>
      </c>
      <c r="D65" s="6">
        <f>IFERROR(__xludf.DUMMYFUNCTION("""COMPUTED_VALUE"""),2257.55)</f>
        <v>2257.55</v>
      </c>
      <c r="E65" s="6">
        <f>IFERROR(__xludf.DUMMYFUNCTION("""COMPUTED_VALUE"""),2296.7)</f>
        <v>2296.7</v>
      </c>
      <c r="F65" s="6">
        <f>IFERROR(__xludf.DUMMYFUNCTION("""COMPUTED_VALUE"""),1986684.0)</f>
        <v>1986684</v>
      </c>
    </row>
    <row r="66">
      <c r="A66" s="7">
        <f>IFERROR(__xludf.DUMMYFUNCTION("""COMPUTED_VALUE"""),45646.64583333333)</f>
        <v>45646.64583</v>
      </c>
      <c r="B66" s="6">
        <f>IFERROR(__xludf.DUMMYFUNCTION("""COMPUTED_VALUE"""),2300.0)</f>
        <v>2300</v>
      </c>
      <c r="C66" s="6">
        <f>IFERROR(__xludf.DUMMYFUNCTION("""COMPUTED_VALUE"""),2337.15)</f>
        <v>2337.15</v>
      </c>
      <c r="D66" s="6">
        <f>IFERROR(__xludf.DUMMYFUNCTION("""COMPUTED_VALUE"""),2202.05)</f>
        <v>2202.05</v>
      </c>
      <c r="E66" s="6">
        <f>IFERROR(__xludf.DUMMYFUNCTION("""COMPUTED_VALUE"""),2277.6)</f>
        <v>2277.6</v>
      </c>
      <c r="F66" s="6">
        <f>IFERROR(__xludf.DUMMYFUNCTION("""COMPUTED_VALUE"""),1794544.0)</f>
        <v>1794544</v>
      </c>
    </row>
    <row r="67">
      <c r="A67" s="7">
        <f>IFERROR(__xludf.DUMMYFUNCTION("""COMPUTED_VALUE"""),45653.64583333333)</f>
        <v>45653.64583</v>
      </c>
      <c r="B67" s="6">
        <f>IFERROR(__xludf.DUMMYFUNCTION("""COMPUTED_VALUE"""),2280.0)</f>
        <v>2280</v>
      </c>
      <c r="C67" s="6">
        <f>IFERROR(__xludf.DUMMYFUNCTION("""COMPUTED_VALUE"""),2300.85)</f>
        <v>2300.85</v>
      </c>
      <c r="D67" s="6">
        <f>IFERROR(__xludf.DUMMYFUNCTION("""COMPUTED_VALUE"""),2240.2)</f>
        <v>2240.2</v>
      </c>
      <c r="E67" s="6">
        <f>IFERROR(__xludf.DUMMYFUNCTION("""COMPUTED_VALUE"""),2264.45)</f>
        <v>2264.45</v>
      </c>
      <c r="F67" s="6">
        <f>IFERROR(__xludf.DUMMYFUNCTION("""COMPUTED_VALUE"""),1004318.0)</f>
        <v>1004318</v>
      </c>
    </row>
    <row r="68">
      <c r="A68" s="7">
        <f>IFERROR(__xludf.DUMMYFUNCTION("""COMPUTED_VALUE"""),45660.64583333333)</f>
        <v>45660.64583</v>
      </c>
      <c r="B68" s="6">
        <f>IFERROR(__xludf.DUMMYFUNCTION("""COMPUTED_VALUE"""),2265.0)</f>
        <v>2265</v>
      </c>
      <c r="C68" s="6">
        <f>IFERROR(__xludf.DUMMYFUNCTION("""COMPUTED_VALUE"""),2290.0)</f>
        <v>2290</v>
      </c>
      <c r="D68" s="6">
        <f>IFERROR(__xludf.DUMMYFUNCTION("""COMPUTED_VALUE"""),2196.85)</f>
        <v>2196.85</v>
      </c>
      <c r="E68" s="6">
        <f>IFERROR(__xludf.DUMMYFUNCTION("""COMPUTED_VALUE"""),2284.9)</f>
        <v>2284.9</v>
      </c>
      <c r="F68" s="6">
        <f>IFERROR(__xludf.DUMMYFUNCTION("""COMPUTED_VALUE"""),1820888.0)</f>
        <v>1820888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IFERROR(__xludf.DUMMYFUNCTION("""COMPUTED_VALUE"""),2296.25)</f>
        <v>2296.25</v>
      </c>
      <c r="C69" s="6">
        <f>IFERROR(__xludf.DUMMYFUNCTION("""COMPUTED_VALUE"""),2697.7)</f>
        <v>2697.7</v>
      </c>
      <c r="D69" s="6">
        <f>IFERROR(__xludf.DUMMYFUNCTION("""COMPUTED_VALUE"""),2260.0)</f>
        <v>2260</v>
      </c>
      <c r="E69" s="6">
        <f>IFERROR(__xludf.DUMMYFUNCTION("""COMPUTED_VALUE"""),2601.1)</f>
        <v>2601.1</v>
      </c>
      <c r="F69" s="6">
        <f>IFERROR(__xludf.DUMMYFUNCTION("""COMPUTED_VALUE"""),1.4555658E7)</f>
        <v>14555658</v>
      </c>
    </row>
    <row r="70">
      <c r="A70" s="7">
        <f>IFERROR(__xludf.DUMMYFUNCTION("""COMPUTED_VALUE"""),45674.64583333333)</f>
        <v>45674.64583</v>
      </c>
      <c r="B70" s="6">
        <f>IFERROR(__xludf.DUMMYFUNCTION("""COMPUTED_VALUE"""),2557.0)</f>
        <v>2557</v>
      </c>
      <c r="C70" s="6">
        <f>IFERROR(__xludf.DUMMYFUNCTION("""COMPUTED_VALUE"""),2632.65)</f>
        <v>2632.65</v>
      </c>
      <c r="D70" s="6">
        <f>IFERROR(__xludf.DUMMYFUNCTION("""COMPUTED_VALUE"""),2484.5)</f>
        <v>2484.5</v>
      </c>
      <c r="E70" s="6">
        <f>IFERROR(__xludf.DUMMYFUNCTION("""COMPUTED_VALUE"""),2606.45)</f>
        <v>2606.45</v>
      </c>
      <c r="F70" s="6">
        <f>IFERROR(__xludf.DUMMYFUNCTION("""COMPUTED_VALUE"""),2362596.0)</f>
        <v>2362596</v>
      </c>
    </row>
    <row r="71">
      <c r="A71" s="7">
        <f>IFERROR(__xludf.DUMMYFUNCTION("""COMPUTED_VALUE"""),45681.64583333333)</f>
        <v>45681.64583</v>
      </c>
      <c r="B71" s="6">
        <f>IFERROR(__xludf.DUMMYFUNCTION("""COMPUTED_VALUE"""),2620.0)</f>
        <v>2620</v>
      </c>
      <c r="C71" s="6">
        <f>IFERROR(__xludf.DUMMYFUNCTION("""COMPUTED_VALUE"""),2632.0)</f>
        <v>2632</v>
      </c>
      <c r="D71" s="6">
        <f>IFERROR(__xludf.DUMMYFUNCTION("""COMPUTED_VALUE"""),2487.0)</f>
        <v>2487</v>
      </c>
      <c r="E71" s="6">
        <f>IFERROR(__xludf.DUMMYFUNCTION("""COMPUTED_VALUE"""),2583.95)</f>
        <v>2583.95</v>
      </c>
      <c r="F71" s="6">
        <f>IFERROR(__xludf.DUMMYFUNCTION("""COMPUTED_VALUE"""),1953667.0)</f>
        <v>1953667</v>
      </c>
    </row>
    <row r="72">
      <c r="A72" s="7">
        <f>IFERROR(__xludf.DUMMYFUNCTION("""COMPUTED_VALUE"""),45695.64583333333)</f>
        <v>45695.64583</v>
      </c>
      <c r="B72" s="6">
        <f>IFERROR(__xludf.DUMMYFUNCTION("""COMPUTED_VALUE"""),2875.0)</f>
        <v>2875</v>
      </c>
      <c r="C72" s="6">
        <f>IFERROR(__xludf.DUMMYFUNCTION("""COMPUTED_VALUE"""),2983.9)</f>
        <v>2983.9</v>
      </c>
      <c r="D72" s="6">
        <f>IFERROR(__xludf.DUMMYFUNCTION("""COMPUTED_VALUE"""),2826.05)</f>
        <v>2826.05</v>
      </c>
      <c r="E72" s="6">
        <f>IFERROR(__xludf.DUMMYFUNCTION("""COMPUTED_VALUE"""),2879.95)</f>
        <v>2879.95</v>
      </c>
      <c r="F72" s="6">
        <f>IFERROR(__xludf.DUMMYFUNCTION("""COMPUTED_VALUE"""),4974683.0)</f>
        <v>4974683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IFERROR(__xludf.DUMMYFUNCTION("""COMPUTED_VALUE"""),2899.0)</f>
        <v>2899</v>
      </c>
      <c r="C73" s="6">
        <f>IFERROR(__xludf.DUMMYFUNCTION("""COMPUTED_VALUE"""),2909.95)</f>
        <v>2909.95</v>
      </c>
      <c r="D73" s="6">
        <f>IFERROR(__xludf.DUMMYFUNCTION("""COMPUTED_VALUE"""),2723.6)</f>
        <v>2723.6</v>
      </c>
      <c r="E73" s="6">
        <f>IFERROR(__xludf.DUMMYFUNCTION("""COMPUTED_VALUE"""),2752.25)</f>
        <v>2752.25</v>
      </c>
      <c r="F73" s="6">
        <f>IFERROR(__xludf.DUMMYFUNCTION("""COMPUTED_VALUE"""),2688627.0)</f>
        <v>2688627</v>
      </c>
    </row>
    <row r="74">
      <c r="A74" s="7">
        <f>IFERROR(__xludf.DUMMYFUNCTION("""COMPUTED_VALUE"""),45709.64583333333)</f>
        <v>45709.64583</v>
      </c>
      <c r="B74" s="6">
        <f>IFERROR(__xludf.DUMMYFUNCTION("""COMPUTED_VALUE"""),2750.0)</f>
        <v>2750</v>
      </c>
      <c r="C74" s="6">
        <f>IFERROR(__xludf.DUMMYFUNCTION("""COMPUTED_VALUE"""),2824.6)</f>
        <v>2824.6</v>
      </c>
      <c r="D74" s="6">
        <f>IFERROR(__xludf.DUMMYFUNCTION("""COMPUTED_VALUE"""),2707.05)</f>
        <v>2707.05</v>
      </c>
      <c r="E74" s="6">
        <f>IFERROR(__xludf.DUMMYFUNCTION("""COMPUTED_VALUE"""),2778.9)</f>
        <v>2778.9</v>
      </c>
      <c r="F74" s="6">
        <f>IFERROR(__xludf.DUMMYFUNCTION("""COMPUTED_VALUE"""),1607437.0)</f>
        <v>1607437</v>
      </c>
    </row>
    <row r="75">
      <c r="A75" s="7">
        <f>IFERROR(__xludf.DUMMYFUNCTION("""COMPUTED_VALUE"""),45716.64583333333)</f>
        <v>45716.64583</v>
      </c>
      <c r="B75" s="6">
        <f>IFERROR(__xludf.DUMMYFUNCTION("""COMPUTED_VALUE"""),2772.0)</f>
        <v>2772</v>
      </c>
      <c r="C75" s="6">
        <f>IFERROR(__xludf.DUMMYFUNCTION("""COMPUTED_VALUE"""),2864.5)</f>
        <v>2864.5</v>
      </c>
      <c r="D75" s="6">
        <f>IFERROR(__xludf.DUMMYFUNCTION("""COMPUTED_VALUE"""),2720.1)</f>
        <v>2720.1</v>
      </c>
      <c r="E75" s="6">
        <f>IFERROR(__xludf.DUMMYFUNCTION("""COMPUTED_VALUE"""),2795.4)</f>
        <v>2795.4</v>
      </c>
      <c r="F75" s="6">
        <f>IFERROR(__xludf.DUMMYFUNCTION("""COMPUTED_VALUE"""),3395435.0)</f>
        <v>3395435</v>
      </c>
    </row>
    <row r="76">
      <c r="A76" s="7">
        <f>IFERROR(__xludf.DUMMYFUNCTION("""COMPUTED_VALUE"""),45723.64583333333)</f>
        <v>45723.64583</v>
      </c>
      <c r="B76" s="6">
        <f>IFERROR(__xludf.DUMMYFUNCTION("""COMPUTED_VALUE"""),2790.1)</f>
        <v>2790.1</v>
      </c>
      <c r="C76" s="6">
        <f>IFERROR(__xludf.DUMMYFUNCTION("""COMPUTED_VALUE"""),2945.1)</f>
        <v>2945.1</v>
      </c>
      <c r="D76" s="6">
        <f>IFERROR(__xludf.DUMMYFUNCTION("""COMPUTED_VALUE"""),2725.25)</f>
        <v>2725.25</v>
      </c>
      <c r="E76" s="6">
        <f>IFERROR(__xludf.DUMMYFUNCTION("""COMPUTED_VALUE"""),2935.35)</f>
        <v>2935.35</v>
      </c>
      <c r="F76" s="6">
        <f>IFERROR(__xludf.DUMMYFUNCTION("""COMPUTED_VALUE"""),3302709.0)</f>
        <v>3302709</v>
      </c>
    </row>
    <row r="77">
      <c r="A77" s="7">
        <f>IFERROR(__xludf.DUMMYFUNCTION("""COMPUTED_VALUE"""),45729.64583333333)</f>
        <v>45729.64583</v>
      </c>
      <c r="B77" s="6">
        <f>IFERROR(__xludf.DUMMYFUNCTION("""COMPUTED_VALUE"""),2945.0)</f>
        <v>2945</v>
      </c>
      <c r="C77" s="6">
        <f>IFERROR(__xludf.DUMMYFUNCTION("""COMPUTED_VALUE"""),2969.95)</f>
        <v>2969.95</v>
      </c>
      <c r="D77" s="6">
        <f>IFERROR(__xludf.DUMMYFUNCTION("""COMPUTED_VALUE"""),2862.7)</f>
        <v>2862.7</v>
      </c>
      <c r="E77" s="6">
        <f>IFERROR(__xludf.DUMMYFUNCTION("""COMPUTED_VALUE"""),2951.8)</f>
        <v>2951.8</v>
      </c>
      <c r="F77" s="6">
        <f>IFERROR(__xludf.DUMMYFUNCTION("""COMPUTED_VALUE"""),2924007.0)</f>
        <v>2924007</v>
      </c>
    </row>
    <row r="78">
      <c r="A78" s="7">
        <f>IFERROR(__xludf.DUMMYFUNCTION("""COMPUTED_VALUE"""),45737.64583333333)</f>
        <v>45737.64583</v>
      </c>
      <c r="B78" s="6">
        <f>IFERROR(__xludf.DUMMYFUNCTION("""COMPUTED_VALUE"""),2959.05)</f>
        <v>2959.05</v>
      </c>
      <c r="C78" s="6">
        <f>IFERROR(__xludf.DUMMYFUNCTION("""COMPUTED_VALUE"""),3051.9)</f>
        <v>3051.9</v>
      </c>
      <c r="D78" s="6">
        <f>IFERROR(__xludf.DUMMYFUNCTION("""COMPUTED_VALUE"""),2946.1)</f>
        <v>2946.1</v>
      </c>
      <c r="E78" s="6">
        <f>IFERROR(__xludf.DUMMYFUNCTION("""COMPUTED_VALUE"""),3024.35)</f>
        <v>3024.35</v>
      </c>
      <c r="F78" s="6">
        <f>IFERROR(__xludf.DUMMYFUNCTION("""COMPUTED_VALUE"""),3479656.0)</f>
        <v>3479656</v>
      </c>
    </row>
    <row r="79">
      <c r="A79" s="7">
        <f>IFERROR(__xludf.DUMMYFUNCTION("""COMPUTED_VALUE"""),45744.64583333333)</f>
        <v>45744.64583</v>
      </c>
      <c r="B79" s="6">
        <f>IFERROR(__xludf.DUMMYFUNCTION("""COMPUTED_VALUE"""),3047.0)</f>
        <v>3047</v>
      </c>
      <c r="C79" s="6">
        <f>IFERROR(__xludf.DUMMYFUNCTION("""COMPUTED_VALUE"""),3054.9)</f>
        <v>3054.9</v>
      </c>
      <c r="D79" s="6">
        <f>IFERROR(__xludf.DUMMYFUNCTION("""COMPUTED_VALUE"""),2808.3)</f>
        <v>2808.3</v>
      </c>
      <c r="E79" s="6">
        <f>IFERROR(__xludf.DUMMYFUNCTION("""COMPUTED_VALUE"""),2939.15)</f>
        <v>2939.15</v>
      </c>
      <c r="F79" s="6">
        <f>IFERROR(__xludf.DUMMYFUNCTION("""COMPUTED_VALUE"""),2956725.0)</f>
        <v>2956725</v>
      </c>
    </row>
    <row r="80">
      <c r="A80" s="7">
        <f>IFERROR(__xludf.DUMMYFUNCTION("""COMPUTED_VALUE"""),45751.64583333333)</f>
        <v>45751.64583</v>
      </c>
      <c r="B80" s="6">
        <f>IFERROR(__xludf.DUMMYFUNCTION("""COMPUTED_VALUE"""),2931.0)</f>
        <v>2931</v>
      </c>
      <c r="C80" s="6">
        <f>IFERROR(__xludf.DUMMYFUNCTION("""COMPUTED_VALUE"""),2987.0)</f>
        <v>2987</v>
      </c>
      <c r="D80" s="6">
        <f>IFERROR(__xludf.DUMMYFUNCTION("""COMPUTED_VALUE"""),2803.75)</f>
        <v>2803.75</v>
      </c>
      <c r="E80" s="6">
        <f>IFERROR(__xludf.DUMMYFUNCTION("""COMPUTED_VALUE"""),2854.85)</f>
        <v>2854.85</v>
      </c>
      <c r="F80" s="6">
        <f>IFERROR(__xludf.DUMMYFUNCTION("""COMPUTED_VALUE"""),3368348.0)</f>
        <v>3368348</v>
      </c>
    </row>
    <row r="81">
      <c r="A81" s="7">
        <f>IFERROR(__xludf.DUMMYFUNCTION("""COMPUTED_VALUE"""),45758.64583333333)</f>
        <v>45758.64583</v>
      </c>
      <c r="B81" s="6">
        <f>IFERROR(__xludf.DUMMYFUNCTION("""COMPUTED_VALUE"""),2570.2)</f>
        <v>2570.2</v>
      </c>
      <c r="C81" s="6">
        <f>IFERROR(__xludf.DUMMYFUNCTION("""COMPUTED_VALUE"""),2968.4)</f>
        <v>2968.4</v>
      </c>
      <c r="D81" s="6">
        <f>IFERROR(__xludf.DUMMYFUNCTION("""COMPUTED_VALUE"""),2570.2)</f>
        <v>2570.2</v>
      </c>
      <c r="E81" s="6">
        <f>IFERROR(__xludf.DUMMYFUNCTION("""COMPUTED_VALUE"""),2947.35)</f>
        <v>2947.35</v>
      </c>
      <c r="F81" s="6">
        <f>IFERROR(__xludf.DUMMYFUNCTION("""COMPUTED_VALUE"""),3977092.0)</f>
        <v>3977092</v>
      </c>
    </row>
    <row r="82">
      <c r="A82" s="7">
        <f>IFERROR(__xludf.DUMMYFUNCTION("""COMPUTED_VALUE"""),45764.64583333333)</f>
        <v>45764.64583</v>
      </c>
      <c r="B82" s="6">
        <f>IFERROR(__xludf.DUMMYFUNCTION("""COMPUTED_VALUE"""),3005.0)</f>
        <v>3005</v>
      </c>
      <c r="C82" s="6">
        <f>IFERROR(__xludf.DUMMYFUNCTION("""COMPUTED_VALUE"""),3025.0)</f>
        <v>3025</v>
      </c>
      <c r="D82" s="6">
        <f>IFERROR(__xludf.DUMMYFUNCTION("""COMPUTED_VALUE"""),2945.0)</f>
        <v>2945</v>
      </c>
      <c r="E82" s="6">
        <f>IFERROR(__xludf.DUMMYFUNCTION("""COMPUTED_VALUE"""),2990.4)</f>
        <v>2990.4</v>
      </c>
      <c r="F82" s="6">
        <f>IFERROR(__xludf.DUMMYFUNCTION("""COMPUTED_VALUE"""),1917235.0)</f>
        <v>1917235</v>
      </c>
    </row>
    <row r="83">
      <c r="A83" s="7">
        <f>IFERROR(__xludf.DUMMYFUNCTION("""COMPUTED_VALUE"""),45772.64583333333)</f>
        <v>45772.64583</v>
      </c>
      <c r="B83" s="6">
        <f>IFERROR(__xludf.DUMMYFUNCTION("""COMPUTED_VALUE"""),2990.4)</f>
        <v>2990.4</v>
      </c>
      <c r="C83" s="6">
        <f>IFERROR(__xludf.DUMMYFUNCTION("""COMPUTED_VALUE"""),3085.0)</f>
        <v>3085</v>
      </c>
      <c r="D83" s="6">
        <f>IFERROR(__xludf.DUMMYFUNCTION("""COMPUTED_VALUE"""),2943.0)</f>
        <v>2943</v>
      </c>
      <c r="E83" s="6">
        <f>IFERROR(__xludf.DUMMYFUNCTION("""COMPUTED_VALUE"""),2968.1)</f>
        <v>2968.1</v>
      </c>
      <c r="F83" s="6">
        <f>IFERROR(__xludf.DUMMYFUNCTION("""COMPUTED_VALUE"""),2812753.0)</f>
        <v>2812753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IFERROR(__xludf.DUMMYFUNCTION("""COMPUTED_VALUE"""),2950.0)</f>
        <v>2950</v>
      </c>
      <c r="C84" s="6">
        <f>IFERROR(__xludf.DUMMYFUNCTION("""COMPUTED_VALUE"""),3056.5)</f>
        <v>3056.5</v>
      </c>
      <c r="D84" s="6">
        <f>IFERROR(__xludf.DUMMYFUNCTION("""COMPUTED_VALUE"""),2950.0)</f>
        <v>2950</v>
      </c>
      <c r="E84" s="6">
        <f>IFERROR(__xludf.DUMMYFUNCTION("""COMPUTED_VALUE"""),2970.2)</f>
        <v>2970.2</v>
      </c>
      <c r="F84" s="6">
        <f>IFERROR(__xludf.DUMMYFUNCTION("""COMPUTED_VALUE"""),2361317.0)</f>
        <v>2361317</v>
      </c>
    </row>
    <row r="85">
      <c r="A85" s="7">
        <f>IFERROR(__xludf.DUMMYFUNCTION("""COMPUTED_VALUE"""),45786.64583333333)</f>
        <v>45786.64583</v>
      </c>
      <c r="B85" s="6">
        <f>IFERROR(__xludf.DUMMYFUNCTION("""COMPUTED_VALUE"""),2983.0)</f>
        <v>2983</v>
      </c>
      <c r="C85" s="6">
        <f>IFERROR(__xludf.DUMMYFUNCTION("""COMPUTED_VALUE"""),3087.0)</f>
        <v>3087</v>
      </c>
      <c r="D85" s="6">
        <f>IFERROR(__xludf.DUMMYFUNCTION("""COMPUTED_VALUE"""),2876.1)</f>
        <v>2876.1</v>
      </c>
      <c r="E85" s="6">
        <f>IFERROR(__xludf.DUMMYFUNCTION("""COMPUTED_VALUE"""),3004.3)</f>
        <v>3004.3</v>
      </c>
      <c r="F85" s="6">
        <f>IFERROR(__xludf.DUMMYFUNCTION("""COMPUTED_VALUE"""),2644236.0)</f>
        <v>2644236</v>
      </c>
    </row>
    <row r="86">
      <c r="A86" s="7">
        <f>IFERROR(__xludf.DUMMYFUNCTION("""COMPUTED_VALUE"""),45793.64583333333)</f>
        <v>45793.64583</v>
      </c>
      <c r="B86" s="6">
        <f>IFERROR(__xludf.DUMMYFUNCTION("""COMPUTED_VALUE"""),3056.0)</f>
        <v>3056</v>
      </c>
      <c r="C86" s="6">
        <f>IFERROR(__xludf.DUMMYFUNCTION("""COMPUTED_VALUE"""),3098.5)</f>
        <v>3098.5</v>
      </c>
      <c r="D86" s="6">
        <f>IFERROR(__xludf.DUMMYFUNCTION("""COMPUTED_VALUE"""),2849.0)</f>
        <v>2849</v>
      </c>
      <c r="E86" s="6">
        <f>IFERROR(__xludf.DUMMYFUNCTION("""COMPUTED_VALUE"""),2914.9)</f>
        <v>2914.9</v>
      </c>
      <c r="F86" s="6">
        <f>IFERROR(__xludf.DUMMYFUNCTION("""COMPUTED_VALUE"""),4982797.0)</f>
        <v>4982797</v>
      </c>
    </row>
    <row r="87">
      <c r="A87" s="7">
        <f>IFERROR(__xludf.DUMMYFUNCTION("""COMPUTED_VALUE"""),45800.64583333333)</f>
        <v>45800.64583</v>
      </c>
      <c r="B87" s="6">
        <f>IFERROR(__xludf.DUMMYFUNCTION("""COMPUTED_VALUE"""),2919.0)</f>
        <v>2919</v>
      </c>
      <c r="C87" s="6">
        <f>IFERROR(__xludf.DUMMYFUNCTION("""COMPUTED_VALUE"""),3032.0)</f>
        <v>3032</v>
      </c>
      <c r="D87" s="6">
        <f>IFERROR(__xludf.DUMMYFUNCTION("""COMPUTED_VALUE"""),2886.5)</f>
        <v>2886.5</v>
      </c>
      <c r="E87" s="6">
        <f>IFERROR(__xludf.DUMMYFUNCTION("""COMPUTED_VALUE"""),2900.2)</f>
        <v>2900.2</v>
      </c>
      <c r="F87" s="6">
        <f>IFERROR(__xludf.DUMMYFUNCTION("""COMPUTED_VALUE"""),3937385.0)</f>
        <v>3937385</v>
      </c>
    </row>
    <row r="88">
      <c r="A88" s="7">
        <f>IFERROR(__xludf.DUMMYFUNCTION("""COMPUTED_VALUE"""),45807.64583333333)</f>
        <v>45807.64583</v>
      </c>
      <c r="B88" s="6">
        <f>IFERROR(__xludf.DUMMYFUNCTION("""COMPUTED_VALUE"""),2924.0)</f>
        <v>2924</v>
      </c>
      <c r="C88" s="6">
        <f>IFERROR(__xludf.DUMMYFUNCTION("""COMPUTED_VALUE"""),2927.7)</f>
        <v>2927.7</v>
      </c>
      <c r="D88" s="6">
        <f>IFERROR(__xludf.DUMMYFUNCTION("""COMPUTED_VALUE"""),2851.1)</f>
        <v>2851.1</v>
      </c>
      <c r="E88" s="6">
        <f>IFERROR(__xludf.DUMMYFUNCTION("""COMPUTED_VALUE"""),2861.0)</f>
        <v>2861</v>
      </c>
      <c r="F88" s="6">
        <f>IFERROR(__xludf.DUMMYFUNCTION("""COMPUTED_VALUE"""),3012834.0)</f>
        <v>3012834</v>
      </c>
    </row>
    <row r="89">
      <c r="A89" s="7">
        <f>IFERROR(__xludf.DUMMYFUNCTION("""COMPUTED_VALUE"""),45814.64583333333)</f>
        <v>45814.64583</v>
      </c>
      <c r="B89" s="6">
        <f>IFERROR(__xludf.DUMMYFUNCTION("""COMPUTED_VALUE"""),2825.1)</f>
        <v>2825.1</v>
      </c>
      <c r="C89" s="6">
        <f>IFERROR(__xludf.DUMMYFUNCTION("""COMPUTED_VALUE"""),3139.0)</f>
        <v>3139</v>
      </c>
      <c r="D89" s="6">
        <f>IFERROR(__xludf.DUMMYFUNCTION("""COMPUTED_VALUE"""),2819.2)</f>
        <v>2819.2</v>
      </c>
      <c r="E89" s="6">
        <f>IFERROR(__xludf.DUMMYFUNCTION("""COMPUTED_VALUE"""),3123.5)</f>
        <v>3123.5</v>
      </c>
      <c r="F89" s="6">
        <f>IFERROR(__xludf.DUMMYFUNCTION("""COMPUTED_VALUE"""),4582589.0)</f>
        <v>4582589</v>
      </c>
    </row>
    <row r="90">
      <c r="A90" s="7">
        <f>IFERROR(__xludf.DUMMYFUNCTION("""COMPUTED_VALUE"""),45821.64583333333)</f>
        <v>45821.64583</v>
      </c>
      <c r="B90" s="6">
        <f>IFERROR(__xludf.DUMMYFUNCTION("""COMPUTED_VALUE"""),3123.5)</f>
        <v>3123.5</v>
      </c>
      <c r="C90" s="6">
        <f>IFERROR(__xludf.DUMMYFUNCTION("""COMPUTED_VALUE"""),3169.9)</f>
        <v>3169.9</v>
      </c>
      <c r="D90" s="6">
        <f>IFERROR(__xludf.DUMMYFUNCTION("""COMPUTED_VALUE"""),3055.6)</f>
        <v>3055.6</v>
      </c>
      <c r="E90" s="6">
        <f>IFERROR(__xludf.DUMMYFUNCTION("""COMPUTED_VALUE"""),3099.6)</f>
        <v>3099.6</v>
      </c>
      <c r="F90" s="6">
        <f>IFERROR(__xludf.DUMMYFUNCTION("""COMPUTED_VALUE"""),2463698.0)</f>
        <v>2463698</v>
      </c>
    </row>
    <row r="91">
      <c r="A91" s="7">
        <f>IFERROR(__xludf.DUMMYFUNCTION("""COMPUTED_VALUE"""),45828.64583333333)</f>
        <v>45828.64583</v>
      </c>
      <c r="B91" s="6">
        <f>IFERROR(__xludf.DUMMYFUNCTION("""COMPUTED_VALUE"""),3099.5)</f>
        <v>3099.5</v>
      </c>
      <c r="C91" s="6">
        <f>IFERROR(__xludf.DUMMYFUNCTION("""COMPUTED_VALUE"""),3141.8)</f>
        <v>3141.8</v>
      </c>
      <c r="D91" s="6">
        <f>IFERROR(__xludf.DUMMYFUNCTION("""COMPUTED_VALUE"""),2998.5)</f>
        <v>2998.5</v>
      </c>
      <c r="E91" s="6">
        <f>IFERROR(__xludf.DUMMYFUNCTION("""COMPUTED_VALUE"""),3030.1)</f>
        <v>3030.1</v>
      </c>
      <c r="F91" s="6">
        <f>IFERROR(__xludf.DUMMYFUNCTION("""COMPUTED_VALUE"""),2666315.0)</f>
        <v>2666315</v>
      </c>
    </row>
    <row r="92">
      <c r="A92" s="7">
        <f>IFERROR(__xludf.DUMMYFUNCTION("""COMPUTED_VALUE"""),45835.64583333333)</f>
        <v>45835.64583</v>
      </c>
      <c r="B92" s="6">
        <f>IFERROR(__xludf.DUMMYFUNCTION("""COMPUTED_VALUE"""),3000.0)</f>
        <v>3000</v>
      </c>
      <c r="C92" s="6">
        <f>IFERROR(__xludf.DUMMYFUNCTION("""COMPUTED_VALUE"""),3188.3)</f>
        <v>3188.3</v>
      </c>
      <c r="D92" s="6">
        <f>IFERROR(__xludf.DUMMYFUNCTION("""COMPUTED_VALUE"""),3000.0)</f>
        <v>3000</v>
      </c>
      <c r="E92" s="6">
        <f>IFERROR(__xludf.DUMMYFUNCTION("""COMPUTED_VALUE"""),3174.8)</f>
        <v>3174.8</v>
      </c>
      <c r="F92" s="6">
        <f>IFERROR(__xludf.DUMMYFUNCTION("""COMPUTED_VALUE"""),4855056.0)</f>
        <v>4855056</v>
      </c>
    </row>
    <row r="93">
      <c r="A93" s="7">
        <f>IFERROR(__xludf.DUMMYFUNCTION("""COMPUTED_VALUE"""),45842.64583333333)</f>
        <v>45842.64583</v>
      </c>
      <c r="B93" s="6">
        <f>IFERROR(__xludf.DUMMYFUNCTION("""COMPUTED_VALUE"""),3184.8)</f>
        <v>3184.8</v>
      </c>
      <c r="C93" s="6">
        <f>IFERROR(__xludf.DUMMYFUNCTION("""COMPUTED_VALUE"""),3288.9)</f>
        <v>3288.9</v>
      </c>
      <c r="D93" s="6">
        <f>IFERROR(__xludf.DUMMYFUNCTION("""COMPUTED_VALUE"""),3151.8)</f>
        <v>3151.8</v>
      </c>
      <c r="E93" s="6">
        <f>IFERROR(__xludf.DUMMYFUNCTION("""COMPUTED_VALUE"""),3230.5)</f>
        <v>3230.5</v>
      </c>
      <c r="F93" s="6">
        <f>IFERROR(__xludf.DUMMYFUNCTION("""COMPUTED_VALUE"""),2661053.0)</f>
        <v>2661053</v>
      </c>
    </row>
    <row r="94">
      <c r="A94" s="7">
        <f>IFERROR(__xludf.DUMMYFUNCTION("""COMPUTED_VALUE"""),45849.64583333333)</f>
        <v>45849.64583</v>
      </c>
      <c r="B94" s="6">
        <f>IFERROR(__xludf.DUMMYFUNCTION("""COMPUTED_VALUE"""),3227.0)</f>
        <v>3227</v>
      </c>
      <c r="C94" s="6">
        <f>IFERROR(__xludf.DUMMYFUNCTION("""COMPUTED_VALUE"""),3325.0)</f>
        <v>3325</v>
      </c>
      <c r="D94" s="6">
        <f>IFERROR(__xludf.DUMMYFUNCTION("""COMPUTED_VALUE"""),3162.1)</f>
        <v>3162.1</v>
      </c>
      <c r="E94" s="6">
        <f>IFERROR(__xludf.DUMMYFUNCTION("""COMPUTED_VALUE"""),3182.5)</f>
        <v>3182.5</v>
      </c>
      <c r="F94" s="6">
        <f>IFERROR(__xludf.DUMMYFUNCTION("""COMPUTED_VALUE"""),1565802.0)</f>
        <v>1565802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IFERROR(__xludf.DUMMYFUNCTION("""COMPUTED_VALUE"""),3179.0)</f>
        <v>3179</v>
      </c>
      <c r="C95" s="6">
        <f>IFERROR(__xludf.DUMMYFUNCTION("""COMPUTED_VALUE"""),3250.0)</f>
        <v>3250</v>
      </c>
      <c r="D95" s="6">
        <f>IFERROR(__xludf.DUMMYFUNCTION("""COMPUTED_VALUE"""),3136.1)</f>
        <v>3136.1</v>
      </c>
      <c r="E95" s="6">
        <f>IFERROR(__xludf.DUMMYFUNCTION("""COMPUTED_VALUE"""),3187.1)</f>
        <v>3187.1</v>
      </c>
      <c r="F95" s="6">
        <f>IFERROR(__xludf.DUMMYFUNCTION("""COMPUTED_VALUE"""),1496781.0)</f>
        <v>1496781</v>
      </c>
    </row>
    <row r="96">
      <c r="A96" s="7">
        <f>IFERROR(__xludf.DUMMYFUNCTION("""COMPUTED_VALUE"""),45863.64583333333)</f>
        <v>45863.64583</v>
      </c>
      <c r="B96" s="6">
        <f>IFERROR(__xludf.DUMMYFUNCTION("""COMPUTED_VALUE"""),3185.0)</f>
        <v>3185</v>
      </c>
      <c r="C96" s="6">
        <f>IFERROR(__xludf.DUMMYFUNCTION("""COMPUTED_VALUE"""),3260.4)</f>
        <v>3260.4</v>
      </c>
      <c r="D96" s="6">
        <f>IFERROR(__xludf.DUMMYFUNCTION("""COMPUTED_VALUE"""),3033.8)</f>
        <v>3033.8</v>
      </c>
      <c r="E96" s="6">
        <f>IFERROR(__xludf.DUMMYFUNCTION("""COMPUTED_VALUE"""),3040.8)</f>
        <v>3040.8</v>
      </c>
      <c r="F96" s="6">
        <f>IFERROR(__xludf.DUMMYFUNCTION("""COMPUTED_VALUE"""),3621146.0)</f>
        <v>3621146</v>
      </c>
    </row>
    <row r="97">
      <c r="A97" s="7">
        <f>IFERROR(__xludf.DUMMYFUNCTION("""COMPUTED_VALUE"""),45870.64583333333)</f>
        <v>45870.64583</v>
      </c>
      <c r="B97" s="6">
        <f>IFERROR(__xludf.DUMMYFUNCTION("""COMPUTED_VALUE"""),3030.0)</f>
        <v>3030</v>
      </c>
      <c r="C97" s="6">
        <f>IFERROR(__xludf.DUMMYFUNCTION("""COMPUTED_VALUE"""),3143.9)</f>
        <v>3143.9</v>
      </c>
      <c r="D97" s="6">
        <f>IFERROR(__xludf.DUMMYFUNCTION("""COMPUTED_VALUE"""),2965.3)</f>
        <v>2965.3</v>
      </c>
      <c r="E97" s="6">
        <f>IFERROR(__xludf.DUMMYFUNCTION("""COMPUTED_VALUE"""),2985.2)</f>
        <v>2985.2</v>
      </c>
      <c r="F97" s="6">
        <f>IFERROR(__xludf.DUMMYFUNCTION("""COMPUTED_VALUE"""),2420522.0)</f>
        <v>2420522</v>
      </c>
    </row>
    <row r="98">
      <c r="A98" s="7">
        <f>IFERROR(__xludf.DUMMYFUNCTION("""COMPUTED_VALUE"""),45877.64583333333)</f>
        <v>45877.64583</v>
      </c>
      <c r="B98" s="6">
        <f>IFERROR(__xludf.DUMMYFUNCTION("""COMPUTED_VALUE"""),2965.1)</f>
        <v>2965.1</v>
      </c>
      <c r="C98" s="6">
        <f>IFERROR(__xludf.DUMMYFUNCTION("""COMPUTED_VALUE"""),3095.4)</f>
        <v>3095.4</v>
      </c>
      <c r="D98" s="6">
        <f>IFERROR(__xludf.DUMMYFUNCTION("""COMPUTED_VALUE"""),2844.9)</f>
        <v>2844.9</v>
      </c>
      <c r="E98" s="6">
        <f>IFERROR(__xludf.DUMMYFUNCTION("""COMPUTED_VALUE"""),2861.2)</f>
        <v>2861.2</v>
      </c>
      <c r="F98" s="6">
        <f>IFERROR(__xludf.DUMMYFUNCTION("""COMPUTED_VALUE"""),1871849.0)</f>
        <v>1871849</v>
      </c>
    </row>
    <row r="99">
      <c r="A99" s="7">
        <f>IFERROR(__xludf.DUMMYFUNCTION("""COMPUTED_VALUE"""),45883.64583333333)</f>
        <v>45883.64583</v>
      </c>
      <c r="B99" s="6">
        <f>IFERROR(__xludf.DUMMYFUNCTION("""COMPUTED_VALUE"""),2840.0)</f>
        <v>2840</v>
      </c>
      <c r="C99" s="6">
        <f>IFERROR(__xludf.DUMMYFUNCTION("""COMPUTED_VALUE"""),2892.9)</f>
        <v>2892.9</v>
      </c>
      <c r="D99" s="6">
        <f>IFERROR(__xludf.DUMMYFUNCTION("""COMPUTED_VALUE"""),2820.0)</f>
        <v>2820</v>
      </c>
      <c r="E99" s="6">
        <f>IFERROR(__xludf.DUMMYFUNCTION("""COMPUTED_VALUE"""),2841.9)</f>
        <v>2841.9</v>
      </c>
      <c r="F99" s="6">
        <f>IFERROR(__xludf.DUMMYFUNCTION("""COMPUTED_VALUE"""),1071423.0)</f>
        <v>1071423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IFERROR(__xludf.DUMMYFUNCTION("""COMPUTED_VALUE"""),2860.0)</f>
        <v>2860</v>
      </c>
      <c r="C100" s="6">
        <f>IFERROR(__xludf.DUMMYFUNCTION("""COMPUTED_VALUE"""),3014.5)</f>
        <v>3014.5</v>
      </c>
      <c r="D100" s="6">
        <f>IFERROR(__xludf.DUMMYFUNCTION("""COMPUTED_VALUE"""),2848.1)</f>
        <v>2848.1</v>
      </c>
      <c r="E100" s="6">
        <f>IFERROR(__xludf.DUMMYFUNCTION("""COMPUTED_VALUE"""),2917.5)</f>
        <v>2917.5</v>
      </c>
      <c r="F100" s="6">
        <f>IFERROR(__xludf.DUMMYFUNCTION("""COMPUTED_VALUE"""),2663694.0)</f>
        <v>2663694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IFERROR(__xludf.DUMMYFUNCTION("""COMPUTED_VALUE"""),2930.0)</f>
        <v>2930</v>
      </c>
      <c r="C101" s="6">
        <f>IFERROR(__xludf.DUMMYFUNCTION("""COMPUTED_VALUE"""),2954.0)</f>
        <v>2954</v>
      </c>
      <c r="D101" s="6">
        <f>IFERROR(__xludf.DUMMYFUNCTION("""COMPUTED_VALUE"""),2826.3)</f>
        <v>2826.3</v>
      </c>
      <c r="E101" s="6">
        <f>IFERROR(__xludf.DUMMYFUNCTION("""COMPUTED_VALUE"""),2849.2)</f>
        <v>2849.2</v>
      </c>
      <c r="F101" s="6">
        <f>IFERROR(__xludf.DUMMYFUNCTION("""COMPUTED_VALUE"""),8026409.0)</f>
        <v>8026409</v>
      </c>
    </row>
  </sheetData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IFERROR(__xludf.DUMMYFUNCTION("GOOGLEFINANCE(""NSE:SUNPHARMA"",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IFERROR(__xludf.DUMMYFUNCTION("""COMPUTED_VALUE"""),1110.05)</f>
        <v>1110.05</v>
      </c>
      <c r="C2" s="6">
        <f>IFERROR(__xludf.DUMMYFUNCTION("""COMPUTED_VALUE"""),1125.05)</f>
        <v>1125.05</v>
      </c>
      <c r="D2" s="6">
        <f>IFERROR(__xludf.DUMMYFUNCTION("""COMPUTED_VALUE"""),1101.7)</f>
        <v>1101.7</v>
      </c>
      <c r="E2" s="6">
        <f>IFERROR(__xludf.DUMMYFUNCTION("""COMPUTED_VALUE"""),1109.0)</f>
        <v>1109</v>
      </c>
      <c r="F2" s="6">
        <f>IFERROR(__xludf.DUMMYFUNCTION("""COMPUTED_VALUE"""),1.2750178E7)</f>
        <v>12750178</v>
      </c>
    </row>
    <row r="3">
      <c r="A3" s="7">
        <f>IFERROR(__xludf.DUMMYFUNCTION("""COMPUTED_VALUE"""),45177.64583333333)</f>
        <v>45177.64583</v>
      </c>
      <c r="B3" s="6">
        <f>IFERROR(__xludf.DUMMYFUNCTION("""COMPUTED_VALUE"""),1114.0)</f>
        <v>1114</v>
      </c>
      <c r="C3" s="6">
        <f>IFERROR(__xludf.DUMMYFUNCTION("""COMPUTED_VALUE"""),1149.0)</f>
        <v>1149</v>
      </c>
      <c r="D3" s="6">
        <f>IFERROR(__xludf.DUMMYFUNCTION("""COMPUTED_VALUE"""),1102.0)</f>
        <v>1102</v>
      </c>
      <c r="E3" s="6">
        <f>IFERROR(__xludf.DUMMYFUNCTION("""COMPUTED_VALUE"""),1130.45)</f>
        <v>1130.45</v>
      </c>
      <c r="F3" s="6">
        <f>IFERROR(__xludf.DUMMYFUNCTION("""COMPUTED_VALUE"""),9516535.0)</f>
        <v>9516535</v>
      </c>
    </row>
    <row r="4">
      <c r="A4" s="7">
        <f>IFERROR(__xludf.DUMMYFUNCTION("""COMPUTED_VALUE"""),45184.64583333333)</f>
        <v>45184.64583</v>
      </c>
      <c r="B4" s="6">
        <f>IFERROR(__xludf.DUMMYFUNCTION("""COMPUTED_VALUE"""),1130.45)</f>
        <v>1130.45</v>
      </c>
      <c r="C4" s="6">
        <f>IFERROR(__xludf.DUMMYFUNCTION("""COMPUTED_VALUE"""),1156.7)</f>
        <v>1156.7</v>
      </c>
      <c r="D4" s="6">
        <f>IFERROR(__xludf.DUMMYFUNCTION("""COMPUTED_VALUE"""),1125.7)</f>
        <v>1125.7</v>
      </c>
      <c r="E4" s="6">
        <f>IFERROR(__xludf.DUMMYFUNCTION("""COMPUTED_VALUE"""),1149.8)</f>
        <v>1149.8</v>
      </c>
      <c r="F4" s="6">
        <f>IFERROR(__xludf.DUMMYFUNCTION("""COMPUTED_VALUE"""),1.2606687E7)</f>
        <v>12606687</v>
      </c>
    </row>
    <row r="5">
      <c r="A5" s="7">
        <f>IFERROR(__xludf.DUMMYFUNCTION("""COMPUTED_VALUE"""),45191.64583333333)</f>
        <v>45191.64583</v>
      </c>
      <c r="B5" s="6">
        <f>IFERROR(__xludf.DUMMYFUNCTION("""COMPUTED_VALUE"""),1149.0)</f>
        <v>1149</v>
      </c>
      <c r="C5" s="6">
        <f>IFERROR(__xludf.DUMMYFUNCTION("""COMPUTED_VALUE"""),1157.0)</f>
        <v>1157</v>
      </c>
      <c r="D5" s="6">
        <f>IFERROR(__xludf.DUMMYFUNCTION("""COMPUTED_VALUE"""),1128.3)</f>
        <v>1128.3</v>
      </c>
      <c r="E5" s="6">
        <f>IFERROR(__xludf.DUMMYFUNCTION("""COMPUTED_VALUE"""),1132.35)</f>
        <v>1132.35</v>
      </c>
      <c r="F5" s="6">
        <f>IFERROR(__xludf.DUMMYFUNCTION("""COMPUTED_VALUE"""),6940385.0)</f>
        <v>6940385</v>
      </c>
    </row>
    <row r="6">
      <c r="A6" s="7">
        <f>IFERROR(__xludf.DUMMYFUNCTION("""COMPUTED_VALUE"""),45198.64583333333)</f>
        <v>45198.64583</v>
      </c>
      <c r="B6" s="6">
        <f>IFERROR(__xludf.DUMMYFUNCTION("""COMPUTED_VALUE"""),1126.2)</f>
        <v>1126.2</v>
      </c>
      <c r="C6" s="6">
        <f>IFERROR(__xludf.DUMMYFUNCTION("""COMPUTED_VALUE"""),1167.4)</f>
        <v>1167.4</v>
      </c>
      <c r="D6" s="6">
        <f>IFERROR(__xludf.DUMMYFUNCTION("""COMPUTED_VALUE"""),1118.5)</f>
        <v>1118.5</v>
      </c>
      <c r="E6" s="6">
        <f>IFERROR(__xludf.DUMMYFUNCTION("""COMPUTED_VALUE"""),1158.65)</f>
        <v>1158.65</v>
      </c>
      <c r="F6" s="6">
        <f>IFERROR(__xludf.DUMMYFUNCTION("""COMPUTED_VALUE"""),1.0281735E7)</f>
        <v>10281735</v>
      </c>
    </row>
    <row r="7">
      <c r="A7" s="7">
        <f>IFERROR(__xludf.DUMMYFUNCTION("""COMPUTED_VALUE"""),45205.64583333333)</f>
        <v>45205.64583</v>
      </c>
      <c r="B7" s="6">
        <f>IFERROR(__xludf.DUMMYFUNCTION("""COMPUTED_VALUE"""),1159.55)</f>
        <v>1159.55</v>
      </c>
      <c r="C7" s="6">
        <f>IFERROR(__xludf.DUMMYFUNCTION("""COMPUTED_VALUE"""),1161.95)</f>
        <v>1161.95</v>
      </c>
      <c r="D7" s="6">
        <f>IFERROR(__xludf.DUMMYFUNCTION("""COMPUTED_VALUE"""),1111.8)</f>
        <v>1111.8</v>
      </c>
      <c r="E7" s="6">
        <f>IFERROR(__xludf.DUMMYFUNCTION("""COMPUTED_VALUE"""),1127.3)</f>
        <v>1127.3</v>
      </c>
      <c r="F7" s="6">
        <f>IFERROR(__xludf.DUMMYFUNCTION("""COMPUTED_VALUE"""),7155680.0)</f>
        <v>7155680</v>
      </c>
    </row>
    <row r="8">
      <c r="A8" s="7">
        <f>IFERROR(__xludf.DUMMYFUNCTION("""COMPUTED_VALUE"""),45212.64583333333)</f>
        <v>45212.64583</v>
      </c>
      <c r="B8" s="6">
        <f>IFERROR(__xludf.DUMMYFUNCTION("""COMPUTED_VALUE"""),1111.0)</f>
        <v>1111</v>
      </c>
      <c r="C8" s="6">
        <f>IFERROR(__xludf.DUMMYFUNCTION("""COMPUTED_VALUE"""),1147.2)</f>
        <v>1147.2</v>
      </c>
      <c r="D8" s="6">
        <f>IFERROR(__xludf.DUMMYFUNCTION("""COMPUTED_VALUE"""),1109.0)</f>
        <v>1109</v>
      </c>
      <c r="E8" s="6">
        <f>IFERROR(__xludf.DUMMYFUNCTION("""COMPUTED_VALUE"""),1145.3)</f>
        <v>1145.3</v>
      </c>
      <c r="F8" s="6">
        <f>IFERROR(__xludf.DUMMYFUNCTION("""COMPUTED_VALUE"""),6785263.0)</f>
        <v>6785263</v>
      </c>
    </row>
    <row r="9">
      <c r="A9" s="7">
        <f>IFERROR(__xludf.DUMMYFUNCTION("""COMPUTED_VALUE"""),45219.64583333333)</f>
        <v>45219.64583</v>
      </c>
      <c r="B9" s="6">
        <f>IFERROR(__xludf.DUMMYFUNCTION("""COMPUTED_VALUE"""),1141.5)</f>
        <v>1141.5</v>
      </c>
      <c r="C9" s="6">
        <f>IFERROR(__xludf.DUMMYFUNCTION("""COMPUTED_VALUE"""),1161.8)</f>
        <v>1161.8</v>
      </c>
      <c r="D9" s="6">
        <f>IFERROR(__xludf.DUMMYFUNCTION("""COMPUTED_VALUE"""),1133.05)</f>
        <v>1133.05</v>
      </c>
      <c r="E9" s="6">
        <f>IFERROR(__xludf.DUMMYFUNCTION("""COMPUTED_VALUE"""),1142.2)</f>
        <v>1142.2</v>
      </c>
      <c r="F9" s="6">
        <f>IFERROR(__xludf.DUMMYFUNCTION("""COMPUTED_VALUE"""),6844607.0)</f>
        <v>6844607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IFERROR(__xludf.DUMMYFUNCTION("""COMPUTED_VALUE"""),1135.0)</f>
        <v>1135</v>
      </c>
      <c r="C10" s="6">
        <f>IFERROR(__xludf.DUMMYFUNCTION("""COMPUTED_VALUE"""),1149.2)</f>
        <v>1149.2</v>
      </c>
      <c r="D10" s="6">
        <f>IFERROR(__xludf.DUMMYFUNCTION("""COMPUTED_VALUE"""),1097.5)</f>
        <v>1097.5</v>
      </c>
      <c r="E10" s="6">
        <f>IFERROR(__xludf.DUMMYFUNCTION("""COMPUTED_VALUE"""),1111.3)</f>
        <v>1111.3</v>
      </c>
      <c r="F10" s="6">
        <f>IFERROR(__xludf.DUMMYFUNCTION("""COMPUTED_VALUE"""),5978343.0)</f>
        <v>5978343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IFERROR(__xludf.DUMMYFUNCTION("""COMPUTED_VALUE"""),1115.7)</f>
        <v>1115.7</v>
      </c>
      <c r="C11" s="6">
        <f>IFERROR(__xludf.DUMMYFUNCTION("""COMPUTED_VALUE"""),1145.7)</f>
        <v>1145.7</v>
      </c>
      <c r="D11" s="6">
        <f>IFERROR(__xludf.DUMMYFUNCTION("""COMPUTED_VALUE"""),1068.35)</f>
        <v>1068.35</v>
      </c>
      <c r="E11" s="6">
        <f>IFERROR(__xludf.DUMMYFUNCTION("""COMPUTED_VALUE"""),1141.1)</f>
        <v>1141.1</v>
      </c>
      <c r="F11" s="6">
        <f>IFERROR(__xludf.DUMMYFUNCTION("""COMPUTED_VALUE"""),1.6724311E7)</f>
        <v>16724311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IFERROR(__xludf.DUMMYFUNCTION("""COMPUTED_VALUE"""),1140.1)</f>
        <v>1140.1</v>
      </c>
      <c r="C12" s="6">
        <f>IFERROR(__xludf.DUMMYFUNCTION("""COMPUTED_VALUE"""),1183.25)</f>
        <v>1183.25</v>
      </c>
      <c r="D12" s="6">
        <f>IFERROR(__xludf.DUMMYFUNCTION("""COMPUTED_VALUE"""),1140.0)</f>
        <v>1140</v>
      </c>
      <c r="E12" s="6">
        <f>IFERROR(__xludf.DUMMYFUNCTION("""COMPUTED_VALUE"""),1179.35)</f>
        <v>1179.35</v>
      </c>
      <c r="F12" s="6">
        <f>IFERROR(__xludf.DUMMYFUNCTION("""COMPUTED_VALUE"""),7749377.0)</f>
        <v>7749377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IFERROR(__xludf.DUMMYFUNCTION("""COMPUTED_VALUE"""),1181.5)</f>
        <v>1181.5</v>
      </c>
      <c r="C13" s="6">
        <f>IFERROR(__xludf.DUMMYFUNCTION("""COMPUTED_VALUE"""),1198.4)</f>
        <v>1198.4</v>
      </c>
      <c r="D13" s="6">
        <f>IFERROR(__xludf.DUMMYFUNCTION("""COMPUTED_VALUE"""),1171.0)</f>
        <v>1171</v>
      </c>
      <c r="E13" s="6">
        <f>IFERROR(__xludf.DUMMYFUNCTION("""COMPUTED_VALUE"""),1194.6)</f>
        <v>1194.6</v>
      </c>
      <c r="F13" s="6">
        <f>IFERROR(__xludf.DUMMYFUNCTION("""COMPUTED_VALUE"""),6288786.0)</f>
        <v>6288786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IFERROR(__xludf.DUMMYFUNCTION("""COMPUTED_VALUE"""),1196.0)</f>
        <v>1196</v>
      </c>
      <c r="C14" s="6">
        <f>IFERROR(__xludf.DUMMYFUNCTION("""COMPUTED_VALUE"""),1214.8)</f>
        <v>1214.8</v>
      </c>
      <c r="D14" s="6">
        <f>IFERROR(__xludf.DUMMYFUNCTION("""COMPUTED_VALUE"""),1185.25)</f>
        <v>1185.25</v>
      </c>
      <c r="E14" s="6">
        <f>IFERROR(__xludf.DUMMYFUNCTION("""COMPUTED_VALUE"""),1195.45)</f>
        <v>1195.45</v>
      </c>
      <c r="F14" s="6">
        <f>IFERROR(__xludf.DUMMYFUNCTION("""COMPUTED_VALUE"""),6009856.0)</f>
        <v>6009856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IFERROR(__xludf.DUMMYFUNCTION("""COMPUTED_VALUE"""),1197.15)</f>
        <v>1197.15</v>
      </c>
      <c r="C15" s="6">
        <f>IFERROR(__xludf.DUMMYFUNCTION("""COMPUTED_VALUE"""),1241.85)</f>
        <v>1241.85</v>
      </c>
      <c r="D15" s="6">
        <f>IFERROR(__xludf.DUMMYFUNCTION("""COMPUTED_VALUE"""),1184.5)</f>
        <v>1184.5</v>
      </c>
      <c r="E15" s="6">
        <f>IFERROR(__xludf.DUMMYFUNCTION("""COMPUTED_VALUE"""),1231.25)</f>
        <v>1231.25</v>
      </c>
      <c r="F15" s="6">
        <f>IFERROR(__xludf.DUMMYFUNCTION("""COMPUTED_VALUE"""),9122728.0)</f>
        <v>9122728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IFERROR(__xludf.DUMMYFUNCTION("""COMPUTED_VALUE"""),1237.25)</f>
        <v>1237.25</v>
      </c>
      <c r="C16" s="6">
        <f>IFERROR(__xludf.DUMMYFUNCTION("""COMPUTED_VALUE"""),1258.0)</f>
        <v>1258</v>
      </c>
      <c r="D16" s="6">
        <f>IFERROR(__xludf.DUMMYFUNCTION("""COMPUTED_VALUE"""),1220.5)</f>
        <v>1220.5</v>
      </c>
      <c r="E16" s="6">
        <f>IFERROR(__xludf.DUMMYFUNCTION("""COMPUTED_VALUE"""),1235.8)</f>
        <v>1235.8</v>
      </c>
      <c r="F16" s="6">
        <f>IFERROR(__xludf.DUMMYFUNCTION("""COMPUTED_VALUE"""),7340937.0)</f>
        <v>7340937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IFERROR(__xludf.DUMMYFUNCTION("""COMPUTED_VALUE"""),1236.0)</f>
        <v>1236</v>
      </c>
      <c r="C17" s="6">
        <f>IFERROR(__xludf.DUMMYFUNCTION("""COMPUTED_VALUE"""),1250.0)</f>
        <v>1250</v>
      </c>
      <c r="D17" s="6">
        <f>IFERROR(__xludf.DUMMYFUNCTION("""COMPUTED_VALUE"""),1212.65)</f>
        <v>1212.65</v>
      </c>
      <c r="E17" s="6">
        <f>IFERROR(__xludf.DUMMYFUNCTION("""COMPUTED_VALUE"""),1235.75)</f>
        <v>1235.75</v>
      </c>
      <c r="F17" s="6">
        <f>IFERROR(__xludf.DUMMYFUNCTION("""COMPUTED_VALUE"""),1.2269837E7)</f>
        <v>12269837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IFERROR(__xludf.DUMMYFUNCTION("""COMPUTED_VALUE"""),1235.75)</f>
        <v>1235.75</v>
      </c>
      <c r="C18" s="6">
        <f>IFERROR(__xludf.DUMMYFUNCTION("""COMPUTED_VALUE"""),1267.95)</f>
        <v>1267.95</v>
      </c>
      <c r="D18" s="6">
        <f>IFERROR(__xludf.DUMMYFUNCTION("""COMPUTED_VALUE"""),1208.55)</f>
        <v>1208.55</v>
      </c>
      <c r="E18" s="6">
        <f>IFERROR(__xludf.DUMMYFUNCTION("""COMPUTED_VALUE"""),1243.65)</f>
        <v>1243.65</v>
      </c>
      <c r="F18" s="6">
        <f>IFERROR(__xludf.DUMMYFUNCTION("""COMPUTED_VALUE"""),1.0134231E7)</f>
        <v>10134231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IFERROR(__xludf.DUMMYFUNCTION("""COMPUTED_VALUE"""),1243.65)</f>
        <v>1243.65</v>
      </c>
      <c r="C19" s="6">
        <f>IFERROR(__xludf.DUMMYFUNCTION("""COMPUTED_VALUE"""),1271.95)</f>
        <v>1271.95</v>
      </c>
      <c r="D19" s="6">
        <f>IFERROR(__xludf.DUMMYFUNCTION("""COMPUTED_VALUE"""),1239.3)</f>
        <v>1239.3</v>
      </c>
      <c r="E19" s="6">
        <f>IFERROR(__xludf.DUMMYFUNCTION("""COMPUTED_VALUE"""),1259.45)</f>
        <v>1259.45</v>
      </c>
      <c r="F19" s="6">
        <f>IFERROR(__xludf.DUMMYFUNCTION("""COMPUTED_VALUE"""),7685276.0)</f>
        <v>7685276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IFERROR(__xludf.DUMMYFUNCTION("""COMPUTED_VALUE"""),1261.0)</f>
        <v>1261</v>
      </c>
      <c r="C20" s="6">
        <f>IFERROR(__xludf.DUMMYFUNCTION("""COMPUTED_VALUE"""),1328.5)</f>
        <v>1328.5</v>
      </c>
      <c r="D20" s="6">
        <f>IFERROR(__xludf.DUMMYFUNCTION("""COMPUTED_VALUE"""),1252.5)</f>
        <v>1252.5</v>
      </c>
      <c r="E20" s="6">
        <f>IFERROR(__xludf.DUMMYFUNCTION("""COMPUTED_VALUE"""),1300.2)</f>
        <v>1300.2</v>
      </c>
      <c r="F20" s="6">
        <f>IFERROR(__xludf.DUMMYFUNCTION("""COMPUTED_VALUE"""),1.1419024E7)</f>
        <v>11419024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IFERROR(__xludf.DUMMYFUNCTION("""COMPUTED_VALUE"""),1305.4)</f>
        <v>1305.4</v>
      </c>
      <c r="C21" s="6">
        <f>IFERROR(__xludf.DUMMYFUNCTION("""COMPUTED_VALUE"""),1333.5)</f>
        <v>1333.5</v>
      </c>
      <c r="D21" s="6">
        <f>IFERROR(__xludf.DUMMYFUNCTION("""COMPUTED_VALUE"""),1299.3)</f>
        <v>1299.3</v>
      </c>
      <c r="E21" s="6">
        <f>IFERROR(__xludf.DUMMYFUNCTION("""COMPUTED_VALUE"""),1325.95)</f>
        <v>1325.95</v>
      </c>
      <c r="F21" s="6">
        <f>IFERROR(__xludf.DUMMYFUNCTION("""COMPUTED_VALUE"""),7527617.0)</f>
        <v>7527617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IFERROR(__xludf.DUMMYFUNCTION("""COMPUTED_VALUE"""),1316.0)</f>
        <v>1316</v>
      </c>
      <c r="C22" s="6">
        <f>IFERROR(__xludf.DUMMYFUNCTION("""COMPUTED_VALUE"""),1394.6)</f>
        <v>1394.6</v>
      </c>
      <c r="D22" s="6">
        <f>IFERROR(__xludf.DUMMYFUNCTION("""COMPUTED_VALUE"""),1316.0)</f>
        <v>1316</v>
      </c>
      <c r="E22" s="6">
        <f>IFERROR(__xludf.DUMMYFUNCTION("""COMPUTED_VALUE"""),1368.3)</f>
        <v>1368.3</v>
      </c>
      <c r="F22" s="6">
        <f>IFERROR(__xludf.DUMMYFUNCTION("""COMPUTED_VALUE"""),7720484.0)</f>
        <v>7720484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IFERROR(__xludf.DUMMYFUNCTION("""COMPUTED_VALUE"""),1365.0)</f>
        <v>1365</v>
      </c>
      <c r="C23" s="6">
        <f>IFERROR(__xludf.DUMMYFUNCTION("""COMPUTED_VALUE"""),1438.9)</f>
        <v>1438.9</v>
      </c>
      <c r="D23" s="6">
        <f>IFERROR(__xludf.DUMMYFUNCTION("""COMPUTED_VALUE"""),1355.2)</f>
        <v>1355.2</v>
      </c>
      <c r="E23" s="6">
        <f>IFERROR(__xludf.DUMMYFUNCTION("""COMPUTED_VALUE"""),1416.65)</f>
        <v>1416.65</v>
      </c>
      <c r="F23" s="6">
        <f>IFERROR(__xludf.DUMMYFUNCTION("""COMPUTED_VALUE"""),1.5362767E7)</f>
        <v>15362767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IFERROR(__xludf.DUMMYFUNCTION("""COMPUTED_VALUE"""),1426.8)</f>
        <v>1426.8</v>
      </c>
      <c r="C24" s="6">
        <f>IFERROR(__xludf.DUMMYFUNCTION("""COMPUTED_VALUE"""),1539.0)</f>
        <v>1539</v>
      </c>
      <c r="D24" s="6">
        <f>IFERROR(__xludf.DUMMYFUNCTION("""COMPUTED_VALUE"""),1423.6)</f>
        <v>1423.6</v>
      </c>
      <c r="E24" s="6">
        <f>IFERROR(__xludf.DUMMYFUNCTION("""COMPUTED_VALUE"""),1534.8)</f>
        <v>1534.8</v>
      </c>
      <c r="F24" s="6">
        <f>IFERROR(__xludf.DUMMYFUNCTION("""COMPUTED_VALUE"""),1.6192825E7)</f>
        <v>16192825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IFERROR(__xludf.DUMMYFUNCTION("""COMPUTED_VALUE"""),1539.85)</f>
        <v>1539.85</v>
      </c>
      <c r="C25" s="6">
        <f>IFERROR(__xludf.DUMMYFUNCTION("""COMPUTED_VALUE"""),1555.1)</f>
        <v>1555.1</v>
      </c>
      <c r="D25" s="6">
        <f>IFERROR(__xludf.DUMMYFUNCTION("""COMPUTED_VALUE"""),1504.85)</f>
        <v>1504.85</v>
      </c>
      <c r="E25" s="6">
        <f>IFERROR(__xludf.DUMMYFUNCTION("""COMPUTED_VALUE"""),1509.95)</f>
        <v>1509.95</v>
      </c>
      <c r="F25" s="6">
        <f>IFERROR(__xludf.DUMMYFUNCTION("""COMPUTED_VALUE"""),1.6495368E7)</f>
        <v>16495368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IFERROR(__xludf.DUMMYFUNCTION("""COMPUTED_VALUE"""),1514.85)</f>
        <v>1514.85</v>
      </c>
      <c r="C26" s="6">
        <f>IFERROR(__xludf.DUMMYFUNCTION("""COMPUTED_VALUE"""),1568.45)</f>
        <v>1568.45</v>
      </c>
      <c r="D26" s="6">
        <f>IFERROR(__xludf.DUMMYFUNCTION("""COMPUTED_VALUE"""),1507.4)</f>
        <v>1507.4</v>
      </c>
      <c r="E26" s="6">
        <f>IFERROR(__xludf.DUMMYFUNCTION("""COMPUTED_VALUE"""),1561.25)</f>
        <v>1561.25</v>
      </c>
      <c r="F26" s="6">
        <f>IFERROR(__xludf.DUMMYFUNCTION("""COMPUTED_VALUE"""),8324201.0)</f>
        <v>8324201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IFERROR(__xludf.DUMMYFUNCTION("""COMPUTED_VALUE"""),1550.55)</f>
        <v>1550.55</v>
      </c>
      <c r="C27" s="6">
        <f>IFERROR(__xludf.DUMMYFUNCTION("""COMPUTED_VALUE"""),1619.95)</f>
        <v>1619.95</v>
      </c>
      <c r="D27" s="6">
        <f>IFERROR(__xludf.DUMMYFUNCTION("""COMPUTED_VALUE"""),1535.4)</f>
        <v>1535.4</v>
      </c>
      <c r="E27" s="6">
        <f>IFERROR(__xludf.DUMMYFUNCTION("""COMPUTED_VALUE"""),1605.7)</f>
        <v>1605.7</v>
      </c>
      <c r="F27" s="6">
        <f>IFERROR(__xludf.DUMMYFUNCTION("""COMPUTED_VALUE"""),7908308.0)</f>
        <v>7908308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IFERROR(__xludf.DUMMYFUNCTION("""COMPUTED_VALUE"""),1615.15)</f>
        <v>1615.15</v>
      </c>
      <c r="C28" s="6">
        <f>IFERROR(__xludf.DUMMYFUNCTION("""COMPUTED_VALUE"""),1627.0)</f>
        <v>1627</v>
      </c>
      <c r="D28" s="6">
        <f>IFERROR(__xludf.DUMMYFUNCTION("""COMPUTED_VALUE"""),1541.2)</f>
        <v>1541.2</v>
      </c>
      <c r="E28" s="6">
        <f>IFERROR(__xludf.DUMMYFUNCTION("""COMPUTED_VALUE"""),1548.2)</f>
        <v>1548.2</v>
      </c>
      <c r="F28" s="6">
        <f>IFERROR(__xludf.DUMMYFUNCTION("""COMPUTED_VALUE"""),1.3654376E7)</f>
        <v>13654376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IFERROR(__xludf.DUMMYFUNCTION("""COMPUTED_VALUE"""),1548.25)</f>
        <v>1548.25</v>
      </c>
      <c r="C29" s="6">
        <f>IFERROR(__xludf.DUMMYFUNCTION("""COMPUTED_VALUE"""),1621.0)</f>
        <v>1621</v>
      </c>
      <c r="D29" s="6">
        <f>IFERROR(__xludf.DUMMYFUNCTION("""COMPUTED_VALUE"""),1520.5)</f>
        <v>1520.5</v>
      </c>
      <c r="E29" s="6">
        <f>IFERROR(__xludf.DUMMYFUNCTION("""COMPUTED_VALUE"""),1608.9)</f>
        <v>1608.9</v>
      </c>
      <c r="F29" s="6">
        <f>IFERROR(__xludf.DUMMYFUNCTION("""COMPUTED_VALUE"""),1.6896137E7)</f>
        <v>16896137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IFERROR(__xludf.DUMMYFUNCTION("""COMPUTED_VALUE"""),1595.05)</f>
        <v>1595.05</v>
      </c>
      <c r="C30" s="6">
        <f>IFERROR(__xludf.DUMMYFUNCTION("""COMPUTED_VALUE"""),1634.0)</f>
        <v>1634</v>
      </c>
      <c r="D30" s="6">
        <f>IFERROR(__xludf.DUMMYFUNCTION("""COMPUTED_VALUE"""),1592.1)</f>
        <v>1592.1</v>
      </c>
      <c r="E30" s="6">
        <f>IFERROR(__xludf.DUMMYFUNCTION("""COMPUTED_VALUE"""),1620.55)</f>
        <v>1620.55</v>
      </c>
      <c r="F30" s="6">
        <f>IFERROR(__xludf.DUMMYFUNCTION("""COMPUTED_VALUE"""),1.0606805E7)</f>
        <v>10606805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IFERROR(__xludf.DUMMYFUNCTION("""COMPUTED_VALUE"""),1631.6)</f>
        <v>1631.6</v>
      </c>
      <c r="C31" s="6">
        <f>IFERROR(__xludf.DUMMYFUNCTION("""COMPUTED_VALUE"""),1638.85)</f>
        <v>1638.85</v>
      </c>
      <c r="D31" s="6">
        <f>IFERROR(__xludf.DUMMYFUNCTION("""COMPUTED_VALUE"""),1587.15)</f>
        <v>1587.15</v>
      </c>
      <c r="E31" s="6">
        <f>IFERROR(__xludf.DUMMYFUNCTION("""COMPUTED_VALUE"""),1609.0)</f>
        <v>1609</v>
      </c>
      <c r="F31" s="6">
        <f>IFERROR(__xludf.DUMMYFUNCTION("""COMPUTED_VALUE"""),9156851.0)</f>
        <v>9156851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IFERROR(__xludf.DUMMYFUNCTION("""COMPUTED_VALUE"""),1611.0)</f>
        <v>1611</v>
      </c>
      <c r="C32" s="6">
        <f>IFERROR(__xludf.DUMMYFUNCTION("""COMPUTED_VALUE"""),1618.9)</f>
        <v>1618.9</v>
      </c>
      <c r="D32" s="6">
        <f>IFERROR(__xludf.DUMMYFUNCTION("""COMPUTED_VALUE"""),1534.0)</f>
        <v>1534</v>
      </c>
      <c r="E32" s="6">
        <f>IFERROR(__xludf.DUMMYFUNCTION("""COMPUTED_VALUE"""),1540.0)</f>
        <v>1540</v>
      </c>
      <c r="F32" s="6">
        <f>IFERROR(__xludf.DUMMYFUNCTION("""COMPUTED_VALUE"""),1.2746727E7)</f>
        <v>12746727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IFERROR(__xludf.DUMMYFUNCTION("""COMPUTED_VALUE"""),1517.6)</f>
        <v>1517.6</v>
      </c>
      <c r="C33" s="6">
        <f>IFERROR(__xludf.DUMMYFUNCTION("""COMPUTED_VALUE"""),1545.55)</f>
        <v>1545.55</v>
      </c>
      <c r="D33" s="6">
        <f>IFERROR(__xludf.DUMMYFUNCTION("""COMPUTED_VALUE"""),1503.7)</f>
        <v>1503.7</v>
      </c>
      <c r="E33" s="6">
        <f>IFERROR(__xludf.DUMMYFUNCTION("""COMPUTED_VALUE"""),1522.8)</f>
        <v>1522.8</v>
      </c>
      <c r="F33" s="6">
        <f>IFERROR(__xludf.DUMMYFUNCTION("""COMPUTED_VALUE"""),1.0336037E7)</f>
        <v>10336037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IFERROR(__xludf.DUMMYFUNCTION("""COMPUTED_VALUE"""),1528.45)</f>
        <v>1528.45</v>
      </c>
      <c r="C34" s="6">
        <f>IFERROR(__xludf.DUMMYFUNCTION("""COMPUTED_VALUE"""),1562.45)</f>
        <v>1562.45</v>
      </c>
      <c r="D34" s="6">
        <f>IFERROR(__xludf.DUMMYFUNCTION("""COMPUTED_VALUE"""),1477.7)</f>
        <v>1477.7</v>
      </c>
      <c r="E34" s="6">
        <f>IFERROR(__xludf.DUMMYFUNCTION("""COMPUTED_VALUE"""),1506.55)</f>
        <v>1506.55</v>
      </c>
      <c r="F34" s="6">
        <f>IFERROR(__xludf.DUMMYFUNCTION("""COMPUTED_VALUE"""),2.1134209E7)</f>
        <v>21134209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IFERROR(__xludf.DUMMYFUNCTION("""COMPUTED_VALUE"""),1516.0)</f>
        <v>1516</v>
      </c>
      <c r="C35" s="6">
        <f>IFERROR(__xludf.DUMMYFUNCTION("""COMPUTED_VALUE"""),1537.0)</f>
        <v>1537</v>
      </c>
      <c r="D35" s="6">
        <f>IFERROR(__xludf.DUMMYFUNCTION("""COMPUTED_VALUE"""),1497.0)</f>
        <v>1497</v>
      </c>
      <c r="E35" s="6">
        <f>IFERROR(__xludf.DUMMYFUNCTION("""COMPUTED_VALUE"""),1511.15)</f>
        <v>1511.15</v>
      </c>
      <c r="F35" s="6">
        <f>IFERROR(__xludf.DUMMYFUNCTION("""COMPUTED_VALUE"""),8761464.0)</f>
        <v>8761464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IFERROR(__xludf.DUMMYFUNCTION("""COMPUTED_VALUE"""),1518.0)</f>
        <v>1518</v>
      </c>
      <c r="C36" s="6">
        <f>IFERROR(__xludf.DUMMYFUNCTION("""COMPUTED_VALUE"""),1543.15)</f>
        <v>1543.15</v>
      </c>
      <c r="D36" s="6">
        <f>IFERROR(__xludf.DUMMYFUNCTION("""COMPUTED_VALUE"""),1489.8)</f>
        <v>1489.8</v>
      </c>
      <c r="E36" s="6">
        <f>IFERROR(__xludf.DUMMYFUNCTION("""COMPUTED_VALUE"""),1506.55)</f>
        <v>1506.55</v>
      </c>
      <c r="F36" s="6">
        <f>IFERROR(__xludf.DUMMYFUNCTION("""COMPUTED_VALUE"""),6805027.0)</f>
        <v>6805027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IFERROR(__xludf.DUMMYFUNCTION("""COMPUTED_VALUE"""),1530.0)</f>
        <v>1530</v>
      </c>
      <c r="C37" s="6">
        <f>IFERROR(__xludf.DUMMYFUNCTION("""COMPUTED_VALUE"""),1564.0)</f>
        <v>1564</v>
      </c>
      <c r="D37" s="6">
        <f>IFERROR(__xludf.DUMMYFUNCTION("""COMPUTED_VALUE"""),1467.0)</f>
        <v>1467</v>
      </c>
      <c r="E37" s="6">
        <f>IFERROR(__xludf.DUMMYFUNCTION("""COMPUTED_VALUE"""),1486.7)</f>
        <v>1486.7</v>
      </c>
      <c r="F37" s="6">
        <f>IFERROR(__xludf.DUMMYFUNCTION("""COMPUTED_VALUE"""),2.2665831E7)</f>
        <v>22665831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IFERROR(__xludf.DUMMYFUNCTION("""COMPUTED_VALUE"""),1486.7)</f>
        <v>1486.7</v>
      </c>
      <c r="C38" s="6">
        <f>IFERROR(__xludf.DUMMYFUNCTION("""COMPUTED_VALUE"""),1501.0)</f>
        <v>1501</v>
      </c>
      <c r="D38" s="6">
        <f>IFERROR(__xludf.DUMMYFUNCTION("""COMPUTED_VALUE"""),1440.0)</f>
        <v>1440</v>
      </c>
      <c r="E38" s="6">
        <f>IFERROR(__xludf.DUMMYFUNCTION("""COMPUTED_VALUE"""),1459.8)</f>
        <v>1459.8</v>
      </c>
      <c r="F38" s="6">
        <f>IFERROR(__xludf.DUMMYFUNCTION("""COMPUTED_VALUE"""),1.7571956E7)</f>
        <v>17571956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IFERROR(__xludf.DUMMYFUNCTION("""COMPUTED_VALUE"""),1496.5)</f>
        <v>1496.5</v>
      </c>
      <c r="C39" s="6">
        <f>IFERROR(__xludf.DUMMYFUNCTION("""COMPUTED_VALUE"""),1510.1)</f>
        <v>1510.1</v>
      </c>
      <c r="D39" s="6">
        <f>IFERROR(__xludf.DUMMYFUNCTION("""COMPUTED_VALUE"""),1377.2)</f>
        <v>1377.2</v>
      </c>
      <c r="E39" s="6">
        <f>IFERROR(__xludf.DUMMYFUNCTION("""COMPUTED_VALUE"""),1506.85)</f>
        <v>1506.85</v>
      </c>
      <c r="F39" s="6">
        <f>IFERROR(__xludf.DUMMYFUNCTION("""COMPUTED_VALUE"""),1.5808613E7)</f>
        <v>15808613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IFERROR(__xludf.DUMMYFUNCTION("""COMPUTED_VALUE"""),1519.0)</f>
        <v>1519</v>
      </c>
      <c r="C40" s="6">
        <f>IFERROR(__xludf.DUMMYFUNCTION("""COMPUTED_VALUE"""),1525.0)</f>
        <v>1525</v>
      </c>
      <c r="D40" s="6">
        <f>IFERROR(__xludf.DUMMYFUNCTION("""COMPUTED_VALUE"""),1495.85)</f>
        <v>1495.85</v>
      </c>
      <c r="E40" s="6">
        <f>IFERROR(__xludf.DUMMYFUNCTION("""COMPUTED_VALUE"""),1516.0)</f>
        <v>1516</v>
      </c>
      <c r="F40" s="6">
        <f>IFERROR(__xludf.DUMMYFUNCTION("""COMPUTED_VALUE"""),6220282.0)</f>
        <v>6220282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IFERROR(__xludf.DUMMYFUNCTION("""COMPUTED_VALUE"""),1522.6)</f>
        <v>1522.6</v>
      </c>
      <c r="C41" s="6">
        <f>IFERROR(__xludf.DUMMYFUNCTION("""COMPUTED_VALUE"""),1529.85)</f>
        <v>1529.85</v>
      </c>
      <c r="D41" s="6">
        <f>IFERROR(__xludf.DUMMYFUNCTION("""COMPUTED_VALUE"""),1460.9)</f>
        <v>1460.9</v>
      </c>
      <c r="E41" s="6">
        <f>IFERROR(__xludf.DUMMYFUNCTION("""COMPUTED_VALUE"""),1467.25)</f>
        <v>1467.25</v>
      </c>
      <c r="F41" s="6">
        <f>IFERROR(__xludf.DUMMYFUNCTION("""COMPUTED_VALUE"""),1.1610539E7)</f>
        <v>11610539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IFERROR(__xludf.DUMMYFUNCTION("""COMPUTED_VALUE"""),1475.05)</f>
        <v>1475.05</v>
      </c>
      <c r="C42" s="6">
        <f>IFERROR(__xludf.DUMMYFUNCTION("""COMPUTED_VALUE"""),1538.95)</f>
        <v>1538.95</v>
      </c>
      <c r="D42" s="6">
        <f>IFERROR(__xludf.DUMMYFUNCTION("""COMPUTED_VALUE"""),1475.05)</f>
        <v>1475.05</v>
      </c>
      <c r="E42" s="6">
        <f>IFERROR(__xludf.DUMMYFUNCTION("""COMPUTED_VALUE"""),1520.85)</f>
        <v>1520.85</v>
      </c>
      <c r="F42" s="6">
        <f>IFERROR(__xludf.DUMMYFUNCTION("""COMPUTED_VALUE"""),1.4639016E7)</f>
        <v>14639016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IFERROR(__xludf.DUMMYFUNCTION("""COMPUTED_VALUE"""),1520.85)</f>
        <v>1520.85</v>
      </c>
      <c r="C43" s="6">
        <f>IFERROR(__xludf.DUMMYFUNCTION("""COMPUTED_VALUE"""),1574.75)</f>
        <v>1574.75</v>
      </c>
      <c r="D43" s="6">
        <f>IFERROR(__xludf.DUMMYFUNCTION("""COMPUTED_VALUE"""),1498.3)</f>
        <v>1498.3</v>
      </c>
      <c r="E43" s="6">
        <f>IFERROR(__xludf.DUMMYFUNCTION("""COMPUTED_VALUE"""),1568.4)</f>
        <v>1568.4</v>
      </c>
      <c r="F43" s="6">
        <f>IFERROR(__xludf.DUMMYFUNCTION("""COMPUTED_VALUE"""),8960878.0)</f>
        <v>8960878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IFERROR(__xludf.DUMMYFUNCTION("""COMPUTED_VALUE"""),1570.6)</f>
        <v>1570.6</v>
      </c>
      <c r="C44" s="6">
        <f>IFERROR(__xludf.DUMMYFUNCTION("""COMPUTED_VALUE"""),1602.5)</f>
        <v>1602.5</v>
      </c>
      <c r="D44" s="6">
        <f>IFERROR(__xludf.DUMMYFUNCTION("""COMPUTED_VALUE"""),1549.8)</f>
        <v>1549.8</v>
      </c>
      <c r="E44" s="6">
        <f>IFERROR(__xludf.DUMMYFUNCTION("""COMPUTED_VALUE"""),1577.3)</f>
        <v>1577.3</v>
      </c>
      <c r="F44" s="6">
        <f>IFERROR(__xludf.DUMMYFUNCTION("""COMPUTED_VALUE"""),7647098.0)</f>
        <v>7647098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IFERROR(__xludf.DUMMYFUNCTION("""COMPUTED_VALUE"""),1579.95)</f>
        <v>1579.95</v>
      </c>
      <c r="C45" s="6">
        <f>IFERROR(__xludf.DUMMYFUNCTION("""COMPUTED_VALUE"""),1596.6)</f>
        <v>1596.6</v>
      </c>
      <c r="D45" s="6">
        <f>IFERROR(__xludf.DUMMYFUNCTION("""COMPUTED_VALUE"""),1565.15)</f>
        <v>1565.15</v>
      </c>
      <c r="E45" s="6">
        <f>IFERROR(__xludf.DUMMYFUNCTION("""COMPUTED_VALUE"""),1568.65)</f>
        <v>1568.65</v>
      </c>
      <c r="F45" s="6">
        <f>IFERROR(__xludf.DUMMYFUNCTION("""COMPUTED_VALUE"""),4836256.0)</f>
        <v>4836256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IFERROR(__xludf.DUMMYFUNCTION("""COMPUTED_VALUE"""),1555.05)</f>
        <v>1555.05</v>
      </c>
      <c r="C46" s="6">
        <f>IFERROR(__xludf.DUMMYFUNCTION("""COMPUTED_VALUE"""),1723.8)</f>
        <v>1723.8</v>
      </c>
      <c r="D46" s="6">
        <f>IFERROR(__xludf.DUMMYFUNCTION("""COMPUTED_VALUE"""),1555.05)</f>
        <v>1555.05</v>
      </c>
      <c r="E46" s="6">
        <f>IFERROR(__xludf.DUMMYFUNCTION("""COMPUTED_VALUE"""),1714.25)</f>
        <v>1714.25</v>
      </c>
      <c r="F46" s="6">
        <f>IFERROR(__xludf.DUMMYFUNCTION("""COMPUTED_VALUE"""),1.5173432E7)</f>
        <v>15173432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IFERROR(__xludf.DUMMYFUNCTION("""COMPUTED_VALUE"""),1715.25)</f>
        <v>1715.25</v>
      </c>
      <c r="C47" s="6">
        <f>IFERROR(__xludf.DUMMYFUNCTION("""COMPUTED_VALUE"""),1746.45)</f>
        <v>1746.45</v>
      </c>
      <c r="D47" s="6">
        <f>IFERROR(__xludf.DUMMYFUNCTION("""COMPUTED_VALUE"""),1681.3)</f>
        <v>1681.3</v>
      </c>
      <c r="E47" s="6">
        <f>IFERROR(__xludf.DUMMYFUNCTION("""COMPUTED_VALUE"""),1731.65)</f>
        <v>1731.65</v>
      </c>
      <c r="F47" s="6">
        <f>IFERROR(__xludf.DUMMYFUNCTION("""COMPUTED_VALUE"""),1.4558757E7)</f>
        <v>14558757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IFERROR(__xludf.DUMMYFUNCTION("""COMPUTED_VALUE"""),1725.0)</f>
        <v>1725</v>
      </c>
      <c r="C48" s="6">
        <f>IFERROR(__xludf.DUMMYFUNCTION("""COMPUTED_VALUE"""),1758.0)</f>
        <v>1758</v>
      </c>
      <c r="D48" s="6">
        <f>IFERROR(__xludf.DUMMYFUNCTION("""COMPUTED_VALUE"""),1703.95)</f>
        <v>1703.95</v>
      </c>
      <c r="E48" s="6">
        <f>IFERROR(__xludf.DUMMYFUNCTION("""COMPUTED_VALUE"""),1735.3)</f>
        <v>1735.3</v>
      </c>
      <c r="F48" s="6">
        <f>IFERROR(__xludf.DUMMYFUNCTION("""COMPUTED_VALUE"""),1.2029945E7)</f>
        <v>12029945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IFERROR(__xludf.DUMMYFUNCTION("""COMPUTED_VALUE"""),1735.0)</f>
        <v>1735</v>
      </c>
      <c r="C49" s="6">
        <f>IFERROR(__xludf.DUMMYFUNCTION("""COMPUTED_VALUE"""),1753.0)</f>
        <v>1753</v>
      </c>
      <c r="D49" s="6">
        <f>IFERROR(__xludf.DUMMYFUNCTION("""COMPUTED_VALUE"""),1725.6)</f>
        <v>1725.6</v>
      </c>
      <c r="E49" s="6">
        <f>IFERROR(__xludf.DUMMYFUNCTION("""COMPUTED_VALUE"""),1742.75)</f>
        <v>1742.75</v>
      </c>
      <c r="F49" s="6">
        <f>IFERROR(__xludf.DUMMYFUNCTION("""COMPUTED_VALUE"""),7991719.0)</f>
        <v>7991719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IFERROR(__xludf.DUMMYFUNCTION("""COMPUTED_VALUE"""),1752.85)</f>
        <v>1752.85</v>
      </c>
      <c r="C50" s="6">
        <f>IFERROR(__xludf.DUMMYFUNCTION("""COMPUTED_VALUE"""),1781.45)</f>
        <v>1781.45</v>
      </c>
      <c r="D50" s="6">
        <f>IFERROR(__xludf.DUMMYFUNCTION("""COMPUTED_VALUE"""),1740.65)</f>
        <v>1740.65</v>
      </c>
      <c r="E50" s="6">
        <f>IFERROR(__xludf.DUMMYFUNCTION("""COMPUTED_VALUE"""),1775.75)</f>
        <v>1775.75</v>
      </c>
      <c r="F50" s="6">
        <f>IFERROR(__xludf.DUMMYFUNCTION("""COMPUTED_VALUE"""),9199282.0)</f>
        <v>9199282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IFERROR(__xludf.DUMMYFUNCTION("""COMPUTED_VALUE"""),1780.0)</f>
        <v>1780</v>
      </c>
      <c r="C51" s="6">
        <f>IFERROR(__xludf.DUMMYFUNCTION("""COMPUTED_VALUE"""),1828.15)</f>
        <v>1828.15</v>
      </c>
      <c r="D51" s="6">
        <f>IFERROR(__xludf.DUMMYFUNCTION("""COMPUTED_VALUE"""),1764.5)</f>
        <v>1764.5</v>
      </c>
      <c r="E51" s="6">
        <f>IFERROR(__xludf.DUMMYFUNCTION("""COMPUTED_VALUE"""),1821.65)</f>
        <v>1821.65</v>
      </c>
      <c r="F51" s="6">
        <f>IFERROR(__xludf.DUMMYFUNCTION("""COMPUTED_VALUE"""),1.0175642E7)</f>
        <v>10175642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IFERROR(__xludf.DUMMYFUNCTION("""COMPUTED_VALUE"""),1829.95)</f>
        <v>1829.95</v>
      </c>
      <c r="C52" s="6">
        <f>IFERROR(__xludf.DUMMYFUNCTION("""COMPUTED_VALUE"""),1850.0)</f>
        <v>1850</v>
      </c>
      <c r="D52" s="6">
        <f>IFERROR(__xludf.DUMMYFUNCTION("""COMPUTED_VALUE"""),1801.3)</f>
        <v>1801.3</v>
      </c>
      <c r="E52" s="6">
        <f>IFERROR(__xludf.DUMMYFUNCTION("""COMPUTED_VALUE"""),1824.55)</f>
        <v>1824.55</v>
      </c>
      <c r="F52" s="6">
        <f>IFERROR(__xludf.DUMMYFUNCTION("""COMPUTED_VALUE"""),9844165.0)</f>
        <v>9844165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IFERROR(__xludf.DUMMYFUNCTION("""COMPUTED_VALUE"""),1824.55)</f>
        <v>1824.55</v>
      </c>
      <c r="C53" s="6">
        <f>IFERROR(__xludf.DUMMYFUNCTION("""COMPUTED_VALUE"""),1871.5)</f>
        <v>1871.5</v>
      </c>
      <c r="D53" s="6">
        <f>IFERROR(__xludf.DUMMYFUNCTION("""COMPUTED_VALUE"""),1812.85)</f>
        <v>1812.85</v>
      </c>
      <c r="E53" s="6">
        <f>IFERROR(__xludf.DUMMYFUNCTION("""COMPUTED_VALUE"""),1853.75)</f>
        <v>1853.75</v>
      </c>
      <c r="F53" s="6">
        <f>IFERROR(__xludf.DUMMYFUNCTION("""COMPUTED_VALUE"""),8773755.0)</f>
        <v>8773755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IFERROR(__xludf.DUMMYFUNCTION("""COMPUTED_VALUE"""),1862.0)</f>
        <v>1862</v>
      </c>
      <c r="C54" s="6">
        <f>IFERROR(__xludf.DUMMYFUNCTION("""COMPUTED_VALUE"""),1873.35)</f>
        <v>1873.35</v>
      </c>
      <c r="D54" s="6">
        <f>IFERROR(__xludf.DUMMYFUNCTION("""COMPUTED_VALUE"""),1829.6)</f>
        <v>1829.6</v>
      </c>
      <c r="E54" s="6">
        <f>IFERROR(__xludf.DUMMYFUNCTION("""COMPUTED_VALUE"""),1865.75)</f>
        <v>1865.75</v>
      </c>
      <c r="F54" s="6">
        <f>IFERROR(__xludf.DUMMYFUNCTION("""COMPUTED_VALUE"""),9130836.0)</f>
        <v>9130836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IFERROR(__xludf.DUMMYFUNCTION("""COMPUTED_VALUE"""),1867.0)</f>
        <v>1867</v>
      </c>
      <c r="C55" s="6">
        <f>IFERROR(__xludf.DUMMYFUNCTION("""COMPUTED_VALUE"""),1959.3)</f>
        <v>1959.3</v>
      </c>
      <c r="D55" s="6">
        <f>IFERROR(__xludf.DUMMYFUNCTION("""COMPUTED_VALUE"""),1856.0)</f>
        <v>1856</v>
      </c>
      <c r="E55" s="6">
        <f>IFERROR(__xludf.DUMMYFUNCTION("""COMPUTED_VALUE"""),1948.7)</f>
        <v>1948.7</v>
      </c>
      <c r="F55" s="6">
        <f>IFERROR(__xludf.DUMMYFUNCTION("""COMPUTED_VALUE"""),1.0560181E7)</f>
        <v>10560181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IFERROR(__xludf.DUMMYFUNCTION("""COMPUTED_VALUE"""),1949.0)</f>
        <v>1949</v>
      </c>
      <c r="C56" s="6">
        <f>IFERROR(__xludf.DUMMYFUNCTION("""COMPUTED_VALUE"""),1960.35)</f>
        <v>1960.35</v>
      </c>
      <c r="D56" s="6">
        <f>IFERROR(__xludf.DUMMYFUNCTION("""COMPUTED_VALUE"""),1896.05)</f>
        <v>1896.05</v>
      </c>
      <c r="E56" s="6">
        <f>IFERROR(__xludf.DUMMYFUNCTION("""COMPUTED_VALUE"""),1910.05)</f>
        <v>1910.05</v>
      </c>
      <c r="F56" s="6">
        <f>IFERROR(__xludf.DUMMYFUNCTION("""COMPUTED_VALUE"""),9174523.0)</f>
        <v>9174523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IFERROR(__xludf.DUMMYFUNCTION("""COMPUTED_VALUE"""),1910.05)</f>
        <v>1910.05</v>
      </c>
      <c r="C57" s="6">
        <f>IFERROR(__xludf.DUMMYFUNCTION("""COMPUTED_VALUE"""),1947.0)</f>
        <v>1947</v>
      </c>
      <c r="D57" s="6">
        <f>IFERROR(__xludf.DUMMYFUNCTION("""COMPUTED_VALUE"""),1883.9)</f>
        <v>1883.9</v>
      </c>
      <c r="E57" s="6">
        <f>IFERROR(__xludf.DUMMYFUNCTION("""COMPUTED_VALUE"""),1901.95)</f>
        <v>1901.95</v>
      </c>
      <c r="F57" s="6">
        <f>IFERROR(__xludf.DUMMYFUNCTION("""COMPUTED_VALUE"""),9001191.0)</f>
        <v>9001191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IFERROR(__xludf.DUMMYFUNCTION("""COMPUTED_VALUE"""),1903.0)</f>
        <v>1903</v>
      </c>
      <c r="C58" s="6">
        <f>IFERROR(__xludf.DUMMYFUNCTION("""COMPUTED_VALUE"""),1923.65)</f>
        <v>1923.65</v>
      </c>
      <c r="D58" s="6">
        <f>IFERROR(__xludf.DUMMYFUNCTION("""COMPUTED_VALUE"""),1872.7)</f>
        <v>1872.7</v>
      </c>
      <c r="E58" s="6">
        <f>IFERROR(__xludf.DUMMYFUNCTION("""COMPUTED_VALUE"""),1910.35)</f>
        <v>1910.35</v>
      </c>
      <c r="F58" s="6">
        <f>IFERROR(__xludf.DUMMYFUNCTION("""COMPUTED_VALUE"""),6112748.0)</f>
        <v>6112748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IFERROR(__xludf.DUMMYFUNCTION("""COMPUTED_VALUE"""),1918.8)</f>
        <v>1918.8</v>
      </c>
      <c r="C59" s="6">
        <f>IFERROR(__xludf.DUMMYFUNCTION("""COMPUTED_VALUE"""),1920.55)</f>
        <v>1920.55</v>
      </c>
      <c r="D59" s="6">
        <f>IFERROR(__xludf.DUMMYFUNCTION("""COMPUTED_VALUE"""),1829.45)</f>
        <v>1829.45</v>
      </c>
      <c r="E59" s="6">
        <f>IFERROR(__xludf.DUMMYFUNCTION("""COMPUTED_VALUE"""),1860.4)</f>
        <v>1860.4</v>
      </c>
      <c r="F59" s="6">
        <f>IFERROR(__xludf.DUMMYFUNCTION("""COMPUTED_VALUE"""),7414644.0)</f>
        <v>7414644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IFERROR(__xludf.DUMMYFUNCTION("""COMPUTED_VALUE"""),1845.0)</f>
        <v>1845</v>
      </c>
      <c r="C60" s="6">
        <f>IFERROR(__xludf.DUMMYFUNCTION("""COMPUTED_VALUE"""),1845.0)</f>
        <v>1845</v>
      </c>
      <c r="D60" s="6">
        <f>IFERROR(__xludf.DUMMYFUNCTION("""COMPUTED_VALUE"""),1760.1)</f>
        <v>1760.1</v>
      </c>
      <c r="E60" s="6">
        <f>IFERROR(__xludf.DUMMYFUNCTION("""COMPUTED_VALUE"""),1809.6)</f>
        <v>1809.6</v>
      </c>
      <c r="F60" s="6">
        <f>IFERROR(__xludf.DUMMYFUNCTION("""COMPUTED_VALUE"""),1.2303834E7)</f>
        <v>12303834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IFERROR(__xludf.DUMMYFUNCTION("""COMPUTED_VALUE"""),1817.4)</f>
        <v>1817.4</v>
      </c>
      <c r="C61" s="6">
        <f>IFERROR(__xludf.DUMMYFUNCTION("""COMPUTED_VALUE"""),1825.0)</f>
        <v>1825</v>
      </c>
      <c r="D61" s="6">
        <f>IFERROR(__xludf.DUMMYFUNCTION("""COMPUTED_VALUE"""),1763.15)</f>
        <v>1763.15</v>
      </c>
      <c r="E61" s="6">
        <f>IFERROR(__xludf.DUMMYFUNCTION("""COMPUTED_VALUE"""),1768.2)</f>
        <v>1768.2</v>
      </c>
      <c r="F61" s="6">
        <f>IFERROR(__xludf.DUMMYFUNCTION("""COMPUTED_VALUE"""),6825227.0)</f>
        <v>6825227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IFERROR(__xludf.DUMMYFUNCTION("""COMPUTED_VALUE"""),1799.0)</f>
        <v>1799</v>
      </c>
      <c r="C62" s="6">
        <f>IFERROR(__xludf.DUMMYFUNCTION("""COMPUTED_VALUE"""),1814.95)</f>
        <v>1814.95</v>
      </c>
      <c r="D62" s="6">
        <f>IFERROR(__xludf.DUMMYFUNCTION("""COMPUTED_VALUE"""),1730.0)</f>
        <v>1730</v>
      </c>
      <c r="E62" s="6">
        <f>IFERROR(__xludf.DUMMYFUNCTION("""COMPUTED_VALUE"""),1795.3)</f>
        <v>1795.3</v>
      </c>
      <c r="F62" s="6">
        <f>IFERROR(__xludf.DUMMYFUNCTION("""COMPUTED_VALUE"""),6901503.0)</f>
        <v>6901503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IFERROR(__xludf.DUMMYFUNCTION("""COMPUTED_VALUE"""),1806.0)</f>
        <v>1806</v>
      </c>
      <c r="C63" s="6">
        <f>IFERROR(__xludf.DUMMYFUNCTION("""COMPUTED_VALUE"""),1830.0)</f>
        <v>1830</v>
      </c>
      <c r="D63" s="6">
        <f>IFERROR(__xludf.DUMMYFUNCTION("""COMPUTED_VALUE"""),1723.4)</f>
        <v>1723.4</v>
      </c>
      <c r="E63" s="6">
        <f>IFERROR(__xludf.DUMMYFUNCTION("""COMPUTED_VALUE"""),1780.9)</f>
        <v>1780.9</v>
      </c>
      <c r="F63" s="6">
        <f>IFERROR(__xludf.DUMMYFUNCTION("""COMPUTED_VALUE"""),1.2209312E7)</f>
        <v>12209312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IFERROR(__xludf.DUMMYFUNCTION("""COMPUTED_VALUE"""),1800.0)</f>
        <v>1800</v>
      </c>
      <c r="C64" s="6">
        <f>IFERROR(__xludf.DUMMYFUNCTION("""COMPUTED_VALUE"""),1832.0)</f>
        <v>1832</v>
      </c>
      <c r="D64" s="6">
        <f>IFERROR(__xludf.DUMMYFUNCTION("""COMPUTED_VALUE"""),1775.4)</f>
        <v>1775.4</v>
      </c>
      <c r="E64" s="6">
        <f>IFERROR(__xludf.DUMMYFUNCTION("""COMPUTED_VALUE"""),1804.85)</f>
        <v>1804.85</v>
      </c>
      <c r="F64" s="6">
        <f>IFERROR(__xludf.DUMMYFUNCTION("""COMPUTED_VALUE"""),1.0144872E7)</f>
        <v>10144872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IFERROR(__xludf.DUMMYFUNCTION("""COMPUTED_VALUE"""),1814.8)</f>
        <v>1814.8</v>
      </c>
      <c r="C65" s="6">
        <f>IFERROR(__xludf.DUMMYFUNCTION("""COMPUTED_VALUE"""),1826.35)</f>
        <v>1826.35</v>
      </c>
      <c r="D65" s="6">
        <f>IFERROR(__xludf.DUMMYFUNCTION("""COMPUTED_VALUE"""),1774.05)</f>
        <v>1774.05</v>
      </c>
      <c r="E65" s="6">
        <f>IFERROR(__xludf.DUMMYFUNCTION("""COMPUTED_VALUE"""),1813.45)</f>
        <v>1813.45</v>
      </c>
      <c r="F65" s="6">
        <f>IFERROR(__xludf.DUMMYFUNCTION("""COMPUTED_VALUE"""),7791265.0)</f>
        <v>7791265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IFERROR(__xludf.DUMMYFUNCTION("""COMPUTED_VALUE"""),1818.7)</f>
        <v>1818.7</v>
      </c>
      <c r="C66" s="6">
        <f>IFERROR(__xludf.DUMMYFUNCTION("""COMPUTED_VALUE"""),1829.4)</f>
        <v>1829.4</v>
      </c>
      <c r="D66" s="6">
        <f>IFERROR(__xludf.DUMMYFUNCTION("""COMPUTED_VALUE"""),1783.1)</f>
        <v>1783.1</v>
      </c>
      <c r="E66" s="6">
        <f>IFERROR(__xludf.DUMMYFUNCTION("""COMPUTED_VALUE"""),1808.85)</f>
        <v>1808.85</v>
      </c>
      <c r="F66" s="6">
        <f>IFERROR(__xludf.DUMMYFUNCTION("""COMPUTED_VALUE"""),9261863.0)</f>
        <v>9261863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IFERROR(__xludf.DUMMYFUNCTION("""COMPUTED_VALUE"""),1811.0)</f>
        <v>1811</v>
      </c>
      <c r="C67" s="6">
        <f>IFERROR(__xludf.DUMMYFUNCTION("""COMPUTED_VALUE"""),1866.0)</f>
        <v>1866</v>
      </c>
      <c r="D67" s="6">
        <f>IFERROR(__xludf.DUMMYFUNCTION("""COMPUTED_VALUE"""),1796.65)</f>
        <v>1796.65</v>
      </c>
      <c r="E67" s="6">
        <f>IFERROR(__xludf.DUMMYFUNCTION("""COMPUTED_VALUE"""),1861.25)</f>
        <v>1861.25</v>
      </c>
      <c r="F67" s="6">
        <f>IFERROR(__xludf.DUMMYFUNCTION("""COMPUTED_VALUE"""),5491843.0)</f>
        <v>5491843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IFERROR(__xludf.DUMMYFUNCTION("""COMPUTED_VALUE"""),1862.05)</f>
        <v>1862.05</v>
      </c>
      <c r="C68" s="6">
        <f>IFERROR(__xludf.DUMMYFUNCTION("""COMPUTED_VALUE"""),1910.0)</f>
        <v>1910</v>
      </c>
      <c r="D68" s="6">
        <f>IFERROR(__xludf.DUMMYFUNCTION("""COMPUTED_VALUE"""),1844.0)</f>
        <v>1844</v>
      </c>
      <c r="E68" s="6">
        <f>IFERROR(__xludf.DUMMYFUNCTION("""COMPUTED_VALUE"""),1849.65)</f>
        <v>1849.65</v>
      </c>
      <c r="F68" s="6">
        <f>IFERROR(__xludf.DUMMYFUNCTION("""COMPUTED_VALUE"""),1.3227634E7)</f>
        <v>13227634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IFERROR(__xludf.DUMMYFUNCTION("""COMPUTED_VALUE"""),1850.5)</f>
        <v>1850.5</v>
      </c>
      <c r="C69" s="6">
        <f>IFERROR(__xludf.DUMMYFUNCTION("""COMPUTED_VALUE"""),1865.0)</f>
        <v>1865</v>
      </c>
      <c r="D69" s="6">
        <f>IFERROR(__xludf.DUMMYFUNCTION("""COMPUTED_VALUE"""),1772.75)</f>
        <v>1772.75</v>
      </c>
      <c r="E69" s="6">
        <f>IFERROR(__xludf.DUMMYFUNCTION("""COMPUTED_VALUE"""),1784.8)</f>
        <v>1784.8</v>
      </c>
      <c r="F69" s="6">
        <f>IFERROR(__xludf.DUMMYFUNCTION("""COMPUTED_VALUE"""),6368569.0)</f>
        <v>6368569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IFERROR(__xludf.DUMMYFUNCTION("""COMPUTED_VALUE"""),1784.6)</f>
        <v>1784.6</v>
      </c>
      <c r="C70" s="6">
        <f>IFERROR(__xludf.DUMMYFUNCTION("""COMPUTED_VALUE"""),1791.95)</f>
        <v>1791.95</v>
      </c>
      <c r="D70" s="6">
        <f>IFERROR(__xludf.DUMMYFUNCTION("""COMPUTED_VALUE"""),1740.8)</f>
        <v>1740.8</v>
      </c>
      <c r="E70" s="6">
        <f>IFERROR(__xludf.DUMMYFUNCTION("""COMPUTED_VALUE"""),1786.55)</f>
        <v>1786.55</v>
      </c>
      <c r="F70" s="6">
        <f>IFERROR(__xludf.DUMMYFUNCTION("""COMPUTED_VALUE"""),7810281.0)</f>
        <v>7810281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IFERROR(__xludf.DUMMYFUNCTION("""COMPUTED_VALUE"""),1789.35)</f>
        <v>1789.35</v>
      </c>
      <c r="C71" s="6">
        <f>IFERROR(__xludf.DUMMYFUNCTION("""COMPUTED_VALUE"""),1843.1)</f>
        <v>1843.1</v>
      </c>
      <c r="D71" s="6">
        <f>IFERROR(__xludf.DUMMYFUNCTION("""COMPUTED_VALUE"""),1759.5)</f>
        <v>1759.5</v>
      </c>
      <c r="E71" s="6">
        <f>IFERROR(__xludf.DUMMYFUNCTION("""COMPUTED_VALUE"""),1822.2)</f>
        <v>1822.2</v>
      </c>
      <c r="F71" s="6">
        <f>IFERROR(__xludf.DUMMYFUNCTION("""COMPUTED_VALUE"""),9345478.0)</f>
        <v>9345478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IFERROR(__xludf.DUMMYFUNCTION("""COMPUTED_VALUE"""),1781.45)</f>
        <v>1781.45</v>
      </c>
      <c r="C72" s="6">
        <f>IFERROR(__xludf.DUMMYFUNCTION("""COMPUTED_VALUE"""),1785.9)</f>
        <v>1785.9</v>
      </c>
      <c r="D72" s="6">
        <f>IFERROR(__xludf.DUMMYFUNCTION("""COMPUTED_VALUE"""),1710.55)</f>
        <v>1710.55</v>
      </c>
      <c r="E72" s="6">
        <f>IFERROR(__xludf.DUMMYFUNCTION("""COMPUTED_VALUE"""),1749.8)</f>
        <v>1749.8</v>
      </c>
      <c r="F72" s="6">
        <f>IFERROR(__xludf.DUMMYFUNCTION("""COMPUTED_VALUE"""),1.1587766E7)</f>
        <v>11587766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IFERROR(__xludf.DUMMYFUNCTION("""COMPUTED_VALUE"""),1741.25)</f>
        <v>1741.25</v>
      </c>
      <c r="C73" s="6">
        <f>IFERROR(__xludf.DUMMYFUNCTION("""COMPUTED_VALUE"""),1752.75)</f>
        <v>1752.75</v>
      </c>
      <c r="D73" s="6">
        <f>IFERROR(__xludf.DUMMYFUNCTION("""COMPUTED_VALUE"""),1685.0)</f>
        <v>1685</v>
      </c>
      <c r="E73" s="6">
        <f>IFERROR(__xludf.DUMMYFUNCTION("""COMPUTED_VALUE"""),1700.5)</f>
        <v>1700.5</v>
      </c>
      <c r="F73" s="6">
        <f>IFERROR(__xludf.DUMMYFUNCTION("""COMPUTED_VALUE"""),1.0648561E7)</f>
        <v>10648561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IFERROR(__xludf.DUMMYFUNCTION("""COMPUTED_VALUE"""),1700.5)</f>
        <v>1700.5</v>
      </c>
      <c r="C74" s="6">
        <f>IFERROR(__xludf.DUMMYFUNCTION("""COMPUTED_VALUE"""),1735.35)</f>
        <v>1735.35</v>
      </c>
      <c r="D74" s="6">
        <f>IFERROR(__xludf.DUMMYFUNCTION("""COMPUTED_VALUE"""),1632.0)</f>
        <v>1632</v>
      </c>
      <c r="E74" s="6">
        <f>IFERROR(__xludf.DUMMYFUNCTION("""COMPUTED_VALUE"""),1643.75)</f>
        <v>1643.75</v>
      </c>
      <c r="F74" s="6">
        <f>IFERROR(__xludf.DUMMYFUNCTION("""COMPUTED_VALUE"""),1.0933285E7)</f>
        <v>10933285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IFERROR(__xludf.DUMMYFUNCTION("""COMPUTED_VALUE"""),1629.75)</f>
        <v>1629.75</v>
      </c>
      <c r="C75" s="6">
        <f>IFERROR(__xludf.DUMMYFUNCTION("""COMPUTED_VALUE"""),1671.0)</f>
        <v>1671</v>
      </c>
      <c r="D75" s="6">
        <f>IFERROR(__xludf.DUMMYFUNCTION("""COMPUTED_VALUE"""),1586.4)</f>
        <v>1586.4</v>
      </c>
      <c r="E75" s="6">
        <f>IFERROR(__xludf.DUMMYFUNCTION("""COMPUTED_VALUE"""),1593.25)</f>
        <v>1593.25</v>
      </c>
      <c r="F75" s="6">
        <f>IFERROR(__xludf.DUMMYFUNCTION("""COMPUTED_VALUE"""),1.1488626E7)</f>
        <v>11488626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IFERROR(__xludf.DUMMYFUNCTION("""COMPUTED_VALUE"""),1585.3)</f>
        <v>1585.3</v>
      </c>
      <c r="C76" s="6">
        <f>IFERROR(__xludf.DUMMYFUNCTION("""COMPUTED_VALUE"""),1628.75)</f>
        <v>1628.75</v>
      </c>
      <c r="D76" s="6">
        <f>IFERROR(__xludf.DUMMYFUNCTION("""COMPUTED_VALUE"""),1553.05)</f>
        <v>1553.05</v>
      </c>
      <c r="E76" s="6">
        <f>IFERROR(__xludf.DUMMYFUNCTION("""COMPUTED_VALUE"""),1609.3)</f>
        <v>1609.3</v>
      </c>
      <c r="F76" s="6">
        <f>IFERROR(__xludf.DUMMYFUNCTION("""COMPUTED_VALUE"""),9010364.0)</f>
        <v>9010364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IFERROR(__xludf.DUMMYFUNCTION("""COMPUTED_VALUE"""),1621.95)</f>
        <v>1621.95</v>
      </c>
      <c r="C77" s="6">
        <f>IFERROR(__xludf.DUMMYFUNCTION("""COMPUTED_VALUE"""),1687.15)</f>
        <v>1687.15</v>
      </c>
      <c r="D77" s="6">
        <f>IFERROR(__xludf.DUMMYFUNCTION("""COMPUTED_VALUE"""),1602.75)</f>
        <v>1602.75</v>
      </c>
      <c r="E77" s="6">
        <f>IFERROR(__xludf.DUMMYFUNCTION("""COMPUTED_VALUE"""),1683.45)</f>
        <v>1683.45</v>
      </c>
      <c r="F77" s="6">
        <f>IFERROR(__xludf.DUMMYFUNCTION("""COMPUTED_VALUE"""),8982296.0)</f>
        <v>8982296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IFERROR(__xludf.DUMMYFUNCTION("""COMPUTED_VALUE"""),1694.05)</f>
        <v>1694.05</v>
      </c>
      <c r="C78" s="6">
        <f>IFERROR(__xludf.DUMMYFUNCTION("""COMPUTED_VALUE"""),1792.8)</f>
        <v>1792.8</v>
      </c>
      <c r="D78" s="6">
        <f>IFERROR(__xludf.DUMMYFUNCTION("""COMPUTED_VALUE"""),1688.35)</f>
        <v>1688.35</v>
      </c>
      <c r="E78" s="6">
        <f>IFERROR(__xludf.DUMMYFUNCTION("""COMPUTED_VALUE"""),1784.5)</f>
        <v>1784.5</v>
      </c>
      <c r="F78" s="6">
        <f>IFERROR(__xludf.DUMMYFUNCTION("""COMPUTED_VALUE"""),1.157223E7)</f>
        <v>11572230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IFERROR(__xludf.DUMMYFUNCTION("""COMPUTED_VALUE"""),1794.5)</f>
        <v>1794.5</v>
      </c>
      <c r="C79" s="6">
        <f>IFERROR(__xludf.DUMMYFUNCTION("""COMPUTED_VALUE"""),1820.0)</f>
        <v>1820</v>
      </c>
      <c r="D79" s="6">
        <f>IFERROR(__xludf.DUMMYFUNCTION("""COMPUTED_VALUE"""),1705.2)</f>
        <v>1705.2</v>
      </c>
      <c r="E79" s="6">
        <f>IFERROR(__xludf.DUMMYFUNCTION("""COMPUTED_VALUE"""),1734.7)</f>
        <v>1734.7</v>
      </c>
      <c r="F79" s="6">
        <f>IFERROR(__xludf.DUMMYFUNCTION("""COMPUTED_VALUE"""),9652135.0)</f>
        <v>9652135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IFERROR(__xludf.DUMMYFUNCTION("""COMPUTED_VALUE"""),1731.0)</f>
        <v>1731</v>
      </c>
      <c r="C80" s="6">
        <f>IFERROR(__xludf.DUMMYFUNCTION("""COMPUTED_VALUE"""),1812.7)</f>
        <v>1812.7</v>
      </c>
      <c r="D80" s="6">
        <f>IFERROR(__xludf.DUMMYFUNCTION("""COMPUTED_VALUE"""),1658.05)</f>
        <v>1658.05</v>
      </c>
      <c r="E80" s="6">
        <f>IFERROR(__xludf.DUMMYFUNCTION("""COMPUTED_VALUE"""),1709.35)</f>
        <v>1709.35</v>
      </c>
      <c r="F80" s="6">
        <f>IFERROR(__xludf.DUMMYFUNCTION("""COMPUTED_VALUE"""),1.8572783E7)</f>
        <v>18572783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IFERROR(__xludf.DUMMYFUNCTION("""COMPUTED_VALUE"""),1620.1)</f>
        <v>1620.1</v>
      </c>
      <c r="C81" s="6">
        <f>IFERROR(__xludf.DUMMYFUNCTION("""COMPUTED_VALUE"""),1737.0)</f>
        <v>1737</v>
      </c>
      <c r="D81" s="6">
        <f>IFERROR(__xludf.DUMMYFUNCTION("""COMPUTED_VALUE"""),1620.1)</f>
        <v>1620.1</v>
      </c>
      <c r="E81" s="6">
        <f>IFERROR(__xludf.DUMMYFUNCTION("""COMPUTED_VALUE"""),1687.55)</f>
        <v>1687.55</v>
      </c>
      <c r="F81" s="6">
        <f>IFERROR(__xludf.DUMMYFUNCTION("""COMPUTED_VALUE"""),1.5806519E7)</f>
        <v>15806519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IFERROR(__xludf.DUMMYFUNCTION("""COMPUTED_VALUE"""),1720.0)</f>
        <v>1720</v>
      </c>
      <c r="C82" s="6">
        <f>IFERROR(__xludf.DUMMYFUNCTION("""COMPUTED_VALUE"""),1758.0)</f>
        <v>1758</v>
      </c>
      <c r="D82" s="6">
        <f>IFERROR(__xludf.DUMMYFUNCTION("""COMPUTED_VALUE"""),1682.1)</f>
        <v>1682.1</v>
      </c>
      <c r="E82" s="6">
        <f>IFERROR(__xludf.DUMMYFUNCTION("""COMPUTED_VALUE"""),1751.5)</f>
        <v>1751.5</v>
      </c>
      <c r="F82" s="6">
        <f>IFERROR(__xludf.DUMMYFUNCTION("""COMPUTED_VALUE"""),6882367.0)</f>
        <v>6882367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IFERROR(__xludf.DUMMYFUNCTION("""COMPUTED_VALUE"""),1761.0)</f>
        <v>1761</v>
      </c>
      <c r="C83" s="6">
        <f>IFERROR(__xludf.DUMMYFUNCTION("""COMPUTED_VALUE"""),1815.5)</f>
        <v>1815.5</v>
      </c>
      <c r="D83" s="6">
        <f>IFERROR(__xludf.DUMMYFUNCTION("""COMPUTED_VALUE"""),1731.3)</f>
        <v>1731.3</v>
      </c>
      <c r="E83" s="6">
        <f>IFERROR(__xludf.DUMMYFUNCTION("""COMPUTED_VALUE"""),1787.4)</f>
        <v>1787.4</v>
      </c>
      <c r="F83" s="6">
        <f>IFERROR(__xludf.DUMMYFUNCTION("""COMPUTED_VALUE"""),8110425.0)</f>
        <v>8110425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IFERROR(__xludf.DUMMYFUNCTION("""COMPUTED_VALUE"""),1787.4)</f>
        <v>1787.4</v>
      </c>
      <c r="C84" s="6">
        <f>IFERROR(__xludf.DUMMYFUNCTION("""COMPUTED_VALUE"""),1851.2)</f>
        <v>1851.2</v>
      </c>
      <c r="D84" s="6">
        <f>IFERROR(__xludf.DUMMYFUNCTION("""COMPUTED_VALUE"""),1781.2)</f>
        <v>1781.2</v>
      </c>
      <c r="E84" s="6">
        <f>IFERROR(__xludf.DUMMYFUNCTION("""COMPUTED_VALUE"""),1829.4)</f>
        <v>1829.4</v>
      </c>
      <c r="F84" s="6">
        <f>IFERROR(__xludf.DUMMYFUNCTION("""COMPUTED_VALUE"""),1.0655213E7)</f>
        <v>10655213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IFERROR(__xludf.DUMMYFUNCTION("""COMPUTED_VALUE"""),1827.8)</f>
        <v>1827.8</v>
      </c>
      <c r="C85" s="6">
        <f>IFERROR(__xludf.DUMMYFUNCTION("""COMPUTED_VALUE"""),1843.3)</f>
        <v>1843.3</v>
      </c>
      <c r="D85" s="6">
        <f>IFERROR(__xludf.DUMMYFUNCTION("""COMPUTED_VALUE"""),1731.7)</f>
        <v>1731.7</v>
      </c>
      <c r="E85" s="6">
        <f>IFERROR(__xludf.DUMMYFUNCTION("""COMPUTED_VALUE"""),1744.8)</f>
        <v>1744.8</v>
      </c>
      <c r="F85" s="6">
        <f>IFERROR(__xludf.DUMMYFUNCTION("""COMPUTED_VALUE"""),8446666.0)</f>
        <v>8446666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IFERROR(__xludf.DUMMYFUNCTION("""COMPUTED_VALUE"""),1695.7)</f>
        <v>1695.7</v>
      </c>
      <c r="C86" s="6">
        <f>IFERROR(__xludf.DUMMYFUNCTION("""COMPUTED_VALUE"""),1748.5)</f>
        <v>1748.5</v>
      </c>
      <c r="D86" s="6">
        <f>IFERROR(__xludf.DUMMYFUNCTION("""COMPUTED_VALUE"""),1623.6)</f>
        <v>1623.6</v>
      </c>
      <c r="E86" s="6">
        <f>IFERROR(__xludf.DUMMYFUNCTION("""COMPUTED_VALUE"""),1734.9)</f>
        <v>1734.9</v>
      </c>
      <c r="F86" s="6">
        <f>IFERROR(__xludf.DUMMYFUNCTION("""COMPUTED_VALUE"""),2.3177362E7)</f>
        <v>23177362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IFERROR(__xludf.DUMMYFUNCTION("""COMPUTED_VALUE"""),1745.0)</f>
        <v>1745</v>
      </c>
      <c r="C87" s="6">
        <f>IFERROR(__xludf.DUMMYFUNCTION("""COMPUTED_VALUE"""),1765.0)</f>
        <v>1765</v>
      </c>
      <c r="D87" s="6">
        <f>IFERROR(__xludf.DUMMYFUNCTION("""COMPUTED_VALUE"""),1636.6)</f>
        <v>1636.6</v>
      </c>
      <c r="E87" s="6">
        <f>IFERROR(__xludf.DUMMYFUNCTION("""COMPUTED_VALUE"""),1683.6)</f>
        <v>1683.6</v>
      </c>
      <c r="F87" s="6">
        <f>IFERROR(__xludf.DUMMYFUNCTION("""COMPUTED_VALUE"""),1.8545443E7)</f>
        <v>18545443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IFERROR(__xludf.DUMMYFUNCTION("""COMPUTED_VALUE"""),1693.1)</f>
        <v>1693.1</v>
      </c>
      <c r="C88" s="6">
        <f>IFERROR(__xludf.DUMMYFUNCTION("""COMPUTED_VALUE"""),1713.6)</f>
        <v>1713.6</v>
      </c>
      <c r="D88" s="6">
        <f>IFERROR(__xludf.DUMMYFUNCTION("""COMPUTED_VALUE"""),1661.1)</f>
        <v>1661.1</v>
      </c>
      <c r="E88" s="6">
        <f>IFERROR(__xludf.DUMMYFUNCTION("""COMPUTED_VALUE"""),1677.6)</f>
        <v>1677.6</v>
      </c>
      <c r="F88" s="6">
        <f>IFERROR(__xludf.DUMMYFUNCTION("""COMPUTED_VALUE"""),1.3758689E7)</f>
        <v>13758689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IFERROR(__xludf.DUMMYFUNCTION("""COMPUTED_VALUE"""),1679.0)</f>
        <v>1679</v>
      </c>
      <c r="C89" s="6">
        <f>IFERROR(__xludf.DUMMYFUNCTION("""COMPUTED_VALUE"""),1695.0)</f>
        <v>1695</v>
      </c>
      <c r="D89" s="6">
        <f>IFERROR(__xludf.DUMMYFUNCTION("""COMPUTED_VALUE"""),1649.0)</f>
        <v>1649</v>
      </c>
      <c r="E89" s="6">
        <f>IFERROR(__xludf.DUMMYFUNCTION("""COMPUTED_VALUE"""),1679.2)</f>
        <v>1679.2</v>
      </c>
      <c r="F89" s="6">
        <f>IFERROR(__xludf.DUMMYFUNCTION("""COMPUTED_VALUE"""),1.061406E7)</f>
        <v>10614060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IFERROR(__xludf.DUMMYFUNCTION("""COMPUTED_VALUE"""),1679.9)</f>
        <v>1679.9</v>
      </c>
      <c r="C90" s="6">
        <f>IFERROR(__xludf.DUMMYFUNCTION("""COMPUTED_VALUE"""),1727.5)</f>
        <v>1727.5</v>
      </c>
      <c r="D90" s="6">
        <f>IFERROR(__xludf.DUMMYFUNCTION("""COMPUTED_VALUE"""),1661.1)</f>
        <v>1661.1</v>
      </c>
      <c r="E90" s="6">
        <f>IFERROR(__xludf.DUMMYFUNCTION("""COMPUTED_VALUE"""),1687.8)</f>
        <v>1687.8</v>
      </c>
      <c r="F90" s="6">
        <f>IFERROR(__xludf.DUMMYFUNCTION("""COMPUTED_VALUE"""),1.2951406E7)</f>
        <v>12951406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IFERROR(__xludf.DUMMYFUNCTION("""COMPUTED_VALUE"""),1665.0)</f>
        <v>1665</v>
      </c>
      <c r="C91" s="6">
        <f>IFERROR(__xludf.DUMMYFUNCTION("""COMPUTED_VALUE"""),1689.8)</f>
        <v>1689.8</v>
      </c>
      <c r="D91" s="6">
        <f>IFERROR(__xludf.DUMMYFUNCTION("""COMPUTED_VALUE"""),1636.0)</f>
        <v>1636</v>
      </c>
      <c r="E91" s="6">
        <f>IFERROR(__xludf.DUMMYFUNCTION("""COMPUTED_VALUE"""),1665.1)</f>
        <v>1665.1</v>
      </c>
      <c r="F91" s="6">
        <f>IFERROR(__xludf.DUMMYFUNCTION("""COMPUTED_VALUE"""),1.3377903E7)</f>
        <v>13377903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IFERROR(__xludf.DUMMYFUNCTION("""COMPUTED_VALUE"""),1663.2)</f>
        <v>1663.2</v>
      </c>
      <c r="C92" s="6">
        <f>IFERROR(__xludf.DUMMYFUNCTION("""COMPUTED_VALUE"""),1695.7)</f>
        <v>1695.7</v>
      </c>
      <c r="D92" s="6">
        <f>IFERROR(__xludf.DUMMYFUNCTION("""COMPUTED_VALUE"""),1647.2)</f>
        <v>1647.2</v>
      </c>
      <c r="E92" s="6">
        <f>IFERROR(__xludf.DUMMYFUNCTION("""COMPUTED_VALUE"""),1687.6)</f>
        <v>1687.6</v>
      </c>
      <c r="F92" s="6">
        <f>IFERROR(__xludf.DUMMYFUNCTION("""COMPUTED_VALUE"""),1.1696445E7)</f>
        <v>11696445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IFERROR(__xludf.DUMMYFUNCTION("""COMPUTED_VALUE"""),1696.0)</f>
        <v>1696</v>
      </c>
      <c r="C93" s="6">
        <f>IFERROR(__xludf.DUMMYFUNCTION("""COMPUTED_VALUE"""),1704.5)</f>
        <v>1704.5</v>
      </c>
      <c r="D93" s="6">
        <f>IFERROR(__xludf.DUMMYFUNCTION("""COMPUTED_VALUE"""),1656.0)</f>
        <v>1656</v>
      </c>
      <c r="E93" s="6">
        <f>IFERROR(__xludf.DUMMYFUNCTION("""COMPUTED_VALUE"""),1676.3)</f>
        <v>1676.3</v>
      </c>
      <c r="F93" s="6">
        <f>IFERROR(__xludf.DUMMYFUNCTION("""COMPUTED_VALUE"""),9887476.0)</f>
        <v>9887476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IFERROR(__xludf.DUMMYFUNCTION("""COMPUTED_VALUE"""),1674.7)</f>
        <v>1674.7</v>
      </c>
      <c r="C94" s="6">
        <f>IFERROR(__xludf.DUMMYFUNCTION("""COMPUTED_VALUE"""),1682.4)</f>
        <v>1682.4</v>
      </c>
      <c r="D94" s="6">
        <f>IFERROR(__xludf.DUMMYFUNCTION("""COMPUTED_VALUE"""),1647.0)</f>
        <v>1647</v>
      </c>
      <c r="E94" s="6">
        <f>IFERROR(__xludf.DUMMYFUNCTION("""COMPUTED_VALUE"""),1672.0)</f>
        <v>1672</v>
      </c>
      <c r="F94" s="6">
        <f>IFERROR(__xludf.DUMMYFUNCTION("""COMPUTED_VALUE"""),8629673.0)</f>
        <v>8629673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IFERROR(__xludf.DUMMYFUNCTION("""COMPUTED_VALUE"""),1680.4)</f>
        <v>1680.4</v>
      </c>
      <c r="C95" s="6">
        <f>IFERROR(__xludf.DUMMYFUNCTION("""COMPUTED_VALUE"""),1731.3)</f>
        <v>1731.3</v>
      </c>
      <c r="D95" s="6">
        <f>IFERROR(__xludf.DUMMYFUNCTION("""COMPUTED_VALUE"""),1675.5)</f>
        <v>1675.5</v>
      </c>
      <c r="E95" s="6">
        <f>IFERROR(__xludf.DUMMYFUNCTION("""COMPUTED_VALUE"""),1693.6)</f>
        <v>1693.6</v>
      </c>
      <c r="F95" s="6">
        <f>IFERROR(__xludf.DUMMYFUNCTION("""COMPUTED_VALUE"""),9642393.0)</f>
        <v>9642393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IFERROR(__xludf.DUMMYFUNCTION("""COMPUTED_VALUE"""),1681.1)</f>
        <v>1681.1</v>
      </c>
      <c r="C96" s="6">
        <f>IFERROR(__xludf.DUMMYFUNCTION("""COMPUTED_VALUE"""),1702.0)</f>
        <v>1702</v>
      </c>
      <c r="D96" s="6">
        <f>IFERROR(__xludf.DUMMYFUNCTION("""COMPUTED_VALUE"""),1671.4)</f>
        <v>1671.4</v>
      </c>
      <c r="E96" s="6">
        <f>IFERROR(__xludf.DUMMYFUNCTION("""COMPUTED_VALUE"""),1699.0)</f>
        <v>1699</v>
      </c>
      <c r="F96" s="6">
        <f>IFERROR(__xludf.DUMMYFUNCTION("""COMPUTED_VALUE"""),7031590.0)</f>
        <v>7031590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IFERROR(__xludf.DUMMYFUNCTION("""COMPUTED_VALUE"""),1702.1)</f>
        <v>1702.1</v>
      </c>
      <c r="C97" s="6">
        <f>IFERROR(__xludf.DUMMYFUNCTION("""COMPUTED_VALUE"""),1748.0)</f>
        <v>1748</v>
      </c>
      <c r="D97" s="6">
        <f>IFERROR(__xludf.DUMMYFUNCTION("""COMPUTED_VALUE"""),1608.0)</f>
        <v>1608</v>
      </c>
      <c r="E97" s="6">
        <f>IFERROR(__xludf.DUMMYFUNCTION("""COMPUTED_VALUE"""),1629.7)</f>
        <v>1629.7</v>
      </c>
      <c r="F97" s="6">
        <f>IFERROR(__xludf.DUMMYFUNCTION("""COMPUTED_VALUE"""),1.7820409E7)</f>
        <v>17820409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IFERROR(__xludf.DUMMYFUNCTION("""COMPUTED_VALUE"""),1629.8)</f>
        <v>1629.8</v>
      </c>
      <c r="C98" s="6">
        <f>IFERROR(__xludf.DUMMYFUNCTION("""COMPUTED_VALUE"""),1647.4)</f>
        <v>1647.4</v>
      </c>
      <c r="D98" s="6">
        <f>IFERROR(__xludf.DUMMYFUNCTION("""COMPUTED_VALUE"""),1571.0)</f>
        <v>1571</v>
      </c>
      <c r="E98" s="6">
        <f>IFERROR(__xludf.DUMMYFUNCTION("""COMPUTED_VALUE"""),1586.9)</f>
        <v>1586.9</v>
      </c>
      <c r="F98" s="6">
        <f>IFERROR(__xludf.DUMMYFUNCTION("""COMPUTED_VALUE"""),1.0988014E7)</f>
        <v>10988014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IFERROR(__xludf.DUMMYFUNCTION("""COMPUTED_VALUE"""),1586.9)</f>
        <v>1586.9</v>
      </c>
      <c r="C99" s="6">
        <f>IFERROR(__xludf.DUMMYFUNCTION("""COMPUTED_VALUE"""),1660.0)</f>
        <v>1660</v>
      </c>
      <c r="D99" s="6">
        <f>IFERROR(__xludf.DUMMYFUNCTION("""COMPUTED_VALUE"""),1584.2)</f>
        <v>1584.2</v>
      </c>
      <c r="E99" s="6">
        <f>IFERROR(__xludf.DUMMYFUNCTION("""COMPUTED_VALUE"""),1641.4)</f>
        <v>1641.4</v>
      </c>
      <c r="F99" s="6">
        <f>IFERROR(__xludf.DUMMYFUNCTION("""COMPUTED_VALUE"""),5871752.0)</f>
        <v>5871752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IFERROR(__xludf.DUMMYFUNCTION("""COMPUTED_VALUE"""),1649.6)</f>
        <v>1649.6</v>
      </c>
      <c r="C100" s="6">
        <f>IFERROR(__xludf.DUMMYFUNCTION("""COMPUTED_VALUE"""),1652.5)</f>
        <v>1652.5</v>
      </c>
      <c r="D100" s="6">
        <f>IFERROR(__xludf.DUMMYFUNCTION("""COMPUTED_VALUE"""),1616.0)</f>
        <v>1616</v>
      </c>
      <c r="E100" s="6">
        <f>IFERROR(__xludf.DUMMYFUNCTION("""COMPUTED_VALUE"""),1641.8)</f>
        <v>1641.8</v>
      </c>
      <c r="F100" s="6">
        <f>IFERROR(__xludf.DUMMYFUNCTION("""COMPUTED_VALUE"""),1.1393679E7)</f>
        <v>11393679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IFERROR(__xludf.DUMMYFUNCTION("""COMPUTED_VALUE"""),1649.2)</f>
        <v>1649.2</v>
      </c>
      <c r="C101" s="6">
        <f>IFERROR(__xludf.DUMMYFUNCTION("""COMPUTED_VALUE"""),1660.5)</f>
        <v>1660.5</v>
      </c>
      <c r="D101" s="6">
        <f>IFERROR(__xludf.DUMMYFUNCTION("""COMPUTED_VALUE"""),1596.2)</f>
        <v>1596.2</v>
      </c>
      <c r="E101" s="6">
        <f>IFERROR(__xludf.DUMMYFUNCTION("""COMPUTED_VALUE"""),1600.3)</f>
        <v>1600.3</v>
      </c>
      <c r="F101" s="6">
        <f>IFERROR(__xludf.DUMMYFUNCTION("""COMPUTED_VALUE"""),4.0868686E7)</f>
        <v>40868686</v>
      </c>
    </row>
  </sheetData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IFERROR(__xludf.DUMMYFUNCTION("GOOGLEFINANCE(""NSE:SUPREMEIND"",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IFERROR(__xludf.DUMMYFUNCTION("""COMPUTED_VALUE"""),4498.2)</f>
        <v>4498.2</v>
      </c>
      <c r="C2" s="6">
        <f>IFERROR(__xludf.DUMMYFUNCTION("""COMPUTED_VALUE"""),4704.0)</f>
        <v>4704</v>
      </c>
      <c r="D2" s="6">
        <f>IFERROR(__xludf.DUMMYFUNCTION("""COMPUTED_VALUE"""),4251.75)</f>
        <v>4251.75</v>
      </c>
      <c r="E2" s="6">
        <f>IFERROR(__xludf.DUMMYFUNCTION("""COMPUTED_VALUE"""),4395.75)</f>
        <v>4395.75</v>
      </c>
      <c r="F2" s="6">
        <f>IFERROR(__xludf.DUMMYFUNCTION("""COMPUTED_VALUE"""),1.1806826E7)</f>
        <v>11806826</v>
      </c>
    </row>
    <row r="3">
      <c r="A3" s="7">
        <f>IFERROR(__xludf.DUMMYFUNCTION("""COMPUTED_VALUE"""),45177.64583333333)</f>
        <v>45177.64583</v>
      </c>
      <c r="B3" s="6">
        <f>IFERROR(__xludf.DUMMYFUNCTION("""COMPUTED_VALUE"""),4400.0)</f>
        <v>4400</v>
      </c>
      <c r="C3" s="6">
        <f>IFERROR(__xludf.DUMMYFUNCTION("""COMPUTED_VALUE"""),4678.05)</f>
        <v>4678.05</v>
      </c>
      <c r="D3" s="6">
        <f>IFERROR(__xludf.DUMMYFUNCTION("""COMPUTED_VALUE"""),4301.05)</f>
        <v>4301.05</v>
      </c>
      <c r="E3" s="6">
        <f>IFERROR(__xludf.DUMMYFUNCTION("""COMPUTED_VALUE"""),4628.65)</f>
        <v>4628.65</v>
      </c>
      <c r="F3" s="6">
        <f>IFERROR(__xludf.DUMMYFUNCTION("""COMPUTED_VALUE"""),1224374.0)</f>
        <v>1224374</v>
      </c>
    </row>
    <row r="4">
      <c r="A4" s="7">
        <f>IFERROR(__xludf.DUMMYFUNCTION("""COMPUTED_VALUE"""),45184.64583333333)</f>
        <v>45184.64583</v>
      </c>
      <c r="B4" s="6">
        <f>IFERROR(__xludf.DUMMYFUNCTION("""COMPUTED_VALUE"""),4628.65)</f>
        <v>4628.65</v>
      </c>
      <c r="C4" s="6">
        <f>IFERROR(__xludf.DUMMYFUNCTION("""COMPUTED_VALUE"""),4698.0)</f>
        <v>4698</v>
      </c>
      <c r="D4" s="6">
        <f>IFERROR(__xludf.DUMMYFUNCTION("""COMPUTED_VALUE"""),4095.0)</f>
        <v>4095</v>
      </c>
      <c r="E4" s="6">
        <f>IFERROR(__xludf.DUMMYFUNCTION("""COMPUTED_VALUE"""),4120.15)</f>
        <v>4120.15</v>
      </c>
      <c r="F4" s="6">
        <f>IFERROR(__xludf.DUMMYFUNCTION("""COMPUTED_VALUE"""),1330937.0)</f>
        <v>1330937</v>
      </c>
    </row>
    <row r="5">
      <c r="A5" s="7">
        <f>IFERROR(__xludf.DUMMYFUNCTION("""COMPUTED_VALUE"""),45191.64583333333)</f>
        <v>45191.64583</v>
      </c>
      <c r="B5" s="6">
        <f>IFERROR(__xludf.DUMMYFUNCTION("""COMPUTED_VALUE"""),4150.95)</f>
        <v>4150.95</v>
      </c>
      <c r="C5" s="6">
        <f>IFERROR(__xludf.DUMMYFUNCTION("""COMPUTED_VALUE"""),4188.9)</f>
        <v>4188.9</v>
      </c>
      <c r="D5" s="6">
        <f>IFERROR(__xludf.DUMMYFUNCTION("""COMPUTED_VALUE"""),4015.05)</f>
        <v>4015.05</v>
      </c>
      <c r="E5" s="6">
        <f>IFERROR(__xludf.DUMMYFUNCTION("""COMPUTED_VALUE"""),4107.45)</f>
        <v>4107.45</v>
      </c>
      <c r="F5" s="6">
        <f>IFERROR(__xludf.DUMMYFUNCTION("""COMPUTED_VALUE"""),730239.0)</f>
        <v>730239</v>
      </c>
    </row>
    <row r="6">
      <c r="A6" s="7">
        <f>IFERROR(__xludf.DUMMYFUNCTION("""COMPUTED_VALUE"""),45198.64583333333)</f>
        <v>45198.64583</v>
      </c>
      <c r="B6" s="6">
        <f>IFERROR(__xludf.DUMMYFUNCTION("""COMPUTED_VALUE"""),4107.1)</f>
        <v>4107.1</v>
      </c>
      <c r="C6" s="6">
        <f>IFERROR(__xludf.DUMMYFUNCTION("""COMPUTED_VALUE"""),4235.3)</f>
        <v>4235.3</v>
      </c>
      <c r="D6" s="6">
        <f>IFERROR(__xludf.DUMMYFUNCTION("""COMPUTED_VALUE"""),4062.1)</f>
        <v>4062.1</v>
      </c>
      <c r="E6" s="6">
        <f>IFERROR(__xludf.DUMMYFUNCTION("""COMPUTED_VALUE"""),4121.5)</f>
        <v>4121.5</v>
      </c>
      <c r="F6" s="6">
        <f>IFERROR(__xludf.DUMMYFUNCTION("""COMPUTED_VALUE"""),500703.0)</f>
        <v>500703</v>
      </c>
    </row>
    <row r="7">
      <c r="A7" s="7">
        <f>IFERROR(__xludf.DUMMYFUNCTION("""COMPUTED_VALUE"""),45205.64583333333)</f>
        <v>45205.64583</v>
      </c>
      <c r="B7" s="6">
        <f>IFERROR(__xludf.DUMMYFUNCTION("""COMPUTED_VALUE"""),4101.5)</f>
        <v>4101.5</v>
      </c>
      <c r="C7" s="6">
        <f>IFERROR(__xludf.DUMMYFUNCTION("""COMPUTED_VALUE"""),4137.0)</f>
        <v>4137</v>
      </c>
      <c r="D7" s="6">
        <f>IFERROR(__xludf.DUMMYFUNCTION("""COMPUTED_VALUE"""),3826.05)</f>
        <v>3826.05</v>
      </c>
      <c r="E7" s="6">
        <f>IFERROR(__xludf.DUMMYFUNCTION("""COMPUTED_VALUE"""),3912.5)</f>
        <v>3912.5</v>
      </c>
      <c r="F7" s="6">
        <f>IFERROR(__xludf.DUMMYFUNCTION("""COMPUTED_VALUE"""),754700.0)</f>
        <v>754700</v>
      </c>
    </row>
    <row r="8">
      <c r="A8" s="7">
        <f>IFERROR(__xludf.DUMMYFUNCTION("""COMPUTED_VALUE"""),45212.64583333333)</f>
        <v>45212.64583</v>
      </c>
      <c r="B8" s="6">
        <f>IFERROR(__xludf.DUMMYFUNCTION("""COMPUTED_VALUE"""),3900.0)</f>
        <v>3900</v>
      </c>
      <c r="C8" s="6">
        <f>IFERROR(__xludf.DUMMYFUNCTION("""COMPUTED_VALUE"""),4223.0)</f>
        <v>4223</v>
      </c>
      <c r="D8" s="6">
        <f>IFERROR(__xludf.DUMMYFUNCTION("""COMPUTED_VALUE"""),3882.05)</f>
        <v>3882.05</v>
      </c>
      <c r="E8" s="6">
        <f>IFERROR(__xludf.DUMMYFUNCTION("""COMPUTED_VALUE"""),4161.65)</f>
        <v>4161.65</v>
      </c>
      <c r="F8" s="6">
        <f>IFERROR(__xludf.DUMMYFUNCTION("""COMPUTED_VALUE"""),836800.0)</f>
        <v>836800</v>
      </c>
    </row>
    <row r="9">
      <c r="A9" s="7">
        <f>IFERROR(__xludf.DUMMYFUNCTION("""COMPUTED_VALUE"""),45219.64583333333)</f>
        <v>45219.64583</v>
      </c>
      <c r="B9" s="6">
        <f>IFERROR(__xludf.DUMMYFUNCTION("""COMPUTED_VALUE"""),4198.0)</f>
        <v>4198</v>
      </c>
      <c r="C9" s="6">
        <f>IFERROR(__xludf.DUMMYFUNCTION("""COMPUTED_VALUE"""),4888.0)</f>
        <v>4888</v>
      </c>
      <c r="D9" s="6">
        <f>IFERROR(__xludf.DUMMYFUNCTION("""COMPUTED_VALUE"""),4179.6)</f>
        <v>4179.6</v>
      </c>
      <c r="E9" s="6">
        <f>IFERROR(__xludf.DUMMYFUNCTION("""COMPUTED_VALUE"""),4713.9)</f>
        <v>4713.9</v>
      </c>
      <c r="F9" s="6">
        <f>IFERROR(__xludf.DUMMYFUNCTION("""COMPUTED_VALUE"""),2971629.0)</f>
        <v>2971629</v>
      </c>
    </row>
    <row r="10">
      <c r="A10" s="7">
        <f>IFERROR(__xludf.DUMMYFUNCTION("""COMPUTED_VALUE"""),45226.64583333333)</f>
        <v>45226.64583</v>
      </c>
      <c r="B10" s="6">
        <f>IFERROR(__xludf.DUMMYFUNCTION("""COMPUTED_VALUE"""),4703.0)</f>
        <v>4703</v>
      </c>
      <c r="C10" s="6">
        <f>IFERROR(__xludf.DUMMYFUNCTION("""COMPUTED_VALUE"""),4862.95)</f>
        <v>4862.95</v>
      </c>
      <c r="D10" s="6">
        <f>IFERROR(__xludf.DUMMYFUNCTION("""COMPUTED_VALUE"""),4120.15)</f>
        <v>4120.15</v>
      </c>
      <c r="E10" s="6">
        <f>IFERROR(__xludf.DUMMYFUNCTION("""COMPUTED_VALUE"""),4207.85)</f>
        <v>4207.85</v>
      </c>
      <c r="F10" s="6">
        <f>IFERROR(__xludf.DUMMYFUNCTION("""COMPUTED_VALUE"""),819201.0)</f>
        <v>819201</v>
      </c>
    </row>
    <row r="11">
      <c r="A11" s="7">
        <f>IFERROR(__xludf.DUMMYFUNCTION("""COMPUTED_VALUE"""),45233.64583333333)</f>
        <v>45233.64583</v>
      </c>
      <c r="B11" s="6">
        <f>IFERROR(__xludf.DUMMYFUNCTION("""COMPUTED_VALUE"""),4200.0)</f>
        <v>4200</v>
      </c>
      <c r="C11" s="6">
        <f>IFERROR(__xludf.DUMMYFUNCTION("""COMPUTED_VALUE"""),4640.0)</f>
        <v>4640</v>
      </c>
      <c r="D11" s="6">
        <f>IFERROR(__xludf.DUMMYFUNCTION("""COMPUTED_VALUE"""),4127.85)</f>
        <v>4127.85</v>
      </c>
      <c r="E11" s="6">
        <f>IFERROR(__xludf.DUMMYFUNCTION("""COMPUTED_VALUE"""),4379.45)</f>
        <v>4379.45</v>
      </c>
      <c r="F11" s="6">
        <f>IFERROR(__xludf.DUMMYFUNCTION("""COMPUTED_VALUE"""),1027499.0)</f>
        <v>1027499</v>
      </c>
    </row>
    <row r="12">
      <c r="A12" s="7">
        <f>IFERROR(__xludf.DUMMYFUNCTION("""COMPUTED_VALUE"""),45240.64583333333)</f>
        <v>45240.64583</v>
      </c>
      <c r="B12" s="6">
        <f>IFERROR(__xludf.DUMMYFUNCTION("""COMPUTED_VALUE"""),4402.5)</f>
        <v>4402.5</v>
      </c>
      <c r="C12" s="6">
        <f>IFERROR(__xludf.DUMMYFUNCTION("""COMPUTED_VALUE"""),4468.15)</f>
        <v>4468.15</v>
      </c>
      <c r="D12" s="6">
        <f>IFERROR(__xludf.DUMMYFUNCTION("""COMPUTED_VALUE"""),4192.15)</f>
        <v>4192.15</v>
      </c>
      <c r="E12" s="6">
        <f>IFERROR(__xludf.DUMMYFUNCTION("""COMPUTED_VALUE"""),4247.95)</f>
        <v>4247.95</v>
      </c>
      <c r="F12" s="6">
        <f>IFERROR(__xludf.DUMMYFUNCTION("""COMPUTED_VALUE"""),483192.0)</f>
        <v>483192</v>
      </c>
    </row>
    <row r="13">
      <c r="A13" s="7">
        <f>IFERROR(__xludf.DUMMYFUNCTION("""COMPUTED_VALUE"""),45247.64583333333)</f>
        <v>45247.64583</v>
      </c>
      <c r="B13" s="6">
        <f>IFERROR(__xludf.DUMMYFUNCTION("""COMPUTED_VALUE"""),4339.95)</f>
        <v>4339.95</v>
      </c>
      <c r="C13" s="6">
        <f>IFERROR(__xludf.DUMMYFUNCTION("""COMPUTED_VALUE"""),4339.95)</f>
        <v>4339.95</v>
      </c>
      <c r="D13" s="6">
        <f>IFERROR(__xludf.DUMMYFUNCTION("""COMPUTED_VALUE"""),4048.7)</f>
        <v>4048.7</v>
      </c>
      <c r="E13" s="6">
        <f>IFERROR(__xludf.DUMMYFUNCTION("""COMPUTED_VALUE"""),4187.7)</f>
        <v>4187.7</v>
      </c>
      <c r="F13" s="6">
        <f>IFERROR(__xludf.DUMMYFUNCTION("""COMPUTED_VALUE"""),722929.0)</f>
        <v>722929</v>
      </c>
    </row>
    <row r="14">
      <c r="A14" s="7">
        <f>IFERROR(__xludf.DUMMYFUNCTION("""COMPUTED_VALUE"""),45254.64583333333)</f>
        <v>45254.64583</v>
      </c>
      <c r="B14" s="6">
        <f>IFERROR(__xludf.DUMMYFUNCTION("""COMPUTED_VALUE"""),4201.0)</f>
        <v>4201</v>
      </c>
      <c r="C14" s="6">
        <f>IFERROR(__xludf.DUMMYFUNCTION("""COMPUTED_VALUE"""),4244.75)</f>
        <v>4244.75</v>
      </c>
      <c r="D14" s="6">
        <f>IFERROR(__xludf.DUMMYFUNCTION("""COMPUTED_VALUE"""),4036.0)</f>
        <v>4036</v>
      </c>
      <c r="E14" s="6">
        <f>IFERROR(__xludf.DUMMYFUNCTION("""COMPUTED_VALUE"""),4129.25)</f>
        <v>4129.25</v>
      </c>
      <c r="F14" s="6">
        <f>IFERROR(__xludf.DUMMYFUNCTION("""COMPUTED_VALUE"""),570034.0)</f>
        <v>570034</v>
      </c>
    </row>
    <row r="15">
      <c r="A15" s="7">
        <f>IFERROR(__xludf.DUMMYFUNCTION("""COMPUTED_VALUE"""),45261.64583333333)</f>
        <v>45261.64583</v>
      </c>
      <c r="B15" s="6">
        <f>IFERROR(__xludf.DUMMYFUNCTION("""COMPUTED_VALUE"""),4149.95)</f>
        <v>4149.95</v>
      </c>
      <c r="C15" s="6">
        <f>IFERROR(__xludf.DUMMYFUNCTION("""COMPUTED_VALUE"""),4593.9)</f>
        <v>4593.9</v>
      </c>
      <c r="D15" s="6">
        <f>IFERROR(__xludf.DUMMYFUNCTION("""COMPUTED_VALUE"""),4074.05)</f>
        <v>4074.05</v>
      </c>
      <c r="E15" s="6">
        <f>IFERROR(__xludf.DUMMYFUNCTION("""COMPUTED_VALUE"""),4460.8)</f>
        <v>4460.8</v>
      </c>
      <c r="F15" s="6">
        <f>IFERROR(__xludf.DUMMYFUNCTION("""COMPUTED_VALUE"""),1872356.0)</f>
        <v>1872356</v>
      </c>
    </row>
    <row r="16">
      <c r="A16" s="7">
        <f>IFERROR(__xludf.DUMMYFUNCTION("""COMPUTED_VALUE"""),45268.64583333333)</f>
        <v>45268.64583</v>
      </c>
      <c r="B16" s="6">
        <f>IFERROR(__xludf.DUMMYFUNCTION("""COMPUTED_VALUE"""),4470.9)</f>
        <v>4470.9</v>
      </c>
      <c r="C16" s="6">
        <f>IFERROR(__xludf.DUMMYFUNCTION("""COMPUTED_VALUE"""),4844.75)</f>
        <v>4844.75</v>
      </c>
      <c r="D16" s="6">
        <f>IFERROR(__xludf.DUMMYFUNCTION("""COMPUTED_VALUE"""),4455.65)</f>
        <v>4455.65</v>
      </c>
      <c r="E16" s="6">
        <f>IFERROR(__xludf.DUMMYFUNCTION("""COMPUTED_VALUE"""),4522.25)</f>
        <v>4522.25</v>
      </c>
      <c r="F16" s="6">
        <f>IFERROR(__xludf.DUMMYFUNCTION("""COMPUTED_VALUE"""),1026052.0)</f>
        <v>1026052</v>
      </c>
    </row>
    <row r="17">
      <c r="A17" s="7">
        <f>IFERROR(__xludf.DUMMYFUNCTION("""COMPUTED_VALUE"""),45275.64583333333)</f>
        <v>45275.64583</v>
      </c>
      <c r="B17" s="6">
        <f>IFERROR(__xludf.DUMMYFUNCTION("""COMPUTED_VALUE"""),4522.25)</f>
        <v>4522.25</v>
      </c>
      <c r="C17" s="6">
        <f>IFERROR(__xludf.DUMMYFUNCTION("""COMPUTED_VALUE"""),4558.95)</f>
        <v>4558.95</v>
      </c>
      <c r="D17" s="6">
        <f>IFERROR(__xludf.DUMMYFUNCTION("""COMPUTED_VALUE"""),4388.0)</f>
        <v>4388</v>
      </c>
      <c r="E17" s="6">
        <f>IFERROR(__xludf.DUMMYFUNCTION("""COMPUTED_VALUE"""),4442.15)</f>
        <v>4442.15</v>
      </c>
      <c r="F17" s="6">
        <f>IFERROR(__xludf.DUMMYFUNCTION("""COMPUTED_VALUE"""),511684.0)</f>
        <v>511684</v>
      </c>
    </row>
    <row r="18">
      <c r="A18" s="7">
        <f>IFERROR(__xludf.DUMMYFUNCTION("""COMPUTED_VALUE"""),45282.64583333333)</f>
        <v>45282.64583</v>
      </c>
      <c r="B18" s="6">
        <f>IFERROR(__xludf.DUMMYFUNCTION("""COMPUTED_VALUE"""),4442.15)</f>
        <v>4442.15</v>
      </c>
      <c r="C18" s="6">
        <f>IFERROR(__xludf.DUMMYFUNCTION("""COMPUTED_VALUE"""),4680.0)</f>
        <v>4680</v>
      </c>
      <c r="D18" s="6">
        <f>IFERROR(__xludf.DUMMYFUNCTION("""COMPUTED_VALUE"""),4394.25)</f>
        <v>4394.25</v>
      </c>
      <c r="E18" s="6">
        <f>IFERROR(__xludf.DUMMYFUNCTION("""COMPUTED_VALUE"""),4540.3)</f>
        <v>4540.3</v>
      </c>
      <c r="F18" s="6">
        <f>IFERROR(__xludf.DUMMYFUNCTION("""COMPUTED_VALUE"""),606515.0)</f>
        <v>606515</v>
      </c>
    </row>
    <row r="19">
      <c r="A19" s="7">
        <f>IFERROR(__xludf.DUMMYFUNCTION("""COMPUTED_VALUE"""),45289.64583333333)</f>
        <v>45289.64583</v>
      </c>
      <c r="B19" s="6">
        <f>IFERROR(__xludf.DUMMYFUNCTION("""COMPUTED_VALUE"""),4589.0)</f>
        <v>4589</v>
      </c>
      <c r="C19" s="6">
        <f>IFERROR(__xludf.DUMMYFUNCTION("""COMPUTED_VALUE"""),4747.0)</f>
        <v>4747</v>
      </c>
      <c r="D19" s="6">
        <f>IFERROR(__xludf.DUMMYFUNCTION("""COMPUTED_VALUE"""),4422.05)</f>
        <v>4422.05</v>
      </c>
      <c r="E19" s="6">
        <f>IFERROR(__xludf.DUMMYFUNCTION("""COMPUTED_VALUE"""),4542.95)</f>
        <v>4542.95</v>
      </c>
      <c r="F19" s="6">
        <f>IFERROR(__xludf.DUMMYFUNCTION("""COMPUTED_VALUE"""),353420.0)</f>
        <v>353420</v>
      </c>
    </row>
    <row r="20">
      <c r="A20" s="7">
        <f>IFERROR(__xludf.DUMMYFUNCTION("""COMPUTED_VALUE"""),45296.64583333333)</f>
        <v>45296.64583</v>
      </c>
      <c r="B20" s="6">
        <f>IFERROR(__xludf.DUMMYFUNCTION("""COMPUTED_VALUE"""),4540.0)</f>
        <v>4540</v>
      </c>
      <c r="C20" s="6">
        <f>IFERROR(__xludf.DUMMYFUNCTION("""COMPUTED_VALUE"""),4565.0)</f>
        <v>4565</v>
      </c>
      <c r="D20" s="6">
        <f>IFERROR(__xludf.DUMMYFUNCTION("""COMPUTED_VALUE"""),4341.05)</f>
        <v>4341.05</v>
      </c>
      <c r="E20" s="6">
        <f>IFERROR(__xludf.DUMMYFUNCTION("""COMPUTED_VALUE"""),4379.65)</f>
        <v>4379.65</v>
      </c>
      <c r="F20" s="6">
        <f>IFERROR(__xludf.DUMMYFUNCTION("""COMPUTED_VALUE"""),316676.0)</f>
        <v>316676</v>
      </c>
    </row>
    <row r="21">
      <c r="A21" s="7">
        <f>IFERROR(__xludf.DUMMYFUNCTION("""COMPUTED_VALUE"""),45303.64583333333)</f>
        <v>45303.64583</v>
      </c>
      <c r="B21" s="6">
        <f>IFERROR(__xludf.DUMMYFUNCTION("""COMPUTED_VALUE"""),4402.65)</f>
        <v>4402.65</v>
      </c>
      <c r="C21" s="6">
        <f>IFERROR(__xludf.DUMMYFUNCTION("""COMPUTED_VALUE"""),4470.0)</f>
        <v>4470</v>
      </c>
      <c r="D21" s="6">
        <f>IFERROR(__xludf.DUMMYFUNCTION("""COMPUTED_VALUE"""),4185.0)</f>
        <v>4185</v>
      </c>
      <c r="E21" s="6">
        <f>IFERROR(__xludf.DUMMYFUNCTION("""COMPUTED_VALUE"""),4216.75)</f>
        <v>4216.75</v>
      </c>
      <c r="F21" s="6">
        <f>IFERROR(__xludf.DUMMYFUNCTION("""COMPUTED_VALUE"""),313425.0)</f>
        <v>313425</v>
      </c>
    </row>
    <row r="22">
      <c r="A22" s="7">
        <f>IFERROR(__xludf.DUMMYFUNCTION("""COMPUTED_VALUE"""),45316.64583333333)</f>
        <v>45316.64583</v>
      </c>
      <c r="B22" s="6">
        <f>IFERROR(__xludf.DUMMYFUNCTION("""COMPUTED_VALUE"""),4130.0)</f>
        <v>4130</v>
      </c>
      <c r="C22" s="6">
        <f>IFERROR(__xludf.DUMMYFUNCTION("""COMPUTED_VALUE"""),4234.0)</f>
        <v>4234</v>
      </c>
      <c r="D22" s="6">
        <f>IFERROR(__xludf.DUMMYFUNCTION("""COMPUTED_VALUE"""),3985.1)</f>
        <v>3985.1</v>
      </c>
      <c r="E22" s="6">
        <f>IFERROR(__xludf.DUMMYFUNCTION("""COMPUTED_VALUE"""),4014.85)</f>
        <v>4014.85</v>
      </c>
      <c r="F22" s="6">
        <f>IFERROR(__xludf.DUMMYFUNCTION("""COMPUTED_VALUE"""),762667.0)</f>
        <v>762667</v>
      </c>
    </row>
    <row r="23">
      <c r="A23" s="7">
        <f>IFERROR(__xludf.DUMMYFUNCTION("""COMPUTED_VALUE"""),45324.64583333333)</f>
        <v>45324.64583</v>
      </c>
      <c r="B23" s="6">
        <f>IFERROR(__xludf.DUMMYFUNCTION("""COMPUTED_VALUE"""),4033.0)</f>
        <v>4033</v>
      </c>
      <c r="C23" s="6">
        <f>IFERROR(__xludf.DUMMYFUNCTION("""COMPUTED_VALUE"""),4238.95)</f>
        <v>4238.95</v>
      </c>
      <c r="D23" s="6">
        <f>IFERROR(__xludf.DUMMYFUNCTION("""COMPUTED_VALUE"""),4005.0)</f>
        <v>4005</v>
      </c>
      <c r="E23" s="6">
        <f>IFERROR(__xludf.DUMMYFUNCTION("""COMPUTED_VALUE"""),4137.7)</f>
        <v>4137.7</v>
      </c>
      <c r="F23" s="6">
        <f>IFERROR(__xludf.DUMMYFUNCTION("""COMPUTED_VALUE"""),703475.0)</f>
        <v>703475</v>
      </c>
    </row>
    <row r="24">
      <c r="A24" s="7">
        <f>IFERROR(__xludf.DUMMYFUNCTION("""COMPUTED_VALUE"""),45331.64583333333)</f>
        <v>45331.64583</v>
      </c>
      <c r="B24" s="6">
        <f>IFERROR(__xludf.DUMMYFUNCTION("""COMPUTED_VALUE"""),4135.5)</f>
        <v>4135.5</v>
      </c>
      <c r="C24" s="6">
        <f>IFERROR(__xludf.DUMMYFUNCTION("""COMPUTED_VALUE"""),4212.95)</f>
        <v>4212.95</v>
      </c>
      <c r="D24" s="6">
        <f>IFERROR(__xludf.DUMMYFUNCTION("""COMPUTED_VALUE"""),4023.6)</f>
        <v>4023.6</v>
      </c>
      <c r="E24" s="6">
        <f>IFERROR(__xludf.DUMMYFUNCTION("""COMPUTED_VALUE"""),4054.2)</f>
        <v>4054.2</v>
      </c>
      <c r="F24" s="6">
        <f>IFERROR(__xludf.DUMMYFUNCTION("""COMPUTED_VALUE"""),494882.0)</f>
        <v>494882</v>
      </c>
    </row>
    <row r="25">
      <c r="A25" s="7">
        <f>IFERROR(__xludf.DUMMYFUNCTION("""COMPUTED_VALUE"""),45338.64583333333)</f>
        <v>45338.64583</v>
      </c>
      <c r="B25" s="6">
        <f>IFERROR(__xludf.DUMMYFUNCTION("""COMPUTED_VALUE"""),4059.45)</f>
        <v>4059.45</v>
      </c>
      <c r="C25" s="6">
        <f>IFERROR(__xludf.DUMMYFUNCTION("""COMPUTED_VALUE"""),4083.6)</f>
        <v>4083.6</v>
      </c>
      <c r="D25" s="6">
        <f>IFERROR(__xludf.DUMMYFUNCTION("""COMPUTED_VALUE"""),3784.05)</f>
        <v>3784.05</v>
      </c>
      <c r="E25" s="6">
        <f>IFERROR(__xludf.DUMMYFUNCTION("""COMPUTED_VALUE"""),3955.95)</f>
        <v>3955.95</v>
      </c>
      <c r="F25" s="6">
        <f>IFERROR(__xludf.DUMMYFUNCTION("""COMPUTED_VALUE"""),658824.0)</f>
        <v>658824</v>
      </c>
    </row>
    <row r="26">
      <c r="A26" s="7">
        <f>IFERROR(__xludf.DUMMYFUNCTION("""COMPUTED_VALUE"""),45345.64583333333)</f>
        <v>45345.64583</v>
      </c>
      <c r="B26" s="6">
        <f>IFERROR(__xludf.DUMMYFUNCTION("""COMPUTED_VALUE"""),4012.95)</f>
        <v>4012.95</v>
      </c>
      <c r="C26" s="6">
        <f>IFERROR(__xludf.DUMMYFUNCTION("""COMPUTED_VALUE"""),4095.55)</f>
        <v>4095.55</v>
      </c>
      <c r="D26" s="6">
        <f>IFERROR(__xludf.DUMMYFUNCTION("""COMPUTED_VALUE"""),3629.05)</f>
        <v>3629.05</v>
      </c>
      <c r="E26" s="6">
        <f>IFERROR(__xludf.DUMMYFUNCTION("""COMPUTED_VALUE"""),4051.75)</f>
        <v>4051.75</v>
      </c>
      <c r="F26" s="6">
        <f>IFERROR(__xludf.DUMMYFUNCTION("""COMPUTED_VALUE"""),700942.0)</f>
        <v>700942</v>
      </c>
    </row>
    <row r="27">
      <c r="A27" s="7">
        <f>IFERROR(__xludf.DUMMYFUNCTION("""COMPUTED_VALUE"""),45358.64583333333)</f>
        <v>45358.64583</v>
      </c>
      <c r="B27" s="6">
        <f>IFERROR(__xludf.DUMMYFUNCTION("""COMPUTED_VALUE"""),4161.2)</f>
        <v>4161.2</v>
      </c>
      <c r="C27" s="6">
        <f>IFERROR(__xludf.DUMMYFUNCTION("""COMPUTED_VALUE"""),4190.0)</f>
        <v>4190</v>
      </c>
      <c r="D27" s="6">
        <f>IFERROR(__xludf.DUMMYFUNCTION("""COMPUTED_VALUE"""),3878.05)</f>
        <v>3878.05</v>
      </c>
      <c r="E27" s="6">
        <f>IFERROR(__xludf.DUMMYFUNCTION("""COMPUTED_VALUE"""),3894.45)</f>
        <v>3894.45</v>
      </c>
      <c r="F27" s="6">
        <f>IFERROR(__xludf.DUMMYFUNCTION("""COMPUTED_VALUE"""),411009.0)</f>
        <v>411009</v>
      </c>
    </row>
    <row r="28">
      <c r="A28" s="7">
        <f>IFERROR(__xludf.DUMMYFUNCTION("""COMPUTED_VALUE"""),45366.64583333333)</f>
        <v>45366.64583</v>
      </c>
      <c r="B28" s="6">
        <f>IFERROR(__xludf.DUMMYFUNCTION("""COMPUTED_VALUE"""),3881.0)</f>
        <v>3881</v>
      </c>
      <c r="C28" s="6">
        <f>IFERROR(__xludf.DUMMYFUNCTION("""COMPUTED_VALUE"""),4045.0)</f>
        <v>4045</v>
      </c>
      <c r="D28" s="6">
        <f>IFERROR(__xludf.DUMMYFUNCTION("""COMPUTED_VALUE"""),3601.0)</f>
        <v>3601</v>
      </c>
      <c r="E28" s="6">
        <f>IFERROR(__xludf.DUMMYFUNCTION("""COMPUTED_VALUE"""),3900.7)</f>
        <v>3900.7</v>
      </c>
      <c r="F28" s="6">
        <f>IFERROR(__xludf.DUMMYFUNCTION("""COMPUTED_VALUE"""),1053519.0)</f>
        <v>1053519</v>
      </c>
    </row>
    <row r="29">
      <c r="A29" s="7">
        <f>IFERROR(__xludf.DUMMYFUNCTION("""COMPUTED_VALUE"""),45373.64583333333)</f>
        <v>45373.64583</v>
      </c>
      <c r="B29" s="6">
        <f>IFERROR(__xludf.DUMMYFUNCTION("""COMPUTED_VALUE"""),3874.05)</f>
        <v>3874.05</v>
      </c>
      <c r="C29" s="6">
        <f>IFERROR(__xludf.DUMMYFUNCTION("""COMPUTED_VALUE"""),4024.4)</f>
        <v>4024.4</v>
      </c>
      <c r="D29" s="6">
        <f>IFERROR(__xludf.DUMMYFUNCTION("""COMPUTED_VALUE"""),3732.1)</f>
        <v>3732.1</v>
      </c>
      <c r="E29" s="6">
        <f>IFERROR(__xludf.DUMMYFUNCTION("""COMPUTED_VALUE"""),3930.3)</f>
        <v>3930.3</v>
      </c>
      <c r="F29" s="6">
        <f>IFERROR(__xludf.DUMMYFUNCTION("""COMPUTED_VALUE"""),520385.0)</f>
        <v>520385</v>
      </c>
    </row>
    <row r="30">
      <c r="A30" s="7">
        <f>IFERROR(__xludf.DUMMYFUNCTION("""COMPUTED_VALUE"""),45379.64583333333)</f>
        <v>45379.64583</v>
      </c>
      <c r="B30" s="6">
        <f>IFERROR(__xludf.DUMMYFUNCTION("""COMPUTED_VALUE"""),3919.35)</f>
        <v>3919.35</v>
      </c>
      <c r="C30" s="6">
        <f>IFERROR(__xludf.DUMMYFUNCTION("""COMPUTED_VALUE"""),4265.0)</f>
        <v>4265</v>
      </c>
      <c r="D30" s="6">
        <f>IFERROR(__xludf.DUMMYFUNCTION("""COMPUTED_VALUE"""),3835.0)</f>
        <v>3835</v>
      </c>
      <c r="E30" s="6">
        <f>IFERROR(__xludf.DUMMYFUNCTION("""COMPUTED_VALUE"""),4232.2)</f>
        <v>4232.2</v>
      </c>
      <c r="F30" s="6">
        <f>IFERROR(__xludf.DUMMYFUNCTION("""COMPUTED_VALUE"""),601244.0)</f>
        <v>601244</v>
      </c>
    </row>
    <row r="31">
      <c r="A31" s="7">
        <f>IFERROR(__xludf.DUMMYFUNCTION("""COMPUTED_VALUE"""),45387.64583333333)</f>
        <v>45387.64583</v>
      </c>
      <c r="B31" s="6">
        <f>IFERROR(__xludf.DUMMYFUNCTION("""COMPUTED_VALUE"""),4249.9)</f>
        <v>4249.9</v>
      </c>
      <c r="C31" s="6">
        <f>IFERROR(__xludf.DUMMYFUNCTION("""COMPUTED_VALUE"""),4385.95)</f>
        <v>4385.95</v>
      </c>
      <c r="D31" s="6">
        <f>IFERROR(__xludf.DUMMYFUNCTION("""COMPUTED_VALUE"""),4075.0)</f>
        <v>4075</v>
      </c>
      <c r="E31" s="6">
        <f>IFERROR(__xludf.DUMMYFUNCTION("""COMPUTED_VALUE"""),4356.35)</f>
        <v>4356.35</v>
      </c>
      <c r="F31" s="6">
        <f>IFERROR(__xludf.DUMMYFUNCTION("""COMPUTED_VALUE"""),714382.0)</f>
        <v>714382</v>
      </c>
    </row>
    <row r="32">
      <c r="A32" s="7">
        <f>IFERROR(__xludf.DUMMYFUNCTION("""COMPUTED_VALUE"""),45394.64583333333)</f>
        <v>45394.64583</v>
      </c>
      <c r="B32" s="6">
        <f>IFERROR(__xludf.DUMMYFUNCTION("""COMPUTED_VALUE"""),4380.0)</f>
        <v>4380</v>
      </c>
      <c r="C32" s="6">
        <f>IFERROR(__xludf.DUMMYFUNCTION("""COMPUTED_VALUE"""),4380.0)</f>
        <v>4380</v>
      </c>
      <c r="D32" s="6">
        <f>IFERROR(__xludf.DUMMYFUNCTION("""COMPUTED_VALUE"""),4080.0)</f>
        <v>4080</v>
      </c>
      <c r="E32" s="6">
        <f>IFERROR(__xludf.DUMMYFUNCTION("""COMPUTED_VALUE"""),4150.85)</f>
        <v>4150.85</v>
      </c>
      <c r="F32" s="6">
        <f>IFERROR(__xludf.DUMMYFUNCTION("""COMPUTED_VALUE"""),661274.0)</f>
        <v>661274</v>
      </c>
    </row>
    <row r="33">
      <c r="A33" s="7">
        <f>IFERROR(__xludf.DUMMYFUNCTION("""COMPUTED_VALUE"""),45401.64583333333)</f>
        <v>45401.64583</v>
      </c>
      <c r="B33" s="6">
        <f>IFERROR(__xludf.DUMMYFUNCTION("""COMPUTED_VALUE"""),4138.0)</f>
        <v>4138</v>
      </c>
      <c r="C33" s="6">
        <f>IFERROR(__xludf.DUMMYFUNCTION("""COMPUTED_VALUE"""),4240.3)</f>
        <v>4240.3</v>
      </c>
      <c r="D33" s="6">
        <f>IFERROR(__xludf.DUMMYFUNCTION("""COMPUTED_VALUE"""),4021.0)</f>
        <v>4021</v>
      </c>
      <c r="E33" s="6">
        <f>IFERROR(__xludf.DUMMYFUNCTION("""COMPUTED_VALUE"""),4067.55)</f>
        <v>4067.55</v>
      </c>
      <c r="F33" s="6">
        <f>IFERROR(__xludf.DUMMYFUNCTION("""COMPUTED_VALUE"""),415949.0)</f>
        <v>415949</v>
      </c>
    </row>
    <row r="34">
      <c r="A34" s="7">
        <f>IFERROR(__xludf.DUMMYFUNCTION("""COMPUTED_VALUE"""),45408.64583333333)</f>
        <v>45408.64583</v>
      </c>
      <c r="B34" s="6">
        <f>IFERROR(__xludf.DUMMYFUNCTION("""COMPUTED_VALUE"""),4101.5)</f>
        <v>4101.5</v>
      </c>
      <c r="C34" s="6">
        <f>IFERROR(__xludf.DUMMYFUNCTION("""COMPUTED_VALUE"""),4450.0)</f>
        <v>4450</v>
      </c>
      <c r="D34" s="6">
        <f>IFERROR(__xludf.DUMMYFUNCTION("""COMPUTED_VALUE"""),4078.55)</f>
        <v>4078.55</v>
      </c>
      <c r="E34" s="6">
        <f>IFERROR(__xludf.DUMMYFUNCTION("""COMPUTED_VALUE"""),4338.45)</f>
        <v>4338.45</v>
      </c>
      <c r="F34" s="6">
        <f>IFERROR(__xludf.DUMMYFUNCTION("""COMPUTED_VALUE"""),973009.0)</f>
        <v>973009</v>
      </c>
    </row>
    <row r="35">
      <c r="A35" s="7">
        <f>IFERROR(__xludf.DUMMYFUNCTION("""COMPUTED_VALUE"""),45415.64583333333)</f>
        <v>45415.64583</v>
      </c>
      <c r="B35" s="6">
        <f>IFERROR(__xludf.DUMMYFUNCTION("""COMPUTED_VALUE"""),4467.3)</f>
        <v>4467.3</v>
      </c>
      <c r="C35" s="6">
        <f>IFERROR(__xludf.DUMMYFUNCTION("""COMPUTED_VALUE"""),5149.0)</f>
        <v>5149</v>
      </c>
      <c r="D35" s="6">
        <f>IFERROR(__xludf.DUMMYFUNCTION("""COMPUTED_VALUE"""),4467.3)</f>
        <v>4467.3</v>
      </c>
      <c r="E35" s="6">
        <f>IFERROR(__xludf.DUMMYFUNCTION("""COMPUTED_VALUE"""),4957.55)</f>
        <v>4957.55</v>
      </c>
      <c r="F35" s="6">
        <f>IFERROR(__xludf.DUMMYFUNCTION("""COMPUTED_VALUE"""),5014499.0)</f>
        <v>5014499</v>
      </c>
    </row>
    <row r="36">
      <c r="A36" s="7">
        <f>IFERROR(__xludf.DUMMYFUNCTION("""COMPUTED_VALUE"""),45422.64583333333)</f>
        <v>45422.64583</v>
      </c>
      <c r="B36" s="6">
        <f>IFERROR(__xludf.DUMMYFUNCTION("""COMPUTED_VALUE"""),4978.85)</f>
        <v>4978.85</v>
      </c>
      <c r="C36" s="6">
        <f>IFERROR(__xludf.DUMMYFUNCTION("""COMPUTED_VALUE"""),5538.0)</f>
        <v>5538</v>
      </c>
      <c r="D36" s="6">
        <f>IFERROR(__xludf.DUMMYFUNCTION("""COMPUTED_VALUE"""),4928.55)</f>
        <v>4928.55</v>
      </c>
      <c r="E36" s="6">
        <f>IFERROR(__xludf.DUMMYFUNCTION("""COMPUTED_VALUE"""),5277.05)</f>
        <v>5277.05</v>
      </c>
      <c r="F36" s="6">
        <f>IFERROR(__xludf.DUMMYFUNCTION("""COMPUTED_VALUE"""),2542190.0)</f>
        <v>2542190</v>
      </c>
    </row>
    <row r="37">
      <c r="A37" s="7">
        <f>IFERROR(__xludf.DUMMYFUNCTION("""COMPUTED_VALUE"""),45436.64583333333)</f>
        <v>45436.64583</v>
      </c>
      <c r="B37" s="6">
        <f>IFERROR(__xludf.DUMMYFUNCTION("""COMPUTED_VALUE"""),5585.0)</f>
        <v>5585</v>
      </c>
      <c r="C37" s="6">
        <f>IFERROR(__xludf.DUMMYFUNCTION("""COMPUTED_VALUE"""),5620.45)</f>
        <v>5620.45</v>
      </c>
      <c r="D37" s="6">
        <f>IFERROR(__xludf.DUMMYFUNCTION("""COMPUTED_VALUE"""),5401.0)</f>
        <v>5401</v>
      </c>
      <c r="E37" s="6">
        <f>IFERROR(__xludf.DUMMYFUNCTION("""COMPUTED_VALUE"""),5472.65)</f>
        <v>5472.65</v>
      </c>
      <c r="F37" s="6">
        <f>IFERROR(__xludf.DUMMYFUNCTION("""COMPUTED_VALUE"""),570780.0)</f>
        <v>570780</v>
      </c>
    </row>
    <row r="38">
      <c r="A38" s="7">
        <f>IFERROR(__xludf.DUMMYFUNCTION("""COMPUTED_VALUE"""),45443.64583333333)</f>
        <v>45443.64583</v>
      </c>
      <c r="B38" s="6">
        <f>IFERROR(__xludf.DUMMYFUNCTION("""COMPUTED_VALUE"""),5521.95)</f>
        <v>5521.95</v>
      </c>
      <c r="C38" s="6">
        <f>IFERROR(__xludf.DUMMYFUNCTION("""COMPUTED_VALUE"""),5839.8)</f>
        <v>5839.8</v>
      </c>
      <c r="D38" s="6">
        <f>IFERROR(__xludf.DUMMYFUNCTION("""COMPUTED_VALUE"""),5202.0)</f>
        <v>5202</v>
      </c>
      <c r="E38" s="6">
        <f>IFERROR(__xludf.DUMMYFUNCTION("""COMPUTED_VALUE"""),5277.6)</f>
        <v>5277.6</v>
      </c>
      <c r="F38" s="6">
        <f>IFERROR(__xludf.DUMMYFUNCTION("""COMPUTED_VALUE"""),1872957.0)</f>
        <v>1872957</v>
      </c>
    </row>
    <row r="39">
      <c r="A39" s="7">
        <f>IFERROR(__xludf.DUMMYFUNCTION("""COMPUTED_VALUE"""),45450.64583333333)</f>
        <v>45450.64583</v>
      </c>
      <c r="B39" s="6">
        <f>IFERROR(__xludf.DUMMYFUNCTION("""COMPUTED_VALUE"""),5400.0)</f>
        <v>5400</v>
      </c>
      <c r="C39" s="6">
        <f>IFERROR(__xludf.DUMMYFUNCTION("""COMPUTED_VALUE"""),5850.0)</f>
        <v>5850</v>
      </c>
      <c r="D39" s="6">
        <f>IFERROR(__xludf.DUMMYFUNCTION("""COMPUTED_VALUE"""),5196.05)</f>
        <v>5196.05</v>
      </c>
      <c r="E39" s="6">
        <f>IFERROR(__xludf.DUMMYFUNCTION("""COMPUTED_VALUE"""),5748.55)</f>
        <v>5748.55</v>
      </c>
      <c r="F39" s="6">
        <f>IFERROR(__xludf.DUMMYFUNCTION("""COMPUTED_VALUE"""),989719.0)</f>
        <v>989719</v>
      </c>
    </row>
    <row r="40">
      <c r="A40" s="7">
        <f>IFERROR(__xludf.DUMMYFUNCTION("""COMPUTED_VALUE"""),45457.64583333333)</f>
        <v>45457.64583</v>
      </c>
      <c r="B40" s="6">
        <f>IFERROR(__xludf.DUMMYFUNCTION("""COMPUTED_VALUE"""),5927.95)</f>
        <v>5927.95</v>
      </c>
      <c r="C40" s="6">
        <f>IFERROR(__xludf.DUMMYFUNCTION("""COMPUTED_VALUE"""),6460.0)</f>
        <v>6460</v>
      </c>
      <c r="D40" s="6">
        <f>IFERROR(__xludf.DUMMYFUNCTION("""COMPUTED_VALUE"""),5800.1)</f>
        <v>5800.1</v>
      </c>
      <c r="E40" s="6">
        <f>IFERROR(__xludf.DUMMYFUNCTION("""COMPUTED_VALUE"""),6039.55)</f>
        <v>6039.55</v>
      </c>
      <c r="F40" s="6">
        <f>IFERROR(__xludf.DUMMYFUNCTION("""COMPUTED_VALUE"""),1293714.0)</f>
        <v>1293714</v>
      </c>
    </row>
    <row r="41">
      <c r="A41" s="7">
        <f>IFERROR(__xludf.DUMMYFUNCTION("""COMPUTED_VALUE"""),45464.64583333333)</f>
        <v>45464.64583</v>
      </c>
      <c r="B41" s="6">
        <f>IFERROR(__xludf.DUMMYFUNCTION("""COMPUTED_VALUE"""),6079.25)</f>
        <v>6079.25</v>
      </c>
      <c r="C41" s="6">
        <f>IFERROR(__xludf.DUMMYFUNCTION("""COMPUTED_VALUE"""),6309.7)</f>
        <v>6309.7</v>
      </c>
      <c r="D41" s="6">
        <f>IFERROR(__xludf.DUMMYFUNCTION("""COMPUTED_VALUE"""),5830.0)</f>
        <v>5830</v>
      </c>
      <c r="E41" s="6">
        <f>IFERROR(__xludf.DUMMYFUNCTION("""COMPUTED_VALUE"""),5864.55)</f>
        <v>5864.55</v>
      </c>
      <c r="F41" s="6">
        <f>IFERROR(__xludf.DUMMYFUNCTION("""COMPUTED_VALUE"""),674891.0)</f>
        <v>674891</v>
      </c>
    </row>
    <row r="42">
      <c r="A42" s="7">
        <f>IFERROR(__xludf.DUMMYFUNCTION("""COMPUTED_VALUE"""),45471.64583333333)</f>
        <v>45471.64583</v>
      </c>
      <c r="B42" s="6">
        <f>IFERROR(__xludf.DUMMYFUNCTION("""COMPUTED_VALUE"""),5885.1)</f>
        <v>5885.1</v>
      </c>
      <c r="C42" s="6">
        <f>IFERROR(__xludf.DUMMYFUNCTION("""COMPUTED_VALUE"""),6020.5)</f>
        <v>6020.5</v>
      </c>
      <c r="D42" s="6">
        <f>IFERROR(__xludf.DUMMYFUNCTION("""COMPUTED_VALUE"""),5712.95)</f>
        <v>5712.95</v>
      </c>
      <c r="E42" s="6">
        <f>IFERROR(__xludf.DUMMYFUNCTION("""COMPUTED_VALUE"""),5955.9)</f>
        <v>5955.9</v>
      </c>
      <c r="F42" s="6">
        <f>IFERROR(__xludf.DUMMYFUNCTION("""COMPUTED_VALUE"""),777618.0)</f>
        <v>777618</v>
      </c>
    </row>
    <row r="43">
      <c r="A43" s="7">
        <f>IFERROR(__xludf.DUMMYFUNCTION("""COMPUTED_VALUE"""),45478.64583333333)</f>
        <v>45478.64583</v>
      </c>
      <c r="B43" s="6">
        <f>IFERROR(__xludf.DUMMYFUNCTION("""COMPUTED_VALUE"""),5960.2)</f>
        <v>5960.2</v>
      </c>
      <c r="C43" s="6">
        <f>IFERROR(__xludf.DUMMYFUNCTION("""COMPUTED_VALUE"""),6320.35)</f>
        <v>6320.35</v>
      </c>
      <c r="D43" s="6">
        <f>IFERROR(__xludf.DUMMYFUNCTION("""COMPUTED_VALUE"""),5868.0)</f>
        <v>5868</v>
      </c>
      <c r="E43" s="6">
        <f>IFERROR(__xludf.DUMMYFUNCTION("""COMPUTED_VALUE"""),6039.75)</f>
        <v>6039.75</v>
      </c>
      <c r="F43" s="6">
        <f>IFERROR(__xludf.DUMMYFUNCTION("""COMPUTED_VALUE"""),601324.0)</f>
        <v>601324</v>
      </c>
    </row>
    <row r="44">
      <c r="A44" s="7">
        <f>IFERROR(__xludf.DUMMYFUNCTION("""COMPUTED_VALUE"""),45485.64583333333)</f>
        <v>45485.64583</v>
      </c>
      <c r="B44" s="6">
        <f>IFERROR(__xludf.DUMMYFUNCTION("""COMPUTED_VALUE"""),6039.75)</f>
        <v>6039.75</v>
      </c>
      <c r="C44" s="6">
        <f>IFERROR(__xludf.DUMMYFUNCTION("""COMPUTED_VALUE"""),6270.05)</f>
        <v>6270.05</v>
      </c>
      <c r="D44" s="6">
        <f>IFERROR(__xludf.DUMMYFUNCTION("""COMPUTED_VALUE"""),5755.4)</f>
        <v>5755.4</v>
      </c>
      <c r="E44" s="6">
        <f>IFERROR(__xludf.DUMMYFUNCTION("""COMPUTED_VALUE"""),5791.05)</f>
        <v>5791.05</v>
      </c>
      <c r="F44" s="6">
        <f>IFERROR(__xludf.DUMMYFUNCTION("""COMPUTED_VALUE"""),790216.0)</f>
        <v>790216</v>
      </c>
    </row>
    <row r="45">
      <c r="A45" s="7">
        <f>IFERROR(__xludf.DUMMYFUNCTION("""COMPUTED_VALUE"""),45492.64583333333)</f>
        <v>45492.64583</v>
      </c>
      <c r="B45" s="6">
        <f>IFERROR(__xludf.DUMMYFUNCTION("""COMPUTED_VALUE"""),5873.95)</f>
        <v>5873.95</v>
      </c>
      <c r="C45" s="6">
        <f>IFERROR(__xludf.DUMMYFUNCTION("""COMPUTED_VALUE"""),5940.0)</f>
        <v>5940</v>
      </c>
      <c r="D45" s="6">
        <f>IFERROR(__xludf.DUMMYFUNCTION("""COMPUTED_VALUE"""),5610.0)</f>
        <v>5610</v>
      </c>
      <c r="E45" s="6">
        <f>IFERROR(__xludf.DUMMYFUNCTION("""COMPUTED_VALUE"""),5783.8)</f>
        <v>5783.8</v>
      </c>
      <c r="F45" s="6">
        <f>IFERROR(__xludf.DUMMYFUNCTION("""COMPUTED_VALUE"""),982574.0)</f>
        <v>982574</v>
      </c>
    </row>
    <row r="46">
      <c r="A46" s="7">
        <f>IFERROR(__xludf.DUMMYFUNCTION("""COMPUTED_VALUE"""),45499.64583333333)</f>
        <v>45499.64583</v>
      </c>
      <c r="B46" s="6">
        <f>IFERROR(__xludf.DUMMYFUNCTION("""COMPUTED_VALUE"""),5725.0)</f>
        <v>5725</v>
      </c>
      <c r="C46" s="6">
        <f>IFERROR(__xludf.DUMMYFUNCTION("""COMPUTED_VALUE"""),5863.9)</f>
        <v>5863.9</v>
      </c>
      <c r="D46" s="6">
        <f>IFERROR(__xludf.DUMMYFUNCTION("""COMPUTED_VALUE"""),5238.0)</f>
        <v>5238</v>
      </c>
      <c r="E46" s="6">
        <f>IFERROR(__xludf.DUMMYFUNCTION("""COMPUTED_VALUE"""),5439.75)</f>
        <v>5439.75</v>
      </c>
      <c r="F46" s="6">
        <f>IFERROR(__xludf.DUMMYFUNCTION("""COMPUTED_VALUE"""),1152428.0)</f>
        <v>1152428</v>
      </c>
    </row>
    <row r="47">
      <c r="A47" s="7">
        <f>IFERROR(__xludf.DUMMYFUNCTION("""COMPUTED_VALUE"""),45506.64583333333)</f>
        <v>45506.64583</v>
      </c>
      <c r="B47" s="6">
        <f>IFERROR(__xludf.DUMMYFUNCTION("""COMPUTED_VALUE"""),5490.0)</f>
        <v>5490</v>
      </c>
      <c r="C47" s="6">
        <f>IFERROR(__xludf.DUMMYFUNCTION("""COMPUTED_VALUE"""),5490.0)</f>
        <v>5490</v>
      </c>
      <c r="D47" s="6">
        <f>IFERROR(__xludf.DUMMYFUNCTION("""COMPUTED_VALUE"""),5150.05)</f>
        <v>5150.05</v>
      </c>
      <c r="E47" s="6">
        <f>IFERROR(__xludf.DUMMYFUNCTION("""COMPUTED_VALUE"""),5163.0)</f>
        <v>5163</v>
      </c>
      <c r="F47" s="6">
        <f>IFERROR(__xludf.DUMMYFUNCTION("""COMPUTED_VALUE"""),534465.0)</f>
        <v>534465</v>
      </c>
    </row>
    <row r="48">
      <c r="A48" s="7">
        <f>IFERROR(__xludf.DUMMYFUNCTION("""COMPUTED_VALUE"""),45513.64583333333)</f>
        <v>45513.64583</v>
      </c>
      <c r="B48" s="6">
        <f>IFERROR(__xludf.DUMMYFUNCTION("""COMPUTED_VALUE"""),4925.0)</f>
        <v>4925</v>
      </c>
      <c r="C48" s="6">
        <f>IFERROR(__xludf.DUMMYFUNCTION("""COMPUTED_VALUE"""),5326.85)</f>
        <v>5326.85</v>
      </c>
      <c r="D48" s="6">
        <f>IFERROR(__xludf.DUMMYFUNCTION("""COMPUTED_VALUE"""),4920.05)</f>
        <v>4920.05</v>
      </c>
      <c r="E48" s="6">
        <f>IFERROR(__xludf.DUMMYFUNCTION("""COMPUTED_VALUE"""),5132.75)</f>
        <v>5132.75</v>
      </c>
      <c r="F48" s="6">
        <f>IFERROR(__xludf.DUMMYFUNCTION("""COMPUTED_VALUE"""),552772.0)</f>
        <v>552772</v>
      </c>
    </row>
    <row r="49">
      <c r="A49" s="7">
        <f>IFERROR(__xludf.DUMMYFUNCTION("""COMPUTED_VALUE"""),45520.64583333333)</f>
        <v>45520.64583</v>
      </c>
      <c r="B49" s="6">
        <f>IFERROR(__xludf.DUMMYFUNCTION("""COMPUTED_VALUE"""),5129.0)</f>
        <v>5129</v>
      </c>
      <c r="C49" s="6">
        <f>IFERROR(__xludf.DUMMYFUNCTION("""COMPUTED_VALUE"""),5280.0)</f>
        <v>5280</v>
      </c>
      <c r="D49" s="6">
        <f>IFERROR(__xludf.DUMMYFUNCTION("""COMPUTED_VALUE"""),5022.1)</f>
        <v>5022.1</v>
      </c>
      <c r="E49" s="6">
        <f>IFERROR(__xludf.DUMMYFUNCTION("""COMPUTED_VALUE"""),5259.85)</f>
        <v>5259.85</v>
      </c>
      <c r="F49" s="6">
        <f>IFERROR(__xludf.DUMMYFUNCTION("""COMPUTED_VALUE"""),190985.0)</f>
        <v>190985</v>
      </c>
    </row>
    <row r="50">
      <c r="A50" s="7">
        <f>IFERROR(__xludf.DUMMYFUNCTION("""COMPUTED_VALUE"""),45527.64583333333)</f>
        <v>45527.64583</v>
      </c>
      <c r="B50" s="6">
        <f>IFERROR(__xludf.DUMMYFUNCTION("""COMPUTED_VALUE"""),5278.75)</f>
        <v>5278.75</v>
      </c>
      <c r="C50" s="6">
        <f>IFERROR(__xludf.DUMMYFUNCTION("""COMPUTED_VALUE"""),5720.0)</f>
        <v>5720</v>
      </c>
      <c r="D50" s="6">
        <f>IFERROR(__xludf.DUMMYFUNCTION("""COMPUTED_VALUE"""),5222.05)</f>
        <v>5222.05</v>
      </c>
      <c r="E50" s="6">
        <f>IFERROR(__xludf.DUMMYFUNCTION("""COMPUTED_VALUE"""),5506.15)</f>
        <v>5506.15</v>
      </c>
      <c r="F50" s="6">
        <f>IFERROR(__xludf.DUMMYFUNCTION("""COMPUTED_VALUE"""),586357.0)</f>
        <v>586357</v>
      </c>
    </row>
    <row r="51">
      <c r="A51" s="7">
        <f>IFERROR(__xludf.DUMMYFUNCTION("""COMPUTED_VALUE"""),45534.64583333333)</f>
        <v>45534.64583</v>
      </c>
      <c r="B51" s="6">
        <f>IFERROR(__xludf.DUMMYFUNCTION("""COMPUTED_VALUE"""),5494.0)</f>
        <v>5494</v>
      </c>
      <c r="C51" s="6">
        <f>IFERROR(__xludf.DUMMYFUNCTION("""COMPUTED_VALUE"""),5494.0)</f>
        <v>5494</v>
      </c>
      <c r="D51" s="6">
        <f>IFERROR(__xludf.DUMMYFUNCTION("""COMPUTED_VALUE"""),5225.1)</f>
        <v>5225.1</v>
      </c>
      <c r="E51" s="6">
        <f>IFERROR(__xludf.DUMMYFUNCTION("""COMPUTED_VALUE"""),5284.75)</f>
        <v>5284.75</v>
      </c>
      <c r="F51" s="6">
        <f>IFERROR(__xludf.DUMMYFUNCTION("""COMPUTED_VALUE"""),519592.0)</f>
        <v>519592</v>
      </c>
    </row>
    <row r="52">
      <c r="A52" s="7">
        <f>IFERROR(__xludf.DUMMYFUNCTION("""COMPUTED_VALUE"""),45541.64583333333)</f>
        <v>45541.64583</v>
      </c>
      <c r="B52" s="6">
        <f>IFERROR(__xludf.DUMMYFUNCTION("""COMPUTED_VALUE"""),5300.05)</f>
        <v>5300.05</v>
      </c>
      <c r="C52" s="6">
        <f>IFERROR(__xludf.DUMMYFUNCTION("""COMPUTED_VALUE"""),5480.0)</f>
        <v>5480</v>
      </c>
      <c r="D52" s="6">
        <f>IFERROR(__xludf.DUMMYFUNCTION("""COMPUTED_VALUE"""),5154.45)</f>
        <v>5154.45</v>
      </c>
      <c r="E52" s="6">
        <f>IFERROR(__xludf.DUMMYFUNCTION("""COMPUTED_VALUE"""),5315.85)</f>
        <v>5315.85</v>
      </c>
      <c r="F52" s="6">
        <f>IFERROR(__xludf.DUMMYFUNCTION("""COMPUTED_VALUE"""),771855.0)</f>
        <v>771855</v>
      </c>
    </row>
    <row r="53">
      <c r="A53" s="7">
        <f>IFERROR(__xludf.DUMMYFUNCTION("""COMPUTED_VALUE"""),45548.64583333333)</f>
        <v>45548.64583</v>
      </c>
      <c r="B53" s="6">
        <f>IFERROR(__xludf.DUMMYFUNCTION("""COMPUTED_VALUE"""),5357.25)</f>
        <v>5357.25</v>
      </c>
      <c r="C53" s="6">
        <f>IFERROR(__xludf.DUMMYFUNCTION("""COMPUTED_VALUE"""),5491.0)</f>
        <v>5491</v>
      </c>
      <c r="D53" s="6">
        <f>IFERROR(__xludf.DUMMYFUNCTION("""COMPUTED_VALUE"""),5200.0)</f>
        <v>5200</v>
      </c>
      <c r="E53" s="6">
        <f>IFERROR(__xludf.DUMMYFUNCTION("""COMPUTED_VALUE"""),5268.85)</f>
        <v>5268.85</v>
      </c>
      <c r="F53" s="6">
        <f>IFERROR(__xludf.DUMMYFUNCTION("""COMPUTED_VALUE"""),596573.0)</f>
        <v>596573</v>
      </c>
    </row>
    <row r="54">
      <c r="A54" s="7">
        <f>IFERROR(__xludf.DUMMYFUNCTION("""COMPUTED_VALUE"""),45555.64583333333)</f>
        <v>45555.64583</v>
      </c>
      <c r="B54" s="6">
        <f>IFERROR(__xludf.DUMMYFUNCTION("""COMPUTED_VALUE"""),5270.0)</f>
        <v>5270</v>
      </c>
      <c r="C54" s="6">
        <f>IFERROR(__xludf.DUMMYFUNCTION("""COMPUTED_VALUE"""),5615.0)</f>
        <v>5615</v>
      </c>
      <c r="D54" s="6">
        <f>IFERROR(__xludf.DUMMYFUNCTION("""COMPUTED_VALUE"""),5269.0)</f>
        <v>5269</v>
      </c>
      <c r="E54" s="6">
        <f>IFERROR(__xludf.DUMMYFUNCTION("""COMPUTED_VALUE"""),5533.5)</f>
        <v>5533.5</v>
      </c>
      <c r="F54" s="6">
        <f>IFERROR(__xludf.DUMMYFUNCTION("""COMPUTED_VALUE"""),638635.0)</f>
        <v>638635</v>
      </c>
    </row>
    <row r="55">
      <c r="A55" s="7">
        <f>IFERROR(__xludf.DUMMYFUNCTION("""COMPUTED_VALUE"""),45562.64583333333)</f>
        <v>45562.64583</v>
      </c>
      <c r="B55" s="6">
        <f>IFERROR(__xludf.DUMMYFUNCTION("""COMPUTED_VALUE"""),5533.5)</f>
        <v>5533.5</v>
      </c>
      <c r="C55" s="6">
        <f>IFERROR(__xludf.DUMMYFUNCTION("""COMPUTED_VALUE"""),5545.45)</f>
        <v>5545.45</v>
      </c>
      <c r="D55" s="6">
        <f>IFERROR(__xludf.DUMMYFUNCTION("""COMPUTED_VALUE"""),5201.0)</f>
        <v>5201</v>
      </c>
      <c r="E55" s="6">
        <f>IFERROR(__xludf.DUMMYFUNCTION("""COMPUTED_VALUE"""),5266.75)</f>
        <v>5266.75</v>
      </c>
      <c r="F55" s="6">
        <f>IFERROR(__xludf.DUMMYFUNCTION("""COMPUTED_VALUE"""),592962.0)</f>
        <v>592962</v>
      </c>
    </row>
    <row r="56">
      <c r="A56" s="7">
        <f>IFERROR(__xludf.DUMMYFUNCTION("""COMPUTED_VALUE"""),45569.64583333333)</f>
        <v>45569.64583</v>
      </c>
      <c r="B56" s="6">
        <f>IFERROR(__xludf.DUMMYFUNCTION("""COMPUTED_VALUE"""),5262.0)</f>
        <v>5262</v>
      </c>
      <c r="C56" s="6">
        <f>IFERROR(__xludf.DUMMYFUNCTION("""COMPUTED_VALUE"""),5431.85)</f>
        <v>5431.85</v>
      </c>
      <c r="D56" s="6">
        <f>IFERROR(__xludf.DUMMYFUNCTION("""COMPUTED_VALUE"""),5121.5)</f>
        <v>5121.5</v>
      </c>
      <c r="E56" s="6">
        <f>IFERROR(__xludf.DUMMYFUNCTION("""COMPUTED_VALUE"""),5283.7)</f>
        <v>5283.7</v>
      </c>
      <c r="F56" s="6">
        <f>IFERROR(__xludf.DUMMYFUNCTION("""COMPUTED_VALUE"""),446499.0)</f>
        <v>446499</v>
      </c>
    </row>
    <row r="57">
      <c r="A57" s="7">
        <f>IFERROR(__xludf.DUMMYFUNCTION("""COMPUTED_VALUE"""),45576.64583333333)</f>
        <v>45576.64583</v>
      </c>
      <c r="B57" s="6">
        <f>IFERROR(__xludf.DUMMYFUNCTION("""COMPUTED_VALUE"""),5348.95)</f>
        <v>5348.95</v>
      </c>
      <c r="C57" s="6">
        <f>IFERROR(__xludf.DUMMYFUNCTION("""COMPUTED_VALUE"""),5580.0)</f>
        <v>5580</v>
      </c>
      <c r="D57" s="6">
        <f>IFERROR(__xludf.DUMMYFUNCTION("""COMPUTED_VALUE"""),5219.0)</f>
        <v>5219</v>
      </c>
      <c r="E57" s="6">
        <f>IFERROR(__xludf.DUMMYFUNCTION("""COMPUTED_VALUE"""),5224.4)</f>
        <v>5224.4</v>
      </c>
      <c r="F57" s="6">
        <f>IFERROR(__xludf.DUMMYFUNCTION("""COMPUTED_VALUE"""),556271.0)</f>
        <v>556271</v>
      </c>
    </row>
    <row r="58">
      <c r="A58" s="7">
        <f>IFERROR(__xludf.DUMMYFUNCTION("""COMPUTED_VALUE"""),45583.64583333333)</f>
        <v>45583.64583</v>
      </c>
      <c r="B58" s="6">
        <f>IFERROR(__xludf.DUMMYFUNCTION("""COMPUTED_VALUE"""),5200.0)</f>
        <v>5200</v>
      </c>
      <c r="C58" s="6">
        <f>IFERROR(__xludf.DUMMYFUNCTION("""COMPUTED_VALUE"""),5397.0)</f>
        <v>5397</v>
      </c>
      <c r="D58" s="6">
        <f>IFERROR(__xludf.DUMMYFUNCTION("""COMPUTED_VALUE"""),4935.05)</f>
        <v>4935.05</v>
      </c>
      <c r="E58" s="6">
        <f>IFERROR(__xludf.DUMMYFUNCTION("""COMPUTED_VALUE"""),5060.35)</f>
        <v>5060.35</v>
      </c>
      <c r="F58" s="6">
        <f>IFERROR(__xludf.DUMMYFUNCTION("""COMPUTED_VALUE"""),394458.0)</f>
        <v>394458</v>
      </c>
    </row>
    <row r="59">
      <c r="A59" s="7">
        <f>IFERROR(__xludf.DUMMYFUNCTION("""COMPUTED_VALUE"""),45590.64583333333)</f>
        <v>45590.64583</v>
      </c>
      <c r="B59" s="6">
        <f>IFERROR(__xludf.DUMMYFUNCTION("""COMPUTED_VALUE"""),5070.0)</f>
        <v>5070</v>
      </c>
      <c r="C59" s="6">
        <f>IFERROR(__xludf.DUMMYFUNCTION("""COMPUTED_VALUE"""),5136.25)</f>
        <v>5136.25</v>
      </c>
      <c r="D59" s="6">
        <f>IFERROR(__xludf.DUMMYFUNCTION("""COMPUTED_VALUE"""),4180.0)</f>
        <v>4180</v>
      </c>
      <c r="E59" s="6">
        <f>IFERROR(__xludf.DUMMYFUNCTION("""COMPUTED_VALUE"""),4290.25)</f>
        <v>4290.25</v>
      </c>
      <c r="F59" s="6">
        <f>IFERROR(__xludf.DUMMYFUNCTION("""COMPUTED_VALUE"""),1568032.0)</f>
        <v>1568032</v>
      </c>
    </row>
    <row r="60">
      <c r="A60" s="7">
        <f>IFERROR(__xludf.DUMMYFUNCTION("""COMPUTED_VALUE"""),45604.64583333333)</f>
        <v>45604.64583</v>
      </c>
      <c r="B60" s="6">
        <f>IFERROR(__xludf.DUMMYFUNCTION("""COMPUTED_VALUE"""),4338.95)</f>
        <v>4338.95</v>
      </c>
      <c r="C60" s="6">
        <f>IFERROR(__xludf.DUMMYFUNCTION("""COMPUTED_VALUE"""),4750.0)</f>
        <v>4750</v>
      </c>
      <c r="D60" s="6">
        <f>IFERROR(__xludf.DUMMYFUNCTION("""COMPUTED_VALUE"""),4162.6)</f>
        <v>4162.6</v>
      </c>
      <c r="E60" s="6">
        <f>IFERROR(__xludf.DUMMYFUNCTION("""COMPUTED_VALUE"""),4597.85)</f>
        <v>4597.85</v>
      </c>
      <c r="F60" s="6">
        <f>IFERROR(__xludf.DUMMYFUNCTION("""COMPUTED_VALUE"""),1484699.0)</f>
        <v>1484699</v>
      </c>
    </row>
    <row r="61">
      <c r="A61" s="7">
        <f>IFERROR(__xludf.DUMMYFUNCTION("""COMPUTED_VALUE"""),45610.64583333333)</f>
        <v>45610.64583</v>
      </c>
      <c r="B61" s="6">
        <f>IFERROR(__xludf.DUMMYFUNCTION("""COMPUTED_VALUE"""),4584.0)</f>
        <v>4584</v>
      </c>
      <c r="C61" s="6">
        <f>IFERROR(__xludf.DUMMYFUNCTION("""COMPUTED_VALUE"""),4781.0)</f>
        <v>4781</v>
      </c>
      <c r="D61" s="6">
        <f>IFERROR(__xludf.DUMMYFUNCTION("""COMPUTED_VALUE"""),4420.0)</f>
        <v>4420</v>
      </c>
      <c r="E61" s="6">
        <f>IFERROR(__xludf.DUMMYFUNCTION("""COMPUTED_VALUE"""),4543.25)</f>
        <v>4543.25</v>
      </c>
      <c r="F61" s="6">
        <f>IFERROR(__xludf.DUMMYFUNCTION("""COMPUTED_VALUE"""),636480.0)</f>
        <v>636480</v>
      </c>
    </row>
    <row r="62">
      <c r="A62" s="7">
        <f>IFERROR(__xludf.DUMMYFUNCTION("""COMPUTED_VALUE"""),45618.64583333333)</f>
        <v>45618.64583</v>
      </c>
      <c r="B62" s="6">
        <f>IFERROR(__xludf.DUMMYFUNCTION("""COMPUTED_VALUE"""),4615.7)</f>
        <v>4615.7</v>
      </c>
      <c r="C62" s="6">
        <f>IFERROR(__xludf.DUMMYFUNCTION("""COMPUTED_VALUE"""),4684.0)</f>
        <v>4684</v>
      </c>
      <c r="D62" s="6">
        <f>IFERROR(__xludf.DUMMYFUNCTION("""COMPUTED_VALUE"""),4479.2)</f>
        <v>4479.2</v>
      </c>
      <c r="E62" s="6">
        <f>IFERROR(__xludf.DUMMYFUNCTION("""COMPUTED_VALUE"""),4549.6)</f>
        <v>4549.6</v>
      </c>
      <c r="F62" s="6">
        <f>IFERROR(__xludf.DUMMYFUNCTION("""COMPUTED_VALUE"""),479655.0)</f>
        <v>479655</v>
      </c>
    </row>
    <row r="63">
      <c r="A63" s="7">
        <f>IFERROR(__xludf.DUMMYFUNCTION("""COMPUTED_VALUE"""),45625.64583333333)</f>
        <v>45625.64583</v>
      </c>
      <c r="B63" s="6">
        <f>IFERROR(__xludf.DUMMYFUNCTION("""COMPUTED_VALUE"""),4553.0)</f>
        <v>4553</v>
      </c>
      <c r="C63" s="6">
        <f>IFERROR(__xludf.DUMMYFUNCTION("""COMPUTED_VALUE"""),4781.0)</f>
        <v>4781</v>
      </c>
      <c r="D63" s="6">
        <f>IFERROR(__xludf.DUMMYFUNCTION("""COMPUTED_VALUE"""),4455.0)</f>
        <v>4455</v>
      </c>
      <c r="E63" s="6">
        <f>IFERROR(__xludf.DUMMYFUNCTION("""COMPUTED_VALUE"""),4651.1)</f>
        <v>4651.1</v>
      </c>
      <c r="F63" s="6">
        <f>IFERROR(__xludf.DUMMYFUNCTION("""COMPUTED_VALUE"""),815911.0)</f>
        <v>815911</v>
      </c>
    </row>
    <row r="64">
      <c r="A64" s="7">
        <f>IFERROR(__xludf.DUMMYFUNCTION("""COMPUTED_VALUE"""),45632.64583333333)</f>
        <v>45632.64583</v>
      </c>
      <c r="B64" s="6">
        <f>IFERROR(__xludf.DUMMYFUNCTION("""COMPUTED_VALUE"""),4595.0)</f>
        <v>4595</v>
      </c>
      <c r="C64" s="6">
        <f>IFERROR(__xludf.DUMMYFUNCTION("""COMPUTED_VALUE"""),4849.95)</f>
        <v>4849.95</v>
      </c>
      <c r="D64" s="6">
        <f>IFERROR(__xludf.DUMMYFUNCTION("""COMPUTED_VALUE"""),4595.0)</f>
        <v>4595</v>
      </c>
      <c r="E64" s="6">
        <f>IFERROR(__xludf.DUMMYFUNCTION("""COMPUTED_VALUE"""),4738.4)</f>
        <v>4738.4</v>
      </c>
      <c r="F64" s="6">
        <f>IFERROR(__xludf.DUMMYFUNCTION("""COMPUTED_VALUE"""),1993713.0)</f>
        <v>1993713</v>
      </c>
    </row>
    <row r="65">
      <c r="A65" s="7">
        <f>IFERROR(__xludf.DUMMYFUNCTION("""COMPUTED_VALUE"""),45639.64583333333)</f>
        <v>45639.64583</v>
      </c>
      <c r="B65" s="6">
        <f>IFERROR(__xludf.DUMMYFUNCTION("""COMPUTED_VALUE"""),4740.5)</f>
        <v>4740.5</v>
      </c>
      <c r="C65" s="6">
        <f>IFERROR(__xludf.DUMMYFUNCTION("""COMPUTED_VALUE"""),5068.15)</f>
        <v>5068.15</v>
      </c>
      <c r="D65" s="6">
        <f>IFERROR(__xludf.DUMMYFUNCTION("""COMPUTED_VALUE"""),4738.55)</f>
        <v>4738.55</v>
      </c>
      <c r="E65" s="6">
        <f>IFERROR(__xludf.DUMMYFUNCTION("""COMPUTED_VALUE"""),4803.8)</f>
        <v>4803.8</v>
      </c>
      <c r="F65" s="6">
        <f>IFERROR(__xludf.DUMMYFUNCTION("""COMPUTED_VALUE"""),1244756.0)</f>
        <v>1244756</v>
      </c>
    </row>
    <row r="66">
      <c r="A66" s="7">
        <f>IFERROR(__xludf.DUMMYFUNCTION("""COMPUTED_VALUE"""),45646.64583333333)</f>
        <v>45646.64583</v>
      </c>
      <c r="B66" s="6">
        <f>IFERROR(__xludf.DUMMYFUNCTION("""COMPUTED_VALUE"""),4824.0)</f>
        <v>4824</v>
      </c>
      <c r="C66" s="6">
        <f>IFERROR(__xludf.DUMMYFUNCTION("""COMPUTED_VALUE"""),5156.75)</f>
        <v>5156.75</v>
      </c>
      <c r="D66" s="6">
        <f>IFERROR(__xludf.DUMMYFUNCTION("""COMPUTED_VALUE"""),4794.8)</f>
        <v>4794.8</v>
      </c>
      <c r="E66" s="6">
        <f>IFERROR(__xludf.DUMMYFUNCTION("""COMPUTED_VALUE"""),4839.8)</f>
        <v>4839.8</v>
      </c>
      <c r="F66" s="6">
        <f>IFERROR(__xludf.DUMMYFUNCTION("""COMPUTED_VALUE"""),1558049.0)</f>
        <v>1558049</v>
      </c>
    </row>
    <row r="67">
      <c r="A67" s="7">
        <f>IFERROR(__xludf.DUMMYFUNCTION("""COMPUTED_VALUE"""),45653.64583333333)</f>
        <v>45653.64583</v>
      </c>
      <c r="B67" s="6">
        <f>IFERROR(__xludf.DUMMYFUNCTION("""COMPUTED_VALUE"""),4845.0)</f>
        <v>4845</v>
      </c>
      <c r="C67" s="6">
        <f>IFERROR(__xludf.DUMMYFUNCTION("""COMPUTED_VALUE"""),4861.45)</f>
        <v>4861.45</v>
      </c>
      <c r="D67" s="6">
        <f>IFERROR(__xludf.DUMMYFUNCTION("""COMPUTED_VALUE"""),4656.7)</f>
        <v>4656.7</v>
      </c>
      <c r="E67" s="6">
        <f>IFERROR(__xludf.DUMMYFUNCTION("""COMPUTED_VALUE"""),4777.35)</f>
        <v>4777.35</v>
      </c>
      <c r="F67" s="6">
        <f>IFERROR(__xludf.DUMMYFUNCTION("""COMPUTED_VALUE"""),404936.0)</f>
        <v>404936</v>
      </c>
    </row>
    <row r="68">
      <c r="A68" s="7">
        <f>IFERROR(__xludf.DUMMYFUNCTION("""COMPUTED_VALUE"""),45660.64583333333)</f>
        <v>45660.64583</v>
      </c>
      <c r="B68" s="6">
        <f>IFERROR(__xludf.DUMMYFUNCTION("""COMPUTED_VALUE"""),4733.9)</f>
        <v>4733.9</v>
      </c>
      <c r="C68" s="6">
        <f>IFERROR(__xludf.DUMMYFUNCTION("""COMPUTED_VALUE"""),4817.95)</f>
        <v>4817.95</v>
      </c>
      <c r="D68" s="6">
        <f>IFERROR(__xludf.DUMMYFUNCTION("""COMPUTED_VALUE"""),4576.5)</f>
        <v>4576.5</v>
      </c>
      <c r="E68" s="6">
        <f>IFERROR(__xludf.DUMMYFUNCTION("""COMPUTED_VALUE"""),4615.15)</f>
        <v>4615.15</v>
      </c>
      <c r="F68" s="6">
        <f>IFERROR(__xludf.DUMMYFUNCTION("""COMPUTED_VALUE"""),1019187.0)</f>
        <v>1019187</v>
      </c>
    </row>
    <row r="69">
      <c r="A69" s="7">
        <f>IFERROR(__xludf.DUMMYFUNCTION("""COMPUTED_VALUE"""),45667.64583333333)</f>
        <v>45667.64583</v>
      </c>
      <c r="B69" s="6">
        <f>IFERROR(__xludf.DUMMYFUNCTION("""COMPUTED_VALUE"""),4650.15)</f>
        <v>4650.15</v>
      </c>
      <c r="C69" s="6">
        <f>IFERROR(__xludf.DUMMYFUNCTION("""COMPUTED_VALUE"""),4701.3)</f>
        <v>4701.3</v>
      </c>
      <c r="D69" s="6">
        <f>IFERROR(__xludf.DUMMYFUNCTION("""COMPUTED_VALUE"""),4440.0)</f>
        <v>4440</v>
      </c>
      <c r="E69" s="6">
        <f>IFERROR(__xludf.DUMMYFUNCTION("""COMPUTED_VALUE"""),4544.85)</f>
        <v>4544.85</v>
      </c>
      <c r="F69" s="6">
        <f>IFERROR(__xludf.DUMMYFUNCTION("""COMPUTED_VALUE"""),869903.0)</f>
        <v>869903</v>
      </c>
    </row>
    <row r="70">
      <c r="A70" s="7">
        <f>IFERROR(__xludf.DUMMYFUNCTION("""COMPUTED_VALUE"""),45674.64583333333)</f>
        <v>45674.64583</v>
      </c>
      <c r="B70" s="6">
        <f>IFERROR(__xludf.DUMMYFUNCTION("""COMPUTED_VALUE"""),4400.0)</f>
        <v>4400</v>
      </c>
      <c r="C70" s="6">
        <f>IFERROR(__xludf.DUMMYFUNCTION("""COMPUTED_VALUE"""),4503.9)</f>
        <v>4503.9</v>
      </c>
      <c r="D70" s="6">
        <f>IFERROR(__xludf.DUMMYFUNCTION("""COMPUTED_VALUE"""),4184.8)</f>
        <v>4184.8</v>
      </c>
      <c r="E70" s="6">
        <f>IFERROR(__xludf.DUMMYFUNCTION("""COMPUTED_VALUE"""),4204.25)</f>
        <v>4204.25</v>
      </c>
      <c r="F70" s="6">
        <f>IFERROR(__xludf.DUMMYFUNCTION("""COMPUTED_VALUE"""),660427.0)</f>
        <v>660427</v>
      </c>
    </row>
    <row r="71">
      <c r="A71" s="7">
        <f>IFERROR(__xludf.DUMMYFUNCTION("""COMPUTED_VALUE"""),45681.64583333333)</f>
        <v>45681.64583</v>
      </c>
      <c r="B71" s="6">
        <f>IFERROR(__xludf.DUMMYFUNCTION("""COMPUTED_VALUE"""),4200.0)</f>
        <v>4200</v>
      </c>
      <c r="C71" s="6">
        <f>IFERROR(__xludf.DUMMYFUNCTION("""COMPUTED_VALUE"""),4258.45)</f>
        <v>4258.45</v>
      </c>
      <c r="D71" s="6">
        <f>IFERROR(__xludf.DUMMYFUNCTION("""COMPUTED_VALUE"""),3787.35)</f>
        <v>3787.35</v>
      </c>
      <c r="E71" s="6">
        <f>IFERROR(__xludf.DUMMYFUNCTION("""COMPUTED_VALUE"""),3803.2)</f>
        <v>3803.2</v>
      </c>
      <c r="F71" s="6">
        <f>IFERROR(__xludf.DUMMYFUNCTION("""COMPUTED_VALUE"""),2235926.0)</f>
        <v>2235926</v>
      </c>
    </row>
    <row r="72">
      <c r="A72" s="7">
        <f>IFERROR(__xludf.DUMMYFUNCTION("""COMPUTED_VALUE"""),45695.64583333333)</f>
        <v>45695.64583</v>
      </c>
      <c r="B72" s="6">
        <f>IFERROR(__xludf.DUMMYFUNCTION("""COMPUTED_VALUE"""),3755.35)</f>
        <v>3755.35</v>
      </c>
      <c r="C72" s="6">
        <f>IFERROR(__xludf.DUMMYFUNCTION("""COMPUTED_VALUE"""),4075.0)</f>
        <v>4075</v>
      </c>
      <c r="D72" s="6">
        <f>IFERROR(__xludf.DUMMYFUNCTION("""COMPUTED_VALUE"""),3693.3)</f>
        <v>3693.3</v>
      </c>
      <c r="E72" s="6">
        <f>IFERROR(__xludf.DUMMYFUNCTION("""COMPUTED_VALUE"""),4020.0)</f>
        <v>4020</v>
      </c>
      <c r="F72" s="6">
        <f>IFERROR(__xludf.DUMMYFUNCTION("""COMPUTED_VALUE"""),1442390.0)</f>
        <v>1442390</v>
      </c>
    </row>
    <row r="73">
      <c r="A73" s="7">
        <f>IFERROR(__xludf.DUMMYFUNCTION("""COMPUTED_VALUE"""),45702.64583333333)</f>
        <v>45702.64583</v>
      </c>
      <c r="B73" s="6">
        <f>IFERROR(__xludf.DUMMYFUNCTION("""COMPUTED_VALUE"""),4030.0)</f>
        <v>4030</v>
      </c>
      <c r="C73" s="6">
        <f>IFERROR(__xludf.DUMMYFUNCTION("""COMPUTED_VALUE"""),4035.0)</f>
        <v>4035</v>
      </c>
      <c r="D73" s="6">
        <f>IFERROR(__xludf.DUMMYFUNCTION("""COMPUTED_VALUE"""),3688.25)</f>
        <v>3688.25</v>
      </c>
      <c r="E73" s="6">
        <f>IFERROR(__xludf.DUMMYFUNCTION("""COMPUTED_VALUE"""),3765.25)</f>
        <v>3765.25</v>
      </c>
      <c r="F73" s="6">
        <f>IFERROR(__xludf.DUMMYFUNCTION("""COMPUTED_VALUE"""),559610.0)</f>
        <v>559610</v>
      </c>
    </row>
    <row r="74">
      <c r="A74" s="7">
        <f>IFERROR(__xludf.DUMMYFUNCTION("""COMPUTED_VALUE"""),45709.64583333333)</f>
        <v>45709.64583</v>
      </c>
      <c r="B74" s="6">
        <f>IFERROR(__xludf.DUMMYFUNCTION("""COMPUTED_VALUE"""),3700.05)</f>
        <v>3700.05</v>
      </c>
      <c r="C74" s="6">
        <f>IFERROR(__xludf.DUMMYFUNCTION("""COMPUTED_VALUE"""),3825.95)</f>
        <v>3825.95</v>
      </c>
      <c r="D74" s="6">
        <f>IFERROR(__xludf.DUMMYFUNCTION("""COMPUTED_VALUE"""),3528.7)</f>
        <v>3528.7</v>
      </c>
      <c r="E74" s="6">
        <f>IFERROR(__xludf.DUMMYFUNCTION("""COMPUTED_VALUE"""),3670.05)</f>
        <v>3670.05</v>
      </c>
      <c r="F74" s="6">
        <f>IFERROR(__xludf.DUMMYFUNCTION("""COMPUTED_VALUE"""),1052527.0)</f>
        <v>1052527</v>
      </c>
    </row>
    <row r="75">
      <c r="A75" s="7">
        <f>IFERROR(__xludf.DUMMYFUNCTION("""COMPUTED_VALUE"""),45716.64583333333)</f>
        <v>45716.64583</v>
      </c>
      <c r="B75" s="6">
        <f>IFERROR(__xludf.DUMMYFUNCTION("""COMPUTED_VALUE"""),3634.0)</f>
        <v>3634</v>
      </c>
      <c r="C75" s="6">
        <f>IFERROR(__xludf.DUMMYFUNCTION("""COMPUTED_VALUE"""),3775.0)</f>
        <v>3775</v>
      </c>
      <c r="D75" s="6">
        <f>IFERROR(__xludf.DUMMYFUNCTION("""COMPUTED_VALUE"""),3316.0)</f>
        <v>3316</v>
      </c>
      <c r="E75" s="6">
        <f>IFERROR(__xludf.DUMMYFUNCTION("""COMPUTED_VALUE"""),3329.0)</f>
        <v>3329</v>
      </c>
      <c r="F75" s="6">
        <f>IFERROR(__xludf.DUMMYFUNCTION("""COMPUTED_VALUE"""),1051900.0)</f>
        <v>1051900</v>
      </c>
    </row>
    <row r="76">
      <c r="A76" s="7">
        <f>IFERROR(__xludf.DUMMYFUNCTION("""COMPUTED_VALUE"""),45723.64583333333)</f>
        <v>45723.64583</v>
      </c>
      <c r="B76" s="6">
        <f>IFERROR(__xludf.DUMMYFUNCTION("""COMPUTED_VALUE"""),3349.3)</f>
        <v>3349.3</v>
      </c>
      <c r="C76" s="6">
        <f>IFERROR(__xludf.DUMMYFUNCTION("""COMPUTED_VALUE"""),3568.95)</f>
        <v>3568.95</v>
      </c>
      <c r="D76" s="6">
        <f>IFERROR(__xludf.DUMMYFUNCTION("""COMPUTED_VALUE"""),3284.45)</f>
        <v>3284.45</v>
      </c>
      <c r="E76" s="6">
        <f>IFERROR(__xludf.DUMMYFUNCTION("""COMPUTED_VALUE"""),3390.45)</f>
        <v>3390.45</v>
      </c>
      <c r="F76" s="6">
        <f>IFERROR(__xludf.DUMMYFUNCTION("""COMPUTED_VALUE"""),1551294.0)</f>
        <v>1551294</v>
      </c>
    </row>
    <row r="77">
      <c r="A77" s="7">
        <f>IFERROR(__xludf.DUMMYFUNCTION("""COMPUTED_VALUE"""),45729.64583333333)</f>
        <v>45729.64583</v>
      </c>
      <c r="B77" s="6">
        <f>IFERROR(__xludf.DUMMYFUNCTION("""COMPUTED_VALUE"""),3408.0)</f>
        <v>3408</v>
      </c>
      <c r="C77" s="6">
        <f>IFERROR(__xludf.DUMMYFUNCTION("""COMPUTED_VALUE"""),3477.8)</f>
        <v>3477.8</v>
      </c>
      <c r="D77" s="6">
        <f>IFERROR(__xludf.DUMMYFUNCTION("""COMPUTED_VALUE"""),3281.0)</f>
        <v>3281</v>
      </c>
      <c r="E77" s="6">
        <f>IFERROR(__xludf.DUMMYFUNCTION("""COMPUTED_VALUE"""),3343.75)</f>
        <v>3343.75</v>
      </c>
      <c r="F77" s="6">
        <f>IFERROR(__xludf.DUMMYFUNCTION("""COMPUTED_VALUE"""),719155.0)</f>
        <v>719155</v>
      </c>
    </row>
    <row r="78">
      <c r="A78" s="7">
        <f>IFERROR(__xludf.DUMMYFUNCTION("""COMPUTED_VALUE"""),45737.64583333333)</f>
        <v>45737.64583</v>
      </c>
      <c r="B78" s="6">
        <f>IFERROR(__xludf.DUMMYFUNCTION("""COMPUTED_VALUE"""),3353.95)</f>
        <v>3353.95</v>
      </c>
      <c r="C78" s="6">
        <f>IFERROR(__xludf.DUMMYFUNCTION("""COMPUTED_VALUE"""),3550.0)</f>
        <v>3550</v>
      </c>
      <c r="D78" s="6">
        <f>IFERROR(__xludf.DUMMYFUNCTION("""COMPUTED_VALUE"""),3346.75)</f>
        <v>3346.75</v>
      </c>
      <c r="E78" s="6">
        <f>IFERROR(__xludf.DUMMYFUNCTION("""COMPUTED_VALUE"""),3427.85)</f>
        <v>3427.85</v>
      </c>
      <c r="F78" s="6">
        <f>IFERROR(__xludf.DUMMYFUNCTION("""COMPUTED_VALUE"""),1030148.0)</f>
        <v>1030148</v>
      </c>
    </row>
    <row r="79">
      <c r="A79" s="7">
        <f>IFERROR(__xludf.DUMMYFUNCTION("""COMPUTED_VALUE"""),45744.64583333333)</f>
        <v>45744.64583</v>
      </c>
      <c r="B79" s="6">
        <f>IFERROR(__xludf.DUMMYFUNCTION("""COMPUTED_VALUE"""),3480.0)</f>
        <v>3480</v>
      </c>
      <c r="C79" s="6">
        <f>IFERROR(__xludf.DUMMYFUNCTION("""COMPUTED_VALUE"""),3594.0)</f>
        <v>3594</v>
      </c>
      <c r="D79" s="6">
        <f>IFERROR(__xludf.DUMMYFUNCTION("""COMPUTED_VALUE"""),3372.3)</f>
        <v>3372.3</v>
      </c>
      <c r="E79" s="6">
        <f>IFERROR(__xludf.DUMMYFUNCTION("""COMPUTED_VALUE"""),3426.25)</f>
        <v>3426.25</v>
      </c>
      <c r="F79" s="6">
        <f>IFERROR(__xludf.DUMMYFUNCTION("""COMPUTED_VALUE"""),790903.0)</f>
        <v>790903</v>
      </c>
    </row>
    <row r="80">
      <c r="A80" s="7">
        <f>IFERROR(__xludf.DUMMYFUNCTION("""COMPUTED_VALUE"""),45751.64583333333)</f>
        <v>45751.64583</v>
      </c>
      <c r="B80" s="6">
        <f>IFERROR(__xludf.DUMMYFUNCTION("""COMPUTED_VALUE"""),3426.25)</f>
        <v>3426.25</v>
      </c>
      <c r="C80" s="6">
        <f>IFERROR(__xludf.DUMMYFUNCTION("""COMPUTED_VALUE"""),3459.95)</f>
        <v>3459.95</v>
      </c>
      <c r="D80" s="6">
        <f>IFERROR(__xludf.DUMMYFUNCTION("""COMPUTED_VALUE"""),3256.0)</f>
        <v>3256</v>
      </c>
      <c r="E80" s="6">
        <f>IFERROR(__xludf.DUMMYFUNCTION("""COMPUTED_VALUE"""),3278.6)</f>
        <v>3278.6</v>
      </c>
      <c r="F80" s="6">
        <f>IFERROR(__xludf.DUMMYFUNCTION("""COMPUTED_VALUE"""),1013942.0)</f>
        <v>1013942</v>
      </c>
    </row>
    <row r="81">
      <c r="A81" s="7">
        <f>IFERROR(__xludf.DUMMYFUNCTION("""COMPUTED_VALUE"""),45758.64583333333)</f>
        <v>45758.64583</v>
      </c>
      <c r="B81" s="6">
        <f>IFERROR(__xludf.DUMMYFUNCTION("""COMPUTED_VALUE"""),3114.4)</f>
        <v>3114.4</v>
      </c>
      <c r="C81" s="6">
        <f>IFERROR(__xludf.DUMMYFUNCTION("""COMPUTED_VALUE"""),3236.7)</f>
        <v>3236.7</v>
      </c>
      <c r="D81" s="6">
        <f>IFERROR(__xludf.DUMMYFUNCTION("""COMPUTED_VALUE"""),3095.0)</f>
        <v>3095</v>
      </c>
      <c r="E81" s="6">
        <f>IFERROR(__xludf.DUMMYFUNCTION("""COMPUTED_VALUE"""),3168.5)</f>
        <v>3168.5</v>
      </c>
      <c r="F81" s="6">
        <f>IFERROR(__xludf.DUMMYFUNCTION("""COMPUTED_VALUE"""),616626.0)</f>
        <v>616626</v>
      </c>
    </row>
    <row r="82">
      <c r="A82" s="7">
        <f>IFERROR(__xludf.DUMMYFUNCTION("""COMPUTED_VALUE"""),45764.64583333333)</f>
        <v>45764.64583</v>
      </c>
      <c r="B82" s="6">
        <f>IFERROR(__xludf.DUMMYFUNCTION("""COMPUTED_VALUE"""),3256.9)</f>
        <v>3256.9</v>
      </c>
      <c r="C82" s="6">
        <f>IFERROR(__xludf.DUMMYFUNCTION("""COMPUTED_VALUE"""),3437.0)</f>
        <v>3437</v>
      </c>
      <c r="D82" s="6">
        <f>IFERROR(__xludf.DUMMYFUNCTION("""COMPUTED_VALUE"""),3206.1)</f>
        <v>3206.1</v>
      </c>
      <c r="E82" s="6">
        <f>IFERROR(__xludf.DUMMYFUNCTION("""COMPUTED_VALUE"""),3397.6)</f>
        <v>3397.6</v>
      </c>
      <c r="F82" s="6">
        <f>IFERROR(__xludf.DUMMYFUNCTION("""COMPUTED_VALUE"""),572328.0)</f>
        <v>572328</v>
      </c>
    </row>
    <row r="83">
      <c r="A83" s="7">
        <f>IFERROR(__xludf.DUMMYFUNCTION("""COMPUTED_VALUE"""),45772.64583333333)</f>
        <v>45772.64583</v>
      </c>
      <c r="B83" s="6">
        <f>IFERROR(__xludf.DUMMYFUNCTION("""COMPUTED_VALUE"""),3395.0)</f>
        <v>3395</v>
      </c>
      <c r="C83" s="6">
        <f>IFERROR(__xludf.DUMMYFUNCTION("""COMPUTED_VALUE"""),3625.3)</f>
        <v>3625.3</v>
      </c>
      <c r="D83" s="6">
        <f>IFERROR(__xludf.DUMMYFUNCTION("""COMPUTED_VALUE"""),3390.0)</f>
        <v>3390</v>
      </c>
      <c r="E83" s="6">
        <f>IFERROR(__xludf.DUMMYFUNCTION("""COMPUTED_VALUE"""),3477.8)</f>
        <v>3477.8</v>
      </c>
      <c r="F83" s="6">
        <f>IFERROR(__xludf.DUMMYFUNCTION("""COMPUTED_VALUE"""),2438871.0)</f>
        <v>2438871</v>
      </c>
    </row>
    <row r="84">
      <c r="A84" s="7">
        <f>IFERROR(__xludf.DUMMYFUNCTION("""COMPUTED_VALUE"""),45779.64583333333)</f>
        <v>45779.64583</v>
      </c>
      <c r="B84" s="6">
        <f>IFERROR(__xludf.DUMMYFUNCTION("""COMPUTED_VALUE"""),3500.0)</f>
        <v>3500</v>
      </c>
      <c r="C84" s="6">
        <f>IFERROR(__xludf.DUMMYFUNCTION("""COMPUTED_VALUE"""),3676.3)</f>
        <v>3676.3</v>
      </c>
      <c r="D84" s="6">
        <f>IFERROR(__xludf.DUMMYFUNCTION("""COMPUTED_VALUE"""),3425.7)</f>
        <v>3425.7</v>
      </c>
      <c r="E84" s="6">
        <f>IFERROR(__xludf.DUMMYFUNCTION("""COMPUTED_VALUE"""),3447.7)</f>
        <v>3447.7</v>
      </c>
      <c r="F84" s="6">
        <f>IFERROR(__xludf.DUMMYFUNCTION("""COMPUTED_VALUE"""),1235809.0)</f>
        <v>1235809</v>
      </c>
    </row>
    <row r="85">
      <c r="A85" s="7">
        <f>IFERROR(__xludf.DUMMYFUNCTION("""COMPUTED_VALUE"""),45786.64583333333)</f>
        <v>45786.64583</v>
      </c>
      <c r="B85" s="6">
        <f>IFERROR(__xludf.DUMMYFUNCTION("""COMPUTED_VALUE"""),3450.2)</f>
        <v>3450.2</v>
      </c>
      <c r="C85" s="6">
        <f>IFERROR(__xludf.DUMMYFUNCTION("""COMPUTED_VALUE"""),3534.7)</f>
        <v>3534.7</v>
      </c>
      <c r="D85" s="6">
        <f>IFERROR(__xludf.DUMMYFUNCTION("""COMPUTED_VALUE"""),3351.5)</f>
        <v>3351.5</v>
      </c>
      <c r="E85" s="6">
        <f>IFERROR(__xludf.DUMMYFUNCTION("""COMPUTED_VALUE"""),3483.8)</f>
        <v>3483.8</v>
      </c>
      <c r="F85" s="6">
        <f>IFERROR(__xludf.DUMMYFUNCTION("""COMPUTED_VALUE"""),845910.0)</f>
        <v>845910</v>
      </c>
    </row>
    <row r="86">
      <c r="A86" s="7">
        <f>IFERROR(__xludf.DUMMYFUNCTION("""COMPUTED_VALUE"""),45793.64583333333)</f>
        <v>45793.64583</v>
      </c>
      <c r="B86" s="6">
        <f>IFERROR(__xludf.DUMMYFUNCTION("""COMPUTED_VALUE"""),3550.0)</f>
        <v>3550</v>
      </c>
      <c r="C86" s="6">
        <f>IFERROR(__xludf.DUMMYFUNCTION("""COMPUTED_VALUE"""),3720.0)</f>
        <v>3720</v>
      </c>
      <c r="D86" s="6">
        <f>IFERROR(__xludf.DUMMYFUNCTION("""COMPUTED_VALUE"""),3511.3)</f>
        <v>3511.3</v>
      </c>
      <c r="E86" s="6">
        <f>IFERROR(__xludf.DUMMYFUNCTION("""COMPUTED_VALUE"""),3681.9)</f>
        <v>3681.9</v>
      </c>
      <c r="F86" s="6">
        <f>IFERROR(__xludf.DUMMYFUNCTION("""COMPUTED_VALUE"""),1205963.0)</f>
        <v>1205963</v>
      </c>
    </row>
    <row r="87">
      <c r="A87" s="7">
        <f>IFERROR(__xludf.DUMMYFUNCTION("""COMPUTED_VALUE"""),45800.64583333333)</f>
        <v>45800.64583</v>
      </c>
      <c r="B87" s="6">
        <f>IFERROR(__xludf.DUMMYFUNCTION("""COMPUTED_VALUE"""),3715.5)</f>
        <v>3715.5</v>
      </c>
      <c r="C87" s="6">
        <f>IFERROR(__xludf.DUMMYFUNCTION("""COMPUTED_VALUE"""),3928.0)</f>
        <v>3928</v>
      </c>
      <c r="D87" s="6">
        <f>IFERROR(__xludf.DUMMYFUNCTION("""COMPUTED_VALUE"""),3582.7)</f>
        <v>3582.7</v>
      </c>
      <c r="E87" s="6">
        <f>IFERROR(__xludf.DUMMYFUNCTION("""COMPUTED_VALUE"""),3914.2)</f>
        <v>3914.2</v>
      </c>
      <c r="F87" s="6">
        <f>IFERROR(__xludf.DUMMYFUNCTION("""COMPUTED_VALUE"""),2490201.0)</f>
        <v>2490201</v>
      </c>
    </row>
    <row r="88">
      <c r="A88" s="7">
        <f>IFERROR(__xludf.DUMMYFUNCTION("""COMPUTED_VALUE"""),45807.64583333333)</f>
        <v>45807.64583</v>
      </c>
      <c r="B88" s="6">
        <f>IFERROR(__xludf.DUMMYFUNCTION("""COMPUTED_VALUE"""),3918.0)</f>
        <v>3918</v>
      </c>
      <c r="C88" s="6">
        <f>IFERROR(__xludf.DUMMYFUNCTION("""COMPUTED_VALUE"""),4292.0)</f>
        <v>4292</v>
      </c>
      <c r="D88" s="6">
        <f>IFERROR(__xludf.DUMMYFUNCTION("""COMPUTED_VALUE"""),3903.0)</f>
        <v>3903</v>
      </c>
      <c r="E88" s="6">
        <f>IFERROR(__xludf.DUMMYFUNCTION("""COMPUTED_VALUE"""),4146.2)</f>
        <v>4146.2</v>
      </c>
      <c r="F88" s="6">
        <f>IFERROR(__xludf.DUMMYFUNCTION("""COMPUTED_VALUE"""),3670534.0)</f>
        <v>3670534</v>
      </c>
    </row>
    <row r="89">
      <c r="A89" s="7">
        <f>IFERROR(__xludf.DUMMYFUNCTION("""COMPUTED_VALUE"""),45814.64583333333)</f>
        <v>45814.64583</v>
      </c>
      <c r="B89" s="6">
        <f>IFERROR(__xludf.DUMMYFUNCTION("""COMPUTED_VALUE"""),4147.6)</f>
        <v>4147.6</v>
      </c>
      <c r="C89" s="6">
        <f>IFERROR(__xludf.DUMMYFUNCTION("""COMPUTED_VALUE"""),4360.2)</f>
        <v>4360.2</v>
      </c>
      <c r="D89" s="6">
        <f>IFERROR(__xludf.DUMMYFUNCTION("""COMPUTED_VALUE"""),4120.1)</f>
        <v>4120.1</v>
      </c>
      <c r="E89" s="6">
        <f>IFERROR(__xludf.DUMMYFUNCTION("""COMPUTED_VALUE"""),4345.7)</f>
        <v>4345.7</v>
      </c>
      <c r="F89" s="6">
        <f>IFERROR(__xludf.DUMMYFUNCTION("""COMPUTED_VALUE"""),1050293.0)</f>
        <v>1050293</v>
      </c>
    </row>
    <row r="90">
      <c r="A90" s="7">
        <f>IFERROR(__xludf.DUMMYFUNCTION("""COMPUTED_VALUE"""),45821.64583333333)</f>
        <v>45821.64583</v>
      </c>
      <c r="B90" s="6">
        <f>IFERROR(__xludf.DUMMYFUNCTION("""COMPUTED_VALUE"""),4368.0)</f>
        <v>4368</v>
      </c>
      <c r="C90" s="6">
        <f>IFERROR(__xludf.DUMMYFUNCTION("""COMPUTED_VALUE"""),4432.6)</f>
        <v>4432.6</v>
      </c>
      <c r="D90" s="6">
        <f>IFERROR(__xludf.DUMMYFUNCTION("""COMPUTED_VALUE"""),4211.9)</f>
        <v>4211.9</v>
      </c>
      <c r="E90" s="6">
        <f>IFERROR(__xludf.DUMMYFUNCTION("""COMPUTED_VALUE"""),4349.8)</f>
        <v>4349.8</v>
      </c>
      <c r="F90" s="6">
        <f>IFERROR(__xludf.DUMMYFUNCTION("""COMPUTED_VALUE"""),795751.0)</f>
        <v>795751</v>
      </c>
    </row>
    <row r="91">
      <c r="A91" s="7">
        <f>IFERROR(__xludf.DUMMYFUNCTION("""COMPUTED_VALUE"""),45828.64583333333)</f>
        <v>45828.64583</v>
      </c>
      <c r="B91" s="6">
        <f>IFERROR(__xludf.DUMMYFUNCTION("""COMPUTED_VALUE"""),4348.9)</f>
        <v>4348.9</v>
      </c>
      <c r="C91" s="6">
        <f>IFERROR(__xludf.DUMMYFUNCTION("""COMPUTED_VALUE"""),4739.0)</f>
        <v>4739</v>
      </c>
      <c r="D91" s="6">
        <f>IFERROR(__xludf.DUMMYFUNCTION("""COMPUTED_VALUE"""),4252.8)</f>
        <v>4252.8</v>
      </c>
      <c r="E91" s="6">
        <f>IFERROR(__xludf.DUMMYFUNCTION("""COMPUTED_VALUE"""),4465.8)</f>
        <v>4465.8</v>
      </c>
      <c r="F91" s="6">
        <f>IFERROR(__xludf.DUMMYFUNCTION("""COMPUTED_VALUE"""),2493042.0)</f>
        <v>2493042</v>
      </c>
    </row>
    <row r="92">
      <c r="A92" s="7">
        <f>IFERROR(__xludf.DUMMYFUNCTION("""COMPUTED_VALUE"""),45835.64583333333)</f>
        <v>45835.64583</v>
      </c>
      <c r="B92" s="6">
        <f>IFERROR(__xludf.DUMMYFUNCTION("""COMPUTED_VALUE"""),4388.0)</f>
        <v>4388</v>
      </c>
      <c r="C92" s="6">
        <f>IFERROR(__xludf.DUMMYFUNCTION("""COMPUTED_VALUE"""),4583.8)</f>
        <v>4583.8</v>
      </c>
      <c r="D92" s="6">
        <f>IFERROR(__xludf.DUMMYFUNCTION("""COMPUTED_VALUE"""),4265.9)</f>
        <v>4265.9</v>
      </c>
      <c r="E92" s="6">
        <f>IFERROR(__xludf.DUMMYFUNCTION("""COMPUTED_VALUE"""),4342.0)</f>
        <v>4342</v>
      </c>
      <c r="F92" s="6">
        <f>IFERROR(__xludf.DUMMYFUNCTION("""COMPUTED_VALUE"""),1714431.0)</f>
        <v>1714431</v>
      </c>
    </row>
    <row r="93">
      <c r="A93" s="7">
        <f>IFERROR(__xludf.DUMMYFUNCTION("""COMPUTED_VALUE"""),45842.64583333333)</f>
        <v>45842.64583</v>
      </c>
      <c r="B93" s="6">
        <f>IFERROR(__xludf.DUMMYFUNCTION("""COMPUTED_VALUE"""),4379.0)</f>
        <v>4379</v>
      </c>
      <c r="C93" s="6">
        <f>IFERROR(__xludf.DUMMYFUNCTION("""COMPUTED_VALUE"""),4441.0)</f>
        <v>4441</v>
      </c>
      <c r="D93" s="6">
        <f>IFERROR(__xludf.DUMMYFUNCTION("""COMPUTED_VALUE"""),4240.0)</f>
        <v>4240</v>
      </c>
      <c r="E93" s="6">
        <f>IFERROR(__xludf.DUMMYFUNCTION("""COMPUTED_VALUE"""),4265.2)</f>
        <v>4265.2</v>
      </c>
      <c r="F93" s="6">
        <f>IFERROR(__xludf.DUMMYFUNCTION("""COMPUTED_VALUE"""),975887.0)</f>
        <v>975887</v>
      </c>
    </row>
    <row r="94">
      <c r="A94" s="7">
        <f>IFERROR(__xludf.DUMMYFUNCTION("""COMPUTED_VALUE"""),45849.64583333333)</f>
        <v>45849.64583</v>
      </c>
      <c r="B94" s="6">
        <f>IFERROR(__xludf.DUMMYFUNCTION("""COMPUTED_VALUE"""),4270.0)</f>
        <v>4270</v>
      </c>
      <c r="C94" s="6">
        <f>IFERROR(__xludf.DUMMYFUNCTION("""COMPUTED_VALUE"""),4292.9)</f>
        <v>4292.9</v>
      </c>
      <c r="D94" s="6">
        <f>IFERROR(__xludf.DUMMYFUNCTION("""COMPUTED_VALUE"""),4077.0)</f>
        <v>4077</v>
      </c>
      <c r="E94" s="6">
        <f>IFERROR(__xludf.DUMMYFUNCTION("""COMPUTED_VALUE"""),4114.2)</f>
        <v>4114.2</v>
      </c>
      <c r="F94" s="6">
        <f>IFERROR(__xludf.DUMMYFUNCTION("""COMPUTED_VALUE"""),542371.0)</f>
        <v>542371</v>
      </c>
    </row>
    <row r="95">
      <c r="A95" s="7">
        <f>IFERROR(__xludf.DUMMYFUNCTION("""COMPUTED_VALUE"""),45856.64583333333)</f>
        <v>45856.64583</v>
      </c>
      <c r="B95" s="6">
        <f>IFERROR(__xludf.DUMMYFUNCTION("""COMPUTED_VALUE"""),4080.0)</f>
        <v>4080</v>
      </c>
      <c r="C95" s="6">
        <f>IFERROR(__xludf.DUMMYFUNCTION("""COMPUTED_VALUE"""),4274.9)</f>
        <v>4274.9</v>
      </c>
      <c r="D95" s="6">
        <f>IFERROR(__xludf.DUMMYFUNCTION("""COMPUTED_VALUE"""),4060.8)</f>
        <v>4060.8</v>
      </c>
      <c r="E95" s="6">
        <f>IFERROR(__xludf.DUMMYFUNCTION("""COMPUTED_VALUE"""),4216.6)</f>
        <v>4216.6</v>
      </c>
      <c r="F95" s="6">
        <f>IFERROR(__xludf.DUMMYFUNCTION("""COMPUTED_VALUE"""),735536.0)</f>
        <v>735536</v>
      </c>
    </row>
    <row r="96">
      <c r="A96" s="7">
        <f>IFERROR(__xludf.DUMMYFUNCTION("""COMPUTED_VALUE"""),45863.64583333333)</f>
        <v>45863.64583</v>
      </c>
      <c r="B96" s="6">
        <f>IFERROR(__xludf.DUMMYFUNCTION("""COMPUTED_VALUE"""),4218.1)</f>
        <v>4218.1</v>
      </c>
      <c r="C96" s="6">
        <f>IFERROR(__xludf.DUMMYFUNCTION("""COMPUTED_VALUE"""),4348.9)</f>
        <v>4348.9</v>
      </c>
      <c r="D96" s="6">
        <f>IFERROR(__xludf.DUMMYFUNCTION("""COMPUTED_VALUE"""),4019.5)</f>
        <v>4019.5</v>
      </c>
      <c r="E96" s="6">
        <f>IFERROR(__xludf.DUMMYFUNCTION("""COMPUTED_VALUE"""),4311.7)</f>
        <v>4311.7</v>
      </c>
      <c r="F96" s="6">
        <f>IFERROR(__xludf.DUMMYFUNCTION("""COMPUTED_VALUE"""),1910111.0)</f>
        <v>1910111</v>
      </c>
    </row>
    <row r="97">
      <c r="A97" s="7">
        <f>IFERROR(__xludf.DUMMYFUNCTION("""COMPUTED_VALUE"""),45870.64583333333)</f>
        <v>45870.64583</v>
      </c>
      <c r="B97" s="6">
        <f>IFERROR(__xludf.DUMMYFUNCTION("""COMPUTED_VALUE"""),4277.8)</f>
        <v>4277.8</v>
      </c>
      <c r="C97" s="6">
        <f>IFERROR(__xludf.DUMMYFUNCTION("""COMPUTED_VALUE"""),4375.0)</f>
        <v>4375</v>
      </c>
      <c r="D97" s="6">
        <f>IFERROR(__xludf.DUMMYFUNCTION("""COMPUTED_VALUE"""),4235.0)</f>
        <v>4235</v>
      </c>
      <c r="E97" s="6">
        <f>IFERROR(__xludf.DUMMYFUNCTION("""COMPUTED_VALUE"""),4249.1)</f>
        <v>4249.1</v>
      </c>
      <c r="F97" s="6">
        <f>IFERROR(__xludf.DUMMYFUNCTION("""COMPUTED_VALUE"""),817601.0)</f>
        <v>817601</v>
      </c>
    </row>
    <row r="98">
      <c r="A98" s="7">
        <f>IFERROR(__xludf.DUMMYFUNCTION("""COMPUTED_VALUE"""),45877.64583333333)</f>
        <v>45877.64583</v>
      </c>
      <c r="B98" s="6">
        <f>IFERROR(__xludf.DUMMYFUNCTION("""COMPUTED_VALUE"""),4230.0)</f>
        <v>4230</v>
      </c>
      <c r="C98" s="6">
        <f>IFERROR(__xludf.DUMMYFUNCTION("""COMPUTED_VALUE"""),4302.7)</f>
        <v>4302.7</v>
      </c>
      <c r="D98" s="6">
        <f>IFERROR(__xludf.DUMMYFUNCTION("""COMPUTED_VALUE"""),4103.8)</f>
        <v>4103.8</v>
      </c>
      <c r="E98" s="6">
        <f>IFERROR(__xludf.DUMMYFUNCTION("""COMPUTED_VALUE"""),4150.5)</f>
        <v>4150.5</v>
      </c>
      <c r="F98" s="6">
        <f>IFERROR(__xludf.DUMMYFUNCTION("""COMPUTED_VALUE"""),667341.0)</f>
        <v>667341</v>
      </c>
    </row>
    <row r="99">
      <c r="A99" s="7">
        <f>IFERROR(__xludf.DUMMYFUNCTION("""COMPUTED_VALUE"""),45883.64583333333)</f>
        <v>45883.64583</v>
      </c>
      <c r="B99" s="6">
        <f>IFERROR(__xludf.DUMMYFUNCTION("""COMPUTED_VALUE"""),4151.0)</f>
        <v>4151</v>
      </c>
      <c r="C99" s="6">
        <f>IFERROR(__xludf.DUMMYFUNCTION("""COMPUTED_VALUE"""),4359.5)</f>
        <v>4359.5</v>
      </c>
      <c r="D99" s="6">
        <f>IFERROR(__xludf.DUMMYFUNCTION("""COMPUTED_VALUE"""),4139.5)</f>
        <v>4139.5</v>
      </c>
      <c r="E99" s="6">
        <f>IFERROR(__xludf.DUMMYFUNCTION("""COMPUTED_VALUE"""),4297.7)</f>
        <v>4297.7</v>
      </c>
      <c r="F99" s="6">
        <f>IFERROR(__xludf.DUMMYFUNCTION("""COMPUTED_VALUE"""),823282.0)</f>
        <v>823282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IFERROR(__xludf.DUMMYFUNCTION("""COMPUTED_VALUE"""),4319.9)</f>
        <v>4319.9</v>
      </c>
      <c r="C100" s="6">
        <f>IFERROR(__xludf.DUMMYFUNCTION("""COMPUTED_VALUE"""),4658.8)</f>
        <v>4658.8</v>
      </c>
      <c r="D100" s="6">
        <f>IFERROR(__xludf.DUMMYFUNCTION("""COMPUTED_VALUE"""),4319.9)</f>
        <v>4319.9</v>
      </c>
      <c r="E100" s="6">
        <f>IFERROR(__xludf.DUMMYFUNCTION("""COMPUTED_VALUE"""),4637.8)</f>
        <v>4637.8</v>
      </c>
      <c r="F100" s="6">
        <f>IFERROR(__xludf.DUMMYFUNCTION("""COMPUTED_VALUE"""),1136953.0)</f>
        <v>1136953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IFERROR(__xludf.DUMMYFUNCTION("""COMPUTED_VALUE"""),4640.0)</f>
        <v>4640</v>
      </c>
      <c r="C101" s="6">
        <f>IFERROR(__xludf.DUMMYFUNCTION("""COMPUTED_VALUE"""),4664.9)</f>
        <v>4664.9</v>
      </c>
      <c r="D101" s="6">
        <f>IFERROR(__xludf.DUMMYFUNCTION("""COMPUTED_VALUE"""),4555.2)</f>
        <v>4555.2</v>
      </c>
      <c r="E101" s="6">
        <f>IFERROR(__xludf.DUMMYFUNCTION("""COMPUTED_VALUE"""),4574.4)</f>
        <v>4574.4</v>
      </c>
      <c r="F101" s="6">
        <f>IFERROR(__xludf.DUMMYFUNCTION("""COMPUTED_VALUE"""),1958908.0)</f>
        <v>1958908</v>
      </c>
    </row>
  </sheetData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IFERROR(__xludf.DUMMYFUNCTION("GOOGLEFINANCE(""NSE:SUZLON"",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IFERROR(__xludf.DUMMYFUNCTION("""COMPUTED_VALUE"""),23.4)</f>
        <v>23.4</v>
      </c>
      <c r="C2" s="6">
        <f>IFERROR(__xludf.DUMMYFUNCTION("""COMPUTED_VALUE"""),27.05)</f>
        <v>27.05</v>
      </c>
      <c r="D2" s="6">
        <f>IFERROR(__xludf.DUMMYFUNCTION("""COMPUTED_VALUE"""),23.25)</f>
        <v>23.25</v>
      </c>
      <c r="E2" s="6">
        <f>IFERROR(__xludf.DUMMYFUNCTION("""COMPUTED_VALUE"""),25.0)</f>
        <v>25</v>
      </c>
      <c r="F2" s="6">
        <f>IFERROR(__xludf.DUMMYFUNCTION("""COMPUTED_VALUE"""),1.107745283E9)</f>
        <v>1107745283</v>
      </c>
    </row>
    <row r="3">
      <c r="A3" s="7">
        <f>IFERROR(__xludf.DUMMYFUNCTION("""COMPUTED_VALUE"""),45177.64583333333)</f>
        <v>45177.64583</v>
      </c>
      <c r="B3" s="6">
        <f>IFERROR(__xludf.DUMMYFUNCTION("""COMPUTED_VALUE"""),25.45)</f>
        <v>25.45</v>
      </c>
      <c r="C3" s="6">
        <f>IFERROR(__xludf.DUMMYFUNCTION("""COMPUTED_VALUE"""),25.7)</f>
        <v>25.7</v>
      </c>
      <c r="D3" s="6">
        <f>IFERROR(__xludf.DUMMYFUNCTION("""COMPUTED_VALUE"""),23.4)</f>
        <v>23.4</v>
      </c>
      <c r="E3" s="6">
        <f>IFERROR(__xludf.DUMMYFUNCTION("""COMPUTED_VALUE"""),24.05)</f>
        <v>24.05</v>
      </c>
      <c r="F3" s="6">
        <f>IFERROR(__xludf.DUMMYFUNCTION("""COMPUTED_VALUE"""),6.8731293E8)</f>
        <v>687312930</v>
      </c>
    </row>
    <row r="4">
      <c r="A4" s="7">
        <f>IFERROR(__xludf.DUMMYFUNCTION("""COMPUTED_VALUE"""),45184.64583333333)</f>
        <v>45184.64583</v>
      </c>
      <c r="B4" s="6">
        <f>IFERROR(__xludf.DUMMYFUNCTION("""COMPUTED_VALUE"""),24.3)</f>
        <v>24.3</v>
      </c>
      <c r="C4" s="6">
        <f>IFERROR(__xludf.DUMMYFUNCTION("""COMPUTED_VALUE"""),24.4)</f>
        <v>24.4</v>
      </c>
      <c r="D4" s="6">
        <f>IFERROR(__xludf.DUMMYFUNCTION("""COMPUTED_VALUE"""),21.7)</f>
        <v>21.7</v>
      </c>
      <c r="E4" s="6">
        <f>IFERROR(__xludf.DUMMYFUNCTION("""COMPUTED_VALUE"""),24.2)</f>
        <v>24.2</v>
      </c>
      <c r="F4" s="6">
        <f>IFERROR(__xludf.DUMMYFUNCTION("""COMPUTED_VALUE"""),8.79734734E8)</f>
        <v>879734734</v>
      </c>
    </row>
    <row r="5">
      <c r="A5" s="7">
        <f>IFERROR(__xludf.DUMMYFUNCTION("""COMPUTED_VALUE"""),45191.64583333333)</f>
        <v>45191.64583</v>
      </c>
      <c r="B5" s="6">
        <f>IFERROR(__xludf.DUMMYFUNCTION("""COMPUTED_VALUE"""),24.7)</f>
        <v>24.7</v>
      </c>
      <c r="C5" s="6">
        <f>IFERROR(__xludf.DUMMYFUNCTION("""COMPUTED_VALUE"""),26.25)</f>
        <v>26.25</v>
      </c>
      <c r="D5" s="6">
        <f>IFERROR(__xludf.DUMMYFUNCTION("""COMPUTED_VALUE"""),24.5)</f>
        <v>24.5</v>
      </c>
      <c r="E5" s="6">
        <f>IFERROR(__xludf.DUMMYFUNCTION("""COMPUTED_VALUE"""),25.05)</f>
        <v>25.05</v>
      </c>
      <c r="F5" s="6">
        <f>IFERROR(__xludf.DUMMYFUNCTION("""COMPUTED_VALUE"""),5.70402809E8)</f>
        <v>570402809</v>
      </c>
    </row>
    <row r="6">
      <c r="A6" s="7">
        <f>IFERROR(__xludf.DUMMYFUNCTION("""COMPUTED_VALUE"""),45198.64583333333)</f>
        <v>45198.64583</v>
      </c>
      <c r="B6" s="6">
        <f>IFERROR(__xludf.DUMMYFUNCTION("""COMPUTED_VALUE"""),25.75)</f>
        <v>25.75</v>
      </c>
      <c r="C6" s="6">
        <f>IFERROR(__xludf.DUMMYFUNCTION("""COMPUTED_VALUE"""),26.4)</f>
        <v>26.4</v>
      </c>
      <c r="D6" s="6">
        <f>IFERROR(__xludf.DUMMYFUNCTION("""COMPUTED_VALUE"""),24.95)</f>
        <v>24.95</v>
      </c>
      <c r="E6" s="6">
        <f>IFERROR(__xludf.DUMMYFUNCTION("""COMPUTED_VALUE"""),25.8)</f>
        <v>25.8</v>
      </c>
      <c r="F6" s="6">
        <f>IFERROR(__xludf.DUMMYFUNCTION("""COMPUTED_VALUE"""),4.28830981E8)</f>
        <v>428830981</v>
      </c>
    </row>
    <row r="7">
      <c r="A7" s="7">
        <f>IFERROR(__xludf.DUMMYFUNCTION("""COMPUTED_VALUE"""),45205.64583333333)</f>
        <v>45205.64583</v>
      </c>
      <c r="B7" s="6">
        <f>IFERROR(__xludf.DUMMYFUNCTION("""COMPUTED_VALUE"""),25.95)</f>
        <v>25.95</v>
      </c>
      <c r="C7" s="6">
        <f>IFERROR(__xludf.DUMMYFUNCTION("""COMPUTED_VALUE"""),29.8)</f>
        <v>29.8</v>
      </c>
      <c r="D7" s="6">
        <f>IFERROR(__xludf.DUMMYFUNCTION("""COMPUTED_VALUE"""),25.75)</f>
        <v>25.75</v>
      </c>
      <c r="E7" s="6">
        <f>IFERROR(__xludf.DUMMYFUNCTION("""COMPUTED_VALUE"""),29.1)</f>
        <v>29.1</v>
      </c>
      <c r="F7" s="6">
        <f>IFERROR(__xludf.DUMMYFUNCTION("""COMPUTED_VALUE"""),1.121463959E9)</f>
        <v>1121463959</v>
      </c>
    </row>
    <row r="8">
      <c r="A8" s="7">
        <f>IFERROR(__xludf.DUMMYFUNCTION("""COMPUTED_VALUE"""),45212.64583333333)</f>
        <v>45212.64583</v>
      </c>
      <c r="B8" s="6">
        <f>IFERROR(__xludf.DUMMYFUNCTION("""COMPUTED_VALUE"""),28.2)</f>
        <v>28.2</v>
      </c>
      <c r="C8" s="6">
        <f>IFERROR(__xludf.DUMMYFUNCTION("""COMPUTED_VALUE"""),28.6)</f>
        <v>28.6</v>
      </c>
      <c r="D8" s="6">
        <f>IFERROR(__xludf.DUMMYFUNCTION("""COMPUTED_VALUE"""),26.3)</f>
        <v>26.3</v>
      </c>
      <c r="E8" s="6">
        <f>IFERROR(__xludf.DUMMYFUNCTION("""COMPUTED_VALUE"""),26.8)</f>
        <v>26.8</v>
      </c>
      <c r="F8" s="6">
        <f>IFERROR(__xludf.DUMMYFUNCTION("""COMPUTED_VALUE"""),3.86617523E8)</f>
        <v>386617523</v>
      </c>
    </row>
    <row r="9">
      <c r="A9" s="7">
        <f>IFERROR(__xludf.DUMMYFUNCTION("""COMPUTED_VALUE"""),45219.64583333333)</f>
        <v>45219.64583</v>
      </c>
      <c r="B9" s="6">
        <f>IFERROR(__xludf.DUMMYFUNCTION("""COMPUTED_VALUE"""),27.6)</f>
        <v>27.6</v>
      </c>
      <c r="C9" s="6">
        <f>IFERROR(__xludf.DUMMYFUNCTION("""COMPUTED_VALUE"""),33.15)</f>
        <v>33.15</v>
      </c>
      <c r="D9" s="6">
        <f>IFERROR(__xludf.DUMMYFUNCTION("""COMPUTED_VALUE"""),27.05)</f>
        <v>27.05</v>
      </c>
      <c r="E9" s="6">
        <f>IFERROR(__xludf.DUMMYFUNCTION("""COMPUTED_VALUE"""),32.5)</f>
        <v>32.5</v>
      </c>
      <c r="F9" s="6">
        <f>IFERROR(__xludf.DUMMYFUNCTION("""COMPUTED_VALUE"""),8.25129088E8)</f>
        <v>825129088</v>
      </c>
    </row>
    <row r="10">
      <c r="A10" s="7">
        <f>IFERROR(__xludf.DUMMYFUNCTION("""COMPUTED_VALUE"""),45226.64583333333)</f>
        <v>45226.64583</v>
      </c>
      <c r="B10" s="6">
        <f>IFERROR(__xludf.DUMMYFUNCTION("""COMPUTED_VALUE"""),33.25)</f>
        <v>33.25</v>
      </c>
      <c r="C10" s="6">
        <f>IFERROR(__xludf.DUMMYFUNCTION("""COMPUTED_VALUE"""),34.1)</f>
        <v>34.1</v>
      </c>
      <c r="D10" s="6">
        <f>IFERROR(__xludf.DUMMYFUNCTION("""COMPUTED_VALUE"""),30.3)</f>
        <v>30.3</v>
      </c>
      <c r="E10" s="6">
        <f>IFERROR(__xludf.DUMMYFUNCTION("""COMPUTED_VALUE"""),32.1)</f>
        <v>32.1</v>
      </c>
      <c r="F10" s="6">
        <f>IFERROR(__xludf.DUMMYFUNCTION("""COMPUTED_VALUE"""),4.08358231E8)</f>
        <v>408358231</v>
      </c>
    </row>
    <row r="11">
      <c r="A11" s="7">
        <f>IFERROR(__xludf.DUMMYFUNCTION("""COMPUTED_VALUE"""),45233.64583333333)</f>
        <v>45233.64583</v>
      </c>
      <c r="B11" s="6">
        <f>IFERROR(__xludf.DUMMYFUNCTION("""COMPUTED_VALUE"""),32.7)</f>
        <v>32.7</v>
      </c>
      <c r="C11" s="6">
        <f>IFERROR(__xludf.DUMMYFUNCTION("""COMPUTED_VALUE"""),34.25)</f>
        <v>34.25</v>
      </c>
      <c r="D11" s="6">
        <f>IFERROR(__xludf.DUMMYFUNCTION("""COMPUTED_VALUE"""),30.0)</f>
        <v>30</v>
      </c>
      <c r="E11" s="6">
        <f>IFERROR(__xludf.DUMMYFUNCTION("""COMPUTED_VALUE"""),34.25)</f>
        <v>34.25</v>
      </c>
      <c r="F11" s="6">
        <f>IFERROR(__xludf.DUMMYFUNCTION("""COMPUTED_VALUE"""),2.60690144E8)</f>
        <v>260690144</v>
      </c>
    </row>
    <row r="12">
      <c r="A12" s="7">
        <f>IFERROR(__xludf.DUMMYFUNCTION("""COMPUTED_VALUE"""),45240.64583333333)</f>
        <v>45240.64583</v>
      </c>
      <c r="B12" s="6">
        <f>IFERROR(__xludf.DUMMYFUNCTION("""COMPUTED_VALUE"""),35.95)</f>
        <v>35.95</v>
      </c>
      <c r="C12" s="6">
        <f>IFERROR(__xludf.DUMMYFUNCTION("""COMPUTED_VALUE"""),39.2)</f>
        <v>39.2</v>
      </c>
      <c r="D12" s="6">
        <f>IFERROR(__xludf.DUMMYFUNCTION("""COMPUTED_VALUE"""),35.0)</f>
        <v>35</v>
      </c>
      <c r="E12" s="6">
        <f>IFERROR(__xludf.DUMMYFUNCTION("""COMPUTED_VALUE"""),37.9)</f>
        <v>37.9</v>
      </c>
      <c r="F12" s="6">
        <f>IFERROR(__xludf.DUMMYFUNCTION("""COMPUTED_VALUE"""),3.70008599E8)</f>
        <v>370008599</v>
      </c>
    </row>
    <row r="13">
      <c r="A13" s="7">
        <f>IFERROR(__xludf.DUMMYFUNCTION("""COMPUTED_VALUE"""),45247.64583333333)</f>
        <v>45247.64583</v>
      </c>
      <c r="B13" s="6">
        <f>IFERROR(__xludf.DUMMYFUNCTION("""COMPUTED_VALUE"""),38.5)</f>
        <v>38.5</v>
      </c>
      <c r="C13" s="6">
        <f>IFERROR(__xludf.DUMMYFUNCTION("""COMPUTED_VALUE"""),44.0)</f>
        <v>44</v>
      </c>
      <c r="D13" s="6">
        <f>IFERROR(__xludf.DUMMYFUNCTION("""COMPUTED_VALUE"""),37.8)</f>
        <v>37.8</v>
      </c>
      <c r="E13" s="6">
        <f>IFERROR(__xludf.DUMMYFUNCTION("""COMPUTED_VALUE"""),42.3)</f>
        <v>42.3</v>
      </c>
      <c r="F13" s="6">
        <f>IFERROR(__xludf.DUMMYFUNCTION("""COMPUTED_VALUE"""),4.86873099E8)</f>
        <v>486873099</v>
      </c>
    </row>
    <row r="14">
      <c r="A14" s="7">
        <f>IFERROR(__xludf.DUMMYFUNCTION("""COMPUTED_VALUE"""),45254.64583333333)</f>
        <v>45254.64583</v>
      </c>
      <c r="B14" s="6">
        <f>IFERROR(__xludf.DUMMYFUNCTION("""COMPUTED_VALUE"""),42.5)</f>
        <v>42.5</v>
      </c>
      <c r="C14" s="6">
        <f>IFERROR(__xludf.DUMMYFUNCTION("""COMPUTED_VALUE"""),43.0)</f>
        <v>43</v>
      </c>
      <c r="D14" s="6">
        <f>IFERROR(__xludf.DUMMYFUNCTION("""COMPUTED_VALUE"""),35.5)</f>
        <v>35.5</v>
      </c>
      <c r="E14" s="6">
        <f>IFERROR(__xludf.DUMMYFUNCTION("""COMPUTED_VALUE"""),40.6)</f>
        <v>40.6</v>
      </c>
      <c r="F14" s="6">
        <f>IFERROR(__xludf.DUMMYFUNCTION("""COMPUTED_VALUE"""),5.04326E8)</f>
        <v>504326000</v>
      </c>
    </row>
    <row r="15">
      <c r="A15" s="7">
        <f>IFERROR(__xludf.DUMMYFUNCTION("""COMPUTED_VALUE"""),45261.64583333333)</f>
        <v>45261.64583</v>
      </c>
      <c r="B15" s="6">
        <f>IFERROR(__xludf.DUMMYFUNCTION("""COMPUTED_VALUE"""),41.35)</f>
        <v>41.35</v>
      </c>
      <c r="C15" s="6">
        <f>IFERROR(__xludf.DUMMYFUNCTION("""COMPUTED_VALUE"""),41.7)</f>
        <v>41.7</v>
      </c>
      <c r="D15" s="6">
        <f>IFERROR(__xludf.DUMMYFUNCTION("""COMPUTED_VALUE"""),37.6)</f>
        <v>37.6</v>
      </c>
      <c r="E15" s="6">
        <f>IFERROR(__xludf.DUMMYFUNCTION("""COMPUTED_VALUE"""),39.4)</f>
        <v>39.4</v>
      </c>
      <c r="F15" s="6">
        <f>IFERROR(__xludf.DUMMYFUNCTION("""COMPUTED_VALUE"""),1.089612066E9)</f>
        <v>1089612066</v>
      </c>
    </row>
    <row r="16">
      <c r="A16" s="7">
        <f>IFERROR(__xludf.DUMMYFUNCTION("""COMPUTED_VALUE"""),45268.64583333333)</f>
        <v>45268.64583</v>
      </c>
      <c r="B16" s="6">
        <f>IFERROR(__xludf.DUMMYFUNCTION("""COMPUTED_VALUE"""),41.0)</f>
        <v>41</v>
      </c>
      <c r="C16" s="6">
        <f>IFERROR(__xludf.DUMMYFUNCTION("""COMPUTED_VALUE"""),41.0)</f>
        <v>41</v>
      </c>
      <c r="D16" s="6">
        <f>IFERROR(__xludf.DUMMYFUNCTION("""COMPUTED_VALUE"""),38.0)</f>
        <v>38</v>
      </c>
      <c r="E16" s="6">
        <f>IFERROR(__xludf.DUMMYFUNCTION("""COMPUTED_VALUE"""),38.75)</f>
        <v>38.75</v>
      </c>
      <c r="F16" s="6">
        <f>IFERROR(__xludf.DUMMYFUNCTION("""COMPUTED_VALUE"""),2.28417433E8)</f>
        <v>228417433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IFERROR(__xludf.DUMMYFUNCTION("""COMPUTED_VALUE"""),38.85)</f>
        <v>38.85</v>
      </c>
      <c r="C17" s="6">
        <f>IFERROR(__xludf.DUMMYFUNCTION("""COMPUTED_VALUE"""),39.5)</f>
        <v>39.5</v>
      </c>
      <c r="D17" s="6">
        <f>IFERROR(__xludf.DUMMYFUNCTION("""COMPUTED_VALUE"""),36.0)</f>
        <v>36</v>
      </c>
      <c r="E17" s="6">
        <f>IFERROR(__xludf.DUMMYFUNCTION("""COMPUTED_VALUE"""),38.55)</f>
        <v>38.55</v>
      </c>
      <c r="F17" s="6">
        <f>IFERROR(__xludf.DUMMYFUNCTION("""COMPUTED_VALUE"""),3.25398593E8)</f>
        <v>325398593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IFERROR(__xludf.DUMMYFUNCTION("""COMPUTED_VALUE"""),38.75)</f>
        <v>38.75</v>
      </c>
      <c r="C18" s="6">
        <f>IFERROR(__xludf.DUMMYFUNCTION("""COMPUTED_VALUE"""),38.75)</f>
        <v>38.75</v>
      </c>
      <c r="D18" s="6">
        <f>IFERROR(__xludf.DUMMYFUNCTION("""COMPUTED_VALUE"""),33.9)</f>
        <v>33.9</v>
      </c>
      <c r="E18" s="6">
        <f>IFERROR(__xludf.DUMMYFUNCTION("""COMPUTED_VALUE"""),37.25)</f>
        <v>37.25</v>
      </c>
      <c r="F18" s="6">
        <f>IFERROR(__xludf.DUMMYFUNCTION("""COMPUTED_VALUE"""),2.36096681E8)</f>
        <v>236096681</v>
      </c>
    </row>
    <row r="19">
      <c r="A19" s="7">
        <f>IFERROR(__xludf.DUMMYFUNCTION("""COMPUTED_VALUE"""),45289.64583333333)</f>
        <v>45289.64583</v>
      </c>
      <c r="B19" s="6">
        <f>IFERROR(__xludf.DUMMYFUNCTION("""COMPUTED_VALUE"""),37.25)</f>
        <v>37.25</v>
      </c>
      <c r="C19" s="6">
        <f>IFERROR(__xludf.DUMMYFUNCTION("""COMPUTED_VALUE"""),38.7)</f>
        <v>38.7</v>
      </c>
      <c r="D19" s="6">
        <f>IFERROR(__xludf.DUMMYFUNCTION("""COMPUTED_VALUE"""),36.2)</f>
        <v>36.2</v>
      </c>
      <c r="E19" s="6">
        <f>IFERROR(__xludf.DUMMYFUNCTION("""COMPUTED_VALUE"""),38.2)</f>
        <v>38.2</v>
      </c>
      <c r="F19" s="6">
        <f>IFERROR(__xludf.DUMMYFUNCTION("""COMPUTED_VALUE"""),1.31802667E8)</f>
        <v>131802667</v>
      </c>
    </row>
    <row r="20">
      <c r="A20" s="7">
        <f>IFERROR(__xludf.DUMMYFUNCTION("""COMPUTED_VALUE"""),45296.64583333333)</f>
        <v>45296.64583</v>
      </c>
      <c r="B20" s="6">
        <f>IFERROR(__xludf.DUMMYFUNCTION("""COMPUTED_VALUE"""),38.5)</f>
        <v>38.5</v>
      </c>
      <c r="C20" s="6">
        <f>IFERROR(__xludf.DUMMYFUNCTION("""COMPUTED_VALUE"""),40.6)</f>
        <v>40.6</v>
      </c>
      <c r="D20" s="6">
        <f>IFERROR(__xludf.DUMMYFUNCTION("""COMPUTED_VALUE"""),37.1)</f>
        <v>37.1</v>
      </c>
      <c r="E20" s="6">
        <f>IFERROR(__xludf.DUMMYFUNCTION("""COMPUTED_VALUE"""),40.6)</f>
        <v>40.6</v>
      </c>
      <c r="F20" s="6">
        <f>IFERROR(__xludf.DUMMYFUNCTION("""COMPUTED_VALUE"""),2.01763892E8)</f>
        <v>201763892</v>
      </c>
    </row>
    <row r="21">
      <c r="A21" s="7">
        <f>IFERROR(__xludf.DUMMYFUNCTION("""COMPUTED_VALUE"""),45303.64583333333)</f>
        <v>45303.64583</v>
      </c>
      <c r="B21" s="6">
        <f>IFERROR(__xludf.DUMMYFUNCTION("""COMPUTED_VALUE"""),41.5)</f>
        <v>41.5</v>
      </c>
      <c r="C21" s="6">
        <f>IFERROR(__xludf.DUMMYFUNCTION("""COMPUTED_VALUE"""),45.4)</f>
        <v>45.4</v>
      </c>
      <c r="D21" s="6">
        <f>IFERROR(__xludf.DUMMYFUNCTION("""COMPUTED_VALUE"""),40.0)</f>
        <v>40</v>
      </c>
      <c r="E21" s="6">
        <f>IFERROR(__xludf.DUMMYFUNCTION("""COMPUTED_VALUE"""),44.9)</f>
        <v>44.9</v>
      </c>
      <c r="F21" s="6">
        <f>IFERROR(__xludf.DUMMYFUNCTION("""COMPUTED_VALUE"""),3.8684969E8)</f>
        <v>386849690</v>
      </c>
    </row>
    <row r="22">
      <c r="A22" s="7">
        <f>IFERROR(__xludf.DUMMYFUNCTION("""COMPUTED_VALUE"""),45316.64583333333)</f>
        <v>45316.64583</v>
      </c>
      <c r="B22" s="6">
        <f>IFERROR(__xludf.DUMMYFUNCTION("""COMPUTED_VALUE"""),42.5)</f>
        <v>42.5</v>
      </c>
      <c r="C22" s="6">
        <f>IFERROR(__xludf.DUMMYFUNCTION("""COMPUTED_VALUE"""),43.0)</f>
        <v>43</v>
      </c>
      <c r="D22" s="6">
        <f>IFERROR(__xludf.DUMMYFUNCTION("""COMPUTED_VALUE"""),40.2)</f>
        <v>40.2</v>
      </c>
      <c r="E22" s="6">
        <f>IFERROR(__xludf.DUMMYFUNCTION("""COMPUTED_VALUE"""),42.55)</f>
        <v>42.55</v>
      </c>
      <c r="F22" s="6">
        <f>IFERROR(__xludf.DUMMYFUNCTION("""COMPUTED_VALUE"""),1.49185708E8)</f>
        <v>149185708</v>
      </c>
    </row>
    <row r="23">
      <c r="A23" s="7">
        <f>IFERROR(__xludf.DUMMYFUNCTION("""COMPUTED_VALUE"""),45324.64583333333)</f>
        <v>45324.64583</v>
      </c>
      <c r="B23" s="6">
        <f>IFERROR(__xludf.DUMMYFUNCTION("""COMPUTED_VALUE"""),43.0)</f>
        <v>43</v>
      </c>
      <c r="C23" s="6">
        <f>IFERROR(__xludf.DUMMYFUNCTION("""COMPUTED_VALUE"""),50.6)</f>
        <v>50.6</v>
      </c>
      <c r="D23" s="6">
        <f>IFERROR(__xludf.DUMMYFUNCTION("""COMPUTED_VALUE"""),42.55)</f>
        <v>42.55</v>
      </c>
      <c r="E23" s="6">
        <f>IFERROR(__xludf.DUMMYFUNCTION("""COMPUTED_VALUE"""),48.6)</f>
        <v>48.6</v>
      </c>
      <c r="F23" s="6">
        <f>IFERROR(__xludf.DUMMYFUNCTION("""COMPUTED_VALUE"""),7.13688153E8)</f>
        <v>713688153</v>
      </c>
    </row>
    <row r="24">
      <c r="A24" s="7">
        <f>IFERROR(__xludf.DUMMYFUNCTION("""COMPUTED_VALUE"""),45331.64583333333)</f>
        <v>45331.64583</v>
      </c>
      <c r="B24" s="6">
        <f>IFERROR(__xludf.DUMMYFUNCTION("""COMPUTED_VALUE"""),49.6)</f>
        <v>49.6</v>
      </c>
      <c r="C24" s="6">
        <f>IFERROR(__xludf.DUMMYFUNCTION("""COMPUTED_VALUE"""),50.0)</f>
        <v>50</v>
      </c>
      <c r="D24" s="6">
        <f>IFERROR(__xludf.DUMMYFUNCTION("""COMPUTED_VALUE"""),46.9)</f>
        <v>46.9</v>
      </c>
      <c r="E24" s="6">
        <f>IFERROR(__xludf.DUMMYFUNCTION("""COMPUTED_VALUE"""),47.35)</f>
        <v>47.35</v>
      </c>
      <c r="F24" s="6">
        <f>IFERROR(__xludf.DUMMYFUNCTION("""COMPUTED_VALUE"""),3.74915366E8)</f>
        <v>374915366</v>
      </c>
    </row>
    <row r="25">
      <c r="A25" s="7">
        <f>IFERROR(__xludf.DUMMYFUNCTION("""COMPUTED_VALUE"""),45338.64583333333)</f>
        <v>45338.64583</v>
      </c>
      <c r="B25" s="6">
        <f>IFERROR(__xludf.DUMMYFUNCTION("""COMPUTED_VALUE"""),47.95)</f>
        <v>47.95</v>
      </c>
      <c r="C25" s="6">
        <f>IFERROR(__xludf.DUMMYFUNCTION("""COMPUTED_VALUE"""),48.2)</f>
        <v>48.2</v>
      </c>
      <c r="D25" s="6">
        <f>IFERROR(__xludf.DUMMYFUNCTION("""COMPUTED_VALUE"""),42.05)</f>
        <v>42.05</v>
      </c>
      <c r="E25" s="6">
        <f>IFERROR(__xludf.DUMMYFUNCTION("""COMPUTED_VALUE"""),46.85)</f>
        <v>46.85</v>
      </c>
      <c r="F25" s="6">
        <f>IFERROR(__xludf.DUMMYFUNCTION("""COMPUTED_VALUE"""),3.29310797E8)</f>
        <v>329310797</v>
      </c>
    </row>
    <row r="26">
      <c r="A26" s="7">
        <f>IFERROR(__xludf.DUMMYFUNCTION("""COMPUTED_VALUE"""),45345.64583333333)</f>
        <v>45345.64583</v>
      </c>
      <c r="B26" s="6">
        <f>IFERROR(__xludf.DUMMYFUNCTION("""COMPUTED_VALUE"""),47.5)</f>
        <v>47.5</v>
      </c>
      <c r="C26" s="6">
        <f>IFERROR(__xludf.DUMMYFUNCTION("""COMPUTED_VALUE"""),47.6)</f>
        <v>47.6</v>
      </c>
      <c r="D26" s="6">
        <f>IFERROR(__xludf.DUMMYFUNCTION("""COMPUTED_VALUE"""),43.75)</f>
        <v>43.75</v>
      </c>
      <c r="E26" s="6">
        <f>IFERROR(__xludf.DUMMYFUNCTION("""COMPUTED_VALUE"""),44.9)</f>
        <v>44.9</v>
      </c>
      <c r="F26" s="6">
        <f>IFERROR(__xludf.DUMMYFUNCTION("""COMPUTED_VALUE"""),1.18588467E8)</f>
        <v>118588467</v>
      </c>
    </row>
    <row r="27">
      <c r="A27" s="7">
        <f>IFERROR(__xludf.DUMMYFUNCTION("""COMPUTED_VALUE"""),45358.64583333333)</f>
        <v>45358.64583</v>
      </c>
      <c r="B27" s="6">
        <f>IFERROR(__xludf.DUMMYFUNCTION("""COMPUTED_VALUE"""),42.8)</f>
        <v>42.8</v>
      </c>
      <c r="C27" s="6">
        <f>IFERROR(__xludf.DUMMYFUNCTION("""COMPUTED_VALUE"""),43.8)</f>
        <v>43.8</v>
      </c>
      <c r="D27" s="6">
        <f>IFERROR(__xludf.DUMMYFUNCTION("""COMPUTED_VALUE"""),37.2)</f>
        <v>37.2</v>
      </c>
      <c r="E27" s="6">
        <f>IFERROR(__xludf.DUMMYFUNCTION("""COMPUTED_VALUE"""),40.6)</f>
        <v>40.6</v>
      </c>
      <c r="F27" s="6">
        <f>IFERROR(__xludf.DUMMYFUNCTION("""COMPUTED_VALUE"""),1.95690883E8)</f>
        <v>195690883</v>
      </c>
    </row>
    <row r="28">
      <c r="A28" s="7">
        <f>IFERROR(__xludf.DUMMYFUNCTION("""COMPUTED_VALUE"""),45366.64583333333)</f>
        <v>45366.64583</v>
      </c>
      <c r="B28" s="6">
        <f>IFERROR(__xludf.DUMMYFUNCTION("""COMPUTED_VALUE"""),41.5)</f>
        <v>41.5</v>
      </c>
      <c r="C28" s="6">
        <f>IFERROR(__xludf.DUMMYFUNCTION("""COMPUTED_VALUE"""),42.0)</f>
        <v>42</v>
      </c>
      <c r="D28" s="6">
        <f>IFERROR(__xludf.DUMMYFUNCTION("""COMPUTED_VALUE"""),35.5)</f>
        <v>35.5</v>
      </c>
      <c r="E28" s="6">
        <f>IFERROR(__xludf.DUMMYFUNCTION("""COMPUTED_VALUE"""),39.4)</f>
        <v>39.4</v>
      </c>
      <c r="F28" s="6">
        <f>IFERROR(__xludf.DUMMYFUNCTION("""COMPUTED_VALUE"""),3.37063681E8)</f>
        <v>337063681</v>
      </c>
    </row>
    <row r="29">
      <c r="A29" s="7">
        <f>IFERROR(__xludf.DUMMYFUNCTION("""COMPUTED_VALUE"""),45373.64583333333)</f>
        <v>45373.64583</v>
      </c>
      <c r="B29" s="6">
        <f>IFERROR(__xludf.DUMMYFUNCTION("""COMPUTED_VALUE"""),38.85)</f>
        <v>38.85</v>
      </c>
      <c r="C29" s="6">
        <f>IFERROR(__xludf.DUMMYFUNCTION("""COMPUTED_VALUE"""),38.9)</f>
        <v>38.9</v>
      </c>
      <c r="D29" s="6">
        <f>IFERROR(__xludf.DUMMYFUNCTION("""COMPUTED_VALUE"""),35.6)</f>
        <v>35.6</v>
      </c>
      <c r="E29" s="6">
        <f>IFERROR(__xludf.DUMMYFUNCTION("""COMPUTED_VALUE"""),37.35)</f>
        <v>37.35</v>
      </c>
      <c r="F29" s="6">
        <f>IFERROR(__xludf.DUMMYFUNCTION("""COMPUTED_VALUE"""),1.42897056E8)</f>
        <v>142897056</v>
      </c>
    </row>
    <row r="30">
      <c r="A30" s="7">
        <f>IFERROR(__xludf.DUMMYFUNCTION("""COMPUTED_VALUE"""),45379.64583333333)</f>
        <v>45379.64583</v>
      </c>
      <c r="B30" s="6">
        <f>IFERROR(__xludf.DUMMYFUNCTION("""COMPUTED_VALUE"""),37.5)</f>
        <v>37.5</v>
      </c>
      <c r="C30" s="6">
        <f>IFERROR(__xludf.DUMMYFUNCTION("""COMPUTED_VALUE"""),40.4)</f>
        <v>40.4</v>
      </c>
      <c r="D30" s="6">
        <f>IFERROR(__xludf.DUMMYFUNCTION("""COMPUTED_VALUE"""),36.8)</f>
        <v>36.8</v>
      </c>
      <c r="E30" s="6">
        <f>IFERROR(__xludf.DUMMYFUNCTION("""COMPUTED_VALUE"""),40.4)</f>
        <v>40.4</v>
      </c>
      <c r="F30" s="6">
        <f>IFERROR(__xludf.DUMMYFUNCTION("""COMPUTED_VALUE"""),1.62090391E8)</f>
        <v>162090391</v>
      </c>
    </row>
    <row r="31">
      <c r="A31" s="7">
        <f>IFERROR(__xludf.DUMMYFUNCTION("""COMPUTED_VALUE"""),45387.64583333333)</f>
        <v>45387.64583</v>
      </c>
      <c r="B31" s="6">
        <f>IFERROR(__xludf.DUMMYFUNCTION("""COMPUTED_VALUE"""),39.95)</f>
        <v>39.95</v>
      </c>
      <c r="C31" s="6">
        <f>IFERROR(__xludf.DUMMYFUNCTION("""COMPUTED_VALUE"""),44.6)</f>
        <v>44.6</v>
      </c>
      <c r="D31" s="6">
        <f>IFERROR(__xludf.DUMMYFUNCTION("""COMPUTED_VALUE"""),38.4)</f>
        <v>38.4</v>
      </c>
      <c r="E31" s="6">
        <f>IFERROR(__xludf.DUMMYFUNCTION("""COMPUTED_VALUE"""),42.65)</f>
        <v>42.65</v>
      </c>
      <c r="F31" s="6">
        <f>IFERROR(__xludf.DUMMYFUNCTION("""COMPUTED_VALUE"""),1.3830233E8)</f>
        <v>138302330</v>
      </c>
    </row>
    <row r="32">
      <c r="A32" s="7">
        <f>IFERROR(__xludf.DUMMYFUNCTION("""COMPUTED_VALUE"""),45394.64583333333)</f>
        <v>45394.64583</v>
      </c>
      <c r="B32" s="6">
        <f>IFERROR(__xludf.DUMMYFUNCTION("""COMPUTED_VALUE"""),43.15)</f>
        <v>43.15</v>
      </c>
      <c r="C32" s="6">
        <f>IFERROR(__xludf.DUMMYFUNCTION("""COMPUTED_VALUE"""),43.15)</f>
        <v>43.15</v>
      </c>
      <c r="D32" s="6">
        <f>IFERROR(__xludf.DUMMYFUNCTION("""COMPUTED_VALUE"""),40.8)</f>
        <v>40.8</v>
      </c>
      <c r="E32" s="6">
        <f>IFERROR(__xludf.DUMMYFUNCTION("""COMPUTED_VALUE"""),42.15)</f>
        <v>42.15</v>
      </c>
      <c r="F32" s="6">
        <f>IFERROR(__xludf.DUMMYFUNCTION("""COMPUTED_VALUE"""),1.06520267E8)</f>
        <v>106520267</v>
      </c>
    </row>
    <row r="33">
      <c r="A33" s="7">
        <f>IFERROR(__xludf.DUMMYFUNCTION("""COMPUTED_VALUE"""),45401.64583333333)</f>
        <v>45401.64583</v>
      </c>
      <c r="B33" s="6">
        <f>IFERROR(__xludf.DUMMYFUNCTION("""COMPUTED_VALUE"""),40.05)</f>
        <v>40.05</v>
      </c>
      <c r="C33" s="6">
        <f>IFERROR(__xludf.DUMMYFUNCTION("""COMPUTED_VALUE"""),41.7)</f>
        <v>41.7</v>
      </c>
      <c r="D33" s="6">
        <f>IFERROR(__xludf.DUMMYFUNCTION("""COMPUTED_VALUE"""),39.1)</f>
        <v>39.1</v>
      </c>
      <c r="E33" s="6">
        <f>IFERROR(__xludf.DUMMYFUNCTION("""COMPUTED_VALUE"""),39.35)</f>
        <v>39.35</v>
      </c>
      <c r="F33" s="6">
        <f>IFERROR(__xludf.DUMMYFUNCTION("""COMPUTED_VALUE"""),1.3660393E8)</f>
        <v>136603930</v>
      </c>
    </row>
    <row r="34">
      <c r="A34" s="7">
        <f>IFERROR(__xludf.DUMMYFUNCTION("""COMPUTED_VALUE"""),45408.64583333333)</f>
        <v>45408.64583</v>
      </c>
      <c r="B34" s="6">
        <f>IFERROR(__xludf.DUMMYFUNCTION("""COMPUTED_VALUE"""),38.85)</f>
        <v>38.85</v>
      </c>
      <c r="C34" s="6">
        <f>IFERROR(__xludf.DUMMYFUNCTION("""COMPUTED_VALUE"""),42.5)</f>
        <v>42.5</v>
      </c>
      <c r="D34" s="6">
        <f>IFERROR(__xludf.DUMMYFUNCTION("""COMPUTED_VALUE"""),38.6)</f>
        <v>38.6</v>
      </c>
      <c r="E34" s="6">
        <f>IFERROR(__xludf.DUMMYFUNCTION("""COMPUTED_VALUE"""),41.65)</f>
        <v>41.65</v>
      </c>
      <c r="F34" s="6">
        <f>IFERROR(__xludf.DUMMYFUNCTION("""COMPUTED_VALUE"""),2.06651499E8)</f>
        <v>206651499</v>
      </c>
    </row>
    <row r="35">
      <c r="A35" s="7">
        <f>IFERROR(__xludf.DUMMYFUNCTION("""COMPUTED_VALUE"""),45415.64583333333)</f>
        <v>45415.64583</v>
      </c>
      <c r="B35" s="6">
        <f>IFERROR(__xludf.DUMMYFUNCTION("""COMPUTED_VALUE"""),41.85)</f>
        <v>41.85</v>
      </c>
      <c r="C35" s="6">
        <f>IFERROR(__xludf.DUMMYFUNCTION("""COMPUTED_VALUE"""),42.3)</f>
        <v>42.3</v>
      </c>
      <c r="D35" s="6">
        <f>IFERROR(__xludf.DUMMYFUNCTION("""COMPUTED_VALUE"""),41.0)</f>
        <v>41</v>
      </c>
      <c r="E35" s="6">
        <f>IFERROR(__xludf.DUMMYFUNCTION("""COMPUTED_VALUE"""),41.35)</f>
        <v>41.35</v>
      </c>
      <c r="F35" s="6">
        <f>IFERROR(__xludf.DUMMYFUNCTION("""COMPUTED_VALUE"""),1.03570233E8)</f>
        <v>103570233</v>
      </c>
    </row>
    <row r="36">
      <c r="A36" s="7">
        <f>IFERROR(__xludf.DUMMYFUNCTION("""COMPUTED_VALUE"""),45422.64583333333)</f>
        <v>45422.64583</v>
      </c>
      <c r="B36" s="6">
        <f>IFERROR(__xludf.DUMMYFUNCTION("""COMPUTED_VALUE"""),42.0)</f>
        <v>42</v>
      </c>
      <c r="C36" s="6">
        <f>IFERROR(__xludf.DUMMYFUNCTION("""COMPUTED_VALUE"""),42.0)</f>
        <v>42</v>
      </c>
      <c r="D36" s="6">
        <f>IFERROR(__xludf.DUMMYFUNCTION("""COMPUTED_VALUE"""),39.0)</f>
        <v>39</v>
      </c>
      <c r="E36" s="6">
        <f>IFERROR(__xludf.DUMMYFUNCTION("""COMPUTED_VALUE"""),39.9)</f>
        <v>39.9</v>
      </c>
      <c r="F36" s="6">
        <f>IFERROR(__xludf.DUMMYFUNCTION("""COMPUTED_VALUE"""),1.05743246E8)</f>
        <v>105743246</v>
      </c>
    </row>
    <row r="37">
      <c r="A37" s="7">
        <f>IFERROR(__xludf.DUMMYFUNCTION("""COMPUTED_VALUE"""),45436.64583333333)</f>
        <v>45436.64583</v>
      </c>
      <c r="B37" s="6">
        <f>IFERROR(__xludf.DUMMYFUNCTION("""COMPUTED_VALUE"""),42.5)</f>
        <v>42.5</v>
      </c>
      <c r="C37" s="6">
        <f>IFERROR(__xludf.DUMMYFUNCTION("""COMPUTED_VALUE"""),49.0)</f>
        <v>49</v>
      </c>
      <c r="D37" s="6">
        <f>IFERROR(__xludf.DUMMYFUNCTION("""COMPUTED_VALUE"""),41.9)</f>
        <v>41.9</v>
      </c>
      <c r="E37" s="6">
        <f>IFERROR(__xludf.DUMMYFUNCTION("""COMPUTED_VALUE"""),45.95)</f>
        <v>45.95</v>
      </c>
      <c r="F37" s="6">
        <f>IFERROR(__xludf.DUMMYFUNCTION("""COMPUTED_VALUE"""),2.69435509E8)</f>
        <v>269435509</v>
      </c>
    </row>
    <row r="38">
      <c r="A38" s="7">
        <f>IFERROR(__xludf.DUMMYFUNCTION("""COMPUTED_VALUE"""),45443.64583333333)</f>
        <v>45443.64583</v>
      </c>
      <c r="B38" s="6">
        <f>IFERROR(__xludf.DUMMYFUNCTION("""COMPUTED_VALUE"""),45.25)</f>
        <v>45.25</v>
      </c>
      <c r="C38" s="6">
        <f>IFERROR(__xludf.DUMMYFUNCTION("""COMPUTED_VALUE"""),47.65)</f>
        <v>47.65</v>
      </c>
      <c r="D38" s="6">
        <f>IFERROR(__xludf.DUMMYFUNCTION("""COMPUTED_VALUE"""),43.4)</f>
        <v>43.4</v>
      </c>
      <c r="E38" s="6">
        <f>IFERROR(__xludf.DUMMYFUNCTION("""COMPUTED_VALUE"""),47.65)</f>
        <v>47.65</v>
      </c>
      <c r="F38" s="6">
        <f>IFERROR(__xludf.DUMMYFUNCTION("""COMPUTED_VALUE"""),2.4271897E8)</f>
        <v>242718970</v>
      </c>
    </row>
    <row r="39">
      <c r="A39" s="7">
        <f>IFERROR(__xludf.DUMMYFUNCTION("""COMPUTED_VALUE"""),45450.64583333333)</f>
        <v>45450.64583</v>
      </c>
      <c r="B39" s="6">
        <f>IFERROR(__xludf.DUMMYFUNCTION("""COMPUTED_VALUE"""),50.0)</f>
        <v>50</v>
      </c>
      <c r="C39" s="6">
        <f>IFERROR(__xludf.DUMMYFUNCTION("""COMPUTED_VALUE"""),52.1)</f>
        <v>52.1</v>
      </c>
      <c r="D39" s="6">
        <f>IFERROR(__xludf.DUMMYFUNCTION("""COMPUTED_VALUE"""),45.15)</f>
        <v>45.15</v>
      </c>
      <c r="E39" s="6">
        <f>IFERROR(__xludf.DUMMYFUNCTION("""COMPUTED_VALUE"""),49.9)</f>
        <v>49.9</v>
      </c>
      <c r="F39" s="6">
        <f>IFERROR(__xludf.DUMMYFUNCTION("""COMPUTED_VALUE"""),3.47502646E8)</f>
        <v>347502646</v>
      </c>
    </row>
    <row r="40">
      <c r="A40" s="7">
        <f>IFERROR(__xludf.DUMMYFUNCTION("""COMPUTED_VALUE"""),45457.64583333333)</f>
        <v>45457.64583</v>
      </c>
      <c r="B40" s="6">
        <f>IFERROR(__xludf.DUMMYFUNCTION("""COMPUTED_VALUE"""),47.4)</f>
        <v>47.4</v>
      </c>
      <c r="C40" s="6">
        <f>IFERROR(__xludf.DUMMYFUNCTION("""COMPUTED_VALUE"""),51.19)</f>
        <v>51.19</v>
      </c>
      <c r="D40" s="6">
        <f>IFERROR(__xludf.DUMMYFUNCTION("""COMPUTED_VALUE"""),47.02)</f>
        <v>47.02</v>
      </c>
      <c r="E40" s="6">
        <f>IFERROR(__xludf.DUMMYFUNCTION("""COMPUTED_VALUE"""),49.48)</f>
        <v>49.48</v>
      </c>
      <c r="F40" s="6">
        <f>IFERROR(__xludf.DUMMYFUNCTION("""COMPUTED_VALUE"""),3.58722516E8)</f>
        <v>358722516</v>
      </c>
    </row>
    <row r="41">
      <c r="A41" s="7">
        <f>IFERROR(__xludf.DUMMYFUNCTION("""COMPUTED_VALUE"""),45464.64583333333)</f>
        <v>45464.64583</v>
      </c>
      <c r="B41" s="6">
        <f>IFERROR(__xludf.DUMMYFUNCTION("""COMPUTED_VALUE"""),49.6)</f>
        <v>49.6</v>
      </c>
      <c r="C41" s="6">
        <f>IFERROR(__xludf.DUMMYFUNCTION("""COMPUTED_VALUE"""),53.05)</f>
        <v>53.05</v>
      </c>
      <c r="D41" s="6">
        <f>IFERROR(__xludf.DUMMYFUNCTION("""COMPUTED_VALUE"""),48.75)</f>
        <v>48.75</v>
      </c>
      <c r="E41" s="6">
        <f>IFERROR(__xludf.DUMMYFUNCTION("""COMPUTED_VALUE"""),53.05)</f>
        <v>53.05</v>
      </c>
      <c r="F41" s="6">
        <f>IFERROR(__xludf.DUMMYFUNCTION("""COMPUTED_VALUE"""),3.18762898E8)</f>
        <v>318762898</v>
      </c>
    </row>
    <row r="42">
      <c r="A42" s="7">
        <f>IFERROR(__xludf.DUMMYFUNCTION("""COMPUTED_VALUE"""),45471.64583333333)</f>
        <v>45471.64583</v>
      </c>
      <c r="B42" s="6">
        <f>IFERROR(__xludf.DUMMYFUNCTION("""COMPUTED_VALUE"""),55.45)</f>
        <v>55.45</v>
      </c>
      <c r="C42" s="6">
        <f>IFERROR(__xludf.DUMMYFUNCTION("""COMPUTED_VALUE"""),55.7)</f>
        <v>55.7</v>
      </c>
      <c r="D42" s="6">
        <f>IFERROR(__xludf.DUMMYFUNCTION("""COMPUTED_VALUE"""),51.5)</f>
        <v>51.5</v>
      </c>
      <c r="E42" s="6">
        <f>IFERROR(__xludf.DUMMYFUNCTION("""COMPUTED_VALUE"""),52.86)</f>
        <v>52.86</v>
      </c>
      <c r="F42" s="6">
        <f>IFERROR(__xludf.DUMMYFUNCTION("""COMPUTED_VALUE"""),3.56828688E8)</f>
        <v>356828688</v>
      </c>
    </row>
    <row r="43">
      <c r="A43" s="7">
        <f>IFERROR(__xludf.DUMMYFUNCTION("""COMPUTED_VALUE"""),45478.64583333333)</f>
        <v>45478.64583</v>
      </c>
      <c r="B43" s="6">
        <f>IFERROR(__xludf.DUMMYFUNCTION("""COMPUTED_VALUE"""),53.2)</f>
        <v>53.2</v>
      </c>
      <c r="C43" s="6">
        <f>IFERROR(__xludf.DUMMYFUNCTION("""COMPUTED_VALUE"""),56.49)</f>
        <v>56.49</v>
      </c>
      <c r="D43" s="6">
        <f>IFERROR(__xludf.DUMMYFUNCTION("""COMPUTED_VALUE"""),52.43)</f>
        <v>52.43</v>
      </c>
      <c r="E43" s="6">
        <f>IFERROR(__xludf.DUMMYFUNCTION("""COMPUTED_VALUE"""),55.49)</f>
        <v>55.49</v>
      </c>
      <c r="F43" s="6">
        <f>IFERROR(__xludf.DUMMYFUNCTION("""COMPUTED_VALUE"""),2.39943078E8)</f>
        <v>239943078</v>
      </c>
    </row>
    <row r="44">
      <c r="A44" s="7">
        <f>IFERROR(__xludf.DUMMYFUNCTION("""COMPUTED_VALUE"""),45485.64583333333)</f>
        <v>45485.64583</v>
      </c>
      <c r="B44" s="6">
        <f>IFERROR(__xludf.DUMMYFUNCTION("""COMPUTED_VALUE"""),55.95)</f>
        <v>55.95</v>
      </c>
      <c r="C44" s="6">
        <f>IFERROR(__xludf.DUMMYFUNCTION("""COMPUTED_VALUE"""),56.0)</f>
        <v>56</v>
      </c>
      <c r="D44" s="6">
        <f>IFERROR(__xludf.DUMMYFUNCTION("""COMPUTED_VALUE"""),53.65)</f>
        <v>53.65</v>
      </c>
      <c r="E44" s="6">
        <f>IFERROR(__xludf.DUMMYFUNCTION("""COMPUTED_VALUE"""),54.63)</f>
        <v>54.63</v>
      </c>
      <c r="F44" s="6">
        <f>IFERROR(__xludf.DUMMYFUNCTION("""COMPUTED_VALUE"""),1.89734307E8)</f>
        <v>189734307</v>
      </c>
    </row>
    <row r="45">
      <c r="A45" s="7">
        <f>IFERROR(__xludf.DUMMYFUNCTION("""COMPUTED_VALUE"""),45492.64583333333)</f>
        <v>45492.64583</v>
      </c>
      <c r="B45" s="6">
        <f>IFERROR(__xludf.DUMMYFUNCTION("""COMPUTED_VALUE"""),55.0)</f>
        <v>55</v>
      </c>
      <c r="C45" s="6">
        <f>IFERROR(__xludf.DUMMYFUNCTION("""COMPUTED_VALUE"""),56.0)</f>
        <v>56</v>
      </c>
      <c r="D45" s="6">
        <f>IFERROR(__xludf.DUMMYFUNCTION("""COMPUTED_VALUE"""),53.82)</f>
        <v>53.82</v>
      </c>
      <c r="E45" s="6">
        <f>IFERROR(__xludf.DUMMYFUNCTION("""COMPUTED_VALUE"""),54.55)</f>
        <v>54.55</v>
      </c>
      <c r="F45" s="6">
        <f>IFERROR(__xludf.DUMMYFUNCTION("""COMPUTED_VALUE"""),2.24094546E8)</f>
        <v>224094546</v>
      </c>
    </row>
    <row r="46">
      <c r="A46" s="7">
        <f>IFERROR(__xludf.DUMMYFUNCTION("""COMPUTED_VALUE"""),45499.64583333333)</f>
        <v>45499.64583</v>
      </c>
      <c r="B46" s="6">
        <f>IFERROR(__xludf.DUMMYFUNCTION("""COMPUTED_VALUE"""),54.66)</f>
        <v>54.66</v>
      </c>
      <c r="C46" s="6">
        <f>IFERROR(__xludf.DUMMYFUNCTION("""COMPUTED_VALUE"""),63.75)</f>
        <v>63.75</v>
      </c>
      <c r="D46" s="6">
        <f>IFERROR(__xludf.DUMMYFUNCTION("""COMPUTED_VALUE"""),53.5)</f>
        <v>53.5</v>
      </c>
      <c r="E46" s="6">
        <f>IFERROR(__xludf.DUMMYFUNCTION("""COMPUTED_VALUE"""),61.89)</f>
        <v>61.89</v>
      </c>
      <c r="F46" s="6">
        <f>IFERROR(__xludf.DUMMYFUNCTION("""COMPUTED_VALUE"""),6.58634755E8)</f>
        <v>658634755</v>
      </c>
    </row>
    <row r="47">
      <c r="A47" s="7">
        <f>IFERROR(__xludf.DUMMYFUNCTION("""COMPUTED_VALUE"""),45506.64583333333)</f>
        <v>45506.64583</v>
      </c>
      <c r="B47" s="6">
        <f>IFERROR(__xludf.DUMMYFUNCTION("""COMPUTED_VALUE"""),62.95)</f>
        <v>62.95</v>
      </c>
      <c r="C47" s="6">
        <f>IFERROR(__xludf.DUMMYFUNCTION("""COMPUTED_VALUE"""),71.37)</f>
        <v>71.37</v>
      </c>
      <c r="D47" s="6">
        <f>IFERROR(__xludf.DUMMYFUNCTION("""COMPUTED_VALUE"""),62.38)</f>
        <v>62.38</v>
      </c>
      <c r="E47" s="6">
        <f>IFERROR(__xludf.DUMMYFUNCTION("""COMPUTED_VALUE"""),71.35)</f>
        <v>71.35</v>
      </c>
      <c r="F47" s="6">
        <f>IFERROR(__xludf.DUMMYFUNCTION("""COMPUTED_VALUE"""),6.09836888E8)</f>
        <v>609836888</v>
      </c>
    </row>
    <row r="48">
      <c r="A48" s="7">
        <f>IFERROR(__xludf.DUMMYFUNCTION("""COMPUTED_VALUE"""),45513.64583333333)</f>
        <v>45513.64583</v>
      </c>
      <c r="B48" s="6">
        <f>IFERROR(__xludf.DUMMYFUNCTION("""COMPUTED_VALUE"""),69.9)</f>
        <v>69.9</v>
      </c>
      <c r="C48" s="6">
        <f>IFERROR(__xludf.DUMMYFUNCTION("""COMPUTED_VALUE"""),76.56)</f>
        <v>76.56</v>
      </c>
      <c r="D48" s="6">
        <f>IFERROR(__xludf.DUMMYFUNCTION("""COMPUTED_VALUE"""),65.6)</f>
        <v>65.6</v>
      </c>
      <c r="E48" s="6">
        <f>IFERROR(__xludf.DUMMYFUNCTION("""COMPUTED_VALUE"""),76.54)</f>
        <v>76.54</v>
      </c>
      <c r="F48" s="6">
        <f>IFERROR(__xludf.DUMMYFUNCTION("""COMPUTED_VALUE"""),7.27714236E8)</f>
        <v>727714236</v>
      </c>
    </row>
    <row r="49">
      <c r="A49" s="7">
        <f>IFERROR(__xludf.DUMMYFUNCTION("""COMPUTED_VALUE"""),45520.64583333333)</f>
        <v>45520.64583</v>
      </c>
      <c r="B49" s="6">
        <f>IFERROR(__xludf.DUMMYFUNCTION("""COMPUTED_VALUE"""),77.15)</f>
        <v>77.15</v>
      </c>
      <c r="C49" s="6">
        <f>IFERROR(__xludf.DUMMYFUNCTION("""COMPUTED_VALUE"""),84.29)</f>
        <v>84.29</v>
      </c>
      <c r="D49" s="6">
        <f>IFERROR(__xludf.DUMMYFUNCTION("""COMPUTED_VALUE"""),74.12)</f>
        <v>74.12</v>
      </c>
      <c r="E49" s="6">
        <f>IFERROR(__xludf.DUMMYFUNCTION("""COMPUTED_VALUE"""),79.95)</f>
        <v>79.95</v>
      </c>
      <c r="F49" s="6">
        <f>IFERROR(__xludf.DUMMYFUNCTION("""COMPUTED_VALUE"""),6.225567E8)</f>
        <v>622556700</v>
      </c>
    </row>
    <row r="50">
      <c r="A50" s="7">
        <f>IFERROR(__xludf.DUMMYFUNCTION("""COMPUTED_VALUE"""),45527.64583333333)</f>
        <v>45527.64583</v>
      </c>
      <c r="B50" s="6">
        <f>IFERROR(__xludf.DUMMYFUNCTION("""COMPUTED_VALUE"""),80.64)</f>
        <v>80.64</v>
      </c>
      <c r="C50" s="6">
        <f>IFERROR(__xludf.DUMMYFUNCTION("""COMPUTED_VALUE"""),82.45)</f>
        <v>82.45</v>
      </c>
      <c r="D50" s="6">
        <f>IFERROR(__xludf.DUMMYFUNCTION("""COMPUTED_VALUE"""),77.3)</f>
        <v>77.3</v>
      </c>
      <c r="E50" s="6">
        <f>IFERROR(__xludf.DUMMYFUNCTION("""COMPUTED_VALUE"""),78.84)</f>
        <v>78.84</v>
      </c>
      <c r="F50" s="6">
        <f>IFERROR(__xludf.DUMMYFUNCTION("""COMPUTED_VALUE"""),2.98801863E8)</f>
        <v>298801863</v>
      </c>
    </row>
    <row r="51">
      <c r="A51" s="7">
        <f>IFERROR(__xludf.DUMMYFUNCTION("""COMPUTED_VALUE"""),45534.64583333333)</f>
        <v>45534.64583</v>
      </c>
      <c r="B51" s="6">
        <f>IFERROR(__xludf.DUMMYFUNCTION("""COMPUTED_VALUE"""),79.34)</f>
        <v>79.34</v>
      </c>
      <c r="C51" s="6">
        <f>IFERROR(__xludf.DUMMYFUNCTION("""COMPUTED_VALUE"""),79.79)</f>
        <v>79.79</v>
      </c>
      <c r="D51" s="6">
        <f>IFERROR(__xludf.DUMMYFUNCTION("""COMPUTED_VALUE"""),75.12)</f>
        <v>75.12</v>
      </c>
      <c r="E51" s="6">
        <f>IFERROR(__xludf.DUMMYFUNCTION("""COMPUTED_VALUE"""),75.84)</f>
        <v>75.84</v>
      </c>
      <c r="F51" s="6">
        <f>IFERROR(__xludf.DUMMYFUNCTION("""COMPUTED_VALUE"""),2.4413905E8)</f>
        <v>244139050</v>
      </c>
    </row>
    <row r="52">
      <c r="A52" s="7">
        <f>IFERROR(__xludf.DUMMYFUNCTION("""COMPUTED_VALUE"""),45541.64583333333)</f>
        <v>45541.64583</v>
      </c>
      <c r="B52" s="6">
        <f>IFERROR(__xludf.DUMMYFUNCTION("""COMPUTED_VALUE"""),75.84)</f>
        <v>75.84</v>
      </c>
      <c r="C52" s="6">
        <f>IFERROR(__xludf.DUMMYFUNCTION("""COMPUTED_VALUE"""),77.35)</f>
        <v>77.35</v>
      </c>
      <c r="D52" s="6">
        <f>IFERROR(__xludf.DUMMYFUNCTION("""COMPUTED_VALUE"""),72.5)</f>
        <v>72.5</v>
      </c>
      <c r="E52" s="6">
        <f>IFERROR(__xludf.DUMMYFUNCTION("""COMPUTED_VALUE"""),74.72)</f>
        <v>74.72</v>
      </c>
      <c r="F52" s="6">
        <f>IFERROR(__xludf.DUMMYFUNCTION("""COMPUTED_VALUE"""),2.49754535E8)</f>
        <v>249754535</v>
      </c>
    </row>
    <row r="53">
      <c r="A53" s="7">
        <f>IFERROR(__xludf.DUMMYFUNCTION("""COMPUTED_VALUE"""),45548.64583333333)</f>
        <v>45548.64583</v>
      </c>
      <c r="B53" s="6">
        <f>IFERROR(__xludf.DUMMYFUNCTION("""COMPUTED_VALUE"""),75.28)</f>
        <v>75.28</v>
      </c>
      <c r="C53" s="6">
        <f>IFERROR(__xludf.DUMMYFUNCTION("""COMPUTED_VALUE"""),86.04)</f>
        <v>86.04</v>
      </c>
      <c r="D53" s="6">
        <f>IFERROR(__xludf.DUMMYFUNCTION("""COMPUTED_VALUE"""),72.82)</f>
        <v>72.82</v>
      </c>
      <c r="E53" s="6">
        <f>IFERROR(__xludf.DUMMYFUNCTION("""COMPUTED_VALUE"""),83.11)</f>
        <v>83.11</v>
      </c>
      <c r="F53" s="6">
        <f>IFERROR(__xludf.DUMMYFUNCTION("""COMPUTED_VALUE"""),6.22186949E8)</f>
        <v>622186949</v>
      </c>
    </row>
    <row r="54">
      <c r="A54" s="7">
        <f>IFERROR(__xludf.DUMMYFUNCTION("""COMPUTED_VALUE"""),45555.64583333333)</f>
        <v>45555.64583</v>
      </c>
      <c r="B54" s="6">
        <f>IFERROR(__xludf.DUMMYFUNCTION("""COMPUTED_VALUE"""),83.88)</f>
        <v>83.88</v>
      </c>
      <c r="C54" s="6">
        <f>IFERROR(__xludf.DUMMYFUNCTION("""COMPUTED_VALUE"""),85.85)</f>
        <v>85.85</v>
      </c>
      <c r="D54" s="6">
        <f>IFERROR(__xludf.DUMMYFUNCTION("""COMPUTED_VALUE"""),78.0)</f>
        <v>78</v>
      </c>
      <c r="E54" s="6">
        <f>IFERROR(__xludf.DUMMYFUNCTION("""COMPUTED_VALUE"""),83.45)</f>
        <v>83.45</v>
      </c>
      <c r="F54" s="6">
        <f>IFERROR(__xludf.DUMMYFUNCTION("""COMPUTED_VALUE"""),3.01402569E8)</f>
        <v>301402569</v>
      </c>
    </row>
    <row r="55">
      <c r="A55" s="7">
        <f>IFERROR(__xludf.DUMMYFUNCTION("""COMPUTED_VALUE"""),45562.64583333333)</f>
        <v>45562.64583</v>
      </c>
      <c r="B55" s="6">
        <f>IFERROR(__xludf.DUMMYFUNCTION("""COMPUTED_VALUE"""),84.19)</f>
        <v>84.19</v>
      </c>
      <c r="C55" s="6">
        <f>IFERROR(__xludf.DUMMYFUNCTION("""COMPUTED_VALUE"""),84.99)</f>
        <v>84.99</v>
      </c>
      <c r="D55" s="6">
        <f>IFERROR(__xludf.DUMMYFUNCTION("""COMPUTED_VALUE"""),80.5)</f>
        <v>80.5</v>
      </c>
      <c r="E55" s="6">
        <f>IFERROR(__xludf.DUMMYFUNCTION("""COMPUTED_VALUE"""),81.09)</f>
        <v>81.09</v>
      </c>
      <c r="F55" s="6">
        <f>IFERROR(__xludf.DUMMYFUNCTION("""COMPUTED_VALUE"""),1.64214343E8)</f>
        <v>164214343</v>
      </c>
    </row>
    <row r="56">
      <c r="A56" s="7">
        <f>IFERROR(__xludf.DUMMYFUNCTION("""COMPUTED_VALUE"""),45569.64583333333)</f>
        <v>45569.64583</v>
      </c>
      <c r="B56" s="6">
        <f>IFERROR(__xludf.DUMMYFUNCTION("""COMPUTED_VALUE"""),80.8)</f>
        <v>80.8</v>
      </c>
      <c r="C56" s="6">
        <f>IFERROR(__xludf.DUMMYFUNCTION("""COMPUTED_VALUE"""),81.58)</f>
        <v>81.58</v>
      </c>
      <c r="D56" s="6">
        <f>IFERROR(__xludf.DUMMYFUNCTION("""COMPUTED_VALUE"""),72.22)</f>
        <v>72.22</v>
      </c>
      <c r="E56" s="6">
        <f>IFERROR(__xludf.DUMMYFUNCTION("""COMPUTED_VALUE"""),74.67)</f>
        <v>74.67</v>
      </c>
      <c r="F56" s="6">
        <f>IFERROR(__xludf.DUMMYFUNCTION("""COMPUTED_VALUE"""),2.27611575E8)</f>
        <v>227611575</v>
      </c>
    </row>
    <row r="57">
      <c r="A57" s="7">
        <f>IFERROR(__xludf.DUMMYFUNCTION("""COMPUTED_VALUE"""),45576.64583333333)</f>
        <v>45576.64583</v>
      </c>
      <c r="B57" s="6">
        <f>IFERROR(__xludf.DUMMYFUNCTION("""COMPUTED_VALUE"""),75.64)</f>
        <v>75.64</v>
      </c>
      <c r="C57" s="6">
        <f>IFERROR(__xludf.DUMMYFUNCTION("""COMPUTED_VALUE"""),80.6)</f>
        <v>80.6</v>
      </c>
      <c r="D57" s="6">
        <f>IFERROR(__xludf.DUMMYFUNCTION("""COMPUTED_VALUE"""),66.1)</f>
        <v>66.1</v>
      </c>
      <c r="E57" s="6">
        <f>IFERROR(__xludf.DUMMYFUNCTION("""COMPUTED_VALUE"""),74.39)</f>
        <v>74.39</v>
      </c>
      <c r="F57" s="6">
        <f>IFERROR(__xludf.DUMMYFUNCTION("""COMPUTED_VALUE"""),4.52655314E8)</f>
        <v>452655314</v>
      </c>
    </row>
    <row r="58">
      <c r="A58" s="7">
        <f>IFERROR(__xludf.DUMMYFUNCTION("""COMPUTED_VALUE"""),45583.64583333333)</f>
        <v>45583.64583</v>
      </c>
      <c r="B58" s="6">
        <f>IFERROR(__xludf.DUMMYFUNCTION("""COMPUTED_VALUE"""),74.65)</f>
        <v>74.65</v>
      </c>
      <c r="C58" s="6">
        <f>IFERROR(__xludf.DUMMYFUNCTION("""COMPUTED_VALUE"""),75.65)</f>
        <v>75.65</v>
      </c>
      <c r="D58" s="6">
        <f>IFERROR(__xludf.DUMMYFUNCTION("""COMPUTED_VALUE"""),71.1)</f>
        <v>71.1</v>
      </c>
      <c r="E58" s="6">
        <f>IFERROR(__xludf.DUMMYFUNCTION("""COMPUTED_VALUE"""),72.19)</f>
        <v>72.19</v>
      </c>
      <c r="F58" s="6">
        <f>IFERROR(__xludf.DUMMYFUNCTION("""COMPUTED_VALUE"""),1.82767696E8)</f>
        <v>182767696</v>
      </c>
    </row>
    <row r="59">
      <c r="A59" s="7">
        <f>IFERROR(__xludf.DUMMYFUNCTION("""COMPUTED_VALUE"""),45590.64583333333)</f>
        <v>45590.64583</v>
      </c>
      <c r="B59" s="6">
        <f>IFERROR(__xludf.DUMMYFUNCTION("""COMPUTED_VALUE"""),72.49)</f>
        <v>72.49</v>
      </c>
      <c r="C59" s="6">
        <f>IFERROR(__xludf.DUMMYFUNCTION("""COMPUTED_VALUE"""),72.77)</f>
        <v>72.77</v>
      </c>
      <c r="D59" s="6">
        <f>IFERROR(__xludf.DUMMYFUNCTION("""COMPUTED_VALUE"""),66.0)</f>
        <v>66</v>
      </c>
      <c r="E59" s="6">
        <f>IFERROR(__xludf.DUMMYFUNCTION("""COMPUTED_VALUE"""),67.47)</f>
        <v>67.47</v>
      </c>
      <c r="F59" s="6">
        <f>IFERROR(__xludf.DUMMYFUNCTION("""COMPUTED_VALUE"""),2.3448455E8)</f>
        <v>234484550</v>
      </c>
    </row>
    <row r="60">
      <c r="A60" s="7">
        <f>IFERROR(__xludf.DUMMYFUNCTION("""COMPUTED_VALUE"""),45604.64583333333)</f>
        <v>45604.64583</v>
      </c>
      <c r="B60" s="6">
        <f>IFERROR(__xludf.DUMMYFUNCTION("""COMPUTED_VALUE"""),68.19)</f>
        <v>68.19</v>
      </c>
      <c r="C60" s="6">
        <f>IFERROR(__xludf.DUMMYFUNCTION("""COMPUTED_VALUE"""),69.85)</f>
        <v>69.85</v>
      </c>
      <c r="D60" s="6">
        <f>IFERROR(__xludf.DUMMYFUNCTION("""COMPUTED_VALUE"""),61.84)</f>
        <v>61.84</v>
      </c>
      <c r="E60" s="6">
        <f>IFERROR(__xludf.DUMMYFUNCTION("""COMPUTED_VALUE"""),62.5)</f>
        <v>62.5</v>
      </c>
      <c r="F60" s="6">
        <f>IFERROR(__xludf.DUMMYFUNCTION("""COMPUTED_VALUE"""),2.8646593E8)</f>
        <v>286465930</v>
      </c>
    </row>
    <row r="61">
      <c r="A61" s="7">
        <f>IFERROR(__xludf.DUMMYFUNCTION("""COMPUTED_VALUE"""),45610.64583333333)</f>
        <v>45610.64583</v>
      </c>
      <c r="B61" s="6">
        <f>IFERROR(__xludf.DUMMYFUNCTION("""COMPUTED_VALUE"""),61.5)</f>
        <v>61.5</v>
      </c>
      <c r="C61" s="6">
        <f>IFERROR(__xludf.DUMMYFUNCTION("""COMPUTED_VALUE"""),63.14)</f>
        <v>63.14</v>
      </c>
      <c r="D61" s="6">
        <f>IFERROR(__xludf.DUMMYFUNCTION("""COMPUTED_VALUE"""),53.45)</f>
        <v>53.45</v>
      </c>
      <c r="E61" s="6">
        <f>IFERROR(__xludf.DUMMYFUNCTION("""COMPUTED_VALUE"""),56.73)</f>
        <v>56.73</v>
      </c>
      <c r="F61" s="6">
        <f>IFERROR(__xludf.DUMMYFUNCTION("""COMPUTED_VALUE"""),4.47138102E8)</f>
        <v>447138102</v>
      </c>
    </row>
    <row r="62">
      <c r="A62" s="7">
        <f>IFERROR(__xludf.DUMMYFUNCTION("""COMPUTED_VALUE"""),45618.64583333333)</f>
        <v>45618.64583</v>
      </c>
      <c r="B62" s="6">
        <f>IFERROR(__xludf.DUMMYFUNCTION("""COMPUTED_VALUE"""),59.45)</f>
        <v>59.45</v>
      </c>
      <c r="C62" s="6">
        <f>IFERROR(__xludf.DUMMYFUNCTION("""COMPUTED_VALUE"""),68.33)</f>
        <v>68.33</v>
      </c>
      <c r="D62" s="6">
        <f>IFERROR(__xludf.DUMMYFUNCTION("""COMPUTED_VALUE"""),56.8)</f>
        <v>56.8</v>
      </c>
      <c r="E62" s="6">
        <f>IFERROR(__xludf.DUMMYFUNCTION("""COMPUTED_VALUE"""),65.22)</f>
        <v>65.22</v>
      </c>
      <c r="F62" s="6">
        <f>IFERROR(__xludf.DUMMYFUNCTION("""COMPUTED_VALUE"""),4.55511855E8)</f>
        <v>455511855</v>
      </c>
    </row>
    <row r="63">
      <c r="A63" s="7">
        <f>IFERROR(__xludf.DUMMYFUNCTION("""COMPUTED_VALUE"""),45625.64583333333)</f>
        <v>45625.64583</v>
      </c>
      <c r="B63" s="6">
        <f>IFERROR(__xludf.DUMMYFUNCTION("""COMPUTED_VALUE"""),67.0)</f>
        <v>67</v>
      </c>
      <c r="C63" s="6">
        <f>IFERROR(__xludf.DUMMYFUNCTION("""COMPUTED_VALUE"""),67.5)</f>
        <v>67.5</v>
      </c>
      <c r="D63" s="6">
        <f>IFERROR(__xludf.DUMMYFUNCTION("""COMPUTED_VALUE"""),62.41)</f>
        <v>62.41</v>
      </c>
      <c r="E63" s="6">
        <f>IFERROR(__xludf.DUMMYFUNCTION("""COMPUTED_VALUE"""),62.98)</f>
        <v>62.98</v>
      </c>
      <c r="F63" s="6">
        <f>IFERROR(__xludf.DUMMYFUNCTION("""COMPUTED_VALUE"""),2.93912687E8)</f>
        <v>293912687</v>
      </c>
    </row>
    <row r="64">
      <c r="A64" s="7">
        <f>IFERROR(__xludf.DUMMYFUNCTION("""COMPUTED_VALUE"""),45632.64583333333)</f>
        <v>45632.64583</v>
      </c>
      <c r="B64" s="6">
        <f>IFERROR(__xludf.DUMMYFUNCTION("""COMPUTED_VALUE"""),63.11)</f>
        <v>63.11</v>
      </c>
      <c r="C64" s="6">
        <f>IFERROR(__xludf.DUMMYFUNCTION("""COMPUTED_VALUE"""),68.8)</f>
        <v>68.8</v>
      </c>
      <c r="D64" s="6">
        <f>IFERROR(__xludf.DUMMYFUNCTION("""COMPUTED_VALUE"""),62.28)</f>
        <v>62.28</v>
      </c>
      <c r="E64" s="6">
        <f>IFERROR(__xludf.DUMMYFUNCTION("""COMPUTED_VALUE"""),67.39)</f>
        <v>67.39</v>
      </c>
      <c r="F64" s="6">
        <f>IFERROR(__xludf.DUMMYFUNCTION("""COMPUTED_VALUE"""),3.44661108E8)</f>
        <v>344661108</v>
      </c>
    </row>
    <row r="65">
      <c r="A65" s="7">
        <f>IFERROR(__xludf.DUMMYFUNCTION("""COMPUTED_VALUE"""),45639.64583333333)</f>
        <v>45639.64583</v>
      </c>
      <c r="B65" s="6">
        <f>IFERROR(__xludf.DUMMYFUNCTION("""COMPUTED_VALUE"""),67.38)</f>
        <v>67.38</v>
      </c>
      <c r="C65" s="6">
        <f>IFERROR(__xludf.DUMMYFUNCTION("""COMPUTED_VALUE"""),67.8)</f>
        <v>67.8</v>
      </c>
      <c r="D65" s="6">
        <f>IFERROR(__xludf.DUMMYFUNCTION("""COMPUTED_VALUE"""),64.86)</f>
        <v>64.86</v>
      </c>
      <c r="E65" s="6">
        <f>IFERROR(__xludf.DUMMYFUNCTION("""COMPUTED_VALUE"""),66.2)</f>
        <v>66.2</v>
      </c>
      <c r="F65" s="6">
        <f>IFERROR(__xludf.DUMMYFUNCTION("""COMPUTED_VALUE"""),1.78280928E8)</f>
        <v>178280928</v>
      </c>
    </row>
    <row r="66">
      <c r="A66" s="7">
        <f>IFERROR(__xludf.DUMMYFUNCTION("""COMPUTED_VALUE"""),45646.64583333333)</f>
        <v>45646.64583</v>
      </c>
      <c r="B66" s="6">
        <f>IFERROR(__xludf.DUMMYFUNCTION("""COMPUTED_VALUE"""),67.5)</f>
        <v>67.5</v>
      </c>
      <c r="C66" s="6">
        <f>IFERROR(__xludf.DUMMYFUNCTION("""COMPUTED_VALUE"""),70.18)</f>
        <v>70.18</v>
      </c>
      <c r="D66" s="6">
        <f>IFERROR(__xludf.DUMMYFUNCTION("""COMPUTED_VALUE"""),63.95)</f>
        <v>63.95</v>
      </c>
      <c r="E66" s="6">
        <f>IFERROR(__xludf.DUMMYFUNCTION("""COMPUTED_VALUE"""),64.13)</f>
        <v>64.13</v>
      </c>
      <c r="F66" s="6">
        <f>IFERROR(__xludf.DUMMYFUNCTION("""COMPUTED_VALUE"""),4.25313914E8)</f>
        <v>425313914</v>
      </c>
    </row>
    <row r="67">
      <c r="A67" s="7">
        <f>IFERROR(__xludf.DUMMYFUNCTION("""COMPUTED_VALUE"""),45653.64583333333)</f>
        <v>45653.64583</v>
      </c>
      <c r="B67" s="6">
        <f>IFERROR(__xludf.DUMMYFUNCTION("""COMPUTED_VALUE"""),65.16)</f>
        <v>65.16</v>
      </c>
      <c r="C67" s="6">
        <f>IFERROR(__xludf.DUMMYFUNCTION("""COMPUTED_VALUE"""),65.38)</f>
        <v>65.38</v>
      </c>
      <c r="D67" s="6">
        <f>IFERROR(__xludf.DUMMYFUNCTION("""COMPUTED_VALUE"""),63.0)</f>
        <v>63</v>
      </c>
      <c r="E67" s="6">
        <f>IFERROR(__xludf.DUMMYFUNCTION("""COMPUTED_VALUE"""),63.25)</f>
        <v>63.25</v>
      </c>
      <c r="F67" s="6">
        <f>IFERROR(__xludf.DUMMYFUNCTION("""COMPUTED_VALUE"""),9.5027221E7)</f>
        <v>95027221</v>
      </c>
    </row>
    <row r="68">
      <c r="A68" s="7">
        <f>IFERROR(__xludf.DUMMYFUNCTION("""COMPUTED_VALUE"""),45660.64583333333)</f>
        <v>45660.64583</v>
      </c>
      <c r="B68" s="6">
        <f>IFERROR(__xludf.DUMMYFUNCTION("""COMPUTED_VALUE"""),63.19)</f>
        <v>63.19</v>
      </c>
      <c r="C68" s="6">
        <f>IFERROR(__xludf.DUMMYFUNCTION("""COMPUTED_VALUE"""),65.33)</f>
        <v>65.33</v>
      </c>
      <c r="D68" s="6">
        <f>IFERROR(__xludf.DUMMYFUNCTION("""COMPUTED_VALUE"""),61.06)</f>
        <v>61.06</v>
      </c>
      <c r="E68" s="6">
        <f>IFERROR(__xludf.DUMMYFUNCTION("""COMPUTED_VALUE"""),61.95)</f>
        <v>61.95</v>
      </c>
      <c r="F68" s="6">
        <f>IFERROR(__xludf.DUMMYFUNCTION("""COMPUTED_VALUE"""),2.57988695E8)</f>
        <v>257988695</v>
      </c>
    </row>
    <row r="69">
      <c r="A69" s="7">
        <f>IFERROR(__xludf.DUMMYFUNCTION("""COMPUTED_VALUE"""),45667.64583333333)</f>
        <v>45667.64583</v>
      </c>
      <c r="B69" s="6">
        <f>IFERROR(__xludf.DUMMYFUNCTION("""COMPUTED_VALUE"""),62.05)</f>
        <v>62.05</v>
      </c>
      <c r="C69" s="6">
        <f>IFERROR(__xludf.DUMMYFUNCTION("""COMPUTED_VALUE"""),62.12)</f>
        <v>62.12</v>
      </c>
      <c r="D69" s="6">
        <f>IFERROR(__xludf.DUMMYFUNCTION("""COMPUTED_VALUE"""),55.5)</f>
        <v>55.5</v>
      </c>
      <c r="E69" s="6">
        <f>IFERROR(__xludf.DUMMYFUNCTION("""COMPUTED_VALUE"""),55.57)</f>
        <v>55.57</v>
      </c>
      <c r="F69" s="6">
        <f>IFERROR(__xludf.DUMMYFUNCTION("""COMPUTED_VALUE"""),2.5817087E8)</f>
        <v>258170870</v>
      </c>
    </row>
    <row r="70">
      <c r="A70" s="7">
        <f>IFERROR(__xludf.DUMMYFUNCTION("""COMPUTED_VALUE"""),45674.64583333333)</f>
        <v>45674.64583</v>
      </c>
      <c r="B70" s="6">
        <f>IFERROR(__xludf.DUMMYFUNCTION("""COMPUTED_VALUE"""),54.5)</f>
        <v>54.5</v>
      </c>
      <c r="C70" s="6">
        <f>IFERROR(__xludf.DUMMYFUNCTION("""COMPUTED_VALUE"""),59.8)</f>
        <v>59.8</v>
      </c>
      <c r="D70" s="6">
        <f>IFERROR(__xludf.DUMMYFUNCTION("""COMPUTED_VALUE"""),53.98)</f>
        <v>53.98</v>
      </c>
      <c r="E70" s="6">
        <f>IFERROR(__xludf.DUMMYFUNCTION("""COMPUTED_VALUE"""),56.84)</f>
        <v>56.84</v>
      </c>
      <c r="F70" s="6">
        <f>IFERROR(__xludf.DUMMYFUNCTION("""COMPUTED_VALUE"""),2.79976219E8)</f>
        <v>279976219</v>
      </c>
    </row>
    <row r="71">
      <c r="A71" s="7">
        <f>IFERROR(__xludf.DUMMYFUNCTION("""COMPUTED_VALUE"""),45681.64583333333)</f>
        <v>45681.64583</v>
      </c>
      <c r="B71" s="6">
        <f>IFERROR(__xludf.DUMMYFUNCTION("""COMPUTED_VALUE"""),57.52)</f>
        <v>57.52</v>
      </c>
      <c r="C71" s="6">
        <f>IFERROR(__xludf.DUMMYFUNCTION("""COMPUTED_VALUE"""),58.79)</f>
        <v>58.79</v>
      </c>
      <c r="D71" s="6">
        <f>IFERROR(__xludf.DUMMYFUNCTION("""COMPUTED_VALUE"""),52.15)</f>
        <v>52.15</v>
      </c>
      <c r="E71" s="6">
        <f>IFERROR(__xludf.DUMMYFUNCTION("""COMPUTED_VALUE"""),52.54)</f>
        <v>52.54</v>
      </c>
      <c r="F71" s="6">
        <f>IFERROR(__xludf.DUMMYFUNCTION("""COMPUTED_VALUE"""),2.4629842E8)</f>
        <v>246298420</v>
      </c>
    </row>
    <row r="72">
      <c r="A72" s="7">
        <f>IFERROR(__xludf.DUMMYFUNCTION("""COMPUTED_VALUE"""),45695.64583333333)</f>
        <v>45695.64583</v>
      </c>
      <c r="B72" s="6">
        <f>IFERROR(__xludf.DUMMYFUNCTION("""COMPUTED_VALUE"""),57.78)</f>
        <v>57.78</v>
      </c>
      <c r="C72" s="6">
        <f>IFERROR(__xludf.DUMMYFUNCTION("""COMPUTED_VALUE"""),59.1)</f>
        <v>59.1</v>
      </c>
      <c r="D72" s="6">
        <f>IFERROR(__xludf.DUMMYFUNCTION("""COMPUTED_VALUE"""),52.92)</f>
        <v>52.92</v>
      </c>
      <c r="E72" s="6">
        <f>IFERROR(__xludf.DUMMYFUNCTION("""COMPUTED_VALUE"""),53.61)</f>
        <v>53.61</v>
      </c>
      <c r="F72" s="6">
        <f>IFERROR(__xludf.DUMMYFUNCTION("""COMPUTED_VALUE"""),2.44171279E8)</f>
        <v>244171279</v>
      </c>
    </row>
    <row r="73">
      <c r="A73" s="7">
        <f>IFERROR(__xludf.DUMMYFUNCTION("""COMPUTED_VALUE"""),45702.64583333333)</f>
        <v>45702.64583</v>
      </c>
      <c r="B73" s="6">
        <f>IFERROR(__xludf.DUMMYFUNCTION("""COMPUTED_VALUE"""),53.39)</f>
        <v>53.39</v>
      </c>
      <c r="C73" s="6">
        <f>IFERROR(__xludf.DUMMYFUNCTION("""COMPUTED_VALUE"""),54.39)</f>
        <v>54.39</v>
      </c>
      <c r="D73" s="6">
        <f>IFERROR(__xludf.DUMMYFUNCTION("""COMPUTED_VALUE"""),49.05)</f>
        <v>49.05</v>
      </c>
      <c r="E73" s="6">
        <f>IFERROR(__xludf.DUMMYFUNCTION("""COMPUTED_VALUE"""),51.14)</f>
        <v>51.14</v>
      </c>
      <c r="F73" s="6">
        <f>IFERROR(__xludf.DUMMYFUNCTION("""COMPUTED_VALUE"""),2.37396869E8)</f>
        <v>237396869</v>
      </c>
    </row>
    <row r="74">
      <c r="A74" s="7">
        <f>IFERROR(__xludf.DUMMYFUNCTION("""COMPUTED_VALUE"""),45709.64583333333)</f>
        <v>45709.64583</v>
      </c>
      <c r="B74" s="6">
        <f>IFERROR(__xludf.DUMMYFUNCTION("""COMPUTED_VALUE"""),51.0)</f>
        <v>51</v>
      </c>
      <c r="C74" s="6">
        <f>IFERROR(__xludf.DUMMYFUNCTION("""COMPUTED_VALUE"""),56.3)</f>
        <v>56.3</v>
      </c>
      <c r="D74" s="6">
        <f>IFERROR(__xludf.DUMMYFUNCTION("""COMPUTED_VALUE"""),49.49)</f>
        <v>49.49</v>
      </c>
      <c r="E74" s="6">
        <f>IFERROR(__xludf.DUMMYFUNCTION("""COMPUTED_VALUE"""),55.17)</f>
        <v>55.17</v>
      </c>
      <c r="F74" s="6">
        <f>IFERROR(__xludf.DUMMYFUNCTION("""COMPUTED_VALUE"""),2.53313374E8)</f>
        <v>253313374</v>
      </c>
    </row>
    <row r="75">
      <c r="A75" s="7">
        <f>IFERROR(__xludf.DUMMYFUNCTION("""COMPUTED_VALUE"""),45716.64583333333)</f>
        <v>45716.64583</v>
      </c>
      <c r="B75" s="6">
        <f>IFERROR(__xludf.DUMMYFUNCTION("""COMPUTED_VALUE"""),54.6)</f>
        <v>54.6</v>
      </c>
      <c r="C75" s="6">
        <f>IFERROR(__xludf.DUMMYFUNCTION("""COMPUTED_VALUE"""),55.08)</f>
        <v>55.08</v>
      </c>
      <c r="D75" s="6">
        <f>IFERROR(__xludf.DUMMYFUNCTION("""COMPUTED_VALUE"""),49.51)</f>
        <v>49.51</v>
      </c>
      <c r="E75" s="6">
        <f>IFERROR(__xludf.DUMMYFUNCTION("""COMPUTED_VALUE"""),49.71)</f>
        <v>49.71</v>
      </c>
      <c r="F75" s="6">
        <f>IFERROR(__xludf.DUMMYFUNCTION("""COMPUTED_VALUE"""),1.97239334E8)</f>
        <v>197239334</v>
      </c>
    </row>
    <row r="76">
      <c r="A76" s="7">
        <f>IFERROR(__xludf.DUMMYFUNCTION("""COMPUTED_VALUE"""),45723.64583333333)</f>
        <v>45723.64583</v>
      </c>
      <c r="B76" s="6">
        <f>IFERROR(__xludf.DUMMYFUNCTION("""COMPUTED_VALUE"""),50.05)</f>
        <v>50.05</v>
      </c>
      <c r="C76" s="6">
        <f>IFERROR(__xludf.DUMMYFUNCTION("""COMPUTED_VALUE"""),56.94)</f>
        <v>56.94</v>
      </c>
      <c r="D76" s="6">
        <f>IFERROR(__xludf.DUMMYFUNCTION("""COMPUTED_VALUE"""),46.6)</f>
        <v>46.6</v>
      </c>
      <c r="E76" s="6">
        <f>IFERROR(__xludf.DUMMYFUNCTION("""COMPUTED_VALUE"""),54.92)</f>
        <v>54.92</v>
      </c>
      <c r="F76" s="6">
        <f>IFERROR(__xludf.DUMMYFUNCTION("""COMPUTED_VALUE"""),4.11887837E8)</f>
        <v>411887837</v>
      </c>
    </row>
    <row r="77">
      <c r="A77" s="7">
        <f>IFERROR(__xludf.DUMMYFUNCTION("""COMPUTED_VALUE"""),45729.64583333333)</f>
        <v>45729.64583</v>
      </c>
      <c r="B77" s="6">
        <f>IFERROR(__xludf.DUMMYFUNCTION("""COMPUTED_VALUE"""),55.11)</f>
        <v>55.11</v>
      </c>
      <c r="C77" s="6">
        <f>IFERROR(__xludf.DUMMYFUNCTION("""COMPUTED_VALUE"""),56.79)</f>
        <v>56.79</v>
      </c>
      <c r="D77" s="6">
        <f>IFERROR(__xludf.DUMMYFUNCTION("""COMPUTED_VALUE"""),51.63)</f>
        <v>51.63</v>
      </c>
      <c r="E77" s="6">
        <f>IFERROR(__xludf.DUMMYFUNCTION("""COMPUTED_VALUE"""),54.58)</f>
        <v>54.58</v>
      </c>
      <c r="F77" s="6">
        <f>IFERROR(__xludf.DUMMYFUNCTION("""COMPUTED_VALUE"""),2.32123891E8)</f>
        <v>232123891</v>
      </c>
    </row>
    <row r="78">
      <c r="A78" s="7">
        <f>IFERROR(__xludf.DUMMYFUNCTION("""COMPUTED_VALUE"""),45737.64583333333)</f>
        <v>45737.64583</v>
      </c>
      <c r="B78" s="6">
        <f>IFERROR(__xludf.DUMMYFUNCTION("""COMPUTED_VALUE"""),54.74)</f>
        <v>54.74</v>
      </c>
      <c r="C78" s="6">
        <f>IFERROR(__xludf.DUMMYFUNCTION("""COMPUTED_VALUE"""),59.4)</f>
        <v>59.4</v>
      </c>
      <c r="D78" s="6">
        <f>IFERROR(__xludf.DUMMYFUNCTION("""COMPUTED_VALUE"""),54.25)</f>
        <v>54.25</v>
      </c>
      <c r="E78" s="6">
        <f>IFERROR(__xludf.DUMMYFUNCTION("""COMPUTED_VALUE"""),56.5)</f>
        <v>56.5</v>
      </c>
      <c r="F78" s="6">
        <f>IFERROR(__xludf.DUMMYFUNCTION("""COMPUTED_VALUE"""),3.3239398E8)</f>
        <v>332393980</v>
      </c>
    </row>
    <row r="79">
      <c r="A79" s="7">
        <f>IFERROR(__xludf.DUMMYFUNCTION("""COMPUTED_VALUE"""),45744.64583333333)</f>
        <v>45744.64583</v>
      </c>
      <c r="B79" s="6">
        <f>IFERROR(__xludf.DUMMYFUNCTION("""COMPUTED_VALUE"""),57.69)</f>
        <v>57.69</v>
      </c>
      <c r="C79" s="6">
        <f>IFERROR(__xludf.DUMMYFUNCTION("""COMPUTED_VALUE"""),59.48)</f>
        <v>59.48</v>
      </c>
      <c r="D79" s="6">
        <f>IFERROR(__xludf.DUMMYFUNCTION("""COMPUTED_VALUE"""),56.3)</f>
        <v>56.3</v>
      </c>
      <c r="E79" s="6">
        <f>IFERROR(__xludf.DUMMYFUNCTION("""COMPUTED_VALUE"""),56.66)</f>
        <v>56.66</v>
      </c>
      <c r="F79" s="6">
        <f>IFERROR(__xludf.DUMMYFUNCTION("""COMPUTED_VALUE"""),2.70288652E8)</f>
        <v>270288652</v>
      </c>
    </row>
    <row r="80">
      <c r="A80" s="7">
        <f>IFERROR(__xludf.DUMMYFUNCTION("""COMPUTED_VALUE"""),45751.64583333333)</f>
        <v>45751.64583</v>
      </c>
      <c r="B80" s="6">
        <f>IFERROR(__xludf.DUMMYFUNCTION("""COMPUTED_VALUE"""),55.5)</f>
        <v>55.5</v>
      </c>
      <c r="C80" s="6">
        <f>IFERROR(__xludf.DUMMYFUNCTION("""COMPUTED_VALUE"""),57.82)</f>
        <v>57.82</v>
      </c>
      <c r="D80" s="6">
        <f>IFERROR(__xludf.DUMMYFUNCTION("""COMPUTED_VALUE"""),54.36)</f>
        <v>54.36</v>
      </c>
      <c r="E80" s="6">
        <f>IFERROR(__xludf.DUMMYFUNCTION("""COMPUTED_VALUE"""),55.36)</f>
        <v>55.36</v>
      </c>
      <c r="F80" s="6">
        <f>IFERROR(__xludf.DUMMYFUNCTION("""COMPUTED_VALUE"""),1.85118719E8)</f>
        <v>185118719</v>
      </c>
    </row>
    <row r="81">
      <c r="A81" s="7">
        <f>IFERROR(__xludf.DUMMYFUNCTION("""COMPUTED_VALUE"""),45758.64583333333)</f>
        <v>45758.64583</v>
      </c>
      <c r="B81" s="6">
        <f>IFERROR(__xludf.DUMMYFUNCTION("""COMPUTED_VALUE"""),46.9)</f>
        <v>46.9</v>
      </c>
      <c r="C81" s="6">
        <f>IFERROR(__xludf.DUMMYFUNCTION("""COMPUTED_VALUE"""),54.34)</f>
        <v>54.34</v>
      </c>
      <c r="D81" s="6">
        <f>IFERROR(__xludf.DUMMYFUNCTION("""COMPUTED_VALUE"""),46.15)</f>
        <v>46.15</v>
      </c>
      <c r="E81" s="6">
        <f>IFERROR(__xludf.DUMMYFUNCTION("""COMPUTED_VALUE"""),53.0)</f>
        <v>53</v>
      </c>
      <c r="F81" s="6">
        <f>IFERROR(__xludf.DUMMYFUNCTION("""COMPUTED_VALUE"""),2.23297073E8)</f>
        <v>223297073</v>
      </c>
    </row>
    <row r="82">
      <c r="A82" s="7">
        <f>IFERROR(__xludf.DUMMYFUNCTION("""COMPUTED_VALUE"""),45764.64583333333)</f>
        <v>45764.64583</v>
      </c>
      <c r="B82" s="6">
        <f>IFERROR(__xludf.DUMMYFUNCTION("""COMPUTED_VALUE"""),54.88)</f>
        <v>54.88</v>
      </c>
      <c r="C82" s="6">
        <f>IFERROR(__xludf.DUMMYFUNCTION("""COMPUTED_VALUE"""),55.72)</f>
        <v>55.72</v>
      </c>
      <c r="D82" s="6">
        <f>IFERROR(__xludf.DUMMYFUNCTION("""COMPUTED_VALUE"""),53.85)</f>
        <v>53.85</v>
      </c>
      <c r="E82" s="6">
        <f>IFERROR(__xludf.DUMMYFUNCTION("""COMPUTED_VALUE"""),55.07)</f>
        <v>55.07</v>
      </c>
      <c r="F82" s="6">
        <f>IFERROR(__xludf.DUMMYFUNCTION("""COMPUTED_VALUE"""),1.47912407E8)</f>
        <v>147912407</v>
      </c>
    </row>
    <row r="83">
      <c r="A83" s="7">
        <f>IFERROR(__xludf.DUMMYFUNCTION("""COMPUTED_VALUE"""),45772.64583333333)</f>
        <v>45772.64583</v>
      </c>
      <c r="B83" s="6">
        <f>IFERROR(__xludf.DUMMYFUNCTION("""COMPUTED_VALUE"""),55.55)</f>
        <v>55.55</v>
      </c>
      <c r="C83" s="6">
        <f>IFERROR(__xludf.DUMMYFUNCTION("""COMPUTED_VALUE"""),61.58)</f>
        <v>61.58</v>
      </c>
      <c r="D83" s="6">
        <f>IFERROR(__xludf.DUMMYFUNCTION("""COMPUTED_VALUE"""),55.5)</f>
        <v>55.5</v>
      </c>
      <c r="E83" s="6">
        <f>IFERROR(__xludf.DUMMYFUNCTION("""COMPUTED_VALUE"""),58.3)</f>
        <v>58.3</v>
      </c>
      <c r="F83" s="6">
        <f>IFERROR(__xludf.DUMMYFUNCTION("""COMPUTED_VALUE"""),5.58995932E8)</f>
        <v>558995932</v>
      </c>
    </row>
    <row r="84">
      <c r="A84" s="7">
        <f>IFERROR(__xludf.DUMMYFUNCTION("""COMPUTED_VALUE"""),45779.64583333333)</f>
        <v>45779.64583</v>
      </c>
      <c r="B84" s="6">
        <f>IFERROR(__xludf.DUMMYFUNCTION("""COMPUTED_VALUE"""),57.5)</f>
        <v>57.5</v>
      </c>
      <c r="C84" s="6">
        <f>IFERROR(__xludf.DUMMYFUNCTION("""COMPUTED_VALUE"""),59.5)</f>
        <v>59.5</v>
      </c>
      <c r="D84" s="6">
        <f>IFERROR(__xludf.DUMMYFUNCTION("""COMPUTED_VALUE"""),55.86)</f>
        <v>55.86</v>
      </c>
      <c r="E84" s="6">
        <f>IFERROR(__xludf.DUMMYFUNCTION("""COMPUTED_VALUE"""),56.25)</f>
        <v>56.25</v>
      </c>
      <c r="F84" s="6">
        <f>IFERROR(__xludf.DUMMYFUNCTION("""COMPUTED_VALUE"""),1.93270757E8)</f>
        <v>193270757</v>
      </c>
    </row>
    <row r="85">
      <c r="A85" s="7">
        <f>IFERROR(__xludf.DUMMYFUNCTION("""COMPUTED_VALUE"""),45786.64583333333)</f>
        <v>45786.64583</v>
      </c>
      <c r="B85" s="6">
        <f>IFERROR(__xludf.DUMMYFUNCTION("""COMPUTED_VALUE"""),56.5)</f>
        <v>56.5</v>
      </c>
      <c r="C85" s="6">
        <f>IFERROR(__xludf.DUMMYFUNCTION("""COMPUTED_VALUE"""),57.49)</f>
        <v>57.49</v>
      </c>
      <c r="D85" s="6">
        <f>IFERROR(__xludf.DUMMYFUNCTION("""COMPUTED_VALUE"""),51.1)</f>
        <v>51.1</v>
      </c>
      <c r="E85" s="6">
        <f>IFERROR(__xludf.DUMMYFUNCTION("""COMPUTED_VALUE"""),52.67)</f>
        <v>52.67</v>
      </c>
      <c r="F85" s="6">
        <f>IFERROR(__xludf.DUMMYFUNCTION("""COMPUTED_VALUE"""),3.243657E8)</f>
        <v>324365700</v>
      </c>
    </row>
    <row r="86">
      <c r="A86" s="7">
        <f>IFERROR(__xludf.DUMMYFUNCTION("""COMPUTED_VALUE"""),45793.64583333333)</f>
        <v>45793.64583</v>
      </c>
      <c r="B86" s="6">
        <f>IFERROR(__xludf.DUMMYFUNCTION("""COMPUTED_VALUE"""),56.24)</f>
        <v>56.24</v>
      </c>
      <c r="C86" s="6">
        <f>IFERROR(__xludf.DUMMYFUNCTION("""COMPUTED_VALUE"""),62.13)</f>
        <v>62.13</v>
      </c>
      <c r="D86" s="6">
        <f>IFERROR(__xludf.DUMMYFUNCTION("""COMPUTED_VALUE"""),55.24)</f>
        <v>55.24</v>
      </c>
      <c r="E86" s="6">
        <f>IFERROR(__xludf.DUMMYFUNCTION("""COMPUTED_VALUE"""),61.08)</f>
        <v>61.08</v>
      </c>
      <c r="F86" s="6">
        <f>IFERROR(__xludf.DUMMYFUNCTION("""COMPUTED_VALUE"""),4.00745387E8)</f>
        <v>400745387</v>
      </c>
    </row>
    <row r="87">
      <c r="A87" s="7">
        <f>IFERROR(__xludf.DUMMYFUNCTION("""COMPUTED_VALUE"""),45800.64583333333)</f>
        <v>45800.64583</v>
      </c>
      <c r="B87" s="6">
        <f>IFERROR(__xludf.DUMMYFUNCTION("""COMPUTED_VALUE"""),61.21)</f>
        <v>61.21</v>
      </c>
      <c r="C87" s="6">
        <f>IFERROR(__xludf.DUMMYFUNCTION("""COMPUTED_VALUE"""),62.9)</f>
        <v>62.9</v>
      </c>
      <c r="D87" s="6">
        <f>IFERROR(__xludf.DUMMYFUNCTION("""COMPUTED_VALUE"""),59.35)</f>
        <v>59.35</v>
      </c>
      <c r="E87" s="6">
        <f>IFERROR(__xludf.DUMMYFUNCTION("""COMPUTED_VALUE"""),62.21)</f>
        <v>62.21</v>
      </c>
      <c r="F87" s="6">
        <f>IFERROR(__xludf.DUMMYFUNCTION("""COMPUTED_VALUE"""),3.09605694E8)</f>
        <v>309605694</v>
      </c>
    </row>
    <row r="88">
      <c r="A88" s="7">
        <f>IFERROR(__xludf.DUMMYFUNCTION("""COMPUTED_VALUE"""),45807.64583333333)</f>
        <v>45807.64583</v>
      </c>
      <c r="B88" s="6">
        <f>IFERROR(__xludf.DUMMYFUNCTION("""COMPUTED_VALUE"""),62.83)</f>
        <v>62.83</v>
      </c>
      <c r="C88" s="6">
        <f>IFERROR(__xludf.DUMMYFUNCTION("""COMPUTED_VALUE"""),74.3)</f>
        <v>74.3</v>
      </c>
      <c r="D88" s="6">
        <f>IFERROR(__xludf.DUMMYFUNCTION("""COMPUTED_VALUE"""),62.74)</f>
        <v>62.74</v>
      </c>
      <c r="E88" s="6">
        <f>IFERROR(__xludf.DUMMYFUNCTION("""COMPUTED_VALUE"""),71.48)</f>
        <v>71.48</v>
      </c>
      <c r="F88" s="6">
        <f>IFERROR(__xludf.DUMMYFUNCTION("""COMPUTED_VALUE"""),1.06890647E9)</f>
        <v>1068906470</v>
      </c>
    </row>
    <row r="89">
      <c r="A89" s="7">
        <f>IFERROR(__xludf.DUMMYFUNCTION("""COMPUTED_VALUE"""),45814.64583333333)</f>
        <v>45814.64583</v>
      </c>
      <c r="B89" s="6">
        <f>IFERROR(__xludf.DUMMYFUNCTION("""COMPUTED_VALUE"""),72.2)</f>
        <v>72.2</v>
      </c>
      <c r="C89" s="6">
        <f>IFERROR(__xludf.DUMMYFUNCTION("""COMPUTED_VALUE"""),73.5)</f>
        <v>73.5</v>
      </c>
      <c r="D89" s="6">
        <f>IFERROR(__xludf.DUMMYFUNCTION("""COMPUTED_VALUE"""),66.1)</f>
        <v>66.1</v>
      </c>
      <c r="E89" s="6">
        <f>IFERROR(__xludf.DUMMYFUNCTION("""COMPUTED_VALUE"""),66.71)</f>
        <v>66.71</v>
      </c>
      <c r="F89" s="6">
        <f>IFERROR(__xludf.DUMMYFUNCTION("""COMPUTED_VALUE"""),6.58463861E8)</f>
        <v>658463861</v>
      </c>
    </row>
    <row r="90">
      <c r="A90" s="7">
        <f>IFERROR(__xludf.DUMMYFUNCTION("""COMPUTED_VALUE"""),45821.64583333333)</f>
        <v>45821.64583</v>
      </c>
      <c r="B90" s="6">
        <f>IFERROR(__xludf.DUMMYFUNCTION("""COMPUTED_VALUE"""),67.75)</f>
        <v>67.75</v>
      </c>
      <c r="C90" s="6">
        <f>IFERROR(__xludf.DUMMYFUNCTION("""COMPUTED_VALUE"""),69.5)</f>
        <v>69.5</v>
      </c>
      <c r="D90" s="6">
        <f>IFERROR(__xludf.DUMMYFUNCTION("""COMPUTED_VALUE"""),63.32)</f>
        <v>63.32</v>
      </c>
      <c r="E90" s="6">
        <f>IFERROR(__xludf.DUMMYFUNCTION("""COMPUTED_VALUE"""),64.73)</f>
        <v>64.73</v>
      </c>
      <c r="F90" s="6">
        <f>IFERROR(__xludf.DUMMYFUNCTION("""COMPUTED_VALUE"""),5.50367005E8)</f>
        <v>550367005</v>
      </c>
    </row>
    <row r="91">
      <c r="A91" s="7">
        <f>IFERROR(__xludf.DUMMYFUNCTION("""COMPUTED_VALUE"""),45828.64583333333)</f>
        <v>45828.64583</v>
      </c>
      <c r="B91" s="6">
        <f>IFERROR(__xludf.DUMMYFUNCTION("""COMPUTED_VALUE"""),64.5)</f>
        <v>64.5</v>
      </c>
      <c r="C91" s="6">
        <f>IFERROR(__xludf.DUMMYFUNCTION("""COMPUTED_VALUE"""),65.87)</f>
        <v>65.87</v>
      </c>
      <c r="D91" s="6">
        <f>IFERROR(__xludf.DUMMYFUNCTION("""COMPUTED_VALUE"""),61.76)</f>
        <v>61.76</v>
      </c>
      <c r="E91" s="6">
        <f>IFERROR(__xludf.DUMMYFUNCTION("""COMPUTED_VALUE"""),63.23)</f>
        <v>63.23</v>
      </c>
      <c r="F91" s="6">
        <f>IFERROR(__xludf.DUMMYFUNCTION("""COMPUTED_VALUE"""),4.40423623E8)</f>
        <v>440423623</v>
      </c>
    </row>
    <row r="92">
      <c r="A92" s="7">
        <f>IFERROR(__xludf.DUMMYFUNCTION("""COMPUTED_VALUE"""),45835.64583333333)</f>
        <v>45835.64583</v>
      </c>
      <c r="B92" s="6">
        <f>IFERROR(__xludf.DUMMYFUNCTION("""COMPUTED_VALUE"""),62.6)</f>
        <v>62.6</v>
      </c>
      <c r="C92" s="6">
        <f>IFERROR(__xludf.DUMMYFUNCTION("""COMPUTED_VALUE"""),67.7)</f>
        <v>67.7</v>
      </c>
      <c r="D92" s="6">
        <f>IFERROR(__xludf.DUMMYFUNCTION("""COMPUTED_VALUE"""),62.05)</f>
        <v>62.05</v>
      </c>
      <c r="E92" s="6">
        <f>IFERROR(__xludf.DUMMYFUNCTION("""COMPUTED_VALUE"""),67.32)</f>
        <v>67.32</v>
      </c>
      <c r="F92" s="6">
        <f>IFERROR(__xludf.DUMMYFUNCTION("""COMPUTED_VALUE"""),4.05258376E8)</f>
        <v>405258376</v>
      </c>
    </row>
    <row r="93">
      <c r="A93" s="7">
        <f>IFERROR(__xludf.DUMMYFUNCTION("""COMPUTED_VALUE"""),45842.64583333333)</f>
        <v>45842.64583</v>
      </c>
      <c r="B93" s="6">
        <f>IFERROR(__xludf.DUMMYFUNCTION("""COMPUTED_VALUE"""),67.65)</f>
        <v>67.65</v>
      </c>
      <c r="C93" s="6">
        <f>IFERROR(__xludf.DUMMYFUNCTION("""COMPUTED_VALUE"""),68.17)</f>
        <v>68.17</v>
      </c>
      <c r="D93" s="6">
        <f>IFERROR(__xludf.DUMMYFUNCTION("""COMPUTED_VALUE"""),64.4)</f>
        <v>64.4</v>
      </c>
      <c r="E93" s="6">
        <f>IFERROR(__xludf.DUMMYFUNCTION("""COMPUTED_VALUE"""),65.53)</f>
        <v>65.53</v>
      </c>
      <c r="F93" s="6">
        <f>IFERROR(__xludf.DUMMYFUNCTION("""COMPUTED_VALUE"""),3.02969414E8)</f>
        <v>302969414</v>
      </c>
    </row>
    <row r="94">
      <c r="A94" s="7">
        <f>IFERROR(__xludf.DUMMYFUNCTION("""COMPUTED_VALUE"""),45849.64583333333)</f>
        <v>45849.64583</v>
      </c>
      <c r="B94" s="6">
        <f>IFERROR(__xludf.DUMMYFUNCTION("""COMPUTED_VALUE"""),65.8)</f>
        <v>65.8</v>
      </c>
      <c r="C94" s="6">
        <f>IFERROR(__xludf.DUMMYFUNCTION("""COMPUTED_VALUE"""),66.85)</f>
        <v>66.85</v>
      </c>
      <c r="D94" s="6">
        <f>IFERROR(__xludf.DUMMYFUNCTION("""COMPUTED_VALUE"""),65.13)</f>
        <v>65.13</v>
      </c>
      <c r="E94" s="6">
        <f>IFERROR(__xludf.DUMMYFUNCTION("""COMPUTED_VALUE"""),65.92)</f>
        <v>65.92</v>
      </c>
      <c r="F94" s="6">
        <f>IFERROR(__xludf.DUMMYFUNCTION("""COMPUTED_VALUE"""),1.86419485E8)</f>
        <v>186419485</v>
      </c>
    </row>
    <row r="95">
      <c r="A95" s="7">
        <f>IFERROR(__xludf.DUMMYFUNCTION("""COMPUTED_VALUE"""),45856.64583333333)</f>
        <v>45856.64583</v>
      </c>
      <c r="B95" s="6">
        <f>IFERROR(__xludf.DUMMYFUNCTION("""COMPUTED_VALUE"""),66.22)</f>
        <v>66.22</v>
      </c>
      <c r="C95" s="6">
        <f>IFERROR(__xludf.DUMMYFUNCTION("""COMPUTED_VALUE"""),68.3)</f>
        <v>68.3</v>
      </c>
      <c r="D95" s="6">
        <f>IFERROR(__xludf.DUMMYFUNCTION("""COMPUTED_VALUE"""),64.77)</f>
        <v>64.77</v>
      </c>
      <c r="E95" s="6">
        <f>IFERROR(__xludf.DUMMYFUNCTION("""COMPUTED_VALUE"""),65.06)</f>
        <v>65.06</v>
      </c>
      <c r="F95" s="6">
        <f>IFERROR(__xludf.DUMMYFUNCTION("""COMPUTED_VALUE"""),2.27443464E8)</f>
        <v>227443464</v>
      </c>
    </row>
    <row r="96">
      <c r="A96" s="7">
        <f>IFERROR(__xludf.DUMMYFUNCTION("""COMPUTED_VALUE"""),45863.64583333333)</f>
        <v>45863.64583</v>
      </c>
      <c r="B96" s="6">
        <f>IFERROR(__xludf.DUMMYFUNCTION("""COMPUTED_VALUE"""),65.24)</f>
        <v>65.24</v>
      </c>
      <c r="C96" s="6">
        <f>IFERROR(__xludf.DUMMYFUNCTION("""COMPUTED_VALUE"""),66.78)</f>
        <v>66.78</v>
      </c>
      <c r="D96" s="6">
        <f>IFERROR(__xludf.DUMMYFUNCTION("""COMPUTED_VALUE"""),62.83)</f>
        <v>62.83</v>
      </c>
      <c r="E96" s="6">
        <f>IFERROR(__xludf.DUMMYFUNCTION("""COMPUTED_VALUE"""),63.62)</f>
        <v>63.62</v>
      </c>
      <c r="F96" s="6">
        <f>IFERROR(__xludf.DUMMYFUNCTION("""COMPUTED_VALUE"""),1.85386204E8)</f>
        <v>185386204</v>
      </c>
    </row>
    <row r="97">
      <c r="A97" s="7">
        <f>IFERROR(__xludf.DUMMYFUNCTION("""COMPUTED_VALUE"""),45870.64583333333)</f>
        <v>45870.64583</v>
      </c>
      <c r="B97" s="6">
        <f>IFERROR(__xludf.DUMMYFUNCTION("""COMPUTED_VALUE"""),63.5)</f>
        <v>63.5</v>
      </c>
      <c r="C97" s="6">
        <f>IFERROR(__xludf.DUMMYFUNCTION("""COMPUTED_VALUE"""),66.8)</f>
        <v>66.8</v>
      </c>
      <c r="D97" s="6">
        <f>IFERROR(__xludf.DUMMYFUNCTION("""COMPUTED_VALUE"""),59.78)</f>
        <v>59.78</v>
      </c>
      <c r="E97" s="6">
        <f>IFERROR(__xludf.DUMMYFUNCTION("""COMPUTED_VALUE"""),65.95)</f>
        <v>65.95</v>
      </c>
      <c r="F97" s="6">
        <f>IFERROR(__xludf.DUMMYFUNCTION("""COMPUTED_VALUE"""),4.78455217E8)</f>
        <v>478455217</v>
      </c>
    </row>
    <row r="98">
      <c r="A98" s="7">
        <f>IFERROR(__xludf.DUMMYFUNCTION("""COMPUTED_VALUE"""),45877.64583333333)</f>
        <v>45877.64583</v>
      </c>
      <c r="B98" s="6">
        <f>IFERROR(__xludf.DUMMYFUNCTION("""COMPUTED_VALUE"""),66.6)</f>
        <v>66.6</v>
      </c>
      <c r="C98" s="6">
        <f>IFERROR(__xludf.DUMMYFUNCTION("""COMPUTED_VALUE"""),66.81)</f>
        <v>66.81</v>
      </c>
      <c r="D98" s="6">
        <f>IFERROR(__xludf.DUMMYFUNCTION("""COMPUTED_VALUE"""),62.21)</f>
        <v>62.21</v>
      </c>
      <c r="E98" s="6">
        <f>IFERROR(__xludf.DUMMYFUNCTION("""COMPUTED_VALUE"""),63.19)</f>
        <v>63.19</v>
      </c>
      <c r="F98" s="6">
        <f>IFERROR(__xludf.DUMMYFUNCTION("""COMPUTED_VALUE"""),2.88555894E8)</f>
        <v>288555894</v>
      </c>
    </row>
    <row r="99">
      <c r="A99" s="7">
        <f>IFERROR(__xludf.DUMMYFUNCTION("""COMPUTED_VALUE"""),45883.64583333333)</f>
        <v>45883.64583</v>
      </c>
      <c r="B99" s="6">
        <f>IFERROR(__xludf.DUMMYFUNCTION("""COMPUTED_VALUE"""),63.2)</f>
        <v>63.2</v>
      </c>
      <c r="C99" s="6">
        <f>IFERROR(__xludf.DUMMYFUNCTION("""COMPUTED_VALUE"""),64.95)</f>
        <v>64.95</v>
      </c>
      <c r="D99" s="6">
        <f>IFERROR(__xludf.DUMMYFUNCTION("""COMPUTED_VALUE"""),60.0)</f>
        <v>60</v>
      </c>
      <c r="E99" s="6">
        <f>IFERROR(__xludf.DUMMYFUNCTION("""COMPUTED_VALUE"""),60.06)</f>
        <v>60.06</v>
      </c>
      <c r="F99" s="6">
        <f>IFERROR(__xludf.DUMMYFUNCTION("""COMPUTED_VALUE"""),3.89236187E8)</f>
        <v>389236187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IFERROR(__xludf.DUMMYFUNCTION("""COMPUTED_VALUE"""),61.5)</f>
        <v>61.5</v>
      </c>
      <c r="C100" s="6">
        <f>IFERROR(__xludf.DUMMYFUNCTION("""COMPUTED_VALUE"""),61.64)</f>
        <v>61.64</v>
      </c>
      <c r="D100" s="6">
        <f>IFERROR(__xludf.DUMMYFUNCTION("""COMPUTED_VALUE"""),56.62)</f>
        <v>56.62</v>
      </c>
      <c r="E100" s="6">
        <f>IFERROR(__xludf.DUMMYFUNCTION("""COMPUTED_VALUE"""),58.51)</f>
        <v>58.51</v>
      </c>
      <c r="F100" s="6">
        <f>IFERROR(__xludf.DUMMYFUNCTION("""COMPUTED_VALUE"""),4.55063187E8)</f>
        <v>455063187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IFERROR(__xludf.DUMMYFUNCTION("""COMPUTED_VALUE"""),59.04)</f>
        <v>59.04</v>
      </c>
      <c r="C101" s="6">
        <f>IFERROR(__xludf.DUMMYFUNCTION("""COMPUTED_VALUE"""),59.04)</f>
        <v>59.04</v>
      </c>
      <c r="D101" s="6">
        <f>IFERROR(__xludf.DUMMYFUNCTION("""COMPUTED_VALUE"""),56.61)</f>
        <v>56.61</v>
      </c>
      <c r="E101" s="6">
        <f>IFERROR(__xludf.DUMMYFUNCTION("""COMPUTED_VALUE"""),56.97)</f>
        <v>56.97</v>
      </c>
      <c r="F101" s="6">
        <f>IFERROR(__xludf.DUMMYFUNCTION("""COMPUTED_VALUE"""),8.77135674E8)</f>
        <v>877135674</v>
      </c>
    </row>
  </sheetData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IFERROR(__xludf.DUMMYFUNCTION("GOOGLEFINANCE(""NSE:SWIGGY"",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IFERROR(__xludf.DUMMYFUNCTION("""COMPUTED_VALUE"""),45610.64583333333)</f>
        <v>45610.64583</v>
      </c>
      <c r="B2" s="6">
        <f>IFERROR(__xludf.DUMMYFUNCTION("""COMPUTED_VALUE"""),420.0)</f>
        <v>420</v>
      </c>
      <c r="C2" s="6">
        <f>IFERROR(__xludf.DUMMYFUNCTION("""COMPUTED_VALUE"""),489.4)</f>
        <v>489.4</v>
      </c>
      <c r="D2" s="6">
        <f>IFERROR(__xludf.DUMMYFUNCTION("""COMPUTED_VALUE"""),391.0)</f>
        <v>391</v>
      </c>
      <c r="E2" s="6">
        <f>IFERROR(__xludf.DUMMYFUNCTION("""COMPUTED_VALUE"""),430.7)</f>
        <v>430.7</v>
      </c>
      <c r="F2" s="6">
        <f>IFERROR(__xludf.DUMMYFUNCTION("""COMPUTED_VALUE"""),1.69101498E8)</f>
        <v>169101498</v>
      </c>
    </row>
    <row r="3">
      <c r="A3" s="7">
        <f>IFERROR(__xludf.DUMMYFUNCTION("""COMPUTED_VALUE"""),45618.64583333333)</f>
        <v>45618.64583</v>
      </c>
      <c r="B3" s="6">
        <f>IFERROR(__xludf.DUMMYFUNCTION("""COMPUTED_VALUE"""),416.1)</f>
        <v>416.1</v>
      </c>
      <c r="C3" s="6">
        <f>IFERROR(__xludf.DUMMYFUNCTION("""COMPUTED_VALUE"""),438.7)</f>
        <v>438.7</v>
      </c>
      <c r="D3" s="6">
        <f>IFERROR(__xludf.DUMMYFUNCTION("""COMPUTED_VALUE"""),402.0)</f>
        <v>402</v>
      </c>
      <c r="E3" s="6">
        <f>IFERROR(__xludf.DUMMYFUNCTION("""COMPUTED_VALUE"""),416.6)</f>
        <v>416.6</v>
      </c>
      <c r="F3" s="6">
        <f>IFERROR(__xludf.DUMMYFUNCTION("""COMPUTED_VALUE"""),5.6428528E7)</f>
        <v>56428528</v>
      </c>
    </row>
    <row r="4">
      <c r="A4" s="7">
        <f>IFERROR(__xludf.DUMMYFUNCTION("""COMPUTED_VALUE"""),45625.64583333333)</f>
        <v>45625.64583</v>
      </c>
      <c r="B4" s="6">
        <f>IFERROR(__xludf.DUMMYFUNCTION("""COMPUTED_VALUE"""),418.8)</f>
        <v>418.8</v>
      </c>
      <c r="C4" s="6">
        <f>IFERROR(__xludf.DUMMYFUNCTION("""COMPUTED_VALUE"""),517.0)</f>
        <v>517</v>
      </c>
      <c r="D4" s="6">
        <f>IFERROR(__xludf.DUMMYFUNCTION("""COMPUTED_VALUE"""),417.2)</f>
        <v>417.2</v>
      </c>
      <c r="E4" s="6">
        <f>IFERROR(__xludf.DUMMYFUNCTION("""COMPUTED_VALUE"""),470.75)</f>
        <v>470.75</v>
      </c>
      <c r="F4" s="6">
        <f>IFERROR(__xludf.DUMMYFUNCTION("""COMPUTED_VALUE"""),9.8948256E7)</f>
        <v>98948256</v>
      </c>
    </row>
    <row r="5">
      <c r="A5" s="7">
        <f>IFERROR(__xludf.DUMMYFUNCTION("""COMPUTED_VALUE"""),45632.64583333333)</f>
        <v>45632.64583</v>
      </c>
      <c r="B5" s="6">
        <f>IFERROR(__xludf.DUMMYFUNCTION("""COMPUTED_VALUE"""),472.0)</f>
        <v>472</v>
      </c>
      <c r="C5" s="6">
        <f>IFERROR(__xludf.DUMMYFUNCTION("""COMPUTED_VALUE"""),576.7)</f>
        <v>576.7</v>
      </c>
      <c r="D5" s="6">
        <f>IFERROR(__xludf.DUMMYFUNCTION("""COMPUTED_VALUE"""),464.35)</f>
        <v>464.35</v>
      </c>
      <c r="E5" s="6">
        <f>IFERROR(__xludf.DUMMYFUNCTION("""COMPUTED_VALUE"""),544.7)</f>
        <v>544.7</v>
      </c>
      <c r="F5" s="6">
        <f>IFERROR(__xludf.DUMMYFUNCTION("""COMPUTED_VALUE"""),1.17644217E8)</f>
        <v>117644217</v>
      </c>
    </row>
    <row r="6">
      <c r="A6" s="7">
        <f>IFERROR(__xludf.DUMMYFUNCTION("""COMPUTED_VALUE"""),45639.64583333333)</f>
        <v>45639.64583</v>
      </c>
      <c r="B6" s="6">
        <f>IFERROR(__xludf.DUMMYFUNCTION("""COMPUTED_VALUE"""),545.65)</f>
        <v>545.65</v>
      </c>
      <c r="C6" s="6">
        <f>IFERROR(__xludf.DUMMYFUNCTION("""COMPUTED_VALUE"""),567.9)</f>
        <v>567.9</v>
      </c>
      <c r="D6" s="6">
        <f>IFERROR(__xludf.DUMMYFUNCTION("""COMPUTED_VALUE"""),501.0)</f>
        <v>501</v>
      </c>
      <c r="E6" s="6">
        <f>IFERROR(__xludf.DUMMYFUNCTION("""COMPUTED_VALUE"""),532.35)</f>
        <v>532.35</v>
      </c>
      <c r="F6" s="6">
        <f>IFERROR(__xludf.DUMMYFUNCTION("""COMPUTED_VALUE"""),6.0574456E7)</f>
        <v>60574456</v>
      </c>
    </row>
    <row r="7">
      <c r="A7" s="7">
        <f>IFERROR(__xludf.DUMMYFUNCTION("""COMPUTED_VALUE"""),45646.64583333333)</f>
        <v>45646.64583</v>
      </c>
      <c r="B7" s="6">
        <f>IFERROR(__xludf.DUMMYFUNCTION("""COMPUTED_VALUE"""),538.0)</f>
        <v>538</v>
      </c>
      <c r="C7" s="6">
        <f>IFERROR(__xludf.DUMMYFUNCTION("""COMPUTED_VALUE"""),613.4)</f>
        <v>613.4</v>
      </c>
      <c r="D7" s="6">
        <f>IFERROR(__xludf.DUMMYFUNCTION("""COMPUTED_VALUE"""),533.0)</f>
        <v>533</v>
      </c>
      <c r="E7" s="6">
        <f>IFERROR(__xludf.DUMMYFUNCTION("""COMPUTED_VALUE"""),597.45)</f>
        <v>597.45</v>
      </c>
      <c r="F7" s="6">
        <f>IFERROR(__xludf.DUMMYFUNCTION("""COMPUTED_VALUE"""),1.47692443E8)</f>
        <v>147692443</v>
      </c>
    </row>
    <row r="8">
      <c r="A8" s="7">
        <f>IFERROR(__xludf.DUMMYFUNCTION("""COMPUTED_VALUE"""),45653.64583333333)</f>
        <v>45653.64583</v>
      </c>
      <c r="B8" s="6">
        <f>IFERROR(__xludf.DUMMYFUNCTION("""COMPUTED_VALUE"""),605.3)</f>
        <v>605.3</v>
      </c>
      <c r="C8" s="6">
        <f>IFERROR(__xludf.DUMMYFUNCTION("""COMPUTED_VALUE"""),617.3)</f>
        <v>617.3</v>
      </c>
      <c r="D8" s="6">
        <f>IFERROR(__xludf.DUMMYFUNCTION("""COMPUTED_VALUE"""),541.25)</f>
        <v>541.25</v>
      </c>
      <c r="E8" s="6">
        <f>IFERROR(__xludf.DUMMYFUNCTION("""COMPUTED_VALUE"""),545.95)</f>
        <v>545.95</v>
      </c>
      <c r="F8" s="6">
        <f>IFERROR(__xludf.DUMMYFUNCTION("""COMPUTED_VALUE"""),4.6528572E7)</f>
        <v>46528572</v>
      </c>
    </row>
    <row r="9">
      <c r="A9" s="7">
        <f>IFERROR(__xludf.DUMMYFUNCTION("""COMPUTED_VALUE"""),45660.64583333333)</f>
        <v>45660.64583</v>
      </c>
      <c r="B9" s="6">
        <f>IFERROR(__xludf.DUMMYFUNCTION("""COMPUTED_VALUE"""),548.0)</f>
        <v>548</v>
      </c>
      <c r="C9" s="6">
        <f>IFERROR(__xludf.DUMMYFUNCTION("""COMPUTED_VALUE"""),568.0)</f>
        <v>568</v>
      </c>
      <c r="D9" s="6">
        <f>IFERROR(__xludf.DUMMYFUNCTION("""COMPUTED_VALUE"""),535.2)</f>
        <v>535.2</v>
      </c>
      <c r="E9" s="6">
        <f>IFERROR(__xludf.DUMMYFUNCTION("""COMPUTED_VALUE"""),541.45)</f>
        <v>541.45</v>
      </c>
      <c r="F9" s="6">
        <f>IFERROR(__xludf.DUMMYFUNCTION("""COMPUTED_VALUE"""),3.007761E7)</f>
        <v>30077610</v>
      </c>
    </row>
    <row r="10">
      <c r="A10" s="7">
        <f>IFERROR(__xludf.DUMMYFUNCTION("""COMPUTED_VALUE"""),45667.64583333333)</f>
        <v>45667.64583</v>
      </c>
      <c r="B10" s="6">
        <f>IFERROR(__xludf.DUMMYFUNCTION("""COMPUTED_VALUE"""),544.4)</f>
        <v>544.4</v>
      </c>
      <c r="C10" s="6">
        <f>IFERROR(__xludf.DUMMYFUNCTION("""COMPUTED_VALUE"""),546.55)</f>
        <v>546.55</v>
      </c>
      <c r="D10" s="6">
        <f>IFERROR(__xludf.DUMMYFUNCTION("""COMPUTED_VALUE"""),486.2)</f>
        <v>486.2</v>
      </c>
      <c r="E10" s="6">
        <f>IFERROR(__xludf.DUMMYFUNCTION("""COMPUTED_VALUE"""),492.3)</f>
        <v>492.3</v>
      </c>
      <c r="F10" s="6">
        <f>IFERROR(__xludf.DUMMYFUNCTION("""COMPUTED_VALUE"""),4.9168698E7)</f>
        <v>49168698</v>
      </c>
    </row>
    <row r="11">
      <c r="A11" s="7">
        <f>IFERROR(__xludf.DUMMYFUNCTION("""COMPUTED_VALUE"""),45674.64583333333)</f>
        <v>45674.64583</v>
      </c>
      <c r="B11" s="6">
        <f>IFERROR(__xludf.DUMMYFUNCTION("""COMPUTED_VALUE"""),481.15)</f>
        <v>481.15</v>
      </c>
      <c r="C11" s="6">
        <f>IFERROR(__xludf.DUMMYFUNCTION("""COMPUTED_VALUE"""),514.8)</f>
        <v>514.8</v>
      </c>
      <c r="D11" s="6">
        <f>IFERROR(__xludf.DUMMYFUNCTION("""COMPUTED_VALUE"""),458.3)</f>
        <v>458.3</v>
      </c>
      <c r="E11" s="6">
        <f>IFERROR(__xludf.DUMMYFUNCTION("""COMPUTED_VALUE"""),473.1)</f>
        <v>473.1</v>
      </c>
      <c r="F11" s="6">
        <f>IFERROR(__xludf.DUMMYFUNCTION("""COMPUTED_VALUE"""),4.4567638E7)</f>
        <v>44567638</v>
      </c>
    </row>
    <row r="12">
      <c r="A12" s="7">
        <f>IFERROR(__xludf.DUMMYFUNCTION("""COMPUTED_VALUE"""),45681.64583333333)</f>
        <v>45681.64583</v>
      </c>
      <c r="B12" s="6">
        <f>IFERROR(__xludf.DUMMYFUNCTION("""COMPUTED_VALUE"""),475.7)</f>
        <v>475.7</v>
      </c>
      <c r="C12" s="6">
        <f>IFERROR(__xludf.DUMMYFUNCTION("""COMPUTED_VALUE"""),483.75)</f>
        <v>483.75</v>
      </c>
      <c r="D12" s="6">
        <f>IFERROR(__xludf.DUMMYFUNCTION("""COMPUTED_VALUE"""),413.6)</f>
        <v>413.6</v>
      </c>
      <c r="E12" s="6">
        <f>IFERROR(__xludf.DUMMYFUNCTION("""COMPUTED_VALUE"""),449.05)</f>
        <v>449.05</v>
      </c>
      <c r="F12" s="6">
        <f>IFERROR(__xludf.DUMMYFUNCTION("""COMPUTED_VALUE"""),6.9764263E7)</f>
        <v>69764263</v>
      </c>
    </row>
    <row r="13">
      <c r="A13" s="7">
        <f>IFERROR(__xludf.DUMMYFUNCTION("""COMPUTED_VALUE"""),45695.64583333333)</f>
        <v>45695.64583</v>
      </c>
      <c r="B13" s="6">
        <f>IFERROR(__xludf.DUMMYFUNCTION("""COMPUTED_VALUE"""),431.0)</f>
        <v>431</v>
      </c>
      <c r="C13" s="6">
        <f>IFERROR(__xludf.DUMMYFUNCTION("""COMPUTED_VALUE"""),463.0)</f>
        <v>463</v>
      </c>
      <c r="D13" s="6">
        <f>IFERROR(__xludf.DUMMYFUNCTION("""COMPUTED_VALUE"""),375.0)</f>
        <v>375</v>
      </c>
      <c r="E13" s="6">
        <f>IFERROR(__xludf.DUMMYFUNCTION("""COMPUTED_VALUE"""),380.65)</f>
        <v>380.65</v>
      </c>
      <c r="F13" s="6">
        <f>IFERROR(__xludf.DUMMYFUNCTION("""COMPUTED_VALUE"""),1.07916624E8)</f>
        <v>107916624</v>
      </c>
    </row>
    <row r="14">
      <c r="A14" s="7">
        <f>IFERROR(__xludf.DUMMYFUNCTION("""COMPUTED_VALUE"""),45702.64583333333)</f>
        <v>45702.64583</v>
      </c>
      <c r="B14" s="6">
        <f>IFERROR(__xludf.DUMMYFUNCTION("""COMPUTED_VALUE"""),378.0)</f>
        <v>378</v>
      </c>
      <c r="C14" s="6">
        <f>IFERROR(__xludf.DUMMYFUNCTION("""COMPUTED_VALUE"""),378.25)</f>
        <v>378.25</v>
      </c>
      <c r="D14" s="6">
        <f>IFERROR(__xludf.DUMMYFUNCTION("""COMPUTED_VALUE"""),325.3)</f>
        <v>325.3</v>
      </c>
      <c r="E14" s="6">
        <f>IFERROR(__xludf.DUMMYFUNCTION("""COMPUTED_VALUE"""),340.75)</f>
        <v>340.75</v>
      </c>
      <c r="F14" s="6">
        <f>IFERROR(__xludf.DUMMYFUNCTION("""COMPUTED_VALUE"""),1.47398331E8)</f>
        <v>147398331</v>
      </c>
    </row>
    <row r="15">
      <c r="A15" s="7">
        <f>IFERROR(__xludf.DUMMYFUNCTION("""COMPUTED_VALUE"""),45709.64583333333)</f>
        <v>45709.64583</v>
      </c>
      <c r="B15" s="6">
        <f>IFERROR(__xludf.DUMMYFUNCTION("""COMPUTED_VALUE"""),337.5)</f>
        <v>337.5</v>
      </c>
      <c r="C15" s="6">
        <f>IFERROR(__xludf.DUMMYFUNCTION("""COMPUTED_VALUE"""),386.75)</f>
        <v>386.75</v>
      </c>
      <c r="D15" s="6">
        <f>IFERROR(__xludf.DUMMYFUNCTION("""COMPUTED_VALUE"""),328.4)</f>
        <v>328.4</v>
      </c>
      <c r="E15" s="6">
        <f>IFERROR(__xludf.DUMMYFUNCTION("""COMPUTED_VALUE"""),360.55)</f>
        <v>360.55</v>
      </c>
      <c r="F15" s="6">
        <f>IFERROR(__xludf.DUMMYFUNCTION("""COMPUTED_VALUE"""),9.0041346E7)</f>
        <v>90041346</v>
      </c>
    </row>
    <row r="16">
      <c r="A16" s="7">
        <f>IFERROR(__xludf.DUMMYFUNCTION("""COMPUTED_VALUE"""),45716.64583333333)</f>
        <v>45716.64583</v>
      </c>
      <c r="B16" s="6">
        <f>IFERROR(__xludf.DUMMYFUNCTION("""COMPUTED_VALUE"""),354.0)</f>
        <v>354</v>
      </c>
      <c r="C16" s="6">
        <f>IFERROR(__xludf.DUMMYFUNCTION("""COMPUTED_VALUE"""),368.0)</f>
        <v>368</v>
      </c>
      <c r="D16" s="6">
        <f>IFERROR(__xludf.DUMMYFUNCTION("""COMPUTED_VALUE"""),331.05)</f>
        <v>331.05</v>
      </c>
      <c r="E16" s="6">
        <f>IFERROR(__xludf.DUMMYFUNCTION("""COMPUTED_VALUE"""),334.65)</f>
        <v>334.65</v>
      </c>
      <c r="F16" s="6">
        <f>IFERROR(__xludf.DUMMYFUNCTION("""COMPUTED_VALUE"""),3.9628935E7)</f>
        <v>39628935</v>
      </c>
    </row>
    <row r="17">
      <c r="A17" s="7">
        <f>IFERROR(__xludf.DUMMYFUNCTION("""COMPUTED_VALUE"""),45723.64583333333)</f>
        <v>45723.64583</v>
      </c>
      <c r="B17" s="6">
        <f>IFERROR(__xludf.DUMMYFUNCTION("""COMPUTED_VALUE"""),342.25)</f>
        <v>342.25</v>
      </c>
      <c r="C17" s="6">
        <f>IFERROR(__xludf.DUMMYFUNCTION("""COMPUTED_VALUE"""),377.3)</f>
        <v>377.3</v>
      </c>
      <c r="D17" s="6">
        <f>IFERROR(__xludf.DUMMYFUNCTION("""COMPUTED_VALUE"""),317.0)</f>
        <v>317</v>
      </c>
      <c r="E17" s="6">
        <f>IFERROR(__xludf.DUMMYFUNCTION("""COMPUTED_VALUE"""),360.95)</f>
        <v>360.95</v>
      </c>
      <c r="F17" s="6">
        <f>IFERROR(__xludf.DUMMYFUNCTION("""COMPUTED_VALUE"""),6.3159335E7)</f>
        <v>63159335</v>
      </c>
    </row>
    <row r="18">
      <c r="A18" s="7">
        <f>IFERROR(__xludf.DUMMYFUNCTION("""COMPUTED_VALUE"""),45729.64583333333)</f>
        <v>45729.64583</v>
      </c>
      <c r="B18" s="6">
        <f>IFERROR(__xludf.DUMMYFUNCTION("""COMPUTED_VALUE"""),368.8)</f>
        <v>368.8</v>
      </c>
      <c r="C18" s="6">
        <f>IFERROR(__xludf.DUMMYFUNCTION("""COMPUTED_VALUE"""),368.8)</f>
        <v>368.8</v>
      </c>
      <c r="D18" s="6">
        <f>IFERROR(__xludf.DUMMYFUNCTION("""COMPUTED_VALUE"""),343.7)</f>
        <v>343.7</v>
      </c>
      <c r="E18" s="6">
        <f>IFERROR(__xludf.DUMMYFUNCTION("""COMPUTED_VALUE"""),353.2)</f>
        <v>353.2</v>
      </c>
      <c r="F18" s="6">
        <f>IFERROR(__xludf.DUMMYFUNCTION("""COMPUTED_VALUE"""),2.2597951E7)</f>
        <v>22597951</v>
      </c>
    </row>
    <row r="19">
      <c r="A19" s="7">
        <f>IFERROR(__xludf.DUMMYFUNCTION("""COMPUTED_VALUE"""),45737.64583333333)</f>
        <v>45737.64583</v>
      </c>
      <c r="B19" s="6">
        <f>IFERROR(__xludf.DUMMYFUNCTION("""COMPUTED_VALUE"""),356.5)</f>
        <v>356.5</v>
      </c>
      <c r="C19" s="6">
        <f>IFERROR(__xludf.DUMMYFUNCTION("""COMPUTED_VALUE"""),369.7)</f>
        <v>369.7</v>
      </c>
      <c r="D19" s="6">
        <f>IFERROR(__xludf.DUMMYFUNCTION("""COMPUTED_VALUE"""),348.15)</f>
        <v>348.15</v>
      </c>
      <c r="E19" s="6">
        <f>IFERROR(__xludf.DUMMYFUNCTION("""COMPUTED_VALUE"""),350.65)</f>
        <v>350.65</v>
      </c>
      <c r="F19" s="6">
        <f>IFERROR(__xludf.DUMMYFUNCTION("""COMPUTED_VALUE"""),2.3322835E7)</f>
        <v>23322835</v>
      </c>
    </row>
    <row r="20">
      <c r="A20" s="7">
        <f>IFERROR(__xludf.DUMMYFUNCTION("""COMPUTED_VALUE"""),45744.64583333333)</f>
        <v>45744.64583</v>
      </c>
      <c r="B20" s="6">
        <f>IFERROR(__xludf.DUMMYFUNCTION("""COMPUTED_VALUE"""),353.1)</f>
        <v>353.1</v>
      </c>
      <c r="C20" s="6">
        <f>IFERROR(__xludf.DUMMYFUNCTION("""COMPUTED_VALUE"""),357.25)</f>
        <v>357.25</v>
      </c>
      <c r="D20" s="6">
        <f>IFERROR(__xludf.DUMMYFUNCTION("""COMPUTED_VALUE"""),312.65)</f>
        <v>312.65</v>
      </c>
      <c r="E20" s="6">
        <f>IFERROR(__xludf.DUMMYFUNCTION("""COMPUTED_VALUE"""),330.2)</f>
        <v>330.2</v>
      </c>
      <c r="F20" s="6">
        <f>IFERROR(__xludf.DUMMYFUNCTION("""COMPUTED_VALUE"""),4.650062E7)</f>
        <v>46500620</v>
      </c>
    </row>
    <row r="21">
      <c r="A21" s="7">
        <f>IFERROR(__xludf.DUMMYFUNCTION("""COMPUTED_VALUE"""),45751.64583333333)</f>
        <v>45751.64583</v>
      </c>
      <c r="B21" s="6">
        <f>IFERROR(__xludf.DUMMYFUNCTION("""COMPUTED_VALUE"""),328.7)</f>
        <v>328.7</v>
      </c>
      <c r="C21" s="6">
        <f>IFERROR(__xludf.DUMMYFUNCTION("""COMPUTED_VALUE"""),351.4)</f>
        <v>351.4</v>
      </c>
      <c r="D21" s="6">
        <f>IFERROR(__xludf.DUMMYFUNCTION("""COMPUTED_VALUE"""),325.5)</f>
        <v>325.5</v>
      </c>
      <c r="E21" s="6">
        <f>IFERROR(__xludf.DUMMYFUNCTION("""COMPUTED_VALUE"""),337.35)</f>
        <v>337.35</v>
      </c>
      <c r="F21" s="6">
        <f>IFERROR(__xludf.DUMMYFUNCTION("""COMPUTED_VALUE"""),2.3096763E7)</f>
        <v>23096763</v>
      </c>
    </row>
    <row r="22">
      <c r="A22" s="7">
        <f>IFERROR(__xludf.DUMMYFUNCTION("""COMPUTED_VALUE"""),45758.64583333333)</f>
        <v>45758.64583</v>
      </c>
      <c r="B22" s="6">
        <f>IFERROR(__xludf.DUMMYFUNCTION("""COMPUTED_VALUE"""),310.0)</f>
        <v>310</v>
      </c>
      <c r="C22" s="6">
        <f>IFERROR(__xludf.DUMMYFUNCTION("""COMPUTED_VALUE"""),347.1)</f>
        <v>347.1</v>
      </c>
      <c r="D22" s="6">
        <f>IFERROR(__xludf.DUMMYFUNCTION("""COMPUTED_VALUE"""),306.95)</f>
        <v>306.95</v>
      </c>
      <c r="E22" s="6">
        <f>IFERROR(__xludf.DUMMYFUNCTION("""COMPUTED_VALUE"""),333.0)</f>
        <v>333</v>
      </c>
      <c r="F22" s="6">
        <f>IFERROR(__xludf.DUMMYFUNCTION("""COMPUTED_VALUE"""),2.7433237E7)</f>
        <v>27433237</v>
      </c>
    </row>
    <row r="23">
      <c r="A23" s="7">
        <f>IFERROR(__xludf.DUMMYFUNCTION("""COMPUTED_VALUE"""),45764.64583333333)</f>
        <v>45764.64583</v>
      </c>
      <c r="B23" s="6">
        <f>IFERROR(__xludf.DUMMYFUNCTION("""COMPUTED_VALUE"""),338.0)</f>
        <v>338</v>
      </c>
      <c r="C23" s="6">
        <f>IFERROR(__xludf.DUMMYFUNCTION("""COMPUTED_VALUE"""),350.7)</f>
        <v>350.7</v>
      </c>
      <c r="D23" s="6">
        <f>IFERROR(__xludf.DUMMYFUNCTION("""COMPUTED_VALUE"""),329.45)</f>
        <v>329.45</v>
      </c>
      <c r="E23" s="6">
        <f>IFERROR(__xludf.DUMMYFUNCTION("""COMPUTED_VALUE"""),340.8)</f>
        <v>340.8</v>
      </c>
      <c r="F23" s="6">
        <f>IFERROR(__xludf.DUMMYFUNCTION("""COMPUTED_VALUE"""),1.8665838E7)</f>
        <v>18665838</v>
      </c>
    </row>
    <row r="24">
      <c r="A24" s="7">
        <f>IFERROR(__xludf.DUMMYFUNCTION("""COMPUTED_VALUE"""),45772.64583333333)</f>
        <v>45772.64583</v>
      </c>
      <c r="B24" s="6">
        <f>IFERROR(__xludf.DUMMYFUNCTION("""COMPUTED_VALUE"""),342.45)</f>
        <v>342.45</v>
      </c>
      <c r="C24" s="6">
        <f>IFERROR(__xludf.DUMMYFUNCTION("""COMPUTED_VALUE"""),351.45)</f>
        <v>351.45</v>
      </c>
      <c r="D24" s="6">
        <f>IFERROR(__xludf.DUMMYFUNCTION("""COMPUTED_VALUE"""),320.0)</f>
        <v>320</v>
      </c>
      <c r="E24" s="6">
        <f>IFERROR(__xludf.DUMMYFUNCTION("""COMPUTED_VALUE"""),321.4)</f>
        <v>321.4</v>
      </c>
      <c r="F24" s="6">
        <f>IFERROR(__xludf.DUMMYFUNCTION("""COMPUTED_VALUE"""),2.7928815E7)</f>
        <v>27928815</v>
      </c>
    </row>
    <row r="25">
      <c r="A25" s="7">
        <f>IFERROR(__xludf.DUMMYFUNCTION("""COMPUTED_VALUE"""),45779.64583333333)</f>
        <v>45779.64583</v>
      </c>
      <c r="B25" s="6">
        <f>IFERROR(__xludf.DUMMYFUNCTION("""COMPUTED_VALUE"""),322.1)</f>
        <v>322.1</v>
      </c>
      <c r="C25" s="6">
        <f>IFERROR(__xludf.DUMMYFUNCTION("""COMPUTED_VALUE"""),328.7)</f>
        <v>328.7</v>
      </c>
      <c r="D25" s="6">
        <f>IFERROR(__xludf.DUMMYFUNCTION("""COMPUTED_VALUE"""),303.0)</f>
        <v>303</v>
      </c>
      <c r="E25" s="6">
        <f>IFERROR(__xludf.DUMMYFUNCTION("""COMPUTED_VALUE"""),305.3)</f>
        <v>305.3</v>
      </c>
      <c r="F25" s="6">
        <f>IFERROR(__xludf.DUMMYFUNCTION("""COMPUTED_VALUE"""),2.1068712E7)</f>
        <v>21068712</v>
      </c>
    </row>
    <row r="26">
      <c r="A26" s="7">
        <f>IFERROR(__xludf.DUMMYFUNCTION("""COMPUTED_VALUE"""),45786.64583333333)</f>
        <v>45786.64583</v>
      </c>
      <c r="B26" s="6">
        <f>IFERROR(__xludf.DUMMYFUNCTION("""COMPUTED_VALUE"""),310.0)</f>
        <v>310</v>
      </c>
      <c r="C26" s="6">
        <f>IFERROR(__xludf.DUMMYFUNCTION("""COMPUTED_VALUE"""),356.65)</f>
        <v>356.65</v>
      </c>
      <c r="D26" s="6">
        <f>IFERROR(__xludf.DUMMYFUNCTION("""COMPUTED_VALUE"""),303.6)</f>
        <v>303.6</v>
      </c>
      <c r="E26" s="6">
        <f>IFERROR(__xludf.DUMMYFUNCTION("""COMPUTED_VALUE"""),313.1)</f>
        <v>313.1</v>
      </c>
      <c r="F26" s="6">
        <f>IFERROR(__xludf.DUMMYFUNCTION("""COMPUTED_VALUE"""),9.0970114E7)</f>
        <v>90970114</v>
      </c>
    </row>
    <row r="27">
      <c r="A27" s="7">
        <f>IFERROR(__xludf.DUMMYFUNCTION("""COMPUTED_VALUE"""),45793.64583333333)</f>
        <v>45793.64583</v>
      </c>
      <c r="B27" s="6">
        <f>IFERROR(__xludf.DUMMYFUNCTION("""COMPUTED_VALUE"""),319.4)</f>
        <v>319.4</v>
      </c>
      <c r="C27" s="6">
        <f>IFERROR(__xludf.DUMMYFUNCTION("""COMPUTED_VALUE"""),327.2)</f>
        <v>327.2</v>
      </c>
      <c r="D27" s="6">
        <f>IFERROR(__xludf.DUMMYFUNCTION("""COMPUTED_VALUE"""),297.0)</f>
        <v>297</v>
      </c>
      <c r="E27" s="6">
        <f>IFERROR(__xludf.DUMMYFUNCTION("""COMPUTED_VALUE"""),321.2)</f>
        <v>321.2</v>
      </c>
      <c r="F27" s="6">
        <f>IFERROR(__xludf.DUMMYFUNCTION("""COMPUTED_VALUE"""),1.9291512E8)</f>
        <v>192915120</v>
      </c>
    </row>
    <row r="28">
      <c r="A28" s="7">
        <f>IFERROR(__xludf.DUMMYFUNCTION("""COMPUTED_VALUE"""),45800.64583333333)</f>
        <v>45800.64583</v>
      </c>
      <c r="B28" s="6">
        <f>IFERROR(__xludf.DUMMYFUNCTION("""COMPUTED_VALUE"""),321.8)</f>
        <v>321.8</v>
      </c>
      <c r="C28" s="6">
        <f>IFERROR(__xludf.DUMMYFUNCTION("""COMPUTED_VALUE"""),328.8)</f>
        <v>328.8</v>
      </c>
      <c r="D28" s="6">
        <f>IFERROR(__xludf.DUMMYFUNCTION("""COMPUTED_VALUE"""),308.7)</f>
        <v>308.7</v>
      </c>
      <c r="E28" s="6">
        <f>IFERROR(__xludf.DUMMYFUNCTION("""COMPUTED_VALUE"""),323.65)</f>
        <v>323.65</v>
      </c>
      <c r="F28" s="6">
        <f>IFERROR(__xludf.DUMMYFUNCTION("""COMPUTED_VALUE"""),7.409348E7)</f>
        <v>74093480</v>
      </c>
    </row>
    <row r="29">
      <c r="A29" s="7">
        <f>IFERROR(__xludf.DUMMYFUNCTION("""COMPUTED_VALUE"""),45807.64583333333)</f>
        <v>45807.64583</v>
      </c>
      <c r="B29" s="6">
        <f>IFERROR(__xludf.DUMMYFUNCTION("""COMPUTED_VALUE"""),324.9)</f>
        <v>324.9</v>
      </c>
      <c r="C29" s="6">
        <f>IFERROR(__xludf.DUMMYFUNCTION("""COMPUTED_VALUE"""),338.2)</f>
        <v>338.2</v>
      </c>
      <c r="D29" s="6">
        <f>IFERROR(__xludf.DUMMYFUNCTION("""COMPUTED_VALUE"""),317.9)</f>
        <v>317.9</v>
      </c>
      <c r="E29" s="6">
        <f>IFERROR(__xludf.DUMMYFUNCTION("""COMPUTED_VALUE"""),333.05)</f>
        <v>333.05</v>
      </c>
      <c r="F29" s="6">
        <f>IFERROR(__xludf.DUMMYFUNCTION("""COMPUTED_VALUE"""),6.9112225E7)</f>
        <v>69112225</v>
      </c>
    </row>
    <row r="30">
      <c r="A30" s="7">
        <f>IFERROR(__xludf.DUMMYFUNCTION("""COMPUTED_VALUE"""),45814.64583333333)</f>
        <v>45814.64583</v>
      </c>
      <c r="B30" s="6">
        <f>IFERROR(__xludf.DUMMYFUNCTION("""COMPUTED_VALUE"""),330.85)</f>
        <v>330.85</v>
      </c>
      <c r="C30" s="6">
        <f>IFERROR(__xludf.DUMMYFUNCTION("""COMPUTED_VALUE"""),376.5)</f>
        <v>376.5</v>
      </c>
      <c r="D30" s="6">
        <f>IFERROR(__xludf.DUMMYFUNCTION("""COMPUTED_VALUE"""),327.95)</f>
        <v>327.95</v>
      </c>
      <c r="E30" s="6">
        <f>IFERROR(__xludf.DUMMYFUNCTION("""COMPUTED_VALUE"""),374.45)</f>
        <v>374.45</v>
      </c>
      <c r="F30" s="6">
        <f>IFERROR(__xludf.DUMMYFUNCTION("""COMPUTED_VALUE"""),1.58776911E8)</f>
        <v>158776911</v>
      </c>
    </row>
    <row r="31">
      <c r="A31" s="7">
        <f>IFERROR(__xludf.DUMMYFUNCTION("""COMPUTED_VALUE"""),45821.64583333333)</f>
        <v>45821.64583</v>
      </c>
      <c r="B31" s="6">
        <f>IFERROR(__xludf.DUMMYFUNCTION("""COMPUTED_VALUE"""),376.0)</f>
        <v>376</v>
      </c>
      <c r="C31" s="6">
        <f>IFERROR(__xludf.DUMMYFUNCTION("""COMPUTED_VALUE"""),376.25)</f>
        <v>376.25</v>
      </c>
      <c r="D31" s="6">
        <f>IFERROR(__xludf.DUMMYFUNCTION("""COMPUTED_VALUE"""),345.75)</f>
        <v>345.75</v>
      </c>
      <c r="E31" s="6">
        <f>IFERROR(__xludf.DUMMYFUNCTION("""COMPUTED_VALUE"""),354.2)</f>
        <v>354.2</v>
      </c>
      <c r="F31" s="6">
        <f>IFERROR(__xludf.DUMMYFUNCTION("""COMPUTED_VALUE"""),7.4996671E7)</f>
        <v>74996671</v>
      </c>
    </row>
    <row r="32">
      <c r="A32" s="7">
        <f>IFERROR(__xludf.DUMMYFUNCTION("""COMPUTED_VALUE"""),45828.64583333333)</f>
        <v>45828.64583</v>
      </c>
      <c r="B32" s="6">
        <f>IFERROR(__xludf.DUMMYFUNCTION("""COMPUTED_VALUE"""),355.0)</f>
        <v>355</v>
      </c>
      <c r="C32" s="6">
        <f>IFERROR(__xludf.DUMMYFUNCTION("""COMPUTED_VALUE"""),398.9)</f>
        <v>398.9</v>
      </c>
      <c r="D32" s="6">
        <f>IFERROR(__xludf.DUMMYFUNCTION("""COMPUTED_VALUE"""),351.9)</f>
        <v>351.9</v>
      </c>
      <c r="E32" s="6">
        <f>IFERROR(__xludf.DUMMYFUNCTION("""COMPUTED_VALUE"""),389.5)</f>
        <v>389.5</v>
      </c>
      <c r="F32" s="6">
        <f>IFERROR(__xludf.DUMMYFUNCTION("""COMPUTED_VALUE"""),1.29901827E8)</f>
        <v>129901827</v>
      </c>
    </row>
    <row r="33">
      <c r="A33" s="7">
        <f>IFERROR(__xludf.DUMMYFUNCTION("""COMPUTED_VALUE"""),45835.64583333333)</f>
        <v>45835.64583</v>
      </c>
      <c r="B33" s="6">
        <f>IFERROR(__xludf.DUMMYFUNCTION("""COMPUTED_VALUE"""),385.85)</f>
        <v>385.85</v>
      </c>
      <c r="C33" s="6">
        <f>IFERROR(__xludf.DUMMYFUNCTION("""COMPUTED_VALUE"""),412.0)</f>
        <v>412</v>
      </c>
      <c r="D33" s="6">
        <f>IFERROR(__xludf.DUMMYFUNCTION("""COMPUTED_VALUE"""),378.05)</f>
        <v>378.05</v>
      </c>
      <c r="E33" s="6">
        <f>IFERROR(__xludf.DUMMYFUNCTION("""COMPUTED_VALUE"""),406.95)</f>
        <v>406.95</v>
      </c>
      <c r="F33" s="6">
        <f>IFERROR(__xludf.DUMMYFUNCTION("""COMPUTED_VALUE"""),8.2805898E7)</f>
        <v>82805898</v>
      </c>
    </row>
    <row r="34">
      <c r="A34" s="7">
        <f>IFERROR(__xludf.DUMMYFUNCTION("""COMPUTED_VALUE"""),45842.64583333333)</f>
        <v>45842.64583</v>
      </c>
      <c r="B34" s="6">
        <f>IFERROR(__xludf.DUMMYFUNCTION("""COMPUTED_VALUE"""),405.5)</f>
        <v>405.5</v>
      </c>
      <c r="C34" s="6">
        <f>IFERROR(__xludf.DUMMYFUNCTION("""COMPUTED_VALUE"""),406.95)</f>
        <v>406.95</v>
      </c>
      <c r="D34" s="6">
        <f>IFERROR(__xludf.DUMMYFUNCTION("""COMPUTED_VALUE"""),380.0)</f>
        <v>380</v>
      </c>
      <c r="E34" s="6">
        <f>IFERROR(__xludf.DUMMYFUNCTION("""COMPUTED_VALUE"""),383.5)</f>
        <v>383.5</v>
      </c>
      <c r="F34" s="6">
        <f>IFERROR(__xludf.DUMMYFUNCTION("""COMPUTED_VALUE"""),4.517177E7)</f>
        <v>45171770</v>
      </c>
    </row>
    <row r="35">
      <c r="A35" s="7">
        <f>IFERROR(__xludf.DUMMYFUNCTION("""COMPUTED_VALUE"""),45849.64583333333)</f>
        <v>45849.64583</v>
      </c>
      <c r="B35" s="6">
        <f>IFERROR(__xludf.DUMMYFUNCTION("""COMPUTED_VALUE"""),386.0)</f>
        <v>386</v>
      </c>
      <c r="C35" s="6">
        <f>IFERROR(__xludf.DUMMYFUNCTION("""COMPUTED_VALUE"""),390.4)</f>
        <v>390.4</v>
      </c>
      <c r="D35" s="6">
        <f>IFERROR(__xludf.DUMMYFUNCTION("""COMPUTED_VALUE"""),374.55)</f>
        <v>374.55</v>
      </c>
      <c r="E35" s="6">
        <f>IFERROR(__xludf.DUMMYFUNCTION("""COMPUTED_VALUE"""),385.1)</f>
        <v>385.1</v>
      </c>
      <c r="F35" s="6">
        <f>IFERROR(__xludf.DUMMYFUNCTION("""COMPUTED_VALUE"""),4.1347858E7)</f>
        <v>41347858</v>
      </c>
    </row>
    <row r="36">
      <c r="A36" s="7">
        <f>IFERROR(__xludf.DUMMYFUNCTION("""COMPUTED_VALUE"""),45856.64583333333)</f>
        <v>45856.64583</v>
      </c>
      <c r="B36" s="6">
        <f>IFERROR(__xludf.DUMMYFUNCTION("""COMPUTED_VALUE"""),384.5)</f>
        <v>384.5</v>
      </c>
      <c r="C36" s="6">
        <f>IFERROR(__xludf.DUMMYFUNCTION("""COMPUTED_VALUE"""),400.0)</f>
        <v>400</v>
      </c>
      <c r="D36" s="6">
        <f>IFERROR(__xludf.DUMMYFUNCTION("""COMPUTED_VALUE"""),380.4)</f>
        <v>380.4</v>
      </c>
      <c r="E36" s="6">
        <f>IFERROR(__xludf.DUMMYFUNCTION("""COMPUTED_VALUE"""),388.8)</f>
        <v>388.8</v>
      </c>
      <c r="F36" s="6">
        <f>IFERROR(__xludf.DUMMYFUNCTION("""COMPUTED_VALUE"""),5.2300956E7)</f>
        <v>52300956</v>
      </c>
    </row>
    <row r="37">
      <c r="A37" s="7">
        <f>IFERROR(__xludf.DUMMYFUNCTION("""COMPUTED_VALUE"""),45863.64583333333)</f>
        <v>45863.64583</v>
      </c>
      <c r="B37" s="6">
        <f>IFERROR(__xludf.DUMMYFUNCTION("""COMPUTED_VALUE"""),388.8)</f>
        <v>388.8</v>
      </c>
      <c r="C37" s="6">
        <f>IFERROR(__xludf.DUMMYFUNCTION("""COMPUTED_VALUE"""),429.9)</f>
        <v>429.9</v>
      </c>
      <c r="D37" s="6">
        <f>IFERROR(__xludf.DUMMYFUNCTION("""COMPUTED_VALUE"""),380.1)</f>
        <v>380.1</v>
      </c>
      <c r="E37" s="6">
        <f>IFERROR(__xludf.DUMMYFUNCTION("""COMPUTED_VALUE"""),407.95)</f>
        <v>407.95</v>
      </c>
      <c r="F37" s="6">
        <f>IFERROR(__xludf.DUMMYFUNCTION("""COMPUTED_VALUE"""),1.46466247E8)</f>
        <v>146466247</v>
      </c>
    </row>
    <row r="38">
      <c r="A38" s="7">
        <f>IFERROR(__xludf.DUMMYFUNCTION("""COMPUTED_VALUE"""),45870.64583333333)</f>
        <v>45870.64583</v>
      </c>
      <c r="B38" s="6">
        <f>IFERROR(__xludf.DUMMYFUNCTION("""COMPUTED_VALUE"""),405.9)</f>
        <v>405.9</v>
      </c>
      <c r="C38" s="6">
        <f>IFERROR(__xludf.DUMMYFUNCTION("""COMPUTED_VALUE"""),416.2)</f>
        <v>416.2</v>
      </c>
      <c r="D38" s="6">
        <f>IFERROR(__xludf.DUMMYFUNCTION("""COMPUTED_VALUE"""),386.4)</f>
        <v>386.4</v>
      </c>
      <c r="E38" s="6">
        <f>IFERROR(__xludf.DUMMYFUNCTION("""COMPUTED_VALUE"""),392.35)</f>
        <v>392.35</v>
      </c>
      <c r="F38" s="6">
        <f>IFERROR(__xludf.DUMMYFUNCTION("""COMPUTED_VALUE"""),5.6826886E7)</f>
        <v>56826886</v>
      </c>
    </row>
    <row r="39">
      <c r="A39" s="7">
        <f>IFERROR(__xludf.DUMMYFUNCTION("""COMPUTED_VALUE"""),45877.64583333333)</f>
        <v>45877.64583</v>
      </c>
      <c r="B39" s="6">
        <f>IFERROR(__xludf.DUMMYFUNCTION("""COMPUTED_VALUE"""),392.5)</f>
        <v>392.5</v>
      </c>
      <c r="C39" s="6">
        <f>IFERROR(__xludf.DUMMYFUNCTION("""COMPUTED_VALUE"""),403.15)</f>
        <v>403.15</v>
      </c>
      <c r="D39" s="6">
        <f>IFERROR(__xludf.DUMMYFUNCTION("""COMPUTED_VALUE"""),381.75)</f>
        <v>381.75</v>
      </c>
      <c r="E39" s="6">
        <f>IFERROR(__xludf.DUMMYFUNCTION("""COMPUTED_VALUE"""),384.8)</f>
        <v>384.8</v>
      </c>
      <c r="F39" s="6">
        <f>IFERROR(__xludf.DUMMYFUNCTION("""COMPUTED_VALUE"""),6.2452244E7)</f>
        <v>62452244</v>
      </c>
    </row>
    <row r="40">
      <c r="A40" s="7">
        <f>IFERROR(__xludf.DUMMYFUNCTION("""COMPUTED_VALUE"""),45883.64583333333)</f>
        <v>45883.64583</v>
      </c>
      <c r="B40" s="6">
        <f>IFERROR(__xludf.DUMMYFUNCTION("""COMPUTED_VALUE"""),385.0)</f>
        <v>385</v>
      </c>
      <c r="C40" s="6">
        <f>IFERROR(__xludf.DUMMYFUNCTION("""COMPUTED_VALUE"""),405.75)</f>
        <v>405.75</v>
      </c>
      <c r="D40" s="6">
        <f>IFERROR(__xludf.DUMMYFUNCTION("""COMPUTED_VALUE"""),381.65)</f>
        <v>381.65</v>
      </c>
      <c r="E40" s="6">
        <f>IFERROR(__xludf.DUMMYFUNCTION("""COMPUTED_VALUE"""),398.4)</f>
        <v>398.4</v>
      </c>
      <c r="F40" s="6">
        <f>IFERROR(__xludf.DUMMYFUNCTION("""COMPUTED_VALUE"""),3.8855756E7)</f>
        <v>38855756</v>
      </c>
    </row>
    <row r="41">
      <c r="A41" s="7">
        <f>IFERROR(__xludf.DUMMYFUNCTION("""COMPUTED_VALUE"""),45891.64583333333)</f>
        <v>45891.64583</v>
      </c>
      <c r="B41" s="6">
        <f>IFERROR(__xludf.DUMMYFUNCTION("""COMPUTED_VALUE"""),408.05)</f>
        <v>408.05</v>
      </c>
      <c r="C41" s="6">
        <f>IFERROR(__xludf.DUMMYFUNCTION("""COMPUTED_VALUE"""),443.4)</f>
        <v>443.4</v>
      </c>
      <c r="D41" s="6">
        <f>IFERROR(__xludf.DUMMYFUNCTION("""COMPUTED_VALUE"""),397.8)</f>
        <v>397.8</v>
      </c>
      <c r="E41" s="6">
        <f>IFERROR(__xludf.DUMMYFUNCTION("""COMPUTED_VALUE"""),427.9)</f>
        <v>427.9</v>
      </c>
      <c r="F41" s="6">
        <f>IFERROR(__xludf.DUMMYFUNCTION("""COMPUTED_VALUE"""),1.06125638E8)</f>
        <v>106125638</v>
      </c>
    </row>
    <row r="42">
      <c r="A42" s="7">
        <f>IFERROR(__xludf.DUMMYFUNCTION("""COMPUTED_VALUE"""),45895.64583333333)</f>
        <v>45895.64583</v>
      </c>
      <c r="B42" s="6">
        <f>IFERROR(__xludf.DUMMYFUNCTION("""COMPUTED_VALUE"""),428.0)</f>
        <v>428</v>
      </c>
      <c r="C42" s="6">
        <f>IFERROR(__xludf.DUMMYFUNCTION("""COMPUTED_VALUE"""),439.4)</f>
        <v>439.4</v>
      </c>
      <c r="D42" s="6">
        <f>IFERROR(__xludf.DUMMYFUNCTION("""COMPUTED_VALUE"""),419.0)</f>
        <v>419</v>
      </c>
      <c r="E42" s="6">
        <f>IFERROR(__xludf.DUMMYFUNCTION("""COMPUTED_VALUE"""),430.55)</f>
        <v>430.55</v>
      </c>
      <c r="F42" s="6">
        <f>IFERROR(__xludf.DUMMYFUNCTION("""COMPUTED_VALUE"""),6.70316674E8)</f>
        <v>670316674</v>
      </c>
    </row>
  </sheetData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IFERROR(__xludf.DUMMYFUNCTION("GOOGLEFINANCE(""NSE:TATACOMM"",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IFERROR(__xludf.DUMMYFUNCTION("""COMPUTED_VALUE"""),1820.4)</f>
        <v>1820.4</v>
      </c>
      <c r="C2" s="6">
        <f>IFERROR(__xludf.DUMMYFUNCTION("""COMPUTED_VALUE"""),1881.0)</f>
        <v>1881</v>
      </c>
      <c r="D2" s="6">
        <f>IFERROR(__xludf.DUMMYFUNCTION("""COMPUTED_VALUE"""),1773.05)</f>
        <v>1773.05</v>
      </c>
      <c r="E2" s="6">
        <f>IFERROR(__xludf.DUMMYFUNCTION("""COMPUTED_VALUE"""),1852.4)</f>
        <v>1852.4</v>
      </c>
      <c r="F2" s="6">
        <f>IFERROR(__xludf.DUMMYFUNCTION("""COMPUTED_VALUE"""),7842219.0)</f>
        <v>7842219</v>
      </c>
    </row>
    <row r="3">
      <c r="A3" s="7">
        <f>IFERROR(__xludf.DUMMYFUNCTION("""COMPUTED_VALUE"""),45177.64583333333)</f>
        <v>45177.64583</v>
      </c>
      <c r="B3" s="6">
        <f>IFERROR(__xludf.DUMMYFUNCTION("""COMPUTED_VALUE"""),1855.6)</f>
        <v>1855.6</v>
      </c>
      <c r="C3" s="6">
        <f>IFERROR(__xludf.DUMMYFUNCTION("""COMPUTED_VALUE"""),1908.0)</f>
        <v>1908</v>
      </c>
      <c r="D3" s="6">
        <f>IFERROR(__xludf.DUMMYFUNCTION("""COMPUTED_VALUE"""),1831.25)</f>
        <v>1831.25</v>
      </c>
      <c r="E3" s="6">
        <f>IFERROR(__xludf.DUMMYFUNCTION("""COMPUTED_VALUE"""),1885.25)</f>
        <v>1885.25</v>
      </c>
      <c r="F3" s="6">
        <f>IFERROR(__xludf.DUMMYFUNCTION("""COMPUTED_VALUE"""),4352328.0)</f>
        <v>4352328</v>
      </c>
    </row>
    <row r="4">
      <c r="A4" s="7">
        <f>IFERROR(__xludf.DUMMYFUNCTION("""COMPUTED_VALUE"""),45184.64583333333)</f>
        <v>45184.64583</v>
      </c>
      <c r="B4" s="6">
        <f>IFERROR(__xludf.DUMMYFUNCTION("""COMPUTED_VALUE"""),1924.3)</f>
        <v>1924.3</v>
      </c>
      <c r="C4" s="6">
        <f>IFERROR(__xludf.DUMMYFUNCTION("""COMPUTED_VALUE"""),1957.35)</f>
        <v>1957.35</v>
      </c>
      <c r="D4" s="6">
        <f>IFERROR(__xludf.DUMMYFUNCTION("""COMPUTED_VALUE"""),1837.45)</f>
        <v>1837.45</v>
      </c>
      <c r="E4" s="6">
        <f>IFERROR(__xludf.DUMMYFUNCTION("""COMPUTED_VALUE"""),1927.7)</f>
        <v>1927.7</v>
      </c>
      <c r="F4" s="6">
        <f>IFERROR(__xludf.DUMMYFUNCTION("""COMPUTED_VALUE"""),5188233.0)</f>
        <v>5188233</v>
      </c>
    </row>
    <row r="5">
      <c r="A5" s="7">
        <f>IFERROR(__xludf.DUMMYFUNCTION("""COMPUTED_VALUE"""),45191.64583333333)</f>
        <v>45191.64583</v>
      </c>
      <c r="B5" s="6">
        <f>IFERROR(__xludf.DUMMYFUNCTION("""COMPUTED_VALUE"""),1933.9)</f>
        <v>1933.9</v>
      </c>
      <c r="C5" s="6">
        <f>IFERROR(__xludf.DUMMYFUNCTION("""COMPUTED_VALUE"""),1933.9)</f>
        <v>1933.9</v>
      </c>
      <c r="D5" s="6">
        <f>IFERROR(__xludf.DUMMYFUNCTION("""COMPUTED_VALUE"""),1866.2)</f>
        <v>1866.2</v>
      </c>
      <c r="E5" s="6">
        <f>IFERROR(__xludf.DUMMYFUNCTION("""COMPUTED_VALUE"""),1876.0)</f>
        <v>1876</v>
      </c>
      <c r="F5" s="6">
        <f>IFERROR(__xludf.DUMMYFUNCTION("""COMPUTED_VALUE"""),2454003.0)</f>
        <v>2454003</v>
      </c>
    </row>
    <row r="6">
      <c r="A6" s="7">
        <f>IFERROR(__xludf.DUMMYFUNCTION("""COMPUTED_VALUE"""),45198.64583333333)</f>
        <v>45198.64583</v>
      </c>
      <c r="B6" s="6">
        <f>IFERROR(__xludf.DUMMYFUNCTION("""COMPUTED_VALUE"""),1880.0)</f>
        <v>1880</v>
      </c>
      <c r="C6" s="6">
        <f>IFERROR(__xludf.DUMMYFUNCTION("""COMPUTED_VALUE"""),1939.0)</f>
        <v>1939</v>
      </c>
      <c r="D6" s="6">
        <f>IFERROR(__xludf.DUMMYFUNCTION("""COMPUTED_VALUE"""),1852.5)</f>
        <v>1852.5</v>
      </c>
      <c r="E6" s="6">
        <f>IFERROR(__xludf.DUMMYFUNCTION("""COMPUTED_VALUE"""),1932.75)</f>
        <v>1932.75</v>
      </c>
      <c r="F6" s="6">
        <f>IFERROR(__xludf.DUMMYFUNCTION("""COMPUTED_VALUE"""),3385000.0)</f>
        <v>3385000</v>
      </c>
    </row>
    <row r="7">
      <c r="A7" s="7">
        <f>IFERROR(__xludf.DUMMYFUNCTION("""COMPUTED_VALUE"""),45205.64583333333)</f>
        <v>45205.64583</v>
      </c>
      <c r="B7" s="6">
        <f>IFERROR(__xludf.DUMMYFUNCTION("""COMPUTED_VALUE"""),1932.75)</f>
        <v>1932.75</v>
      </c>
      <c r="C7" s="6">
        <f>IFERROR(__xludf.DUMMYFUNCTION("""COMPUTED_VALUE"""),1932.95)</f>
        <v>1932.95</v>
      </c>
      <c r="D7" s="6">
        <f>IFERROR(__xludf.DUMMYFUNCTION("""COMPUTED_VALUE"""),1821.0)</f>
        <v>1821</v>
      </c>
      <c r="E7" s="6">
        <f>IFERROR(__xludf.DUMMYFUNCTION("""COMPUTED_VALUE"""),1837.8)</f>
        <v>1837.8</v>
      </c>
      <c r="F7" s="6">
        <f>IFERROR(__xludf.DUMMYFUNCTION("""COMPUTED_VALUE"""),3178940.0)</f>
        <v>3178940</v>
      </c>
    </row>
    <row r="8">
      <c r="A8" s="7">
        <f>IFERROR(__xludf.DUMMYFUNCTION("""COMPUTED_VALUE"""),45212.64583333333)</f>
        <v>45212.64583</v>
      </c>
      <c r="B8" s="6">
        <f>IFERROR(__xludf.DUMMYFUNCTION("""COMPUTED_VALUE"""),1835.15)</f>
        <v>1835.15</v>
      </c>
      <c r="C8" s="6">
        <f>IFERROR(__xludf.DUMMYFUNCTION("""COMPUTED_VALUE"""),1849.45)</f>
        <v>1849.45</v>
      </c>
      <c r="D8" s="6">
        <f>IFERROR(__xludf.DUMMYFUNCTION("""COMPUTED_VALUE"""),1799.0)</f>
        <v>1799</v>
      </c>
      <c r="E8" s="6">
        <f>IFERROR(__xludf.DUMMYFUNCTION("""COMPUTED_VALUE"""),1809.15)</f>
        <v>1809.15</v>
      </c>
      <c r="F8" s="6">
        <f>IFERROR(__xludf.DUMMYFUNCTION("""COMPUTED_VALUE"""),3041496.0)</f>
        <v>3041496</v>
      </c>
    </row>
    <row r="9">
      <c r="A9" s="7">
        <f>IFERROR(__xludf.DUMMYFUNCTION("""COMPUTED_VALUE"""),45219.64583333333)</f>
        <v>45219.64583</v>
      </c>
      <c r="B9" s="6">
        <f>IFERROR(__xludf.DUMMYFUNCTION("""COMPUTED_VALUE"""),1814.95)</f>
        <v>1814.95</v>
      </c>
      <c r="C9" s="6">
        <f>IFERROR(__xludf.DUMMYFUNCTION("""COMPUTED_VALUE"""),1820.0)</f>
        <v>1820</v>
      </c>
      <c r="D9" s="6">
        <f>IFERROR(__xludf.DUMMYFUNCTION("""COMPUTED_VALUE"""),1693.8)</f>
        <v>1693.8</v>
      </c>
      <c r="E9" s="6">
        <f>IFERROR(__xludf.DUMMYFUNCTION("""COMPUTED_VALUE"""),1710.25)</f>
        <v>1710.25</v>
      </c>
      <c r="F9" s="6">
        <f>IFERROR(__xludf.DUMMYFUNCTION("""COMPUTED_VALUE"""),3555072.0)</f>
        <v>3555072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IFERROR(__xludf.DUMMYFUNCTION("""COMPUTED_VALUE"""),1693.0)</f>
        <v>1693</v>
      </c>
      <c r="C10" s="6">
        <f>IFERROR(__xludf.DUMMYFUNCTION("""COMPUTED_VALUE"""),1693.0)</f>
        <v>1693</v>
      </c>
      <c r="D10" s="6">
        <f>IFERROR(__xludf.DUMMYFUNCTION("""COMPUTED_VALUE"""),1543.4)</f>
        <v>1543.4</v>
      </c>
      <c r="E10" s="6">
        <f>IFERROR(__xludf.DUMMYFUNCTION("""COMPUTED_VALUE"""),1607.95)</f>
        <v>1607.95</v>
      </c>
      <c r="F10" s="6">
        <f>IFERROR(__xludf.DUMMYFUNCTION("""COMPUTED_VALUE"""),6259004.0)</f>
        <v>6259004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IFERROR(__xludf.DUMMYFUNCTION("""COMPUTED_VALUE"""),1616.85)</f>
        <v>1616.85</v>
      </c>
      <c r="C11" s="6">
        <f>IFERROR(__xludf.DUMMYFUNCTION("""COMPUTED_VALUE"""),1723.05)</f>
        <v>1723.05</v>
      </c>
      <c r="D11" s="6">
        <f>IFERROR(__xludf.DUMMYFUNCTION("""COMPUTED_VALUE"""),1601.0)</f>
        <v>1601</v>
      </c>
      <c r="E11" s="6">
        <f>IFERROR(__xludf.DUMMYFUNCTION("""COMPUTED_VALUE"""),1703.6)</f>
        <v>1703.6</v>
      </c>
      <c r="F11" s="6">
        <f>IFERROR(__xludf.DUMMYFUNCTION("""COMPUTED_VALUE"""),4181685.0)</f>
        <v>4181685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IFERROR(__xludf.DUMMYFUNCTION("""COMPUTED_VALUE"""),1712.95)</f>
        <v>1712.95</v>
      </c>
      <c r="C12" s="6">
        <f>IFERROR(__xludf.DUMMYFUNCTION("""COMPUTED_VALUE"""),1744.6)</f>
        <v>1744.6</v>
      </c>
      <c r="D12" s="6">
        <f>IFERROR(__xludf.DUMMYFUNCTION("""COMPUTED_VALUE"""),1691.0)</f>
        <v>1691</v>
      </c>
      <c r="E12" s="6">
        <f>IFERROR(__xludf.DUMMYFUNCTION("""COMPUTED_VALUE"""),1708.7)</f>
        <v>1708.7</v>
      </c>
      <c r="F12" s="6">
        <f>IFERROR(__xludf.DUMMYFUNCTION("""COMPUTED_VALUE"""),2150886.0)</f>
        <v>2150886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IFERROR(__xludf.DUMMYFUNCTION("""COMPUTED_VALUE"""),1713.0)</f>
        <v>1713</v>
      </c>
      <c r="C13" s="6">
        <f>IFERROR(__xludf.DUMMYFUNCTION("""COMPUTED_VALUE"""),1734.0)</f>
        <v>1734</v>
      </c>
      <c r="D13" s="6">
        <f>IFERROR(__xludf.DUMMYFUNCTION("""COMPUTED_VALUE"""),1678.7)</f>
        <v>1678.7</v>
      </c>
      <c r="E13" s="6">
        <f>IFERROR(__xludf.DUMMYFUNCTION("""COMPUTED_VALUE"""),1705.75)</f>
        <v>1705.75</v>
      </c>
      <c r="F13" s="6">
        <f>IFERROR(__xludf.DUMMYFUNCTION("""COMPUTED_VALUE"""),2592104.0)</f>
        <v>2592104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IFERROR(__xludf.DUMMYFUNCTION("""COMPUTED_VALUE"""),1713.65)</f>
        <v>1713.65</v>
      </c>
      <c r="C14" s="6">
        <f>IFERROR(__xludf.DUMMYFUNCTION("""COMPUTED_VALUE"""),1769.3)</f>
        <v>1769.3</v>
      </c>
      <c r="D14" s="6">
        <f>IFERROR(__xludf.DUMMYFUNCTION("""COMPUTED_VALUE"""),1692.0)</f>
        <v>1692</v>
      </c>
      <c r="E14" s="6">
        <f>IFERROR(__xludf.DUMMYFUNCTION("""COMPUTED_VALUE"""),1723.75)</f>
        <v>1723.75</v>
      </c>
      <c r="F14" s="6">
        <f>IFERROR(__xludf.DUMMYFUNCTION("""COMPUTED_VALUE"""),5315291.0)</f>
        <v>5315291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IFERROR(__xludf.DUMMYFUNCTION("""COMPUTED_VALUE"""),1728.0)</f>
        <v>1728</v>
      </c>
      <c r="C15" s="6">
        <f>IFERROR(__xludf.DUMMYFUNCTION("""COMPUTED_VALUE"""),1736.7)</f>
        <v>1736.7</v>
      </c>
      <c r="D15" s="6">
        <f>IFERROR(__xludf.DUMMYFUNCTION("""COMPUTED_VALUE"""),1649.05)</f>
        <v>1649.05</v>
      </c>
      <c r="E15" s="6">
        <f>IFERROR(__xludf.DUMMYFUNCTION("""COMPUTED_VALUE"""),1659.85)</f>
        <v>1659.85</v>
      </c>
      <c r="F15" s="6">
        <f>IFERROR(__xludf.DUMMYFUNCTION("""COMPUTED_VALUE"""),2.2186647E7)</f>
        <v>22186647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IFERROR(__xludf.DUMMYFUNCTION("""COMPUTED_VALUE"""),1700.0)</f>
        <v>1700</v>
      </c>
      <c r="C16" s="6">
        <f>IFERROR(__xludf.DUMMYFUNCTION("""COMPUTED_VALUE"""),1720.0)</f>
        <v>1720</v>
      </c>
      <c r="D16" s="6">
        <f>IFERROR(__xludf.DUMMYFUNCTION("""COMPUTED_VALUE"""),1652.3)</f>
        <v>1652.3</v>
      </c>
      <c r="E16" s="6">
        <f>IFERROR(__xludf.DUMMYFUNCTION("""COMPUTED_VALUE"""),1694.85)</f>
        <v>1694.85</v>
      </c>
      <c r="F16" s="6">
        <f>IFERROR(__xludf.DUMMYFUNCTION("""COMPUTED_VALUE"""),3571474.0)</f>
        <v>3571474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IFERROR(__xludf.DUMMYFUNCTION("""COMPUTED_VALUE"""),1695.0)</f>
        <v>1695</v>
      </c>
      <c r="C17" s="6">
        <f>IFERROR(__xludf.DUMMYFUNCTION("""COMPUTED_VALUE"""),1820.0)</f>
        <v>1820</v>
      </c>
      <c r="D17" s="6">
        <f>IFERROR(__xludf.DUMMYFUNCTION("""COMPUTED_VALUE"""),1695.0)</f>
        <v>1695</v>
      </c>
      <c r="E17" s="6">
        <f>IFERROR(__xludf.DUMMYFUNCTION("""COMPUTED_VALUE"""),1813.35)</f>
        <v>1813.35</v>
      </c>
      <c r="F17" s="6">
        <f>IFERROR(__xludf.DUMMYFUNCTION("""COMPUTED_VALUE"""),4739820.0)</f>
        <v>4739820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IFERROR(__xludf.DUMMYFUNCTION("""COMPUTED_VALUE"""),1840.0)</f>
        <v>1840</v>
      </c>
      <c r="C18" s="6">
        <f>IFERROR(__xludf.DUMMYFUNCTION("""COMPUTED_VALUE"""),1842.0)</f>
        <v>1842</v>
      </c>
      <c r="D18" s="6">
        <f>IFERROR(__xludf.DUMMYFUNCTION("""COMPUTED_VALUE"""),1688.05)</f>
        <v>1688.05</v>
      </c>
      <c r="E18" s="6">
        <f>IFERROR(__xludf.DUMMYFUNCTION("""COMPUTED_VALUE"""),1730.15)</f>
        <v>1730.15</v>
      </c>
      <c r="F18" s="6">
        <f>IFERROR(__xludf.DUMMYFUNCTION("""COMPUTED_VALUE"""),3375490.0)</f>
        <v>3375490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IFERROR(__xludf.DUMMYFUNCTION("""COMPUTED_VALUE"""),1728.0)</f>
        <v>1728</v>
      </c>
      <c r="C19" s="6">
        <f>IFERROR(__xludf.DUMMYFUNCTION("""COMPUTED_VALUE"""),1830.0)</f>
        <v>1830</v>
      </c>
      <c r="D19" s="6">
        <f>IFERROR(__xludf.DUMMYFUNCTION("""COMPUTED_VALUE"""),1717.5)</f>
        <v>1717.5</v>
      </c>
      <c r="E19" s="6">
        <f>IFERROR(__xludf.DUMMYFUNCTION("""COMPUTED_VALUE"""),1770.3)</f>
        <v>1770.3</v>
      </c>
      <c r="F19" s="6">
        <f>IFERROR(__xludf.DUMMYFUNCTION("""COMPUTED_VALUE"""),3023868.0)</f>
        <v>3023868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IFERROR(__xludf.DUMMYFUNCTION("""COMPUTED_VALUE"""),1784.0)</f>
        <v>1784</v>
      </c>
      <c r="C20" s="6">
        <f>IFERROR(__xludf.DUMMYFUNCTION("""COMPUTED_VALUE"""),1794.4)</f>
        <v>1794.4</v>
      </c>
      <c r="D20" s="6">
        <f>IFERROR(__xludf.DUMMYFUNCTION("""COMPUTED_VALUE"""),1730.6)</f>
        <v>1730.6</v>
      </c>
      <c r="E20" s="6">
        <f>IFERROR(__xludf.DUMMYFUNCTION("""COMPUTED_VALUE"""),1758.45)</f>
        <v>1758.45</v>
      </c>
      <c r="F20" s="6">
        <f>IFERROR(__xludf.DUMMYFUNCTION("""COMPUTED_VALUE"""),2494777.0)</f>
        <v>2494777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IFERROR(__xludf.DUMMYFUNCTION("""COMPUTED_VALUE"""),1760.0)</f>
        <v>1760</v>
      </c>
      <c r="C21" s="6">
        <f>IFERROR(__xludf.DUMMYFUNCTION("""COMPUTED_VALUE"""),1775.0)</f>
        <v>1775</v>
      </c>
      <c r="D21" s="6">
        <f>IFERROR(__xludf.DUMMYFUNCTION("""COMPUTED_VALUE"""),1698.0)</f>
        <v>1698</v>
      </c>
      <c r="E21" s="6">
        <f>IFERROR(__xludf.DUMMYFUNCTION("""COMPUTED_VALUE"""),1744.3)</f>
        <v>1744.3</v>
      </c>
      <c r="F21" s="6">
        <f>IFERROR(__xludf.DUMMYFUNCTION("""COMPUTED_VALUE"""),4286931.0)</f>
        <v>4286931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IFERROR(__xludf.DUMMYFUNCTION("""COMPUTED_VALUE"""),1740.0)</f>
        <v>1740</v>
      </c>
      <c r="C22" s="6">
        <f>IFERROR(__xludf.DUMMYFUNCTION("""COMPUTED_VALUE"""),1757.8)</f>
        <v>1757.8</v>
      </c>
      <c r="D22" s="6">
        <f>IFERROR(__xludf.DUMMYFUNCTION("""COMPUTED_VALUE"""),1690.8)</f>
        <v>1690.8</v>
      </c>
      <c r="E22" s="6">
        <f>IFERROR(__xludf.DUMMYFUNCTION("""COMPUTED_VALUE"""),1716.6)</f>
        <v>1716.6</v>
      </c>
      <c r="F22" s="6">
        <f>IFERROR(__xludf.DUMMYFUNCTION("""COMPUTED_VALUE"""),1655090.0)</f>
        <v>1655090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IFERROR(__xludf.DUMMYFUNCTION("""COMPUTED_VALUE"""),1713.1)</f>
        <v>1713.1</v>
      </c>
      <c r="C23" s="6">
        <f>IFERROR(__xludf.DUMMYFUNCTION("""COMPUTED_VALUE"""),1743.65)</f>
        <v>1743.65</v>
      </c>
      <c r="D23" s="6">
        <f>IFERROR(__xludf.DUMMYFUNCTION("""COMPUTED_VALUE"""),1692.0)</f>
        <v>1692</v>
      </c>
      <c r="E23" s="6">
        <f>IFERROR(__xludf.DUMMYFUNCTION("""COMPUTED_VALUE"""),1698.7)</f>
        <v>1698.7</v>
      </c>
      <c r="F23" s="6">
        <f>IFERROR(__xludf.DUMMYFUNCTION("""COMPUTED_VALUE"""),1997086.0)</f>
        <v>1997086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IFERROR(__xludf.DUMMYFUNCTION("""COMPUTED_VALUE"""),1705.0)</f>
        <v>1705</v>
      </c>
      <c r="C24" s="6">
        <f>IFERROR(__xludf.DUMMYFUNCTION("""COMPUTED_VALUE"""),1775.05)</f>
        <v>1775.05</v>
      </c>
      <c r="D24" s="6">
        <f>IFERROR(__xludf.DUMMYFUNCTION("""COMPUTED_VALUE"""),1671.55)</f>
        <v>1671.55</v>
      </c>
      <c r="E24" s="6">
        <f>IFERROR(__xludf.DUMMYFUNCTION("""COMPUTED_VALUE"""),1760.85)</f>
        <v>1760.85</v>
      </c>
      <c r="F24" s="6">
        <f>IFERROR(__xludf.DUMMYFUNCTION("""COMPUTED_VALUE"""),4017380.0)</f>
        <v>4017380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IFERROR(__xludf.DUMMYFUNCTION("""COMPUTED_VALUE"""),1768.65)</f>
        <v>1768.65</v>
      </c>
      <c r="C25" s="6">
        <f>IFERROR(__xludf.DUMMYFUNCTION("""COMPUTED_VALUE"""),1829.0)</f>
        <v>1829</v>
      </c>
      <c r="D25" s="6">
        <f>IFERROR(__xludf.DUMMYFUNCTION("""COMPUTED_VALUE"""),1705.0)</f>
        <v>1705</v>
      </c>
      <c r="E25" s="6">
        <f>IFERROR(__xludf.DUMMYFUNCTION("""COMPUTED_VALUE"""),1812.35)</f>
        <v>1812.35</v>
      </c>
      <c r="F25" s="6">
        <f>IFERROR(__xludf.DUMMYFUNCTION("""COMPUTED_VALUE"""),3152378.0)</f>
        <v>3152378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IFERROR(__xludf.DUMMYFUNCTION("""COMPUTED_VALUE"""),1828.0)</f>
        <v>1828</v>
      </c>
      <c r="C26" s="6">
        <f>IFERROR(__xludf.DUMMYFUNCTION("""COMPUTED_VALUE"""),1848.7)</f>
        <v>1848.7</v>
      </c>
      <c r="D26" s="6">
        <f>IFERROR(__xludf.DUMMYFUNCTION("""COMPUTED_VALUE"""),1763.65)</f>
        <v>1763.65</v>
      </c>
      <c r="E26" s="6">
        <f>IFERROR(__xludf.DUMMYFUNCTION("""COMPUTED_VALUE"""),1824.55)</f>
        <v>1824.55</v>
      </c>
      <c r="F26" s="6">
        <f>IFERROR(__xludf.DUMMYFUNCTION("""COMPUTED_VALUE"""),3681957.0)</f>
        <v>3681957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IFERROR(__xludf.DUMMYFUNCTION("""COMPUTED_VALUE"""),1925.0)</f>
        <v>1925</v>
      </c>
      <c r="C27" s="6">
        <f>IFERROR(__xludf.DUMMYFUNCTION("""COMPUTED_VALUE"""),2038.4)</f>
        <v>2038.4</v>
      </c>
      <c r="D27" s="6">
        <f>IFERROR(__xludf.DUMMYFUNCTION("""COMPUTED_VALUE"""),1925.0)</f>
        <v>1925</v>
      </c>
      <c r="E27" s="6">
        <f>IFERROR(__xludf.DUMMYFUNCTION("""COMPUTED_VALUE"""),2011.5)</f>
        <v>2011.5</v>
      </c>
      <c r="F27" s="6">
        <f>IFERROR(__xludf.DUMMYFUNCTION("""COMPUTED_VALUE"""),5257892.0)</f>
        <v>5257892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IFERROR(__xludf.DUMMYFUNCTION("""COMPUTED_VALUE"""),1998.6)</f>
        <v>1998.6</v>
      </c>
      <c r="C28" s="6">
        <f>IFERROR(__xludf.DUMMYFUNCTION("""COMPUTED_VALUE"""),2033.9)</f>
        <v>2033.9</v>
      </c>
      <c r="D28" s="6">
        <f>IFERROR(__xludf.DUMMYFUNCTION("""COMPUTED_VALUE"""),1815.95)</f>
        <v>1815.95</v>
      </c>
      <c r="E28" s="6">
        <f>IFERROR(__xludf.DUMMYFUNCTION("""COMPUTED_VALUE"""),1934.85)</f>
        <v>1934.85</v>
      </c>
      <c r="F28" s="6">
        <f>IFERROR(__xludf.DUMMYFUNCTION("""COMPUTED_VALUE"""),4002683.0)</f>
        <v>4002683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IFERROR(__xludf.DUMMYFUNCTION("""COMPUTED_VALUE"""),1932.5)</f>
        <v>1932.5</v>
      </c>
      <c r="C29" s="6">
        <f>IFERROR(__xludf.DUMMYFUNCTION("""COMPUTED_VALUE"""),1972.95)</f>
        <v>1972.95</v>
      </c>
      <c r="D29" s="6">
        <f>IFERROR(__xludf.DUMMYFUNCTION("""COMPUTED_VALUE"""),1852.6)</f>
        <v>1852.6</v>
      </c>
      <c r="E29" s="6">
        <f>IFERROR(__xludf.DUMMYFUNCTION("""COMPUTED_VALUE"""),1922.65)</f>
        <v>1922.65</v>
      </c>
      <c r="F29" s="6">
        <f>IFERROR(__xludf.DUMMYFUNCTION("""COMPUTED_VALUE"""),2861985.0)</f>
        <v>2861985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IFERROR(__xludf.DUMMYFUNCTION("""COMPUTED_VALUE"""),1922.65)</f>
        <v>1922.65</v>
      </c>
      <c r="C30" s="6">
        <f>IFERROR(__xludf.DUMMYFUNCTION("""COMPUTED_VALUE"""),2017.7)</f>
        <v>2017.7</v>
      </c>
      <c r="D30" s="6">
        <f>IFERROR(__xludf.DUMMYFUNCTION("""COMPUTED_VALUE"""),1912.05)</f>
        <v>1912.05</v>
      </c>
      <c r="E30" s="6">
        <f>IFERROR(__xludf.DUMMYFUNCTION("""COMPUTED_VALUE"""),2010.4)</f>
        <v>2010.4</v>
      </c>
      <c r="F30" s="6">
        <f>IFERROR(__xludf.DUMMYFUNCTION("""COMPUTED_VALUE"""),1830918.0)</f>
        <v>1830918</v>
      </c>
    </row>
    <row r="31">
      <c r="A31" s="7">
        <f>IFERROR(__xludf.DUMMYFUNCTION("""COMPUTED_VALUE"""),45387.64583333333)</f>
        <v>45387.64583</v>
      </c>
      <c r="B31" s="6">
        <f>IFERROR(__xludf.DUMMYFUNCTION("""COMPUTED_VALUE"""),2021.0)</f>
        <v>2021</v>
      </c>
      <c r="C31" s="6">
        <f>IFERROR(__xludf.DUMMYFUNCTION("""COMPUTED_VALUE"""),2084.65)</f>
        <v>2084.65</v>
      </c>
      <c r="D31" s="6">
        <f>IFERROR(__xludf.DUMMYFUNCTION("""COMPUTED_VALUE"""),2012.5)</f>
        <v>2012.5</v>
      </c>
      <c r="E31" s="6">
        <f>IFERROR(__xludf.DUMMYFUNCTION("""COMPUTED_VALUE"""),2061.8)</f>
        <v>2061.8</v>
      </c>
      <c r="F31" s="6">
        <f>IFERROR(__xludf.DUMMYFUNCTION("""COMPUTED_VALUE"""),3236582.0)</f>
        <v>3236582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IFERROR(__xludf.DUMMYFUNCTION("""COMPUTED_VALUE"""),2063.95)</f>
        <v>2063.95</v>
      </c>
      <c r="C32" s="6">
        <f>IFERROR(__xludf.DUMMYFUNCTION("""COMPUTED_VALUE"""),2073.1)</f>
        <v>2073.1</v>
      </c>
      <c r="D32" s="6">
        <f>IFERROR(__xludf.DUMMYFUNCTION("""COMPUTED_VALUE"""),1937.15)</f>
        <v>1937.15</v>
      </c>
      <c r="E32" s="6">
        <f>IFERROR(__xludf.DUMMYFUNCTION("""COMPUTED_VALUE"""),1945.45)</f>
        <v>1945.45</v>
      </c>
      <c r="F32" s="6">
        <f>IFERROR(__xludf.DUMMYFUNCTION("""COMPUTED_VALUE"""),1669567.0)</f>
        <v>1669567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IFERROR(__xludf.DUMMYFUNCTION("""COMPUTED_VALUE"""),1939.9)</f>
        <v>1939.9</v>
      </c>
      <c r="C33" s="6">
        <f>IFERROR(__xludf.DUMMYFUNCTION("""COMPUTED_VALUE"""),1969.9)</f>
        <v>1969.9</v>
      </c>
      <c r="D33" s="6">
        <f>IFERROR(__xludf.DUMMYFUNCTION("""COMPUTED_VALUE"""),1741.1)</f>
        <v>1741.1</v>
      </c>
      <c r="E33" s="6">
        <f>IFERROR(__xludf.DUMMYFUNCTION("""COMPUTED_VALUE"""),1755.2)</f>
        <v>1755.2</v>
      </c>
      <c r="F33" s="6">
        <f>IFERROR(__xludf.DUMMYFUNCTION("""COMPUTED_VALUE"""),6141691.0)</f>
        <v>6141691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IFERROR(__xludf.DUMMYFUNCTION("""COMPUTED_VALUE"""),1762.0)</f>
        <v>1762</v>
      </c>
      <c r="C34" s="6">
        <f>IFERROR(__xludf.DUMMYFUNCTION("""COMPUTED_VALUE"""),1773.25)</f>
        <v>1773.25</v>
      </c>
      <c r="D34" s="6">
        <f>IFERROR(__xludf.DUMMYFUNCTION("""COMPUTED_VALUE"""),1711.0)</f>
        <v>1711</v>
      </c>
      <c r="E34" s="6">
        <f>IFERROR(__xludf.DUMMYFUNCTION("""COMPUTED_VALUE"""),1756.65)</f>
        <v>1756.65</v>
      </c>
      <c r="F34" s="6">
        <f>IFERROR(__xludf.DUMMYFUNCTION("""COMPUTED_VALUE"""),3908316.0)</f>
        <v>3908316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IFERROR(__xludf.DUMMYFUNCTION("""COMPUTED_VALUE"""),1756.65)</f>
        <v>1756.65</v>
      </c>
      <c r="C35" s="6">
        <f>IFERROR(__xludf.DUMMYFUNCTION("""COMPUTED_VALUE"""),1768.0)</f>
        <v>1768</v>
      </c>
      <c r="D35" s="6">
        <f>IFERROR(__xludf.DUMMYFUNCTION("""COMPUTED_VALUE"""),1712.2)</f>
        <v>1712.2</v>
      </c>
      <c r="E35" s="6">
        <f>IFERROR(__xludf.DUMMYFUNCTION("""COMPUTED_VALUE"""),1721.75)</f>
        <v>1721.75</v>
      </c>
      <c r="F35" s="6">
        <f>IFERROR(__xludf.DUMMYFUNCTION("""COMPUTED_VALUE"""),1625836.0)</f>
        <v>1625836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IFERROR(__xludf.DUMMYFUNCTION("""COMPUTED_VALUE"""),1730.65)</f>
        <v>1730.65</v>
      </c>
      <c r="C36" s="6">
        <f>IFERROR(__xludf.DUMMYFUNCTION("""COMPUTED_VALUE"""),1773.5)</f>
        <v>1773.5</v>
      </c>
      <c r="D36" s="6">
        <f>IFERROR(__xludf.DUMMYFUNCTION("""COMPUTED_VALUE"""),1707.05)</f>
        <v>1707.05</v>
      </c>
      <c r="E36" s="6">
        <f>IFERROR(__xludf.DUMMYFUNCTION("""COMPUTED_VALUE"""),1742.05)</f>
        <v>1742.05</v>
      </c>
      <c r="F36" s="6">
        <f>IFERROR(__xludf.DUMMYFUNCTION("""COMPUTED_VALUE"""),1957466.0)</f>
        <v>1957466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IFERROR(__xludf.DUMMYFUNCTION("""COMPUTED_VALUE"""),1812.0)</f>
        <v>1812</v>
      </c>
      <c r="C37" s="6">
        <f>IFERROR(__xludf.DUMMYFUNCTION("""COMPUTED_VALUE"""),1845.0)</f>
        <v>1845</v>
      </c>
      <c r="D37" s="6">
        <f>IFERROR(__xludf.DUMMYFUNCTION("""COMPUTED_VALUE"""),1794.6)</f>
        <v>1794.6</v>
      </c>
      <c r="E37" s="6">
        <f>IFERROR(__xludf.DUMMYFUNCTION("""COMPUTED_VALUE"""),1838.55)</f>
        <v>1838.55</v>
      </c>
      <c r="F37" s="6">
        <f>IFERROR(__xludf.DUMMYFUNCTION("""COMPUTED_VALUE"""),1167903.0)</f>
        <v>1167903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IFERROR(__xludf.DUMMYFUNCTION("""COMPUTED_VALUE"""),1840.0)</f>
        <v>1840</v>
      </c>
      <c r="C38" s="6">
        <f>IFERROR(__xludf.DUMMYFUNCTION("""COMPUTED_VALUE"""),1842.4)</f>
        <v>1842.4</v>
      </c>
      <c r="D38" s="6">
        <f>IFERROR(__xludf.DUMMYFUNCTION("""COMPUTED_VALUE"""),1756.05)</f>
        <v>1756.05</v>
      </c>
      <c r="E38" s="6">
        <f>IFERROR(__xludf.DUMMYFUNCTION("""COMPUTED_VALUE"""),1778.3)</f>
        <v>1778.3</v>
      </c>
      <c r="F38" s="6">
        <f>IFERROR(__xludf.DUMMYFUNCTION("""COMPUTED_VALUE"""),1719894.0)</f>
        <v>1719894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IFERROR(__xludf.DUMMYFUNCTION("""COMPUTED_VALUE"""),1804.95)</f>
        <v>1804.95</v>
      </c>
      <c r="C39" s="6">
        <f>IFERROR(__xludf.DUMMYFUNCTION("""COMPUTED_VALUE"""),1821.4)</f>
        <v>1821.4</v>
      </c>
      <c r="D39" s="6">
        <f>IFERROR(__xludf.DUMMYFUNCTION("""COMPUTED_VALUE"""),1585.55)</f>
        <v>1585.55</v>
      </c>
      <c r="E39" s="6">
        <f>IFERROR(__xludf.DUMMYFUNCTION("""COMPUTED_VALUE"""),1812.75)</f>
        <v>1812.75</v>
      </c>
      <c r="F39" s="6">
        <f>IFERROR(__xludf.DUMMYFUNCTION("""COMPUTED_VALUE"""),3348745.0)</f>
        <v>3348745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IFERROR(__xludf.DUMMYFUNCTION("""COMPUTED_VALUE"""),1829.0)</f>
        <v>1829</v>
      </c>
      <c r="C40" s="6">
        <f>IFERROR(__xludf.DUMMYFUNCTION("""COMPUTED_VALUE"""),1926.0)</f>
        <v>1926</v>
      </c>
      <c r="D40" s="6">
        <f>IFERROR(__xludf.DUMMYFUNCTION("""COMPUTED_VALUE"""),1819.25)</f>
        <v>1819.25</v>
      </c>
      <c r="E40" s="6">
        <f>IFERROR(__xludf.DUMMYFUNCTION("""COMPUTED_VALUE"""),1868.4)</f>
        <v>1868.4</v>
      </c>
      <c r="F40" s="6">
        <f>IFERROR(__xludf.DUMMYFUNCTION("""COMPUTED_VALUE"""),3388482.0)</f>
        <v>3388482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IFERROR(__xludf.DUMMYFUNCTION("""COMPUTED_VALUE"""),1875.8)</f>
        <v>1875.8</v>
      </c>
      <c r="C41" s="6">
        <f>IFERROR(__xludf.DUMMYFUNCTION("""COMPUTED_VALUE"""),1880.0)</f>
        <v>1880</v>
      </c>
      <c r="D41" s="6">
        <f>IFERROR(__xludf.DUMMYFUNCTION("""COMPUTED_VALUE"""),1818.9)</f>
        <v>1818.9</v>
      </c>
      <c r="E41" s="6">
        <f>IFERROR(__xludf.DUMMYFUNCTION("""COMPUTED_VALUE"""),1845.75)</f>
        <v>1845.75</v>
      </c>
      <c r="F41" s="6">
        <f>IFERROR(__xludf.DUMMYFUNCTION("""COMPUTED_VALUE"""),1755369.0)</f>
        <v>1755369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IFERROR(__xludf.DUMMYFUNCTION("""COMPUTED_VALUE"""),1845.05)</f>
        <v>1845.05</v>
      </c>
      <c r="C42" s="6">
        <f>IFERROR(__xludf.DUMMYFUNCTION("""COMPUTED_VALUE"""),1883.9)</f>
        <v>1883.9</v>
      </c>
      <c r="D42" s="6">
        <f>IFERROR(__xludf.DUMMYFUNCTION("""COMPUTED_VALUE"""),1820.15)</f>
        <v>1820.15</v>
      </c>
      <c r="E42" s="6">
        <f>IFERROR(__xludf.DUMMYFUNCTION("""COMPUTED_VALUE"""),1854.45)</f>
        <v>1854.45</v>
      </c>
      <c r="F42" s="6">
        <f>IFERROR(__xludf.DUMMYFUNCTION("""COMPUTED_VALUE"""),1545931.0)</f>
        <v>1545931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IFERROR(__xludf.DUMMYFUNCTION("""COMPUTED_VALUE"""),1846.45)</f>
        <v>1846.45</v>
      </c>
      <c r="C43" s="6">
        <f>IFERROR(__xludf.DUMMYFUNCTION("""COMPUTED_VALUE"""),1905.5)</f>
        <v>1905.5</v>
      </c>
      <c r="D43" s="6">
        <f>IFERROR(__xludf.DUMMYFUNCTION("""COMPUTED_VALUE"""),1836.55)</f>
        <v>1836.55</v>
      </c>
      <c r="E43" s="6">
        <f>IFERROR(__xludf.DUMMYFUNCTION("""COMPUTED_VALUE"""),1888.3)</f>
        <v>1888.3</v>
      </c>
      <c r="F43" s="6">
        <f>IFERROR(__xludf.DUMMYFUNCTION("""COMPUTED_VALUE"""),2790970.0)</f>
        <v>2790970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IFERROR(__xludf.DUMMYFUNCTION("""COMPUTED_VALUE"""),1888.3)</f>
        <v>1888.3</v>
      </c>
      <c r="C44" s="6">
        <f>IFERROR(__xludf.DUMMYFUNCTION("""COMPUTED_VALUE"""),1892.95)</f>
        <v>1892.95</v>
      </c>
      <c r="D44" s="6">
        <f>IFERROR(__xludf.DUMMYFUNCTION("""COMPUTED_VALUE"""),1810.05)</f>
        <v>1810.05</v>
      </c>
      <c r="E44" s="6">
        <f>IFERROR(__xludf.DUMMYFUNCTION("""COMPUTED_VALUE"""),1859.5)</f>
        <v>1859.5</v>
      </c>
      <c r="F44" s="6">
        <f>IFERROR(__xludf.DUMMYFUNCTION("""COMPUTED_VALUE"""),1436117.0)</f>
        <v>1436117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IFERROR(__xludf.DUMMYFUNCTION("""COMPUTED_VALUE"""),1863.05)</f>
        <v>1863.05</v>
      </c>
      <c r="C45" s="6">
        <f>IFERROR(__xludf.DUMMYFUNCTION("""COMPUTED_VALUE"""),1888.0)</f>
        <v>1888</v>
      </c>
      <c r="D45" s="6">
        <f>IFERROR(__xludf.DUMMYFUNCTION("""COMPUTED_VALUE"""),1780.05)</f>
        <v>1780.05</v>
      </c>
      <c r="E45" s="6">
        <f>IFERROR(__xludf.DUMMYFUNCTION("""COMPUTED_VALUE"""),1788.4)</f>
        <v>1788.4</v>
      </c>
      <c r="F45" s="6">
        <f>IFERROR(__xludf.DUMMYFUNCTION("""COMPUTED_VALUE"""),2817947.0)</f>
        <v>2817947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IFERROR(__xludf.DUMMYFUNCTION("""COMPUTED_VALUE"""),1785.05)</f>
        <v>1785.05</v>
      </c>
      <c r="C46" s="6">
        <f>IFERROR(__xludf.DUMMYFUNCTION("""COMPUTED_VALUE"""),1893.95)</f>
        <v>1893.95</v>
      </c>
      <c r="D46" s="6">
        <f>IFERROR(__xludf.DUMMYFUNCTION("""COMPUTED_VALUE"""),1720.05)</f>
        <v>1720.05</v>
      </c>
      <c r="E46" s="6">
        <f>IFERROR(__xludf.DUMMYFUNCTION("""COMPUTED_VALUE"""),1886.4)</f>
        <v>1886.4</v>
      </c>
      <c r="F46" s="6">
        <f>IFERROR(__xludf.DUMMYFUNCTION("""COMPUTED_VALUE"""),2752651.0)</f>
        <v>2752651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IFERROR(__xludf.DUMMYFUNCTION("""COMPUTED_VALUE"""),1894.95)</f>
        <v>1894.95</v>
      </c>
      <c r="C47" s="6">
        <f>IFERROR(__xludf.DUMMYFUNCTION("""COMPUTED_VALUE"""),2005.85)</f>
        <v>2005.85</v>
      </c>
      <c r="D47" s="6">
        <f>IFERROR(__xludf.DUMMYFUNCTION("""COMPUTED_VALUE"""),1863.0)</f>
        <v>1863</v>
      </c>
      <c r="E47" s="6">
        <f>IFERROR(__xludf.DUMMYFUNCTION("""COMPUTED_VALUE"""),1951.35)</f>
        <v>1951.35</v>
      </c>
      <c r="F47" s="6">
        <f>IFERROR(__xludf.DUMMYFUNCTION("""COMPUTED_VALUE"""),4996867.0)</f>
        <v>4996867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IFERROR(__xludf.DUMMYFUNCTION("""COMPUTED_VALUE"""),1897.4)</f>
        <v>1897.4</v>
      </c>
      <c r="C48" s="6">
        <f>IFERROR(__xludf.DUMMYFUNCTION("""COMPUTED_VALUE"""),1939.0)</f>
        <v>1939</v>
      </c>
      <c r="D48" s="6">
        <f>IFERROR(__xludf.DUMMYFUNCTION("""COMPUTED_VALUE"""),1835.55)</f>
        <v>1835.55</v>
      </c>
      <c r="E48" s="6">
        <f>IFERROR(__xludf.DUMMYFUNCTION("""COMPUTED_VALUE"""),1887.5)</f>
        <v>1887.5</v>
      </c>
      <c r="F48" s="6">
        <f>IFERROR(__xludf.DUMMYFUNCTION("""COMPUTED_VALUE"""),1738786.0)</f>
        <v>1738786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IFERROR(__xludf.DUMMYFUNCTION("""COMPUTED_VALUE"""),1870.35)</f>
        <v>1870.35</v>
      </c>
      <c r="C49" s="6">
        <f>IFERROR(__xludf.DUMMYFUNCTION("""COMPUTED_VALUE"""),1900.15)</f>
        <v>1900.15</v>
      </c>
      <c r="D49" s="6">
        <f>IFERROR(__xludf.DUMMYFUNCTION("""COMPUTED_VALUE"""),1814.9)</f>
        <v>1814.9</v>
      </c>
      <c r="E49" s="6">
        <f>IFERROR(__xludf.DUMMYFUNCTION("""COMPUTED_VALUE"""),1864.6)</f>
        <v>1864.6</v>
      </c>
      <c r="F49" s="6">
        <f>IFERROR(__xludf.DUMMYFUNCTION("""COMPUTED_VALUE"""),919159.0)</f>
        <v>919159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IFERROR(__xludf.DUMMYFUNCTION("""COMPUTED_VALUE"""),1864.85)</f>
        <v>1864.85</v>
      </c>
      <c r="C50" s="6">
        <f>IFERROR(__xludf.DUMMYFUNCTION("""COMPUTED_VALUE"""),1934.35)</f>
        <v>1934.35</v>
      </c>
      <c r="D50" s="6">
        <f>IFERROR(__xludf.DUMMYFUNCTION("""COMPUTED_VALUE"""),1864.85)</f>
        <v>1864.85</v>
      </c>
      <c r="E50" s="6">
        <f>IFERROR(__xludf.DUMMYFUNCTION("""COMPUTED_VALUE"""),1906.9)</f>
        <v>1906.9</v>
      </c>
      <c r="F50" s="6">
        <f>IFERROR(__xludf.DUMMYFUNCTION("""COMPUTED_VALUE"""),1310765.0)</f>
        <v>1310765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IFERROR(__xludf.DUMMYFUNCTION("""COMPUTED_VALUE"""),1915.5)</f>
        <v>1915.5</v>
      </c>
      <c r="C51" s="6">
        <f>IFERROR(__xludf.DUMMYFUNCTION("""COMPUTED_VALUE"""),1981.0)</f>
        <v>1981</v>
      </c>
      <c r="D51" s="6">
        <f>IFERROR(__xludf.DUMMYFUNCTION("""COMPUTED_VALUE"""),1908.15)</f>
        <v>1908.15</v>
      </c>
      <c r="E51" s="6">
        <f>IFERROR(__xludf.DUMMYFUNCTION("""COMPUTED_VALUE"""),1961.85)</f>
        <v>1961.85</v>
      </c>
      <c r="F51" s="6">
        <f>IFERROR(__xludf.DUMMYFUNCTION("""COMPUTED_VALUE"""),2187069.0)</f>
        <v>2187069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IFERROR(__xludf.DUMMYFUNCTION("""COMPUTED_VALUE"""),1963.05)</f>
        <v>1963.05</v>
      </c>
      <c r="C52" s="6">
        <f>IFERROR(__xludf.DUMMYFUNCTION("""COMPUTED_VALUE"""),2019.9)</f>
        <v>2019.9</v>
      </c>
      <c r="D52" s="6">
        <f>IFERROR(__xludf.DUMMYFUNCTION("""COMPUTED_VALUE"""),1939.0)</f>
        <v>1939</v>
      </c>
      <c r="E52" s="6">
        <f>IFERROR(__xludf.DUMMYFUNCTION("""COMPUTED_VALUE"""),1941.35)</f>
        <v>1941.35</v>
      </c>
      <c r="F52" s="6">
        <f>IFERROR(__xludf.DUMMYFUNCTION("""COMPUTED_VALUE"""),1477587.0)</f>
        <v>1477587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IFERROR(__xludf.DUMMYFUNCTION("""COMPUTED_VALUE"""),1924.0)</f>
        <v>1924</v>
      </c>
      <c r="C53" s="6">
        <f>IFERROR(__xludf.DUMMYFUNCTION("""COMPUTED_VALUE"""),2070.0)</f>
        <v>2070</v>
      </c>
      <c r="D53" s="6">
        <f>IFERROR(__xludf.DUMMYFUNCTION("""COMPUTED_VALUE"""),1909.4)</f>
        <v>1909.4</v>
      </c>
      <c r="E53" s="6">
        <f>IFERROR(__xludf.DUMMYFUNCTION("""COMPUTED_VALUE"""),2060.2)</f>
        <v>2060.2</v>
      </c>
      <c r="F53" s="6">
        <f>IFERROR(__xludf.DUMMYFUNCTION("""COMPUTED_VALUE"""),4724029.0)</f>
        <v>4724029</v>
      </c>
    </row>
    <row r="54">
      <c r="A54" s="7">
        <f>IFERROR(__xludf.DUMMYFUNCTION("""COMPUTED_VALUE"""),45555.64583333333)</f>
        <v>45555.64583</v>
      </c>
      <c r="B54" s="6">
        <f>IFERROR(__xludf.DUMMYFUNCTION("""COMPUTED_VALUE"""),2074.0)</f>
        <v>2074</v>
      </c>
      <c r="C54" s="6">
        <f>IFERROR(__xludf.DUMMYFUNCTION("""COMPUTED_VALUE"""),2079.0)</f>
        <v>2079</v>
      </c>
      <c r="D54" s="6">
        <f>IFERROR(__xludf.DUMMYFUNCTION("""COMPUTED_VALUE"""),1942.2)</f>
        <v>1942.2</v>
      </c>
      <c r="E54" s="6">
        <f>IFERROR(__xludf.DUMMYFUNCTION("""COMPUTED_VALUE"""),1968.0)</f>
        <v>1968</v>
      </c>
      <c r="F54" s="6">
        <f>IFERROR(__xludf.DUMMYFUNCTION("""COMPUTED_VALUE"""),1560236.0)</f>
        <v>1560236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IFERROR(__xludf.DUMMYFUNCTION("""COMPUTED_VALUE"""),1978.05)</f>
        <v>1978.05</v>
      </c>
      <c r="C55" s="6">
        <f>IFERROR(__xludf.DUMMYFUNCTION("""COMPUTED_VALUE"""),2168.0)</f>
        <v>2168</v>
      </c>
      <c r="D55" s="6">
        <f>IFERROR(__xludf.DUMMYFUNCTION("""COMPUTED_VALUE"""),1978.05)</f>
        <v>1978.05</v>
      </c>
      <c r="E55" s="6">
        <f>IFERROR(__xludf.DUMMYFUNCTION("""COMPUTED_VALUE"""),2126.45)</f>
        <v>2126.45</v>
      </c>
      <c r="F55" s="6">
        <f>IFERROR(__xludf.DUMMYFUNCTION("""COMPUTED_VALUE"""),5692939.0)</f>
        <v>5692939</v>
      </c>
    </row>
    <row r="56">
      <c r="A56" s="7">
        <f>IFERROR(__xludf.DUMMYFUNCTION("""COMPUTED_VALUE"""),45569.64583333333)</f>
        <v>45569.64583</v>
      </c>
      <c r="B56" s="6">
        <f>IFERROR(__xludf.DUMMYFUNCTION("""COMPUTED_VALUE"""),2118.0)</f>
        <v>2118</v>
      </c>
      <c r="C56" s="6">
        <f>IFERROR(__xludf.DUMMYFUNCTION("""COMPUTED_VALUE"""),2175.0)</f>
        <v>2175</v>
      </c>
      <c r="D56" s="6">
        <f>IFERROR(__xludf.DUMMYFUNCTION("""COMPUTED_VALUE"""),2072.2)</f>
        <v>2072.2</v>
      </c>
      <c r="E56" s="6">
        <f>IFERROR(__xludf.DUMMYFUNCTION("""COMPUTED_VALUE"""),2082.05)</f>
        <v>2082.05</v>
      </c>
      <c r="F56" s="6">
        <f>IFERROR(__xludf.DUMMYFUNCTION("""COMPUTED_VALUE"""),2444645.0)</f>
        <v>2444645</v>
      </c>
    </row>
    <row r="57">
      <c r="A57" s="7">
        <f>IFERROR(__xludf.DUMMYFUNCTION("""COMPUTED_VALUE"""),45576.64583333333)</f>
        <v>45576.64583</v>
      </c>
      <c r="B57" s="6">
        <f>IFERROR(__xludf.DUMMYFUNCTION("""COMPUTED_VALUE"""),2082.05)</f>
        <v>2082.05</v>
      </c>
      <c r="C57" s="6">
        <f>IFERROR(__xludf.DUMMYFUNCTION("""COMPUTED_VALUE"""),2096.4)</f>
        <v>2096.4</v>
      </c>
      <c r="D57" s="6">
        <f>IFERROR(__xludf.DUMMYFUNCTION("""COMPUTED_VALUE"""),1945.0)</f>
        <v>1945</v>
      </c>
      <c r="E57" s="6">
        <f>IFERROR(__xludf.DUMMYFUNCTION("""COMPUTED_VALUE"""),1963.75)</f>
        <v>1963.75</v>
      </c>
      <c r="F57" s="6">
        <f>IFERROR(__xludf.DUMMYFUNCTION("""COMPUTED_VALUE"""),1848489.0)</f>
        <v>1848489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IFERROR(__xludf.DUMMYFUNCTION("""COMPUTED_VALUE"""),1963.75)</f>
        <v>1963.75</v>
      </c>
      <c r="C58" s="6">
        <f>IFERROR(__xludf.DUMMYFUNCTION("""COMPUTED_VALUE"""),1974.1)</f>
        <v>1974.1</v>
      </c>
      <c r="D58" s="6">
        <f>IFERROR(__xludf.DUMMYFUNCTION("""COMPUTED_VALUE"""),1808.1)</f>
        <v>1808.1</v>
      </c>
      <c r="E58" s="6">
        <f>IFERROR(__xludf.DUMMYFUNCTION("""COMPUTED_VALUE"""),1873.0)</f>
        <v>1873</v>
      </c>
      <c r="F58" s="6">
        <f>IFERROR(__xludf.DUMMYFUNCTION("""COMPUTED_VALUE"""),2525595.0)</f>
        <v>2525595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IFERROR(__xludf.DUMMYFUNCTION("""COMPUTED_VALUE"""),1873.05)</f>
        <v>1873.05</v>
      </c>
      <c r="C59" s="6">
        <f>IFERROR(__xludf.DUMMYFUNCTION("""COMPUTED_VALUE"""),1906.0)</f>
        <v>1906</v>
      </c>
      <c r="D59" s="6">
        <f>IFERROR(__xludf.DUMMYFUNCTION("""COMPUTED_VALUE"""),1738.05)</f>
        <v>1738.05</v>
      </c>
      <c r="E59" s="6">
        <f>IFERROR(__xludf.DUMMYFUNCTION("""COMPUTED_VALUE"""),1777.6)</f>
        <v>1777.6</v>
      </c>
      <c r="F59" s="6">
        <f>IFERROR(__xludf.DUMMYFUNCTION("""COMPUTED_VALUE"""),2139786.0)</f>
        <v>2139786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IFERROR(__xludf.DUMMYFUNCTION("""COMPUTED_VALUE"""),1781.05)</f>
        <v>1781.05</v>
      </c>
      <c r="C60" s="6">
        <f>IFERROR(__xludf.DUMMYFUNCTION("""COMPUTED_VALUE"""),1829.1)</f>
        <v>1829.1</v>
      </c>
      <c r="D60" s="6">
        <f>IFERROR(__xludf.DUMMYFUNCTION("""COMPUTED_VALUE"""),1715.05)</f>
        <v>1715.05</v>
      </c>
      <c r="E60" s="6">
        <f>IFERROR(__xludf.DUMMYFUNCTION("""COMPUTED_VALUE"""),1774.65)</f>
        <v>1774.65</v>
      </c>
      <c r="F60" s="6">
        <f>IFERROR(__xludf.DUMMYFUNCTION("""COMPUTED_VALUE"""),1452570.0)</f>
        <v>1452570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IFERROR(__xludf.DUMMYFUNCTION("""COMPUTED_VALUE"""),1766.0)</f>
        <v>1766</v>
      </c>
      <c r="C61" s="6">
        <f>IFERROR(__xludf.DUMMYFUNCTION("""COMPUTED_VALUE"""),1794.85)</f>
        <v>1794.85</v>
      </c>
      <c r="D61" s="6">
        <f>IFERROR(__xludf.DUMMYFUNCTION("""COMPUTED_VALUE"""),1737.0)</f>
        <v>1737</v>
      </c>
      <c r="E61" s="6">
        <f>IFERROR(__xludf.DUMMYFUNCTION("""COMPUTED_VALUE"""),1749.9)</f>
        <v>1749.9</v>
      </c>
      <c r="F61" s="6">
        <f>IFERROR(__xludf.DUMMYFUNCTION("""COMPUTED_VALUE"""),842654.0)</f>
        <v>842654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IFERROR(__xludf.DUMMYFUNCTION("""COMPUTED_VALUE"""),1749.9)</f>
        <v>1749.9</v>
      </c>
      <c r="C62" s="6">
        <f>IFERROR(__xludf.DUMMYFUNCTION("""COMPUTED_VALUE"""),1773.0)</f>
        <v>1773</v>
      </c>
      <c r="D62" s="6">
        <f>IFERROR(__xludf.DUMMYFUNCTION("""COMPUTED_VALUE"""),1699.25)</f>
        <v>1699.25</v>
      </c>
      <c r="E62" s="6">
        <f>IFERROR(__xludf.DUMMYFUNCTION("""COMPUTED_VALUE"""),1738.15)</f>
        <v>1738.15</v>
      </c>
      <c r="F62" s="6">
        <f>IFERROR(__xludf.DUMMYFUNCTION("""COMPUTED_VALUE"""),679564.0)</f>
        <v>679564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IFERROR(__xludf.DUMMYFUNCTION("""COMPUTED_VALUE"""),1751.0)</f>
        <v>1751</v>
      </c>
      <c r="C63" s="6">
        <f>IFERROR(__xludf.DUMMYFUNCTION("""COMPUTED_VALUE"""),1817.25)</f>
        <v>1817.25</v>
      </c>
      <c r="D63" s="6">
        <f>IFERROR(__xludf.DUMMYFUNCTION("""COMPUTED_VALUE"""),1728.15)</f>
        <v>1728.15</v>
      </c>
      <c r="E63" s="6">
        <f>IFERROR(__xludf.DUMMYFUNCTION("""COMPUTED_VALUE"""),1755.1)</f>
        <v>1755.1</v>
      </c>
      <c r="F63" s="6">
        <f>IFERROR(__xludf.DUMMYFUNCTION("""COMPUTED_VALUE"""),1708480.0)</f>
        <v>1708480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IFERROR(__xludf.DUMMYFUNCTION("""COMPUTED_VALUE"""),1755.1)</f>
        <v>1755.1</v>
      </c>
      <c r="C64" s="6">
        <f>IFERROR(__xludf.DUMMYFUNCTION("""COMPUTED_VALUE"""),1822.75)</f>
        <v>1822.75</v>
      </c>
      <c r="D64" s="6">
        <f>IFERROR(__xludf.DUMMYFUNCTION("""COMPUTED_VALUE"""),1741.7)</f>
        <v>1741.7</v>
      </c>
      <c r="E64" s="6">
        <f>IFERROR(__xludf.DUMMYFUNCTION("""COMPUTED_VALUE"""),1788.1)</f>
        <v>1788.1</v>
      </c>
      <c r="F64" s="6">
        <f>IFERROR(__xludf.DUMMYFUNCTION("""COMPUTED_VALUE"""),1292915.0)</f>
        <v>1292915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IFERROR(__xludf.DUMMYFUNCTION("""COMPUTED_VALUE"""),1780.0)</f>
        <v>1780</v>
      </c>
      <c r="C65" s="6">
        <f>IFERROR(__xludf.DUMMYFUNCTION("""COMPUTED_VALUE"""),1861.8)</f>
        <v>1861.8</v>
      </c>
      <c r="D65" s="6">
        <f>IFERROR(__xludf.DUMMYFUNCTION("""COMPUTED_VALUE"""),1769.15)</f>
        <v>1769.15</v>
      </c>
      <c r="E65" s="6">
        <f>IFERROR(__xludf.DUMMYFUNCTION("""COMPUTED_VALUE"""),1840.95)</f>
        <v>1840.95</v>
      </c>
      <c r="F65" s="6">
        <f>IFERROR(__xludf.DUMMYFUNCTION("""COMPUTED_VALUE"""),2135014.0)</f>
        <v>2135014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IFERROR(__xludf.DUMMYFUNCTION("""COMPUTED_VALUE"""),1841.05)</f>
        <v>1841.05</v>
      </c>
      <c r="C66" s="6">
        <f>IFERROR(__xludf.DUMMYFUNCTION("""COMPUTED_VALUE"""),1860.6)</f>
        <v>1860.6</v>
      </c>
      <c r="D66" s="6">
        <f>IFERROR(__xludf.DUMMYFUNCTION("""COMPUTED_VALUE"""),1704.2)</f>
        <v>1704.2</v>
      </c>
      <c r="E66" s="6">
        <f>IFERROR(__xludf.DUMMYFUNCTION("""COMPUTED_VALUE"""),1710.45)</f>
        <v>1710.45</v>
      </c>
      <c r="F66" s="6">
        <f>IFERROR(__xludf.DUMMYFUNCTION("""COMPUTED_VALUE"""),1442210.0)</f>
        <v>1442210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IFERROR(__xludf.DUMMYFUNCTION("""COMPUTED_VALUE"""),1721.95)</f>
        <v>1721.95</v>
      </c>
      <c r="C67" s="6">
        <f>IFERROR(__xludf.DUMMYFUNCTION("""COMPUTED_VALUE"""),1743.95)</f>
        <v>1743.95</v>
      </c>
      <c r="D67" s="6">
        <f>IFERROR(__xludf.DUMMYFUNCTION("""COMPUTED_VALUE"""),1700.0)</f>
        <v>1700</v>
      </c>
      <c r="E67" s="6">
        <f>IFERROR(__xludf.DUMMYFUNCTION("""COMPUTED_VALUE"""),1713.6)</f>
        <v>1713.6</v>
      </c>
      <c r="F67" s="6">
        <f>IFERROR(__xludf.DUMMYFUNCTION("""COMPUTED_VALUE"""),905024.0)</f>
        <v>905024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IFERROR(__xludf.DUMMYFUNCTION("""COMPUTED_VALUE"""),1713.6)</f>
        <v>1713.6</v>
      </c>
      <c r="C68" s="6">
        <f>IFERROR(__xludf.DUMMYFUNCTION("""COMPUTED_VALUE"""),1759.65)</f>
        <v>1759.65</v>
      </c>
      <c r="D68" s="6">
        <f>IFERROR(__xludf.DUMMYFUNCTION("""COMPUTED_VALUE"""),1681.05)</f>
        <v>1681.05</v>
      </c>
      <c r="E68" s="6">
        <f>IFERROR(__xludf.DUMMYFUNCTION("""COMPUTED_VALUE"""),1736.55)</f>
        <v>1736.55</v>
      </c>
      <c r="F68" s="6">
        <f>IFERROR(__xludf.DUMMYFUNCTION("""COMPUTED_VALUE"""),873738.0)</f>
        <v>873738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IFERROR(__xludf.DUMMYFUNCTION("""COMPUTED_VALUE"""),1733.65)</f>
        <v>1733.65</v>
      </c>
      <c r="C69" s="6">
        <f>IFERROR(__xludf.DUMMYFUNCTION("""COMPUTED_VALUE"""),1748.7)</f>
        <v>1748.7</v>
      </c>
      <c r="D69" s="6">
        <f>IFERROR(__xludf.DUMMYFUNCTION("""COMPUTED_VALUE"""),1659.25)</f>
        <v>1659.25</v>
      </c>
      <c r="E69" s="6">
        <f>IFERROR(__xludf.DUMMYFUNCTION("""COMPUTED_VALUE"""),1718.9)</f>
        <v>1718.9</v>
      </c>
      <c r="F69" s="6">
        <f>IFERROR(__xludf.DUMMYFUNCTION("""COMPUTED_VALUE"""),2255801.0)</f>
        <v>2255801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IFERROR(__xludf.DUMMYFUNCTION("""COMPUTED_VALUE"""),1700.8)</f>
        <v>1700.8</v>
      </c>
      <c r="C70" s="6">
        <f>IFERROR(__xludf.DUMMYFUNCTION("""COMPUTED_VALUE"""),1722.4)</f>
        <v>1722.4</v>
      </c>
      <c r="D70" s="6">
        <f>IFERROR(__xludf.DUMMYFUNCTION("""COMPUTED_VALUE"""),1624.5)</f>
        <v>1624.5</v>
      </c>
      <c r="E70" s="6">
        <f>IFERROR(__xludf.DUMMYFUNCTION("""COMPUTED_VALUE"""),1698.15)</f>
        <v>1698.15</v>
      </c>
      <c r="F70" s="6">
        <f>IFERROR(__xludf.DUMMYFUNCTION("""COMPUTED_VALUE"""),1075188.0)</f>
        <v>1075188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IFERROR(__xludf.DUMMYFUNCTION("""COMPUTED_VALUE"""),1695.1)</f>
        <v>1695.1</v>
      </c>
      <c r="C71" s="6">
        <f>IFERROR(__xludf.DUMMYFUNCTION("""COMPUTED_VALUE"""),1748.0)</f>
        <v>1748</v>
      </c>
      <c r="D71" s="6">
        <f>IFERROR(__xludf.DUMMYFUNCTION("""COMPUTED_VALUE"""),1588.15)</f>
        <v>1588.15</v>
      </c>
      <c r="E71" s="6">
        <f>IFERROR(__xludf.DUMMYFUNCTION("""COMPUTED_VALUE"""),1629.45)</f>
        <v>1629.45</v>
      </c>
      <c r="F71" s="6">
        <f>IFERROR(__xludf.DUMMYFUNCTION("""COMPUTED_VALUE"""),2875645.0)</f>
        <v>2875645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IFERROR(__xludf.DUMMYFUNCTION("""COMPUTED_VALUE"""),1600.2)</f>
        <v>1600.2</v>
      </c>
      <c r="C72" s="6">
        <f>IFERROR(__xludf.DUMMYFUNCTION("""COMPUTED_VALUE"""),1627.45)</f>
        <v>1627.45</v>
      </c>
      <c r="D72" s="6">
        <f>IFERROR(__xludf.DUMMYFUNCTION("""COMPUTED_VALUE"""),1550.6)</f>
        <v>1550.6</v>
      </c>
      <c r="E72" s="6">
        <f>IFERROR(__xludf.DUMMYFUNCTION("""COMPUTED_VALUE"""),1605.8)</f>
        <v>1605.8</v>
      </c>
      <c r="F72" s="6">
        <f>IFERROR(__xludf.DUMMYFUNCTION("""COMPUTED_VALUE"""),870031.0)</f>
        <v>870031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IFERROR(__xludf.DUMMYFUNCTION("""COMPUTED_VALUE"""),1597.9)</f>
        <v>1597.9</v>
      </c>
      <c r="C73" s="6">
        <f>IFERROR(__xludf.DUMMYFUNCTION("""COMPUTED_VALUE"""),1605.75)</f>
        <v>1605.75</v>
      </c>
      <c r="D73" s="6">
        <f>IFERROR(__xludf.DUMMYFUNCTION("""COMPUTED_VALUE"""),1479.4)</f>
        <v>1479.4</v>
      </c>
      <c r="E73" s="6">
        <f>IFERROR(__xludf.DUMMYFUNCTION("""COMPUTED_VALUE"""),1503.2)</f>
        <v>1503.2</v>
      </c>
      <c r="F73" s="6">
        <f>IFERROR(__xludf.DUMMYFUNCTION("""COMPUTED_VALUE"""),743141.0)</f>
        <v>743141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IFERROR(__xludf.DUMMYFUNCTION("""COMPUTED_VALUE"""),1503.4)</f>
        <v>1503.4</v>
      </c>
      <c r="C74" s="6">
        <f>IFERROR(__xludf.DUMMYFUNCTION("""COMPUTED_VALUE"""),1530.4)</f>
        <v>1530.4</v>
      </c>
      <c r="D74" s="6">
        <f>IFERROR(__xludf.DUMMYFUNCTION("""COMPUTED_VALUE"""),1439.1)</f>
        <v>1439.1</v>
      </c>
      <c r="E74" s="6">
        <f>IFERROR(__xludf.DUMMYFUNCTION("""COMPUTED_VALUE"""),1450.15)</f>
        <v>1450.15</v>
      </c>
      <c r="F74" s="6">
        <f>IFERROR(__xludf.DUMMYFUNCTION("""COMPUTED_VALUE"""),1000122.0)</f>
        <v>1000122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IFERROR(__xludf.DUMMYFUNCTION("""COMPUTED_VALUE"""),1441.65)</f>
        <v>1441.65</v>
      </c>
      <c r="C75" s="6">
        <f>IFERROR(__xludf.DUMMYFUNCTION("""COMPUTED_VALUE"""),1453.2)</f>
        <v>1453.2</v>
      </c>
      <c r="D75" s="6">
        <f>IFERROR(__xludf.DUMMYFUNCTION("""COMPUTED_VALUE"""),1343.3)</f>
        <v>1343.3</v>
      </c>
      <c r="E75" s="6">
        <f>IFERROR(__xludf.DUMMYFUNCTION("""COMPUTED_VALUE"""),1352.5)</f>
        <v>1352.5</v>
      </c>
      <c r="F75" s="6">
        <f>IFERROR(__xludf.DUMMYFUNCTION("""COMPUTED_VALUE"""),2594153.0)</f>
        <v>2594153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IFERROR(__xludf.DUMMYFUNCTION("""COMPUTED_VALUE"""),1351.05)</f>
        <v>1351.05</v>
      </c>
      <c r="C76" s="6">
        <f>IFERROR(__xludf.DUMMYFUNCTION("""COMPUTED_VALUE"""),1410.0)</f>
        <v>1410</v>
      </c>
      <c r="D76" s="6">
        <f>IFERROR(__xludf.DUMMYFUNCTION("""COMPUTED_VALUE"""),1291.0)</f>
        <v>1291</v>
      </c>
      <c r="E76" s="6">
        <f>IFERROR(__xludf.DUMMYFUNCTION("""COMPUTED_VALUE"""),1383.85)</f>
        <v>1383.85</v>
      </c>
      <c r="F76" s="6">
        <f>IFERROR(__xludf.DUMMYFUNCTION("""COMPUTED_VALUE"""),3041238.0)</f>
        <v>3041238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IFERROR(__xludf.DUMMYFUNCTION("""COMPUTED_VALUE"""),1385.0)</f>
        <v>1385</v>
      </c>
      <c r="C77" s="6">
        <f>IFERROR(__xludf.DUMMYFUNCTION("""COMPUTED_VALUE"""),1527.0)</f>
        <v>1527</v>
      </c>
      <c r="D77" s="6">
        <f>IFERROR(__xludf.DUMMYFUNCTION("""COMPUTED_VALUE"""),1361.0)</f>
        <v>1361</v>
      </c>
      <c r="E77" s="6">
        <f>IFERROR(__xludf.DUMMYFUNCTION("""COMPUTED_VALUE"""),1503.95)</f>
        <v>1503.95</v>
      </c>
      <c r="F77" s="6">
        <f>IFERROR(__xludf.DUMMYFUNCTION("""COMPUTED_VALUE"""),5964633.0)</f>
        <v>5964633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IFERROR(__xludf.DUMMYFUNCTION("""COMPUTED_VALUE"""),1510.45)</f>
        <v>1510.45</v>
      </c>
      <c r="C78" s="6">
        <f>IFERROR(__xludf.DUMMYFUNCTION("""COMPUTED_VALUE"""),1625.0)</f>
        <v>1625</v>
      </c>
      <c r="D78" s="6">
        <f>IFERROR(__xludf.DUMMYFUNCTION("""COMPUTED_VALUE"""),1487.05)</f>
        <v>1487.05</v>
      </c>
      <c r="E78" s="6">
        <f>IFERROR(__xludf.DUMMYFUNCTION("""COMPUTED_VALUE"""),1610.0)</f>
        <v>1610</v>
      </c>
      <c r="F78" s="6">
        <f>IFERROR(__xludf.DUMMYFUNCTION("""COMPUTED_VALUE"""),3225692.0)</f>
        <v>3225692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IFERROR(__xludf.DUMMYFUNCTION("""COMPUTED_VALUE"""),1619.8)</f>
        <v>1619.8</v>
      </c>
      <c r="C79" s="6">
        <f>IFERROR(__xludf.DUMMYFUNCTION("""COMPUTED_VALUE"""),1631.55)</f>
        <v>1631.55</v>
      </c>
      <c r="D79" s="6">
        <f>IFERROR(__xludf.DUMMYFUNCTION("""COMPUTED_VALUE"""),1574.95)</f>
        <v>1574.95</v>
      </c>
      <c r="E79" s="6">
        <f>IFERROR(__xludf.DUMMYFUNCTION("""COMPUTED_VALUE"""),1578.2)</f>
        <v>1578.2</v>
      </c>
      <c r="F79" s="6">
        <f>IFERROR(__xludf.DUMMYFUNCTION("""COMPUTED_VALUE"""),1982708.0)</f>
        <v>1982708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IFERROR(__xludf.DUMMYFUNCTION("""COMPUTED_VALUE"""),1580.0)</f>
        <v>1580</v>
      </c>
      <c r="C80" s="6">
        <f>IFERROR(__xludf.DUMMYFUNCTION("""COMPUTED_VALUE"""),1638.65)</f>
        <v>1638.65</v>
      </c>
      <c r="D80" s="6">
        <f>IFERROR(__xludf.DUMMYFUNCTION("""COMPUTED_VALUE"""),1561.7)</f>
        <v>1561.7</v>
      </c>
      <c r="E80" s="6">
        <f>IFERROR(__xludf.DUMMYFUNCTION("""COMPUTED_VALUE"""),1598.05)</f>
        <v>1598.05</v>
      </c>
      <c r="F80" s="6">
        <f>IFERROR(__xludf.DUMMYFUNCTION("""COMPUTED_VALUE"""),934695.0)</f>
        <v>934695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IFERROR(__xludf.DUMMYFUNCTION("""COMPUTED_VALUE"""),1512.0)</f>
        <v>1512</v>
      </c>
      <c r="C81" s="6">
        <f>IFERROR(__xludf.DUMMYFUNCTION("""COMPUTED_VALUE"""),1600.0)</f>
        <v>1600</v>
      </c>
      <c r="D81" s="6">
        <f>IFERROR(__xludf.DUMMYFUNCTION("""COMPUTED_VALUE"""),1495.75)</f>
        <v>1495.75</v>
      </c>
      <c r="E81" s="6">
        <f>IFERROR(__xludf.DUMMYFUNCTION("""COMPUTED_VALUE"""),1564.25)</f>
        <v>1564.25</v>
      </c>
      <c r="F81" s="6">
        <f>IFERROR(__xludf.DUMMYFUNCTION("""COMPUTED_VALUE"""),963396.0)</f>
        <v>963396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IFERROR(__xludf.DUMMYFUNCTION("""COMPUTED_VALUE"""),1586.0)</f>
        <v>1586</v>
      </c>
      <c r="C82" s="6">
        <f>IFERROR(__xludf.DUMMYFUNCTION("""COMPUTED_VALUE"""),1617.0)</f>
        <v>1617</v>
      </c>
      <c r="D82" s="6">
        <f>IFERROR(__xludf.DUMMYFUNCTION("""COMPUTED_VALUE"""),1540.0)</f>
        <v>1540</v>
      </c>
      <c r="E82" s="6">
        <f>IFERROR(__xludf.DUMMYFUNCTION("""COMPUTED_VALUE"""),1565.0)</f>
        <v>1565</v>
      </c>
      <c r="F82" s="6">
        <f>IFERROR(__xludf.DUMMYFUNCTION("""COMPUTED_VALUE"""),1210663.0)</f>
        <v>1210663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IFERROR(__xludf.DUMMYFUNCTION("""COMPUTED_VALUE"""),1578.0)</f>
        <v>1578</v>
      </c>
      <c r="C83" s="6">
        <f>IFERROR(__xludf.DUMMYFUNCTION("""COMPUTED_VALUE"""),1655.3)</f>
        <v>1655.3</v>
      </c>
      <c r="D83" s="6">
        <f>IFERROR(__xludf.DUMMYFUNCTION("""COMPUTED_VALUE"""),1535.1)</f>
        <v>1535.1</v>
      </c>
      <c r="E83" s="6">
        <f>IFERROR(__xludf.DUMMYFUNCTION("""COMPUTED_VALUE"""),1569.6)</f>
        <v>1569.6</v>
      </c>
      <c r="F83" s="6">
        <f>IFERROR(__xludf.DUMMYFUNCTION("""COMPUTED_VALUE"""),5159262.0)</f>
        <v>5159262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IFERROR(__xludf.DUMMYFUNCTION("""COMPUTED_VALUE"""),1566.8)</f>
        <v>1566.8</v>
      </c>
      <c r="C84" s="6">
        <f>IFERROR(__xludf.DUMMYFUNCTION("""COMPUTED_VALUE"""),1606.3)</f>
        <v>1606.3</v>
      </c>
      <c r="D84" s="6">
        <f>IFERROR(__xludf.DUMMYFUNCTION("""COMPUTED_VALUE"""),1553.8)</f>
        <v>1553.8</v>
      </c>
      <c r="E84" s="6">
        <f>IFERROR(__xludf.DUMMYFUNCTION("""COMPUTED_VALUE"""),1559.2)</f>
        <v>1559.2</v>
      </c>
      <c r="F84" s="6">
        <f>IFERROR(__xludf.DUMMYFUNCTION("""COMPUTED_VALUE"""),1147167.0)</f>
        <v>1147167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IFERROR(__xludf.DUMMYFUNCTION("""COMPUTED_VALUE"""),1557.5)</f>
        <v>1557.5</v>
      </c>
      <c r="C85" s="6">
        <f>IFERROR(__xludf.DUMMYFUNCTION("""COMPUTED_VALUE"""),1608.5)</f>
        <v>1608.5</v>
      </c>
      <c r="D85" s="6">
        <f>IFERROR(__xludf.DUMMYFUNCTION("""COMPUTED_VALUE"""),1470.8)</f>
        <v>1470.8</v>
      </c>
      <c r="E85" s="6">
        <f>IFERROR(__xludf.DUMMYFUNCTION("""COMPUTED_VALUE"""),1515.8)</f>
        <v>1515.8</v>
      </c>
      <c r="F85" s="6">
        <f>IFERROR(__xludf.DUMMYFUNCTION("""COMPUTED_VALUE"""),1439705.0)</f>
        <v>1439705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IFERROR(__xludf.DUMMYFUNCTION("""COMPUTED_VALUE"""),1549.9)</f>
        <v>1549.9</v>
      </c>
      <c r="C86" s="6">
        <f>IFERROR(__xludf.DUMMYFUNCTION("""COMPUTED_VALUE"""),1634.3)</f>
        <v>1634.3</v>
      </c>
      <c r="D86" s="6">
        <f>IFERROR(__xludf.DUMMYFUNCTION("""COMPUTED_VALUE"""),1542.1)</f>
        <v>1542.1</v>
      </c>
      <c r="E86" s="6">
        <f>IFERROR(__xludf.DUMMYFUNCTION("""COMPUTED_VALUE"""),1632.3)</f>
        <v>1632.3</v>
      </c>
      <c r="F86" s="6">
        <f>IFERROR(__xludf.DUMMYFUNCTION("""COMPUTED_VALUE"""),1978184.0)</f>
        <v>1978184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IFERROR(__xludf.DUMMYFUNCTION("""COMPUTED_VALUE"""),1625.0)</f>
        <v>1625</v>
      </c>
      <c r="C87" s="6">
        <f>IFERROR(__xludf.DUMMYFUNCTION("""COMPUTED_VALUE"""),1689.4)</f>
        <v>1689.4</v>
      </c>
      <c r="D87" s="6">
        <f>IFERROR(__xludf.DUMMYFUNCTION("""COMPUTED_VALUE"""),1613.8)</f>
        <v>1613.8</v>
      </c>
      <c r="E87" s="6">
        <f>IFERROR(__xludf.DUMMYFUNCTION("""COMPUTED_VALUE"""),1674.6)</f>
        <v>1674.6</v>
      </c>
      <c r="F87" s="6">
        <f>IFERROR(__xludf.DUMMYFUNCTION("""COMPUTED_VALUE"""),2627709.0)</f>
        <v>2627709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IFERROR(__xludf.DUMMYFUNCTION("""COMPUTED_VALUE"""),1675.0)</f>
        <v>1675</v>
      </c>
      <c r="C88" s="6">
        <f>IFERROR(__xludf.DUMMYFUNCTION("""COMPUTED_VALUE"""),1699.0)</f>
        <v>1699</v>
      </c>
      <c r="D88" s="6">
        <f>IFERROR(__xludf.DUMMYFUNCTION("""COMPUTED_VALUE"""),1661.8)</f>
        <v>1661.8</v>
      </c>
      <c r="E88" s="6">
        <f>IFERROR(__xludf.DUMMYFUNCTION("""COMPUTED_VALUE"""),1676.2)</f>
        <v>1676.2</v>
      </c>
      <c r="F88" s="6">
        <f>IFERROR(__xludf.DUMMYFUNCTION("""COMPUTED_VALUE"""),2724924.0)</f>
        <v>2724924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IFERROR(__xludf.DUMMYFUNCTION("""COMPUTED_VALUE"""),1676.2)</f>
        <v>1676.2</v>
      </c>
      <c r="C89" s="6">
        <f>IFERROR(__xludf.DUMMYFUNCTION("""COMPUTED_VALUE"""),1724.8)</f>
        <v>1724.8</v>
      </c>
      <c r="D89" s="6">
        <f>IFERROR(__xludf.DUMMYFUNCTION("""COMPUTED_VALUE"""),1646.6)</f>
        <v>1646.6</v>
      </c>
      <c r="E89" s="6">
        <f>IFERROR(__xludf.DUMMYFUNCTION("""COMPUTED_VALUE"""),1713.1)</f>
        <v>1713.1</v>
      </c>
      <c r="F89" s="6">
        <f>IFERROR(__xludf.DUMMYFUNCTION("""COMPUTED_VALUE"""),1177155.0)</f>
        <v>1177155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IFERROR(__xludf.DUMMYFUNCTION("""COMPUTED_VALUE"""),1715.0)</f>
        <v>1715</v>
      </c>
      <c r="C90" s="6">
        <f>IFERROR(__xludf.DUMMYFUNCTION("""COMPUTED_VALUE"""),1760.0)</f>
        <v>1760</v>
      </c>
      <c r="D90" s="6">
        <f>IFERROR(__xludf.DUMMYFUNCTION("""COMPUTED_VALUE"""),1654.3)</f>
        <v>1654.3</v>
      </c>
      <c r="E90" s="6">
        <f>IFERROR(__xludf.DUMMYFUNCTION("""COMPUTED_VALUE"""),1706.0)</f>
        <v>1706</v>
      </c>
      <c r="F90" s="6">
        <f>IFERROR(__xludf.DUMMYFUNCTION("""COMPUTED_VALUE"""),1610267.0)</f>
        <v>1610267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IFERROR(__xludf.DUMMYFUNCTION("""COMPUTED_VALUE"""),1705.0)</f>
        <v>1705</v>
      </c>
      <c r="C91" s="6">
        <f>IFERROR(__xludf.DUMMYFUNCTION("""COMPUTED_VALUE"""),1722.9)</f>
        <v>1722.9</v>
      </c>
      <c r="D91" s="6">
        <f>IFERROR(__xludf.DUMMYFUNCTION("""COMPUTED_VALUE"""),1630.0)</f>
        <v>1630</v>
      </c>
      <c r="E91" s="6">
        <f>IFERROR(__xludf.DUMMYFUNCTION("""COMPUTED_VALUE"""),1654.5)</f>
        <v>1654.5</v>
      </c>
      <c r="F91" s="6">
        <f>IFERROR(__xludf.DUMMYFUNCTION("""COMPUTED_VALUE"""),1167395.0)</f>
        <v>1167395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IFERROR(__xludf.DUMMYFUNCTION("""COMPUTED_VALUE"""),1649.7)</f>
        <v>1649.7</v>
      </c>
      <c r="C92" s="6">
        <f>IFERROR(__xludf.DUMMYFUNCTION("""COMPUTED_VALUE"""),1701.8)</f>
        <v>1701.8</v>
      </c>
      <c r="D92" s="6">
        <f>IFERROR(__xludf.DUMMYFUNCTION("""COMPUTED_VALUE"""),1636.0)</f>
        <v>1636</v>
      </c>
      <c r="E92" s="6">
        <f>IFERROR(__xludf.DUMMYFUNCTION("""COMPUTED_VALUE"""),1678.8)</f>
        <v>1678.8</v>
      </c>
      <c r="F92" s="6">
        <f>IFERROR(__xludf.DUMMYFUNCTION("""COMPUTED_VALUE"""),1773804.0)</f>
        <v>1773804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IFERROR(__xludf.DUMMYFUNCTION("""COMPUTED_VALUE"""),1687.9)</f>
        <v>1687.9</v>
      </c>
      <c r="C93" s="6">
        <f>IFERROR(__xludf.DUMMYFUNCTION("""COMPUTED_VALUE"""),1818.7)</f>
        <v>1818.7</v>
      </c>
      <c r="D93" s="6">
        <f>IFERROR(__xludf.DUMMYFUNCTION("""COMPUTED_VALUE"""),1672.0)</f>
        <v>1672</v>
      </c>
      <c r="E93" s="6">
        <f>IFERROR(__xludf.DUMMYFUNCTION("""COMPUTED_VALUE"""),1762.4)</f>
        <v>1762.4</v>
      </c>
      <c r="F93" s="6">
        <f>IFERROR(__xludf.DUMMYFUNCTION("""COMPUTED_VALUE"""),5873891.0)</f>
        <v>5873891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IFERROR(__xludf.DUMMYFUNCTION("""COMPUTED_VALUE"""),1757.1)</f>
        <v>1757.1</v>
      </c>
      <c r="C94" s="6">
        <f>IFERROR(__xludf.DUMMYFUNCTION("""COMPUTED_VALUE"""),1777.5)</f>
        <v>1777.5</v>
      </c>
      <c r="D94" s="6">
        <f>IFERROR(__xludf.DUMMYFUNCTION("""COMPUTED_VALUE"""),1698.1)</f>
        <v>1698.1</v>
      </c>
      <c r="E94" s="6">
        <f>IFERROR(__xludf.DUMMYFUNCTION("""COMPUTED_VALUE"""),1711.8)</f>
        <v>1711.8</v>
      </c>
      <c r="F94" s="6">
        <f>IFERROR(__xludf.DUMMYFUNCTION("""COMPUTED_VALUE"""),1906312.0)</f>
        <v>1906312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IFERROR(__xludf.DUMMYFUNCTION("""COMPUTED_VALUE"""),1718.0)</f>
        <v>1718</v>
      </c>
      <c r="C95" s="6">
        <f>IFERROR(__xludf.DUMMYFUNCTION("""COMPUTED_VALUE"""),1813.1)</f>
        <v>1813.1</v>
      </c>
      <c r="D95" s="6">
        <f>IFERROR(__xludf.DUMMYFUNCTION("""COMPUTED_VALUE"""),1700.1)</f>
        <v>1700.1</v>
      </c>
      <c r="E95" s="6">
        <f>IFERROR(__xludf.DUMMYFUNCTION("""COMPUTED_VALUE"""),1763.8)</f>
        <v>1763.8</v>
      </c>
      <c r="F95" s="6">
        <f>IFERROR(__xludf.DUMMYFUNCTION("""COMPUTED_VALUE"""),4512951.0)</f>
        <v>4512951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IFERROR(__xludf.DUMMYFUNCTION("""COMPUTED_VALUE"""),1763.7)</f>
        <v>1763.7</v>
      </c>
      <c r="C96" s="6">
        <f>IFERROR(__xludf.DUMMYFUNCTION("""COMPUTED_VALUE"""),1804.4)</f>
        <v>1804.4</v>
      </c>
      <c r="D96" s="6">
        <f>IFERROR(__xludf.DUMMYFUNCTION("""COMPUTED_VALUE"""),1702.5)</f>
        <v>1702.5</v>
      </c>
      <c r="E96" s="6">
        <f>IFERROR(__xludf.DUMMYFUNCTION("""COMPUTED_VALUE"""),1728.8)</f>
        <v>1728.8</v>
      </c>
      <c r="F96" s="6">
        <f>IFERROR(__xludf.DUMMYFUNCTION("""COMPUTED_VALUE"""),1929718.0)</f>
        <v>1929718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IFERROR(__xludf.DUMMYFUNCTION("""COMPUTED_VALUE"""),1720.0)</f>
        <v>1720</v>
      </c>
      <c r="C97" s="6">
        <f>IFERROR(__xludf.DUMMYFUNCTION("""COMPUTED_VALUE"""),1782.9)</f>
        <v>1782.9</v>
      </c>
      <c r="D97" s="6">
        <f>IFERROR(__xludf.DUMMYFUNCTION("""COMPUTED_VALUE"""),1660.0)</f>
        <v>1660</v>
      </c>
      <c r="E97" s="6">
        <f>IFERROR(__xludf.DUMMYFUNCTION("""COMPUTED_VALUE"""),1667.2)</f>
        <v>1667.2</v>
      </c>
      <c r="F97" s="6">
        <f>IFERROR(__xludf.DUMMYFUNCTION("""COMPUTED_VALUE"""),2161490.0)</f>
        <v>2161490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IFERROR(__xludf.DUMMYFUNCTION("""COMPUTED_VALUE"""),1666.0)</f>
        <v>1666</v>
      </c>
      <c r="C98" s="6">
        <f>IFERROR(__xludf.DUMMYFUNCTION("""COMPUTED_VALUE"""),1712.8)</f>
        <v>1712.8</v>
      </c>
      <c r="D98" s="6">
        <f>IFERROR(__xludf.DUMMYFUNCTION("""COMPUTED_VALUE"""),1622.9)</f>
        <v>1622.9</v>
      </c>
      <c r="E98" s="6">
        <f>IFERROR(__xludf.DUMMYFUNCTION("""COMPUTED_VALUE"""),1654.5)</f>
        <v>1654.5</v>
      </c>
      <c r="F98" s="6">
        <f>IFERROR(__xludf.DUMMYFUNCTION("""COMPUTED_VALUE"""),924472.0)</f>
        <v>924472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IFERROR(__xludf.DUMMYFUNCTION("""COMPUTED_VALUE"""),1650.0)</f>
        <v>1650</v>
      </c>
      <c r="C99" s="6">
        <f>IFERROR(__xludf.DUMMYFUNCTION("""COMPUTED_VALUE"""),1706.8)</f>
        <v>1706.8</v>
      </c>
      <c r="D99" s="6">
        <f>IFERROR(__xludf.DUMMYFUNCTION("""COMPUTED_VALUE"""),1619.0)</f>
        <v>1619</v>
      </c>
      <c r="E99" s="6">
        <f>IFERROR(__xludf.DUMMYFUNCTION("""COMPUTED_VALUE"""),1694.9)</f>
        <v>1694.9</v>
      </c>
      <c r="F99" s="6">
        <f>IFERROR(__xludf.DUMMYFUNCTION("""COMPUTED_VALUE"""),958447.0)</f>
        <v>958447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IFERROR(__xludf.DUMMYFUNCTION("""COMPUTED_VALUE"""),1699.0)</f>
        <v>1699</v>
      </c>
      <c r="C100" s="6">
        <f>IFERROR(__xludf.DUMMYFUNCTION("""COMPUTED_VALUE"""),1713.3)</f>
        <v>1713.3</v>
      </c>
      <c r="D100" s="6">
        <f>IFERROR(__xludf.DUMMYFUNCTION("""COMPUTED_VALUE"""),1580.9)</f>
        <v>1580.9</v>
      </c>
      <c r="E100" s="6">
        <f>IFERROR(__xludf.DUMMYFUNCTION("""COMPUTED_VALUE"""),1604.5)</f>
        <v>1604.5</v>
      </c>
      <c r="F100" s="6">
        <f>IFERROR(__xludf.DUMMYFUNCTION("""COMPUTED_VALUE"""),4672508.0)</f>
        <v>4672508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IFERROR(__xludf.DUMMYFUNCTION("""COMPUTED_VALUE"""),1604.5)</f>
        <v>1604.5</v>
      </c>
      <c r="C101" s="6">
        <f>IFERROR(__xludf.DUMMYFUNCTION("""COMPUTED_VALUE"""),1617.7)</f>
        <v>1617.7</v>
      </c>
      <c r="D101" s="6">
        <f>IFERROR(__xludf.DUMMYFUNCTION("""COMPUTED_VALUE"""),1555.5)</f>
        <v>1555.5</v>
      </c>
      <c r="E101" s="6">
        <f>IFERROR(__xludf.DUMMYFUNCTION("""COMPUTED_VALUE"""),1562.8)</f>
        <v>1562.8</v>
      </c>
      <c r="F101" s="6">
        <f>IFERROR(__xludf.DUMMYFUNCTION("""COMPUTED_VALUE"""),2.64911E7)</f>
        <v>26491100</v>
      </c>
    </row>
  </sheetData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IFERROR(__xludf.DUMMYFUNCTION("GOOGLEFINANCE(""NSE:TATACONSUM"",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IFERROR(__xludf.DUMMYFUNCTION("""COMPUTED_VALUE"""),832.5)</f>
        <v>832.5</v>
      </c>
      <c r="C2" s="6">
        <f>IFERROR(__xludf.DUMMYFUNCTION("""COMPUTED_VALUE"""),851.45)</f>
        <v>851.45</v>
      </c>
      <c r="D2" s="6">
        <f>IFERROR(__xludf.DUMMYFUNCTION("""COMPUTED_VALUE"""),828.25)</f>
        <v>828.25</v>
      </c>
      <c r="E2" s="6">
        <f>IFERROR(__xludf.DUMMYFUNCTION("""COMPUTED_VALUE"""),844.15)</f>
        <v>844.15</v>
      </c>
      <c r="F2" s="6">
        <f>IFERROR(__xludf.DUMMYFUNCTION("""COMPUTED_VALUE"""),4548066.0)</f>
        <v>4548066</v>
      </c>
    </row>
    <row r="3">
      <c r="A3" s="7">
        <f>IFERROR(__xludf.DUMMYFUNCTION("""COMPUTED_VALUE"""),45177.64583333333)</f>
        <v>45177.64583</v>
      </c>
      <c r="B3" s="6">
        <f>IFERROR(__xludf.DUMMYFUNCTION("""COMPUTED_VALUE"""),844.0)</f>
        <v>844</v>
      </c>
      <c r="C3" s="6">
        <f>IFERROR(__xludf.DUMMYFUNCTION("""COMPUTED_VALUE"""),883.0)</f>
        <v>883</v>
      </c>
      <c r="D3" s="6">
        <f>IFERROR(__xludf.DUMMYFUNCTION("""COMPUTED_VALUE"""),837.0)</f>
        <v>837</v>
      </c>
      <c r="E3" s="6">
        <f>IFERROR(__xludf.DUMMYFUNCTION("""COMPUTED_VALUE"""),853.1)</f>
        <v>853.1</v>
      </c>
      <c r="F3" s="6">
        <f>IFERROR(__xludf.DUMMYFUNCTION("""COMPUTED_VALUE"""),9429579.0)</f>
        <v>9429579</v>
      </c>
    </row>
    <row r="4">
      <c r="A4" s="7">
        <f>IFERROR(__xludf.DUMMYFUNCTION("""COMPUTED_VALUE"""),45184.64583333333)</f>
        <v>45184.64583</v>
      </c>
      <c r="B4" s="6">
        <f>IFERROR(__xludf.DUMMYFUNCTION("""COMPUTED_VALUE"""),855.5)</f>
        <v>855.5</v>
      </c>
      <c r="C4" s="6">
        <f>IFERROR(__xludf.DUMMYFUNCTION("""COMPUTED_VALUE"""),897.7)</f>
        <v>897.7</v>
      </c>
      <c r="D4" s="6">
        <f>IFERROR(__xludf.DUMMYFUNCTION("""COMPUTED_VALUE"""),854.75)</f>
        <v>854.75</v>
      </c>
      <c r="E4" s="6">
        <f>IFERROR(__xludf.DUMMYFUNCTION("""COMPUTED_VALUE"""),875.9)</f>
        <v>875.9</v>
      </c>
      <c r="F4" s="6">
        <f>IFERROR(__xludf.DUMMYFUNCTION("""COMPUTED_VALUE"""),8957120.0)</f>
        <v>8957120</v>
      </c>
    </row>
    <row r="5">
      <c r="A5" s="7">
        <f>IFERROR(__xludf.DUMMYFUNCTION("""COMPUTED_VALUE"""),45191.64583333333)</f>
        <v>45191.64583</v>
      </c>
      <c r="B5" s="6">
        <f>IFERROR(__xludf.DUMMYFUNCTION("""COMPUTED_VALUE"""),883.0)</f>
        <v>883</v>
      </c>
      <c r="C5" s="6">
        <f>IFERROR(__xludf.DUMMYFUNCTION("""COMPUTED_VALUE"""),889.85)</f>
        <v>889.85</v>
      </c>
      <c r="D5" s="6">
        <f>IFERROR(__xludf.DUMMYFUNCTION("""COMPUTED_VALUE"""),861.2)</f>
        <v>861.2</v>
      </c>
      <c r="E5" s="6">
        <f>IFERROR(__xludf.DUMMYFUNCTION("""COMPUTED_VALUE"""),877.75)</f>
        <v>877.75</v>
      </c>
      <c r="F5" s="6">
        <f>IFERROR(__xludf.DUMMYFUNCTION("""COMPUTED_VALUE"""),4693696.0)</f>
        <v>4693696</v>
      </c>
    </row>
    <row r="6">
      <c r="A6" s="7">
        <f>IFERROR(__xludf.DUMMYFUNCTION("""COMPUTED_VALUE"""),45198.64583333333)</f>
        <v>45198.64583</v>
      </c>
      <c r="B6" s="6">
        <f>IFERROR(__xludf.DUMMYFUNCTION("""COMPUTED_VALUE"""),881.95)</f>
        <v>881.95</v>
      </c>
      <c r="C6" s="6">
        <f>IFERROR(__xludf.DUMMYFUNCTION("""COMPUTED_VALUE"""),909.9)</f>
        <v>909.9</v>
      </c>
      <c r="D6" s="6">
        <f>IFERROR(__xludf.DUMMYFUNCTION("""COMPUTED_VALUE"""),870.1)</f>
        <v>870.1</v>
      </c>
      <c r="E6" s="6">
        <f>IFERROR(__xludf.DUMMYFUNCTION("""COMPUTED_VALUE"""),876.9)</f>
        <v>876.9</v>
      </c>
      <c r="F6" s="6">
        <f>IFERROR(__xludf.DUMMYFUNCTION("""COMPUTED_VALUE"""),8617861.0)</f>
        <v>8617861</v>
      </c>
    </row>
    <row r="7">
      <c r="A7" s="7">
        <f>IFERROR(__xludf.DUMMYFUNCTION("""COMPUTED_VALUE"""),45205.64583333333)</f>
        <v>45205.64583</v>
      </c>
      <c r="B7" s="6">
        <f>IFERROR(__xludf.DUMMYFUNCTION("""COMPUTED_VALUE"""),870.0)</f>
        <v>870</v>
      </c>
      <c r="C7" s="6">
        <f>IFERROR(__xludf.DUMMYFUNCTION("""COMPUTED_VALUE"""),879.55)</f>
        <v>879.55</v>
      </c>
      <c r="D7" s="6">
        <f>IFERROR(__xludf.DUMMYFUNCTION("""COMPUTED_VALUE"""),855.0)</f>
        <v>855</v>
      </c>
      <c r="E7" s="6">
        <f>IFERROR(__xludf.DUMMYFUNCTION("""COMPUTED_VALUE"""),874.75)</f>
        <v>874.75</v>
      </c>
      <c r="F7" s="6">
        <f>IFERROR(__xludf.DUMMYFUNCTION("""COMPUTED_VALUE"""),3516551.0)</f>
        <v>3516551</v>
      </c>
    </row>
    <row r="8">
      <c r="A8" s="7">
        <f>IFERROR(__xludf.DUMMYFUNCTION("""COMPUTED_VALUE"""),45212.64583333333)</f>
        <v>45212.64583</v>
      </c>
      <c r="B8" s="6">
        <f>IFERROR(__xludf.DUMMYFUNCTION("""COMPUTED_VALUE"""),868.0)</f>
        <v>868</v>
      </c>
      <c r="C8" s="6">
        <f>IFERROR(__xludf.DUMMYFUNCTION("""COMPUTED_VALUE"""),918.0)</f>
        <v>918</v>
      </c>
      <c r="D8" s="6">
        <f>IFERROR(__xludf.DUMMYFUNCTION("""COMPUTED_VALUE"""),866.8)</f>
        <v>866.8</v>
      </c>
      <c r="E8" s="6">
        <f>IFERROR(__xludf.DUMMYFUNCTION("""COMPUTED_VALUE"""),913.35)</f>
        <v>913.35</v>
      </c>
      <c r="F8" s="6">
        <f>IFERROR(__xludf.DUMMYFUNCTION("""COMPUTED_VALUE"""),9029363.0)</f>
        <v>9029363</v>
      </c>
    </row>
    <row r="9">
      <c r="A9" s="7">
        <f>IFERROR(__xludf.DUMMYFUNCTION("""COMPUTED_VALUE"""),45219.64583333333)</f>
        <v>45219.64583</v>
      </c>
      <c r="B9" s="6">
        <f>IFERROR(__xludf.DUMMYFUNCTION("""COMPUTED_VALUE"""),917.8)</f>
        <v>917.8</v>
      </c>
      <c r="C9" s="6">
        <f>IFERROR(__xludf.DUMMYFUNCTION("""COMPUTED_VALUE"""),928.0)</f>
        <v>928</v>
      </c>
      <c r="D9" s="6">
        <f>IFERROR(__xludf.DUMMYFUNCTION("""COMPUTED_VALUE"""),879.05)</f>
        <v>879.05</v>
      </c>
      <c r="E9" s="6">
        <f>IFERROR(__xludf.DUMMYFUNCTION("""COMPUTED_VALUE"""),898.95)</f>
        <v>898.95</v>
      </c>
      <c r="F9" s="6">
        <f>IFERROR(__xludf.DUMMYFUNCTION("""COMPUTED_VALUE"""),9698128.0)</f>
        <v>9698128</v>
      </c>
    </row>
    <row r="10">
      <c r="A10" s="7">
        <f>IFERROR(__xludf.DUMMYFUNCTION("""COMPUTED_VALUE"""),45226.64583333333)</f>
        <v>45226.64583</v>
      </c>
      <c r="B10" s="6">
        <f>IFERROR(__xludf.DUMMYFUNCTION("""COMPUTED_VALUE"""),898.75)</f>
        <v>898.75</v>
      </c>
      <c r="C10" s="6">
        <f>IFERROR(__xludf.DUMMYFUNCTION("""COMPUTED_VALUE"""),906.05)</f>
        <v>906.05</v>
      </c>
      <c r="D10" s="6">
        <f>IFERROR(__xludf.DUMMYFUNCTION("""COMPUTED_VALUE"""),872.0)</f>
        <v>872</v>
      </c>
      <c r="E10" s="6">
        <f>IFERROR(__xludf.DUMMYFUNCTION("""COMPUTED_VALUE"""),891.1)</f>
        <v>891.1</v>
      </c>
      <c r="F10" s="6">
        <f>IFERROR(__xludf.DUMMYFUNCTION("""COMPUTED_VALUE"""),5269242.0)</f>
        <v>5269242</v>
      </c>
    </row>
    <row r="11">
      <c r="A11" s="7">
        <f>IFERROR(__xludf.DUMMYFUNCTION("""COMPUTED_VALUE"""),45233.64583333333)</f>
        <v>45233.64583</v>
      </c>
      <c r="B11" s="6">
        <f>IFERROR(__xludf.DUMMYFUNCTION("""COMPUTED_VALUE"""),886.0)</f>
        <v>886</v>
      </c>
      <c r="C11" s="6">
        <f>IFERROR(__xludf.DUMMYFUNCTION("""COMPUTED_VALUE"""),920.0)</f>
        <v>920</v>
      </c>
      <c r="D11" s="6">
        <f>IFERROR(__xludf.DUMMYFUNCTION("""COMPUTED_VALUE"""),880.2)</f>
        <v>880.2</v>
      </c>
      <c r="E11" s="6">
        <f>IFERROR(__xludf.DUMMYFUNCTION("""COMPUTED_VALUE"""),913.7)</f>
        <v>913.7</v>
      </c>
      <c r="F11" s="6">
        <f>IFERROR(__xludf.DUMMYFUNCTION("""COMPUTED_VALUE"""),6893220.0)</f>
        <v>6893220</v>
      </c>
    </row>
    <row r="12">
      <c r="A12" s="7">
        <f>IFERROR(__xludf.DUMMYFUNCTION("""COMPUTED_VALUE"""),45240.64583333333)</f>
        <v>45240.64583</v>
      </c>
      <c r="B12" s="6">
        <f>IFERROR(__xludf.DUMMYFUNCTION("""COMPUTED_VALUE"""),916.75)</f>
        <v>916.75</v>
      </c>
      <c r="C12" s="6">
        <f>IFERROR(__xludf.DUMMYFUNCTION("""COMPUTED_VALUE"""),929.45)</f>
        <v>929.45</v>
      </c>
      <c r="D12" s="6">
        <f>IFERROR(__xludf.DUMMYFUNCTION("""COMPUTED_VALUE"""),896.5)</f>
        <v>896.5</v>
      </c>
      <c r="E12" s="6">
        <f>IFERROR(__xludf.DUMMYFUNCTION("""COMPUTED_VALUE"""),912.7)</f>
        <v>912.7</v>
      </c>
      <c r="F12" s="6">
        <f>IFERROR(__xludf.DUMMYFUNCTION("""COMPUTED_VALUE"""),9693316.0)</f>
        <v>9693316</v>
      </c>
    </row>
    <row r="13">
      <c r="A13" s="7">
        <f>IFERROR(__xludf.DUMMYFUNCTION("""COMPUTED_VALUE"""),45247.64583333333)</f>
        <v>45247.64583</v>
      </c>
      <c r="B13" s="6">
        <f>IFERROR(__xludf.DUMMYFUNCTION("""COMPUTED_VALUE"""),922.0)</f>
        <v>922</v>
      </c>
      <c r="C13" s="6">
        <f>IFERROR(__xludf.DUMMYFUNCTION("""COMPUTED_VALUE"""),934.0)</f>
        <v>934</v>
      </c>
      <c r="D13" s="6">
        <f>IFERROR(__xludf.DUMMYFUNCTION("""COMPUTED_VALUE"""),907.1)</f>
        <v>907.1</v>
      </c>
      <c r="E13" s="6">
        <f>IFERROR(__xludf.DUMMYFUNCTION("""COMPUTED_VALUE"""),930.85)</f>
        <v>930.85</v>
      </c>
      <c r="F13" s="6">
        <f>IFERROR(__xludf.DUMMYFUNCTION("""COMPUTED_VALUE"""),4903522.0)</f>
        <v>4903522</v>
      </c>
    </row>
    <row r="14">
      <c r="A14" s="7">
        <f>IFERROR(__xludf.DUMMYFUNCTION("""COMPUTED_VALUE"""),45254.64583333333)</f>
        <v>45254.64583</v>
      </c>
      <c r="B14" s="6">
        <f>IFERROR(__xludf.DUMMYFUNCTION("""COMPUTED_VALUE"""),935.5)</f>
        <v>935.5</v>
      </c>
      <c r="C14" s="6">
        <f>IFERROR(__xludf.DUMMYFUNCTION("""COMPUTED_VALUE"""),940.85)</f>
        <v>940.85</v>
      </c>
      <c r="D14" s="6">
        <f>IFERROR(__xludf.DUMMYFUNCTION("""COMPUTED_VALUE"""),906.0)</f>
        <v>906</v>
      </c>
      <c r="E14" s="6">
        <f>IFERROR(__xludf.DUMMYFUNCTION("""COMPUTED_VALUE"""),926.9)</f>
        <v>926.9</v>
      </c>
      <c r="F14" s="6">
        <f>IFERROR(__xludf.DUMMYFUNCTION("""COMPUTED_VALUE"""),4287541.0)</f>
        <v>4287541</v>
      </c>
    </row>
    <row r="15">
      <c r="A15" s="7">
        <f>IFERROR(__xludf.DUMMYFUNCTION("""COMPUTED_VALUE"""),45261.64583333333)</f>
        <v>45261.64583</v>
      </c>
      <c r="B15" s="6">
        <f>IFERROR(__xludf.DUMMYFUNCTION("""COMPUTED_VALUE"""),925.0)</f>
        <v>925</v>
      </c>
      <c r="C15" s="6">
        <f>IFERROR(__xludf.DUMMYFUNCTION("""COMPUTED_VALUE"""),952.9)</f>
        <v>952.9</v>
      </c>
      <c r="D15" s="6">
        <f>IFERROR(__xludf.DUMMYFUNCTION("""COMPUTED_VALUE"""),924.75)</f>
        <v>924.75</v>
      </c>
      <c r="E15" s="6">
        <f>IFERROR(__xludf.DUMMYFUNCTION("""COMPUTED_VALUE"""),942.85)</f>
        <v>942.85</v>
      </c>
      <c r="F15" s="6">
        <f>IFERROR(__xludf.DUMMYFUNCTION("""COMPUTED_VALUE"""),6064625.0)</f>
        <v>6064625</v>
      </c>
    </row>
    <row r="16">
      <c r="A16" s="7">
        <f>IFERROR(__xludf.DUMMYFUNCTION("""COMPUTED_VALUE"""),45268.64583333333)</f>
        <v>45268.64583</v>
      </c>
      <c r="B16" s="6">
        <f>IFERROR(__xludf.DUMMYFUNCTION("""COMPUTED_VALUE"""),954.0)</f>
        <v>954</v>
      </c>
      <c r="C16" s="6">
        <f>IFERROR(__xludf.DUMMYFUNCTION("""COMPUTED_VALUE"""),963.0)</f>
        <v>963</v>
      </c>
      <c r="D16" s="6">
        <f>IFERROR(__xludf.DUMMYFUNCTION("""COMPUTED_VALUE"""),941.95)</f>
        <v>941.95</v>
      </c>
      <c r="E16" s="6">
        <f>IFERROR(__xludf.DUMMYFUNCTION("""COMPUTED_VALUE"""),946.6)</f>
        <v>946.6</v>
      </c>
      <c r="F16" s="6">
        <f>IFERROR(__xludf.DUMMYFUNCTION("""COMPUTED_VALUE"""),4470300.0)</f>
        <v>4470300</v>
      </c>
    </row>
    <row r="17">
      <c r="A17" s="7">
        <f>IFERROR(__xludf.DUMMYFUNCTION("""COMPUTED_VALUE"""),45275.64583333333)</f>
        <v>45275.64583</v>
      </c>
      <c r="B17" s="6">
        <f>IFERROR(__xludf.DUMMYFUNCTION("""COMPUTED_VALUE"""),949.9)</f>
        <v>949.9</v>
      </c>
      <c r="C17" s="6">
        <f>IFERROR(__xludf.DUMMYFUNCTION("""COMPUTED_VALUE"""),961.95)</f>
        <v>961.95</v>
      </c>
      <c r="D17" s="6">
        <f>IFERROR(__xludf.DUMMYFUNCTION("""COMPUTED_VALUE"""),943.6)</f>
        <v>943.6</v>
      </c>
      <c r="E17" s="6">
        <f>IFERROR(__xludf.DUMMYFUNCTION("""COMPUTED_VALUE"""),954.7)</f>
        <v>954.7</v>
      </c>
      <c r="F17" s="6">
        <f>IFERROR(__xludf.DUMMYFUNCTION("""COMPUTED_VALUE"""),5244321.0)</f>
        <v>5244321</v>
      </c>
    </row>
    <row r="18">
      <c r="A18" s="7">
        <f>IFERROR(__xludf.DUMMYFUNCTION("""COMPUTED_VALUE"""),45282.64583333333)</f>
        <v>45282.64583</v>
      </c>
      <c r="B18" s="6">
        <f>IFERROR(__xludf.DUMMYFUNCTION("""COMPUTED_VALUE"""),956.0)</f>
        <v>956</v>
      </c>
      <c r="C18" s="6">
        <f>IFERROR(__xludf.DUMMYFUNCTION("""COMPUTED_VALUE"""),1010.0)</f>
        <v>1010</v>
      </c>
      <c r="D18" s="6">
        <f>IFERROR(__xludf.DUMMYFUNCTION("""COMPUTED_VALUE"""),945.3)</f>
        <v>945.3</v>
      </c>
      <c r="E18" s="6">
        <f>IFERROR(__xludf.DUMMYFUNCTION("""COMPUTED_VALUE"""),992.8)</f>
        <v>992.8</v>
      </c>
      <c r="F18" s="6">
        <f>IFERROR(__xludf.DUMMYFUNCTION("""COMPUTED_VALUE"""),1.2443556E7)</f>
        <v>12443556</v>
      </c>
    </row>
    <row r="19">
      <c r="A19" s="7">
        <f>IFERROR(__xludf.DUMMYFUNCTION("""COMPUTED_VALUE"""),45289.64583333333)</f>
        <v>45289.64583</v>
      </c>
      <c r="B19" s="6">
        <f>IFERROR(__xludf.DUMMYFUNCTION("""COMPUTED_VALUE"""),993.0)</f>
        <v>993</v>
      </c>
      <c r="C19" s="6">
        <f>IFERROR(__xludf.DUMMYFUNCTION("""COMPUTED_VALUE"""),1094.0)</f>
        <v>1094</v>
      </c>
      <c r="D19" s="6">
        <f>IFERROR(__xludf.DUMMYFUNCTION("""COMPUTED_VALUE"""),992.8)</f>
        <v>992.8</v>
      </c>
      <c r="E19" s="6">
        <f>IFERROR(__xludf.DUMMYFUNCTION("""COMPUTED_VALUE"""),1086.8)</f>
        <v>1086.8</v>
      </c>
      <c r="F19" s="6">
        <f>IFERROR(__xludf.DUMMYFUNCTION("""COMPUTED_VALUE"""),1.0674466E7)</f>
        <v>10674466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IFERROR(__xludf.DUMMYFUNCTION("""COMPUTED_VALUE"""),1093.85)</f>
        <v>1093.85</v>
      </c>
      <c r="C20" s="6">
        <f>IFERROR(__xludf.DUMMYFUNCTION("""COMPUTED_VALUE"""),1131.15)</f>
        <v>1131.15</v>
      </c>
      <c r="D20" s="6">
        <f>IFERROR(__xludf.DUMMYFUNCTION("""COMPUTED_VALUE"""),1076.0)</f>
        <v>1076</v>
      </c>
      <c r="E20" s="6">
        <f>IFERROR(__xludf.DUMMYFUNCTION("""COMPUTED_VALUE"""),1122.95)</f>
        <v>1122.95</v>
      </c>
      <c r="F20" s="6">
        <f>IFERROR(__xludf.DUMMYFUNCTION("""COMPUTED_VALUE"""),8656779.0)</f>
        <v>8656779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IFERROR(__xludf.DUMMYFUNCTION("""COMPUTED_VALUE"""),1125.05)</f>
        <v>1125.05</v>
      </c>
      <c r="C21" s="6">
        <f>IFERROR(__xludf.DUMMYFUNCTION("""COMPUTED_VALUE"""),1165.55)</f>
        <v>1165.55</v>
      </c>
      <c r="D21" s="6">
        <f>IFERROR(__xludf.DUMMYFUNCTION("""COMPUTED_VALUE"""),1094.65)</f>
        <v>1094.65</v>
      </c>
      <c r="E21" s="6">
        <f>IFERROR(__xludf.DUMMYFUNCTION("""COMPUTED_VALUE"""),1159.0)</f>
        <v>1159</v>
      </c>
      <c r="F21" s="6">
        <f>IFERROR(__xludf.DUMMYFUNCTION("""COMPUTED_VALUE"""),1.0756554E7)</f>
        <v>10756554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IFERROR(__xludf.DUMMYFUNCTION("""COMPUTED_VALUE"""),1158.95)</f>
        <v>1158.95</v>
      </c>
      <c r="C22" s="6">
        <f>IFERROR(__xludf.DUMMYFUNCTION("""COMPUTED_VALUE"""),1166.0)</f>
        <v>1166</v>
      </c>
      <c r="D22" s="6">
        <f>IFERROR(__xludf.DUMMYFUNCTION("""COMPUTED_VALUE"""),1132.35)</f>
        <v>1132.35</v>
      </c>
      <c r="E22" s="6">
        <f>IFERROR(__xludf.DUMMYFUNCTION("""COMPUTED_VALUE"""),1136.75)</f>
        <v>1136.75</v>
      </c>
      <c r="F22" s="6">
        <f>IFERROR(__xludf.DUMMYFUNCTION("""COMPUTED_VALUE"""),3099060.0)</f>
        <v>3099060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IFERROR(__xludf.DUMMYFUNCTION("""COMPUTED_VALUE"""),1136.75)</f>
        <v>1136.75</v>
      </c>
      <c r="C23" s="6">
        <f>IFERROR(__xludf.DUMMYFUNCTION("""COMPUTED_VALUE"""),1170.7)</f>
        <v>1170.7</v>
      </c>
      <c r="D23" s="6">
        <f>IFERROR(__xludf.DUMMYFUNCTION("""COMPUTED_VALUE"""),1108.0)</f>
        <v>1108</v>
      </c>
      <c r="E23" s="6">
        <f>IFERROR(__xludf.DUMMYFUNCTION("""COMPUTED_VALUE"""),1162.75)</f>
        <v>1162.75</v>
      </c>
      <c r="F23" s="6">
        <f>IFERROR(__xludf.DUMMYFUNCTION("""COMPUTED_VALUE"""),1.1284857E7)</f>
        <v>11284857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IFERROR(__xludf.DUMMYFUNCTION("""COMPUTED_VALUE"""),1169.9)</f>
        <v>1169.9</v>
      </c>
      <c r="C24" s="6">
        <f>IFERROR(__xludf.DUMMYFUNCTION("""COMPUTED_VALUE"""),1177.0)</f>
        <v>1177</v>
      </c>
      <c r="D24" s="6">
        <f>IFERROR(__xludf.DUMMYFUNCTION("""COMPUTED_VALUE"""),1119.85)</f>
        <v>1119.85</v>
      </c>
      <c r="E24" s="6">
        <f>IFERROR(__xludf.DUMMYFUNCTION("""COMPUTED_VALUE"""),1129.25)</f>
        <v>1129.25</v>
      </c>
      <c r="F24" s="6">
        <f>IFERROR(__xludf.DUMMYFUNCTION("""COMPUTED_VALUE"""),6745396.0)</f>
        <v>6745396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IFERROR(__xludf.DUMMYFUNCTION("""COMPUTED_VALUE"""),1130.05)</f>
        <v>1130.05</v>
      </c>
      <c r="C25" s="6">
        <f>IFERROR(__xludf.DUMMYFUNCTION("""COMPUTED_VALUE"""),1149.4)</f>
        <v>1149.4</v>
      </c>
      <c r="D25" s="6">
        <f>IFERROR(__xludf.DUMMYFUNCTION("""COMPUTED_VALUE"""),1075.0)</f>
        <v>1075</v>
      </c>
      <c r="E25" s="6">
        <f>IFERROR(__xludf.DUMMYFUNCTION("""COMPUTED_VALUE"""),1147.45)</f>
        <v>1147.45</v>
      </c>
      <c r="F25" s="6">
        <f>IFERROR(__xludf.DUMMYFUNCTION("""COMPUTED_VALUE"""),5483457.0)</f>
        <v>5483457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IFERROR(__xludf.DUMMYFUNCTION("""COMPUTED_VALUE"""),1150.0)</f>
        <v>1150</v>
      </c>
      <c r="C26" s="6">
        <f>IFERROR(__xludf.DUMMYFUNCTION("""COMPUTED_VALUE"""),1171.9)</f>
        <v>1171.9</v>
      </c>
      <c r="D26" s="6">
        <f>IFERROR(__xludf.DUMMYFUNCTION("""COMPUTED_VALUE"""),1138.8)</f>
        <v>1138.8</v>
      </c>
      <c r="E26" s="6">
        <f>IFERROR(__xludf.DUMMYFUNCTION("""COMPUTED_VALUE"""),1160.3)</f>
        <v>1160.3</v>
      </c>
      <c r="F26" s="6">
        <f>IFERROR(__xludf.DUMMYFUNCTION("""COMPUTED_VALUE"""),6434328.0)</f>
        <v>6434328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IFERROR(__xludf.DUMMYFUNCTION("""COMPUTED_VALUE"""),1206.95)</f>
        <v>1206.95</v>
      </c>
      <c r="C27" s="6">
        <f>IFERROR(__xludf.DUMMYFUNCTION("""COMPUTED_VALUE"""),1268.9)</f>
        <v>1268.9</v>
      </c>
      <c r="D27" s="6">
        <f>IFERROR(__xludf.DUMMYFUNCTION("""COMPUTED_VALUE"""),1190.0)</f>
        <v>1190</v>
      </c>
      <c r="E27" s="6">
        <f>IFERROR(__xludf.DUMMYFUNCTION("""COMPUTED_VALUE"""),1261.55)</f>
        <v>1261.55</v>
      </c>
      <c r="F27" s="6">
        <f>IFERROR(__xludf.DUMMYFUNCTION("""COMPUTED_VALUE"""),6549097.0)</f>
        <v>6549097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IFERROR(__xludf.DUMMYFUNCTION("""COMPUTED_VALUE"""),1263.0)</f>
        <v>1263</v>
      </c>
      <c r="C28" s="6">
        <f>IFERROR(__xludf.DUMMYFUNCTION("""COMPUTED_VALUE"""),1269.0)</f>
        <v>1269</v>
      </c>
      <c r="D28" s="6">
        <f>IFERROR(__xludf.DUMMYFUNCTION("""COMPUTED_VALUE"""),1160.05)</f>
        <v>1160.05</v>
      </c>
      <c r="E28" s="6">
        <f>IFERROR(__xludf.DUMMYFUNCTION("""COMPUTED_VALUE"""),1212.15)</f>
        <v>1212.15</v>
      </c>
      <c r="F28" s="6">
        <f>IFERROR(__xludf.DUMMYFUNCTION("""COMPUTED_VALUE"""),1.0803844E7)</f>
        <v>10803844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IFERROR(__xludf.DUMMYFUNCTION("""COMPUTED_VALUE"""),1213.05)</f>
        <v>1213.05</v>
      </c>
      <c r="C29" s="6">
        <f>IFERROR(__xludf.DUMMYFUNCTION("""COMPUTED_VALUE"""),1217.65)</f>
        <v>1217.65</v>
      </c>
      <c r="D29" s="6">
        <f>IFERROR(__xludf.DUMMYFUNCTION("""COMPUTED_VALUE"""),1111.7)</f>
        <v>1111.7</v>
      </c>
      <c r="E29" s="6">
        <f>IFERROR(__xludf.DUMMYFUNCTION("""COMPUTED_VALUE"""),1122.75)</f>
        <v>1122.75</v>
      </c>
      <c r="F29" s="6">
        <f>IFERROR(__xludf.DUMMYFUNCTION("""COMPUTED_VALUE"""),8623068.0)</f>
        <v>8623068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IFERROR(__xludf.DUMMYFUNCTION("""COMPUTED_VALUE"""),1105.35)</f>
        <v>1105.35</v>
      </c>
      <c r="C30" s="6">
        <f>IFERROR(__xludf.DUMMYFUNCTION("""COMPUTED_VALUE"""),1121.1)</f>
        <v>1121.1</v>
      </c>
      <c r="D30" s="6">
        <f>IFERROR(__xludf.DUMMYFUNCTION("""COMPUTED_VALUE"""),1084.1)</f>
        <v>1084.1</v>
      </c>
      <c r="E30" s="6">
        <f>IFERROR(__xludf.DUMMYFUNCTION("""COMPUTED_VALUE"""),1096.2)</f>
        <v>1096.2</v>
      </c>
      <c r="F30" s="6">
        <f>IFERROR(__xludf.DUMMYFUNCTION("""COMPUTED_VALUE"""),1.1091998E7)</f>
        <v>11091998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IFERROR(__xludf.DUMMYFUNCTION("""COMPUTED_VALUE"""),1100.0)</f>
        <v>1100</v>
      </c>
      <c r="C31" s="6">
        <f>IFERROR(__xludf.DUMMYFUNCTION("""COMPUTED_VALUE"""),1133.4)</f>
        <v>1133.4</v>
      </c>
      <c r="D31" s="6">
        <f>IFERROR(__xludf.DUMMYFUNCTION("""COMPUTED_VALUE"""),1083.1)</f>
        <v>1083.1</v>
      </c>
      <c r="E31" s="6">
        <f>IFERROR(__xludf.DUMMYFUNCTION("""COMPUTED_VALUE"""),1115.55)</f>
        <v>1115.55</v>
      </c>
      <c r="F31" s="6">
        <f>IFERROR(__xludf.DUMMYFUNCTION("""COMPUTED_VALUE"""),1.1501333E7)</f>
        <v>11501333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IFERROR(__xludf.DUMMYFUNCTION("""COMPUTED_VALUE"""),1120.0)</f>
        <v>1120</v>
      </c>
      <c r="C32" s="6">
        <f>IFERROR(__xludf.DUMMYFUNCTION("""COMPUTED_VALUE"""),1156.65)</f>
        <v>1156.65</v>
      </c>
      <c r="D32" s="6">
        <f>IFERROR(__xludf.DUMMYFUNCTION("""COMPUTED_VALUE"""),1117.0)</f>
        <v>1117</v>
      </c>
      <c r="E32" s="6">
        <f>IFERROR(__xludf.DUMMYFUNCTION("""COMPUTED_VALUE"""),1149.45)</f>
        <v>1149.45</v>
      </c>
      <c r="F32" s="6">
        <f>IFERROR(__xludf.DUMMYFUNCTION("""COMPUTED_VALUE"""),6399885.0)</f>
        <v>6399885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IFERROR(__xludf.DUMMYFUNCTION("""COMPUTED_VALUE"""),1125.0)</f>
        <v>1125</v>
      </c>
      <c r="C33" s="6">
        <f>IFERROR(__xludf.DUMMYFUNCTION("""COMPUTED_VALUE"""),1159.0)</f>
        <v>1159</v>
      </c>
      <c r="D33" s="6">
        <f>IFERROR(__xludf.DUMMYFUNCTION("""COMPUTED_VALUE"""),1104.05)</f>
        <v>1104.05</v>
      </c>
      <c r="E33" s="6">
        <f>IFERROR(__xludf.DUMMYFUNCTION("""COMPUTED_VALUE"""),1138.1)</f>
        <v>1138.1</v>
      </c>
      <c r="F33" s="6">
        <f>IFERROR(__xludf.DUMMYFUNCTION("""COMPUTED_VALUE"""),7776123.0)</f>
        <v>7776123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IFERROR(__xludf.DUMMYFUNCTION("""COMPUTED_VALUE"""),1140.95)</f>
        <v>1140.95</v>
      </c>
      <c r="C34" s="6">
        <f>IFERROR(__xludf.DUMMYFUNCTION("""COMPUTED_VALUE"""),1179.9)</f>
        <v>1179.9</v>
      </c>
      <c r="D34" s="6">
        <f>IFERROR(__xludf.DUMMYFUNCTION("""COMPUTED_VALUE"""),1077.4)</f>
        <v>1077.4</v>
      </c>
      <c r="E34" s="6">
        <f>IFERROR(__xludf.DUMMYFUNCTION("""COMPUTED_VALUE"""),1102.65)</f>
        <v>1102.65</v>
      </c>
      <c r="F34" s="6">
        <f>IFERROR(__xludf.DUMMYFUNCTION("""COMPUTED_VALUE"""),2.0337353E7)</f>
        <v>20337353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IFERROR(__xludf.DUMMYFUNCTION("""COMPUTED_VALUE"""),1108.9)</f>
        <v>1108.9</v>
      </c>
      <c r="C35" s="6">
        <f>IFERROR(__xludf.DUMMYFUNCTION("""COMPUTED_VALUE"""),1114.9)</f>
        <v>1114.9</v>
      </c>
      <c r="D35" s="6">
        <f>IFERROR(__xludf.DUMMYFUNCTION("""COMPUTED_VALUE"""),1081.1)</f>
        <v>1081.1</v>
      </c>
      <c r="E35" s="6">
        <f>IFERROR(__xludf.DUMMYFUNCTION("""COMPUTED_VALUE"""),1094.3)</f>
        <v>1094.3</v>
      </c>
      <c r="F35" s="6">
        <f>IFERROR(__xludf.DUMMYFUNCTION("""COMPUTED_VALUE"""),1.1119499E7)</f>
        <v>11119499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IFERROR(__xludf.DUMMYFUNCTION("""COMPUTED_VALUE"""),1105.0)</f>
        <v>1105</v>
      </c>
      <c r="C36" s="6">
        <f>IFERROR(__xludf.DUMMYFUNCTION("""COMPUTED_VALUE"""),1121.55)</f>
        <v>1121.55</v>
      </c>
      <c r="D36" s="6">
        <f>IFERROR(__xludf.DUMMYFUNCTION("""COMPUTED_VALUE"""),1067.65)</f>
        <v>1067.65</v>
      </c>
      <c r="E36" s="6">
        <f>IFERROR(__xludf.DUMMYFUNCTION("""COMPUTED_VALUE"""),1090.95)</f>
        <v>1090.95</v>
      </c>
      <c r="F36" s="6">
        <f>IFERROR(__xludf.DUMMYFUNCTION("""COMPUTED_VALUE"""),7586426.0)</f>
        <v>7586426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IFERROR(__xludf.DUMMYFUNCTION("""COMPUTED_VALUE"""),1089.0)</f>
        <v>1089</v>
      </c>
      <c r="C37" s="6">
        <f>IFERROR(__xludf.DUMMYFUNCTION("""COMPUTED_VALUE"""),1131.2)</f>
        <v>1131.2</v>
      </c>
      <c r="D37" s="6">
        <f>IFERROR(__xludf.DUMMYFUNCTION("""COMPUTED_VALUE"""),1088.95)</f>
        <v>1088.95</v>
      </c>
      <c r="E37" s="6">
        <f>IFERROR(__xludf.DUMMYFUNCTION("""COMPUTED_VALUE"""),1098.25)</f>
        <v>1098.25</v>
      </c>
      <c r="F37" s="6">
        <f>IFERROR(__xludf.DUMMYFUNCTION("""COMPUTED_VALUE"""),6450514.0)</f>
        <v>6450514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IFERROR(__xludf.DUMMYFUNCTION("""COMPUTED_VALUE"""),1099.0)</f>
        <v>1099</v>
      </c>
      <c r="C38" s="6">
        <f>IFERROR(__xludf.DUMMYFUNCTION("""COMPUTED_VALUE"""),1110.0)</f>
        <v>1110</v>
      </c>
      <c r="D38" s="6">
        <f>IFERROR(__xludf.DUMMYFUNCTION("""COMPUTED_VALUE"""),1048.3)</f>
        <v>1048.3</v>
      </c>
      <c r="E38" s="6">
        <f>IFERROR(__xludf.DUMMYFUNCTION("""COMPUTED_VALUE"""),1060.25)</f>
        <v>1060.25</v>
      </c>
      <c r="F38" s="6">
        <f>IFERROR(__xludf.DUMMYFUNCTION("""COMPUTED_VALUE"""),1.1919599E7)</f>
        <v>11919599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IFERROR(__xludf.DUMMYFUNCTION("""COMPUTED_VALUE"""),1076.4)</f>
        <v>1076.4</v>
      </c>
      <c r="C39" s="6">
        <f>IFERROR(__xludf.DUMMYFUNCTION("""COMPUTED_VALUE"""),1160.0)</f>
        <v>1160</v>
      </c>
      <c r="D39" s="6">
        <f>IFERROR(__xludf.DUMMYFUNCTION("""COMPUTED_VALUE"""),1028.9)</f>
        <v>1028.9</v>
      </c>
      <c r="E39" s="6">
        <f>IFERROR(__xludf.DUMMYFUNCTION("""COMPUTED_VALUE"""),1135.65)</f>
        <v>1135.65</v>
      </c>
      <c r="F39" s="6">
        <f>IFERROR(__xludf.DUMMYFUNCTION("""COMPUTED_VALUE"""),1.5168941E7)</f>
        <v>15168941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IFERROR(__xludf.DUMMYFUNCTION("""COMPUTED_VALUE"""),1139.0)</f>
        <v>1139</v>
      </c>
      <c r="C40" s="6">
        <f>IFERROR(__xludf.DUMMYFUNCTION("""COMPUTED_VALUE"""),1144.8)</f>
        <v>1144.8</v>
      </c>
      <c r="D40" s="6">
        <f>IFERROR(__xludf.DUMMYFUNCTION("""COMPUTED_VALUE"""),1104.05)</f>
        <v>1104.05</v>
      </c>
      <c r="E40" s="6">
        <f>IFERROR(__xludf.DUMMYFUNCTION("""COMPUTED_VALUE"""),1112.45)</f>
        <v>1112.45</v>
      </c>
      <c r="F40" s="6">
        <f>IFERROR(__xludf.DUMMYFUNCTION("""COMPUTED_VALUE"""),5683394.0)</f>
        <v>5683394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IFERROR(__xludf.DUMMYFUNCTION("""COMPUTED_VALUE"""),1112.45)</f>
        <v>1112.45</v>
      </c>
      <c r="C41" s="6">
        <f>IFERROR(__xludf.DUMMYFUNCTION("""COMPUTED_VALUE"""),1130.9)</f>
        <v>1130.9</v>
      </c>
      <c r="D41" s="6">
        <f>IFERROR(__xludf.DUMMYFUNCTION("""COMPUTED_VALUE"""),1081.8)</f>
        <v>1081.8</v>
      </c>
      <c r="E41" s="6">
        <f>IFERROR(__xludf.DUMMYFUNCTION("""COMPUTED_VALUE"""),1084.9)</f>
        <v>1084.9</v>
      </c>
      <c r="F41" s="6">
        <f>IFERROR(__xludf.DUMMYFUNCTION("""COMPUTED_VALUE"""),5222149.0)</f>
        <v>5222149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IFERROR(__xludf.DUMMYFUNCTION("""COMPUTED_VALUE"""),1080.15)</f>
        <v>1080.15</v>
      </c>
      <c r="C42" s="6">
        <f>IFERROR(__xludf.DUMMYFUNCTION("""COMPUTED_VALUE"""),1108.2)</f>
        <v>1108.2</v>
      </c>
      <c r="D42" s="6">
        <f>IFERROR(__xludf.DUMMYFUNCTION("""COMPUTED_VALUE"""),1077.15)</f>
        <v>1077.15</v>
      </c>
      <c r="E42" s="6">
        <f>IFERROR(__xludf.DUMMYFUNCTION("""COMPUTED_VALUE"""),1097.45)</f>
        <v>1097.45</v>
      </c>
      <c r="F42" s="6">
        <f>IFERROR(__xludf.DUMMYFUNCTION("""COMPUTED_VALUE"""),6250652.0)</f>
        <v>6250652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IFERROR(__xludf.DUMMYFUNCTION("""COMPUTED_VALUE"""),1090.1)</f>
        <v>1090.1</v>
      </c>
      <c r="C43" s="6">
        <f>IFERROR(__xludf.DUMMYFUNCTION("""COMPUTED_VALUE"""),1154.8)</f>
        <v>1154.8</v>
      </c>
      <c r="D43" s="6">
        <f>IFERROR(__xludf.DUMMYFUNCTION("""COMPUTED_VALUE"""),1080.0)</f>
        <v>1080</v>
      </c>
      <c r="E43" s="6">
        <f>IFERROR(__xludf.DUMMYFUNCTION("""COMPUTED_VALUE"""),1137.4)</f>
        <v>1137.4</v>
      </c>
      <c r="F43" s="6">
        <f>IFERROR(__xludf.DUMMYFUNCTION("""COMPUTED_VALUE"""),1.0596154E7)</f>
        <v>10596154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IFERROR(__xludf.DUMMYFUNCTION("""COMPUTED_VALUE"""),1138.0)</f>
        <v>1138</v>
      </c>
      <c r="C44" s="6">
        <f>IFERROR(__xludf.DUMMYFUNCTION("""COMPUTED_VALUE"""),1168.5)</f>
        <v>1168.5</v>
      </c>
      <c r="D44" s="6">
        <f>IFERROR(__xludf.DUMMYFUNCTION("""COMPUTED_VALUE"""),1125.5)</f>
        <v>1125.5</v>
      </c>
      <c r="E44" s="6">
        <f>IFERROR(__xludf.DUMMYFUNCTION("""COMPUTED_VALUE"""),1152.25)</f>
        <v>1152.25</v>
      </c>
      <c r="F44" s="6">
        <f>IFERROR(__xludf.DUMMYFUNCTION("""COMPUTED_VALUE"""),7495775.0)</f>
        <v>7495775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IFERROR(__xludf.DUMMYFUNCTION("""COMPUTED_VALUE"""),1152.5)</f>
        <v>1152.5</v>
      </c>
      <c r="C45" s="6">
        <f>IFERROR(__xludf.DUMMYFUNCTION("""COMPUTED_VALUE"""),1200.1)</f>
        <v>1200.1</v>
      </c>
      <c r="D45" s="6">
        <f>IFERROR(__xludf.DUMMYFUNCTION("""COMPUTED_VALUE"""),1139.8)</f>
        <v>1139.8</v>
      </c>
      <c r="E45" s="6">
        <f>IFERROR(__xludf.DUMMYFUNCTION("""COMPUTED_VALUE"""),1188.0)</f>
        <v>1188</v>
      </c>
      <c r="F45" s="6">
        <f>IFERROR(__xludf.DUMMYFUNCTION("""COMPUTED_VALUE"""),7298511.0)</f>
        <v>7298511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IFERROR(__xludf.DUMMYFUNCTION("""COMPUTED_VALUE"""),1185.0)</f>
        <v>1185</v>
      </c>
      <c r="C46" s="6">
        <f>IFERROR(__xludf.DUMMYFUNCTION("""COMPUTED_VALUE"""),1262.6)</f>
        <v>1262.6</v>
      </c>
      <c r="D46" s="6">
        <f>IFERROR(__xludf.DUMMYFUNCTION("""COMPUTED_VALUE"""),1182.25)</f>
        <v>1182.25</v>
      </c>
      <c r="E46" s="6">
        <f>IFERROR(__xludf.DUMMYFUNCTION("""COMPUTED_VALUE"""),1213.65)</f>
        <v>1213.65</v>
      </c>
      <c r="F46" s="6">
        <f>IFERROR(__xludf.DUMMYFUNCTION("""COMPUTED_VALUE"""),1.3465369E7)</f>
        <v>13465369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IFERROR(__xludf.DUMMYFUNCTION("""COMPUTED_VALUE"""),1215.0)</f>
        <v>1215</v>
      </c>
      <c r="C47" s="6">
        <f>IFERROR(__xludf.DUMMYFUNCTION("""COMPUTED_VALUE"""),1222.0)</f>
        <v>1222</v>
      </c>
      <c r="D47" s="6">
        <f>IFERROR(__xludf.DUMMYFUNCTION("""COMPUTED_VALUE"""),1167.0)</f>
        <v>1167</v>
      </c>
      <c r="E47" s="6">
        <f>IFERROR(__xludf.DUMMYFUNCTION("""COMPUTED_VALUE"""),1193.65)</f>
        <v>1193.65</v>
      </c>
      <c r="F47" s="6">
        <f>IFERROR(__xludf.DUMMYFUNCTION("""COMPUTED_VALUE"""),9206930.0)</f>
        <v>9206930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IFERROR(__xludf.DUMMYFUNCTION("""COMPUTED_VALUE"""),1176.0)</f>
        <v>1176</v>
      </c>
      <c r="C48" s="6">
        <f>IFERROR(__xludf.DUMMYFUNCTION("""COMPUTED_VALUE"""),1213.6)</f>
        <v>1213.6</v>
      </c>
      <c r="D48" s="6">
        <f>IFERROR(__xludf.DUMMYFUNCTION("""COMPUTED_VALUE"""),1151.0)</f>
        <v>1151</v>
      </c>
      <c r="E48" s="6">
        <f>IFERROR(__xludf.DUMMYFUNCTION("""COMPUTED_VALUE"""),1186.15)</f>
        <v>1186.15</v>
      </c>
      <c r="F48" s="6">
        <f>IFERROR(__xludf.DUMMYFUNCTION("""COMPUTED_VALUE"""),7570656.0)</f>
        <v>7570656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IFERROR(__xludf.DUMMYFUNCTION("""COMPUTED_VALUE"""),1176.0)</f>
        <v>1176</v>
      </c>
      <c r="C49" s="6">
        <f>IFERROR(__xludf.DUMMYFUNCTION("""COMPUTED_VALUE"""),1190.65)</f>
        <v>1190.65</v>
      </c>
      <c r="D49" s="6">
        <f>IFERROR(__xludf.DUMMYFUNCTION("""COMPUTED_VALUE"""),1158.7)</f>
        <v>1158.7</v>
      </c>
      <c r="E49" s="6">
        <f>IFERROR(__xludf.DUMMYFUNCTION("""COMPUTED_VALUE"""),1187.75)</f>
        <v>1187.75</v>
      </c>
      <c r="F49" s="6">
        <f>IFERROR(__xludf.DUMMYFUNCTION("""COMPUTED_VALUE"""),3395909.0)</f>
        <v>3395909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IFERROR(__xludf.DUMMYFUNCTION("""COMPUTED_VALUE"""),1198.0)</f>
        <v>1198</v>
      </c>
      <c r="C50" s="6">
        <f>IFERROR(__xludf.DUMMYFUNCTION("""COMPUTED_VALUE"""),1215.0)</f>
        <v>1215</v>
      </c>
      <c r="D50" s="6">
        <f>IFERROR(__xludf.DUMMYFUNCTION("""COMPUTED_VALUE"""),1166.75)</f>
        <v>1166.75</v>
      </c>
      <c r="E50" s="6">
        <f>IFERROR(__xludf.DUMMYFUNCTION("""COMPUTED_VALUE"""),1196.8)</f>
        <v>1196.8</v>
      </c>
      <c r="F50" s="6">
        <f>IFERROR(__xludf.DUMMYFUNCTION("""COMPUTED_VALUE"""),5051582.0)</f>
        <v>5051582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IFERROR(__xludf.DUMMYFUNCTION("""COMPUTED_VALUE"""),1205.0)</f>
        <v>1205</v>
      </c>
      <c r="C51" s="6">
        <f>IFERROR(__xludf.DUMMYFUNCTION("""COMPUTED_VALUE"""),1221.85)</f>
        <v>1221.85</v>
      </c>
      <c r="D51" s="6">
        <f>IFERROR(__xludf.DUMMYFUNCTION("""COMPUTED_VALUE"""),1185.25)</f>
        <v>1185.25</v>
      </c>
      <c r="E51" s="6">
        <f>IFERROR(__xludf.DUMMYFUNCTION("""COMPUTED_VALUE"""),1200.15)</f>
        <v>1200.15</v>
      </c>
      <c r="F51" s="6">
        <f>IFERROR(__xludf.DUMMYFUNCTION("""COMPUTED_VALUE"""),5920915.0)</f>
        <v>5920915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IFERROR(__xludf.DUMMYFUNCTION("""COMPUTED_VALUE"""),1200.0)</f>
        <v>1200</v>
      </c>
      <c r="C52" s="6">
        <f>IFERROR(__xludf.DUMMYFUNCTION("""COMPUTED_VALUE"""),1227.0)</f>
        <v>1227</v>
      </c>
      <c r="D52" s="6">
        <f>IFERROR(__xludf.DUMMYFUNCTION("""COMPUTED_VALUE"""),1168.75)</f>
        <v>1168.75</v>
      </c>
      <c r="E52" s="6">
        <f>IFERROR(__xludf.DUMMYFUNCTION("""COMPUTED_VALUE"""),1173.85)</f>
        <v>1173.85</v>
      </c>
      <c r="F52" s="6">
        <f>IFERROR(__xludf.DUMMYFUNCTION("""COMPUTED_VALUE"""),7422655.0)</f>
        <v>7422655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IFERROR(__xludf.DUMMYFUNCTION("""COMPUTED_VALUE"""),1173.85)</f>
        <v>1173.85</v>
      </c>
      <c r="C53" s="6">
        <f>IFERROR(__xludf.DUMMYFUNCTION("""COMPUTED_VALUE"""),1227.0)</f>
        <v>1227</v>
      </c>
      <c r="D53" s="6">
        <f>IFERROR(__xludf.DUMMYFUNCTION("""COMPUTED_VALUE"""),1169.9)</f>
        <v>1169.9</v>
      </c>
      <c r="E53" s="6">
        <f>IFERROR(__xludf.DUMMYFUNCTION("""COMPUTED_VALUE"""),1210.3)</f>
        <v>1210.3</v>
      </c>
      <c r="F53" s="6">
        <f>IFERROR(__xludf.DUMMYFUNCTION("""COMPUTED_VALUE"""),9827455.0)</f>
        <v>9827455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IFERROR(__xludf.DUMMYFUNCTION("""COMPUTED_VALUE"""),1220.0)</f>
        <v>1220</v>
      </c>
      <c r="C54" s="6">
        <f>IFERROR(__xludf.DUMMYFUNCTION("""COMPUTED_VALUE"""),1234.3)</f>
        <v>1234.3</v>
      </c>
      <c r="D54" s="6">
        <f>IFERROR(__xludf.DUMMYFUNCTION("""COMPUTED_VALUE"""),1194.0)</f>
        <v>1194</v>
      </c>
      <c r="E54" s="6">
        <f>IFERROR(__xludf.DUMMYFUNCTION("""COMPUTED_VALUE"""),1216.85)</f>
        <v>1216.85</v>
      </c>
      <c r="F54" s="6">
        <f>IFERROR(__xludf.DUMMYFUNCTION("""COMPUTED_VALUE"""),9636850.0)</f>
        <v>9636850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IFERROR(__xludf.DUMMYFUNCTION("""COMPUTED_VALUE"""),1222.0)</f>
        <v>1222</v>
      </c>
      <c r="C55" s="6">
        <f>IFERROR(__xludf.DUMMYFUNCTION("""COMPUTED_VALUE"""),1233.65)</f>
        <v>1233.65</v>
      </c>
      <c r="D55" s="6">
        <f>IFERROR(__xludf.DUMMYFUNCTION("""COMPUTED_VALUE"""),1182.05)</f>
        <v>1182.05</v>
      </c>
      <c r="E55" s="6">
        <f>IFERROR(__xludf.DUMMYFUNCTION("""COMPUTED_VALUE"""),1201.55)</f>
        <v>1201.55</v>
      </c>
      <c r="F55" s="6">
        <f>IFERROR(__xludf.DUMMYFUNCTION("""COMPUTED_VALUE"""),1.3161182E7)</f>
        <v>13161182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IFERROR(__xludf.DUMMYFUNCTION("""COMPUTED_VALUE"""),1194.95)</f>
        <v>1194.95</v>
      </c>
      <c r="C56" s="6">
        <f>IFERROR(__xludf.DUMMYFUNCTION("""COMPUTED_VALUE"""),1213.65)</f>
        <v>1213.65</v>
      </c>
      <c r="D56" s="6">
        <f>IFERROR(__xludf.DUMMYFUNCTION("""COMPUTED_VALUE"""),1125.2)</f>
        <v>1125.2</v>
      </c>
      <c r="E56" s="6">
        <f>IFERROR(__xludf.DUMMYFUNCTION("""COMPUTED_VALUE"""),1130.4)</f>
        <v>1130.4</v>
      </c>
      <c r="F56" s="6">
        <f>IFERROR(__xludf.DUMMYFUNCTION("""COMPUTED_VALUE"""),5801464.0)</f>
        <v>5801464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IFERROR(__xludf.DUMMYFUNCTION("""COMPUTED_VALUE"""),1130.4)</f>
        <v>1130.4</v>
      </c>
      <c r="C57" s="6">
        <f>IFERROR(__xludf.DUMMYFUNCTION("""COMPUTED_VALUE"""),1142.65)</f>
        <v>1142.65</v>
      </c>
      <c r="D57" s="6">
        <f>IFERROR(__xludf.DUMMYFUNCTION("""COMPUTED_VALUE"""),1101.65)</f>
        <v>1101.65</v>
      </c>
      <c r="E57" s="6">
        <f>IFERROR(__xludf.DUMMYFUNCTION("""COMPUTED_VALUE"""),1113.1)</f>
        <v>1113.1</v>
      </c>
      <c r="F57" s="6">
        <f>IFERROR(__xludf.DUMMYFUNCTION("""COMPUTED_VALUE"""),6348262.0)</f>
        <v>6348262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IFERROR(__xludf.DUMMYFUNCTION("""COMPUTED_VALUE"""),1120.0)</f>
        <v>1120</v>
      </c>
      <c r="C58" s="6">
        <f>IFERROR(__xludf.DUMMYFUNCTION("""COMPUTED_VALUE"""),1138.0)</f>
        <v>1138</v>
      </c>
      <c r="D58" s="6">
        <f>IFERROR(__xludf.DUMMYFUNCTION("""COMPUTED_VALUE"""),1072.05)</f>
        <v>1072.05</v>
      </c>
      <c r="E58" s="6">
        <f>IFERROR(__xludf.DUMMYFUNCTION("""COMPUTED_VALUE"""),1093.25)</f>
        <v>1093.25</v>
      </c>
      <c r="F58" s="6">
        <f>IFERROR(__xludf.DUMMYFUNCTION("""COMPUTED_VALUE"""),3950375.0)</f>
        <v>3950375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IFERROR(__xludf.DUMMYFUNCTION("""COMPUTED_VALUE"""),1047.0)</f>
        <v>1047</v>
      </c>
      <c r="C59" s="6">
        <f>IFERROR(__xludf.DUMMYFUNCTION("""COMPUTED_VALUE"""),1059.45)</f>
        <v>1059.45</v>
      </c>
      <c r="D59" s="6">
        <f>IFERROR(__xludf.DUMMYFUNCTION("""COMPUTED_VALUE"""),970.5)</f>
        <v>970.5</v>
      </c>
      <c r="E59" s="6">
        <f>IFERROR(__xludf.DUMMYFUNCTION("""COMPUTED_VALUE"""),973.05)</f>
        <v>973.05</v>
      </c>
      <c r="F59" s="6">
        <f>IFERROR(__xludf.DUMMYFUNCTION("""COMPUTED_VALUE"""),2.0436862E7)</f>
        <v>20436862</v>
      </c>
    </row>
    <row r="60">
      <c r="A60" s="7">
        <f>IFERROR(__xludf.DUMMYFUNCTION("""COMPUTED_VALUE"""),45604.64583333333)</f>
        <v>45604.64583</v>
      </c>
      <c r="B60" s="6">
        <f>IFERROR(__xludf.DUMMYFUNCTION("""COMPUTED_VALUE"""),998.0)</f>
        <v>998</v>
      </c>
      <c r="C60" s="6">
        <f>IFERROR(__xludf.DUMMYFUNCTION("""COMPUTED_VALUE"""),1013.1)</f>
        <v>1013.1</v>
      </c>
      <c r="D60" s="6">
        <f>IFERROR(__xludf.DUMMYFUNCTION("""COMPUTED_VALUE"""),975.4)</f>
        <v>975.4</v>
      </c>
      <c r="E60" s="6">
        <f>IFERROR(__xludf.DUMMYFUNCTION("""COMPUTED_VALUE"""),992.95)</f>
        <v>992.95</v>
      </c>
      <c r="F60" s="6">
        <f>IFERROR(__xludf.DUMMYFUNCTION("""COMPUTED_VALUE"""),5391947.0)</f>
        <v>5391947</v>
      </c>
    </row>
    <row r="61">
      <c r="A61" s="7">
        <f>IFERROR(__xludf.DUMMYFUNCTION("""COMPUTED_VALUE"""),45610.64583333333)</f>
        <v>45610.64583</v>
      </c>
      <c r="B61" s="6">
        <f>IFERROR(__xludf.DUMMYFUNCTION("""COMPUTED_VALUE"""),993.2)</f>
        <v>993.2</v>
      </c>
      <c r="C61" s="6">
        <f>IFERROR(__xludf.DUMMYFUNCTION("""COMPUTED_VALUE"""),997.95)</f>
        <v>997.95</v>
      </c>
      <c r="D61" s="6">
        <f>IFERROR(__xludf.DUMMYFUNCTION("""COMPUTED_VALUE"""),922.0)</f>
        <v>922</v>
      </c>
      <c r="E61" s="6">
        <f>IFERROR(__xludf.DUMMYFUNCTION("""COMPUTED_VALUE"""),925.0)</f>
        <v>925</v>
      </c>
      <c r="F61" s="6">
        <f>IFERROR(__xludf.DUMMYFUNCTION("""COMPUTED_VALUE"""),4976251.0)</f>
        <v>4976251</v>
      </c>
    </row>
    <row r="62">
      <c r="A62" s="7">
        <f>IFERROR(__xludf.DUMMYFUNCTION("""COMPUTED_VALUE"""),45618.64583333333)</f>
        <v>45618.64583</v>
      </c>
      <c r="B62" s="6">
        <f>IFERROR(__xludf.DUMMYFUNCTION("""COMPUTED_VALUE"""),929.8)</f>
        <v>929.8</v>
      </c>
      <c r="C62" s="6">
        <f>IFERROR(__xludf.DUMMYFUNCTION("""COMPUTED_VALUE"""),948.5)</f>
        <v>948.5</v>
      </c>
      <c r="D62" s="6">
        <f>IFERROR(__xludf.DUMMYFUNCTION("""COMPUTED_VALUE"""),900.5)</f>
        <v>900.5</v>
      </c>
      <c r="E62" s="6">
        <f>IFERROR(__xludf.DUMMYFUNCTION("""COMPUTED_VALUE"""),945.2)</f>
        <v>945.2</v>
      </c>
      <c r="F62" s="6">
        <f>IFERROR(__xludf.DUMMYFUNCTION("""COMPUTED_VALUE"""),7017235.0)</f>
        <v>7017235</v>
      </c>
    </row>
    <row r="63">
      <c r="A63" s="7">
        <f>IFERROR(__xludf.DUMMYFUNCTION("""COMPUTED_VALUE"""),45625.64583333333)</f>
        <v>45625.64583</v>
      </c>
      <c r="B63" s="6">
        <f>IFERROR(__xludf.DUMMYFUNCTION("""COMPUTED_VALUE"""),950.0)</f>
        <v>950</v>
      </c>
      <c r="C63" s="6">
        <f>IFERROR(__xludf.DUMMYFUNCTION("""COMPUTED_VALUE"""),972.7)</f>
        <v>972.7</v>
      </c>
      <c r="D63" s="6">
        <f>IFERROR(__xludf.DUMMYFUNCTION("""COMPUTED_VALUE"""),938.3)</f>
        <v>938.3</v>
      </c>
      <c r="E63" s="6">
        <f>IFERROR(__xludf.DUMMYFUNCTION("""COMPUTED_VALUE"""),958.65)</f>
        <v>958.65</v>
      </c>
      <c r="F63" s="6">
        <f>IFERROR(__xludf.DUMMYFUNCTION("""COMPUTED_VALUE"""),7210084.0)</f>
        <v>7210084</v>
      </c>
    </row>
    <row r="64">
      <c r="A64" s="7">
        <f>IFERROR(__xludf.DUMMYFUNCTION("""COMPUTED_VALUE"""),45632.64583333333)</f>
        <v>45632.64583</v>
      </c>
      <c r="B64" s="6">
        <f>IFERROR(__xludf.DUMMYFUNCTION("""COMPUTED_VALUE"""),958.65)</f>
        <v>958.65</v>
      </c>
      <c r="C64" s="6">
        <f>IFERROR(__xludf.DUMMYFUNCTION("""COMPUTED_VALUE"""),976.4)</f>
        <v>976.4</v>
      </c>
      <c r="D64" s="6">
        <f>IFERROR(__xludf.DUMMYFUNCTION("""COMPUTED_VALUE"""),946.25)</f>
        <v>946.25</v>
      </c>
      <c r="E64" s="6">
        <f>IFERROR(__xludf.DUMMYFUNCTION("""COMPUTED_VALUE"""),974.45)</f>
        <v>974.45</v>
      </c>
      <c r="F64" s="6">
        <f>IFERROR(__xludf.DUMMYFUNCTION("""COMPUTED_VALUE"""),7437017.0)</f>
        <v>7437017</v>
      </c>
    </row>
    <row r="65">
      <c r="A65" s="7">
        <f>IFERROR(__xludf.DUMMYFUNCTION("""COMPUTED_VALUE"""),45639.64583333333)</f>
        <v>45639.64583</v>
      </c>
      <c r="B65" s="6">
        <f>IFERROR(__xludf.DUMMYFUNCTION("""COMPUTED_VALUE"""),974.0)</f>
        <v>974</v>
      </c>
      <c r="C65" s="6">
        <f>IFERROR(__xludf.DUMMYFUNCTION("""COMPUTED_VALUE"""),974.0)</f>
        <v>974</v>
      </c>
      <c r="D65" s="6">
        <f>IFERROR(__xludf.DUMMYFUNCTION("""COMPUTED_VALUE"""),907.4)</f>
        <v>907.4</v>
      </c>
      <c r="E65" s="6">
        <f>IFERROR(__xludf.DUMMYFUNCTION("""COMPUTED_VALUE"""),929.7)</f>
        <v>929.7</v>
      </c>
      <c r="F65" s="6">
        <f>IFERROR(__xludf.DUMMYFUNCTION("""COMPUTED_VALUE"""),1.0217295E7)</f>
        <v>10217295</v>
      </c>
    </row>
    <row r="66">
      <c r="A66" s="7">
        <f>IFERROR(__xludf.DUMMYFUNCTION("""COMPUTED_VALUE"""),45646.64583333333)</f>
        <v>45646.64583</v>
      </c>
      <c r="B66" s="6">
        <f>IFERROR(__xludf.DUMMYFUNCTION("""COMPUTED_VALUE"""),929.7)</f>
        <v>929.7</v>
      </c>
      <c r="C66" s="6">
        <f>IFERROR(__xludf.DUMMYFUNCTION("""COMPUTED_VALUE"""),934.65)</f>
        <v>934.65</v>
      </c>
      <c r="D66" s="6">
        <f>IFERROR(__xludf.DUMMYFUNCTION("""COMPUTED_VALUE"""),882.9)</f>
        <v>882.9</v>
      </c>
      <c r="E66" s="6">
        <f>IFERROR(__xludf.DUMMYFUNCTION("""COMPUTED_VALUE"""),889.45)</f>
        <v>889.45</v>
      </c>
      <c r="F66" s="6">
        <f>IFERROR(__xludf.DUMMYFUNCTION("""COMPUTED_VALUE"""),8630353.0)</f>
        <v>8630353</v>
      </c>
    </row>
    <row r="67">
      <c r="A67" s="7">
        <f>IFERROR(__xludf.DUMMYFUNCTION("""COMPUTED_VALUE"""),45653.64583333333)</f>
        <v>45653.64583</v>
      </c>
      <c r="B67" s="6">
        <f>IFERROR(__xludf.DUMMYFUNCTION("""COMPUTED_VALUE"""),894.95)</f>
        <v>894.95</v>
      </c>
      <c r="C67" s="6">
        <f>IFERROR(__xludf.DUMMYFUNCTION("""COMPUTED_VALUE"""),912.95)</f>
        <v>912.95</v>
      </c>
      <c r="D67" s="6">
        <f>IFERROR(__xludf.DUMMYFUNCTION("""COMPUTED_VALUE"""),890.0)</f>
        <v>890</v>
      </c>
      <c r="E67" s="6">
        <f>IFERROR(__xludf.DUMMYFUNCTION("""COMPUTED_VALUE"""),907.95)</f>
        <v>907.95</v>
      </c>
      <c r="F67" s="6">
        <f>IFERROR(__xludf.DUMMYFUNCTION("""COMPUTED_VALUE"""),3559905.0)</f>
        <v>3559905</v>
      </c>
    </row>
    <row r="68">
      <c r="A68" s="7">
        <f>IFERROR(__xludf.DUMMYFUNCTION("""COMPUTED_VALUE"""),45660.64583333333)</f>
        <v>45660.64583</v>
      </c>
      <c r="B68" s="6">
        <f>IFERROR(__xludf.DUMMYFUNCTION("""COMPUTED_VALUE"""),907.95)</f>
        <v>907.95</v>
      </c>
      <c r="C68" s="6">
        <f>IFERROR(__xludf.DUMMYFUNCTION("""COMPUTED_VALUE"""),941.9)</f>
        <v>941.9</v>
      </c>
      <c r="D68" s="6">
        <f>IFERROR(__xludf.DUMMYFUNCTION("""COMPUTED_VALUE"""),893.1)</f>
        <v>893.1</v>
      </c>
      <c r="E68" s="6">
        <f>IFERROR(__xludf.DUMMYFUNCTION("""COMPUTED_VALUE"""),939.45)</f>
        <v>939.45</v>
      </c>
      <c r="F68" s="6">
        <f>IFERROR(__xludf.DUMMYFUNCTION("""COMPUTED_VALUE"""),7129901.0)</f>
        <v>7129901</v>
      </c>
    </row>
    <row r="69">
      <c r="A69" s="7">
        <f>IFERROR(__xludf.DUMMYFUNCTION("""COMPUTED_VALUE"""),45667.64583333333)</f>
        <v>45667.64583</v>
      </c>
      <c r="B69" s="6">
        <f>IFERROR(__xludf.DUMMYFUNCTION("""COMPUTED_VALUE"""),935.0)</f>
        <v>935</v>
      </c>
      <c r="C69" s="6">
        <f>IFERROR(__xludf.DUMMYFUNCTION("""COMPUTED_VALUE"""),982.8)</f>
        <v>982.8</v>
      </c>
      <c r="D69" s="6">
        <f>IFERROR(__xludf.DUMMYFUNCTION("""COMPUTED_VALUE"""),929.1)</f>
        <v>929.1</v>
      </c>
      <c r="E69" s="6">
        <f>IFERROR(__xludf.DUMMYFUNCTION("""COMPUTED_VALUE"""),972.8)</f>
        <v>972.8</v>
      </c>
      <c r="F69" s="6">
        <f>IFERROR(__xludf.DUMMYFUNCTION("""COMPUTED_VALUE"""),9915490.0)</f>
        <v>9915490</v>
      </c>
    </row>
    <row r="70">
      <c r="A70" s="7">
        <f>IFERROR(__xludf.DUMMYFUNCTION("""COMPUTED_VALUE"""),45674.64583333333)</f>
        <v>45674.64583</v>
      </c>
      <c r="B70" s="6">
        <f>IFERROR(__xludf.DUMMYFUNCTION("""COMPUTED_VALUE"""),945.2)</f>
        <v>945.2</v>
      </c>
      <c r="C70" s="6">
        <f>IFERROR(__xludf.DUMMYFUNCTION("""COMPUTED_VALUE"""),977.0)</f>
        <v>977</v>
      </c>
      <c r="D70" s="6">
        <f>IFERROR(__xludf.DUMMYFUNCTION("""COMPUTED_VALUE"""),926.05)</f>
        <v>926.05</v>
      </c>
      <c r="E70" s="6">
        <f>IFERROR(__xludf.DUMMYFUNCTION("""COMPUTED_VALUE"""),954.45)</f>
        <v>954.45</v>
      </c>
      <c r="F70" s="6">
        <f>IFERROR(__xludf.DUMMYFUNCTION("""COMPUTED_VALUE"""),9322914.0)</f>
        <v>9322914</v>
      </c>
    </row>
    <row r="71">
      <c r="A71" s="7">
        <f>IFERROR(__xludf.DUMMYFUNCTION("""COMPUTED_VALUE"""),45681.64583333333)</f>
        <v>45681.64583</v>
      </c>
      <c r="B71" s="6">
        <f>IFERROR(__xludf.DUMMYFUNCTION("""COMPUTED_VALUE"""),960.0)</f>
        <v>960</v>
      </c>
      <c r="C71" s="6">
        <f>IFERROR(__xludf.DUMMYFUNCTION("""COMPUTED_VALUE"""),1004.0)</f>
        <v>1004</v>
      </c>
      <c r="D71" s="6">
        <f>IFERROR(__xludf.DUMMYFUNCTION("""COMPUTED_VALUE"""),944.45)</f>
        <v>944.45</v>
      </c>
      <c r="E71" s="6">
        <f>IFERROR(__xludf.DUMMYFUNCTION("""COMPUTED_VALUE"""),992.35)</f>
        <v>992.35</v>
      </c>
      <c r="F71" s="6">
        <f>IFERROR(__xludf.DUMMYFUNCTION("""COMPUTED_VALUE"""),8180178.0)</f>
        <v>8180178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IFERROR(__xludf.DUMMYFUNCTION("""COMPUTED_VALUE"""),1067.35)</f>
        <v>1067.35</v>
      </c>
      <c r="C72" s="6">
        <f>IFERROR(__xludf.DUMMYFUNCTION("""COMPUTED_VALUE"""),1074.45)</f>
        <v>1074.45</v>
      </c>
      <c r="D72" s="6">
        <f>IFERROR(__xludf.DUMMYFUNCTION("""COMPUTED_VALUE"""),1010.15)</f>
        <v>1010.15</v>
      </c>
      <c r="E72" s="6">
        <f>IFERROR(__xludf.DUMMYFUNCTION("""COMPUTED_VALUE"""),1021.2)</f>
        <v>1021.2</v>
      </c>
      <c r="F72" s="6">
        <f>IFERROR(__xludf.DUMMYFUNCTION("""COMPUTED_VALUE"""),7292502.0)</f>
        <v>7292502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IFERROR(__xludf.DUMMYFUNCTION("""COMPUTED_VALUE"""),1020.0)</f>
        <v>1020</v>
      </c>
      <c r="C73" s="6">
        <f>IFERROR(__xludf.DUMMYFUNCTION("""COMPUTED_VALUE"""),1039.0)</f>
        <v>1039</v>
      </c>
      <c r="D73" s="6">
        <f>IFERROR(__xludf.DUMMYFUNCTION("""COMPUTED_VALUE"""),1009.1)</f>
        <v>1009.1</v>
      </c>
      <c r="E73" s="6">
        <f>IFERROR(__xludf.DUMMYFUNCTION("""COMPUTED_VALUE"""),1022.55)</f>
        <v>1022.55</v>
      </c>
      <c r="F73" s="6">
        <f>IFERROR(__xludf.DUMMYFUNCTION("""COMPUTED_VALUE"""),6907102.0)</f>
        <v>6907102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IFERROR(__xludf.DUMMYFUNCTION("""COMPUTED_VALUE"""),1022.0)</f>
        <v>1022</v>
      </c>
      <c r="C74" s="6">
        <f>IFERROR(__xludf.DUMMYFUNCTION("""COMPUTED_VALUE"""),1032.85)</f>
        <v>1032.85</v>
      </c>
      <c r="D74" s="6">
        <f>IFERROR(__xludf.DUMMYFUNCTION("""COMPUTED_VALUE"""),991.45)</f>
        <v>991.45</v>
      </c>
      <c r="E74" s="6">
        <f>IFERROR(__xludf.DUMMYFUNCTION("""COMPUTED_VALUE"""),1004.0)</f>
        <v>1004</v>
      </c>
      <c r="F74" s="6">
        <f>IFERROR(__xludf.DUMMYFUNCTION("""COMPUTED_VALUE"""),4706025.0)</f>
        <v>4706025</v>
      </c>
    </row>
    <row r="75">
      <c r="A75" s="7">
        <f>IFERROR(__xludf.DUMMYFUNCTION("""COMPUTED_VALUE"""),45716.64583333333)</f>
        <v>45716.64583</v>
      </c>
      <c r="B75" s="6">
        <f>IFERROR(__xludf.DUMMYFUNCTION("""COMPUTED_VALUE"""),990.0)</f>
        <v>990</v>
      </c>
      <c r="C75" s="6">
        <f>IFERROR(__xludf.DUMMYFUNCTION("""COMPUTED_VALUE"""),1011.1)</f>
        <v>1011.1</v>
      </c>
      <c r="D75" s="6">
        <f>IFERROR(__xludf.DUMMYFUNCTION("""COMPUTED_VALUE"""),957.35)</f>
        <v>957.35</v>
      </c>
      <c r="E75" s="6">
        <f>IFERROR(__xludf.DUMMYFUNCTION("""COMPUTED_VALUE"""),963.7)</f>
        <v>963.7</v>
      </c>
      <c r="F75" s="6">
        <f>IFERROR(__xludf.DUMMYFUNCTION("""COMPUTED_VALUE"""),9109986.0)</f>
        <v>9109986</v>
      </c>
    </row>
    <row r="76">
      <c r="A76" s="7">
        <f>IFERROR(__xludf.DUMMYFUNCTION("""COMPUTED_VALUE"""),45723.64583333333)</f>
        <v>45723.64583</v>
      </c>
      <c r="B76" s="6">
        <f>IFERROR(__xludf.DUMMYFUNCTION("""COMPUTED_VALUE"""),963.7)</f>
        <v>963.7</v>
      </c>
      <c r="C76" s="6">
        <f>IFERROR(__xludf.DUMMYFUNCTION("""COMPUTED_VALUE"""),970.0)</f>
        <v>970</v>
      </c>
      <c r="D76" s="6">
        <f>IFERROR(__xludf.DUMMYFUNCTION("""COMPUTED_VALUE"""),943.05)</f>
        <v>943.05</v>
      </c>
      <c r="E76" s="6">
        <f>IFERROR(__xludf.DUMMYFUNCTION("""COMPUTED_VALUE"""),962.05)</f>
        <v>962.05</v>
      </c>
      <c r="F76" s="6">
        <f>IFERROR(__xludf.DUMMYFUNCTION("""COMPUTED_VALUE"""),9380576.0)</f>
        <v>9380576</v>
      </c>
    </row>
    <row r="77">
      <c r="A77" s="7">
        <f>IFERROR(__xludf.DUMMYFUNCTION("""COMPUTED_VALUE"""),45729.64583333333)</f>
        <v>45729.64583</v>
      </c>
      <c r="B77" s="6">
        <f>IFERROR(__xludf.DUMMYFUNCTION("""COMPUTED_VALUE"""),960.0)</f>
        <v>960</v>
      </c>
      <c r="C77" s="6">
        <f>IFERROR(__xludf.DUMMYFUNCTION("""COMPUTED_VALUE"""),969.3)</f>
        <v>969.3</v>
      </c>
      <c r="D77" s="6">
        <f>IFERROR(__xludf.DUMMYFUNCTION("""COMPUTED_VALUE"""),930.1)</f>
        <v>930.1</v>
      </c>
      <c r="E77" s="6">
        <f>IFERROR(__xludf.DUMMYFUNCTION("""COMPUTED_VALUE"""),946.1)</f>
        <v>946.1</v>
      </c>
      <c r="F77" s="6">
        <f>IFERROR(__xludf.DUMMYFUNCTION("""COMPUTED_VALUE"""),6935437.0)</f>
        <v>6935437</v>
      </c>
    </row>
    <row r="78">
      <c r="A78" s="7">
        <f>IFERROR(__xludf.DUMMYFUNCTION("""COMPUTED_VALUE"""),45737.64583333333)</f>
        <v>45737.64583</v>
      </c>
      <c r="B78" s="6">
        <f>IFERROR(__xludf.DUMMYFUNCTION("""COMPUTED_VALUE"""),946.1)</f>
        <v>946.1</v>
      </c>
      <c r="C78" s="6">
        <f>IFERROR(__xludf.DUMMYFUNCTION("""COMPUTED_VALUE"""),972.15)</f>
        <v>972.15</v>
      </c>
      <c r="D78" s="6">
        <f>IFERROR(__xludf.DUMMYFUNCTION("""COMPUTED_VALUE"""),934.6)</f>
        <v>934.6</v>
      </c>
      <c r="E78" s="6">
        <f>IFERROR(__xludf.DUMMYFUNCTION("""COMPUTED_VALUE"""),961.2)</f>
        <v>961.2</v>
      </c>
      <c r="F78" s="6">
        <f>IFERROR(__xludf.DUMMYFUNCTION("""COMPUTED_VALUE"""),1.054608E7)</f>
        <v>10546080</v>
      </c>
    </row>
    <row r="79">
      <c r="A79" s="7">
        <f>IFERROR(__xludf.DUMMYFUNCTION("""COMPUTED_VALUE"""),45744.64583333333)</f>
        <v>45744.64583</v>
      </c>
      <c r="B79" s="6">
        <f>IFERROR(__xludf.DUMMYFUNCTION("""COMPUTED_VALUE"""),965.25)</f>
        <v>965.25</v>
      </c>
      <c r="C79" s="6">
        <f>IFERROR(__xludf.DUMMYFUNCTION("""COMPUTED_VALUE"""),1015.0)</f>
        <v>1015</v>
      </c>
      <c r="D79" s="6">
        <f>IFERROR(__xludf.DUMMYFUNCTION("""COMPUTED_VALUE"""),952.5)</f>
        <v>952.5</v>
      </c>
      <c r="E79" s="6">
        <f>IFERROR(__xludf.DUMMYFUNCTION("""COMPUTED_VALUE"""),1001.9)</f>
        <v>1001.9</v>
      </c>
      <c r="F79" s="6">
        <f>IFERROR(__xludf.DUMMYFUNCTION("""COMPUTED_VALUE"""),9342953.0)</f>
        <v>9342953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IFERROR(__xludf.DUMMYFUNCTION("""COMPUTED_VALUE"""),1003.0)</f>
        <v>1003</v>
      </c>
      <c r="C80" s="6">
        <f>IFERROR(__xludf.DUMMYFUNCTION("""COMPUTED_VALUE"""),1095.55)</f>
        <v>1095.55</v>
      </c>
      <c r="D80" s="6">
        <f>IFERROR(__xludf.DUMMYFUNCTION("""COMPUTED_VALUE"""),989.25)</f>
        <v>989.25</v>
      </c>
      <c r="E80" s="6">
        <f>IFERROR(__xludf.DUMMYFUNCTION("""COMPUTED_VALUE"""),1087.85)</f>
        <v>1087.85</v>
      </c>
      <c r="F80" s="6">
        <f>IFERROR(__xludf.DUMMYFUNCTION("""COMPUTED_VALUE"""),1.5447621E7)</f>
        <v>15447621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IFERROR(__xludf.DUMMYFUNCTION("""COMPUTED_VALUE"""),1019.0)</f>
        <v>1019</v>
      </c>
      <c r="C81" s="6">
        <f>IFERROR(__xludf.DUMMYFUNCTION("""COMPUTED_VALUE"""),1126.0)</f>
        <v>1126</v>
      </c>
      <c r="D81" s="6">
        <f>IFERROR(__xludf.DUMMYFUNCTION("""COMPUTED_VALUE"""),1019.0)</f>
        <v>1019</v>
      </c>
      <c r="E81" s="6">
        <f>IFERROR(__xludf.DUMMYFUNCTION("""COMPUTED_VALUE"""),1097.9)</f>
        <v>1097.9</v>
      </c>
      <c r="F81" s="6">
        <f>IFERROR(__xludf.DUMMYFUNCTION("""COMPUTED_VALUE"""),8808370.0)</f>
        <v>8808370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IFERROR(__xludf.DUMMYFUNCTION("""COMPUTED_VALUE"""),1108.3)</f>
        <v>1108.3</v>
      </c>
      <c r="C82" s="6">
        <f>IFERROR(__xludf.DUMMYFUNCTION("""COMPUTED_VALUE"""),1133.8)</f>
        <v>1133.8</v>
      </c>
      <c r="D82" s="6">
        <f>IFERROR(__xludf.DUMMYFUNCTION("""COMPUTED_VALUE"""),1086.8)</f>
        <v>1086.8</v>
      </c>
      <c r="E82" s="6">
        <f>IFERROR(__xludf.DUMMYFUNCTION("""COMPUTED_VALUE"""),1120.2)</f>
        <v>1120.2</v>
      </c>
      <c r="F82" s="6">
        <f>IFERROR(__xludf.DUMMYFUNCTION("""COMPUTED_VALUE"""),3244389.0)</f>
        <v>3244389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IFERROR(__xludf.DUMMYFUNCTION("""COMPUTED_VALUE"""),1120.2)</f>
        <v>1120.2</v>
      </c>
      <c r="C83" s="6">
        <f>IFERROR(__xludf.DUMMYFUNCTION("""COMPUTED_VALUE"""),1168.9)</f>
        <v>1168.9</v>
      </c>
      <c r="D83" s="6">
        <f>IFERROR(__xludf.DUMMYFUNCTION("""COMPUTED_VALUE"""),1098.3)</f>
        <v>1098.3</v>
      </c>
      <c r="E83" s="6">
        <f>IFERROR(__xludf.DUMMYFUNCTION("""COMPUTED_VALUE"""),1155.7)</f>
        <v>1155.7</v>
      </c>
      <c r="F83" s="6">
        <f>IFERROR(__xludf.DUMMYFUNCTION("""COMPUTED_VALUE"""),1.090362E7)</f>
        <v>10903620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IFERROR(__xludf.DUMMYFUNCTION("""COMPUTED_VALUE"""),1146.1)</f>
        <v>1146.1</v>
      </c>
      <c r="C84" s="6">
        <f>IFERROR(__xludf.DUMMYFUNCTION("""COMPUTED_VALUE"""),1180.5)</f>
        <v>1180.5</v>
      </c>
      <c r="D84" s="6">
        <f>IFERROR(__xludf.DUMMYFUNCTION("""COMPUTED_VALUE"""),1145.0)</f>
        <v>1145</v>
      </c>
      <c r="E84" s="6">
        <f>IFERROR(__xludf.DUMMYFUNCTION("""COMPUTED_VALUE"""),1156.8)</f>
        <v>1156.8</v>
      </c>
      <c r="F84" s="6">
        <f>IFERROR(__xludf.DUMMYFUNCTION("""COMPUTED_VALUE"""),4405554.0)</f>
        <v>4405554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IFERROR(__xludf.DUMMYFUNCTION("""COMPUTED_VALUE"""),1155.5)</f>
        <v>1155.5</v>
      </c>
      <c r="C85" s="6">
        <f>IFERROR(__xludf.DUMMYFUNCTION("""COMPUTED_VALUE"""),1173.6)</f>
        <v>1173.6</v>
      </c>
      <c r="D85" s="6">
        <f>IFERROR(__xludf.DUMMYFUNCTION("""COMPUTED_VALUE"""),1086.4)</f>
        <v>1086.4</v>
      </c>
      <c r="E85" s="6">
        <f>IFERROR(__xludf.DUMMYFUNCTION("""COMPUTED_VALUE"""),1113.7)</f>
        <v>1113.7</v>
      </c>
      <c r="F85" s="6">
        <f>IFERROR(__xludf.DUMMYFUNCTION("""COMPUTED_VALUE"""),8042406.0)</f>
        <v>8042406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IFERROR(__xludf.DUMMYFUNCTION("""COMPUTED_VALUE"""),1123.0)</f>
        <v>1123</v>
      </c>
      <c r="C86" s="6">
        <f>IFERROR(__xludf.DUMMYFUNCTION("""COMPUTED_VALUE"""),1173.5)</f>
        <v>1173.5</v>
      </c>
      <c r="D86" s="6">
        <f>IFERROR(__xludf.DUMMYFUNCTION("""COMPUTED_VALUE"""),1105.5)</f>
        <v>1105.5</v>
      </c>
      <c r="E86" s="6">
        <f>IFERROR(__xludf.DUMMYFUNCTION("""COMPUTED_VALUE"""),1168.0)</f>
        <v>1168</v>
      </c>
      <c r="F86" s="6">
        <f>IFERROR(__xludf.DUMMYFUNCTION("""COMPUTED_VALUE"""),6632996.0)</f>
        <v>6632996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IFERROR(__xludf.DUMMYFUNCTION("""COMPUTED_VALUE"""),1168.0)</f>
        <v>1168</v>
      </c>
      <c r="C87" s="6">
        <f>IFERROR(__xludf.DUMMYFUNCTION("""COMPUTED_VALUE"""),1169.7)</f>
        <v>1169.7</v>
      </c>
      <c r="D87" s="6">
        <f>IFERROR(__xludf.DUMMYFUNCTION("""COMPUTED_VALUE"""),1115.5)</f>
        <v>1115.5</v>
      </c>
      <c r="E87" s="6">
        <f>IFERROR(__xludf.DUMMYFUNCTION("""COMPUTED_VALUE"""),1140.8)</f>
        <v>1140.8</v>
      </c>
      <c r="F87" s="6">
        <f>IFERROR(__xludf.DUMMYFUNCTION("""COMPUTED_VALUE"""),4542512.0)</f>
        <v>4542512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IFERROR(__xludf.DUMMYFUNCTION("""COMPUTED_VALUE"""),1137.0)</f>
        <v>1137</v>
      </c>
      <c r="C88" s="6">
        <f>IFERROR(__xludf.DUMMYFUNCTION("""COMPUTED_VALUE"""),1153.4)</f>
        <v>1153.4</v>
      </c>
      <c r="D88" s="6">
        <f>IFERROR(__xludf.DUMMYFUNCTION("""COMPUTED_VALUE"""),1098.2)</f>
        <v>1098.2</v>
      </c>
      <c r="E88" s="6">
        <f>IFERROR(__xludf.DUMMYFUNCTION("""COMPUTED_VALUE"""),1106.3)</f>
        <v>1106.3</v>
      </c>
      <c r="F88" s="6">
        <f>IFERROR(__xludf.DUMMYFUNCTION("""COMPUTED_VALUE"""),7042498.0)</f>
        <v>7042498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IFERROR(__xludf.DUMMYFUNCTION("""COMPUTED_VALUE"""),1100.0)</f>
        <v>1100</v>
      </c>
      <c r="C89" s="6">
        <f>IFERROR(__xludf.DUMMYFUNCTION("""COMPUTED_VALUE"""),1127.1)</f>
        <v>1127.1</v>
      </c>
      <c r="D89" s="6">
        <f>IFERROR(__xludf.DUMMYFUNCTION("""COMPUTED_VALUE"""),1099.2)</f>
        <v>1099.2</v>
      </c>
      <c r="E89" s="6">
        <f>IFERROR(__xludf.DUMMYFUNCTION("""COMPUTED_VALUE"""),1115.6)</f>
        <v>1115.6</v>
      </c>
      <c r="F89" s="6">
        <f>IFERROR(__xludf.DUMMYFUNCTION("""COMPUTED_VALUE"""),3886844.0)</f>
        <v>3886844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IFERROR(__xludf.DUMMYFUNCTION("""COMPUTED_VALUE"""),1115.6)</f>
        <v>1115.6</v>
      </c>
      <c r="C90" s="6">
        <f>IFERROR(__xludf.DUMMYFUNCTION("""COMPUTED_VALUE"""),1128.6)</f>
        <v>1128.6</v>
      </c>
      <c r="D90" s="6">
        <f>IFERROR(__xludf.DUMMYFUNCTION("""COMPUTED_VALUE"""),1066.6)</f>
        <v>1066.6</v>
      </c>
      <c r="E90" s="6">
        <f>IFERROR(__xludf.DUMMYFUNCTION("""COMPUTED_VALUE"""),1078.4)</f>
        <v>1078.4</v>
      </c>
      <c r="F90" s="6">
        <f>IFERROR(__xludf.DUMMYFUNCTION("""COMPUTED_VALUE"""),3345593.0)</f>
        <v>3345593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IFERROR(__xludf.DUMMYFUNCTION("""COMPUTED_VALUE"""),1074.0)</f>
        <v>1074</v>
      </c>
      <c r="C91" s="6">
        <f>IFERROR(__xludf.DUMMYFUNCTION("""COMPUTED_VALUE"""),1103.0)</f>
        <v>1103</v>
      </c>
      <c r="D91" s="6">
        <f>IFERROR(__xludf.DUMMYFUNCTION("""COMPUTED_VALUE"""),1059.0)</f>
        <v>1059</v>
      </c>
      <c r="E91" s="6">
        <f>IFERROR(__xludf.DUMMYFUNCTION("""COMPUTED_VALUE"""),1100.2)</f>
        <v>1100.2</v>
      </c>
      <c r="F91" s="6">
        <f>IFERROR(__xludf.DUMMYFUNCTION("""COMPUTED_VALUE"""),6550885.0)</f>
        <v>6550885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IFERROR(__xludf.DUMMYFUNCTION("""COMPUTED_VALUE"""),1090.0)</f>
        <v>1090</v>
      </c>
      <c r="C92" s="6">
        <f>IFERROR(__xludf.DUMMYFUNCTION("""COMPUTED_VALUE"""),1150.0)</f>
        <v>1150</v>
      </c>
      <c r="D92" s="6">
        <f>IFERROR(__xludf.DUMMYFUNCTION("""COMPUTED_VALUE"""),1090.0)</f>
        <v>1090</v>
      </c>
      <c r="E92" s="6">
        <f>IFERROR(__xludf.DUMMYFUNCTION("""COMPUTED_VALUE"""),1124.3)</f>
        <v>1124.3</v>
      </c>
      <c r="F92" s="6">
        <f>IFERROR(__xludf.DUMMYFUNCTION("""COMPUTED_VALUE"""),6317325.0)</f>
        <v>6317325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IFERROR(__xludf.DUMMYFUNCTION("""COMPUTED_VALUE"""),1124.0)</f>
        <v>1124</v>
      </c>
      <c r="C93" s="6">
        <f>IFERROR(__xludf.DUMMYFUNCTION("""COMPUTED_VALUE"""),1126.7)</f>
        <v>1126.7</v>
      </c>
      <c r="D93" s="6">
        <f>IFERROR(__xludf.DUMMYFUNCTION("""COMPUTED_VALUE"""),1082.0)</f>
        <v>1082</v>
      </c>
      <c r="E93" s="6">
        <f>IFERROR(__xludf.DUMMYFUNCTION("""COMPUTED_VALUE"""),1089.7)</f>
        <v>1089.7</v>
      </c>
      <c r="F93" s="6">
        <f>IFERROR(__xludf.DUMMYFUNCTION("""COMPUTED_VALUE"""),5342478.0)</f>
        <v>5342478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IFERROR(__xludf.DUMMYFUNCTION("""COMPUTED_VALUE"""),1085.0)</f>
        <v>1085</v>
      </c>
      <c r="C94" s="6">
        <f>IFERROR(__xludf.DUMMYFUNCTION("""COMPUTED_VALUE"""),1108.6)</f>
        <v>1108.6</v>
      </c>
      <c r="D94" s="6">
        <f>IFERROR(__xludf.DUMMYFUNCTION("""COMPUTED_VALUE"""),1074.0)</f>
        <v>1074</v>
      </c>
      <c r="E94" s="6">
        <f>IFERROR(__xludf.DUMMYFUNCTION("""COMPUTED_VALUE"""),1076.8)</f>
        <v>1076.8</v>
      </c>
      <c r="F94" s="6">
        <f>IFERROR(__xludf.DUMMYFUNCTION("""COMPUTED_VALUE"""),4026795.0)</f>
        <v>4026795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IFERROR(__xludf.DUMMYFUNCTION("""COMPUTED_VALUE"""),1076.8)</f>
        <v>1076.8</v>
      </c>
      <c r="C95" s="6">
        <f>IFERROR(__xludf.DUMMYFUNCTION("""COMPUTED_VALUE"""),1109.7)</f>
        <v>1109.7</v>
      </c>
      <c r="D95" s="6">
        <f>IFERROR(__xludf.DUMMYFUNCTION("""COMPUTED_VALUE"""),1067.5)</f>
        <v>1067.5</v>
      </c>
      <c r="E95" s="6">
        <f>IFERROR(__xludf.DUMMYFUNCTION("""COMPUTED_VALUE"""),1095.9)</f>
        <v>1095.9</v>
      </c>
      <c r="F95" s="6">
        <f>IFERROR(__xludf.DUMMYFUNCTION("""COMPUTED_VALUE"""),5100602.0)</f>
        <v>5100602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IFERROR(__xludf.DUMMYFUNCTION("""COMPUTED_VALUE"""),1095.8)</f>
        <v>1095.8</v>
      </c>
      <c r="C96" s="6">
        <f>IFERROR(__xludf.DUMMYFUNCTION("""COMPUTED_VALUE"""),1104.5)</f>
        <v>1104.5</v>
      </c>
      <c r="D96" s="6">
        <f>IFERROR(__xludf.DUMMYFUNCTION("""COMPUTED_VALUE"""),1050.0)</f>
        <v>1050</v>
      </c>
      <c r="E96" s="6">
        <f>IFERROR(__xludf.DUMMYFUNCTION("""COMPUTED_VALUE"""),1054.4)</f>
        <v>1054.4</v>
      </c>
      <c r="F96" s="6">
        <f>IFERROR(__xludf.DUMMYFUNCTION("""COMPUTED_VALUE"""),1.0720756E7)</f>
        <v>10720756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IFERROR(__xludf.DUMMYFUNCTION("""COMPUTED_VALUE"""),1048.0)</f>
        <v>1048</v>
      </c>
      <c r="C97" s="6">
        <f>IFERROR(__xludf.DUMMYFUNCTION("""COMPUTED_VALUE"""),1089.9)</f>
        <v>1089.9</v>
      </c>
      <c r="D97" s="6">
        <f>IFERROR(__xludf.DUMMYFUNCTION("""COMPUTED_VALUE"""),1044.4)</f>
        <v>1044.4</v>
      </c>
      <c r="E97" s="6">
        <f>IFERROR(__xludf.DUMMYFUNCTION("""COMPUTED_VALUE"""),1070.4)</f>
        <v>1070.4</v>
      </c>
      <c r="F97" s="6">
        <f>IFERROR(__xludf.DUMMYFUNCTION("""COMPUTED_VALUE"""),5494396.0)</f>
        <v>5494396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IFERROR(__xludf.DUMMYFUNCTION("""COMPUTED_VALUE"""),1070.4)</f>
        <v>1070.4</v>
      </c>
      <c r="C98" s="6">
        <f>IFERROR(__xludf.DUMMYFUNCTION("""COMPUTED_VALUE"""),1075.6)</f>
        <v>1075.6</v>
      </c>
      <c r="D98" s="6">
        <f>IFERROR(__xludf.DUMMYFUNCTION("""COMPUTED_VALUE"""),1038.7)</f>
        <v>1038.7</v>
      </c>
      <c r="E98" s="6">
        <f>IFERROR(__xludf.DUMMYFUNCTION("""COMPUTED_VALUE"""),1051.0)</f>
        <v>1051</v>
      </c>
      <c r="F98" s="6">
        <f>IFERROR(__xludf.DUMMYFUNCTION("""COMPUTED_VALUE"""),3568070.0)</f>
        <v>3568070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IFERROR(__xludf.DUMMYFUNCTION("""COMPUTED_VALUE"""),1048.0)</f>
        <v>1048</v>
      </c>
      <c r="C99" s="6">
        <f>IFERROR(__xludf.DUMMYFUNCTION("""COMPUTED_VALUE"""),1062.9)</f>
        <v>1062.9</v>
      </c>
      <c r="D99" s="6">
        <f>IFERROR(__xludf.DUMMYFUNCTION("""COMPUTED_VALUE"""),1037.7)</f>
        <v>1037.7</v>
      </c>
      <c r="E99" s="6">
        <f>IFERROR(__xludf.DUMMYFUNCTION("""COMPUTED_VALUE"""),1051.2)</f>
        <v>1051.2</v>
      </c>
      <c r="F99" s="6">
        <f>IFERROR(__xludf.DUMMYFUNCTION("""COMPUTED_VALUE"""),2538842.0)</f>
        <v>2538842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IFERROR(__xludf.DUMMYFUNCTION("""COMPUTED_VALUE"""),1061.0)</f>
        <v>1061</v>
      </c>
      <c r="C100" s="6">
        <f>IFERROR(__xludf.DUMMYFUNCTION("""COMPUTED_VALUE"""),1106.9)</f>
        <v>1106.9</v>
      </c>
      <c r="D100" s="6">
        <f>IFERROR(__xludf.DUMMYFUNCTION("""COMPUTED_VALUE"""),1059.0)</f>
        <v>1059</v>
      </c>
      <c r="E100" s="6">
        <f>IFERROR(__xludf.DUMMYFUNCTION("""COMPUTED_VALUE"""),1084.1)</f>
        <v>1084.1</v>
      </c>
      <c r="F100" s="6">
        <f>IFERROR(__xludf.DUMMYFUNCTION("""COMPUTED_VALUE"""),3646518.0)</f>
        <v>3646518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IFERROR(__xludf.DUMMYFUNCTION("""COMPUTED_VALUE"""),1085.0)</f>
        <v>1085</v>
      </c>
      <c r="C101" s="6">
        <f>IFERROR(__xludf.DUMMYFUNCTION("""COMPUTED_VALUE"""),1091.8)</f>
        <v>1091.8</v>
      </c>
      <c r="D101" s="6">
        <f>IFERROR(__xludf.DUMMYFUNCTION("""COMPUTED_VALUE"""),1070.1)</f>
        <v>1070.1</v>
      </c>
      <c r="E101" s="6">
        <f>IFERROR(__xludf.DUMMYFUNCTION("""COMPUTED_VALUE"""),1079.9)</f>
        <v>1079.9</v>
      </c>
      <c r="F101" s="6">
        <f>IFERROR(__xludf.DUMMYFUNCTION("""COMPUTED_VALUE"""),1.0141989E7)</f>
        <v>10141989</v>
      </c>
    </row>
  </sheetData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IFERROR(__xludf.DUMMYFUNCTION("GOOGLEFINANCE(""NSE:TATAELXSI"",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IFERROR(__xludf.DUMMYFUNCTION("""COMPUTED_VALUE"""),7330.0)</f>
        <v>7330</v>
      </c>
      <c r="C2" s="6">
        <f>IFERROR(__xludf.DUMMYFUNCTION("""COMPUTED_VALUE"""),7424.0)</f>
        <v>7424</v>
      </c>
      <c r="D2" s="6">
        <f>IFERROR(__xludf.DUMMYFUNCTION("""COMPUTED_VALUE"""),7053.5)</f>
        <v>7053.5</v>
      </c>
      <c r="E2" s="6">
        <f>IFERROR(__xludf.DUMMYFUNCTION("""COMPUTED_VALUE"""),7284.1)</f>
        <v>7284.1</v>
      </c>
      <c r="F2" s="6">
        <f>IFERROR(__xludf.DUMMYFUNCTION("""COMPUTED_VALUE"""),618519.0)</f>
        <v>618519</v>
      </c>
    </row>
    <row r="3">
      <c r="A3" s="7">
        <f>IFERROR(__xludf.DUMMYFUNCTION("""COMPUTED_VALUE"""),45177.64583333333)</f>
        <v>45177.64583</v>
      </c>
      <c r="B3" s="6">
        <f>IFERROR(__xludf.DUMMYFUNCTION("""COMPUTED_VALUE"""),7310.0)</f>
        <v>7310</v>
      </c>
      <c r="C3" s="6">
        <f>IFERROR(__xludf.DUMMYFUNCTION("""COMPUTED_VALUE"""),7465.0)</f>
        <v>7465</v>
      </c>
      <c r="D3" s="6">
        <f>IFERROR(__xludf.DUMMYFUNCTION("""COMPUTED_VALUE"""),7219.95)</f>
        <v>7219.95</v>
      </c>
      <c r="E3" s="6">
        <f>IFERROR(__xludf.DUMMYFUNCTION("""COMPUTED_VALUE"""),7366.2)</f>
        <v>7366.2</v>
      </c>
      <c r="F3" s="6">
        <f>IFERROR(__xludf.DUMMYFUNCTION("""COMPUTED_VALUE"""),583553.0)</f>
        <v>583553</v>
      </c>
    </row>
    <row r="4">
      <c r="A4" s="7">
        <f>IFERROR(__xludf.DUMMYFUNCTION("""COMPUTED_VALUE"""),45184.64583333333)</f>
        <v>45184.64583</v>
      </c>
      <c r="B4" s="6">
        <f>IFERROR(__xludf.DUMMYFUNCTION("""COMPUTED_VALUE"""),7370.0)</f>
        <v>7370</v>
      </c>
      <c r="C4" s="6">
        <f>IFERROR(__xludf.DUMMYFUNCTION("""COMPUTED_VALUE"""),7430.0)</f>
        <v>7430</v>
      </c>
      <c r="D4" s="6">
        <f>IFERROR(__xludf.DUMMYFUNCTION("""COMPUTED_VALUE"""),7201.05)</f>
        <v>7201.05</v>
      </c>
      <c r="E4" s="6">
        <f>IFERROR(__xludf.DUMMYFUNCTION("""COMPUTED_VALUE"""),7234.65)</f>
        <v>7234.65</v>
      </c>
      <c r="F4" s="6">
        <f>IFERROR(__xludf.DUMMYFUNCTION("""COMPUTED_VALUE"""),461179.0)</f>
        <v>461179</v>
      </c>
    </row>
    <row r="5">
      <c r="A5" s="7">
        <f>IFERROR(__xludf.DUMMYFUNCTION("""COMPUTED_VALUE"""),45191.64583333333)</f>
        <v>45191.64583</v>
      </c>
      <c r="B5" s="6">
        <f>IFERROR(__xludf.DUMMYFUNCTION("""COMPUTED_VALUE"""),7260.0)</f>
        <v>7260</v>
      </c>
      <c r="C5" s="6">
        <f>IFERROR(__xludf.DUMMYFUNCTION("""COMPUTED_VALUE"""),7317.0)</f>
        <v>7317</v>
      </c>
      <c r="D5" s="6">
        <f>IFERROR(__xludf.DUMMYFUNCTION("""COMPUTED_VALUE"""),7222.0)</f>
        <v>7222</v>
      </c>
      <c r="E5" s="6">
        <f>IFERROR(__xludf.DUMMYFUNCTION("""COMPUTED_VALUE"""),7254.85)</f>
        <v>7254.85</v>
      </c>
      <c r="F5" s="6">
        <f>IFERROR(__xludf.DUMMYFUNCTION("""COMPUTED_VALUE"""),227465.0)</f>
        <v>227465</v>
      </c>
    </row>
    <row r="6">
      <c r="A6" s="7">
        <f>IFERROR(__xludf.DUMMYFUNCTION("""COMPUTED_VALUE"""),45198.64583333333)</f>
        <v>45198.64583</v>
      </c>
      <c r="B6" s="6">
        <f>IFERROR(__xludf.DUMMYFUNCTION("""COMPUTED_VALUE"""),7271.95)</f>
        <v>7271.95</v>
      </c>
      <c r="C6" s="6">
        <f>IFERROR(__xludf.DUMMYFUNCTION("""COMPUTED_VALUE"""),7374.0)</f>
        <v>7374</v>
      </c>
      <c r="D6" s="6">
        <f>IFERROR(__xludf.DUMMYFUNCTION("""COMPUTED_VALUE"""),7205.0)</f>
        <v>7205</v>
      </c>
      <c r="E6" s="6">
        <f>IFERROR(__xludf.DUMMYFUNCTION("""COMPUTED_VALUE"""),7227.15)</f>
        <v>7227.15</v>
      </c>
      <c r="F6" s="6">
        <f>IFERROR(__xludf.DUMMYFUNCTION("""COMPUTED_VALUE"""),266653.0)</f>
        <v>266653</v>
      </c>
    </row>
    <row r="7">
      <c r="A7" s="7">
        <f>IFERROR(__xludf.DUMMYFUNCTION("""COMPUTED_VALUE"""),45205.64583333333)</f>
        <v>45205.64583</v>
      </c>
      <c r="B7" s="6">
        <f>IFERROR(__xludf.DUMMYFUNCTION("""COMPUTED_VALUE"""),7260.0)</f>
        <v>7260</v>
      </c>
      <c r="C7" s="6">
        <f>IFERROR(__xludf.DUMMYFUNCTION("""COMPUTED_VALUE"""),7348.0)</f>
        <v>7348</v>
      </c>
      <c r="D7" s="6">
        <f>IFERROR(__xludf.DUMMYFUNCTION("""COMPUTED_VALUE"""),7172.0)</f>
        <v>7172</v>
      </c>
      <c r="E7" s="6">
        <f>IFERROR(__xludf.DUMMYFUNCTION("""COMPUTED_VALUE"""),7302.75)</f>
        <v>7302.75</v>
      </c>
      <c r="F7" s="6">
        <f>IFERROR(__xludf.DUMMYFUNCTION("""COMPUTED_VALUE"""),340291.0)</f>
        <v>340291</v>
      </c>
    </row>
    <row r="8">
      <c r="A8" s="7">
        <f>IFERROR(__xludf.DUMMYFUNCTION("""COMPUTED_VALUE"""),45212.64583333333)</f>
        <v>45212.64583</v>
      </c>
      <c r="B8" s="6">
        <f>IFERROR(__xludf.DUMMYFUNCTION("""COMPUTED_VALUE"""),7199.95)</f>
        <v>7199.95</v>
      </c>
      <c r="C8" s="6">
        <f>IFERROR(__xludf.DUMMYFUNCTION("""COMPUTED_VALUE"""),7490.0)</f>
        <v>7490</v>
      </c>
      <c r="D8" s="6">
        <f>IFERROR(__xludf.DUMMYFUNCTION("""COMPUTED_VALUE"""),7185.0)</f>
        <v>7185</v>
      </c>
      <c r="E8" s="6">
        <f>IFERROR(__xludf.DUMMYFUNCTION("""COMPUTED_VALUE"""),7443.75)</f>
        <v>7443.75</v>
      </c>
      <c r="F8" s="6">
        <f>IFERROR(__xludf.DUMMYFUNCTION("""COMPUTED_VALUE"""),565269.0)</f>
        <v>565269</v>
      </c>
    </row>
    <row r="9">
      <c r="A9" s="7">
        <f>IFERROR(__xludf.DUMMYFUNCTION("""COMPUTED_VALUE"""),45219.64583333333)</f>
        <v>45219.64583</v>
      </c>
      <c r="B9" s="6">
        <f>IFERROR(__xludf.DUMMYFUNCTION("""COMPUTED_VALUE"""),7490.0)</f>
        <v>7490</v>
      </c>
      <c r="C9" s="6">
        <f>IFERROR(__xludf.DUMMYFUNCTION("""COMPUTED_VALUE"""),7758.9)</f>
        <v>7758.9</v>
      </c>
      <c r="D9" s="6">
        <f>IFERROR(__xludf.DUMMYFUNCTION("""COMPUTED_VALUE"""),7385.0)</f>
        <v>7385</v>
      </c>
      <c r="E9" s="6">
        <f>IFERROR(__xludf.DUMMYFUNCTION("""COMPUTED_VALUE"""),7564.4)</f>
        <v>7564.4</v>
      </c>
      <c r="F9" s="6">
        <f>IFERROR(__xludf.DUMMYFUNCTION("""COMPUTED_VALUE"""),1112803.0)</f>
        <v>1112803</v>
      </c>
    </row>
    <row r="10">
      <c r="A10" s="7">
        <f>IFERROR(__xludf.DUMMYFUNCTION("""COMPUTED_VALUE"""),45226.64583333333)</f>
        <v>45226.64583</v>
      </c>
      <c r="B10" s="6">
        <f>IFERROR(__xludf.DUMMYFUNCTION("""COMPUTED_VALUE"""),7564.4)</f>
        <v>7564.4</v>
      </c>
      <c r="C10" s="6">
        <f>IFERROR(__xludf.DUMMYFUNCTION("""COMPUTED_VALUE"""),7655.0)</f>
        <v>7655</v>
      </c>
      <c r="D10" s="6">
        <f>IFERROR(__xludf.DUMMYFUNCTION("""COMPUTED_VALUE"""),7300.0)</f>
        <v>7300</v>
      </c>
      <c r="E10" s="6">
        <f>IFERROR(__xludf.DUMMYFUNCTION("""COMPUTED_VALUE"""),7601.6)</f>
        <v>7601.6</v>
      </c>
      <c r="F10" s="6">
        <f>IFERROR(__xludf.DUMMYFUNCTION("""COMPUTED_VALUE"""),554604.0)</f>
        <v>554604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IFERROR(__xludf.DUMMYFUNCTION("""COMPUTED_VALUE"""),7660.0)</f>
        <v>7660</v>
      </c>
      <c r="C11" s="6">
        <f>IFERROR(__xludf.DUMMYFUNCTION("""COMPUTED_VALUE"""),7685.0)</f>
        <v>7685</v>
      </c>
      <c r="D11" s="6">
        <f>IFERROR(__xludf.DUMMYFUNCTION("""COMPUTED_VALUE"""),7413.7)</f>
        <v>7413.7</v>
      </c>
      <c r="E11" s="6">
        <f>IFERROR(__xludf.DUMMYFUNCTION("""COMPUTED_VALUE"""),7617.0)</f>
        <v>7617</v>
      </c>
      <c r="F11" s="6">
        <f>IFERROR(__xludf.DUMMYFUNCTION("""COMPUTED_VALUE"""),439930.0)</f>
        <v>439930</v>
      </c>
    </row>
    <row r="12">
      <c r="A12" s="7">
        <f>IFERROR(__xludf.DUMMYFUNCTION("""COMPUTED_VALUE"""),45240.64583333333)</f>
        <v>45240.64583</v>
      </c>
      <c r="B12" s="6">
        <f>IFERROR(__xludf.DUMMYFUNCTION("""COMPUTED_VALUE"""),7673.35)</f>
        <v>7673.35</v>
      </c>
      <c r="C12" s="6">
        <f>IFERROR(__xludf.DUMMYFUNCTION("""COMPUTED_VALUE"""),8349.95)</f>
        <v>8349.95</v>
      </c>
      <c r="D12" s="6">
        <f>IFERROR(__xludf.DUMMYFUNCTION("""COMPUTED_VALUE"""),7660.05)</f>
        <v>7660.05</v>
      </c>
      <c r="E12" s="6">
        <f>IFERROR(__xludf.DUMMYFUNCTION("""COMPUTED_VALUE"""),8055.05)</f>
        <v>8055.05</v>
      </c>
      <c r="F12" s="6">
        <f>IFERROR(__xludf.DUMMYFUNCTION("""COMPUTED_VALUE"""),1411265.0)</f>
        <v>1411265</v>
      </c>
    </row>
    <row r="13">
      <c r="A13" s="7">
        <f>IFERROR(__xludf.DUMMYFUNCTION("""COMPUTED_VALUE"""),45247.64583333333)</f>
        <v>45247.64583</v>
      </c>
      <c r="B13" s="6">
        <f>IFERROR(__xludf.DUMMYFUNCTION("""COMPUTED_VALUE"""),8148.95)</f>
        <v>8148.95</v>
      </c>
      <c r="C13" s="6">
        <f>IFERROR(__xludf.DUMMYFUNCTION("""COMPUTED_VALUE"""),8576.05)</f>
        <v>8576.05</v>
      </c>
      <c r="D13" s="6">
        <f>IFERROR(__xludf.DUMMYFUNCTION("""COMPUTED_VALUE"""),8021.1)</f>
        <v>8021.1</v>
      </c>
      <c r="E13" s="6">
        <f>IFERROR(__xludf.DUMMYFUNCTION("""COMPUTED_VALUE"""),8306.6)</f>
        <v>8306.6</v>
      </c>
      <c r="F13" s="6">
        <f>IFERROR(__xludf.DUMMYFUNCTION("""COMPUTED_VALUE"""),712084.0)</f>
        <v>712084</v>
      </c>
    </row>
    <row r="14">
      <c r="A14" s="7">
        <f>IFERROR(__xludf.DUMMYFUNCTION("""COMPUTED_VALUE"""),45254.64583333333)</f>
        <v>45254.64583</v>
      </c>
      <c r="B14" s="6">
        <f>IFERROR(__xludf.DUMMYFUNCTION("""COMPUTED_VALUE"""),8314.85)</f>
        <v>8314.85</v>
      </c>
      <c r="C14" s="6">
        <f>IFERROR(__xludf.DUMMYFUNCTION("""COMPUTED_VALUE"""),8510.2)</f>
        <v>8510.2</v>
      </c>
      <c r="D14" s="6">
        <f>IFERROR(__xludf.DUMMYFUNCTION("""COMPUTED_VALUE"""),8262.0)</f>
        <v>8262</v>
      </c>
      <c r="E14" s="6">
        <f>IFERROR(__xludf.DUMMYFUNCTION("""COMPUTED_VALUE"""),8334.55)</f>
        <v>8334.55</v>
      </c>
      <c r="F14" s="6">
        <f>IFERROR(__xludf.DUMMYFUNCTION("""COMPUTED_VALUE"""),500647.0)</f>
        <v>500647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IFERROR(__xludf.DUMMYFUNCTION("""COMPUTED_VALUE"""),8331.05)</f>
        <v>8331.05</v>
      </c>
      <c r="C15" s="6">
        <f>IFERROR(__xludf.DUMMYFUNCTION("""COMPUTED_VALUE"""),8479.95)</f>
        <v>8479.95</v>
      </c>
      <c r="D15" s="6">
        <f>IFERROR(__xludf.DUMMYFUNCTION("""COMPUTED_VALUE"""),8203.45)</f>
        <v>8203.45</v>
      </c>
      <c r="E15" s="6">
        <f>IFERROR(__xludf.DUMMYFUNCTION("""COMPUTED_VALUE"""),8423.25)</f>
        <v>8423.25</v>
      </c>
      <c r="F15" s="6">
        <f>IFERROR(__xludf.DUMMYFUNCTION("""COMPUTED_VALUE"""),709165.0)</f>
        <v>709165</v>
      </c>
    </row>
    <row r="16">
      <c r="A16" s="7">
        <f>IFERROR(__xludf.DUMMYFUNCTION("""COMPUTED_VALUE"""),45268.64583333333)</f>
        <v>45268.64583</v>
      </c>
      <c r="B16" s="6">
        <f>IFERROR(__xludf.DUMMYFUNCTION("""COMPUTED_VALUE"""),8499.0)</f>
        <v>8499</v>
      </c>
      <c r="C16" s="6">
        <f>IFERROR(__xludf.DUMMYFUNCTION("""COMPUTED_VALUE"""),8500.0)</f>
        <v>8500</v>
      </c>
      <c r="D16" s="6">
        <f>IFERROR(__xludf.DUMMYFUNCTION("""COMPUTED_VALUE"""),8300.0)</f>
        <v>8300</v>
      </c>
      <c r="E16" s="6">
        <f>IFERROR(__xludf.DUMMYFUNCTION("""COMPUTED_VALUE"""),8365.85)</f>
        <v>8365.85</v>
      </c>
      <c r="F16" s="6">
        <f>IFERROR(__xludf.DUMMYFUNCTION("""COMPUTED_VALUE"""),473893.0)</f>
        <v>473893</v>
      </c>
    </row>
    <row r="17">
      <c r="A17" s="7">
        <f>IFERROR(__xludf.DUMMYFUNCTION("""COMPUTED_VALUE"""),45275.64583333333)</f>
        <v>45275.64583</v>
      </c>
      <c r="B17" s="6">
        <f>IFERROR(__xludf.DUMMYFUNCTION("""COMPUTED_VALUE"""),8401.7)</f>
        <v>8401.7</v>
      </c>
      <c r="C17" s="6">
        <f>IFERROR(__xludf.DUMMYFUNCTION("""COMPUTED_VALUE"""),9183.25)</f>
        <v>9183.25</v>
      </c>
      <c r="D17" s="6">
        <f>IFERROR(__xludf.DUMMYFUNCTION("""COMPUTED_VALUE"""),8400.0)</f>
        <v>8400</v>
      </c>
      <c r="E17" s="6">
        <f>IFERROR(__xludf.DUMMYFUNCTION("""COMPUTED_VALUE"""),9053.6)</f>
        <v>9053.6</v>
      </c>
      <c r="F17" s="6">
        <f>IFERROR(__xludf.DUMMYFUNCTION("""COMPUTED_VALUE"""),1831304.0)</f>
        <v>1831304</v>
      </c>
    </row>
    <row r="18">
      <c r="A18" s="7">
        <f>IFERROR(__xludf.DUMMYFUNCTION("""COMPUTED_VALUE"""),45282.64583333333)</f>
        <v>45282.64583</v>
      </c>
      <c r="B18" s="6">
        <f>IFERROR(__xludf.DUMMYFUNCTION("""COMPUTED_VALUE"""),9060.05)</f>
        <v>9060.05</v>
      </c>
      <c r="C18" s="6">
        <f>IFERROR(__xludf.DUMMYFUNCTION("""COMPUTED_VALUE"""),9200.0)</f>
        <v>9200</v>
      </c>
      <c r="D18" s="6">
        <f>IFERROR(__xludf.DUMMYFUNCTION("""COMPUTED_VALUE"""),8408.35)</f>
        <v>8408.35</v>
      </c>
      <c r="E18" s="6">
        <f>IFERROR(__xludf.DUMMYFUNCTION("""COMPUTED_VALUE"""),8870.65)</f>
        <v>8870.65</v>
      </c>
      <c r="F18" s="6">
        <f>IFERROR(__xludf.DUMMYFUNCTION("""COMPUTED_VALUE"""),686415.0)</f>
        <v>686415</v>
      </c>
    </row>
    <row r="19">
      <c r="A19" s="7">
        <f>IFERROR(__xludf.DUMMYFUNCTION("""COMPUTED_VALUE"""),45289.64583333333)</f>
        <v>45289.64583</v>
      </c>
      <c r="B19" s="6">
        <f>IFERROR(__xludf.DUMMYFUNCTION("""COMPUTED_VALUE"""),8914.0)</f>
        <v>8914</v>
      </c>
      <c r="C19" s="6">
        <f>IFERROR(__xludf.DUMMYFUNCTION("""COMPUTED_VALUE"""),8930.0)</f>
        <v>8930</v>
      </c>
      <c r="D19" s="6">
        <f>IFERROR(__xludf.DUMMYFUNCTION("""COMPUTED_VALUE"""),8701.5)</f>
        <v>8701.5</v>
      </c>
      <c r="E19" s="6">
        <f>IFERROR(__xludf.DUMMYFUNCTION("""COMPUTED_VALUE"""),8753.45)</f>
        <v>8753.45</v>
      </c>
      <c r="F19" s="6">
        <f>IFERROR(__xludf.DUMMYFUNCTION("""COMPUTED_VALUE"""),238435.0)</f>
        <v>238435</v>
      </c>
    </row>
    <row r="20">
      <c r="A20" s="7">
        <f>IFERROR(__xludf.DUMMYFUNCTION("""COMPUTED_VALUE"""),45296.64583333333)</f>
        <v>45296.64583</v>
      </c>
      <c r="B20" s="6">
        <f>IFERROR(__xludf.DUMMYFUNCTION("""COMPUTED_VALUE"""),8793.0)</f>
        <v>8793</v>
      </c>
      <c r="C20" s="6">
        <f>IFERROR(__xludf.DUMMYFUNCTION("""COMPUTED_VALUE"""),8793.0)</f>
        <v>8793</v>
      </c>
      <c r="D20" s="6">
        <f>IFERROR(__xludf.DUMMYFUNCTION("""COMPUTED_VALUE"""),8575.1)</f>
        <v>8575.1</v>
      </c>
      <c r="E20" s="6">
        <f>IFERROR(__xludf.DUMMYFUNCTION("""COMPUTED_VALUE"""),8645.85)</f>
        <v>8645.85</v>
      </c>
      <c r="F20" s="6">
        <f>IFERROR(__xludf.DUMMYFUNCTION("""COMPUTED_VALUE"""),235613.0)</f>
        <v>235613</v>
      </c>
    </row>
    <row r="21">
      <c r="A21" s="7">
        <f>IFERROR(__xludf.DUMMYFUNCTION("""COMPUTED_VALUE"""),45303.64583333333)</f>
        <v>45303.64583</v>
      </c>
      <c r="B21" s="6">
        <f>IFERROR(__xludf.DUMMYFUNCTION("""COMPUTED_VALUE"""),8647.7)</f>
        <v>8647.7</v>
      </c>
      <c r="C21" s="6">
        <f>IFERROR(__xludf.DUMMYFUNCTION("""COMPUTED_VALUE"""),8949.0)</f>
        <v>8949</v>
      </c>
      <c r="D21" s="6">
        <f>IFERROR(__xludf.DUMMYFUNCTION("""COMPUTED_VALUE"""),8565.1)</f>
        <v>8565.1</v>
      </c>
      <c r="E21" s="6">
        <f>IFERROR(__xludf.DUMMYFUNCTION("""COMPUTED_VALUE"""),8737.25)</f>
        <v>8737.25</v>
      </c>
      <c r="F21" s="6">
        <f>IFERROR(__xludf.DUMMYFUNCTION("""COMPUTED_VALUE"""),418954.0)</f>
        <v>418954</v>
      </c>
    </row>
    <row r="22">
      <c r="A22" s="7">
        <f>IFERROR(__xludf.DUMMYFUNCTION("""COMPUTED_VALUE"""),45316.64583333333)</f>
        <v>45316.64583</v>
      </c>
      <c r="B22" s="6">
        <f>IFERROR(__xludf.DUMMYFUNCTION("""COMPUTED_VALUE"""),8300.0)</f>
        <v>8300</v>
      </c>
      <c r="C22" s="6">
        <f>IFERROR(__xludf.DUMMYFUNCTION("""COMPUTED_VALUE"""),8358.0)</f>
        <v>8358</v>
      </c>
      <c r="D22" s="6">
        <f>IFERROR(__xludf.DUMMYFUNCTION("""COMPUTED_VALUE"""),7640.0)</f>
        <v>7640</v>
      </c>
      <c r="E22" s="6">
        <f>IFERROR(__xludf.DUMMYFUNCTION("""COMPUTED_VALUE"""),7667.15)</f>
        <v>7667.15</v>
      </c>
      <c r="F22" s="6">
        <f>IFERROR(__xludf.DUMMYFUNCTION("""COMPUTED_VALUE"""),701946.0)</f>
        <v>701946</v>
      </c>
    </row>
    <row r="23">
      <c r="A23" s="7">
        <f>IFERROR(__xludf.DUMMYFUNCTION("""COMPUTED_VALUE"""),45324.64583333333)</f>
        <v>45324.64583</v>
      </c>
      <c r="B23" s="6">
        <f>IFERROR(__xludf.DUMMYFUNCTION("""COMPUTED_VALUE"""),7677.0)</f>
        <v>7677</v>
      </c>
      <c r="C23" s="6">
        <f>IFERROR(__xludf.DUMMYFUNCTION("""COMPUTED_VALUE"""),7770.85)</f>
        <v>7770.85</v>
      </c>
      <c r="D23" s="6">
        <f>IFERROR(__xludf.DUMMYFUNCTION("""COMPUTED_VALUE"""),7564.2)</f>
        <v>7564.2</v>
      </c>
      <c r="E23" s="6">
        <f>IFERROR(__xludf.DUMMYFUNCTION("""COMPUTED_VALUE"""),7641.0)</f>
        <v>7641</v>
      </c>
      <c r="F23" s="6">
        <f>IFERROR(__xludf.DUMMYFUNCTION("""COMPUTED_VALUE"""),561833.0)</f>
        <v>561833</v>
      </c>
    </row>
    <row r="24">
      <c r="A24" s="7">
        <f>IFERROR(__xludf.DUMMYFUNCTION("""COMPUTED_VALUE"""),45331.64583333333)</f>
        <v>45331.64583</v>
      </c>
      <c r="B24" s="6">
        <f>IFERROR(__xludf.DUMMYFUNCTION("""COMPUTED_VALUE"""),7641.05)</f>
        <v>7641.05</v>
      </c>
      <c r="C24" s="6">
        <f>IFERROR(__xludf.DUMMYFUNCTION("""COMPUTED_VALUE"""),7850.15)</f>
        <v>7850.15</v>
      </c>
      <c r="D24" s="6">
        <f>IFERROR(__xludf.DUMMYFUNCTION("""COMPUTED_VALUE"""),7521.0)</f>
        <v>7521</v>
      </c>
      <c r="E24" s="6">
        <f>IFERROR(__xludf.DUMMYFUNCTION("""COMPUTED_VALUE"""),7629.35)</f>
        <v>7629.35</v>
      </c>
      <c r="F24" s="6">
        <f>IFERROR(__xludf.DUMMYFUNCTION("""COMPUTED_VALUE"""),495194.0)</f>
        <v>495194</v>
      </c>
    </row>
    <row r="25">
      <c r="A25" s="7">
        <f>IFERROR(__xludf.DUMMYFUNCTION("""COMPUTED_VALUE"""),45338.64583333333)</f>
        <v>45338.64583</v>
      </c>
      <c r="B25" s="6">
        <f>IFERROR(__xludf.DUMMYFUNCTION("""COMPUTED_VALUE"""),7720.95)</f>
        <v>7720.95</v>
      </c>
      <c r="C25" s="6">
        <f>IFERROR(__xludf.DUMMYFUNCTION("""COMPUTED_VALUE"""),7740.0)</f>
        <v>7740</v>
      </c>
      <c r="D25" s="6">
        <f>IFERROR(__xludf.DUMMYFUNCTION("""COMPUTED_VALUE"""),7350.0)</f>
        <v>7350</v>
      </c>
      <c r="E25" s="6">
        <f>IFERROR(__xludf.DUMMYFUNCTION("""COMPUTED_VALUE"""),7513.45)</f>
        <v>7513.45</v>
      </c>
      <c r="F25" s="6">
        <f>IFERROR(__xludf.DUMMYFUNCTION("""COMPUTED_VALUE"""),418365.0)</f>
        <v>418365</v>
      </c>
    </row>
    <row r="26">
      <c r="A26" s="7">
        <f>IFERROR(__xludf.DUMMYFUNCTION("""COMPUTED_VALUE"""),45345.64583333333)</f>
        <v>45345.64583</v>
      </c>
      <c r="B26" s="6">
        <f>IFERROR(__xludf.DUMMYFUNCTION("""COMPUTED_VALUE"""),7560.0)</f>
        <v>7560</v>
      </c>
      <c r="C26" s="6">
        <f>IFERROR(__xludf.DUMMYFUNCTION("""COMPUTED_VALUE"""),7995.0)</f>
        <v>7995</v>
      </c>
      <c r="D26" s="6">
        <f>IFERROR(__xludf.DUMMYFUNCTION("""COMPUTED_VALUE"""),7550.15)</f>
        <v>7550.15</v>
      </c>
      <c r="E26" s="6">
        <f>IFERROR(__xludf.DUMMYFUNCTION("""COMPUTED_VALUE"""),7812.3)</f>
        <v>7812.3</v>
      </c>
      <c r="F26" s="6">
        <f>IFERROR(__xludf.DUMMYFUNCTION("""COMPUTED_VALUE"""),701552.0)</f>
        <v>701552</v>
      </c>
    </row>
    <row r="27">
      <c r="A27" s="7">
        <f>IFERROR(__xludf.DUMMYFUNCTION("""COMPUTED_VALUE"""),45358.64583333333)</f>
        <v>45358.64583</v>
      </c>
      <c r="B27" s="6">
        <f>IFERROR(__xludf.DUMMYFUNCTION("""COMPUTED_VALUE"""),7819.0)</f>
        <v>7819</v>
      </c>
      <c r="C27" s="6">
        <f>IFERROR(__xludf.DUMMYFUNCTION("""COMPUTED_VALUE"""),7914.6)</f>
        <v>7914.6</v>
      </c>
      <c r="D27" s="6">
        <f>IFERROR(__xludf.DUMMYFUNCTION("""COMPUTED_VALUE"""),7540.1)</f>
        <v>7540.1</v>
      </c>
      <c r="E27" s="6">
        <f>IFERROR(__xludf.DUMMYFUNCTION("""COMPUTED_VALUE"""),7686.75)</f>
        <v>7686.75</v>
      </c>
      <c r="F27" s="6">
        <f>IFERROR(__xludf.DUMMYFUNCTION("""COMPUTED_VALUE"""),617715.0)</f>
        <v>617715</v>
      </c>
    </row>
    <row r="28">
      <c r="A28" s="7">
        <f>IFERROR(__xludf.DUMMYFUNCTION("""COMPUTED_VALUE"""),45366.64583333333)</f>
        <v>45366.64583</v>
      </c>
      <c r="B28" s="6">
        <f>IFERROR(__xludf.DUMMYFUNCTION("""COMPUTED_VALUE"""),7724.9)</f>
        <v>7724.9</v>
      </c>
      <c r="C28" s="6">
        <f>IFERROR(__xludf.DUMMYFUNCTION("""COMPUTED_VALUE"""),7838.8)</f>
        <v>7838.8</v>
      </c>
      <c r="D28" s="6">
        <f>IFERROR(__xludf.DUMMYFUNCTION("""COMPUTED_VALUE"""),7335.0)</f>
        <v>7335</v>
      </c>
      <c r="E28" s="6">
        <f>IFERROR(__xludf.DUMMYFUNCTION("""COMPUTED_VALUE"""),7707.0)</f>
        <v>7707</v>
      </c>
      <c r="F28" s="6">
        <f>IFERROR(__xludf.DUMMYFUNCTION("""COMPUTED_VALUE"""),860320.0)</f>
        <v>860320</v>
      </c>
    </row>
    <row r="29">
      <c r="A29" s="7">
        <f>IFERROR(__xludf.DUMMYFUNCTION("""COMPUTED_VALUE"""),45373.64583333333)</f>
        <v>45373.64583</v>
      </c>
      <c r="B29" s="6">
        <f>IFERROR(__xludf.DUMMYFUNCTION("""COMPUTED_VALUE"""),7725.0)</f>
        <v>7725</v>
      </c>
      <c r="C29" s="6">
        <f>IFERROR(__xludf.DUMMYFUNCTION("""COMPUTED_VALUE"""),7790.0)</f>
        <v>7790</v>
      </c>
      <c r="D29" s="6">
        <f>IFERROR(__xludf.DUMMYFUNCTION("""COMPUTED_VALUE"""),7525.0)</f>
        <v>7525</v>
      </c>
      <c r="E29" s="6">
        <f>IFERROR(__xludf.DUMMYFUNCTION("""COMPUTED_VALUE"""),7665.0)</f>
        <v>7665</v>
      </c>
      <c r="F29" s="6">
        <f>IFERROR(__xludf.DUMMYFUNCTION("""COMPUTED_VALUE"""),368943.0)</f>
        <v>368943</v>
      </c>
    </row>
    <row r="30">
      <c r="A30" s="7">
        <f>IFERROR(__xludf.DUMMYFUNCTION("""COMPUTED_VALUE"""),45379.64583333333)</f>
        <v>45379.64583</v>
      </c>
      <c r="B30" s="6">
        <f>IFERROR(__xludf.DUMMYFUNCTION("""COMPUTED_VALUE"""),7500.05)</f>
        <v>7500.05</v>
      </c>
      <c r="C30" s="6">
        <f>IFERROR(__xludf.DUMMYFUNCTION("""COMPUTED_VALUE"""),7870.0)</f>
        <v>7870</v>
      </c>
      <c r="D30" s="6">
        <f>IFERROR(__xludf.DUMMYFUNCTION("""COMPUTED_VALUE"""),7500.05)</f>
        <v>7500.05</v>
      </c>
      <c r="E30" s="6">
        <f>IFERROR(__xludf.DUMMYFUNCTION("""COMPUTED_VALUE"""),7785.15)</f>
        <v>7785.15</v>
      </c>
      <c r="F30" s="6">
        <f>IFERROR(__xludf.DUMMYFUNCTION("""COMPUTED_VALUE"""),547473.0)</f>
        <v>547473</v>
      </c>
    </row>
    <row r="31">
      <c r="A31" s="7">
        <f>IFERROR(__xludf.DUMMYFUNCTION("""COMPUTED_VALUE"""),45387.64583333333)</f>
        <v>45387.64583</v>
      </c>
      <c r="B31" s="6">
        <f>IFERROR(__xludf.DUMMYFUNCTION("""COMPUTED_VALUE"""),7845.0)</f>
        <v>7845</v>
      </c>
      <c r="C31" s="6">
        <f>IFERROR(__xludf.DUMMYFUNCTION("""COMPUTED_VALUE"""),8195.0)</f>
        <v>8195</v>
      </c>
      <c r="D31" s="6">
        <f>IFERROR(__xludf.DUMMYFUNCTION("""COMPUTED_VALUE"""),7645.0)</f>
        <v>7645</v>
      </c>
      <c r="E31" s="6">
        <f>IFERROR(__xludf.DUMMYFUNCTION("""COMPUTED_VALUE"""),8041.55)</f>
        <v>8041.55</v>
      </c>
      <c r="F31" s="6">
        <f>IFERROR(__xludf.DUMMYFUNCTION("""COMPUTED_VALUE"""),1143188.0)</f>
        <v>1143188</v>
      </c>
    </row>
    <row r="32">
      <c r="A32" s="7">
        <f>IFERROR(__xludf.DUMMYFUNCTION("""COMPUTED_VALUE"""),45394.64583333333)</f>
        <v>45394.64583</v>
      </c>
      <c r="B32" s="6">
        <f>IFERROR(__xludf.DUMMYFUNCTION("""COMPUTED_VALUE"""),8120.05)</f>
        <v>8120.05</v>
      </c>
      <c r="C32" s="6">
        <f>IFERROR(__xludf.DUMMYFUNCTION("""COMPUTED_VALUE"""),8133.85)</f>
        <v>8133.85</v>
      </c>
      <c r="D32" s="6">
        <f>IFERROR(__xludf.DUMMYFUNCTION("""COMPUTED_VALUE"""),7733.0)</f>
        <v>7733</v>
      </c>
      <c r="E32" s="6">
        <f>IFERROR(__xludf.DUMMYFUNCTION("""COMPUTED_VALUE"""),7753.75)</f>
        <v>7753.75</v>
      </c>
      <c r="F32" s="6">
        <f>IFERROR(__xludf.DUMMYFUNCTION("""COMPUTED_VALUE"""),421426.0)</f>
        <v>421426</v>
      </c>
    </row>
    <row r="33">
      <c r="A33" s="7">
        <f>IFERROR(__xludf.DUMMYFUNCTION("""COMPUTED_VALUE"""),45401.64583333333)</f>
        <v>45401.64583</v>
      </c>
      <c r="B33" s="6">
        <f>IFERROR(__xludf.DUMMYFUNCTION("""COMPUTED_VALUE"""),7669.95)</f>
        <v>7669.95</v>
      </c>
      <c r="C33" s="6">
        <f>IFERROR(__xludf.DUMMYFUNCTION("""COMPUTED_VALUE"""),7710.0)</f>
        <v>7710</v>
      </c>
      <c r="D33" s="6">
        <f>IFERROR(__xludf.DUMMYFUNCTION("""COMPUTED_VALUE"""),7368.0)</f>
        <v>7368</v>
      </c>
      <c r="E33" s="6">
        <f>IFERROR(__xludf.DUMMYFUNCTION("""COMPUTED_VALUE"""),7451.0)</f>
        <v>7451</v>
      </c>
      <c r="F33" s="6">
        <f>IFERROR(__xludf.DUMMYFUNCTION("""COMPUTED_VALUE"""),501597.0)</f>
        <v>501597</v>
      </c>
    </row>
    <row r="34">
      <c r="A34" s="7">
        <f>IFERROR(__xludf.DUMMYFUNCTION("""COMPUTED_VALUE"""),45408.64583333333)</f>
        <v>45408.64583</v>
      </c>
      <c r="B34" s="6">
        <f>IFERROR(__xludf.DUMMYFUNCTION("""COMPUTED_VALUE"""),7487.0)</f>
        <v>7487</v>
      </c>
      <c r="C34" s="6">
        <f>IFERROR(__xludf.DUMMYFUNCTION("""COMPUTED_VALUE"""),7575.75)</f>
        <v>7575.75</v>
      </c>
      <c r="D34" s="6">
        <f>IFERROR(__xludf.DUMMYFUNCTION("""COMPUTED_VALUE"""),7000.0)</f>
        <v>7000</v>
      </c>
      <c r="E34" s="6">
        <f>IFERROR(__xludf.DUMMYFUNCTION("""COMPUTED_VALUE"""),7103.7)</f>
        <v>7103.7</v>
      </c>
      <c r="F34" s="6">
        <f>IFERROR(__xludf.DUMMYFUNCTION("""COMPUTED_VALUE"""),1325669.0)</f>
        <v>1325669</v>
      </c>
    </row>
    <row r="35">
      <c r="A35" s="7">
        <f>IFERROR(__xludf.DUMMYFUNCTION("""COMPUTED_VALUE"""),45415.64583333333)</f>
        <v>45415.64583</v>
      </c>
      <c r="B35" s="6">
        <f>IFERROR(__xludf.DUMMYFUNCTION("""COMPUTED_VALUE"""),7174.0)</f>
        <v>7174</v>
      </c>
      <c r="C35" s="6">
        <f>IFERROR(__xludf.DUMMYFUNCTION("""COMPUTED_VALUE"""),7198.0)</f>
        <v>7198</v>
      </c>
      <c r="D35" s="6">
        <f>IFERROR(__xludf.DUMMYFUNCTION("""COMPUTED_VALUE"""),7025.0)</f>
        <v>7025</v>
      </c>
      <c r="E35" s="6">
        <f>IFERROR(__xludf.DUMMYFUNCTION("""COMPUTED_VALUE"""),7111.75)</f>
        <v>7111.75</v>
      </c>
      <c r="F35" s="6">
        <f>IFERROR(__xludf.DUMMYFUNCTION("""COMPUTED_VALUE"""),427922.0)</f>
        <v>427922</v>
      </c>
    </row>
    <row r="36">
      <c r="A36" s="7">
        <f>IFERROR(__xludf.DUMMYFUNCTION("""COMPUTED_VALUE"""),45422.64583333333)</f>
        <v>45422.64583</v>
      </c>
      <c r="B36" s="6">
        <f>IFERROR(__xludf.DUMMYFUNCTION("""COMPUTED_VALUE"""),7148.0)</f>
        <v>7148</v>
      </c>
      <c r="C36" s="6">
        <f>IFERROR(__xludf.DUMMYFUNCTION("""COMPUTED_VALUE"""),7188.0)</f>
        <v>7188</v>
      </c>
      <c r="D36" s="6">
        <f>IFERROR(__xludf.DUMMYFUNCTION("""COMPUTED_VALUE"""),7010.75)</f>
        <v>7010.75</v>
      </c>
      <c r="E36" s="6">
        <f>IFERROR(__xludf.DUMMYFUNCTION("""COMPUTED_VALUE"""),7127.4)</f>
        <v>7127.4</v>
      </c>
      <c r="F36" s="6">
        <f>IFERROR(__xludf.DUMMYFUNCTION("""COMPUTED_VALUE"""),371378.0)</f>
        <v>371378</v>
      </c>
    </row>
    <row r="37">
      <c r="A37" s="7">
        <f>IFERROR(__xludf.DUMMYFUNCTION("""COMPUTED_VALUE"""),45436.64583333333)</f>
        <v>45436.64583</v>
      </c>
      <c r="B37" s="6">
        <f>IFERROR(__xludf.DUMMYFUNCTION("""COMPUTED_VALUE"""),7350.0)</f>
        <v>7350</v>
      </c>
      <c r="C37" s="6">
        <f>IFERROR(__xludf.DUMMYFUNCTION("""COMPUTED_VALUE"""),7559.0)</f>
        <v>7559</v>
      </c>
      <c r="D37" s="6">
        <f>IFERROR(__xludf.DUMMYFUNCTION("""COMPUTED_VALUE"""),7171.5)</f>
        <v>7171.5</v>
      </c>
      <c r="E37" s="6">
        <f>IFERROR(__xludf.DUMMYFUNCTION("""COMPUTED_VALUE"""),7374.95)</f>
        <v>7374.95</v>
      </c>
      <c r="F37" s="6">
        <f>IFERROR(__xludf.DUMMYFUNCTION("""COMPUTED_VALUE"""),542234.0)</f>
        <v>542234</v>
      </c>
    </row>
    <row r="38">
      <c r="A38" s="7">
        <f>IFERROR(__xludf.DUMMYFUNCTION("""COMPUTED_VALUE"""),45443.64583333333)</f>
        <v>45443.64583</v>
      </c>
      <c r="B38" s="6">
        <f>IFERROR(__xludf.DUMMYFUNCTION("""COMPUTED_VALUE"""),7374.95)</f>
        <v>7374.95</v>
      </c>
      <c r="C38" s="6">
        <f>IFERROR(__xludf.DUMMYFUNCTION("""COMPUTED_VALUE"""),7459.9)</f>
        <v>7459.9</v>
      </c>
      <c r="D38" s="6">
        <f>IFERROR(__xludf.DUMMYFUNCTION("""COMPUTED_VALUE"""),6903.0)</f>
        <v>6903</v>
      </c>
      <c r="E38" s="6">
        <f>IFERROR(__xludf.DUMMYFUNCTION("""COMPUTED_VALUE"""),6944.35)</f>
        <v>6944.35</v>
      </c>
      <c r="F38" s="6">
        <f>IFERROR(__xludf.DUMMYFUNCTION("""COMPUTED_VALUE"""),912464.0)</f>
        <v>912464</v>
      </c>
    </row>
    <row r="39">
      <c r="A39" s="7">
        <f>IFERROR(__xludf.DUMMYFUNCTION("""COMPUTED_VALUE"""),45450.64583333333)</f>
        <v>45450.64583</v>
      </c>
      <c r="B39" s="6">
        <f>IFERROR(__xludf.DUMMYFUNCTION("""COMPUTED_VALUE"""),7148.0)</f>
        <v>7148</v>
      </c>
      <c r="C39" s="6">
        <f>IFERROR(__xludf.DUMMYFUNCTION("""COMPUTED_VALUE"""),7165.0)</f>
        <v>7165</v>
      </c>
      <c r="D39" s="6">
        <f>IFERROR(__xludf.DUMMYFUNCTION("""COMPUTED_VALUE"""),6411.2)</f>
        <v>6411.2</v>
      </c>
      <c r="E39" s="6">
        <f>IFERROR(__xludf.DUMMYFUNCTION("""COMPUTED_VALUE"""),7120.0)</f>
        <v>7120</v>
      </c>
      <c r="F39" s="6">
        <f>IFERROR(__xludf.DUMMYFUNCTION("""COMPUTED_VALUE"""),974542.0)</f>
        <v>974542</v>
      </c>
    </row>
    <row r="40">
      <c r="A40" s="7">
        <f>IFERROR(__xludf.DUMMYFUNCTION("""COMPUTED_VALUE"""),45457.64583333333)</f>
        <v>45457.64583</v>
      </c>
      <c r="B40" s="6">
        <f>IFERROR(__xludf.DUMMYFUNCTION("""COMPUTED_VALUE"""),7189.0)</f>
        <v>7189</v>
      </c>
      <c r="C40" s="6">
        <f>IFERROR(__xludf.DUMMYFUNCTION("""COMPUTED_VALUE"""),7375.0)</f>
        <v>7375</v>
      </c>
      <c r="D40" s="6">
        <f>IFERROR(__xludf.DUMMYFUNCTION("""COMPUTED_VALUE"""),7080.0)</f>
        <v>7080</v>
      </c>
      <c r="E40" s="6">
        <f>IFERROR(__xludf.DUMMYFUNCTION("""COMPUTED_VALUE"""),7268.0)</f>
        <v>7268</v>
      </c>
      <c r="F40" s="6">
        <f>IFERROR(__xludf.DUMMYFUNCTION("""COMPUTED_VALUE"""),552211.0)</f>
        <v>552211</v>
      </c>
    </row>
    <row r="41">
      <c r="A41" s="7">
        <f>IFERROR(__xludf.DUMMYFUNCTION("""COMPUTED_VALUE"""),45464.64583333333)</f>
        <v>45464.64583</v>
      </c>
      <c r="B41" s="6">
        <f>IFERROR(__xludf.DUMMYFUNCTION("""COMPUTED_VALUE"""),7327.25)</f>
        <v>7327.25</v>
      </c>
      <c r="C41" s="6">
        <f>IFERROR(__xludf.DUMMYFUNCTION("""COMPUTED_VALUE"""),7362.5)</f>
        <v>7362.5</v>
      </c>
      <c r="D41" s="6">
        <f>IFERROR(__xludf.DUMMYFUNCTION("""COMPUTED_VALUE"""),7077.1)</f>
        <v>7077.1</v>
      </c>
      <c r="E41" s="6">
        <f>IFERROR(__xludf.DUMMYFUNCTION("""COMPUTED_VALUE"""),7120.6)</f>
        <v>7120.6</v>
      </c>
      <c r="F41" s="6">
        <f>IFERROR(__xludf.DUMMYFUNCTION("""COMPUTED_VALUE"""),394692.0)</f>
        <v>394692</v>
      </c>
    </row>
    <row r="42">
      <c r="A42" s="7">
        <f>IFERROR(__xludf.DUMMYFUNCTION("""COMPUTED_VALUE"""),45471.64583333333)</f>
        <v>45471.64583</v>
      </c>
      <c r="B42" s="6">
        <f>IFERROR(__xludf.DUMMYFUNCTION("""COMPUTED_VALUE"""),7161.9)</f>
        <v>7161.9</v>
      </c>
      <c r="C42" s="6">
        <f>IFERROR(__xludf.DUMMYFUNCTION("""COMPUTED_VALUE"""),7349.8)</f>
        <v>7349.8</v>
      </c>
      <c r="D42" s="6">
        <f>IFERROR(__xludf.DUMMYFUNCTION("""COMPUTED_VALUE"""),6966.0)</f>
        <v>6966</v>
      </c>
      <c r="E42" s="6">
        <f>IFERROR(__xludf.DUMMYFUNCTION("""COMPUTED_VALUE"""),7001.4)</f>
        <v>7001.4</v>
      </c>
      <c r="F42" s="6">
        <f>IFERROR(__xludf.DUMMYFUNCTION("""COMPUTED_VALUE"""),713580.0)</f>
        <v>713580</v>
      </c>
    </row>
    <row r="43">
      <c r="A43" s="7">
        <f>IFERROR(__xludf.DUMMYFUNCTION("""COMPUTED_VALUE"""),45478.64583333333)</f>
        <v>45478.64583</v>
      </c>
      <c r="B43" s="6">
        <f>IFERROR(__xludf.DUMMYFUNCTION("""COMPUTED_VALUE"""),7001.4)</f>
        <v>7001.4</v>
      </c>
      <c r="C43" s="6">
        <f>IFERROR(__xludf.DUMMYFUNCTION("""COMPUTED_VALUE"""),7127.75)</f>
        <v>7127.75</v>
      </c>
      <c r="D43" s="6">
        <f>IFERROR(__xludf.DUMMYFUNCTION("""COMPUTED_VALUE"""),6980.0)</f>
        <v>6980</v>
      </c>
      <c r="E43" s="6">
        <f>IFERROR(__xludf.DUMMYFUNCTION("""COMPUTED_VALUE"""),7054.45)</f>
        <v>7054.45</v>
      </c>
      <c r="F43" s="6">
        <f>IFERROR(__xludf.DUMMYFUNCTION("""COMPUTED_VALUE"""),405405.0)</f>
        <v>405405</v>
      </c>
    </row>
    <row r="44">
      <c r="A44" s="7">
        <f>IFERROR(__xludf.DUMMYFUNCTION("""COMPUTED_VALUE"""),45485.64583333333)</f>
        <v>45485.64583</v>
      </c>
      <c r="B44" s="6">
        <f>IFERROR(__xludf.DUMMYFUNCTION("""COMPUTED_VALUE"""),7061.0)</f>
        <v>7061</v>
      </c>
      <c r="C44" s="6">
        <f>IFERROR(__xludf.DUMMYFUNCTION("""COMPUTED_VALUE"""),7175.0)</f>
        <v>7175</v>
      </c>
      <c r="D44" s="6">
        <f>IFERROR(__xludf.DUMMYFUNCTION("""COMPUTED_VALUE"""),6931.35)</f>
        <v>6931.35</v>
      </c>
      <c r="E44" s="6">
        <f>IFERROR(__xludf.DUMMYFUNCTION("""COMPUTED_VALUE"""),7065.55)</f>
        <v>7065.55</v>
      </c>
      <c r="F44" s="6">
        <f>IFERROR(__xludf.DUMMYFUNCTION("""COMPUTED_VALUE"""),1073776.0)</f>
        <v>1073776</v>
      </c>
    </row>
    <row r="45">
      <c r="A45" s="7">
        <f>IFERROR(__xludf.DUMMYFUNCTION("""COMPUTED_VALUE"""),45492.64583333333)</f>
        <v>45492.64583</v>
      </c>
      <c r="B45" s="6">
        <f>IFERROR(__xludf.DUMMYFUNCTION("""COMPUTED_VALUE"""),7079.0)</f>
        <v>7079</v>
      </c>
      <c r="C45" s="6">
        <f>IFERROR(__xludf.DUMMYFUNCTION("""COMPUTED_VALUE"""),7103.8)</f>
        <v>7103.8</v>
      </c>
      <c r="D45" s="6">
        <f>IFERROR(__xludf.DUMMYFUNCTION("""COMPUTED_VALUE"""),6942.0)</f>
        <v>6942</v>
      </c>
      <c r="E45" s="6">
        <f>IFERROR(__xludf.DUMMYFUNCTION("""COMPUTED_VALUE"""),6980.55)</f>
        <v>6980.55</v>
      </c>
      <c r="F45" s="6">
        <f>IFERROR(__xludf.DUMMYFUNCTION("""COMPUTED_VALUE"""),362126.0)</f>
        <v>362126</v>
      </c>
    </row>
    <row r="46">
      <c r="A46" s="7">
        <f>IFERROR(__xludf.DUMMYFUNCTION("""COMPUTED_VALUE"""),45499.64583333333)</f>
        <v>45499.64583</v>
      </c>
      <c r="B46" s="6">
        <f>IFERROR(__xludf.DUMMYFUNCTION("""COMPUTED_VALUE"""),6978.95)</f>
        <v>6978.95</v>
      </c>
      <c r="C46" s="6">
        <f>IFERROR(__xludf.DUMMYFUNCTION("""COMPUTED_VALUE"""),7069.15)</f>
        <v>7069.15</v>
      </c>
      <c r="D46" s="6">
        <f>IFERROR(__xludf.DUMMYFUNCTION("""COMPUTED_VALUE"""),6852.0)</f>
        <v>6852</v>
      </c>
      <c r="E46" s="6">
        <f>IFERROR(__xludf.DUMMYFUNCTION("""COMPUTED_VALUE"""),6961.6)</f>
        <v>6961.6</v>
      </c>
      <c r="F46" s="6">
        <f>IFERROR(__xludf.DUMMYFUNCTION("""COMPUTED_VALUE"""),453784.0)</f>
        <v>453784</v>
      </c>
    </row>
    <row r="47">
      <c r="A47" s="7">
        <f>IFERROR(__xludf.DUMMYFUNCTION("""COMPUTED_VALUE"""),45506.64583333333)</f>
        <v>45506.64583</v>
      </c>
      <c r="B47" s="6">
        <f>IFERROR(__xludf.DUMMYFUNCTION("""COMPUTED_VALUE"""),6975.0)</f>
        <v>6975</v>
      </c>
      <c r="C47" s="6">
        <f>IFERROR(__xludf.DUMMYFUNCTION("""COMPUTED_VALUE"""),7011.85)</f>
        <v>7011.85</v>
      </c>
      <c r="D47" s="6">
        <f>IFERROR(__xludf.DUMMYFUNCTION("""COMPUTED_VALUE"""),6890.05)</f>
        <v>6890.05</v>
      </c>
      <c r="E47" s="6">
        <f>IFERROR(__xludf.DUMMYFUNCTION("""COMPUTED_VALUE"""),6911.05)</f>
        <v>6911.05</v>
      </c>
      <c r="F47" s="6">
        <f>IFERROR(__xludf.DUMMYFUNCTION("""COMPUTED_VALUE"""),304300.0)</f>
        <v>304300</v>
      </c>
    </row>
    <row r="48">
      <c r="A48" s="7">
        <f>IFERROR(__xludf.DUMMYFUNCTION("""COMPUTED_VALUE"""),45513.64583333333)</f>
        <v>45513.64583</v>
      </c>
      <c r="B48" s="6">
        <f>IFERROR(__xludf.DUMMYFUNCTION("""COMPUTED_VALUE"""),6831.2)</f>
        <v>6831.2</v>
      </c>
      <c r="C48" s="6">
        <f>IFERROR(__xludf.DUMMYFUNCTION("""COMPUTED_VALUE"""),6899.9)</f>
        <v>6899.9</v>
      </c>
      <c r="D48" s="6">
        <f>IFERROR(__xludf.DUMMYFUNCTION("""COMPUTED_VALUE"""),6666.0)</f>
        <v>6666</v>
      </c>
      <c r="E48" s="6">
        <f>IFERROR(__xludf.DUMMYFUNCTION("""COMPUTED_VALUE"""),6875.75)</f>
        <v>6875.75</v>
      </c>
      <c r="F48" s="6">
        <f>IFERROR(__xludf.DUMMYFUNCTION("""COMPUTED_VALUE"""),358940.0)</f>
        <v>358940</v>
      </c>
    </row>
    <row r="49">
      <c r="A49" s="7">
        <f>IFERROR(__xludf.DUMMYFUNCTION("""COMPUTED_VALUE"""),45520.64583333333)</f>
        <v>45520.64583</v>
      </c>
      <c r="B49" s="6">
        <f>IFERROR(__xludf.DUMMYFUNCTION("""COMPUTED_VALUE"""),6875.75)</f>
        <v>6875.75</v>
      </c>
      <c r="C49" s="6">
        <f>IFERROR(__xludf.DUMMYFUNCTION("""COMPUTED_VALUE"""),6888.0)</f>
        <v>6888</v>
      </c>
      <c r="D49" s="6">
        <f>IFERROR(__xludf.DUMMYFUNCTION("""COMPUTED_VALUE"""),6724.65)</f>
        <v>6724.65</v>
      </c>
      <c r="E49" s="6">
        <f>IFERROR(__xludf.DUMMYFUNCTION("""COMPUTED_VALUE"""),6799.65)</f>
        <v>6799.65</v>
      </c>
      <c r="F49" s="6">
        <f>IFERROR(__xludf.DUMMYFUNCTION("""COMPUTED_VALUE"""),234065.0)</f>
        <v>234065</v>
      </c>
    </row>
    <row r="50">
      <c r="A50" s="7">
        <f>IFERROR(__xludf.DUMMYFUNCTION("""COMPUTED_VALUE"""),45527.64583333333)</f>
        <v>45527.64583</v>
      </c>
      <c r="B50" s="6">
        <f>IFERROR(__xludf.DUMMYFUNCTION("""COMPUTED_VALUE"""),6799.65)</f>
        <v>6799.65</v>
      </c>
      <c r="C50" s="6">
        <f>IFERROR(__xludf.DUMMYFUNCTION("""COMPUTED_VALUE"""),7139.0)</f>
        <v>7139</v>
      </c>
      <c r="D50" s="6">
        <f>IFERROR(__xludf.DUMMYFUNCTION("""COMPUTED_VALUE"""),6780.0)</f>
        <v>6780</v>
      </c>
      <c r="E50" s="6">
        <f>IFERROR(__xludf.DUMMYFUNCTION("""COMPUTED_VALUE"""),7088.15)</f>
        <v>7088.15</v>
      </c>
      <c r="F50" s="6">
        <f>IFERROR(__xludf.DUMMYFUNCTION("""COMPUTED_VALUE"""),546618.0)</f>
        <v>546618</v>
      </c>
    </row>
    <row r="51">
      <c r="A51" s="7">
        <f>IFERROR(__xludf.DUMMYFUNCTION("""COMPUTED_VALUE"""),45534.64583333333)</f>
        <v>45534.64583</v>
      </c>
      <c r="B51" s="6">
        <f>IFERROR(__xludf.DUMMYFUNCTION("""COMPUTED_VALUE"""),7149.0)</f>
        <v>7149</v>
      </c>
      <c r="C51" s="6">
        <f>IFERROR(__xludf.DUMMYFUNCTION("""COMPUTED_VALUE"""),9080.0)</f>
        <v>9080</v>
      </c>
      <c r="D51" s="6">
        <f>IFERROR(__xludf.DUMMYFUNCTION("""COMPUTED_VALUE"""),7103.0)</f>
        <v>7103</v>
      </c>
      <c r="E51" s="6">
        <f>IFERROR(__xludf.DUMMYFUNCTION("""COMPUTED_VALUE"""),8000.7)</f>
        <v>8000.7</v>
      </c>
      <c r="F51" s="6">
        <f>IFERROR(__xludf.DUMMYFUNCTION("""COMPUTED_VALUE"""),1.2098917E7)</f>
        <v>12098917</v>
      </c>
    </row>
    <row r="52">
      <c r="A52" s="7">
        <f>IFERROR(__xludf.DUMMYFUNCTION("""COMPUTED_VALUE"""),45541.64583333333)</f>
        <v>45541.64583</v>
      </c>
      <c r="B52" s="6">
        <f>IFERROR(__xludf.DUMMYFUNCTION("""COMPUTED_VALUE"""),8009.0)</f>
        <v>8009</v>
      </c>
      <c r="C52" s="6">
        <f>IFERROR(__xludf.DUMMYFUNCTION("""COMPUTED_VALUE"""),8050.0)</f>
        <v>8050</v>
      </c>
      <c r="D52" s="6">
        <f>IFERROR(__xludf.DUMMYFUNCTION("""COMPUTED_VALUE"""),7567.1)</f>
        <v>7567.1</v>
      </c>
      <c r="E52" s="6">
        <f>IFERROR(__xludf.DUMMYFUNCTION("""COMPUTED_VALUE"""),7589.45)</f>
        <v>7589.45</v>
      </c>
      <c r="F52" s="6">
        <f>IFERROR(__xludf.DUMMYFUNCTION("""COMPUTED_VALUE"""),1248625.0)</f>
        <v>1248625</v>
      </c>
    </row>
    <row r="53">
      <c r="A53" s="7">
        <f>IFERROR(__xludf.DUMMYFUNCTION("""COMPUTED_VALUE"""),45548.64583333333)</f>
        <v>45548.64583</v>
      </c>
      <c r="B53" s="6">
        <f>IFERROR(__xludf.DUMMYFUNCTION("""COMPUTED_VALUE"""),7590.0)</f>
        <v>7590</v>
      </c>
      <c r="C53" s="6">
        <f>IFERROR(__xludf.DUMMYFUNCTION("""COMPUTED_VALUE"""),8024.0)</f>
        <v>8024</v>
      </c>
      <c r="D53" s="6">
        <f>IFERROR(__xludf.DUMMYFUNCTION("""COMPUTED_VALUE"""),7490.0)</f>
        <v>7490</v>
      </c>
      <c r="E53" s="6">
        <f>IFERROR(__xludf.DUMMYFUNCTION("""COMPUTED_VALUE"""),7714.9)</f>
        <v>7714.9</v>
      </c>
      <c r="F53" s="6">
        <f>IFERROR(__xludf.DUMMYFUNCTION("""COMPUTED_VALUE"""),1490515.0)</f>
        <v>1490515</v>
      </c>
    </row>
    <row r="54">
      <c r="A54" s="7">
        <f>IFERROR(__xludf.DUMMYFUNCTION("""COMPUTED_VALUE"""),45555.64583333333)</f>
        <v>45555.64583</v>
      </c>
      <c r="B54" s="6">
        <f>IFERROR(__xludf.DUMMYFUNCTION("""COMPUTED_VALUE"""),7750.0)</f>
        <v>7750</v>
      </c>
      <c r="C54" s="6">
        <f>IFERROR(__xludf.DUMMYFUNCTION("""COMPUTED_VALUE"""),7939.0)</f>
        <v>7939</v>
      </c>
      <c r="D54" s="6">
        <f>IFERROR(__xludf.DUMMYFUNCTION("""COMPUTED_VALUE"""),7496.7)</f>
        <v>7496.7</v>
      </c>
      <c r="E54" s="6">
        <f>IFERROR(__xludf.DUMMYFUNCTION("""COMPUTED_VALUE"""),7859.4)</f>
        <v>7859.4</v>
      </c>
      <c r="F54" s="6">
        <f>IFERROR(__xludf.DUMMYFUNCTION("""COMPUTED_VALUE"""),818530.0)</f>
        <v>818530</v>
      </c>
    </row>
    <row r="55">
      <c r="A55" s="7">
        <f>IFERROR(__xludf.DUMMYFUNCTION("""COMPUTED_VALUE"""),45562.64583333333)</f>
        <v>45562.64583</v>
      </c>
      <c r="B55" s="6">
        <f>IFERROR(__xludf.DUMMYFUNCTION("""COMPUTED_VALUE"""),7885.05)</f>
        <v>7885.05</v>
      </c>
      <c r="C55" s="6">
        <f>IFERROR(__xludf.DUMMYFUNCTION("""COMPUTED_VALUE"""),8142.15)</f>
        <v>8142.15</v>
      </c>
      <c r="D55" s="6">
        <f>IFERROR(__xludf.DUMMYFUNCTION("""COMPUTED_VALUE"""),7600.0)</f>
        <v>7600</v>
      </c>
      <c r="E55" s="6">
        <f>IFERROR(__xludf.DUMMYFUNCTION("""COMPUTED_VALUE"""),7811.4)</f>
        <v>7811.4</v>
      </c>
      <c r="F55" s="6">
        <f>IFERROR(__xludf.DUMMYFUNCTION("""COMPUTED_VALUE"""),1107017.0)</f>
        <v>1107017</v>
      </c>
    </row>
    <row r="56">
      <c r="A56" s="7">
        <f>IFERROR(__xludf.DUMMYFUNCTION("""COMPUTED_VALUE"""),45569.64583333333)</f>
        <v>45569.64583</v>
      </c>
      <c r="B56" s="6">
        <f>IFERROR(__xludf.DUMMYFUNCTION("""COMPUTED_VALUE"""),7780.0)</f>
        <v>7780</v>
      </c>
      <c r="C56" s="6">
        <f>IFERROR(__xludf.DUMMYFUNCTION("""COMPUTED_VALUE"""),7807.95)</f>
        <v>7807.95</v>
      </c>
      <c r="D56" s="6">
        <f>IFERROR(__xludf.DUMMYFUNCTION("""COMPUTED_VALUE"""),7451.0)</f>
        <v>7451</v>
      </c>
      <c r="E56" s="6">
        <f>IFERROR(__xludf.DUMMYFUNCTION("""COMPUTED_VALUE"""),7576.1)</f>
        <v>7576.1</v>
      </c>
      <c r="F56" s="6">
        <f>IFERROR(__xludf.DUMMYFUNCTION("""COMPUTED_VALUE"""),476841.0)</f>
        <v>476841</v>
      </c>
    </row>
    <row r="57">
      <c r="A57" s="7">
        <f>IFERROR(__xludf.DUMMYFUNCTION("""COMPUTED_VALUE"""),45576.64583333333)</f>
        <v>45576.64583</v>
      </c>
      <c r="B57" s="6">
        <f>IFERROR(__xludf.DUMMYFUNCTION("""COMPUTED_VALUE"""),7580.0)</f>
        <v>7580</v>
      </c>
      <c r="C57" s="6">
        <f>IFERROR(__xludf.DUMMYFUNCTION("""COMPUTED_VALUE"""),8027.0)</f>
        <v>8027</v>
      </c>
      <c r="D57" s="6">
        <f>IFERROR(__xludf.DUMMYFUNCTION("""COMPUTED_VALUE"""),7352.0)</f>
        <v>7352</v>
      </c>
      <c r="E57" s="6">
        <f>IFERROR(__xludf.DUMMYFUNCTION("""COMPUTED_VALUE"""),7675.15)</f>
        <v>7675.15</v>
      </c>
      <c r="F57" s="6">
        <f>IFERROR(__xludf.DUMMYFUNCTION("""COMPUTED_VALUE"""),1624637.0)</f>
        <v>1624637</v>
      </c>
    </row>
    <row r="58">
      <c r="A58" s="7">
        <f>IFERROR(__xludf.DUMMYFUNCTION("""COMPUTED_VALUE"""),45583.64583333333)</f>
        <v>45583.64583</v>
      </c>
      <c r="B58" s="6">
        <f>IFERROR(__xludf.DUMMYFUNCTION("""COMPUTED_VALUE"""),7728.4)</f>
        <v>7728.4</v>
      </c>
      <c r="C58" s="6">
        <f>IFERROR(__xludf.DUMMYFUNCTION("""COMPUTED_VALUE"""),7749.0)</f>
        <v>7749</v>
      </c>
      <c r="D58" s="6">
        <f>IFERROR(__xludf.DUMMYFUNCTION("""COMPUTED_VALUE"""),7275.0)</f>
        <v>7275</v>
      </c>
      <c r="E58" s="6">
        <f>IFERROR(__xludf.DUMMYFUNCTION("""COMPUTED_VALUE"""),7328.7)</f>
        <v>7328.7</v>
      </c>
      <c r="F58" s="6">
        <f>IFERROR(__xludf.DUMMYFUNCTION("""COMPUTED_VALUE"""),674749.0)</f>
        <v>674749</v>
      </c>
    </row>
    <row r="59">
      <c r="A59" s="7">
        <f>IFERROR(__xludf.DUMMYFUNCTION("""COMPUTED_VALUE"""),45590.64583333333)</f>
        <v>45590.64583</v>
      </c>
      <c r="B59" s="6">
        <f>IFERROR(__xludf.DUMMYFUNCTION("""COMPUTED_VALUE"""),7365.0)</f>
        <v>7365</v>
      </c>
      <c r="C59" s="6">
        <f>IFERROR(__xludf.DUMMYFUNCTION("""COMPUTED_VALUE"""),7485.0)</f>
        <v>7485</v>
      </c>
      <c r="D59" s="6">
        <f>IFERROR(__xludf.DUMMYFUNCTION("""COMPUTED_VALUE"""),6870.6)</f>
        <v>6870.6</v>
      </c>
      <c r="E59" s="6">
        <f>IFERROR(__xludf.DUMMYFUNCTION("""COMPUTED_VALUE"""),6990.65)</f>
        <v>6990.65</v>
      </c>
      <c r="F59" s="6">
        <f>IFERROR(__xludf.DUMMYFUNCTION("""COMPUTED_VALUE"""),773240.0)</f>
        <v>773240</v>
      </c>
    </row>
    <row r="60">
      <c r="A60" s="7">
        <f>IFERROR(__xludf.DUMMYFUNCTION("""COMPUTED_VALUE"""),45604.64583333333)</f>
        <v>45604.64583</v>
      </c>
      <c r="B60" s="6">
        <f>IFERROR(__xludf.DUMMYFUNCTION("""COMPUTED_VALUE"""),7146.95)</f>
        <v>7146.95</v>
      </c>
      <c r="C60" s="6">
        <f>IFERROR(__xludf.DUMMYFUNCTION("""COMPUTED_VALUE"""),7390.0)</f>
        <v>7390</v>
      </c>
      <c r="D60" s="6">
        <f>IFERROR(__xludf.DUMMYFUNCTION("""COMPUTED_VALUE"""),6821.65)</f>
        <v>6821.65</v>
      </c>
      <c r="E60" s="6">
        <f>IFERROR(__xludf.DUMMYFUNCTION("""COMPUTED_VALUE"""),6940.8)</f>
        <v>6940.8</v>
      </c>
      <c r="F60" s="6">
        <f>IFERROR(__xludf.DUMMYFUNCTION("""COMPUTED_VALUE"""),464521.0)</f>
        <v>464521</v>
      </c>
    </row>
    <row r="61">
      <c r="A61" s="7">
        <f>IFERROR(__xludf.DUMMYFUNCTION("""COMPUTED_VALUE"""),45610.64583333333)</f>
        <v>45610.64583</v>
      </c>
      <c r="B61" s="6">
        <f>IFERROR(__xludf.DUMMYFUNCTION("""COMPUTED_VALUE"""),6940.8)</f>
        <v>6940.8</v>
      </c>
      <c r="C61" s="6">
        <f>IFERROR(__xludf.DUMMYFUNCTION("""COMPUTED_VALUE"""),7011.05)</f>
        <v>7011.05</v>
      </c>
      <c r="D61" s="6">
        <f>IFERROR(__xludf.DUMMYFUNCTION("""COMPUTED_VALUE"""),6338.2)</f>
        <v>6338.2</v>
      </c>
      <c r="E61" s="6">
        <f>IFERROR(__xludf.DUMMYFUNCTION("""COMPUTED_VALUE"""),6374.55)</f>
        <v>6374.55</v>
      </c>
      <c r="F61" s="6">
        <f>IFERROR(__xludf.DUMMYFUNCTION("""COMPUTED_VALUE"""),1454666.0)</f>
        <v>1454666</v>
      </c>
    </row>
    <row r="62">
      <c r="A62" s="7">
        <f>IFERROR(__xludf.DUMMYFUNCTION("""COMPUTED_VALUE"""),45618.64583333333)</f>
        <v>45618.64583</v>
      </c>
      <c r="B62" s="6">
        <f>IFERROR(__xludf.DUMMYFUNCTION("""COMPUTED_VALUE"""),6405.05)</f>
        <v>6405.05</v>
      </c>
      <c r="C62" s="6">
        <f>IFERROR(__xludf.DUMMYFUNCTION("""COMPUTED_VALUE"""),6620.0)</f>
        <v>6620</v>
      </c>
      <c r="D62" s="6">
        <f>IFERROR(__xludf.DUMMYFUNCTION("""COMPUTED_VALUE"""),6286.0)</f>
        <v>6286</v>
      </c>
      <c r="E62" s="6">
        <f>IFERROR(__xludf.DUMMYFUNCTION("""COMPUTED_VALUE"""),6586.45)</f>
        <v>6586.45</v>
      </c>
      <c r="F62" s="6">
        <f>IFERROR(__xludf.DUMMYFUNCTION("""COMPUTED_VALUE"""),589771.0)</f>
        <v>589771</v>
      </c>
    </row>
    <row r="63">
      <c r="A63" s="7">
        <f>IFERROR(__xludf.DUMMYFUNCTION("""COMPUTED_VALUE"""),45625.64583333333)</f>
        <v>45625.64583</v>
      </c>
      <c r="B63" s="6">
        <f>IFERROR(__xludf.DUMMYFUNCTION("""COMPUTED_VALUE"""),6690.0)</f>
        <v>6690</v>
      </c>
      <c r="C63" s="6">
        <f>IFERROR(__xludf.DUMMYFUNCTION("""COMPUTED_VALUE"""),6879.0)</f>
        <v>6879</v>
      </c>
      <c r="D63" s="6">
        <f>IFERROR(__xludf.DUMMYFUNCTION("""COMPUTED_VALUE"""),6610.15)</f>
        <v>6610.15</v>
      </c>
      <c r="E63" s="6">
        <f>IFERROR(__xludf.DUMMYFUNCTION("""COMPUTED_VALUE"""),6670.75)</f>
        <v>6670.75</v>
      </c>
      <c r="F63" s="6">
        <f>IFERROR(__xludf.DUMMYFUNCTION("""COMPUTED_VALUE"""),706862.0)</f>
        <v>706862</v>
      </c>
    </row>
    <row r="64">
      <c r="A64" s="7">
        <f>IFERROR(__xludf.DUMMYFUNCTION("""COMPUTED_VALUE"""),45632.64583333333)</f>
        <v>45632.64583</v>
      </c>
      <c r="B64" s="6">
        <f>IFERROR(__xludf.DUMMYFUNCTION("""COMPUTED_VALUE"""),6670.75)</f>
        <v>6670.75</v>
      </c>
      <c r="C64" s="6">
        <f>IFERROR(__xludf.DUMMYFUNCTION("""COMPUTED_VALUE"""),7474.0)</f>
        <v>7474</v>
      </c>
      <c r="D64" s="6">
        <f>IFERROR(__xludf.DUMMYFUNCTION("""COMPUTED_VALUE"""),6613.0)</f>
        <v>6613</v>
      </c>
      <c r="E64" s="6">
        <f>IFERROR(__xludf.DUMMYFUNCTION("""COMPUTED_VALUE"""),7396.45)</f>
        <v>7396.45</v>
      </c>
      <c r="F64" s="6">
        <f>IFERROR(__xludf.DUMMYFUNCTION("""COMPUTED_VALUE"""),2148940.0)</f>
        <v>2148940</v>
      </c>
    </row>
    <row r="65">
      <c r="A65" s="7">
        <f>IFERROR(__xludf.DUMMYFUNCTION("""COMPUTED_VALUE"""),45639.64583333333)</f>
        <v>45639.64583</v>
      </c>
      <c r="B65" s="6">
        <f>IFERROR(__xludf.DUMMYFUNCTION("""COMPUTED_VALUE"""),7400.0)</f>
        <v>7400</v>
      </c>
      <c r="C65" s="6">
        <f>IFERROR(__xludf.DUMMYFUNCTION("""COMPUTED_VALUE"""),7460.0)</f>
        <v>7460</v>
      </c>
      <c r="D65" s="6">
        <f>IFERROR(__xludf.DUMMYFUNCTION("""COMPUTED_VALUE"""),7211.95)</f>
        <v>7211.95</v>
      </c>
      <c r="E65" s="6">
        <f>IFERROR(__xludf.DUMMYFUNCTION("""COMPUTED_VALUE"""),7364.4)</f>
        <v>7364.4</v>
      </c>
      <c r="F65" s="6">
        <f>IFERROR(__xludf.DUMMYFUNCTION("""COMPUTED_VALUE"""),819970.0)</f>
        <v>819970</v>
      </c>
    </row>
    <row r="66">
      <c r="A66" s="7">
        <f>IFERROR(__xludf.DUMMYFUNCTION("""COMPUTED_VALUE"""),45646.64583333333)</f>
        <v>45646.64583</v>
      </c>
      <c r="B66" s="6">
        <f>IFERROR(__xludf.DUMMYFUNCTION("""COMPUTED_VALUE"""),7372.5)</f>
        <v>7372.5</v>
      </c>
      <c r="C66" s="6">
        <f>IFERROR(__xludf.DUMMYFUNCTION("""COMPUTED_VALUE"""),7424.35)</f>
        <v>7424.35</v>
      </c>
      <c r="D66" s="6">
        <f>IFERROR(__xludf.DUMMYFUNCTION("""COMPUTED_VALUE"""),6900.0)</f>
        <v>6900</v>
      </c>
      <c r="E66" s="6">
        <f>IFERROR(__xludf.DUMMYFUNCTION("""COMPUTED_VALUE"""),6921.6)</f>
        <v>6921.6</v>
      </c>
      <c r="F66" s="6">
        <f>IFERROR(__xludf.DUMMYFUNCTION("""COMPUTED_VALUE"""),765032.0)</f>
        <v>765032</v>
      </c>
    </row>
    <row r="67">
      <c r="A67" s="7">
        <f>IFERROR(__xludf.DUMMYFUNCTION("""COMPUTED_VALUE"""),45653.64583333333)</f>
        <v>45653.64583</v>
      </c>
      <c r="B67" s="6">
        <f>IFERROR(__xludf.DUMMYFUNCTION("""COMPUTED_VALUE"""),7037.7)</f>
        <v>7037.7</v>
      </c>
      <c r="C67" s="6">
        <f>IFERROR(__xludf.DUMMYFUNCTION("""COMPUTED_VALUE"""),7037.7)</f>
        <v>7037.7</v>
      </c>
      <c r="D67" s="6">
        <f>IFERROR(__xludf.DUMMYFUNCTION("""COMPUTED_VALUE"""),6764.4)</f>
        <v>6764.4</v>
      </c>
      <c r="E67" s="6">
        <f>IFERROR(__xludf.DUMMYFUNCTION("""COMPUTED_VALUE"""),6886.35)</f>
        <v>6886.35</v>
      </c>
      <c r="F67" s="6">
        <f>IFERROR(__xludf.DUMMYFUNCTION("""COMPUTED_VALUE"""),476313.0)</f>
        <v>476313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IFERROR(__xludf.DUMMYFUNCTION("""COMPUTED_VALUE"""),6881.0)</f>
        <v>6881</v>
      </c>
      <c r="C68" s="6">
        <f>IFERROR(__xludf.DUMMYFUNCTION("""COMPUTED_VALUE"""),6965.7)</f>
        <v>6965.7</v>
      </c>
      <c r="D68" s="6">
        <f>IFERROR(__xludf.DUMMYFUNCTION("""COMPUTED_VALUE"""),6508.2)</f>
        <v>6508.2</v>
      </c>
      <c r="E68" s="6">
        <f>IFERROR(__xludf.DUMMYFUNCTION("""COMPUTED_VALUE"""),6647.55)</f>
        <v>6647.55</v>
      </c>
      <c r="F68" s="6">
        <f>IFERROR(__xludf.DUMMYFUNCTION("""COMPUTED_VALUE"""),916617.0)</f>
        <v>916617</v>
      </c>
    </row>
    <row r="69">
      <c r="A69" s="7">
        <f>IFERROR(__xludf.DUMMYFUNCTION("""COMPUTED_VALUE"""),45667.64583333333)</f>
        <v>45667.64583</v>
      </c>
      <c r="B69" s="6">
        <f>IFERROR(__xludf.DUMMYFUNCTION("""COMPUTED_VALUE"""),6690.0)</f>
        <v>6690</v>
      </c>
      <c r="C69" s="6">
        <f>IFERROR(__xludf.DUMMYFUNCTION("""COMPUTED_VALUE"""),6710.9)</f>
        <v>6710.9</v>
      </c>
      <c r="D69" s="6">
        <f>IFERROR(__xludf.DUMMYFUNCTION("""COMPUTED_VALUE"""),5921.0)</f>
        <v>5921</v>
      </c>
      <c r="E69" s="6">
        <f>IFERROR(__xludf.DUMMYFUNCTION("""COMPUTED_VALUE"""),6000.6)</f>
        <v>6000.6</v>
      </c>
      <c r="F69" s="6">
        <f>IFERROR(__xludf.DUMMYFUNCTION("""COMPUTED_VALUE"""),2543382.0)</f>
        <v>2543382</v>
      </c>
    </row>
    <row r="70">
      <c r="A70" s="7">
        <f>IFERROR(__xludf.DUMMYFUNCTION("""COMPUTED_VALUE"""),45674.64583333333)</f>
        <v>45674.64583</v>
      </c>
      <c r="B70" s="6">
        <f>IFERROR(__xludf.DUMMYFUNCTION("""COMPUTED_VALUE"""),5975.0)</f>
        <v>5975</v>
      </c>
      <c r="C70" s="6">
        <f>IFERROR(__xludf.DUMMYFUNCTION("""COMPUTED_VALUE"""),6250.85)</f>
        <v>6250.85</v>
      </c>
      <c r="D70" s="6">
        <f>IFERROR(__xludf.DUMMYFUNCTION("""COMPUTED_VALUE"""),5920.0)</f>
        <v>5920</v>
      </c>
      <c r="E70" s="6">
        <f>IFERROR(__xludf.DUMMYFUNCTION("""COMPUTED_VALUE"""),6212.1)</f>
        <v>6212.1</v>
      </c>
      <c r="F70" s="6">
        <f>IFERROR(__xludf.DUMMYFUNCTION("""COMPUTED_VALUE"""),994809.0)</f>
        <v>994809</v>
      </c>
    </row>
    <row r="71">
      <c r="A71" s="7">
        <f>IFERROR(__xludf.DUMMYFUNCTION("""COMPUTED_VALUE"""),45681.64583333333)</f>
        <v>45681.64583</v>
      </c>
      <c r="B71" s="6">
        <f>IFERROR(__xludf.DUMMYFUNCTION("""COMPUTED_VALUE"""),6218.0)</f>
        <v>6218</v>
      </c>
      <c r="C71" s="6">
        <f>IFERROR(__xludf.DUMMYFUNCTION("""COMPUTED_VALUE"""),6425.0)</f>
        <v>6425</v>
      </c>
      <c r="D71" s="6">
        <f>IFERROR(__xludf.DUMMYFUNCTION("""COMPUTED_VALUE"""),6060.7)</f>
        <v>6060.7</v>
      </c>
      <c r="E71" s="6">
        <f>IFERROR(__xludf.DUMMYFUNCTION("""COMPUTED_VALUE"""),6372.7)</f>
        <v>6372.7</v>
      </c>
      <c r="F71" s="6">
        <f>IFERROR(__xludf.DUMMYFUNCTION("""COMPUTED_VALUE"""),634400.0)</f>
        <v>634400</v>
      </c>
    </row>
    <row r="72">
      <c r="A72" s="7">
        <f>IFERROR(__xludf.DUMMYFUNCTION("""COMPUTED_VALUE"""),45695.64583333333)</f>
        <v>45695.64583</v>
      </c>
      <c r="B72" s="6">
        <f>IFERROR(__xludf.DUMMYFUNCTION("""COMPUTED_VALUE"""),6330.0)</f>
        <v>6330</v>
      </c>
      <c r="C72" s="6">
        <f>IFERROR(__xludf.DUMMYFUNCTION("""COMPUTED_VALUE"""),6478.15)</f>
        <v>6478.15</v>
      </c>
      <c r="D72" s="6">
        <f>IFERROR(__xludf.DUMMYFUNCTION("""COMPUTED_VALUE"""),6250.7)</f>
        <v>6250.7</v>
      </c>
      <c r="E72" s="6">
        <f>IFERROR(__xludf.DUMMYFUNCTION("""COMPUTED_VALUE"""),6436.6)</f>
        <v>6436.6</v>
      </c>
      <c r="F72" s="6">
        <f>IFERROR(__xludf.DUMMYFUNCTION("""COMPUTED_VALUE"""),372437.0)</f>
        <v>372437</v>
      </c>
    </row>
    <row r="73">
      <c r="A73" s="7">
        <f>IFERROR(__xludf.DUMMYFUNCTION("""COMPUTED_VALUE"""),45702.64583333333)</f>
        <v>45702.64583</v>
      </c>
      <c r="B73" s="6">
        <f>IFERROR(__xludf.DUMMYFUNCTION("""COMPUTED_VALUE"""),6415.0)</f>
        <v>6415</v>
      </c>
      <c r="C73" s="6">
        <f>IFERROR(__xludf.DUMMYFUNCTION("""COMPUTED_VALUE"""),6425.0)</f>
        <v>6425</v>
      </c>
      <c r="D73" s="6">
        <f>IFERROR(__xludf.DUMMYFUNCTION("""COMPUTED_VALUE"""),6032.5)</f>
        <v>6032.5</v>
      </c>
      <c r="E73" s="6">
        <f>IFERROR(__xludf.DUMMYFUNCTION("""COMPUTED_VALUE"""),6174.0)</f>
        <v>6174</v>
      </c>
      <c r="F73" s="6">
        <f>IFERROR(__xludf.DUMMYFUNCTION("""COMPUTED_VALUE"""),557897.0)</f>
        <v>557897</v>
      </c>
    </row>
    <row r="74">
      <c r="A74" s="7">
        <f>IFERROR(__xludf.DUMMYFUNCTION("""COMPUTED_VALUE"""),45709.64583333333)</f>
        <v>45709.64583</v>
      </c>
      <c r="B74" s="6">
        <f>IFERROR(__xludf.DUMMYFUNCTION("""COMPUTED_VALUE"""),6156.0)</f>
        <v>6156</v>
      </c>
      <c r="C74" s="6">
        <f>IFERROR(__xludf.DUMMYFUNCTION("""COMPUTED_VALUE"""),6176.35)</f>
        <v>6176.35</v>
      </c>
      <c r="D74" s="6">
        <f>IFERROR(__xludf.DUMMYFUNCTION("""COMPUTED_VALUE"""),5931.05)</f>
        <v>5931.05</v>
      </c>
      <c r="E74" s="6">
        <f>IFERROR(__xludf.DUMMYFUNCTION("""COMPUTED_VALUE"""),5960.45)</f>
        <v>5960.45</v>
      </c>
      <c r="F74" s="6">
        <f>IFERROR(__xludf.DUMMYFUNCTION("""COMPUTED_VALUE"""),487123.0)</f>
        <v>487123</v>
      </c>
    </row>
    <row r="75">
      <c r="A75" s="7">
        <f>IFERROR(__xludf.DUMMYFUNCTION("""COMPUTED_VALUE"""),45716.64583333333)</f>
        <v>45716.64583</v>
      </c>
      <c r="B75" s="6">
        <f>IFERROR(__xludf.DUMMYFUNCTION("""COMPUTED_VALUE"""),5960.45)</f>
        <v>5960.45</v>
      </c>
      <c r="C75" s="6">
        <f>IFERROR(__xludf.DUMMYFUNCTION("""COMPUTED_VALUE"""),5960.45)</f>
        <v>5960.45</v>
      </c>
      <c r="D75" s="6">
        <f>IFERROR(__xludf.DUMMYFUNCTION("""COMPUTED_VALUE"""),5302.55)</f>
        <v>5302.55</v>
      </c>
      <c r="E75" s="6">
        <f>IFERROR(__xludf.DUMMYFUNCTION("""COMPUTED_VALUE"""),5411.1)</f>
        <v>5411.1</v>
      </c>
      <c r="F75" s="6">
        <f>IFERROR(__xludf.DUMMYFUNCTION("""COMPUTED_VALUE"""),834283.0)</f>
        <v>834283</v>
      </c>
    </row>
    <row r="76">
      <c r="A76" s="7">
        <f>IFERROR(__xludf.DUMMYFUNCTION("""COMPUTED_VALUE"""),45723.64583333333)</f>
        <v>45723.64583</v>
      </c>
      <c r="B76" s="6">
        <f>IFERROR(__xludf.DUMMYFUNCTION("""COMPUTED_VALUE"""),5416.05)</f>
        <v>5416.05</v>
      </c>
      <c r="C76" s="6">
        <f>IFERROR(__xludf.DUMMYFUNCTION("""COMPUTED_VALUE"""),5694.35)</f>
        <v>5694.35</v>
      </c>
      <c r="D76" s="6">
        <f>IFERROR(__xludf.DUMMYFUNCTION("""COMPUTED_VALUE"""),5350.0)</f>
        <v>5350</v>
      </c>
      <c r="E76" s="6">
        <f>IFERROR(__xludf.DUMMYFUNCTION("""COMPUTED_VALUE"""),5624.15)</f>
        <v>5624.15</v>
      </c>
      <c r="F76" s="6">
        <f>IFERROR(__xludf.DUMMYFUNCTION("""COMPUTED_VALUE"""),664525.0)</f>
        <v>664525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IFERROR(__xludf.DUMMYFUNCTION("""COMPUTED_VALUE"""),5659.0)</f>
        <v>5659</v>
      </c>
      <c r="C77" s="6">
        <f>IFERROR(__xludf.DUMMYFUNCTION("""COMPUTED_VALUE"""),5689.0)</f>
        <v>5689</v>
      </c>
      <c r="D77" s="6">
        <f>IFERROR(__xludf.DUMMYFUNCTION("""COMPUTED_VALUE"""),5225.0)</f>
        <v>5225</v>
      </c>
      <c r="E77" s="6">
        <f>IFERROR(__xludf.DUMMYFUNCTION("""COMPUTED_VALUE"""),5236.75)</f>
        <v>5236.75</v>
      </c>
      <c r="F77" s="6">
        <f>IFERROR(__xludf.DUMMYFUNCTION("""COMPUTED_VALUE"""),500778.0)</f>
        <v>500778</v>
      </c>
    </row>
    <row r="78">
      <c r="A78" s="7">
        <f>IFERROR(__xludf.DUMMYFUNCTION("""COMPUTED_VALUE"""),45737.64583333333)</f>
        <v>45737.64583</v>
      </c>
      <c r="B78" s="6">
        <f>IFERROR(__xludf.DUMMYFUNCTION("""COMPUTED_VALUE"""),5200.0)</f>
        <v>5200</v>
      </c>
      <c r="C78" s="6">
        <f>IFERROR(__xludf.DUMMYFUNCTION("""COMPUTED_VALUE"""),5512.0)</f>
        <v>5512</v>
      </c>
      <c r="D78" s="6">
        <f>IFERROR(__xludf.DUMMYFUNCTION("""COMPUTED_VALUE"""),5198.0)</f>
        <v>5198</v>
      </c>
      <c r="E78" s="6">
        <f>IFERROR(__xludf.DUMMYFUNCTION("""COMPUTED_VALUE"""),5462.95)</f>
        <v>5462.95</v>
      </c>
      <c r="F78" s="6">
        <f>IFERROR(__xludf.DUMMYFUNCTION("""COMPUTED_VALUE"""),724332.0)</f>
        <v>724332</v>
      </c>
    </row>
    <row r="79">
      <c r="A79" s="7">
        <f>IFERROR(__xludf.DUMMYFUNCTION("""COMPUTED_VALUE"""),45744.64583333333)</f>
        <v>45744.64583</v>
      </c>
      <c r="B79" s="6">
        <f>IFERROR(__xludf.DUMMYFUNCTION("""COMPUTED_VALUE"""),5470.0)</f>
        <v>5470</v>
      </c>
      <c r="C79" s="6">
        <f>IFERROR(__xludf.DUMMYFUNCTION("""COMPUTED_VALUE"""),5742.95)</f>
        <v>5742.95</v>
      </c>
      <c r="D79" s="6">
        <f>IFERROR(__xludf.DUMMYFUNCTION("""COMPUTED_VALUE"""),5200.0)</f>
        <v>5200</v>
      </c>
      <c r="E79" s="6">
        <f>IFERROR(__xludf.DUMMYFUNCTION("""COMPUTED_VALUE"""),5214.6)</f>
        <v>5214.6</v>
      </c>
      <c r="F79" s="6">
        <f>IFERROR(__xludf.DUMMYFUNCTION("""COMPUTED_VALUE"""),1727477.0)</f>
        <v>1727477</v>
      </c>
    </row>
    <row r="80">
      <c r="A80" s="7">
        <f>IFERROR(__xludf.DUMMYFUNCTION("""COMPUTED_VALUE"""),45751.64583333333)</f>
        <v>45751.64583</v>
      </c>
      <c r="B80" s="6">
        <f>IFERROR(__xludf.DUMMYFUNCTION("""COMPUTED_VALUE"""),5195.6)</f>
        <v>5195.6</v>
      </c>
      <c r="C80" s="6">
        <f>IFERROR(__xludf.DUMMYFUNCTION("""COMPUTED_VALUE"""),5244.55)</f>
        <v>5244.55</v>
      </c>
      <c r="D80" s="6">
        <f>IFERROR(__xludf.DUMMYFUNCTION("""COMPUTED_VALUE"""),5004.35)</f>
        <v>5004.35</v>
      </c>
      <c r="E80" s="6">
        <f>IFERROR(__xludf.DUMMYFUNCTION("""COMPUTED_VALUE"""),5056.65)</f>
        <v>5056.65</v>
      </c>
      <c r="F80" s="6">
        <f>IFERROR(__xludf.DUMMYFUNCTION("""COMPUTED_VALUE"""),1332362.0)</f>
        <v>1332362</v>
      </c>
    </row>
    <row r="81">
      <c r="A81" s="7">
        <f>IFERROR(__xludf.DUMMYFUNCTION("""COMPUTED_VALUE"""),45758.64583333333)</f>
        <v>45758.64583</v>
      </c>
      <c r="B81" s="6">
        <f>IFERROR(__xludf.DUMMYFUNCTION("""COMPUTED_VALUE"""),4790.0)</f>
        <v>4790</v>
      </c>
      <c r="C81" s="6">
        <f>IFERROR(__xludf.DUMMYFUNCTION("""COMPUTED_VALUE"""),5014.25)</f>
        <v>5014.25</v>
      </c>
      <c r="D81" s="6">
        <f>IFERROR(__xludf.DUMMYFUNCTION("""COMPUTED_VALUE"""),4700.0)</f>
        <v>4700</v>
      </c>
      <c r="E81" s="6">
        <f>IFERROR(__xludf.DUMMYFUNCTION("""COMPUTED_VALUE"""),4752.05)</f>
        <v>4752.05</v>
      </c>
      <c r="F81" s="6">
        <f>IFERROR(__xludf.DUMMYFUNCTION("""COMPUTED_VALUE"""),1107085.0)</f>
        <v>1107085</v>
      </c>
    </row>
    <row r="82">
      <c r="A82" s="7">
        <f>IFERROR(__xludf.DUMMYFUNCTION("""COMPUTED_VALUE"""),45764.64583333333)</f>
        <v>45764.64583</v>
      </c>
      <c r="B82" s="6">
        <f>IFERROR(__xludf.DUMMYFUNCTION("""COMPUTED_VALUE"""),4849.0)</f>
        <v>4849</v>
      </c>
      <c r="C82" s="6">
        <f>IFERROR(__xludf.DUMMYFUNCTION("""COMPUTED_VALUE"""),4973.5)</f>
        <v>4973.5</v>
      </c>
      <c r="D82" s="6">
        <f>IFERROR(__xludf.DUMMYFUNCTION("""COMPUTED_VALUE"""),4801.0)</f>
        <v>4801</v>
      </c>
      <c r="E82" s="6">
        <f>IFERROR(__xludf.DUMMYFUNCTION("""COMPUTED_VALUE"""),4900.5)</f>
        <v>4900.5</v>
      </c>
      <c r="F82" s="6">
        <f>IFERROR(__xludf.DUMMYFUNCTION("""COMPUTED_VALUE"""),1031751.0)</f>
        <v>1031751</v>
      </c>
    </row>
    <row r="83">
      <c r="A83" s="7">
        <f>IFERROR(__xludf.DUMMYFUNCTION("""COMPUTED_VALUE"""),45772.64583333333)</f>
        <v>45772.64583</v>
      </c>
      <c r="B83" s="6">
        <f>IFERROR(__xludf.DUMMYFUNCTION("""COMPUTED_VALUE"""),4805.0)</f>
        <v>4805</v>
      </c>
      <c r="C83" s="6">
        <f>IFERROR(__xludf.DUMMYFUNCTION("""COMPUTED_VALUE"""),5958.0)</f>
        <v>5958</v>
      </c>
      <c r="D83" s="6">
        <f>IFERROR(__xludf.DUMMYFUNCTION("""COMPUTED_VALUE"""),4805.0)</f>
        <v>4805</v>
      </c>
      <c r="E83" s="6">
        <f>IFERROR(__xludf.DUMMYFUNCTION("""COMPUTED_VALUE"""),5612.5)</f>
        <v>5612.5</v>
      </c>
      <c r="F83" s="6">
        <f>IFERROR(__xludf.DUMMYFUNCTION("""COMPUTED_VALUE"""),6424470.0)</f>
        <v>6424470</v>
      </c>
    </row>
    <row r="84">
      <c r="A84" s="7">
        <f>IFERROR(__xludf.DUMMYFUNCTION("""COMPUTED_VALUE"""),45779.64583333333)</f>
        <v>45779.64583</v>
      </c>
      <c r="B84" s="6">
        <f>IFERROR(__xludf.DUMMYFUNCTION("""COMPUTED_VALUE"""),5612.5)</f>
        <v>5612.5</v>
      </c>
      <c r="C84" s="6">
        <f>IFERROR(__xludf.DUMMYFUNCTION("""COMPUTED_VALUE"""),5879.0)</f>
        <v>5879</v>
      </c>
      <c r="D84" s="6">
        <f>IFERROR(__xludf.DUMMYFUNCTION("""COMPUTED_VALUE"""),5568.0)</f>
        <v>5568</v>
      </c>
      <c r="E84" s="6">
        <f>IFERROR(__xludf.DUMMYFUNCTION("""COMPUTED_VALUE"""),5821.0)</f>
        <v>5821</v>
      </c>
      <c r="F84" s="6">
        <f>IFERROR(__xludf.DUMMYFUNCTION("""COMPUTED_VALUE"""),998736.0)</f>
        <v>998736</v>
      </c>
    </row>
    <row r="85">
      <c r="A85" s="7">
        <f>IFERROR(__xludf.DUMMYFUNCTION("""COMPUTED_VALUE"""),45786.64583333333)</f>
        <v>45786.64583</v>
      </c>
      <c r="B85" s="6">
        <f>IFERROR(__xludf.DUMMYFUNCTION("""COMPUTED_VALUE"""),5845.0)</f>
        <v>5845</v>
      </c>
      <c r="C85" s="6">
        <f>IFERROR(__xludf.DUMMYFUNCTION("""COMPUTED_VALUE"""),5933.0)</f>
        <v>5933</v>
      </c>
      <c r="D85" s="6">
        <f>IFERROR(__xludf.DUMMYFUNCTION("""COMPUTED_VALUE"""),5400.0)</f>
        <v>5400</v>
      </c>
      <c r="E85" s="6">
        <f>IFERROR(__xludf.DUMMYFUNCTION("""COMPUTED_VALUE"""),5738.0)</f>
        <v>5738</v>
      </c>
      <c r="F85" s="6">
        <f>IFERROR(__xludf.DUMMYFUNCTION("""COMPUTED_VALUE"""),946618.0)</f>
        <v>946618</v>
      </c>
    </row>
    <row r="86">
      <c r="A86" s="7">
        <f>IFERROR(__xludf.DUMMYFUNCTION("""COMPUTED_VALUE"""),45793.64583333333)</f>
        <v>45793.64583</v>
      </c>
      <c r="B86" s="6">
        <f>IFERROR(__xludf.DUMMYFUNCTION("""COMPUTED_VALUE"""),5851.5)</f>
        <v>5851.5</v>
      </c>
      <c r="C86" s="6">
        <f>IFERROR(__xludf.DUMMYFUNCTION("""COMPUTED_VALUE"""),6228.0)</f>
        <v>6228</v>
      </c>
      <c r="D86" s="6">
        <f>IFERROR(__xludf.DUMMYFUNCTION("""COMPUTED_VALUE"""),5794.0)</f>
        <v>5794</v>
      </c>
      <c r="E86" s="6">
        <f>IFERROR(__xludf.DUMMYFUNCTION("""COMPUTED_VALUE"""),6212.0)</f>
        <v>6212</v>
      </c>
      <c r="F86" s="6">
        <f>IFERROR(__xludf.DUMMYFUNCTION("""COMPUTED_VALUE"""),1501949.0)</f>
        <v>1501949</v>
      </c>
    </row>
    <row r="87">
      <c r="A87" s="7">
        <f>IFERROR(__xludf.DUMMYFUNCTION("""COMPUTED_VALUE"""),45800.64583333333)</f>
        <v>45800.64583</v>
      </c>
      <c r="B87" s="6">
        <f>IFERROR(__xludf.DUMMYFUNCTION("""COMPUTED_VALUE"""),6229.5)</f>
        <v>6229.5</v>
      </c>
      <c r="C87" s="6">
        <f>IFERROR(__xludf.DUMMYFUNCTION("""COMPUTED_VALUE"""),6319.5)</f>
        <v>6319.5</v>
      </c>
      <c r="D87" s="6">
        <f>IFERROR(__xludf.DUMMYFUNCTION("""COMPUTED_VALUE"""),6126.0)</f>
        <v>6126</v>
      </c>
      <c r="E87" s="6">
        <f>IFERROR(__xludf.DUMMYFUNCTION("""COMPUTED_VALUE"""),6290.5)</f>
        <v>6290.5</v>
      </c>
      <c r="F87" s="6">
        <f>IFERROR(__xludf.DUMMYFUNCTION("""COMPUTED_VALUE"""),764705.0)</f>
        <v>764705</v>
      </c>
    </row>
    <row r="88">
      <c r="A88" s="7">
        <f>IFERROR(__xludf.DUMMYFUNCTION("""COMPUTED_VALUE"""),45807.64583333333)</f>
        <v>45807.64583</v>
      </c>
      <c r="B88" s="6">
        <f>IFERROR(__xludf.DUMMYFUNCTION("""COMPUTED_VALUE"""),6300.0)</f>
        <v>6300</v>
      </c>
      <c r="C88" s="6">
        <f>IFERROR(__xludf.DUMMYFUNCTION("""COMPUTED_VALUE"""),6535.0)</f>
        <v>6535</v>
      </c>
      <c r="D88" s="6">
        <f>IFERROR(__xludf.DUMMYFUNCTION("""COMPUTED_VALUE"""),6278.0)</f>
        <v>6278</v>
      </c>
      <c r="E88" s="6">
        <f>IFERROR(__xludf.DUMMYFUNCTION("""COMPUTED_VALUE"""),6439.5)</f>
        <v>6439.5</v>
      </c>
      <c r="F88" s="6">
        <f>IFERROR(__xludf.DUMMYFUNCTION("""COMPUTED_VALUE"""),917064.0)</f>
        <v>917064</v>
      </c>
    </row>
    <row r="89">
      <c r="A89" s="7">
        <f>IFERROR(__xludf.DUMMYFUNCTION("""COMPUTED_VALUE"""),45814.64583333333)</f>
        <v>45814.64583</v>
      </c>
      <c r="B89" s="6">
        <f>IFERROR(__xludf.DUMMYFUNCTION("""COMPUTED_VALUE"""),6412.5)</f>
        <v>6412.5</v>
      </c>
      <c r="C89" s="6">
        <f>IFERROR(__xludf.DUMMYFUNCTION("""COMPUTED_VALUE"""),6520.0)</f>
        <v>6520</v>
      </c>
      <c r="D89" s="6">
        <f>IFERROR(__xludf.DUMMYFUNCTION("""COMPUTED_VALUE"""),6357.5)</f>
        <v>6357.5</v>
      </c>
      <c r="E89" s="6">
        <f>IFERROR(__xludf.DUMMYFUNCTION("""COMPUTED_VALUE"""),6473.0)</f>
        <v>6473</v>
      </c>
      <c r="F89" s="6">
        <f>IFERROR(__xludf.DUMMYFUNCTION("""COMPUTED_VALUE"""),485322.0)</f>
        <v>485322</v>
      </c>
    </row>
    <row r="90">
      <c r="A90" s="7">
        <f>IFERROR(__xludf.DUMMYFUNCTION("""COMPUTED_VALUE"""),45821.64583333333)</f>
        <v>45821.64583</v>
      </c>
      <c r="B90" s="6">
        <f>IFERROR(__xludf.DUMMYFUNCTION("""COMPUTED_VALUE"""),6505.5)</f>
        <v>6505.5</v>
      </c>
      <c r="C90" s="6">
        <f>IFERROR(__xludf.DUMMYFUNCTION("""COMPUTED_VALUE"""),6735.0)</f>
        <v>6735</v>
      </c>
      <c r="D90" s="6">
        <f>IFERROR(__xludf.DUMMYFUNCTION("""COMPUTED_VALUE"""),6299.5)</f>
        <v>6299.5</v>
      </c>
      <c r="E90" s="6">
        <f>IFERROR(__xludf.DUMMYFUNCTION("""COMPUTED_VALUE"""),6392.5)</f>
        <v>6392.5</v>
      </c>
      <c r="F90" s="6">
        <f>IFERROR(__xludf.DUMMYFUNCTION("""COMPUTED_VALUE"""),816278.0)</f>
        <v>816278</v>
      </c>
    </row>
    <row r="91">
      <c r="A91" s="7">
        <f>IFERROR(__xludf.DUMMYFUNCTION("""COMPUTED_VALUE"""),45828.64583333333)</f>
        <v>45828.64583</v>
      </c>
      <c r="B91" s="6">
        <f>IFERROR(__xludf.DUMMYFUNCTION("""COMPUTED_VALUE"""),6361.0)</f>
        <v>6361</v>
      </c>
      <c r="C91" s="6">
        <f>IFERROR(__xludf.DUMMYFUNCTION("""COMPUTED_VALUE"""),6487.0)</f>
        <v>6487</v>
      </c>
      <c r="D91" s="6">
        <f>IFERROR(__xludf.DUMMYFUNCTION("""COMPUTED_VALUE"""),6200.5)</f>
        <v>6200.5</v>
      </c>
      <c r="E91" s="6">
        <f>IFERROR(__xludf.DUMMYFUNCTION("""COMPUTED_VALUE"""),6319.0)</f>
        <v>6319</v>
      </c>
      <c r="F91" s="6">
        <f>IFERROR(__xludf.DUMMYFUNCTION("""COMPUTED_VALUE"""),724341.0)</f>
        <v>724341</v>
      </c>
    </row>
    <row r="92">
      <c r="A92" s="7">
        <f>IFERROR(__xludf.DUMMYFUNCTION("""COMPUTED_VALUE"""),45835.64583333333)</f>
        <v>45835.64583</v>
      </c>
      <c r="B92" s="6">
        <f>IFERROR(__xludf.DUMMYFUNCTION("""COMPUTED_VALUE"""),6221.0)</f>
        <v>6221</v>
      </c>
      <c r="C92" s="6">
        <f>IFERROR(__xludf.DUMMYFUNCTION("""COMPUTED_VALUE"""),6410.0)</f>
        <v>6410</v>
      </c>
      <c r="D92" s="6">
        <f>IFERROR(__xludf.DUMMYFUNCTION("""COMPUTED_VALUE"""),6164.5)</f>
        <v>6164.5</v>
      </c>
      <c r="E92" s="6">
        <f>IFERROR(__xludf.DUMMYFUNCTION("""COMPUTED_VALUE"""),6345.0)</f>
        <v>6345</v>
      </c>
      <c r="F92" s="6">
        <f>IFERROR(__xludf.DUMMYFUNCTION("""COMPUTED_VALUE"""),763059.0)</f>
        <v>763059</v>
      </c>
    </row>
    <row r="93">
      <c r="A93" s="7">
        <f>IFERROR(__xludf.DUMMYFUNCTION("""COMPUTED_VALUE"""),45842.64583333333)</f>
        <v>45842.64583</v>
      </c>
      <c r="B93" s="6">
        <f>IFERROR(__xludf.DUMMYFUNCTION("""COMPUTED_VALUE"""),6358.5)</f>
        <v>6358.5</v>
      </c>
      <c r="C93" s="6">
        <f>IFERROR(__xludf.DUMMYFUNCTION("""COMPUTED_VALUE"""),6376.5)</f>
        <v>6376.5</v>
      </c>
      <c r="D93" s="6">
        <f>IFERROR(__xludf.DUMMYFUNCTION("""COMPUTED_VALUE"""),6062.5)</f>
        <v>6062.5</v>
      </c>
      <c r="E93" s="6">
        <f>IFERROR(__xludf.DUMMYFUNCTION("""COMPUTED_VALUE"""),6209.0)</f>
        <v>6209</v>
      </c>
      <c r="F93" s="6">
        <f>IFERROR(__xludf.DUMMYFUNCTION("""COMPUTED_VALUE"""),824806.0)</f>
        <v>824806</v>
      </c>
    </row>
    <row r="94">
      <c r="A94" s="7">
        <f>IFERROR(__xludf.DUMMYFUNCTION("""COMPUTED_VALUE"""),45849.64583333333)</f>
        <v>45849.64583</v>
      </c>
      <c r="B94" s="6">
        <f>IFERROR(__xludf.DUMMYFUNCTION("""COMPUTED_VALUE"""),6209.0)</f>
        <v>6209</v>
      </c>
      <c r="C94" s="6">
        <f>IFERROR(__xludf.DUMMYFUNCTION("""COMPUTED_VALUE"""),6210.0)</f>
        <v>6210</v>
      </c>
      <c r="D94" s="6">
        <f>IFERROR(__xludf.DUMMYFUNCTION("""COMPUTED_VALUE"""),5660.0)</f>
        <v>5660</v>
      </c>
      <c r="E94" s="6">
        <f>IFERROR(__xludf.DUMMYFUNCTION("""COMPUTED_VALUE"""),6066.0)</f>
        <v>6066</v>
      </c>
      <c r="F94" s="6">
        <f>IFERROR(__xludf.DUMMYFUNCTION("""COMPUTED_VALUE"""),2243168.0)</f>
        <v>2243168</v>
      </c>
    </row>
    <row r="95">
      <c r="A95" s="7">
        <f>IFERROR(__xludf.DUMMYFUNCTION("""COMPUTED_VALUE"""),45856.64583333333)</f>
        <v>45856.64583</v>
      </c>
      <c r="B95" s="6">
        <f>IFERROR(__xludf.DUMMYFUNCTION("""COMPUTED_VALUE"""),6026.0)</f>
        <v>6026</v>
      </c>
      <c r="C95" s="6">
        <f>IFERROR(__xludf.DUMMYFUNCTION("""COMPUTED_VALUE"""),6439.5)</f>
        <v>6439.5</v>
      </c>
      <c r="D95" s="6">
        <f>IFERROR(__xludf.DUMMYFUNCTION("""COMPUTED_VALUE"""),6002.0)</f>
        <v>6002</v>
      </c>
      <c r="E95" s="6">
        <f>IFERROR(__xludf.DUMMYFUNCTION("""COMPUTED_VALUE"""),6166.0)</f>
        <v>6166</v>
      </c>
      <c r="F95" s="6">
        <f>IFERROR(__xludf.DUMMYFUNCTION("""COMPUTED_VALUE"""),1655263.0)</f>
        <v>1655263</v>
      </c>
    </row>
    <row r="96">
      <c r="A96" s="7">
        <f>IFERROR(__xludf.DUMMYFUNCTION("""COMPUTED_VALUE"""),45863.64583333333)</f>
        <v>45863.64583</v>
      </c>
      <c r="B96" s="6">
        <f>IFERROR(__xludf.DUMMYFUNCTION("""COMPUTED_VALUE"""),6166.0)</f>
        <v>6166</v>
      </c>
      <c r="C96" s="6">
        <f>IFERROR(__xludf.DUMMYFUNCTION("""COMPUTED_VALUE"""),6259.5)</f>
        <v>6259.5</v>
      </c>
      <c r="D96" s="6">
        <f>IFERROR(__xludf.DUMMYFUNCTION("""COMPUTED_VALUE"""),6031.0)</f>
        <v>6031</v>
      </c>
      <c r="E96" s="6">
        <f>IFERROR(__xludf.DUMMYFUNCTION("""COMPUTED_VALUE"""),6062.0)</f>
        <v>6062</v>
      </c>
      <c r="F96" s="6">
        <f>IFERROR(__xludf.DUMMYFUNCTION("""COMPUTED_VALUE"""),513337.0)</f>
        <v>513337</v>
      </c>
    </row>
    <row r="97">
      <c r="A97" s="7">
        <f>IFERROR(__xludf.DUMMYFUNCTION("""COMPUTED_VALUE"""),45870.64583333333)</f>
        <v>45870.64583</v>
      </c>
      <c r="B97" s="6">
        <f>IFERROR(__xludf.DUMMYFUNCTION("""COMPUTED_VALUE"""),6090.0)</f>
        <v>6090</v>
      </c>
      <c r="C97" s="6">
        <f>IFERROR(__xludf.DUMMYFUNCTION("""COMPUTED_VALUE"""),6169.5)</f>
        <v>6169.5</v>
      </c>
      <c r="D97" s="6">
        <f>IFERROR(__xludf.DUMMYFUNCTION("""COMPUTED_VALUE"""),5977.5)</f>
        <v>5977.5</v>
      </c>
      <c r="E97" s="6">
        <f>IFERROR(__xludf.DUMMYFUNCTION("""COMPUTED_VALUE"""),6054.5)</f>
        <v>6054.5</v>
      </c>
      <c r="F97" s="6">
        <f>IFERROR(__xludf.DUMMYFUNCTION("""COMPUTED_VALUE"""),626158.0)</f>
        <v>626158</v>
      </c>
    </row>
    <row r="98">
      <c r="A98" s="7">
        <f>IFERROR(__xludf.DUMMYFUNCTION("""COMPUTED_VALUE"""),45877.64583333333)</f>
        <v>45877.64583</v>
      </c>
      <c r="B98" s="6">
        <f>IFERROR(__xludf.DUMMYFUNCTION("""COMPUTED_VALUE"""),6022.0)</f>
        <v>6022</v>
      </c>
      <c r="C98" s="6">
        <f>IFERROR(__xludf.DUMMYFUNCTION("""COMPUTED_VALUE"""),6078.0)</f>
        <v>6078</v>
      </c>
      <c r="D98" s="6">
        <f>IFERROR(__xludf.DUMMYFUNCTION("""COMPUTED_VALUE"""),5733.0)</f>
        <v>5733</v>
      </c>
      <c r="E98" s="6">
        <f>IFERROR(__xludf.DUMMYFUNCTION("""COMPUTED_VALUE"""),5759.5)</f>
        <v>5759.5</v>
      </c>
      <c r="F98" s="6">
        <f>IFERROR(__xludf.DUMMYFUNCTION("""COMPUTED_VALUE"""),526948.0)</f>
        <v>526948</v>
      </c>
    </row>
    <row r="99">
      <c r="A99" s="7">
        <f>IFERROR(__xludf.DUMMYFUNCTION("""COMPUTED_VALUE"""),45883.64583333333)</f>
        <v>45883.64583</v>
      </c>
      <c r="B99" s="6">
        <f>IFERROR(__xludf.DUMMYFUNCTION("""COMPUTED_VALUE"""),5759.5)</f>
        <v>5759.5</v>
      </c>
      <c r="C99" s="6">
        <f>IFERROR(__xludf.DUMMYFUNCTION("""COMPUTED_VALUE"""),5769.5)</f>
        <v>5769.5</v>
      </c>
      <c r="D99" s="6">
        <f>IFERROR(__xludf.DUMMYFUNCTION("""COMPUTED_VALUE"""),5581.5)</f>
        <v>5581.5</v>
      </c>
      <c r="E99" s="6">
        <f>IFERROR(__xludf.DUMMYFUNCTION("""COMPUTED_VALUE"""),5681.5)</f>
        <v>5681.5</v>
      </c>
      <c r="F99" s="6">
        <f>IFERROR(__xludf.DUMMYFUNCTION("""COMPUTED_VALUE"""),397057.0)</f>
        <v>397057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IFERROR(__xludf.DUMMYFUNCTION("""COMPUTED_VALUE"""),5725.0)</f>
        <v>5725</v>
      </c>
      <c r="C100" s="6">
        <f>IFERROR(__xludf.DUMMYFUNCTION("""COMPUTED_VALUE"""),5824.5)</f>
        <v>5824.5</v>
      </c>
      <c r="D100" s="6">
        <f>IFERROR(__xludf.DUMMYFUNCTION("""COMPUTED_VALUE"""),5555.5)</f>
        <v>5555.5</v>
      </c>
      <c r="E100" s="6">
        <f>IFERROR(__xludf.DUMMYFUNCTION("""COMPUTED_VALUE"""),5579.5)</f>
        <v>5579.5</v>
      </c>
      <c r="F100" s="6">
        <f>IFERROR(__xludf.DUMMYFUNCTION("""COMPUTED_VALUE"""),635356.0)</f>
        <v>635356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IFERROR(__xludf.DUMMYFUNCTION("""COMPUTED_VALUE"""),5600.0)</f>
        <v>5600</v>
      </c>
      <c r="C101" s="6">
        <f>IFERROR(__xludf.DUMMYFUNCTION("""COMPUTED_VALUE"""),5638.0)</f>
        <v>5638</v>
      </c>
      <c r="D101" s="6">
        <f>IFERROR(__xludf.DUMMYFUNCTION("""COMPUTED_VALUE"""),5455.0)</f>
        <v>5455</v>
      </c>
      <c r="E101" s="6">
        <f>IFERROR(__xludf.DUMMYFUNCTION("""COMPUTED_VALUE"""),5478.5)</f>
        <v>5478.5</v>
      </c>
      <c r="F101" s="6">
        <f>IFERROR(__xludf.DUMMYFUNCTION("""COMPUTED_VALUE"""),2416647.0)</f>
        <v>2416647</v>
      </c>
    </row>
  </sheetData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IFERROR(__xludf.DUMMYFUNCTION("GOOGLEFINANCE(""NSE:TATAMOTORS"",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IFERROR(__xludf.DUMMYFUNCTION("""COMPUTED_VALUE"""),605.4)</f>
        <v>605.4</v>
      </c>
      <c r="C2" s="6">
        <f>IFERROR(__xludf.DUMMYFUNCTION("""COMPUTED_VALUE"""),614.9)</f>
        <v>614.9</v>
      </c>
      <c r="D2" s="6">
        <f>IFERROR(__xludf.DUMMYFUNCTION("""COMPUTED_VALUE"""),599.05)</f>
        <v>599.05</v>
      </c>
      <c r="E2" s="6">
        <f>IFERROR(__xludf.DUMMYFUNCTION("""COMPUTED_VALUE"""),611.2)</f>
        <v>611.2</v>
      </c>
      <c r="F2" s="6">
        <f>IFERROR(__xludf.DUMMYFUNCTION("""COMPUTED_VALUE"""),4.0953739E7)</f>
        <v>40953739</v>
      </c>
    </row>
    <row r="3">
      <c r="A3" s="7">
        <f>IFERROR(__xludf.DUMMYFUNCTION("""COMPUTED_VALUE"""),45177.64583333333)</f>
        <v>45177.64583</v>
      </c>
      <c r="B3" s="6">
        <f>IFERROR(__xludf.DUMMYFUNCTION("""COMPUTED_VALUE"""),615.6)</f>
        <v>615.6</v>
      </c>
      <c r="C3" s="6">
        <f>IFERROR(__xludf.DUMMYFUNCTION("""COMPUTED_VALUE"""),628.9)</f>
        <v>628.9</v>
      </c>
      <c r="D3" s="6">
        <f>IFERROR(__xludf.DUMMYFUNCTION("""COMPUTED_VALUE"""),605.6)</f>
        <v>605.6</v>
      </c>
      <c r="E3" s="6">
        <f>IFERROR(__xludf.DUMMYFUNCTION("""COMPUTED_VALUE"""),627.25)</f>
        <v>627.25</v>
      </c>
      <c r="F3" s="6">
        <f>IFERROR(__xludf.DUMMYFUNCTION("""COMPUTED_VALUE"""),4.6184422E7)</f>
        <v>46184422</v>
      </c>
    </row>
    <row r="4">
      <c r="A4" s="7">
        <f>IFERROR(__xludf.DUMMYFUNCTION("""COMPUTED_VALUE"""),45184.64583333333)</f>
        <v>45184.64583</v>
      </c>
      <c r="B4" s="6">
        <f>IFERROR(__xludf.DUMMYFUNCTION("""COMPUTED_VALUE"""),634.65)</f>
        <v>634.65</v>
      </c>
      <c r="C4" s="6">
        <f>IFERROR(__xludf.DUMMYFUNCTION("""COMPUTED_VALUE"""),639.0)</f>
        <v>639</v>
      </c>
      <c r="D4" s="6">
        <f>IFERROR(__xludf.DUMMYFUNCTION("""COMPUTED_VALUE"""),615.25)</f>
        <v>615.25</v>
      </c>
      <c r="E4" s="6">
        <f>IFERROR(__xludf.DUMMYFUNCTION("""COMPUTED_VALUE"""),634.25)</f>
        <v>634.25</v>
      </c>
      <c r="F4" s="6">
        <f>IFERROR(__xludf.DUMMYFUNCTION("""COMPUTED_VALUE"""),5.2950345E7)</f>
        <v>52950345</v>
      </c>
    </row>
    <row r="5">
      <c r="A5" s="7">
        <f>IFERROR(__xludf.DUMMYFUNCTION("""COMPUTED_VALUE"""),45191.64583333333)</f>
        <v>45191.64583</v>
      </c>
      <c r="B5" s="6">
        <f>IFERROR(__xludf.DUMMYFUNCTION("""COMPUTED_VALUE"""),635.9)</f>
        <v>635.9</v>
      </c>
      <c r="C5" s="6">
        <f>IFERROR(__xludf.DUMMYFUNCTION("""COMPUTED_VALUE"""),647.0)</f>
        <v>647</v>
      </c>
      <c r="D5" s="6">
        <f>IFERROR(__xludf.DUMMYFUNCTION("""COMPUTED_VALUE"""),619.0)</f>
        <v>619</v>
      </c>
      <c r="E5" s="6">
        <f>IFERROR(__xludf.DUMMYFUNCTION("""COMPUTED_VALUE"""),620.45)</f>
        <v>620.45</v>
      </c>
      <c r="F5" s="6">
        <f>IFERROR(__xludf.DUMMYFUNCTION("""COMPUTED_VALUE"""),3.8705045E7)</f>
        <v>38705045</v>
      </c>
    </row>
    <row r="6">
      <c r="A6" s="7">
        <f>IFERROR(__xludf.DUMMYFUNCTION("""COMPUTED_VALUE"""),45198.64583333333)</f>
        <v>45198.64583</v>
      </c>
      <c r="B6" s="6">
        <f>IFERROR(__xludf.DUMMYFUNCTION("""COMPUTED_VALUE"""),623.85)</f>
        <v>623.85</v>
      </c>
      <c r="C6" s="6">
        <f>IFERROR(__xludf.DUMMYFUNCTION("""COMPUTED_VALUE"""),633.0)</f>
        <v>633</v>
      </c>
      <c r="D6" s="6">
        <f>IFERROR(__xludf.DUMMYFUNCTION("""COMPUTED_VALUE"""),612.25)</f>
        <v>612.25</v>
      </c>
      <c r="E6" s="6">
        <f>IFERROR(__xludf.DUMMYFUNCTION("""COMPUTED_VALUE"""),630.2)</f>
        <v>630.2</v>
      </c>
      <c r="F6" s="6">
        <f>IFERROR(__xludf.DUMMYFUNCTION("""COMPUTED_VALUE"""),3.435988E7)</f>
        <v>34359880</v>
      </c>
    </row>
    <row r="7">
      <c r="A7" s="7">
        <f>IFERROR(__xludf.DUMMYFUNCTION("""COMPUTED_VALUE"""),45205.64583333333)</f>
        <v>45205.64583</v>
      </c>
      <c r="B7" s="6">
        <f>IFERROR(__xludf.DUMMYFUNCTION("""COMPUTED_VALUE"""),632.6)</f>
        <v>632.6</v>
      </c>
      <c r="C7" s="6">
        <f>IFERROR(__xludf.DUMMYFUNCTION("""COMPUTED_VALUE"""),632.65)</f>
        <v>632.65</v>
      </c>
      <c r="D7" s="6">
        <f>IFERROR(__xludf.DUMMYFUNCTION("""COMPUTED_VALUE"""),608.3)</f>
        <v>608.3</v>
      </c>
      <c r="E7" s="6">
        <f>IFERROR(__xludf.DUMMYFUNCTION("""COMPUTED_VALUE"""),622.45)</f>
        <v>622.45</v>
      </c>
      <c r="F7" s="6">
        <f>IFERROR(__xludf.DUMMYFUNCTION("""COMPUTED_VALUE"""),3.0323557E7)</f>
        <v>30323557</v>
      </c>
    </row>
    <row r="8">
      <c r="A8" s="7">
        <f>IFERROR(__xludf.DUMMYFUNCTION("""COMPUTED_VALUE"""),45212.64583333333)</f>
        <v>45212.64583</v>
      </c>
      <c r="B8" s="6">
        <f>IFERROR(__xludf.DUMMYFUNCTION("""COMPUTED_VALUE"""),620.8)</f>
        <v>620.8</v>
      </c>
      <c r="C8" s="6">
        <f>IFERROR(__xludf.DUMMYFUNCTION("""COMPUTED_VALUE"""),669.0)</f>
        <v>669</v>
      </c>
      <c r="D8" s="6">
        <f>IFERROR(__xludf.DUMMYFUNCTION("""COMPUTED_VALUE"""),613.7)</f>
        <v>613.7</v>
      </c>
      <c r="E8" s="6">
        <f>IFERROR(__xludf.DUMMYFUNCTION("""COMPUTED_VALUE"""),667.1)</f>
        <v>667.1</v>
      </c>
      <c r="F8" s="6">
        <f>IFERROR(__xludf.DUMMYFUNCTION("""COMPUTED_VALUE"""),5.7856959E7)</f>
        <v>57856959</v>
      </c>
    </row>
    <row r="9">
      <c r="A9" s="7">
        <f>IFERROR(__xludf.DUMMYFUNCTION("""COMPUTED_VALUE"""),45219.64583333333)</f>
        <v>45219.64583</v>
      </c>
      <c r="B9" s="6">
        <f>IFERROR(__xludf.DUMMYFUNCTION("""COMPUTED_VALUE"""),668.55)</f>
        <v>668.55</v>
      </c>
      <c r="C9" s="6">
        <f>IFERROR(__xludf.DUMMYFUNCTION("""COMPUTED_VALUE"""),677.8)</f>
        <v>677.8</v>
      </c>
      <c r="D9" s="6">
        <f>IFERROR(__xludf.DUMMYFUNCTION("""COMPUTED_VALUE"""),653.8)</f>
        <v>653.8</v>
      </c>
      <c r="E9" s="6">
        <f>IFERROR(__xludf.DUMMYFUNCTION("""COMPUTED_VALUE"""),663.2)</f>
        <v>663.2</v>
      </c>
      <c r="F9" s="6">
        <f>IFERROR(__xludf.DUMMYFUNCTION("""COMPUTED_VALUE"""),6.7571197E7)</f>
        <v>67571197</v>
      </c>
    </row>
    <row r="10">
      <c r="A10" s="7">
        <f>IFERROR(__xludf.DUMMYFUNCTION("""COMPUTED_VALUE"""),45226.64583333333)</f>
        <v>45226.64583</v>
      </c>
      <c r="B10" s="6">
        <f>IFERROR(__xludf.DUMMYFUNCTION("""COMPUTED_VALUE"""),663.65)</f>
        <v>663.65</v>
      </c>
      <c r="C10" s="6">
        <f>IFERROR(__xludf.DUMMYFUNCTION("""COMPUTED_VALUE"""),667.25)</f>
        <v>667.25</v>
      </c>
      <c r="D10" s="6">
        <f>IFERROR(__xludf.DUMMYFUNCTION("""COMPUTED_VALUE"""),624.15)</f>
        <v>624.15</v>
      </c>
      <c r="E10" s="6">
        <f>IFERROR(__xludf.DUMMYFUNCTION("""COMPUTED_VALUE"""),641.05)</f>
        <v>641.05</v>
      </c>
      <c r="F10" s="6">
        <f>IFERROR(__xludf.DUMMYFUNCTION("""COMPUTED_VALUE"""),3.5915792E7)</f>
        <v>35915792</v>
      </c>
    </row>
    <row r="11">
      <c r="A11" s="7">
        <f>IFERROR(__xludf.DUMMYFUNCTION("""COMPUTED_VALUE"""),45233.64583333333)</f>
        <v>45233.64583</v>
      </c>
      <c r="B11" s="6">
        <f>IFERROR(__xludf.DUMMYFUNCTION("""COMPUTED_VALUE"""),643.8)</f>
        <v>643.8</v>
      </c>
      <c r="C11" s="6">
        <f>IFERROR(__xludf.DUMMYFUNCTION("""COMPUTED_VALUE"""),666.0)</f>
        <v>666</v>
      </c>
      <c r="D11" s="6">
        <f>IFERROR(__xludf.DUMMYFUNCTION("""COMPUTED_VALUE"""),621.85)</f>
        <v>621.85</v>
      </c>
      <c r="E11" s="6">
        <f>IFERROR(__xludf.DUMMYFUNCTION("""COMPUTED_VALUE"""),647.5)</f>
        <v>647.5</v>
      </c>
      <c r="F11" s="6">
        <f>IFERROR(__xludf.DUMMYFUNCTION("""COMPUTED_VALUE"""),6.5990074E7)</f>
        <v>65990074</v>
      </c>
    </row>
    <row r="12">
      <c r="A12" s="7">
        <f>IFERROR(__xludf.DUMMYFUNCTION("""COMPUTED_VALUE"""),45240.64583333333)</f>
        <v>45240.64583</v>
      </c>
      <c r="B12" s="6">
        <f>IFERROR(__xludf.DUMMYFUNCTION("""COMPUTED_VALUE"""),652.85)</f>
        <v>652.85</v>
      </c>
      <c r="C12" s="6">
        <f>IFERROR(__xludf.DUMMYFUNCTION("""COMPUTED_VALUE"""),653.65)</f>
        <v>653.65</v>
      </c>
      <c r="D12" s="6">
        <f>IFERROR(__xludf.DUMMYFUNCTION("""COMPUTED_VALUE"""),641.9)</f>
        <v>641.9</v>
      </c>
      <c r="E12" s="6">
        <f>IFERROR(__xludf.DUMMYFUNCTION("""COMPUTED_VALUE"""),651.05)</f>
        <v>651.05</v>
      </c>
      <c r="F12" s="6">
        <f>IFERROR(__xludf.DUMMYFUNCTION("""COMPUTED_VALUE"""),4.0522077E7)</f>
        <v>40522077</v>
      </c>
    </row>
    <row r="13">
      <c r="A13" s="7">
        <f>IFERROR(__xludf.DUMMYFUNCTION("""COMPUTED_VALUE"""),45247.64583333333)</f>
        <v>45247.64583</v>
      </c>
      <c r="B13" s="6">
        <f>IFERROR(__xludf.DUMMYFUNCTION("""COMPUTED_VALUE"""),657.95)</f>
        <v>657.95</v>
      </c>
      <c r="C13" s="6">
        <f>IFERROR(__xludf.DUMMYFUNCTION("""COMPUTED_VALUE"""),687.65)</f>
        <v>687.65</v>
      </c>
      <c r="D13" s="6">
        <f>IFERROR(__xludf.DUMMYFUNCTION("""COMPUTED_VALUE"""),649.3)</f>
        <v>649.3</v>
      </c>
      <c r="E13" s="6">
        <f>IFERROR(__xludf.DUMMYFUNCTION("""COMPUTED_VALUE"""),681.55)</f>
        <v>681.55</v>
      </c>
      <c r="F13" s="6">
        <f>IFERROR(__xludf.DUMMYFUNCTION("""COMPUTED_VALUE"""),4.3914439E7)</f>
        <v>43914439</v>
      </c>
    </row>
    <row r="14">
      <c r="A14" s="7">
        <f>IFERROR(__xludf.DUMMYFUNCTION("""COMPUTED_VALUE"""),45254.64583333333)</f>
        <v>45254.64583</v>
      </c>
      <c r="B14" s="6">
        <f>IFERROR(__xludf.DUMMYFUNCTION("""COMPUTED_VALUE"""),682.0)</f>
        <v>682</v>
      </c>
      <c r="C14" s="6">
        <f>IFERROR(__xludf.DUMMYFUNCTION("""COMPUTED_VALUE"""),687.35)</f>
        <v>687.35</v>
      </c>
      <c r="D14" s="6">
        <f>IFERROR(__xludf.DUMMYFUNCTION("""COMPUTED_VALUE"""),670.7)</f>
        <v>670.7</v>
      </c>
      <c r="E14" s="6">
        <f>IFERROR(__xludf.DUMMYFUNCTION("""COMPUTED_VALUE"""),673.7)</f>
        <v>673.7</v>
      </c>
      <c r="F14" s="6">
        <f>IFERROR(__xludf.DUMMYFUNCTION("""COMPUTED_VALUE"""),3.7732113E7)</f>
        <v>37732113</v>
      </c>
    </row>
    <row r="15">
      <c r="A15" s="7">
        <f>IFERROR(__xludf.DUMMYFUNCTION("""COMPUTED_VALUE"""),45261.64583333333)</f>
        <v>45261.64583</v>
      </c>
      <c r="B15" s="6">
        <f>IFERROR(__xludf.DUMMYFUNCTION("""COMPUTED_VALUE"""),677.45)</f>
        <v>677.45</v>
      </c>
      <c r="C15" s="6">
        <f>IFERROR(__xludf.DUMMYFUNCTION("""COMPUTED_VALUE"""),717.25)</f>
        <v>717.25</v>
      </c>
      <c r="D15" s="6">
        <f>IFERROR(__xludf.DUMMYFUNCTION("""COMPUTED_VALUE"""),674.25)</f>
        <v>674.25</v>
      </c>
      <c r="E15" s="6">
        <f>IFERROR(__xludf.DUMMYFUNCTION("""COMPUTED_VALUE"""),705.45)</f>
        <v>705.45</v>
      </c>
      <c r="F15" s="6">
        <f>IFERROR(__xludf.DUMMYFUNCTION("""COMPUTED_VALUE"""),6.6979384E7)</f>
        <v>66979384</v>
      </c>
    </row>
    <row r="16">
      <c r="A16" s="7">
        <f>IFERROR(__xludf.DUMMYFUNCTION("""COMPUTED_VALUE"""),45268.64583333333)</f>
        <v>45268.64583</v>
      </c>
      <c r="B16" s="6">
        <f>IFERROR(__xludf.DUMMYFUNCTION("""COMPUTED_VALUE"""),716.0)</f>
        <v>716</v>
      </c>
      <c r="C16" s="6">
        <f>IFERROR(__xludf.DUMMYFUNCTION("""COMPUTED_VALUE"""),727.6)</f>
        <v>727.6</v>
      </c>
      <c r="D16" s="6">
        <f>IFERROR(__xludf.DUMMYFUNCTION("""COMPUTED_VALUE"""),704.8)</f>
        <v>704.8</v>
      </c>
      <c r="E16" s="6">
        <f>IFERROR(__xludf.DUMMYFUNCTION("""COMPUTED_VALUE"""),714.55)</f>
        <v>714.55</v>
      </c>
      <c r="F16" s="6">
        <f>IFERROR(__xludf.DUMMYFUNCTION("""COMPUTED_VALUE"""),5.0107374E7)</f>
        <v>50107374</v>
      </c>
    </row>
    <row r="17">
      <c r="A17" s="7">
        <f>IFERROR(__xludf.DUMMYFUNCTION("""COMPUTED_VALUE"""),45275.64583333333)</f>
        <v>45275.64583</v>
      </c>
      <c r="B17" s="6">
        <f>IFERROR(__xludf.DUMMYFUNCTION("""COMPUTED_VALUE"""),717.8)</f>
        <v>717.8</v>
      </c>
      <c r="C17" s="6">
        <f>IFERROR(__xludf.DUMMYFUNCTION("""COMPUTED_VALUE"""),734.0)</f>
        <v>734</v>
      </c>
      <c r="D17" s="6">
        <f>IFERROR(__xludf.DUMMYFUNCTION("""COMPUTED_VALUE"""),713.0)</f>
        <v>713</v>
      </c>
      <c r="E17" s="6">
        <f>IFERROR(__xludf.DUMMYFUNCTION("""COMPUTED_VALUE"""),732.4)</f>
        <v>732.4</v>
      </c>
      <c r="F17" s="6">
        <f>IFERROR(__xludf.DUMMYFUNCTION("""COMPUTED_VALUE"""),3.7486915E7)</f>
        <v>37486915</v>
      </c>
    </row>
    <row r="18">
      <c r="A18" s="7">
        <f>IFERROR(__xludf.DUMMYFUNCTION("""COMPUTED_VALUE"""),45282.64583333333)</f>
        <v>45282.64583</v>
      </c>
      <c r="B18" s="6">
        <f>IFERROR(__xludf.DUMMYFUNCTION("""COMPUTED_VALUE"""),732.9)</f>
        <v>732.9</v>
      </c>
      <c r="C18" s="6">
        <f>IFERROR(__xludf.DUMMYFUNCTION("""COMPUTED_VALUE"""),734.75)</f>
        <v>734.75</v>
      </c>
      <c r="D18" s="6">
        <f>IFERROR(__xludf.DUMMYFUNCTION("""COMPUTED_VALUE"""),696.25)</f>
        <v>696.25</v>
      </c>
      <c r="E18" s="6">
        <f>IFERROR(__xludf.DUMMYFUNCTION("""COMPUTED_VALUE"""),724.7)</f>
        <v>724.7</v>
      </c>
      <c r="F18" s="6">
        <f>IFERROR(__xludf.DUMMYFUNCTION("""COMPUTED_VALUE"""),3.783357E7)</f>
        <v>37833570</v>
      </c>
    </row>
    <row r="19">
      <c r="A19" s="7">
        <f>IFERROR(__xludf.DUMMYFUNCTION("""COMPUTED_VALUE"""),45289.64583333333)</f>
        <v>45289.64583</v>
      </c>
      <c r="B19" s="6">
        <f>IFERROR(__xludf.DUMMYFUNCTION("""COMPUTED_VALUE"""),727.4)</f>
        <v>727.4</v>
      </c>
      <c r="C19" s="6">
        <f>IFERROR(__xludf.DUMMYFUNCTION("""COMPUTED_VALUE"""),802.9)</f>
        <v>802.9</v>
      </c>
      <c r="D19" s="6">
        <f>IFERROR(__xludf.DUMMYFUNCTION("""COMPUTED_VALUE"""),716.6)</f>
        <v>716.6</v>
      </c>
      <c r="E19" s="6">
        <f>IFERROR(__xludf.DUMMYFUNCTION("""COMPUTED_VALUE"""),779.95)</f>
        <v>779.95</v>
      </c>
      <c r="F19" s="6">
        <f>IFERROR(__xludf.DUMMYFUNCTION("""COMPUTED_VALUE"""),7.8358333E7)</f>
        <v>78358333</v>
      </c>
    </row>
    <row r="20">
      <c r="A20" s="7">
        <f>IFERROR(__xludf.DUMMYFUNCTION("""COMPUTED_VALUE"""),45296.64583333333)</f>
        <v>45296.64583</v>
      </c>
      <c r="B20" s="6">
        <f>IFERROR(__xludf.DUMMYFUNCTION("""COMPUTED_VALUE"""),785.0)</f>
        <v>785</v>
      </c>
      <c r="C20" s="6">
        <f>IFERROR(__xludf.DUMMYFUNCTION("""COMPUTED_VALUE"""),805.9)</f>
        <v>805.9</v>
      </c>
      <c r="D20" s="6">
        <f>IFERROR(__xludf.DUMMYFUNCTION("""COMPUTED_VALUE"""),776.25)</f>
        <v>776.25</v>
      </c>
      <c r="E20" s="6">
        <f>IFERROR(__xludf.DUMMYFUNCTION("""COMPUTED_VALUE"""),790.95)</f>
        <v>790.95</v>
      </c>
      <c r="F20" s="6">
        <f>IFERROR(__xludf.DUMMYFUNCTION("""COMPUTED_VALUE"""),6.0310509E7)</f>
        <v>60310509</v>
      </c>
    </row>
    <row r="21">
      <c r="A21" s="7">
        <f>IFERROR(__xludf.DUMMYFUNCTION("""COMPUTED_VALUE"""),45303.64583333333)</f>
        <v>45303.64583</v>
      </c>
      <c r="B21" s="6">
        <f>IFERROR(__xludf.DUMMYFUNCTION("""COMPUTED_VALUE"""),798.4)</f>
        <v>798.4</v>
      </c>
      <c r="C21" s="6">
        <f>IFERROR(__xludf.DUMMYFUNCTION("""COMPUTED_VALUE"""),818.55)</f>
        <v>818.55</v>
      </c>
      <c r="D21" s="6">
        <f>IFERROR(__xludf.DUMMYFUNCTION("""COMPUTED_VALUE"""),787.5)</f>
        <v>787.5</v>
      </c>
      <c r="E21" s="6">
        <f>IFERROR(__xludf.DUMMYFUNCTION("""COMPUTED_VALUE"""),816.45)</f>
        <v>816.45</v>
      </c>
      <c r="F21" s="6">
        <f>IFERROR(__xludf.DUMMYFUNCTION("""COMPUTED_VALUE"""),4.9260533E7)</f>
        <v>49260533</v>
      </c>
    </row>
    <row r="22">
      <c r="A22" s="7">
        <f>IFERROR(__xludf.DUMMYFUNCTION("""COMPUTED_VALUE"""),45316.64583333333)</f>
        <v>45316.64583</v>
      </c>
      <c r="B22" s="6">
        <f>IFERROR(__xludf.DUMMYFUNCTION("""COMPUTED_VALUE"""),824.9)</f>
        <v>824.9</v>
      </c>
      <c r="C22" s="6">
        <f>IFERROR(__xludf.DUMMYFUNCTION("""COMPUTED_VALUE"""),827.6)</f>
        <v>827.6</v>
      </c>
      <c r="D22" s="6">
        <f>IFERROR(__xludf.DUMMYFUNCTION("""COMPUTED_VALUE"""),788.5)</f>
        <v>788.5</v>
      </c>
      <c r="E22" s="6">
        <f>IFERROR(__xludf.DUMMYFUNCTION("""COMPUTED_VALUE"""),811.85)</f>
        <v>811.85</v>
      </c>
      <c r="F22" s="6">
        <f>IFERROR(__xludf.DUMMYFUNCTION("""COMPUTED_VALUE"""),2.6763471E7)</f>
        <v>26763471</v>
      </c>
    </row>
    <row r="23">
      <c r="A23" s="7">
        <f>IFERROR(__xludf.DUMMYFUNCTION("""COMPUTED_VALUE"""),45324.64583333333)</f>
        <v>45324.64583</v>
      </c>
      <c r="B23" s="6">
        <f>IFERROR(__xludf.DUMMYFUNCTION("""COMPUTED_VALUE"""),811.85)</f>
        <v>811.85</v>
      </c>
      <c r="C23" s="6">
        <f>IFERROR(__xludf.DUMMYFUNCTION("""COMPUTED_VALUE"""),900.15)</f>
        <v>900.15</v>
      </c>
      <c r="D23" s="6">
        <f>IFERROR(__xludf.DUMMYFUNCTION("""COMPUTED_VALUE"""),811.05)</f>
        <v>811.05</v>
      </c>
      <c r="E23" s="6">
        <f>IFERROR(__xludf.DUMMYFUNCTION("""COMPUTED_VALUE"""),878.75)</f>
        <v>878.75</v>
      </c>
      <c r="F23" s="6">
        <f>IFERROR(__xludf.DUMMYFUNCTION("""COMPUTED_VALUE"""),8.4630013E7)</f>
        <v>84630013</v>
      </c>
    </row>
    <row r="24">
      <c r="A24" s="7">
        <f>IFERROR(__xludf.DUMMYFUNCTION("""COMPUTED_VALUE"""),45331.64583333333)</f>
        <v>45331.64583</v>
      </c>
      <c r="B24" s="6">
        <f>IFERROR(__xludf.DUMMYFUNCTION("""COMPUTED_VALUE"""),934.0)</f>
        <v>934</v>
      </c>
      <c r="C24" s="6">
        <f>IFERROR(__xludf.DUMMYFUNCTION("""COMPUTED_VALUE"""),950.0)</f>
        <v>950</v>
      </c>
      <c r="D24" s="6">
        <f>IFERROR(__xludf.DUMMYFUNCTION("""COMPUTED_VALUE"""),906.05)</f>
        <v>906.05</v>
      </c>
      <c r="E24" s="6">
        <f>IFERROR(__xludf.DUMMYFUNCTION("""COMPUTED_VALUE"""),915.0)</f>
        <v>915</v>
      </c>
      <c r="F24" s="6">
        <f>IFERROR(__xludf.DUMMYFUNCTION("""COMPUTED_VALUE"""),7.8795818E7)</f>
        <v>78795818</v>
      </c>
    </row>
    <row r="25">
      <c r="A25" s="7">
        <f>IFERROR(__xludf.DUMMYFUNCTION("""COMPUTED_VALUE"""),45338.64583333333)</f>
        <v>45338.64583</v>
      </c>
      <c r="B25" s="6">
        <f>IFERROR(__xludf.DUMMYFUNCTION("""COMPUTED_VALUE"""),916.1)</f>
        <v>916.1</v>
      </c>
      <c r="C25" s="6">
        <f>IFERROR(__xludf.DUMMYFUNCTION("""COMPUTED_VALUE"""),948.8)</f>
        <v>948.8</v>
      </c>
      <c r="D25" s="6">
        <f>IFERROR(__xludf.DUMMYFUNCTION("""COMPUTED_VALUE"""),894.0)</f>
        <v>894</v>
      </c>
      <c r="E25" s="6">
        <f>IFERROR(__xludf.DUMMYFUNCTION("""COMPUTED_VALUE"""),938.6)</f>
        <v>938.6</v>
      </c>
      <c r="F25" s="6">
        <f>IFERROR(__xludf.DUMMYFUNCTION("""COMPUTED_VALUE"""),4.1688898E7)</f>
        <v>41688898</v>
      </c>
    </row>
    <row r="26">
      <c r="A26" s="7">
        <f>IFERROR(__xludf.DUMMYFUNCTION("""COMPUTED_VALUE"""),45345.64583333333)</f>
        <v>45345.64583</v>
      </c>
      <c r="B26" s="6">
        <f>IFERROR(__xludf.DUMMYFUNCTION("""COMPUTED_VALUE"""),942.95)</f>
        <v>942.95</v>
      </c>
      <c r="C26" s="6">
        <f>IFERROR(__xludf.DUMMYFUNCTION("""COMPUTED_VALUE"""),942.95)</f>
        <v>942.95</v>
      </c>
      <c r="D26" s="6">
        <f>IFERROR(__xludf.DUMMYFUNCTION("""COMPUTED_VALUE"""),914.6)</f>
        <v>914.6</v>
      </c>
      <c r="E26" s="6">
        <f>IFERROR(__xludf.DUMMYFUNCTION("""COMPUTED_VALUE"""),937.4)</f>
        <v>937.4</v>
      </c>
      <c r="F26" s="6">
        <f>IFERROR(__xludf.DUMMYFUNCTION("""COMPUTED_VALUE"""),2.8861358E7)</f>
        <v>28861358</v>
      </c>
    </row>
    <row r="27">
      <c r="A27" s="7">
        <f>IFERROR(__xludf.DUMMYFUNCTION("""COMPUTED_VALUE"""),45358.64583333333)</f>
        <v>45358.64583</v>
      </c>
      <c r="B27" s="6">
        <f>IFERROR(__xludf.DUMMYFUNCTION("""COMPUTED_VALUE"""),993.25)</f>
        <v>993.25</v>
      </c>
      <c r="C27" s="6">
        <f>IFERROR(__xludf.DUMMYFUNCTION("""COMPUTED_VALUE"""),1065.6)</f>
        <v>1065.6</v>
      </c>
      <c r="D27" s="6">
        <f>IFERROR(__xludf.DUMMYFUNCTION("""COMPUTED_VALUE"""),980.1)</f>
        <v>980.1</v>
      </c>
      <c r="E27" s="6">
        <f>IFERROR(__xludf.DUMMYFUNCTION("""COMPUTED_VALUE"""),1039.3)</f>
        <v>1039.3</v>
      </c>
      <c r="F27" s="6">
        <f>IFERROR(__xludf.DUMMYFUNCTION("""COMPUTED_VALUE"""),9.6987433E7)</f>
        <v>96987433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IFERROR(__xludf.DUMMYFUNCTION("""COMPUTED_VALUE"""),1034.75)</f>
        <v>1034.75</v>
      </c>
      <c r="C28" s="6">
        <f>IFERROR(__xludf.DUMMYFUNCTION("""COMPUTED_VALUE"""),1037.0)</f>
        <v>1037</v>
      </c>
      <c r="D28" s="6">
        <f>IFERROR(__xludf.DUMMYFUNCTION("""COMPUTED_VALUE"""),940.0)</f>
        <v>940</v>
      </c>
      <c r="E28" s="6">
        <f>IFERROR(__xludf.DUMMYFUNCTION("""COMPUTED_VALUE"""),945.85)</f>
        <v>945.85</v>
      </c>
      <c r="F28" s="6">
        <f>IFERROR(__xludf.DUMMYFUNCTION("""COMPUTED_VALUE"""),7.9153139E7)</f>
        <v>79153139</v>
      </c>
    </row>
    <row r="29">
      <c r="A29" s="7">
        <f>IFERROR(__xludf.DUMMYFUNCTION("""COMPUTED_VALUE"""),45373.64583333333)</f>
        <v>45373.64583</v>
      </c>
      <c r="B29" s="6">
        <f>IFERROR(__xludf.DUMMYFUNCTION("""COMPUTED_VALUE"""),945.85)</f>
        <v>945.85</v>
      </c>
      <c r="C29" s="6">
        <f>IFERROR(__xludf.DUMMYFUNCTION("""COMPUTED_VALUE"""),986.2)</f>
        <v>986.2</v>
      </c>
      <c r="D29" s="6">
        <f>IFERROR(__xludf.DUMMYFUNCTION("""COMPUTED_VALUE"""),921.2)</f>
        <v>921.2</v>
      </c>
      <c r="E29" s="6">
        <f>IFERROR(__xludf.DUMMYFUNCTION("""COMPUTED_VALUE"""),979.8)</f>
        <v>979.8</v>
      </c>
      <c r="F29" s="6">
        <f>IFERROR(__xludf.DUMMYFUNCTION("""COMPUTED_VALUE"""),6.0218293E7)</f>
        <v>60218293</v>
      </c>
    </row>
    <row r="30">
      <c r="A30" s="7">
        <f>IFERROR(__xludf.DUMMYFUNCTION("""COMPUTED_VALUE"""),45379.64583333333)</f>
        <v>45379.64583</v>
      </c>
      <c r="B30" s="6">
        <f>IFERROR(__xludf.DUMMYFUNCTION("""COMPUTED_VALUE"""),977.0)</f>
        <v>977</v>
      </c>
      <c r="C30" s="6">
        <f>IFERROR(__xludf.DUMMYFUNCTION("""COMPUTED_VALUE"""),999.9)</f>
        <v>999.9</v>
      </c>
      <c r="D30" s="6">
        <f>IFERROR(__xludf.DUMMYFUNCTION("""COMPUTED_VALUE"""),976.0)</f>
        <v>976</v>
      </c>
      <c r="E30" s="6">
        <f>IFERROR(__xludf.DUMMYFUNCTION("""COMPUTED_VALUE"""),992.8)</f>
        <v>992.8</v>
      </c>
      <c r="F30" s="6">
        <f>IFERROR(__xludf.DUMMYFUNCTION("""COMPUTED_VALUE"""),2.5965064E7)</f>
        <v>25965064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IFERROR(__xludf.DUMMYFUNCTION("""COMPUTED_VALUE"""),1000.0)</f>
        <v>1000</v>
      </c>
      <c r="C31" s="6">
        <f>IFERROR(__xludf.DUMMYFUNCTION("""COMPUTED_VALUE"""),1017.0)</f>
        <v>1017</v>
      </c>
      <c r="D31" s="6">
        <f>IFERROR(__xludf.DUMMYFUNCTION("""COMPUTED_VALUE"""),987.45)</f>
        <v>987.45</v>
      </c>
      <c r="E31" s="6">
        <f>IFERROR(__xludf.DUMMYFUNCTION("""COMPUTED_VALUE"""),1007.1)</f>
        <v>1007.1</v>
      </c>
      <c r="F31" s="6">
        <f>IFERROR(__xludf.DUMMYFUNCTION("""COMPUTED_VALUE"""),3.83231E7)</f>
        <v>38323100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IFERROR(__xludf.DUMMYFUNCTION("""COMPUTED_VALUE"""),1010.05)</f>
        <v>1010.05</v>
      </c>
      <c r="C32" s="6">
        <f>IFERROR(__xludf.DUMMYFUNCTION("""COMPUTED_VALUE"""),1029.5)</f>
        <v>1029.5</v>
      </c>
      <c r="D32" s="6">
        <f>IFERROR(__xludf.DUMMYFUNCTION("""COMPUTED_VALUE"""),1004.0)</f>
        <v>1004</v>
      </c>
      <c r="E32" s="6">
        <f>IFERROR(__xludf.DUMMYFUNCTION("""COMPUTED_VALUE"""),1018.5)</f>
        <v>1018.5</v>
      </c>
      <c r="F32" s="6">
        <f>IFERROR(__xludf.DUMMYFUNCTION("""COMPUTED_VALUE"""),2.9856364E7)</f>
        <v>29856364</v>
      </c>
    </row>
    <row r="33">
      <c r="A33" s="7">
        <f>IFERROR(__xludf.DUMMYFUNCTION("""COMPUTED_VALUE"""),45401.64583333333)</f>
        <v>45401.64583</v>
      </c>
      <c r="B33" s="6">
        <f>IFERROR(__xludf.DUMMYFUNCTION("""COMPUTED_VALUE"""),998.1)</f>
        <v>998.1</v>
      </c>
      <c r="C33" s="6">
        <f>IFERROR(__xludf.DUMMYFUNCTION("""COMPUTED_VALUE"""),1006.95)</f>
        <v>1006.95</v>
      </c>
      <c r="D33" s="6">
        <f>IFERROR(__xludf.DUMMYFUNCTION("""COMPUTED_VALUE"""),944.0)</f>
        <v>944</v>
      </c>
      <c r="E33" s="6">
        <f>IFERROR(__xludf.DUMMYFUNCTION("""COMPUTED_VALUE"""),963.2)</f>
        <v>963.2</v>
      </c>
      <c r="F33" s="6">
        <f>IFERROR(__xludf.DUMMYFUNCTION("""COMPUTED_VALUE"""),5.1128971E7)</f>
        <v>51128971</v>
      </c>
    </row>
    <row r="34">
      <c r="A34" s="7">
        <f>IFERROR(__xludf.DUMMYFUNCTION("""COMPUTED_VALUE"""),45408.64583333333)</f>
        <v>45408.64583</v>
      </c>
      <c r="B34" s="6">
        <f>IFERROR(__xludf.DUMMYFUNCTION("""COMPUTED_VALUE"""),978.75)</f>
        <v>978.75</v>
      </c>
      <c r="C34" s="6">
        <f>IFERROR(__xludf.DUMMYFUNCTION("""COMPUTED_VALUE"""),1008.95)</f>
        <v>1008.95</v>
      </c>
      <c r="D34" s="6">
        <f>IFERROR(__xludf.DUMMYFUNCTION("""COMPUTED_VALUE"""),966.0)</f>
        <v>966</v>
      </c>
      <c r="E34" s="6">
        <f>IFERROR(__xludf.DUMMYFUNCTION("""COMPUTED_VALUE"""),999.5)</f>
        <v>999.5</v>
      </c>
      <c r="F34" s="6">
        <f>IFERROR(__xludf.DUMMYFUNCTION("""COMPUTED_VALUE"""),3.615748E7)</f>
        <v>36157480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IFERROR(__xludf.DUMMYFUNCTION("""COMPUTED_VALUE"""),1003.05)</f>
        <v>1003.05</v>
      </c>
      <c r="C35" s="6">
        <f>IFERROR(__xludf.DUMMYFUNCTION("""COMPUTED_VALUE"""),1040.2)</f>
        <v>1040.2</v>
      </c>
      <c r="D35" s="6">
        <f>IFERROR(__xludf.DUMMYFUNCTION("""COMPUTED_VALUE"""),996.0)</f>
        <v>996</v>
      </c>
      <c r="E35" s="6">
        <f>IFERROR(__xludf.DUMMYFUNCTION("""COMPUTED_VALUE"""),1013.4)</f>
        <v>1013.4</v>
      </c>
      <c r="F35" s="6">
        <f>IFERROR(__xludf.DUMMYFUNCTION("""COMPUTED_VALUE"""),3.8378581E7)</f>
        <v>38378581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IFERROR(__xludf.DUMMYFUNCTION("""COMPUTED_VALUE"""),1015.0)</f>
        <v>1015</v>
      </c>
      <c r="C36" s="6">
        <f>IFERROR(__xludf.DUMMYFUNCTION("""COMPUTED_VALUE"""),1050.35)</f>
        <v>1050.35</v>
      </c>
      <c r="D36" s="6">
        <f>IFERROR(__xludf.DUMMYFUNCTION("""COMPUTED_VALUE"""),977.0)</f>
        <v>977</v>
      </c>
      <c r="E36" s="6">
        <f>IFERROR(__xludf.DUMMYFUNCTION("""COMPUTED_VALUE"""),1046.65)</f>
        <v>1046.65</v>
      </c>
      <c r="F36" s="6">
        <f>IFERROR(__xludf.DUMMYFUNCTION("""COMPUTED_VALUE"""),5.4694519E7)</f>
        <v>54694519</v>
      </c>
    </row>
    <row r="37">
      <c r="A37" s="7">
        <f>IFERROR(__xludf.DUMMYFUNCTION("""COMPUTED_VALUE"""),45436.64583333333)</f>
        <v>45436.64583</v>
      </c>
      <c r="B37" s="6">
        <f>IFERROR(__xludf.DUMMYFUNCTION("""COMPUTED_VALUE"""),954.0)</f>
        <v>954</v>
      </c>
      <c r="C37" s="6">
        <f>IFERROR(__xludf.DUMMYFUNCTION("""COMPUTED_VALUE"""),970.95)</f>
        <v>970.95</v>
      </c>
      <c r="D37" s="6">
        <f>IFERROR(__xludf.DUMMYFUNCTION("""COMPUTED_VALUE"""),942.55)</f>
        <v>942.55</v>
      </c>
      <c r="E37" s="6">
        <f>IFERROR(__xludf.DUMMYFUNCTION("""COMPUTED_VALUE"""),960.55)</f>
        <v>960.55</v>
      </c>
      <c r="F37" s="6">
        <f>IFERROR(__xludf.DUMMYFUNCTION("""COMPUTED_VALUE"""),4.0352199E7)</f>
        <v>40352199</v>
      </c>
    </row>
    <row r="38">
      <c r="A38" s="7">
        <f>IFERROR(__xludf.DUMMYFUNCTION("""COMPUTED_VALUE"""),45443.64583333333)</f>
        <v>45443.64583</v>
      </c>
      <c r="B38" s="6">
        <f>IFERROR(__xludf.DUMMYFUNCTION("""COMPUTED_VALUE"""),964.9)</f>
        <v>964.9</v>
      </c>
      <c r="C38" s="6">
        <f>IFERROR(__xludf.DUMMYFUNCTION("""COMPUTED_VALUE"""),966.45)</f>
        <v>966.45</v>
      </c>
      <c r="D38" s="6">
        <f>IFERROR(__xludf.DUMMYFUNCTION("""COMPUTED_VALUE"""),920.1)</f>
        <v>920.1</v>
      </c>
      <c r="E38" s="6">
        <f>IFERROR(__xludf.DUMMYFUNCTION("""COMPUTED_VALUE"""),923.0)</f>
        <v>923</v>
      </c>
      <c r="F38" s="6">
        <f>IFERROR(__xludf.DUMMYFUNCTION("""COMPUTED_VALUE"""),4.6179534E7)</f>
        <v>46179534</v>
      </c>
    </row>
    <row r="39">
      <c r="A39" s="7">
        <f>IFERROR(__xludf.DUMMYFUNCTION("""COMPUTED_VALUE"""),45450.64583333333)</f>
        <v>45450.64583</v>
      </c>
      <c r="B39" s="6">
        <f>IFERROR(__xludf.DUMMYFUNCTION("""COMPUTED_VALUE"""),963.0)</f>
        <v>963</v>
      </c>
      <c r="C39" s="6">
        <f>IFERROR(__xludf.DUMMYFUNCTION("""COMPUTED_VALUE"""),973.0)</f>
        <v>973</v>
      </c>
      <c r="D39" s="6">
        <f>IFERROR(__xludf.DUMMYFUNCTION("""COMPUTED_VALUE"""),855.4)</f>
        <v>855.4</v>
      </c>
      <c r="E39" s="6">
        <f>IFERROR(__xludf.DUMMYFUNCTION("""COMPUTED_VALUE"""),970.5)</f>
        <v>970.5</v>
      </c>
      <c r="F39" s="6">
        <f>IFERROR(__xludf.DUMMYFUNCTION("""COMPUTED_VALUE"""),7.9991986E7)</f>
        <v>79991986</v>
      </c>
    </row>
    <row r="40">
      <c r="A40" s="7">
        <f>IFERROR(__xludf.DUMMYFUNCTION("""COMPUTED_VALUE"""),45457.64583333333)</f>
        <v>45457.64583</v>
      </c>
      <c r="B40" s="6">
        <f>IFERROR(__xludf.DUMMYFUNCTION("""COMPUTED_VALUE"""),977.0)</f>
        <v>977</v>
      </c>
      <c r="C40" s="6">
        <f>IFERROR(__xludf.DUMMYFUNCTION("""COMPUTED_VALUE"""),1010.25)</f>
        <v>1010.25</v>
      </c>
      <c r="D40" s="6">
        <f>IFERROR(__xludf.DUMMYFUNCTION("""COMPUTED_VALUE"""),966.65)</f>
        <v>966.65</v>
      </c>
      <c r="E40" s="6">
        <f>IFERROR(__xludf.DUMMYFUNCTION("""COMPUTED_VALUE"""),993.4)</f>
        <v>993.4</v>
      </c>
      <c r="F40" s="6">
        <f>IFERROR(__xludf.DUMMYFUNCTION("""COMPUTED_VALUE"""),6.5364273E7)</f>
        <v>65364273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IFERROR(__xludf.DUMMYFUNCTION("""COMPUTED_VALUE"""),1000.0)</f>
        <v>1000</v>
      </c>
      <c r="C41" s="6">
        <f>IFERROR(__xludf.DUMMYFUNCTION("""COMPUTED_VALUE"""),1003.55)</f>
        <v>1003.55</v>
      </c>
      <c r="D41" s="6">
        <f>IFERROR(__xludf.DUMMYFUNCTION("""COMPUTED_VALUE"""),958.1)</f>
        <v>958.1</v>
      </c>
      <c r="E41" s="6">
        <f>IFERROR(__xludf.DUMMYFUNCTION("""COMPUTED_VALUE"""),961.8)</f>
        <v>961.8</v>
      </c>
      <c r="F41" s="6">
        <f>IFERROR(__xludf.DUMMYFUNCTION("""COMPUTED_VALUE"""),3.90541E7)</f>
        <v>39054100</v>
      </c>
    </row>
    <row r="42">
      <c r="A42" s="7">
        <f>IFERROR(__xludf.DUMMYFUNCTION("""COMPUTED_VALUE"""),45471.64583333333)</f>
        <v>45471.64583</v>
      </c>
      <c r="B42" s="6">
        <f>IFERROR(__xludf.DUMMYFUNCTION("""COMPUTED_VALUE"""),960.9)</f>
        <v>960.9</v>
      </c>
      <c r="C42" s="6">
        <f>IFERROR(__xludf.DUMMYFUNCTION("""COMPUTED_VALUE"""),998.5)</f>
        <v>998.5</v>
      </c>
      <c r="D42" s="6">
        <f>IFERROR(__xludf.DUMMYFUNCTION("""COMPUTED_VALUE"""),948.05)</f>
        <v>948.05</v>
      </c>
      <c r="E42" s="6">
        <f>IFERROR(__xludf.DUMMYFUNCTION("""COMPUTED_VALUE"""),989.75)</f>
        <v>989.75</v>
      </c>
      <c r="F42" s="6">
        <f>IFERROR(__xludf.DUMMYFUNCTION("""COMPUTED_VALUE"""),6.3279372E7)</f>
        <v>63279372</v>
      </c>
    </row>
    <row r="43">
      <c r="A43" s="7">
        <f>IFERROR(__xludf.DUMMYFUNCTION("""COMPUTED_VALUE"""),45478.64583333333)</f>
        <v>45478.64583</v>
      </c>
      <c r="B43" s="6">
        <f>IFERROR(__xludf.DUMMYFUNCTION("""COMPUTED_VALUE"""),989.75)</f>
        <v>989.75</v>
      </c>
      <c r="C43" s="6">
        <f>IFERROR(__xludf.DUMMYFUNCTION("""COMPUTED_VALUE"""),1006.6)</f>
        <v>1006.6</v>
      </c>
      <c r="D43" s="6">
        <f>IFERROR(__xludf.DUMMYFUNCTION("""COMPUTED_VALUE"""),973.5)</f>
        <v>973.5</v>
      </c>
      <c r="E43" s="6">
        <f>IFERROR(__xludf.DUMMYFUNCTION("""COMPUTED_VALUE"""),993.65)</f>
        <v>993.65</v>
      </c>
      <c r="F43" s="6">
        <f>IFERROR(__xludf.DUMMYFUNCTION("""COMPUTED_VALUE"""),5.4826702E7)</f>
        <v>54826702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IFERROR(__xludf.DUMMYFUNCTION("""COMPUTED_VALUE"""),1005.0)</f>
        <v>1005</v>
      </c>
      <c r="C44" s="6">
        <f>IFERROR(__xludf.DUMMYFUNCTION("""COMPUTED_VALUE"""),1025.9)</f>
        <v>1025.9</v>
      </c>
      <c r="D44" s="6">
        <f>IFERROR(__xludf.DUMMYFUNCTION("""COMPUTED_VALUE"""),986.05)</f>
        <v>986.05</v>
      </c>
      <c r="E44" s="6">
        <f>IFERROR(__xludf.DUMMYFUNCTION("""COMPUTED_VALUE"""),1016.75)</f>
        <v>1016.75</v>
      </c>
      <c r="F44" s="6">
        <f>IFERROR(__xludf.DUMMYFUNCTION("""COMPUTED_VALUE"""),5.69956E7)</f>
        <v>56995600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IFERROR(__xludf.DUMMYFUNCTION("""COMPUTED_VALUE"""),1021.35)</f>
        <v>1021.35</v>
      </c>
      <c r="C45" s="6">
        <f>IFERROR(__xludf.DUMMYFUNCTION("""COMPUTED_VALUE"""),1029.8)</f>
        <v>1029.8</v>
      </c>
      <c r="D45" s="6">
        <f>IFERROR(__xludf.DUMMYFUNCTION("""COMPUTED_VALUE"""),986.65)</f>
        <v>986.65</v>
      </c>
      <c r="E45" s="6">
        <f>IFERROR(__xludf.DUMMYFUNCTION("""COMPUTED_VALUE"""),990.0)</f>
        <v>990</v>
      </c>
      <c r="F45" s="6">
        <f>IFERROR(__xludf.DUMMYFUNCTION("""COMPUTED_VALUE"""),2.6082354E7)</f>
        <v>26082354</v>
      </c>
    </row>
    <row r="46">
      <c r="A46" s="7">
        <f>IFERROR(__xludf.DUMMYFUNCTION("""COMPUTED_VALUE"""),45499.64583333333)</f>
        <v>45499.64583</v>
      </c>
      <c r="B46" s="6">
        <f>IFERROR(__xludf.DUMMYFUNCTION("""COMPUTED_VALUE"""),990.0)</f>
        <v>990</v>
      </c>
      <c r="C46" s="6">
        <f>IFERROR(__xludf.DUMMYFUNCTION("""COMPUTED_VALUE"""),1120.5)</f>
        <v>1120.5</v>
      </c>
      <c r="D46" s="6">
        <f>IFERROR(__xludf.DUMMYFUNCTION("""COMPUTED_VALUE"""),967.2)</f>
        <v>967.2</v>
      </c>
      <c r="E46" s="6">
        <f>IFERROR(__xludf.DUMMYFUNCTION("""COMPUTED_VALUE"""),1118.3)</f>
        <v>1118.3</v>
      </c>
      <c r="F46" s="6">
        <f>IFERROR(__xludf.DUMMYFUNCTION("""COMPUTED_VALUE"""),8.3249153E7)</f>
        <v>83249153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IFERROR(__xludf.DUMMYFUNCTION("""COMPUTED_VALUE"""),1124.0)</f>
        <v>1124</v>
      </c>
      <c r="C47" s="6">
        <f>IFERROR(__xludf.DUMMYFUNCTION("""COMPUTED_VALUE"""),1179.0)</f>
        <v>1179</v>
      </c>
      <c r="D47" s="6">
        <f>IFERROR(__xludf.DUMMYFUNCTION("""COMPUTED_VALUE"""),1090.05)</f>
        <v>1090.05</v>
      </c>
      <c r="E47" s="6">
        <f>IFERROR(__xludf.DUMMYFUNCTION("""COMPUTED_VALUE"""),1096.65)</f>
        <v>1096.65</v>
      </c>
      <c r="F47" s="6">
        <f>IFERROR(__xludf.DUMMYFUNCTION("""COMPUTED_VALUE"""),8.7647311E7)</f>
        <v>87647311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IFERROR(__xludf.DUMMYFUNCTION("""COMPUTED_VALUE"""),1059.95)</f>
        <v>1059.95</v>
      </c>
      <c r="C48" s="6">
        <f>IFERROR(__xludf.DUMMYFUNCTION("""COMPUTED_VALUE"""),1082.95)</f>
        <v>1082.95</v>
      </c>
      <c r="D48" s="6">
        <f>IFERROR(__xludf.DUMMYFUNCTION("""COMPUTED_VALUE"""),1008.4)</f>
        <v>1008.4</v>
      </c>
      <c r="E48" s="6">
        <f>IFERROR(__xludf.DUMMYFUNCTION("""COMPUTED_VALUE"""),1068.1)</f>
        <v>1068.1</v>
      </c>
      <c r="F48" s="6">
        <f>IFERROR(__xludf.DUMMYFUNCTION("""COMPUTED_VALUE"""),8.8329038E7)</f>
        <v>88329038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IFERROR(__xludf.DUMMYFUNCTION("""COMPUTED_VALUE"""),1065.0)</f>
        <v>1065</v>
      </c>
      <c r="C49" s="6">
        <f>IFERROR(__xludf.DUMMYFUNCTION("""COMPUTED_VALUE"""),1099.95)</f>
        <v>1099.95</v>
      </c>
      <c r="D49" s="6">
        <f>IFERROR(__xludf.DUMMYFUNCTION("""COMPUTED_VALUE"""),1047.0)</f>
        <v>1047</v>
      </c>
      <c r="E49" s="6">
        <f>IFERROR(__xludf.DUMMYFUNCTION("""COMPUTED_VALUE"""),1098.35)</f>
        <v>1098.35</v>
      </c>
      <c r="F49" s="6">
        <f>IFERROR(__xludf.DUMMYFUNCTION("""COMPUTED_VALUE"""),3.8466761E7)</f>
        <v>38466761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IFERROR(__xludf.DUMMYFUNCTION("""COMPUTED_VALUE"""),1105.9)</f>
        <v>1105.9</v>
      </c>
      <c r="C50" s="6">
        <f>IFERROR(__xludf.DUMMYFUNCTION("""COMPUTED_VALUE"""),1107.0)</f>
        <v>1107</v>
      </c>
      <c r="D50" s="6">
        <f>IFERROR(__xludf.DUMMYFUNCTION("""COMPUTED_VALUE"""),1064.95)</f>
        <v>1064.95</v>
      </c>
      <c r="E50" s="6">
        <f>IFERROR(__xludf.DUMMYFUNCTION("""COMPUTED_VALUE"""),1085.15)</f>
        <v>1085.15</v>
      </c>
      <c r="F50" s="6">
        <f>IFERROR(__xludf.DUMMYFUNCTION("""COMPUTED_VALUE"""),3.6964171E7)</f>
        <v>36964171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IFERROR(__xludf.DUMMYFUNCTION("""COMPUTED_VALUE"""),1089.0)</f>
        <v>1089</v>
      </c>
      <c r="C51" s="6">
        <f>IFERROR(__xludf.DUMMYFUNCTION("""COMPUTED_VALUE"""),1142.0)</f>
        <v>1142</v>
      </c>
      <c r="D51" s="6">
        <f>IFERROR(__xludf.DUMMYFUNCTION("""COMPUTED_VALUE"""),1066.0)</f>
        <v>1066</v>
      </c>
      <c r="E51" s="6">
        <f>IFERROR(__xludf.DUMMYFUNCTION("""COMPUTED_VALUE"""),1111.35)</f>
        <v>1111.35</v>
      </c>
      <c r="F51" s="6">
        <f>IFERROR(__xludf.DUMMYFUNCTION("""COMPUTED_VALUE"""),8.4679424E7)</f>
        <v>84679424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IFERROR(__xludf.DUMMYFUNCTION("""COMPUTED_VALUE"""),1105.0)</f>
        <v>1105</v>
      </c>
      <c r="C52" s="6">
        <f>IFERROR(__xludf.DUMMYFUNCTION("""COMPUTED_VALUE"""),1105.0)</f>
        <v>1105</v>
      </c>
      <c r="D52" s="6">
        <f>IFERROR(__xludf.DUMMYFUNCTION("""COMPUTED_VALUE"""),1040.5)</f>
        <v>1040.5</v>
      </c>
      <c r="E52" s="6">
        <f>IFERROR(__xludf.DUMMYFUNCTION("""COMPUTED_VALUE"""),1049.35)</f>
        <v>1049.35</v>
      </c>
      <c r="F52" s="6">
        <f>IFERROR(__xludf.DUMMYFUNCTION("""COMPUTED_VALUE"""),3.4489284E7)</f>
        <v>34489284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IFERROR(__xludf.DUMMYFUNCTION("""COMPUTED_VALUE"""),1049.35)</f>
        <v>1049.35</v>
      </c>
      <c r="C53" s="6">
        <f>IFERROR(__xludf.DUMMYFUNCTION("""COMPUTED_VALUE"""),1049.95)</f>
        <v>1049.95</v>
      </c>
      <c r="D53" s="6">
        <f>IFERROR(__xludf.DUMMYFUNCTION("""COMPUTED_VALUE"""),958.0)</f>
        <v>958</v>
      </c>
      <c r="E53" s="6">
        <f>IFERROR(__xludf.DUMMYFUNCTION("""COMPUTED_VALUE"""),992.1)</f>
        <v>992.1</v>
      </c>
      <c r="F53" s="6">
        <f>IFERROR(__xludf.DUMMYFUNCTION("""COMPUTED_VALUE"""),8.9145215E7)</f>
        <v>89145215</v>
      </c>
    </row>
    <row r="54">
      <c r="A54" s="7">
        <f>IFERROR(__xludf.DUMMYFUNCTION("""COMPUTED_VALUE"""),45555.64583333333)</f>
        <v>45555.64583</v>
      </c>
      <c r="B54" s="6">
        <f>IFERROR(__xludf.DUMMYFUNCTION("""COMPUTED_VALUE"""),997.0)</f>
        <v>997</v>
      </c>
      <c r="C54" s="6">
        <f>IFERROR(__xludf.DUMMYFUNCTION("""COMPUTED_VALUE"""),999.9)</f>
        <v>999.9</v>
      </c>
      <c r="D54" s="6">
        <f>IFERROR(__xludf.DUMMYFUNCTION("""COMPUTED_VALUE"""),949.2)</f>
        <v>949.2</v>
      </c>
      <c r="E54" s="6">
        <f>IFERROR(__xludf.DUMMYFUNCTION("""COMPUTED_VALUE"""),970.85)</f>
        <v>970.85</v>
      </c>
      <c r="F54" s="6">
        <f>IFERROR(__xludf.DUMMYFUNCTION("""COMPUTED_VALUE"""),9.2629069E7)</f>
        <v>92629069</v>
      </c>
    </row>
    <row r="55">
      <c r="A55" s="7">
        <f>IFERROR(__xludf.DUMMYFUNCTION("""COMPUTED_VALUE"""),45562.64583333333)</f>
        <v>45562.64583</v>
      </c>
      <c r="B55" s="6">
        <f>IFERROR(__xludf.DUMMYFUNCTION("""COMPUTED_VALUE"""),973.5)</f>
        <v>973.5</v>
      </c>
      <c r="C55" s="6">
        <f>IFERROR(__xludf.DUMMYFUNCTION("""COMPUTED_VALUE"""),1000.4)</f>
        <v>1000.4</v>
      </c>
      <c r="D55" s="6">
        <f>IFERROR(__xludf.DUMMYFUNCTION("""COMPUTED_VALUE"""),959.25)</f>
        <v>959.25</v>
      </c>
      <c r="E55" s="6">
        <f>IFERROR(__xludf.DUMMYFUNCTION("""COMPUTED_VALUE"""),993.0)</f>
        <v>993</v>
      </c>
      <c r="F55" s="6">
        <f>IFERROR(__xludf.DUMMYFUNCTION("""COMPUTED_VALUE"""),6.7968845E7)</f>
        <v>67968845</v>
      </c>
    </row>
    <row r="56">
      <c r="A56" s="7">
        <f>IFERROR(__xludf.DUMMYFUNCTION("""COMPUTED_VALUE"""),45569.64583333333)</f>
        <v>45569.64583</v>
      </c>
      <c r="B56" s="6">
        <f>IFERROR(__xludf.DUMMYFUNCTION("""COMPUTED_VALUE"""),993.0)</f>
        <v>993</v>
      </c>
      <c r="C56" s="6">
        <f>IFERROR(__xludf.DUMMYFUNCTION("""COMPUTED_VALUE"""),996.95)</f>
        <v>996.95</v>
      </c>
      <c r="D56" s="6">
        <f>IFERROR(__xludf.DUMMYFUNCTION("""COMPUTED_VALUE"""),920.0)</f>
        <v>920</v>
      </c>
      <c r="E56" s="6">
        <f>IFERROR(__xludf.DUMMYFUNCTION("""COMPUTED_VALUE"""),930.75)</f>
        <v>930.75</v>
      </c>
      <c r="F56" s="6">
        <f>IFERROR(__xludf.DUMMYFUNCTION("""COMPUTED_VALUE"""),6.5917373E7)</f>
        <v>65917373</v>
      </c>
    </row>
    <row r="57">
      <c r="A57" s="7">
        <f>IFERROR(__xludf.DUMMYFUNCTION("""COMPUTED_VALUE"""),45576.64583333333)</f>
        <v>45576.64583</v>
      </c>
      <c r="B57" s="6">
        <f>IFERROR(__xludf.DUMMYFUNCTION("""COMPUTED_VALUE"""),942.0)</f>
        <v>942</v>
      </c>
      <c r="C57" s="6">
        <f>IFERROR(__xludf.DUMMYFUNCTION("""COMPUTED_VALUE"""),948.45)</f>
        <v>948.45</v>
      </c>
      <c r="D57" s="6">
        <f>IFERROR(__xludf.DUMMYFUNCTION("""COMPUTED_VALUE"""),893.85)</f>
        <v>893.85</v>
      </c>
      <c r="E57" s="6">
        <f>IFERROR(__xludf.DUMMYFUNCTION("""COMPUTED_VALUE"""),930.7)</f>
        <v>930.7</v>
      </c>
      <c r="F57" s="6">
        <f>IFERROR(__xludf.DUMMYFUNCTION("""COMPUTED_VALUE"""),6.2217549E7)</f>
        <v>62217549</v>
      </c>
    </row>
    <row r="58">
      <c r="A58" s="7">
        <f>IFERROR(__xludf.DUMMYFUNCTION("""COMPUTED_VALUE"""),45583.64583333333)</f>
        <v>45583.64583</v>
      </c>
      <c r="B58" s="6">
        <f>IFERROR(__xludf.DUMMYFUNCTION("""COMPUTED_VALUE"""),930.0)</f>
        <v>930</v>
      </c>
      <c r="C58" s="6">
        <f>IFERROR(__xludf.DUMMYFUNCTION("""COMPUTED_VALUE"""),940.0)</f>
        <v>940</v>
      </c>
      <c r="D58" s="6">
        <f>IFERROR(__xludf.DUMMYFUNCTION("""COMPUTED_VALUE"""),886.8)</f>
        <v>886.8</v>
      </c>
      <c r="E58" s="6">
        <f>IFERROR(__xludf.DUMMYFUNCTION("""COMPUTED_VALUE"""),910.15)</f>
        <v>910.15</v>
      </c>
      <c r="F58" s="6">
        <f>IFERROR(__xludf.DUMMYFUNCTION("""COMPUTED_VALUE"""),5.0490323E7)</f>
        <v>50490323</v>
      </c>
    </row>
    <row r="59">
      <c r="A59" s="7">
        <f>IFERROR(__xludf.DUMMYFUNCTION("""COMPUTED_VALUE"""),45590.64583333333)</f>
        <v>45590.64583</v>
      </c>
      <c r="B59" s="6">
        <f>IFERROR(__xludf.DUMMYFUNCTION("""COMPUTED_VALUE"""),912.05)</f>
        <v>912.05</v>
      </c>
      <c r="C59" s="6">
        <f>IFERROR(__xludf.DUMMYFUNCTION("""COMPUTED_VALUE"""),917.65)</f>
        <v>917.65</v>
      </c>
      <c r="D59" s="6">
        <f>IFERROR(__xludf.DUMMYFUNCTION("""COMPUTED_VALUE"""),857.3)</f>
        <v>857.3</v>
      </c>
      <c r="E59" s="6">
        <f>IFERROR(__xludf.DUMMYFUNCTION("""COMPUTED_VALUE"""),864.3)</f>
        <v>864.3</v>
      </c>
      <c r="F59" s="6">
        <f>IFERROR(__xludf.DUMMYFUNCTION("""COMPUTED_VALUE"""),4.9668324E7)</f>
        <v>49668324</v>
      </c>
    </row>
    <row r="60">
      <c r="A60" s="7">
        <f>IFERROR(__xludf.DUMMYFUNCTION("""COMPUTED_VALUE"""),45604.64583333333)</f>
        <v>45604.64583</v>
      </c>
      <c r="B60" s="6">
        <f>IFERROR(__xludf.DUMMYFUNCTION("""COMPUTED_VALUE"""),840.0)</f>
        <v>840</v>
      </c>
      <c r="C60" s="6">
        <f>IFERROR(__xludf.DUMMYFUNCTION("""COMPUTED_VALUE"""),844.45)</f>
        <v>844.45</v>
      </c>
      <c r="D60" s="6">
        <f>IFERROR(__xludf.DUMMYFUNCTION("""COMPUTED_VALUE"""),801.1)</f>
        <v>801.1</v>
      </c>
      <c r="E60" s="6">
        <f>IFERROR(__xludf.DUMMYFUNCTION("""COMPUTED_VALUE"""),805.45)</f>
        <v>805.45</v>
      </c>
      <c r="F60" s="6">
        <f>IFERROR(__xludf.DUMMYFUNCTION("""COMPUTED_VALUE"""),6.5619117E7)</f>
        <v>65619117</v>
      </c>
    </row>
    <row r="61">
      <c r="A61" s="7">
        <f>IFERROR(__xludf.DUMMYFUNCTION("""COMPUTED_VALUE"""),45610.64583333333)</f>
        <v>45610.64583</v>
      </c>
      <c r="B61" s="6">
        <f>IFERROR(__xludf.DUMMYFUNCTION("""COMPUTED_VALUE"""),801.0)</f>
        <v>801</v>
      </c>
      <c r="C61" s="6">
        <f>IFERROR(__xludf.DUMMYFUNCTION("""COMPUTED_VALUE"""),831.45)</f>
        <v>831.45</v>
      </c>
      <c r="D61" s="6">
        <f>IFERROR(__xludf.DUMMYFUNCTION("""COMPUTED_VALUE"""),772.0)</f>
        <v>772</v>
      </c>
      <c r="E61" s="6">
        <f>IFERROR(__xludf.DUMMYFUNCTION("""COMPUTED_VALUE"""),774.3)</f>
        <v>774.3</v>
      </c>
      <c r="F61" s="6">
        <f>IFERROR(__xludf.DUMMYFUNCTION("""COMPUTED_VALUE"""),7.0529471E7)</f>
        <v>70529471</v>
      </c>
    </row>
    <row r="62">
      <c r="A62" s="7">
        <f>IFERROR(__xludf.DUMMYFUNCTION("""COMPUTED_VALUE"""),45618.64583333333)</f>
        <v>45618.64583</v>
      </c>
      <c r="B62" s="6">
        <f>IFERROR(__xludf.DUMMYFUNCTION("""COMPUTED_VALUE"""),778.0)</f>
        <v>778</v>
      </c>
      <c r="C62" s="6">
        <f>IFERROR(__xludf.DUMMYFUNCTION("""COMPUTED_VALUE"""),799.9)</f>
        <v>799.9</v>
      </c>
      <c r="D62" s="6">
        <f>IFERROR(__xludf.DUMMYFUNCTION("""COMPUTED_VALUE"""),759.2)</f>
        <v>759.2</v>
      </c>
      <c r="E62" s="6">
        <f>IFERROR(__xludf.DUMMYFUNCTION("""COMPUTED_VALUE"""),791.0)</f>
        <v>791</v>
      </c>
      <c r="F62" s="6">
        <f>IFERROR(__xludf.DUMMYFUNCTION("""COMPUTED_VALUE"""),5.979525E7)</f>
        <v>59795250</v>
      </c>
    </row>
    <row r="63">
      <c r="A63" s="7">
        <f>IFERROR(__xludf.DUMMYFUNCTION("""COMPUTED_VALUE"""),45625.64583333333)</f>
        <v>45625.64583</v>
      </c>
      <c r="B63" s="6">
        <f>IFERROR(__xludf.DUMMYFUNCTION("""COMPUTED_VALUE"""),808.05)</f>
        <v>808.05</v>
      </c>
      <c r="C63" s="6">
        <f>IFERROR(__xludf.DUMMYFUNCTION("""COMPUTED_VALUE"""),810.2)</f>
        <v>810.2</v>
      </c>
      <c r="D63" s="6">
        <f>IFERROR(__xludf.DUMMYFUNCTION("""COMPUTED_VALUE"""),777.05)</f>
        <v>777.05</v>
      </c>
      <c r="E63" s="6">
        <f>IFERROR(__xludf.DUMMYFUNCTION("""COMPUTED_VALUE"""),786.45)</f>
        <v>786.45</v>
      </c>
      <c r="F63" s="6">
        <f>IFERROR(__xludf.DUMMYFUNCTION("""COMPUTED_VALUE"""),5.6817422E7)</f>
        <v>56817422</v>
      </c>
    </row>
    <row r="64">
      <c r="A64" s="7">
        <f>IFERROR(__xludf.DUMMYFUNCTION("""COMPUTED_VALUE"""),45632.64583333333)</f>
        <v>45632.64583</v>
      </c>
      <c r="B64" s="6">
        <f>IFERROR(__xludf.DUMMYFUNCTION("""COMPUTED_VALUE"""),787.3)</f>
        <v>787.3</v>
      </c>
      <c r="C64" s="6">
        <f>IFERROR(__xludf.DUMMYFUNCTION("""COMPUTED_VALUE"""),818.85)</f>
        <v>818.85</v>
      </c>
      <c r="D64" s="6">
        <f>IFERROR(__xludf.DUMMYFUNCTION("""COMPUTED_VALUE"""),781.0)</f>
        <v>781</v>
      </c>
      <c r="E64" s="6">
        <f>IFERROR(__xludf.DUMMYFUNCTION("""COMPUTED_VALUE"""),816.8)</f>
        <v>816.8</v>
      </c>
      <c r="F64" s="6">
        <f>IFERROR(__xludf.DUMMYFUNCTION("""COMPUTED_VALUE"""),6.2578558E7)</f>
        <v>62578558</v>
      </c>
    </row>
    <row r="65">
      <c r="A65" s="7">
        <f>IFERROR(__xludf.DUMMYFUNCTION("""COMPUTED_VALUE"""),45639.64583333333)</f>
        <v>45639.64583</v>
      </c>
      <c r="B65" s="6">
        <f>IFERROR(__xludf.DUMMYFUNCTION("""COMPUTED_VALUE"""),816.8)</f>
        <v>816.8</v>
      </c>
      <c r="C65" s="6">
        <f>IFERROR(__xludf.DUMMYFUNCTION("""COMPUTED_VALUE"""),820.35)</f>
        <v>820.35</v>
      </c>
      <c r="D65" s="6">
        <f>IFERROR(__xludf.DUMMYFUNCTION("""COMPUTED_VALUE"""),775.0)</f>
        <v>775</v>
      </c>
      <c r="E65" s="6">
        <f>IFERROR(__xludf.DUMMYFUNCTION("""COMPUTED_VALUE"""),790.3)</f>
        <v>790.3</v>
      </c>
      <c r="F65" s="6">
        <f>IFERROR(__xludf.DUMMYFUNCTION("""COMPUTED_VALUE"""),6.1154299E7)</f>
        <v>61154299</v>
      </c>
    </row>
    <row r="66">
      <c r="A66" s="7">
        <f>IFERROR(__xludf.DUMMYFUNCTION("""COMPUTED_VALUE"""),45646.64583333333)</f>
        <v>45646.64583</v>
      </c>
      <c r="B66" s="6">
        <f>IFERROR(__xludf.DUMMYFUNCTION("""COMPUTED_VALUE"""),791.4)</f>
        <v>791.4</v>
      </c>
      <c r="C66" s="6">
        <f>IFERROR(__xludf.DUMMYFUNCTION("""COMPUTED_VALUE"""),796.35)</f>
        <v>796.35</v>
      </c>
      <c r="D66" s="6">
        <f>IFERROR(__xludf.DUMMYFUNCTION("""COMPUTED_VALUE"""),721.5)</f>
        <v>721.5</v>
      </c>
      <c r="E66" s="6">
        <f>IFERROR(__xludf.DUMMYFUNCTION("""COMPUTED_VALUE"""),724.05)</f>
        <v>724.05</v>
      </c>
      <c r="F66" s="6">
        <f>IFERROR(__xludf.DUMMYFUNCTION("""COMPUTED_VALUE"""),7.4453132E7)</f>
        <v>74453132</v>
      </c>
    </row>
    <row r="67">
      <c r="A67" s="7">
        <f>IFERROR(__xludf.DUMMYFUNCTION("""COMPUTED_VALUE"""),45653.64583333333)</f>
        <v>45653.64583</v>
      </c>
      <c r="B67" s="6">
        <f>IFERROR(__xludf.DUMMYFUNCTION("""COMPUTED_VALUE"""),733.7)</f>
        <v>733.7</v>
      </c>
      <c r="C67" s="6">
        <f>IFERROR(__xludf.DUMMYFUNCTION("""COMPUTED_VALUE"""),766.85)</f>
        <v>766.85</v>
      </c>
      <c r="D67" s="6">
        <f>IFERROR(__xludf.DUMMYFUNCTION("""COMPUTED_VALUE"""),717.7)</f>
        <v>717.7</v>
      </c>
      <c r="E67" s="6">
        <f>IFERROR(__xludf.DUMMYFUNCTION("""COMPUTED_VALUE"""),750.5)</f>
        <v>750.5</v>
      </c>
      <c r="F67" s="6">
        <f>IFERROR(__xludf.DUMMYFUNCTION("""COMPUTED_VALUE"""),4.7385712E7)</f>
        <v>47385712</v>
      </c>
    </row>
    <row r="68">
      <c r="A68" s="7">
        <f>IFERROR(__xludf.DUMMYFUNCTION("""COMPUTED_VALUE"""),45660.64583333333)</f>
        <v>45660.64583</v>
      </c>
      <c r="B68" s="6">
        <f>IFERROR(__xludf.DUMMYFUNCTION("""COMPUTED_VALUE"""),753.9)</f>
        <v>753.9</v>
      </c>
      <c r="C68" s="6">
        <f>IFERROR(__xludf.DUMMYFUNCTION("""COMPUTED_VALUE"""),800.6)</f>
        <v>800.6</v>
      </c>
      <c r="D68" s="6">
        <f>IFERROR(__xludf.DUMMYFUNCTION("""COMPUTED_VALUE"""),730.7)</f>
        <v>730.7</v>
      </c>
      <c r="E68" s="6">
        <f>IFERROR(__xludf.DUMMYFUNCTION("""COMPUTED_VALUE"""),790.4)</f>
        <v>790.4</v>
      </c>
      <c r="F68" s="6">
        <f>IFERROR(__xludf.DUMMYFUNCTION("""COMPUTED_VALUE"""),7.2393745E7)</f>
        <v>72393745</v>
      </c>
    </row>
    <row r="69">
      <c r="A69" s="7">
        <f>IFERROR(__xludf.DUMMYFUNCTION("""COMPUTED_VALUE"""),45667.64583333333)</f>
        <v>45667.64583</v>
      </c>
      <c r="B69" s="6">
        <f>IFERROR(__xludf.DUMMYFUNCTION("""COMPUTED_VALUE"""),797.7)</f>
        <v>797.7</v>
      </c>
      <c r="C69" s="6">
        <f>IFERROR(__xludf.DUMMYFUNCTION("""COMPUTED_VALUE"""),810.0)</f>
        <v>810</v>
      </c>
      <c r="D69" s="6">
        <f>IFERROR(__xludf.DUMMYFUNCTION("""COMPUTED_VALUE"""),765.3)</f>
        <v>765.3</v>
      </c>
      <c r="E69" s="6">
        <f>IFERROR(__xludf.DUMMYFUNCTION("""COMPUTED_VALUE"""),774.65)</f>
        <v>774.65</v>
      </c>
      <c r="F69" s="6">
        <f>IFERROR(__xludf.DUMMYFUNCTION("""COMPUTED_VALUE"""),7.3449657E7)</f>
        <v>73449657</v>
      </c>
    </row>
    <row r="70">
      <c r="A70" s="7">
        <f>IFERROR(__xludf.DUMMYFUNCTION("""COMPUTED_VALUE"""),45674.64583333333)</f>
        <v>45674.64583</v>
      </c>
      <c r="B70" s="6">
        <f>IFERROR(__xludf.DUMMYFUNCTION("""COMPUTED_VALUE"""),769.0)</f>
        <v>769</v>
      </c>
      <c r="C70" s="6">
        <f>IFERROR(__xludf.DUMMYFUNCTION("""COMPUTED_VALUE"""),785.5)</f>
        <v>785.5</v>
      </c>
      <c r="D70" s="6">
        <f>IFERROR(__xludf.DUMMYFUNCTION("""COMPUTED_VALUE"""),748.8)</f>
        <v>748.8</v>
      </c>
      <c r="E70" s="6">
        <f>IFERROR(__xludf.DUMMYFUNCTION("""COMPUTED_VALUE"""),779.75)</f>
        <v>779.75</v>
      </c>
      <c r="F70" s="6">
        <f>IFERROR(__xludf.DUMMYFUNCTION("""COMPUTED_VALUE"""),4.979554E7)</f>
        <v>49795540</v>
      </c>
    </row>
    <row r="71">
      <c r="A71" s="7">
        <f>IFERROR(__xludf.DUMMYFUNCTION("""COMPUTED_VALUE"""),45681.64583333333)</f>
        <v>45681.64583</v>
      </c>
      <c r="B71" s="6">
        <f>IFERROR(__xludf.DUMMYFUNCTION("""COMPUTED_VALUE"""),780.0)</f>
        <v>780</v>
      </c>
      <c r="C71" s="6">
        <f>IFERROR(__xludf.DUMMYFUNCTION("""COMPUTED_VALUE"""),786.65)</f>
        <v>786.65</v>
      </c>
      <c r="D71" s="6">
        <f>IFERROR(__xludf.DUMMYFUNCTION("""COMPUTED_VALUE"""),731.0)</f>
        <v>731</v>
      </c>
      <c r="E71" s="6">
        <f>IFERROR(__xludf.DUMMYFUNCTION("""COMPUTED_VALUE"""),734.1)</f>
        <v>734.1</v>
      </c>
      <c r="F71" s="6">
        <f>IFERROR(__xludf.DUMMYFUNCTION("""COMPUTED_VALUE"""),5.1461608E7)</f>
        <v>51461608</v>
      </c>
    </row>
    <row r="72">
      <c r="A72" s="7">
        <f>IFERROR(__xludf.DUMMYFUNCTION("""COMPUTED_VALUE"""),45695.64583333333)</f>
        <v>45695.64583</v>
      </c>
      <c r="B72" s="6">
        <f>IFERROR(__xludf.DUMMYFUNCTION("""COMPUTED_VALUE"""),700.0)</f>
        <v>700</v>
      </c>
      <c r="C72" s="6">
        <f>IFERROR(__xludf.DUMMYFUNCTION("""COMPUTED_VALUE"""),725.45)</f>
        <v>725.45</v>
      </c>
      <c r="D72" s="6">
        <f>IFERROR(__xludf.DUMMYFUNCTION("""COMPUTED_VALUE"""),686.0)</f>
        <v>686</v>
      </c>
      <c r="E72" s="6">
        <f>IFERROR(__xludf.DUMMYFUNCTION("""COMPUTED_VALUE"""),706.75)</f>
        <v>706.75</v>
      </c>
      <c r="F72" s="6">
        <f>IFERROR(__xludf.DUMMYFUNCTION("""COMPUTED_VALUE"""),6.9782149E7)</f>
        <v>69782149</v>
      </c>
    </row>
    <row r="73">
      <c r="A73" s="7">
        <f>IFERROR(__xludf.DUMMYFUNCTION("""COMPUTED_VALUE"""),45702.64583333333)</f>
        <v>45702.64583</v>
      </c>
      <c r="B73" s="6">
        <f>IFERROR(__xludf.DUMMYFUNCTION("""COMPUTED_VALUE"""),709.75)</f>
        <v>709.75</v>
      </c>
      <c r="C73" s="6">
        <f>IFERROR(__xludf.DUMMYFUNCTION("""COMPUTED_VALUE"""),709.9)</f>
        <v>709.9</v>
      </c>
      <c r="D73" s="6">
        <f>IFERROR(__xludf.DUMMYFUNCTION("""COMPUTED_VALUE"""),667.05)</f>
        <v>667.05</v>
      </c>
      <c r="E73" s="6">
        <f>IFERROR(__xludf.DUMMYFUNCTION("""COMPUTED_VALUE"""),680.65)</f>
        <v>680.65</v>
      </c>
      <c r="F73" s="6">
        <f>IFERROR(__xludf.DUMMYFUNCTION("""COMPUTED_VALUE"""),5.3693273E7)</f>
        <v>53693273</v>
      </c>
    </row>
    <row r="74">
      <c r="A74" s="7">
        <f>IFERROR(__xludf.DUMMYFUNCTION("""COMPUTED_VALUE"""),45709.64583333333)</f>
        <v>45709.64583</v>
      </c>
      <c r="B74" s="6">
        <f>IFERROR(__xludf.DUMMYFUNCTION("""COMPUTED_VALUE"""),678.0)</f>
        <v>678</v>
      </c>
      <c r="C74" s="6">
        <f>IFERROR(__xludf.DUMMYFUNCTION("""COMPUTED_VALUE"""),692.85)</f>
        <v>692.85</v>
      </c>
      <c r="D74" s="6">
        <f>IFERROR(__xludf.DUMMYFUNCTION("""COMPUTED_VALUE"""),667.05)</f>
        <v>667.05</v>
      </c>
      <c r="E74" s="6">
        <f>IFERROR(__xludf.DUMMYFUNCTION("""COMPUTED_VALUE"""),673.2)</f>
        <v>673.2</v>
      </c>
      <c r="F74" s="6">
        <f>IFERROR(__xludf.DUMMYFUNCTION("""COMPUTED_VALUE"""),5.1361392E7)</f>
        <v>51361392</v>
      </c>
    </row>
    <row r="75">
      <c r="A75" s="7">
        <f>IFERROR(__xludf.DUMMYFUNCTION("""COMPUTED_VALUE"""),45716.64583333333)</f>
        <v>45716.64583</v>
      </c>
      <c r="B75" s="6">
        <f>IFERROR(__xludf.DUMMYFUNCTION("""COMPUTED_VALUE"""),670.0)</f>
        <v>670</v>
      </c>
      <c r="C75" s="6">
        <f>IFERROR(__xludf.DUMMYFUNCTION("""COMPUTED_VALUE"""),676.6)</f>
        <v>676.6</v>
      </c>
      <c r="D75" s="6">
        <f>IFERROR(__xludf.DUMMYFUNCTION("""COMPUTED_VALUE"""),618.45)</f>
        <v>618.45</v>
      </c>
      <c r="E75" s="6">
        <f>IFERROR(__xludf.DUMMYFUNCTION("""COMPUTED_VALUE"""),620.65)</f>
        <v>620.65</v>
      </c>
      <c r="F75" s="6">
        <f>IFERROR(__xludf.DUMMYFUNCTION("""COMPUTED_VALUE"""),5.1872502E7)</f>
        <v>51872502</v>
      </c>
    </row>
    <row r="76">
      <c r="A76" s="7">
        <f>IFERROR(__xludf.DUMMYFUNCTION("""COMPUTED_VALUE"""),45723.64583333333)</f>
        <v>45723.64583</v>
      </c>
      <c r="B76" s="6">
        <f>IFERROR(__xludf.DUMMYFUNCTION("""COMPUTED_VALUE"""),620.65)</f>
        <v>620.65</v>
      </c>
      <c r="C76" s="6">
        <f>IFERROR(__xludf.DUMMYFUNCTION("""COMPUTED_VALUE"""),655.95)</f>
        <v>655.95</v>
      </c>
      <c r="D76" s="6">
        <f>IFERROR(__xludf.DUMMYFUNCTION("""COMPUTED_VALUE"""),606.3)</f>
        <v>606.3</v>
      </c>
      <c r="E76" s="6">
        <f>IFERROR(__xludf.DUMMYFUNCTION("""COMPUTED_VALUE"""),648.3)</f>
        <v>648.3</v>
      </c>
      <c r="F76" s="6">
        <f>IFERROR(__xludf.DUMMYFUNCTION("""COMPUTED_VALUE"""),6.9728937E7)</f>
        <v>69728937</v>
      </c>
    </row>
    <row r="77">
      <c r="A77" s="7">
        <f>IFERROR(__xludf.DUMMYFUNCTION("""COMPUTED_VALUE"""),45729.64583333333)</f>
        <v>45729.64583</v>
      </c>
      <c r="B77" s="6">
        <f>IFERROR(__xludf.DUMMYFUNCTION("""COMPUTED_VALUE"""),648.3)</f>
        <v>648.3</v>
      </c>
      <c r="C77" s="6">
        <f>IFERROR(__xludf.DUMMYFUNCTION("""COMPUTED_VALUE"""),671.9)</f>
        <v>671.9</v>
      </c>
      <c r="D77" s="6">
        <f>IFERROR(__xludf.DUMMYFUNCTION("""COMPUTED_VALUE"""),638.45)</f>
        <v>638.45</v>
      </c>
      <c r="E77" s="6">
        <f>IFERROR(__xludf.DUMMYFUNCTION("""COMPUTED_VALUE"""),655.5)</f>
        <v>655.5</v>
      </c>
      <c r="F77" s="6">
        <f>IFERROR(__xludf.DUMMYFUNCTION("""COMPUTED_VALUE"""),5.2581046E7)</f>
        <v>52581046</v>
      </c>
    </row>
    <row r="78">
      <c r="A78" s="7">
        <f>IFERROR(__xludf.DUMMYFUNCTION("""COMPUTED_VALUE"""),45737.64583333333)</f>
        <v>45737.64583</v>
      </c>
      <c r="B78" s="6">
        <f>IFERROR(__xludf.DUMMYFUNCTION("""COMPUTED_VALUE"""),665.05)</f>
        <v>665.05</v>
      </c>
      <c r="C78" s="6">
        <f>IFERROR(__xludf.DUMMYFUNCTION("""COMPUTED_VALUE"""),705.0)</f>
        <v>705</v>
      </c>
      <c r="D78" s="6">
        <f>IFERROR(__xludf.DUMMYFUNCTION("""COMPUTED_VALUE"""),657.45)</f>
        <v>657.45</v>
      </c>
      <c r="E78" s="6">
        <f>IFERROR(__xludf.DUMMYFUNCTION("""COMPUTED_VALUE"""),702.95)</f>
        <v>702.95</v>
      </c>
      <c r="F78" s="6">
        <f>IFERROR(__xludf.DUMMYFUNCTION("""COMPUTED_VALUE"""),5.4284989E7)</f>
        <v>54284989</v>
      </c>
    </row>
    <row r="79">
      <c r="A79" s="7">
        <f>IFERROR(__xludf.DUMMYFUNCTION("""COMPUTED_VALUE"""),45744.64583333333)</f>
        <v>45744.64583</v>
      </c>
      <c r="B79" s="6">
        <f>IFERROR(__xludf.DUMMYFUNCTION("""COMPUTED_VALUE"""),710.0)</f>
        <v>710</v>
      </c>
      <c r="C79" s="6">
        <f>IFERROR(__xludf.DUMMYFUNCTION("""COMPUTED_VALUE"""),723.05)</f>
        <v>723.05</v>
      </c>
      <c r="D79" s="6">
        <f>IFERROR(__xludf.DUMMYFUNCTION("""COMPUTED_VALUE"""),661.1)</f>
        <v>661.1</v>
      </c>
      <c r="E79" s="6">
        <f>IFERROR(__xludf.DUMMYFUNCTION("""COMPUTED_VALUE"""),674.45)</f>
        <v>674.45</v>
      </c>
      <c r="F79" s="6">
        <f>IFERROR(__xludf.DUMMYFUNCTION("""COMPUTED_VALUE"""),8.4904357E7)</f>
        <v>84904357</v>
      </c>
    </row>
    <row r="80">
      <c r="A80" s="7">
        <f>IFERROR(__xludf.DUMMYFUNCTION("""COMPUTED_VALUE"""),45751.64583333333)</f>
        <v>45751.64583</v>
      </c>
      <c r="B80" s="6">
        <f>IFERROR(__xludf.DUMMYFUNCTION("""COMPUTED_VALUE"""),670.55)</f>
        <v>670.55</v>
      </c>
      <c r="C80" s="6">
        <f>IFERROR(__xludf.DUMMYFUNCTION("""COMPUTED_VALUE"""),681.85)</f>
        <v>681.85</v>
      </c>
      <c r="D80" s="6">
        <f>IFERROR(__xludf.DUMMYFUNCTION("""COMPUTED_VALUE"""),610.0)</f>
        <v>610</v>
      </c>
      <c r="E80" s="6">
        <f>IFERROR(__xludf.DUMMYFUNCTION("""COMPUTED_VALUE"""),613.85)</f>
        <v>613.85</v>
      </c>
      <c r="F80" s="6">
        <f>IFERROR(__xludf.DUMMYFUNCTION("""COMPUTED_VALUE"""),5.7714905E7)</f>
        <v>57714905</v>
      </c>
    </row>
    <row r="81">
      <c r="A81" s="7">
        <f>IFERROR(__xludf.DUMMYFUNCTION("""COMPUTED_VALUE"""),45758.64583333333)</f>
        <v>45758.64583</v>
      </c>
      <c r="B81" s="6">
        <f>IFERROR(__xludf.DUMMYFUNCTION("""COMPUTED_VALUE"""),560.5)</f>
        <v>560.5</v>
      </c>
      <c r="C81" s="6">
        <f>IFERROR(__xludf.DUMMYFUNCTION("""COMPUTED_VALUE"""),612.8)</f>
        <v>612.8</v>
      </c>
      <c r="D81" s="6">
        <f>IFERROR(__xludf.DUMMYFUNCTION("""COMPUTED_VALUE"""),535.75)</f>
        <v>535.75</v>
      </c>
      <c r="E81" s="6">
        <f>IFERROR(__xludf.DUMMYFUNCTION("""COMPUTED_VALUE"""),595.05)</f>
        <v>595.05</v>
      </c>
      <c r="F81" s="6">
        <f>IFERROR(__xludf.DUMMYFUNCTION("""COMPUTED_VALUE"""),1.08990679E8)</f>
        <v>108990679</v>
      </c>
    </row>
    <row r="82">
      <c r="A82" s="7">
        <f>IFERROR(__xludf.DUMMYFUNCTION("""COMPUTED_VALUE"""),45764.64583333333)</f>
        <v>45764.64583</v>
      </c>
      <c r="B82" s="6">
        <f>IFERROR(__xludf.DUMMYFUNCTION("""COMPUTED_VALUE"""),614.0)</f>
        <v>614</v>
      </c>
      <c r="C82" s="6">
        <f>IFERROR(__xludf.DUMMYFUNCTION("""COMPUTED_VALUE"""),628.3)</f>
        <v>628.3</v>
      </c>
      <c r="D82" s="6">
        <f>IFERROR(__xludf.DUMMYFUNCTION("""COMPUTED_VALUE"""),608.25)</f>
        <v>608.25</v>
      </c>
      <c r="E82" s="6">
        <f>IFERROR(__xludf.DUMMYFUNCTION("""COMPUTED_VALUE"""),621.55)</f>
        <v>621.55</v>
      </c>
      <c r="F82" s="6">
        <f>IFERROR(__xludf.DUMMYFUNCTION("""COMPUTED_VALUE"""),4.63831E7)</f>
        <v>46383100</v>
      </c>
    </row>
    <row r="83">
      <c r="A83" s="7">
        <f>IFERROR(__xludf.DUMMYFUNCTION("""COMPUTED_VALUE"""),45772.64583333333)</f>
        <v>45772.64583</v>
      </c>
      <c r="B83" s="6">
        <f>IFERROR(__xludf.DUMMYFUNCTION("""COMPUTED_VALUE"""),624.6)</f>
        <v>624.6</v>
      </c>
      <c r="C83" s="6">
        <f>IFERROR(__xludf.DUMMYFUNCTION("""COMPUTED_VALUE"""),673.0)</f>
        <v>673</v>
      </c>
      <c r="D83" s="6">
        <f>IFERROR(__xludf.DUMMYFUNCTION("""COMPUTED_VALUE"""),620.2)</f>
        <v>620.2</v>
      </c>
      <c r="E83" s="6">
        <f>IFERROR(__xludf.DUMMYFUNCTION("""COMPUTED_VALUE"""),655.25)</f>
        <v>655.25</v>
      </c>
      <c r="F83" s="6">
        <f>IFERROR(__xludf.DUMMYFUNCTION("""COMPUTED_VALUE"""),7.4848158E7)</f>
        <v>74848158</v>
      </c>
    </row>
    <row r="84">
      <c r="A84" s="7">
        <f>IFERROR(__xludf.DUMMYFUNCTION("""COMPUTED_VALUE"""),45779.64583333333)</f>
        <v>45779.64583</v>
      </c>
      <c r="B84" s="6">
        <f>IFERROR(__xludf.DUMMYFUNCTION("""COMPUTED_VALUE"""),654.3)</f>
        <v>654.3</v>
      </c>
      <c r="C84" s="6">
        <f>IFERROR(__xludf.DUMMYFUNCTION("""COMPUTED_VALUE"""),682.9)</f>
        <v>682.9</v>
      </c>
      <c r="D84" s="6">
        <f>IFERROR(__xludf.DUMMYFUNCTION("""COMPUTED_VALUE"""),635.55)</f>
        <v>635.55</v>
      </c>
      <c r="E84" s="6">
        <f>IFERROR(__xludf.DUMMYFUNCTION("""COMPUTED_VALUE"""),652.0)</f>
        <v>652</v>
      </c>
      <c r="F84" s="6">
        <f>IFERROR(__xludf.DUMMYFUNCTION("""COMPUTED_VALUE"""),5.4972812E7)</f>
        <v>54972812</v>
      </c>
    </row>
    <row r="85">
      <c r="A85" s="7">
        <f>IFERROR(__xludf.DUMMYFUNCTION("""COMPUTED_VALUE"""),45786.64583333333)</f>
        <v>45786.64583</v>
      </c>
      <c r="B85" s="6">
        <f>IFERROR(__xludf.DUMMYFUNCTION("""COMPUTED_VALUE"""),662.95)</f>
        <v>662.95</v>
      </c>
      <c r="C85" s="6">
        <f>IFERROR(__xludf.DUMMYFUNCTION("""COMPUTED_VALUE"""),711.0)</f>
        <v>711</v>
      </c>
      <c r="D85" s="6">
        <f>IFERROR(__xludf.DUMMYFUNCTION("""COMPUTED_VALUE"""),641.15)</f>
        <v>641.15</v>
      </c>
      <c r="E85" s="6">
        <f>IFERROR(__xludf.DUMMYFUNCTION("""COMPUTED_VALUE"""),708.5)</f>
        <v>708.5</v>
      </c>
      <c r="F85" s="6">
        <f>IFERROR(__xludf.DUMMYFUNCTION("""COMPUTED_VALUE"""),1.21475915E8)</f>
        <v>121475915</v>
      </c>
    </row>
    <row r="86">
      <c r="A86" s="7">
        <f>IFERROR(__xludf.DUMMYFUNCTION("""COMPUTED_VALUE"""),45793.64583333333)</f>
        <v>45793.64583</v>
      </c>
      <c r="B86" s="6">
        <f>IFERROR(__xludf.DUMMYFUNCTION("""COMPUTED_VALUE"""),728.0)</f>
        <v>728</v>
      </c>
      <c r="C86" s="6">
        <f>IFERROR(__xludf.DUMMYFUNCTION("""COMPUTED_VALUE"""),742.0)</f>
        <v>742</v>
      </c>
      <c r="D86" s="6">
        <f>IFERROR(__xludf.DUMMYFUNCTION("""COMPUTED_VALUE"""),686.0)</f>
        <v>686</v>
      </c>
      <c r="E86" s="6">
        <f>IFERROR(__xludf.DUMMYFUNCTION("""COMPUTED_VALUE"""),730.7)</f>
        <v>730.7</v>
      </c>
      <c r="F86" s="6">
        <f>IFERROR(__xludf.DUMMYFUNCTION("""COMPUTED_VALUE"""),1.17030304E8)</f>
        <v>117030304</v>
      </c>
    </row>
    <row r="87">
      <c r="A87" s="7">
        <f>IFERROR(__xludf.DUMMYFUNCTION("""COMPUTED_VALUE"""),45800.64583333333)</f>
        <v>45800.64583</v>
      </c>
      <c r="B87" s="6">
        <f>IFERROR(__xludf.DUMMYFUNCTION("""COMPUTED_VALUE"""),732.0)</f>
        <v>732</v>
      </c>
      <c r="C87" s="6">
        <f>IFERROR(__xludf.DUMMYFUNCTION("""COMPUTED_VALUE"""),738.1)</f>
        <v>738.1</v>
      </c>
      <c r="D87" s="6">
        <f>IFERROR(__xludf.DUMMYFUNCTION("""COMPUTED_VALUE"""),710.65)</f>
        <v>710.65</v>
      </c>
      <c r="E87" s="6">
        <f>IFERROR(__xludf.DUMMYFUNCTION("""COMPUTED_VALUE"""),718.25)</f>
        <v>718.25</v>
      </c>
      <c r="F87" s="6">
        <f>IFERROR(__xludf.DUMMYFUNCTION("""COMPUTED_VALUE"""),5.1893305E7)</f>
        <v>51893305</v>
      </c>
    </row>
    <row r="88">
      <c r="A88" s="7">
        <f>IFERROR(__xludf.DUMMYFUNCTION("""COMPUTED_VALUE"""),45807.64583333333)</f>
        <v>45807.64583</v>
      </c>
      <c r="B88" s="6">
        <f>IFERROR(__xludf.DUMMYFUNCTION("""COMPUTED_VALUE"""),722.0)</f>
        <v>722</v>
      </c>
      <c r="C88" s="6">
        <f>IFERROR(__xludf.DUMMYFUNCTION("""COMPUTED_VALUE"""),738.0)</f>
        <v>738</v>
      </c>
      <c r="D88" s="6">
        <f>IFERROR(__xludf.DUMMYFUNCTION("""COMPUTED_VALUE"""),712.5)</f>
        <v>712.5</v>
      </c>
      <c r="E88" s="6">
        <f>IFERROR(__xludf.DUMMYFUNCTION("""COMPUTED_VALUE"""),719.5)</f>
        <v>719.5</v>
      </c>
      <c r="F88" s="6">
        <f>IFERROR(__xludf.DUMMYFUNCTION("""COMPUTED_VALUE"""),5.6182326E7)</f>
        <v>56182326</v>
      </c>
    </row>
    <row r="89">
      <c r="A89" s="7">
        <f>IFERROR(__xludf.DUMMYFUNCTION("""COMPUTED_VALUE"""),45814.64583333333)</f>
        <v>45814.64583</v>
      </c>
      <c r="B89" s="6">
        <f>IFERROR(__xludf.DUMMYFUNCTION("""COMPUTED_VALUE"""),717.0)</f>
        <v>717</v>
      </c>
      <c r="C89" s="6">
        <f>IFERROR(__xludf.DUMMYFUNCTION("""COMPUTED_VALUE"""),719.0)</f>
        <v>719</v>
      </c>
      <c r="D89" s="6">
        <f>IFERROR(__xludf.DUMMYFUNCTION("""COMPUTED_VALUE"""),698.4)</f>
        <v>698.4</v>
      </c>
      <c r="E89" s="6">
        <f>IFERROR(__xludf.DUMMYFUNCTION("""COMPUTED_VALUE"""),711.0)</f>
        <v>711</v>
      </c>
      <c r="F89" s="6">
        <f>IFERROR(__xludf.DUMMYFUNCTION("""COMPUTED_VALUE"""),5.2341188E7)</f>
        <v>52341188</v>
      </c>
    </row>
    <row r="90">
      <c r="A90" s="7">
        <f>IFERROR(__xludf.DUMMYFUNCTION("""COMPUTED_VALUE"""),45821.64583333333)</f>
        <v>45821.64583</v>
      </c>
      <c r="B90" s="6">
        <f>IFERROR(__xludf.DUMMYFUNCTION("""COMPUTED_VALUE"""),715.0)</f>
        <v>715</v>
      </c>
      <c r="C90" s="6">
        <f>IFERROR(__xludf.DUMMYFUNCTION("""COMPUTED_VALUE"""),744.0)</f>
        <v>744</v>
      </c>
      <c r="D90" s="6">
        <f>IFERROR(__xludf.DUMMYFUNCTION("""COMPUTED_VALUE"""),698.3)</f>
        <v>698.3</v>
      </c>
      <c r="E90" s="6">
        <f>IFERROR(__xludf.DUMMYFUNCTION("""COMPUTED_VALUE"""),712.05)</f>
        <v>712.05</v>
      </c>
      <c r="F90" s="6">
        <f>IFERROR(__xludf.DUMMYFUNCTION("""COMPUTED_VALUE"""),6.4780829E7)</f>
        <v>64780829</v>
      </c>
    </row>
    <row r="91">
      <c r="A91" s="7">
        <f>IFERROR(__xludf.DUMMYFUNCTION("""COMPUTED_VALUE"""),45828.64583333333)</f>
        <v>45828.64583</v>
      </c>
      <c r="B91" s="6">
        <f>IFERROR(__xludf.DUMMYFUNCTION("""COMPUTED_VALUE"""),711.0)</f>
        <v>711</v>
      </c>
      <c r="C91" s="6">
        <f>IFERROR(__xludf.DUMMYFUNCTION("""COMPUTED_VALUE"""),714.0)</f>
        <v>714</v>
      </c>
      <c r="D91" s="6">
        <f>IFERROR(__xludf.DUMMYFUNCTION("""COMPUTED_VALUE"""),666.65)</f>
        <v>666.65</v>
      </c>
      <c r="E91" s="6">
        <f>IFERROR(__xludf.DUMMYFUNCTION("""COMPUTED_VALUE"""),676.2)</f>
        <v>676.2</v>
      </c>
      <c r="F91" s="6">
        <f>IFERROR(__xludf.DUMMYFUNCTION("""COMPUTED_VALUE"""),8.3204223E7)</f>
        <v>83204223</v>
      </c>
    </row>
    <row r="92">
      <c r="A92" s="7">
        <f>IFERROR(__xludf.DUMMYFUNCTION("""COMPUTED_VALUE"""),45835.64583333333)</f>
        <v>45835.64583</v>
      </c>
      <c r="B92" s="6">
        <f>IFERROR(__xludf.DUMMYFUNCTION("""COMPUTED_VALUE"""),670.0)</f>
        <v>670</v>
      </c>
      <c r="C92" s="6">
        <f>IFERROR(__xludf.DUMMYFUNCTION("""COMPUTED_VALUE"""),691.45)</f>
        <v>691.45</v>
      </c>
      <c r="D92" s="6">
        <f>IFERROR(__xludf.DUMMYFUNCTION("""COMPUTED_VALUE"""),666.1)</f>
        <v>666.1</v>
      </c>
      <c r="E92" s="6">
        <f>IFERROR(__xludf.DUMMYFUNCTION("""COMPUTED_VALUE"""),686.9)</f>
        <v>686.9</v>
      </c>
      <c r="F92" s="6">
        <f>IFERROR(__xludf.DUMMYFUNCTION("""COMPUTED_VALUE"""),5.3384505E7)</f>
        <v>53384505</v>
      </c>
    </row>
    <row r="93">
      <c r="A93" s="7">
        <f>IFERROR(__xludf.DUMMYFUNCTION("""COMPUTED_VALUE"""),45842.64583333333)</f>
        <v>45842.64583</v>
      </c>
      <c r="B93" s="6">
        <f>IFERROR(__xludf.DUMMYFUNCTION("""COMPUTED_VALUE"""),688.9)</f>
        <v>688.9</v>
      </c>
      <c r="C93" s="6">
        <f>IFERROR(__xludf.DUMMYFUNCTION("""COMPUTED_VALUE"""),696.95)</f>
        <v>696.95</v>
      </c>
      <c r="D93" s="6">
        <f>IFERROR(__xludf.DUMMYFUNCTION("""COMPUTED_VALUE"""),680.4)</f>
        <v>680.4</v>
      </c>
      <c r="E93" s="6">
        <f>IFERROR(__xludf.DUMMYFUNCTION("""COMPUTED_VALUE"""),689.05)</f>
        <v>689.05</v>
      </c>
      <c r="F93" s="6">
        <f>IFERROR(__xludf.DUMMYFUNCTION("""COMPUTED_VALUE"""),3.64712E7)</f>
        <v>36471200</v>
      </c>
    </row>
    <row r="94">
      <c r="A94" s="7">
        <f>IFERROR(__xludf.DUMMYFUNCTION("""COMPUTED_VALUE"""),45849.64583333333)</f>
        <v>45849.64583</v>
      </c>
      <c r="B94" s="6">
        <f>IFERROR(__xludf.DUMMYFUNCTION("""COMPUTED_VALUE"""),689.05)</f>
        <v>689.05</v>
      </c>
      <c r="C94" s="6">
        <f>IFERROR(__xludf.DUMMYFUNCTION("""COMPUTED_VALUE"""),698.4)</f>
        <v>698.4</v>
      </c>
      <c r="D94" s="6">
        <f>IFERROR(__xludf.DUMMYFUNCTION("""COMPUTED_VALUE"""),677.05)</f>
        <v>677.05</v>
      </c>
      <c r="E94" s="6">
        <f>IFERROR(__xludf.DUMMYFUNCTION("""COMPUTED_VALUE"""),681.8)</f>
        <v>681.8</v>
      </c>
      <c r="F94" s="6">
        <f>IFERROR(__xludf.DUMMYFUNCTION("""COMPUTED_VALUE"""),3.4537576E7)</f>
        <v>34537576</v>
      </c>
    </row>
    <row r="95">
      <c r="A95" s="7">
        <f>IFERROR(__xludf.DUMMYFUNCTION("""COMPUTED_VALUE"""),45856.64583333333)</f>
        <v>45856.64583</v>
      </c>
      <c r="B95" s="6">
        <f>IFERROR(__xludf.DUMMYFUNCTION("""COMPUTED_VALUE"""),681.0)</f>
        <v>681</v>
      </c>
      <c r="C95" s="6">
        <f>IFERROR(__xludf.DUMMYFUNCTION("""COMPUTED_VALUE"""),686.9)</f>
        <v>686.9</v>
      </c>
      <c r="D95" s="6">
        <f>IFERROR(__xludf.DUMMYFUNCTION("""COMPUTED_VALUE"""),672.0)</f>
        <v>672</v>
      </c>
      <c r="E95" s="6">
        <f>IFERROR(__xludf.DUMMYFUNCTION("""COMPUTED_VALUE"""),680.25)</f>
        <v>680.25</v>
      </c>
      <c r="F95" s="6">
        <f>IFERROR(__xludf.DUMMYFUNCTION("""COMPUTED_VALUE"""),3.3191275E7)</f>
        <v>33191275</v>
      </c>
    </row>
    <row r="96">
      <c r="A96" s="7">
        <f>IFERROR(__xludf.DUMMYFUNCTION("""COMPUTED_VALUE"""),45863.64583333333)</f>
        <v>45863.64583</v>
      </c>
      <c r="B96" s="6">
        <f>IFERROR(__xludf.DUMMYFUNCTION("""COMPUTED_VALUE"""),680.5)</f>
        <v>680.5</v>
      </c>
      <c r="C96" s="6">
        <f>IFERROR(__xludf.DUMMYFUNCTION("""COMPUTED_VALUE"""),706.5)</f>
        <v>706.5</v>
      </c>
      <c r="D96" s="6">
        <f>IFERROR(__xludf.DUMMYFUNCTION("""COMPUTED_VALUE"""),671.25)</f>
        <v>671.25</v>
      </c>
      <c r="E96" s="6">
        <f>IFERROR(__xludf.DUMMYFUNCTION("""COMPUTED_VALUE"""),687.4)</f>
        <v>687.4</v>
      </c>
      <c r="F96" s="6">
        <f>IFERROR(__xludf.DUMMYFUNCTION("""COMPUTED_VALUE"""),5.141149E7)</f>
        <v>51411490</v>
      </c>
    </row>
    <row r="97">
      <c r="A97" s="7">
        <f>IFERROR(__xludf.DUMMYFUNCTION("""COMPUTED_VALUE"""),45870.64583333333)</f>
        <v>45870.64583</v>
      </c>
      <c r="B97" s="6">
        <f>IFERROR(__xludf.DUMMYFUNCTION("""COMPUTED_VALUE"""),690.7)</f>
        <v>690.7</v>
      </c>
      <c r="C97" s="6">
        <f>IFERROR(__xludf.DUMMYFUNCTION("""COMPUTED_VALUE"""),700.5)</f>
        <v>700.5</v>
      </c>
      <c r="D97" s="6">
        <f>IFERROR(__xludf.DUMMYFUNCTION("""COMPUTED_VALUE"""),647.0)</f>
        <v>647</v>
      </c>
      <c r="E97" s="6">
        <f>IFERROR(__xludf.DUMMYFUNCTION("""COMPUTED_VALUE"""),648.85)</f>
        <v>648.85</v>
      </c>
      <c r="F97" s="6">
        <f>IFERROR(__xludf.DUMMYFUNCTION("""COMPUTED_VALUE"""),6.4221597E7)</f>
        <v>64221597</v>
      </c>
    </row>
    <row r="98">
      <c r="A98" s="7">
        <f>IFERROR(__xludf.DUMMYFUNCTION("""COMPUTED_VALUE"""),45877.64583333333)</f>
        <v>45877.64583</v>
      </c>
      <c r="B98" s="6">
        <f>IFERROR(__xludf.DUMMYFUNCTION("""COMPUTED_VALUE"""),650.05)</f>
        <v>650.05</v>
      </c>
      <c r="C98" s="6">
        <f>IFERROR(__xludf.DUMMYFUNCTION("""COMPUTED_VALUE"""),658.9)</f>
        <v>658.9</v>
      </c>
      <c r="D98" s="6">
        <f>IFERROR(__xludf.DUMMYFUNCTION("""COMPUTED_VALUE"""),630.0)</f>
        <v>630</v>
      </c>
      <c r="E98" s="6">
        <f>IFERROR(__xludf.DUMMYFUNCTION("""COMPUTED_VALUE"""),633.7)</f>
        <v>633.7</v>
      </c>
      <c r="F98" s="6">
        <f>IFERROR(__xludf.DUMMYFUNCTION("""COMPUTED_VALUE"""),4.491388E7)</f>
        <v>44913880</v>
      </c>
    </row>
    <row r="99">
      <c r="A99" s="7">
        <f>IFERROR(__xludf.DUMMYFUNCTION("""COMPUTED_VALUE"""),45883.64583333333)</f>
        <v>45883.64583</v>
      </c>
      <c r="B99" s="6">
        <f>IFERROR(__xludf.DUMMYFUNCTION("""COMPUTED_VALUE"""),636.2)</f>
        <v>636.2</v>
      </c>
      <c r="C99" s="6">
        <f>IFERROR(__xludf.DUMMYFUNCTION("""COMPUTED_VALUE"""),667.0)</f>
        <v>667</v>
      </c>
      <c r="D99" s="6">
        <f>IFERROR(__xludf.DUMMYFUNCTION("""COMPUTED_VALUE"""),627.1)</f>
        <v>627.1</v>
      </c>
      <c r="E99" s="6">
        <f>IFERROR(__xludf.DUMMYFUNCTION("""COMPUTED_VALUE"""),664.6)</f>
        <v>664.6</v>
      </c>
      <c r="F99" s="6">
        <f>IFERROR(__xludf.DUMMYFUNCTION("""COMPUTED_VALUE"""),4.2295663E7)</f>
        <v>42295663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IFERROR(__xludf.DUMMYFUNCTION("""COMPUTED_VALUE"""),677.0)</f>
        <v>677</v>
      </c>
      <c r="C100" s="6">
        <f>IFERROR(__xludf.DUMMYFUNCTION("""COMPUTED_VALUE"""),703.35)</f>
        <v>703.35</v>
      </c>
      <c r="D100" s="6">
        <f>IFERROR(__xludf.DUMMYFUNCTION("""COMPUTED_VALUE"""),672.9)</f>
        <v>672.9</v>
      </c>
      <c r="E100" s="6">
        <f>IFERROR(__xludf.DUMMYFUNCTION("""COMPUTED_VALUE"""),680.3)</f>
        <v>680.3</v>
      </c>
      <c r="F100" s="6">
        <f>IFERROR(__xludf.DUMMYFUNCTION("""COMPUTED_VALUE"""),5.8579025E7)</f>
        <v>58579025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IFERROR(__xludf.DUMMYFUNCTION("""COMPUTED_VALUE"""),683.75)</f>
        <v>683.75</v>
      </c>
      <c r="C101" s="6">
        <f>IFERROR(__xludf.DUMMYFUNCTION("""COMPUTED_VALUE"""),688.9)</f>
        <v>688.9</v>
      </c>
      <c r="D101" s="6">
        <f>IFERROR(__xludf.DUMMYFUNCTION("""COMPUTED_VALUE"""),678.3)</f>
        <v>678.3</v>
      </c>
      <c r="E101" s="6">
        <f>IFERROR(__xludf.DUMMYFUNCTION("""COMPUTED_VALUE"""),681.65)</f>
        <v>681.65</v>
      </c>
      <c r="F101" s="6">
        <f>IFERROR(__xludf.DUMMYFUNCTION("""COMPUTED_VALUE"""),1.0713728E8)</f>
        <v>107137280</v>
      </c>
    </row>
  </sheetData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IFERROR(__xludf.DUMMYFUNCTION("GOOGLEFINANCE(""NSE:TATAPOWER"",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IFERROR(__xludf.DUMMYFUNCTION("""COMPUTED_VALUE"""),246.15)</f>
        <v>246.15</v>
      </c>
      <c r="C2" s="6">
        <f>IFERROR(__xludf.DUMMYFUNCTION("""COMPUTED_VALUE"""),255.95)</f>
        <v>255.95</v>
      </c>
      <c r="D2" s="6">
        <f>IFERROR(__xludf.DUMMYFUNCTION("""COMPUTED_VALUE"""),243.7)</f>
        <v>243.7</v>
      </c>
      <c r="E2" s="6">
        <f>IFERROR(__xludf.DUMMYFUNCTION("""COMPUTED_VALUE"""),255.35)</f>
        <v>255.35</v>
      </c>
      <c r="F2" s="6">
        <f>IFERROR(__xludf.DUMMYFUNCTION("""COMPUTED_VALUE"""),6.2585252E7)</f>
        <v>62585252</v>
      </c>
    </row>
    <row r="3">
      <c r="A3" s="7">
        <f>IFERROR(__xludf.DUMMYFUNCTION("""COMPUTED_VALUE"""),45177.64583333333)</f>
        <v>45177.64583</v>
      </c>
      <c r="B3" s="6">
        <f>IFERROR(__xludf.DUMMYFUNCTION("""COMPUTED_VALUE"""),257.95)</f>
        <v>257.95</v>
      </c>
      <c r="C3" s="6">
        <f>IFERROR(__xludf.DUMMYFUNCTION("""COMPUTED_VALUE"""),276.5)</f>
        <v>276.5</v>
      </c>
      <c r="D3" s="6">
        <f>IFERROR(__xludf.DUMMYFUNCTION("""COMPUTED_VALUE"""),254.65)</f>
        <v>254.65</v>
      </c>
      <c r="E3" s="6">
        <f>IFERROR(__xludf.DUMMYFUNCTION("""COMPUTED_VALUE"""),268.85)</f>
        <v>268.85</v>
      </c>
      <c r="F3" s="6">
        <f>IFERROR(__xludf.DUMMYFUNCTION("""COMPUTED_VALUE"""),1.13727757E8)</f>
        <v>113727757</v>
      </c>
    </row>
    <row r="4">
      <c r="A4" s="7">
        <f>IFERROR(__xludf.DUMMYFUNCTION("""COMPUTED_VALUE"""),45184.64583333333)</f>
        <v>45184.64583</v>
      </c>
      <c r="B4" s="6">
        <f>IFERROR(__xludf.DUMMYFUNCTION("""COMPUTED_VALUE"""),274.0)</f>
        <v>274</v>
      </c>
      <c r="C4" s="6">
        <f>IFERROR(__xludf.DUMMYFUNCTION("""COMPUTED_VALUE"""),276.0)</f>
        <v>276</v>
      </c>
      <c r="D4" s="6">
        <f>IFERROR(__xludf.DUMMYFUNCTION("""COMPUTED_VALUE"""),260.0)</f>
        <v>260</v>
      </c>
      <c r="E4" s="6">
        <f>IFERROR(__xludf.DUMMYFUNCTION("""COMPUTED_VALUE"""),263.95)</f>
        <v>263.95</v>
      </c>
      <c r="F4" s="6">
        <f>IFERROR(__xludf.DUMMYFUNCTION("""COMPUTED_VALUE"""),6.75205E7)</f>
        <v>67520500</v>
      </c>
    </row>
    <row r="5">
      <c r="A5" s="7">
        <f>IFERROR(__xludf.DUMMYFUNCTION("""COMPUTED_VALUE"""),45191.64583333333)</f>
        <v>45191.64583</v>
      </c>
      <c r="B5" s="6">
        <f>IFERROR(__xludf.DUMMYFUNCTION("""COMPUTED_VALUE"""),265.4)</f>
        <v>265.4</v>
      </c>
      <c r="C5" s="6">
        <f>IFERROR(__xludf.DUMMYFUNCTION("""COMPUTED_VALUE"""),267.0)</f>
        <v>267</v>
      </c>
      <c r="D5" s="6">
        <f>IFERROR(__xludf.DUMMYFUNCTION("""COMPUTED_VALUE"""),254.25)</f>
        <v>254.25</v>
      </c>
      <c r="E5" s="6">
        <f>IFERROR(__xludf.DUMMYFUNCTION("""COMPUTED_VALUE"""),257.1)</f>
        <v>257.1</v>
      </c>
      <c r="F5" s="6">
        <f>IFERROR(__xludf.DUMMYFUNCTION("""COMPUTED_VALUE"""),3.2222568E7)</f>
        <v>32222568</v>
      </c>
    </row>
    <row r="6">
      <c r="A6" s="7">
        <f>IFERROR(__xludf.DUMMYFUNCTION("""COMPUTED_VALUE"""),45198.64583333333)</f>
        <v>45198.64583</v>
      </c>
      <c r="B6" s="6">
        <f>IFERROR(__xludf.DUMMYFUNCTION("""COMPUTED_VALUE"""),258.2)</f>
        <v>258.2</v>
      </c>
      <c r="C6" s="6">
        <f>IFERROR(__xludf.DUMMYFUNCTION("""COMPUTED_VALUE"""),264.75)</f>
        <v>264.75</v>
      </c>
      <c r="D6" s="6">
        <f>IFERROR(__xludf.DUMMYFUNCTION("""COMPUTED_VALUE"""),255.0)</f>
        <v>255</v>
      </c>
      <c r="E6" s="6">
        <f>IFERROR(__xludf.DUMMYFUNCTION("""COMPUTED_VALUE"""),262.3)</f>
        <v>262.3</v>
      </c>
      <c r="F6" s="6">
        <f>IFERROR(__xludf.DUMMYFUNCTION("""COMPUTED_VALUE"""),4.1709228E7)</f>
        <v>41709228</v>
      </c>
    </row>
    <row r="7">
      <c r="A7" s="7">
        <f>IFERROR(__xludf.DUMMYFUNCTION("""COMPUTED_VALUE"""),45205.64583333333)</f>
        <v>45205.64583</v>
      </c>
      <c r="B7" s="6">
        <f>IFERROR(__xludf.DUMMYFUNCTION("""COMPUTED_VALUE"""),262.55)</f>
        <v>262.55</v>
      </c>
      <c r="C7" s="6">
        <f>IFERROR(__xludf.DUMMYFUNCTION("""COMPUTED_VALUE"""),266.5)</f>
        <v>266.5</v>
      </c>
      <c r="D7" s="6">
        <f>IFERROR(__xludf.DUMMYFUNCTION("""COMPUTED_VALUE"""),253.5)</f>
        <v>253.5</v>
      </c>
      <c r="E7" s="6">
        <f>IFERROR(__xludf.DUMMYFUNCTION("""COMPUTED_VALUE"""),258.75)</f>
        <v>258.75</v>
      </c>
      <c r="F7" s="6">
        <f>IFERROR(__xludf.DUMMYFUNCTION("""COMPUTED_VALUE"""),3.0173934E7)</f>
        <v>30173934</v>
      </c>
    </row>
    <row r="8">
      <c r="A8" s="7">
        <f>IFERROR(__xludf.DUMMYFUNCTION("""COMPUTED_VALUE"""),45212.64583333333)</f>
        <v>45212.64583</v>
      </c>
      <c r="B8" s="6">
        <f>IFERROR(__xludf.DUMMYFUNCTION("""COMPUTED_VALUE"""),255.1)</f>
        <v>255.1</v>
      </c>
      <c r="C8" s="6">
        <f>IFERROR(__xludf.DUMMYFUNCTION("""COMPUTED_VALUE"""),257.4)</f>
        <v>257.4</v>
      </c>
      <c r="D8" s="6">
        <f>IFERROR(__xludf.DUMMYFUNCTION("""COMPUTED_VALUE"""),249.1)</f>
        <v>249.1</v>
      </c>
      <c r="E8" s="6">
        <f>IFERROR(__xludf.DUMMYFUNCTION("""COMPUTED_VALUE"""),254.1)</f>
        <v>254.1</v>
      </c>
      <c r="F8" s="6">
        <f>IFERROR(__xludf.DUMMYFUNCTION("""COMPUTED_VALUE"""),3.3084755E7)</f>
        <v>33084755</v>
      </c>
    </row>
    <row r="9">
      <c r="A9" s="7">
        <f>IFERROR(__xludf.DUMMYFUNCTION("""COMPUTED_VALUE"""),45219.64583333333)</f>
        <v>45219.64583</v>
      </c>
      <c r="B9" s="6">
        <f>IFERROR(__xludf.DUMMYFUNCTION("""COMPUTED_VALUE"""),254.1)</f>
        <v>254.1</v>
      </c>
      <c r="C9" s="6">
        <f>IFERROR(__xludf.DUMMYFUNCTION("""COMPUTED_VALUE"""),259.3)</f>
        <v>259.3</v>
      </c>
      <c r="D9" s="6">
        <f>IFERROR(__xludf.DUMMYFUNCTION("""COMPUTED_VALUE"""),246.6)</f>
        <v>246.6</v>
      </c>
      <c r="E9" s="6">
        <f>IFERROR(__xludf.DUMMYFUNCTION("""COMPUTED_VALUE"""),247.4)</f>
        <v>247.4</v>
      </c>
      <c r="F9" s="6">
        <f>IFERROR(__xludf.DUMMYFUNCTION("""COMPUTED_VALUE"""),3.1524344E7)</f>
        <v>31524344</v>
      </c>
    </row>
    <row r="10">
      <c r="A10" s="7">
        <f>IFERROR(__xludf.DUMMYFUNCTION("""COMPUTED_VALUE"""),45226.64583333333)</f>
        <v>45226.64583</v>
      </c>
      <c r="B10" s="6">
        <f>IFERROR(__xludf.DUMMYFUNCTION("""COMPUTED_VALUE"""),248.35)</f>
        <v>248.35</v>
      </c>
      <c r="C10" s="6">
        <f>IFERROR(__xludf.DUMMYFUNCTION("""COMPUTED_VALUE"""),248.75)</f>
        <v>248.75</v>
      </c>
      <c r="D10" s="6">
        <f>IFERROR(__xludf.DUMMYFUNCTION("""COMPUTED_VALUE"""),230.8)</f>
        <v>230.8</v>
      </c>
      <c r="E10" s="6">
        <f>IFERROR(__xludf.DUMMYFUNCTION("""COMPUTED_VALUE"""),238.15)</f>
        <v>238.15</v>
      </c>
      <c r="F10" s="6">
        <f>IFERROR(__xludf.DUMMYFUNCTION("""COMPUTED_VALUE"""),3.5409624E7)</f>
        <v>35409624</v>
      </c>
    </row>
    <row r="11">
      <c r="A11" s="7">
        <f>IFERROR(__xludf.DUMMYFUNCTION("""COMPUTED_VALUE"""),45233.64583333333)</f>
        <v>45233.64583</v>
      </c>
      <c r="B11" s="6">
        <f>IFERROR(__xludf.DUMMYFUNCTION("""COMPUTED_VALUE"""),238.5)</f>
        <v>238.5</v>
      </c>
      <c r="C11" s="6">
        <f>IFERROR(__xludf.DUMMYFUNCTION("""COMPUTED_VALUE"""),246.15)</f>
        <v>246.15</v>
      </c>
      <c r="D11" s="6">
        <f>IFERROR(__xludf.DUMMYFUNCTION("""COMPUTED_VALUE"""),235.0)</f>
        <v>235</v>
      </c>
      <c r="E11" s="6">
        <f>IFERROR(__xludf.DUMMYFUNCTION("""COMPUTED_VALUE"""),244.6)</f>
        <v>244.6</v>
      </c>
      <c r="F11" s="6">
        <f>IFERROR(__xludf.DUMMYFUNCTION("""COMPUTED_VALUE"""),3.0802866E7)</f>
        <v>30802866</v>
      </c>
    </row>
    <row r="12">
      <c r="A12" s="7">
        <f>IFERROR(__xludf.DUMMYFUNCTION("""COMPUTED_VALUE"""),45240.64583333333)</f>
        <v>45240.64583</v>
      </c>
      <c r="B12" s="6">
        <f>IFERROR(__xludf.DUMMYFUNCTION("""COMPUTED_VALUE"""),247.0)</f>
        <v>247</v>
      </c>
      <c r="C12" s="6">
        <f>IFERROR(__xludf.DUMMYFUNCTION("""COMPUTED_VALUE"""),256.35)</f>
        <v>256.35</v>
      </c>
      <c r="D12" s="6">
        <f>IFERROR(__xludf.DUMMYFUNCTION("""COMPUTED_VALUE"""),245.6)</f>
        <v>245.6</v>
      </c>
      <c r="E12" s="6">
        <f>IFERROR(__xludf.DUMMYFUNCTION("""COMPUTED_VALUE"""),251.4)</f>
        <v>251.4</v>
      </c>
      <c r="F12" s="6">
        <f>IFERROR(__xludf.DUMMYFUNCTION("""COMPUTED_VALUE"""),5.1950848E7)</f>
        <v>51950848</v>
      </c>
    </row>
    <row r="13">
      <c r="A13" s="7">
        <f>IFERROR(__xludf.DUMMYFUNCTION("""COMPUTED_VALUE"""),45247.64583333333)</f>
        <v>45247.64583</v>
      </c>
      <c r="B13" s="6">
        <f>IFERROR(__xludf.DUMMYFUNCTION("""COMPUTED_VALUE"""),253.0)</f>
        <v>253</v>
      </c>
      <c r="C13" s="6">
        <f>IFERROR(__xludf.DUMMYFUNCTION("""COMPUTED_VALUE"""),265.5)</f>
        <v>265.5</v>
      </c>
      <c r="D13" s="6">
        <f>IFERROR(__xludf.DUMMYFUNCTION("""COMPUTED_VALUE"""),251.25)</f>
        <v>251.25</v>
      </c>
      <c r="E13" s="6">
        <f>IFERROR(__xludf.DUMMYFUNCTION("""COMPUTED_VALUE"""),262.65)</f>
        <v>262.65</v>
      </c>
      <c r="F13" s="6">
        <f>IFERROR(__xludf.DUMMYFUNCTION("""COMPUTED_VALUE"""),4.1260076E7)</f>
        <v>41260076</v>
      </c>
    </row>
    <row r="14">
      <c r="A14" s="7">
        <f>IFERROR(__xludf.DUMMYFUNCTION("""COMPUTED_VALUE"""),45254.64583333333)</f>
        <v>45254.64583</v>
      </c>
      <c r="B14" s="6">
        <f>IFERROR(__xludf.DUMMYFUNCTION("""COMPUTED_VALUE"""),263.85)</f>
        <v>263.85</v>
      </c>
      <c r="C14" s="6">
        <f>IFERROR(__xludf.DUMMYFUNCTION("""COMPUTED_VALUE"""),265.4)</f>
        <v>265.4</v>
      </c>
      <c r="D14" s="6">
        <f>IFERROR(__xludf.DUMMYFUNCTION("""COMPUTED_VALUE"""),257.05)</f>
        <v>257.05</v>
      </c>
      <c r="E14" s="6">
        <f>IFERROR(__xludf.DUMMYFUNCTION("""COMPUTED_VALUE"""),258.15)</f>
        <v>258.15</v>
      </c>
      <c r="F14" s="6">
        <f>IFERROR(__xludf.DUMMYFUNCTION("""COMPUTED_VALUE"""),2.8949311E7)</f>
        <v>28949311</v>
      </c>
    </row>
    <row r="15">
      <c r="A15" s="7">
        <f>IFERROR(__xludf.DUMMYFUNCTION("""COMPUTED_VALUE"""),45261.64583333333)</f>
        <v>45261.64583</v>
      </c>
      <c r="B15" s="6">
        <f>IFERROR(__xludf.DUMMYFUNCTION("""COMPUTED_VALUE"""),259.4)</f>
        <v>259.4</v>
      </c>
      <c r="C15" s="6">
        <f>IFERROR(__xludf.DUMMYFUNCTION("""COMPUTED_VALUE"""),278.5)</f>
        <v>278.5</v>
      </c>
      <c r="D15" s="6">
        <f>IFERROR(__xludf.DUMMYFUNCTION("""COMPUTED_VALUE"""),258.5)</f>
        <v>258.5</v>
      </c>
      <c r="E15" s="6">
        <f>IFERROR(__xludf.DUMMYFUNCTION("""COMPUTED_VALUE"""),276.0)</f>
        <v>276</v>
      </c>
      <c r="F15" s="6">
        <f>IFERROR(__xludf.DUMMYFUNCTION("""COMPUTED_VALUE"""),1.03701464E8)</f>
        <v>103701464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IFERROR(__xludf.DUMMYFUNCTION("""COMPUTED_VALUE"""),285.0)</f>
        <v>285</v>
      </c>
      <c r="C16" s="6">
        <f>IFERROR(__xludf.DUMMYFUNCTION("""COMPUTED_VALUE"""),335.95)</f>
        <v>335.95</v>
      </c>
      <c r="D16" s="6">
        <f>IFERROR(__xludf.DUMMYFUNCTION("""COMPUTED_VALUE"""),276.5)</f>
        <v>276.5</v>
      </c>
      <c r="E16" s="6">
        <f>IFERROR(__xludf.DUMMYFUNCTION("""COMPUTED_VALUE"""),323.55)</f>
        <v>323.55</v>
      </c>
      <c r="F16" s="6">
        <f>IFERROR(__xludf.DUMMYFUNCTION("""COMPUTED_VALUE"""),3.23764519E8)</f>
        <v>323764519</v>
      </c>
    </row>
    <row r="17">
      <c r="A17" s="7">
        <f>IFERROR(__xludf.DUMMYFUNCTION("""COMPUTED_VALUE"""),45275.64583333333)</f>
        <v>45275.64583</v>
      </c>
      <c r="B17" s="6">
        <f>IFERROR(__xludf.DUMMYFUNCTION("""COMPUTED_VALUE"""),325.4)</f>
        <v>325.4</v>
      </c>
      <c r="C17" s="6">
        <f>IFERROR(__xludf.DUMMYFUNCTION("""COMPUTED_VALUE"""),341.9)</f>
        <v>341.9</v>
      </c>
      <c r="D17" s="6">
        <f>IFERROR(__xludf.DUMMYFUNCTION("""COMPUTED_VALUE"""),322.35)</f>
        <v>322.35</v>
      </c>
      <c r="E17" s="6">
        <f>IFERROR(__xludf.DUMMYFUNCTION("""COMPUTED_VALUE"""),333.2)</f>
        <v>333.2</v>
      </c>
      <c r="F17" s="6">
        <f>IFERROR(__xludf.DUMMYFUNCTION("""COMPUTED_VALUE"""),1.30251911E8)</f>
        <v>130251911</v>
      </c>
    </row>
    <row r="18">
      <c r="A18" s="7">
        <f>IFERROR(__xludf.DUMMYFUNCTION("""COMPUTED_VALUE"""),45282.64583333333)</f>
        <v>45282.64583</v>
      </c>
      <c r="B18" s="6">
        <f>IFERROR(__xludf.DUMMYFUNCTION("""COMPUTED_VALUE"""),339.0)</f>
        <v>339</v>
      </c>
      <c r="C18" s="6">
        <f>IFERROR(__xludf.DUMMYFUNCTION("""COMPUTED_VALUE"""),346.9)</f>
        <v>346.9</v>
      </c>
      <c r="D18" s="6">
        <f>IFERROR(__xludf.DUMMYFUNCTION("""COMPUTED_VALUE"""),312.7)</f>
        <v>312.7</v>
      </c>
      <c r="E18" s="6">
        <f>IFERROR(__xludf.DUMMYFUNCTION("""COMPUTED_VALUE"""),326.65)</f>
        <v>326.65</v>
      </c>
      <c r="F18" s="6">
        <f>IFERROR(__xludf.DUMMYFUNCTION("""COMPUTED_VALUE"""),1.09526491E8)</f>
        <v>109526491</v>
      </c>
    </row>
    <row r="19">
      <c r="A19" s="7">
        <f>IFERROR(__xludf.DUMMYFUNCTION("""COMPUTED_VALUE"""),45289.64583333333)</f>
        <v>45289.64583</v>
      </c>
      <c r="B19" s="6">
        <f>IFERROR(__xludf.DUMMYFUNCTION("""COMPUTED_VALUE"""),328.55)</f>
        <v>328.55</v>
      </c>
      <c r="C19" s="6">
        <f>IFERROR(__xludf.DUMMYFUNCTION("""COMPUTED_VALUE"""),336.0)</f>
        <v>336</v>
      </c>
      <c r="D19" s="6">
        <f>IFERROR(__xludf.DUMMYFUNCTION("""COMPUTED_VALUE"""),321.65)</f>
        <v>321.65</v>
      </c>
      <c r="E19" s="6">
        <f>IFERROR(__xludf.DUMMYFUNCTION("""COMPUTED_VALUE"""),332.15)</f>
        <v>332.15</v>
      </c>
      <c r="F19" s="6">
        <f>IFERROR(__xludf.DUMMYFUNCTION("""COMPUTED_VALUE"""),5.7754815E7)</f>
        <v>57754815</v>
      </c>
    </row>
    <row r="20">
      <c r="A20" s="7">
        <f>IFERROR(__xludf.DUMMYFUNCTION("""COMPUTED_VALUE"""),45296.64583333333)</f>
        <v>45296.64583</v>
      </c>
      <c r="B20" s="6">
        <f>IFERROR(__xludf.DUMMYFUNCTION("""COMPUTED_VALUE"""),333.9)</f>
        <v>333.9</v>
      </c>
      <c r="C20" s="6">
        <f>IFERROR(__xludf.DUMMYFUNCTION("""COMPUTED_VALUE"""),349.7)</f>
        <v>349.7</v>
      </c>
      <c r="D20" s="6">
        <f>IFERROR(__xludf.DUMMYFUNCTION("""COMPUTED_VALUE"""),319.6)</f>
        <v>319.6</v>
      </c>
      <c r="E20" s="6">
        <f>IFERROR(__xludf.DUMMYFUNCTION("""COMPUTED_VALUE"""),340.75)</f>
        <v>340.75</v>
      </c>
      <c r="F20" s="6">
        <f>IFERROR(__xludf.DUMMYFUNCTION("""COMPUTED_VALUE"""),1.00266395E8)</f>
        <v>100266395</v>
      </c>
    </row>
    <row r="21">
      <c r="A21" s="7">
        <f>IFERROR(__xludf.DUMMYFUNCTION("""COMPUTED_VALUE"""),45303.64583333333)</f>
        <v>45303.64583</v>
      </c>
      <c r="B21" s="6">
        <f>IFERROR(__xludf.DUMMYFUNCTION("""COMPUTED_VALUE"""),344.0)</f>
        <v>344</v>
      </c>
      <c r="C21" s="6">
        <f>IFERROR(__xludf.DUMMYFUNCTION("""COMPUTED_VALUE"""),361.85)</f>
        <v>361.85</v>
      </c>
      <c r="D21" s="6">
        <f>IFERROR(__xludf.DUMMYFUNCTION("""COMPUTED_VALUE"""),337.35)</f>
        <v>337.35</v>
      </c>
      <c r="E21" s="6">
        <f>IFERROR(__xludf.DUMMYFUNCTION("""COMPUTED_VALUE"""),357.75)</f>
        <v>357.75</v>
      </c>
      <c r="F21" s="6">
        <f>IFERROR(__xludf.DUMMYFUNCTION("""COMPUTED_VALUE"""),1.06918337E8)</f>
        <v>106918337</v>
      </c>
    </row>
    <row r="22">
      <c r="A22" s="7">
        <f>IFERROR(__xludf.DUMMYFUNCTION("""COMPUTED_VALUE"""),45316.64583333333)</f>
        <v>45316.64583</v>
      </c>
      <c r="B22" s="6">
        <f>IFERROR(__xludf.DUMMYFUNCTION("""COMPUTED_VALUE"""),365.5)</f>
        <v>365.5</v>
      </c>
      <c r="C22" s="6">
        <f>IFERROR(__xludf.DUMMYFUNCTION("""COMPUTED_VALUE"""),366.7)</f>
        <v>366.7</v>
      </c>
      <c r="D22" s="6">
        <f>IFERROR(__xludf.DUMMYFUNCTION("""COMPUTED_VALUE"""),341.2)</f>
        <v>341.2</v>
      </c>
      <c r="E22" s="6">
        <f>IFERROR(__xludf.DUMMYFUNCTION("""COMPUTED_VALUE"""),365.1)</f>
        <v>365.1</v>
      </c>
      <c r="F22" s="6">
        <f>IFERROR(__xludf.DUMMYFUNCTION("""COMPUTED_VALUE"""),6.5748864E7)</f>
        <v>65748864</v>
      </c>
    </row>
    <row r="23">
      <c r="A23" s="7">
        <f>IFERROR(__xludf.DUMMYFUNCTION("""COMPUTED_VALUE"""),45324.64583333333)</f>
        <v>45324.64583</v>
      </c>
      <c r="B23" s="6">
        <f>IFERROR(__xludf.DUMMYFUNCTION("""COMPUTED_VALUE"""),369.45)</f>
        <v>369.45</v>
      </c>
      <c r="C23" s="6">
        <f>IFERROR(__xludf.DUMMYFUNCTION("""COMPUTED_VALUE"""),396.7)</f>
        <v>396.7</v>
      </c>
      <c r="D23" s="6">
        <f>IFERROR(__xludf.DUMMYFUNCTION("""COMPUTED_VALUE"""),366.85)</f>
        <v>366.85</v>
      </c>
      <c r="E23" s="6">
        <f>IFERROR(__xludf.DUMMYFUNCTION("""COMPUTED_VALUE"""),389.8)</f>
        <v>389.8</v>
      </c>
      <c r="F23" s="6">
        <f>IFERROR(__xludf.DUMMYFUNCTION("""COMPUTED_VALUE"""),1.12590488E8)</f>
        <v>112590488</v>
      </c>
    </row>
    <row r="24">
      <c r="A24" s="7">
        <f>IFERROR(__xludf.DUMMYFUNCTION("""COMPUTED_VALUE"""),45331.64583333333)</f>
        <v>45331.64583</v>
      </c>
      <c r="B24" s="6">
        <f>IFERROR(__xludf.DUMMYFUNCTION("""COMPUTED_VALUE"""),395.5)</f>
        <v>395.5</v>
      </c>
      <c r="C24" s="6">
        <f>IFERROR(__xludf.DUMMYFUNCTION("""COMPUTED_VALUE"""),412.9)</f>
        <v>412.9</v>
      </c>
      <c r="D24" s="6">
        <f>IFERROR(__xludf.DUMMYFUNCTION("""COMPUTED_VALUE"""),384.05)</f>
        <v>384.05</v>
      </c>
      <c r="E24" s="6">
        <f>IFERROR(__xludf.DUMMYFUNCTION("""COMPUTED_VALUE"""),392.1)</f>
        <v>392.1</v>
      </c>
      <c r="F24" s="6">
        <f>IFERROR(__xludf.DUMMYFUNCTION("""COMPUTED_VALUE"""),1.07680436E8)</f>
        <v>107680436</v>
      </c>
    </row>
    <row r="25">
      <c r="A25" s="7">
        <f>IFERROR(__xludf.DUMMYFUNCTION("""COMPUTED_VALUE"""),45338.64583333333)</f>
        <v>45338.64583</v>
      </c>
      <c r="B25" s="6">
        <f>IFERROR(__xludf.DUMMYFUNCTION("""COMPUTED_VALUE"""),379.9)</f>
        <v>379.9</v>
      </c>
      <c r="C25" s="6">
        <f>IFERROR(__xludf.DUMMYFUNCTION("""COMPUTED_VALUE"""),386.15)</f>
        <v>386.15</v>
      </c>
      <c r="D25" s="6">
        <f>IFERROR(__xludf.DUMMYFUNCTION("""COMPUTED_VALUE"""),354.6)</f>
        <v>354.6</v>
      </c>
      <c r="E25" s="6">
        <f>IFERROR(__xludf.DUMMYFUNCTION("""COMPUTED_VALUE"""),376.3)</f>
        <v>376.3</v>
      </c>
      <c r="F25" s="6">
        <f>IFERROR(__xludf.DUMMYFUNCTION("""COMPUTED_VALUE"""),1.0611071E8)</f>
        <v>106110710</v>
      </c>
    </row>
    <row r="26">
      <c r="A26" s="7">
        <f>IFERROR(__xludf.DUMMYFUNCTION("""COMPUTED_VALUE"""),45345.64583333333)</f>
        <v>45345.64583</v>
      </c>
      <c r="B26" s="6">
        <f>IFERROR(__xludf.DUMMYFUNCTION("""COMPUTED_VALUE"""),383.1)</f>
        <v>383.1</v>
      </c>
      <c r="C26" s="6">
        <f>IFERROR(__xludf.DUMMYFUNCTION("""COMPUTED_VALUE"""),385.8)</f>
        <v>385.8</v>
      </c>
      <c r="D26" s="6">
        <f>IFERROR(__xludf.DUMMYFUNCTION("""COMPUTED_VALUE"""),369.25)</f>
        <v>369.25</v>
      </c>
      <c r="E26" s="6">
        <f>IFERROR(__xludf.DUMMYFUNCTION("""COMPUTED_VALUE"""),378.4)</f>
        <v>378.4</v>
      </c>
      <c r="F26" s="6">
        <f>IFERROR(__xludf.DUMMYFUNCTION("""COMPUTED_VALUE"""),4.4280338E7)</f>
        <v>44280338</v>
      </c>
    </row>
    <row r="27">
      <c r="A27" s="7">
        <f>IFERROR(__xludf.DUMMYFUNCTION("""COMPUTED_VALUE"""),45358.64583333333)</f>
        <v>45358.64583</v>
      </c>
      <c r="B27" s="6">
        <f>IFERROR(__xludf.DUMMYFUNCTION("""COMPUTED_VALUE"""),381.05)</f>
        <v>381.05</v>
      </c>
      <c r="C27" s="6">
        <f>IFERROR(__xludf.DUMMYFUNCTION("""COMPUTED_VALUE"""),433.3)</f>
        <v>433.3</v>
      </c>
      <c r="D27" s="6">
        <f>IFERROR(__xludf.DUMMYFUNCTION("""COMPUTED_VALUE"""),380.2)</f>
        <v>380.2</v>
      </c>
      <c r="E27" s="6">
        <f>IFERROR(__xludf.DUMMYFUNCTION("""COMPUTED_VALUE"""),425.25)</f>
        <v>425.25</v>
      </c>
      <c r="F27" s="6">
        <f>IFERROR(__xludf.DUMMYFUNCTION("""COMPUTED_VALUE"""),1.59288274E8)</f>
        <v>159288274</v>
      </c>
    </row>
    <row r="28">
      <c r="A28" s="7">
        <f>IFERROR(__xludf.DUMMYFUNCTION("""COMPUTED_VALUE"""),45366.64583333333)</f>
        <v>45366.64583</v>
      </c>
      <c r="B28" s="6">
        <f>IFERROR(__xludf.DUMMYFUNCTION("""COMPUTED_VALUE"""),414.0)</f>
        <v>414</v>
      </c>
      <c r="C28" s="6">
        <f>IFERROR(__xludf.DUMMYFUNCTION("""COMPUTED_VALUE"""),421.5)</f>
        <v>421.5</v>
      </c>
      <c r="D28" s="6">
        <f>IFERROR(__xludf.DUMMYFUNCTION("""COMPUTED_VALUE"""),365.55)</f>
        <v>365.55</v>
      </c>
      <c r="E28" s="6">
        <f>IFERROR(__xludf.DUMMYFUNCTION("""COMPUTED_VALUE"""),380.75)</f>
        <v>380.75</v>
      </c>
      <c r="F28" s="6">
        <f>IFERROR(__xludf.DUMMYFUNCTION("""COMPUTED_VALUE"""),1.50069223E8)</f>
        <v>150069223</v>
      </c>
    </row>
    <row r="29">
      <c r="A29" s="7">
        <f>IFERROR(__xludf.DUMMYFUNCTION("""COMPUTED_VALUE"""),45373.64583333333)</f>
        <v>45373.64583</v>
      </c>
      <c r="B29" s="6">
        <f>IFERROR(__xludf.DUMMYFUNCTION("""COMPUTED_VALUE"""),382.85)</f>
        <v>382.85</v>
      </c>
      <c r="C29" s="6">
        <f>IFERROR(__xludf.DUMMYFUNCTION("""COMPUTED_VALUE"""),395.5)</f>
        <v>395.5</v>
      </c>
      <c r="D29" s="6">
        <f>IFERROR(__xludf.DUMMYFUNCTION("""COMPUTED_VALUE"""),371.1)</f>
        <v>371.1</v>
      </c>
      <c r="E29" s="6">
        <f>IFERROR(__xludf.DUMMYFUNCTION("""COMPUTED_VALUE"""),390.7)</f>
        <v>390.7</v>
      </c>
      <c r="F29" s="6">
        <f>IFERROR(__xludf.DUMMYFUNCTION("""COMPUTED_VALUE"""),9.5615218E7)</f>
        <v>95615218</v>
      </c>
    </row>
    <row r="30">
      <c r="A30" s="7">
        <f>IFERROR(__xludf.DUMMYFUNCTION("""COMPUTED_VALUE"""),45379.64583333333)</f>
        <v>45379.64583</v>
      </c>
      <c r="B30" s="6">
        <f>IFERROR(__xludf.DUMMYFUNCTION("""COMPUTED_VALUE"""),390.5)</f>
        <v>390.5</v>
      </c>
      <c r="C30" s="6">
        <f>IFERROR(__xludf.DUMMYFUNCTION("""COMPUTED_VALUE"""),398.9)</f>
        <v>398.9</v>
      </c>
      <c r="D30" s="6">
        <f>IFERROR(__xludf.DUMMYFUNCTION("""COMPUTED_VALUE"""),387.5)</f>
        <v>387.5</v>
      </c>
      <c r="E30" s="6">
        <f>IFERROR(__xludf.DUMMYFUNCTION("""COMPUTED_VALUE"""),394.2)</f>
        <v>394.2</v>
      </c>
      <c r="F30" s="6">
        <f>IFERROR(__xludf.DUMMYFUNCTION("""COMPUTED_VALUE"""),3.4265553E7)</f>
        <v>34265553</v>
      </c>
    </row>
    <row r="31">
      <c r="A31" s="7">
        <f>IFERROR(__xludf.DUMMYFUNCTION("""COMPUTED_VALUE"""),45387.64583333333)</f>
        <v>45387.64583</v>
      </c>
      <c r="B31" s="6">
        <f>IFERROR(__xludf.DUMMYFUNCTION("""COMPUTED_VALUE"""),398.95)</f>
        <v>398.95</v>
      </c>
      <c r="C31" s="6">
        <f>IFERROR(__xludf.DUMMYFUNCTION("""COMPUTED_VALUE"""),419.85)</f>
        <v>419.85</v>
      </c>
      <c r="D31" s="6">
        <f>IFERROR(__xludf.DUMMYFUNCTION("""COMPUTED_VALUE"""),397.55)</f>
        <v>397.55</v>
      </c>
      <c r="E31" s="6">
        <f>IFERROR(__xludf.DUMMYFUNCTION("""COMPUTED_VALUE"""),414.6)</f>
        <v>414.6</v>
      </c>
      <c r="F31" s="6">
        <f>IFERROR(__xludf.DUMMYFUNCTION("""COMPUTED_VALUE"""),6.5505231E7)</f>
        <v>65505231</v>
      </c>
    </row>
    <row r="32">
      <c r="A32" s="7">
        <f>IFERROR(__xludf.DUMMYFUNCTION("""COMPUTED_VALUE"""),45394.64583333333)</f>
        <v>45394.64583</v>
      </c>
      <c r="B32" s="6">
        <f>IFERROR(__xludf.DUMMYFUNCTION("""COMPUTED_VALUE"""),417.5)</f>
        <v>417.5</v>
      </c>
      <c r="C32" s="6">
        <f>IFERROR(__xludf.DUMMYFUNCTION("""COMPUTED_VALUE"""),444.2)</f>
        <v>444.2</v>
      </c>
      <c r="D32" s="6">
        <f>IFERROR(__xludf.DUMMYFUNCTION("""COMPUTED_VALUE"""),414.75)</f>
        <v>414.75</v>
      </c>
      <c r="E32" s="6">
        <f>IFERROR(__xludf.DUMMYFUNCTION("""COMPUTED_VALUE"""),436.95)</f>
        <v>436.95</v>
      </c>
      <c r="F32" s="6">
        <f>IFERROR(__xludf.DUMMYFUNCTION("""COMPUTED_VALUE"""),8.8787723E7)</f>
        <v>88787723</v>
      </c>
    </row>
    <row r="33">
      <c r="A33" s="7">
        <f>IFERROR(__xludf.DUMMYFUNCTION("""COMPUTED_VALUE"""),45401.64583333333)</f>
        <v>45401.64583</v>
      </c>
      <c r="B33" s="6">
        <f>IFERROR(__xludf.DUMMYFUNCTION("""COMPUTED_VALUE"""),424.0)</f>
        <v>424</v>
      </c>
      <c r="C33" s="6">
        <f>IFERROR(__xludf.DUMMYFUNCTION("""COMPUTED_VALUE"""),442.8)</f>
        <v>442.8</v>
      </c>
      <c r="D33" s="6">
        <f>IFERROR(__xludf.DUMMYFUNCTION("""COMPUTED_VALUE"""),417.2)</f>
        <v>417.2</v>
      </c>
      <c r="E33" s="6">
        <f>IFERROR(__xludf.DUMMYFUNCTION("""COMPUTED_VALUE"""),428.1)</f>
        <v>428.1</v>
      </c>
      <c r="F33" s="6">
        <f>IFERROR(__xludf.DUMMYFUNCTION("""COMPUTED_VALUE"""),8.6197154E7)</f>
        <v>86197154</v>
      </c>
    </row>
    <row r="34">
      <c r="A34" s="7">
        <f>IFERROR(__xludf.DUMMYFUNCTION("""COMPUTED_VALUE"""),45408.64583333333)</f>
        <v>45408.64583</v>
      </c>
      <c r="B34" s="6">
        <f>IFERROR(__xludf.DUMMYFUNCTION("""COMPUTED_VALUE"""),434.0)</f>
        <v>434</v>
      </c>
      <c r="C34" s="6">
        <f>IFERROR(__xludf.DUMMYFUNCTION("""COMPUTED_VALUE"""),440.5)</f>
        <v>440.5</v>
      </c>
      <c r="D34" s="6">
        <f>IFERROR(__xludf.DUMMYFUNCTION("""COMPUTED_VALUE"""),426.75)</f>
        <v>426.75</v>
      </c>
      <c r="E34" s="6">
        <f>IFERROR(__xludf.DUMMYFUNCTION("""COMPUTED_VALUE"""),436.9)</f>
        <v>436.9</v>
      </c>
      <c r="F34" s="6">
        <f>IFERROR(__xludf.DUMMYFUNCTION("""COMPUTED_VALUE"""),5.0064399E7)</f>
        <v>50064399</v>
      </c>
    </row>
    <row r="35">
      <c r="A35" s="7">
        <f>IFERROR(__xludf.DUMMYFUNCTION("""COMPUTED_VALUE"""),45415.64583333333)</f>
        <v>45415.64583</v>
      </c>
      <c r="B35" s="6">
        <f>IFERROR(__xludf.DUMMYFUNCTION("""COMPUTED_VALUE"""),439.85)</f>
        <v>439.85</v>
      </c>
      <c r="C35" s="6">
        <f>IFERROR(__xludf.DUMMYFUNCTION("""COMPUTED_VALUE"""),464.2)</f>
        <v>464.2</v>
      </c>
      <c r="D35" s="6">
        <f>IFERROR(__xludf.DUMMYFUNCTION("""COMPUTED_VALUE"""),437.25)</f>
        <v>437.25</v>
      </c>
      <c r="E35" s="6">
        <f>IFERROR(__xludf.DUMMYFUNCTION("""COMPUTED_VALUE"""),454.75)</f>
        <v>454.75</v>
      </c>
      <c r="F35" s="6">
        <f>IFERROR(__xludf.DUMMYFUNCTION("""COMPUTED_VALUE"""),7.8789701E7)</f>
        <v>78789701</v>
      </c>
    </row>
    <row r="36">
      <c r="A36" s="7">
        <f>IFERROR(__xludf.DUMMYFUNCTION("""COMPUTED_VALUE"""),45422.64583333333)</f>
        <v>45422.64583</v>
      </c>
      <c r="B36" s="6">
        <f>IFERROR(__xludf.DUMMYFUNCTION("""COMPUTED_VALUE"""),458.6)</f>
        <v>458.6</v>
      </c>
      <c r="C36" s="6">
        <f>IFERROR(__xludf.DUMMYFUNCTION("""COMPUTED_VALUE"""),458.6)</f>
        <v>458.6</v>
      </c>
      <c r="D36" s="6">
        <f>IFERROR(__xludf.DUMMYFUNCTION("""COMPUTED_VALUE"""),404.15)</f>
        <v>404.15</v>
      </c>
      <c r="E36" s="6">
        <f>IFERROR(__xludf.DUMMYFUNCTION("""COMPUTED_VALUE"""),414.85)</f>
        <v>414.85</v>
      </c>
      <c r="F36" s="6">
        <f>IFERROR(__xludf.DUMMYFUNCTION("""COMPUTED_VALUE"""),9.274442E7)</f>
        <v>92744420</v>
      </c>
    </row>
    <row r="37">
      <c r="A37" s="7">
        <f>IFERROR(__xludf.DUMMYFUNCTION("""COMPUTED_VALUE"""),45436.64583333333)</f>
        <v>45436.64583</v>
      </c>
      <c r="B37" s="6">
        <f>IFERROR(__xludf.DUMMYFUNCTION("""COMPUTED_VALUE"""),443.4)</f>
        <v>443.4</v>
      </c>
      <c r="C37" s="6">
        <f>IFERROR(__xludf.DUMMYFUNCTION("""COMPUTED_VALUE"""),452.95)</f>
        <v>452.95</v>
      </c>
      <c r="D37" s="6">
        <f>IFERROR(__xludf.DUMMYFUNCTION("""COMPUTED_VALUE"""),436.5)</f>
        <v>436.5</v>
      </c>
      <c r="E37" s="6">
        <f>IFERROR(__xludf.DUMMYFUNCTION("""COMPUTED_VALUE"""),447.2)</f>
        <v>447.2</v>
      </c>
      <c r="F37" s="6">
        <f>IFERROR(__xludf.DUMMYFUNCTION("""COMPUTED_VALUE"""),4.6258609E7)</f>
        <v>46258609</v>
      </c>
    </row>
    <row r="38">
      <c r="A38" s="7">
        <f>IFERROR(__xludf.DUMMYFUNCTION("""COMPUTED_VALUE"""),45443.64583333333)</f>
        <v>45443.64583</v>
      </c>
      <c r="B38" s="6">
        <f>IFERROR(__xludf.DUMMYFUNCTION("""COMPUTED_VALUE"""),448.9)</f>
        <v>448.9</v>
      </c>
      <c r="C38" s="6">
        <f>IFERROR(__xludf.DUMMYFUNCTION("""COMPUTED_VALUE"""),452.55)</f>
        <v>452.55</v>
      </c>
      <c r="D38" s="6">
        <f>IFERROR(__xludf.DUMMYFUNCTION("""COMPUTED_VALUE"""),422.55)</f>
        <v>422.55</v>
      </c>
      <c r="E38" s="6">
        <f>IFERROR(__xludf.DUMMYFUNCTION("""COMPUTED_VALUE"""),436.75)</f>
        <v>436.75</v>
      </c>
      <c r="F38" s="6">
        <f>IFERROR(__xludf.DUMMYFUNCTION("""COMPUTED_VALUE"""),5.1220828E7)</f>
        <v>51220828</v>
      </c>
    </row>
    <row r="39">
      <c r="A39" s="7">
        <f>IFERROR(__xludf.DUMMYFUNCTION("""COMPUTED_VALUE"""),45450.64583333333)</f>
        <v>45450.64583</v>
      </c>
      <c r="B39" s="6">
        <f>IFERROR(__xludf.DUMMYFUNCTION("""COMPUTED_VALUE"""),460.0)</f>
        <v>460</v>
      </c>
      <c r="C39" s="6">
        <f>IFERROR(__xludf.DUMMYFUNCTION("""COMPUTED_VALUE"""),460.0)</f>
        <v>460</v>
      </c>
      <c r="D39" s="6">
        <f>IFERROR(__xludf.DUMMYFUNCTION("""COMPUTED_VALUE"""),371.65)</f>
        <v>371.65</v>
      </c>
      <c r="E39" s="6">
        <f>IFERROR(__xludf.DUMMYFUNCTION("""COMPUTED_VALUE"""),443.55)</f>
        <v>443.55</v>
      </c>
      <c r="F39" s="6">
        <f>IFERROR(__xludf.DUMMYFUNCTION("""COMPUTED_VALUE"""),1.38293999E8)</f>
        <v>138293999</v>
      </c>
    </row>
    <row r="40">
      <c r="A40" s="7">
        <f>IFERROR(__xludf.DUMMYFUNCTION("""COMPUTED_VALUE"""),45457.64583333333)</f>
        <v>45457.64583</v>
      </c>
      <c r="B40" s="6">
        <f>IFERROR(__xludf.DUMMYFUNCTION("""COMPUTED_VALUE"""),446.6)</f>
        <v>446.6</v>
      </c>
      <c r="C40" s="6">
        <f>IFERROR(__xludf.DUMMYFUNCTION("""COMPUTED_VALUE"""),458.75)</f>
        <v>458.75</v>
      </c>
      <c r="D40" s="6">
        <f>IFERROR(__xludf.DUMMYFUNCTION("""COMPUTED_VALUE"""),445.15)</f>
        <v>445.15</v>
      </c>
      <c r="E40" s="6">
        <f>IFERROR(__xludf.DUMMYFUNCTION("""COMPUTED_VALUE"""),448.65)</f>
        <v>448.65</v>
      </c>
      <c r="F40" s="6">
        <f>IFERROR(__xludf.DUMMYFUNCTION("""COMPUTED_VALUE"""),5.7489397E7)</f>
        <v>57489397</v>
      </c>
    </row>
    <row r="41">
      <c r="A41" s="7">
        <f>IFERROR(__xludf.DUMMYFUNCTION("""COMPUTED_VALUE"""),45464.64583333333)</f>
        <v>45464.64583</v>
      </c>
      <c r="B41" s="6">
        <f>IFERROR(__xludf.DUMMYFUNCTION("""COMPUTED_VALUE"""),449.75)</f>
        <v>449.75</v>
      </c>
      <c r="C41" s="6">
        <f>IFERROR(__xludf.DUMMYFUNCTION("""COMPUTED_VALUE"""),454.25)</f>
        <v>454.25</v>
      </c>
      <c r="D41" s="6">
        <f>IFERROR(__xludf.DUMMYFUNCTION("""COMPUTED_VALUE"""),436.55)</f>
        <v>436.55</v>
      </c>
      <c r="E41" s="6">
        <f>IFERROR(__xludf.DUMMYFUNCTION("""COMPUTED_VALUE"""),438.7)</f>
        <v>438.7</v>
      </c>
      <c r="F41" s="6">
        <f>IFERROR(__xludf.DUMMYFUNCTION("""COMPUTED_VALUE"""),3.9672202E7)</f>
        <v>39672202</v>
      </c>
    </row>
    <row r="42">
      <c r="A42" s="7">
        <f>IFERROR(__xludf.DUMMYFUNCTION("""COMPUTED_VALUE"""),45471.64583333333)</f>
        <v>45471.64583</v>
      </c>
      <c r="B42" s="6">
        <f>IFERROR(__xludf.DUMMYFUNCTION("""COMPUTED_VALUE"""),436.0)</f>
        <v>436</v>
      </c>
      <c r="C42" s="6">
        <f>IFERROR(__xludf.DUMMYFUNCTION("""COMPUTED_VALUE"""),444.45)</f>
        <v>444.45</v>
      </c>
      <c r="D42" s="6">
        <f>IFERROR(__xludf.DUMMYFUNCTION("""COMPUTED_VALUE"""),426.5)</f>
        <v>426.5</v>
      </c>
      <c r="E42" s="6">
        <f>IFERROR(__xludf.DUMMYFUNCTION("""COMPUTED_VALUE"""),440.6)</f>
        <v>440.6</v>
      </c>
      <c r="F42" s="6">
        <f>IFERROR(__xludf.DUMMYFUNCTION("""COMPUTED_VALUE"""),5.4398448E7)</f>
        <v>54398448</v>
      </c>
    </row>
    <row r="43">
      <c r="A43" s="7">
        <f>IFERROR(__xludf.DUMMYFUNCTION("""COMPUTED_VALUE"""),45478.64583333333)</f>
        <v>45478.64583</v>
      </c>
      <c r="B43" s="6">
        <f>IFERROR(__xludf.DUMMYFUNCTION("""COMPUTED_VALUE"""),441.0)</f>
        <v>441</v>
      </c>
      <c r="C43" s="6">
        <f>IFERROR(__xludf.DUMMYFUNCTION("""COMPUTED_VALUE"""),442.25)</f>
        <v>442.25</v>
      </c>
      <c r="D43" s="6">
        <f>IFERROR(__xludf.DUMMYFUNCTION("""COMPUTED_VALUE"""),428.0)</f>
        <v>428</v>
      </c>
      <c r="E43" s="6">
        <f>IFERROR(__xludf.DUMMYFUNCTION("""COMPUTED_VALUE"""),439.95)</f>
        <v>439.95</v>
      </c>
      <c r="F43" s="6">
        <f>IFERROR(__xludf.DUMMYFUNCTION("""COMPUTED_VALUE"""),4.4129433E7)</f>
        <v>44129433</v>
      </c>
    </row>
    <row r="44">
      <c r="A44" s="7">
        <f>IFERROR(__xludf.DUMMYFUNCTION("""COMPUTED_VALUE"""),45485.64583333333)</f>
        <v>45485.64583</v>
      </c>
      <c r="B44" s="6">
        <f>IFERROR(__xludf.DUMMYFUNCTION("""COMPUTED_VALUE"""),440.7)</f>
        <v>440.7</v>
      </c>
      <c r="C44" s="6">
        <f>IFERROR(__xludf.DUMMYFUNCTION("""COMPUTED_VALUE"""),444.5)</f>
        <v>444.5</v>
      </c>
      <c r="D44" s="6">
        <f>IFERROR(__xludf.DUMMYFUNCTION("""COMPUTED_VALUE"""),426.85)</f>
        <v>426.85</v>
      </c>
      <c r="E44" s="6">
        <f>IFERROR(__xludf.DUMMYFUNCTION("""COMPUTED_VALUE"""),434.05)</f>
        <v>434.05</v>
      </c>
      <c r="F44" s="6">
        <f>IFERROR(__xludf.DUMMYFUNCTION("""COMPUTED_VALUE"""),3.9356401E7)</f>
        <v>39356401</v>
      </c>
    </row>
    <row r="45">
      <c r="A45" s="7">
        <f>IFERROR(__xludf.DUMMYFUNCTION("""COMPUTED_VALUE"""),45492.64583333333)</f>
        <v>45492.64583</v>
      </c>
      <c r="B45" s="6">
        <f>IFERROR(__xludf.DUMMYFUNCTION("""COMPUTED_VALUE"""),436.4)</f>
        <v>436.4</v>
      </c>
      <c r="C45" s="6">
        <f>IFERROR(__xludf.DUMMYFUNCTION("""COMPUTED_VALUE"""),445.25)</f>
        <v>445.25</v>
      </c>
      <c r="D45" s="6">
        <f>IFERROR(__xludf.DUMMYFUNCTION("""COMPUTED_VALUE"""),412.85)</f>
        <v>412.85</v>
      </c>
      <c r="E45" s="6">
        <f>IFERROR(__xludf.DUMMYFUNCTION("""COMPUTED_VALUE"""),414.15)</f>
        <v>414.15</v>
      </c>
      <c r="F45" s="6">
        <f>IFERROR(__xludf.DUMMYFUNCTION("""COMPUTED_VALUE"""),4.5937961E7)</f>
        <v>45937961</v>
      </c>
    </row>
    <row r="46">
      <c r="A46" s="7">
        <f>IFERROR(__xludf.DUMMYFUNCTION("""COMPUTED_VALUE"""),45499.64583333333)</f>
        <v>45499.64583</v>
      </c>
      <c r="B46" s="6">
        <f>IFERROR(__xludf.DUMMYFUNCTION("""COMPUTED_VALUE"""),415.0)</f>
        <v>415</v>
      </c>
      <c r="C46" s="6">
        <f>IFERROR(__xludf.DUMMYFUNCTION("""COMPUTED_VALUE"""),446.2)</f>
        <v>446.2</v>
      </c>
      <c r="D46" s="6">
        <f>IFERROR(__xludf.DUMMYFUNCTION("""COMPUTED_VALUE"""),400.0)</f>
        <v>400</v>
      </c>
      <c r="E46" s="6">
        <f>IFERROR(__xludf.DUMMYFUNCTION("""COMPUTED_VALUE"""),444.7)</f>
        <v>444.7</v>
      </c>
      <c r="F46" s="6">
        <f>IFERROR(__xludf.DUMMYFUNCTION("""COMPUTED_VALUE"""),8.2639905E7)</f>
        <v>82639905</v>
      </c>
    </row>
    <row r="47">
      <c r="A47" s="7">
        <f>IFERROR(__xludf.DUMMYFUNCTION("""COMPUTED_VALUE"""),45506.64583333333)</f>
        <v>45506.64583</v>
      </c>
      <c r="B47" s="6">
        <f>IFERROR(__xludf.DUMMYFUNCTION("""COMPUTED_VALUE"""),446.95)</f>
        <v>446.95</v>
      </c>
      <c r="C47" s="6">
        <f>IFERROR(__xludf.DUMMYFUNCTION("""COMPUTED_VALUE"""),471.0)</f>
        <v>471</v>
      </c>
      <c r="D47" s="6">
        <f>IFERROR(__xludf.DUMMYFUNCTION("""COMPUTED_VALUE"""),440.0)</f>
        <v>440</v>
      </c>
      <c r="E47" s="6">
        <f>IFERROR(__xludf.DUMMYFUNCTION("""COMPUTED_VALUE"""),460.35)</f>
        <v>460.35</v>
      </c>
      <c r="F47" s="6">
        <f>IFERROR(__xludf.DUMMYFUNCTION("""COMPUTED_VALUE"""),1.0776422E8)</f>
        <v>107764220</v>
      </c>
    </row>
    <row r="48">
      <c r="A48" s="7">
        <f>IFERROR(__xludf.DUMMYFUNCTION("""COMPUTED_VALUE"""),45513.64583333333)</f>
        <v>45513.64583</v>
      </c>
      <c r="B48" s="6">
        <f>IFERROR(__xludf.DUMMYFUNCTION("""COMPUTED_VALUE"""),446.0)</f>
        <v>446</v>
      </c>
      <c r="C48" s="6">
        <f>IFERROR(__xludf.DUMMYFUNCTION("""COMPUTED_VALUE"""),452.9)</f>
        <v>452.9</v>
      </c>
      <c r="D48" s="6">
        <f>IFERROR(__xludf.DUMMYFUNCTION("""COMPUTED_VALUE"""),416.05)</f>
        <v>416.05</v>
      </c>
      <c r="E48" s="6">
        <f>IFERROR(__xludf.DUMMYFUNCTION("""COMPUTED_VALUE"""),417.75)</f>
        <v>417.75</v>
      </c>
      <c r="F48" s="6">
        <f>IFERROR(__xludf.DUMMYFUNCTION("""COMPUTED_VALUE"""),1.14901062E8)</f>
        <v>114901062</v>
      </c>
    </row>
    <row r="49">
      <c r="A49" s="7">
        <f>IFERROR(__xludf.DUMMYFUNCTION("""COMPUTED_VALUE"""),45520.64583333333)</f>
        <v>45520.64583</v>
      </c>
      <c r="B49" s="6">
        <f>IFERROR(__xludf.DUMMYFUNCTION("""COMPUTED_VALUE"""),417.1)</f>
        <v>417.1</v>
      </c>
      <c r="C49" s="6">
        <f>IFERROR(__xludf.DUMMYFUNCTION("""COMPUTED_VALUE"""),422.9)</f>
        <v>422.9</v>
      </c>
      <c r="D49" s="6">
        <f>IFERROR(__xludf.DUMMYFUNCTION("""COMPUTED_VALUE"""),403.1)</f>
        <v>403.1</v>
      </c>
      <c r="E49" s="6">
        <f>IFERROR(__xludf.DUMMYFUNCTION("""COMPUTED_VALUE"""),413.65)</f>
        <v>413.65</v>
      </c>
      <c r="F49" s="6">
        <f>IFERROR(__xludf.DUMMYFUNCTION("""COMPUTED_VALUE"""),4.8046101E7)</f>
        <v>48046101</v>
      </c>
    </row>
    <row r="50">
      <c r="A50" s="7">
        <f>IFERROR(__xludf.DUMMYFUNCTION("""COMPUTED_VALUE"""),45527.64583333333)</f>
        <v>45527.64583</v>
      </c>
      <c r="B50" s="6">
        <f>IFERROR(__xludf.DUMMYFUNCTION("""COMPUTED_VALUE"""),416.7)</f>
        <v>416.7</v>
      </c>
      <c r="C50" s="6">
        <f>IFERROR(__xludf.DUMMYFUNCTION("""COMPUTED_VALUE"""),427.3)</f>
        <v>427.3</v>
      </c>
      <c r="D50" s="6">
        <f>IFERROR(__xludf.DUMMYFUNCTION("""COMPUTED_VALUE"""),415.05)</f>
        <v>415.05</v>
      </c>
      <c r="E50" s="6">
        <f>IFERROR(__xludf.DUMMYFUNCTION("""COMPUTED_VALUE"""),417.95)</f>
        <v>417.95</v>
      </c>
      <c r="F50" s="6">
        <f>IFERROR(__xludf.DUMMYFUNCTION("""COMPUTED_VALUE"""),3.6892798E7)</f>
        <v>36892798</v>
      </c>
    </row>
    <row r="51">
      <c r="A51" s="7">
        <f>IFERROR(__xludf.DUMMYFUNCTION("""COMPUTED_VALUE"""),45534.64583333333)</f>
        <v>45534.64583</v>
      </c>
      <c r="B51" s="6">
        <f>IFERROR(__xludf.DUMMYFUNCTION("""COMPUTED_VALUE"""),420.0)</f>
        <v>420</v>
      </c>
      <c r="C51" s="6">
        <f>IFERROR(__xludf.DUMMYFUNCTION("""COMPUTED_VALUE"""),437.4)</f>
        <v>437.4</v>
      </c>
      <c r="D51" s="6">
        <f>IFERROR(__xludf.DUMMYFUNCTION("""COMPUTED_VALUE"""),417.0)</f>
        <v>417</v>
      </c>
      <c r="E51" s="6">
        <f>IFERROR(__xludf.DUMMYFUNCTION("""COMPUTED_VALUE"""),434.65)</f>
        <v>434.65</v>
      </c>
      <c r="F51" s="6">
        <f>IFERROR(__xludf.DUMMYFUNCTION("""COMPUTED_VALUE"""),5.9711774E7)</f>
        <v>59711774</v>
      </c>
    </row>
    <row r="52">
      <c r="A52" s="7">
        <f>IFERROR(__xludf.DUMMYFUNCTION("""COMPUTED_VALUE"""),45541.64583333333)</f>
        <v>45541.64583</v>
      </c>
      <c r="B52" s="6">
        <f>IFERROR(__xludf.DUMMYFUNCTION("""COMPUTED_VALUE"""),435.85)</f>
        <v>435.85</v>
      </c>
      <c r="C52" s="6">
        <f>IFERROR(__xludf.DUMMYFUNCTION("""COMPUTED_VALUE"""),436.75)</f>
        <v>436.75</v>
      </c>
      <c r="D52" s="6">
        <f>IFERROR(__xludf.DUMMYFUNCTION("""COMPUTED_VALUE"""),414.35)</f>
        <v>414.35</v>
      </c>
      <c r="E52" s="6">
        <f>IFERROR(__xludf.DUMMYFUNCTION("""COMPUTED_VALUE"""),417.0)</f>
        <v>417</v>
      </c>
      <c r="F52" s="6">
        <f>IFERROR(__xludf.DUMMYFUNCTION("""COMPUTED_VALUE"""),5.2278693E7)</f>
        <v>52278693</v>
      </c>
    </row>
    <row r="53">
      <c r="A53" s="7">
        <f>IFERROR(__xludf.DUMMYFUNCTION("""COMPUTED_VALUE"""),45548.64583333333)</f>
        <v>45548.64583</v>
      </c>
      <c r="B53" s="6">
        <f>IFERROR(__xludf.DUMMYFUNCTION("""COMPUTED_VALUE"""),417.0)</f>
        <v>417</v>
      </c>
      <c r="C53" s="6">
        <f>IFERROR(__xludf.DUMMYFUNCTION("""COMPUTED_VALUE"""),449.6)</f>
        <v>449.6</v>
      </c>
      <c r="D53" s="6">
        <f>IFERROR(__xludf.DUMMYFUNCTION("""COMPUTED_VALUE"""),411.3)</f>
        <v>411.3</v>
      </c>
      <c r="E53" s="6">
        <f>IFERROR(__xludf.DUMMYFUNCTION("""COMPUTED_VALUE"""),441.8)</f>
        <v>441.8</v>
      </c>
      <c r="F53" s="6">
        <f>IFERROR(__xludf.DUMMYFUNCTION("""COMPUTED_VALUE"""),8.8556499E7)</f>
        <v>88556499</v>
      </c>
    </row>
    <row r="54">
      <c r="A54" s="7">
        <f>IFERROR(__xludf.DUMMYFUNCTION("""COMPUTED_VALUE"""),45555.64583333333)</f>
        <v>45555.64583</v>
      </c>
      <c r="B54" s="6">
        <f>IFERROR(__xludf.DUMMYFUNCTION("""COMPUTED_VALUE"""),443.5)</f>
        <v>443.5</v>
      </c>
      <c r="C54" s="6">
        <f>IFERROR(__xludf.DUMMYFUNCTION("""COMPUTED_VALUE"""),451.9)</f>
        <v>451.9</v>
      </c>
      <c r="D54" s="6">
        <f>IFERROR(__xludf.DUMMYFUNCTION("""COMPUTED_VALUE"""),430.8)</f>
        <v>430.8</v>
      </c>
      <c r="E54" s="6">
        <f>IFERROR(__xludf.DUMMYFUNCTION("""COMPUTED_VALUE"""),444.15)</f>
        <v>444.15</v>
      </c>
      <c r="F54" s="6">
        <f>IFERROR(__xludf.DUMMYFUNCTION("""COMPUTED_VALUE"""),5.1168725E7)</f>
        <v>51168725</v>
      </c>
    </row>
    <row r="55">
      <c r="A55" s="7">
        <f>IFERROR(__xludf.DUMMYFUNCTION("""COMPUTED_VALUE"""),45562.64583333333)</f>
        <v>45562.64583</v>
      </c>
      <c r="B55" s="6">
        <f>IFERROR(__xludf.DUMMYFUNCTION("""COMPUTED_VALUE"""),444.95)</f>
        <v>444.95</v>
      </c>
      <c r="C55" s="6">
        <f>IFERROR(__xludf.DUMMYFUNCTION("""COMPUTED_VALUE"""),494.85)</f>
        <v>494.85</v>
      </c>
      <c r="D55" s="6">
        <f>IFERROR(__xludf.DUMMYFUNCTION("""COMPUTED_VALUE"""),444.5)</f>
        <v>444.5</v>
      </c>
      <c r="E55" s="6">
        <f>IFERROR(__xludf.DUMMYFUNCTION("""COMPUTED_VALUE"""),485.5)</f>
        <v>485.5</v>
      </c>
      <c r="F55" s="6">
        <f>IFERROR(__xludf.DUMMYFUNCTION("""COMPUTED_VALUE"""),1.34889273E8)</f>
        <v>134889273</v>
      </c>
    </row>
    <row r="56">
      <c r="A56" s="7">
        <f>IFERROR(__xludf.DUMMYFUNCTION("""COMPUTED_VALUE"""),45569.64583333333)</f>
        <v>45569.64583</v>
      </c>
      <c r="B56" s="6">
        <f>IFERROR(__xludf.DUMMYFUNCTION("""COMPUTED_VALUE"""),485.4)</f>
        <v>485.4</v>
      </c>
      <c r="C56" s="6">
        <f>IFERROR(__xludf.DUMMYFUNCTION("""COMPUTED_VALUE"""),491.2)</f>
        <v>491.2</v>
      </c>
      <c r="D56" s="6">
        <f>IFERROR(__xludf.DUMMYFUNCTION("""COMPUTED_VALUE"""),460.6)</f>
        <v>460.6</v>
      </c>
      <c r="E56" s="6">
        <f>IFERROR(__xludf.DUMMYFUNCTION("""COMPUTED_VALUE"""),466.65)</f>
        <v>466.65</v>
      </c>
      <c r="F56" s="6">
        <f>IFERROR(__xludf.DUMMYFUNCTION("""COMPUTED_VALUE"""),5.9207679E7)</f>
        <v>59207679</v>
      </c>
    </row>
    <row r="57">
      <c r="A57" s="7">
        <f>IFERROR(__xludf.DUMMYFUNCTION("""COMPUTED_VALUE"""),45576.64583333333)</f>
        <v>45576.64583</v>
      </c>
      <c r="B57" s="6">
        <f>IFERROR(__xludf.DUMMYFUNCTION("""COMPUTED_VALUE"""),467.9)</f>
        <v>467.9</v>
      </c>
      <c r="C57" s="6">
        <f>IFERROR(__xludf.DUMMYFUNCTION("""COMPUTED_VALUE"""),477.9)</f>
        <v>477.9</v>
      </c>
      <c r="D57" s="6">
        <f>IFERROR(__xludf.DUMMYFUNCTION("""COMPUTED_VALUE"""),438.7)</f>
        <v>438.7</v>
      </c>
      <c r="E57" s="6">
        <f>IFERROR(__xludf.DUMMYFUNCTION("""COMPUTED_VALUE"""),461.15)</f>
        <v>461.15</v>
      </c>
      <c r="F57" s="6">
        <f>IFERROR(__xludf.DUMMYFUNCTION("""COMPUTED_VALUE"""),8.5453471E7)</f>
        <v>85453471</v>
      </c>
    </row>
    <row r="58">
      <c r="A58" s="7">
        <f>IFERROR(__xludf.DUMMYFUNCTION("""COMPUTED_VALUE"""),45583.64583333333)</f>
        <v>45583.64583</v>
      </c>
      <c r="B58" s="6">
        <f>IFERROR(__xludf.DUMMYFUNCTION("""COMPUTED_VALUE"""),463.8)</f>
        <v>463.8</v>
      </c>
      <c r="C58" s="6">
        <f>IFERROR(__xludf.DUMMYFUNCTION("""COMPUTED_VALUE"""),474.4)</f>
        <v>474.4</v>
      </c>
      <c r="D58" s="6">
        <f>IFERROR(__xludf.DUMMYFUNCTION("""COMPUTED_VALUE"""),443.05)</f>
        <v>443.05</v>
      </c>
      <c r="E58" s="6">
        <f>IFERROR(__xludf.DUMMYFUNCTION("""COMPUTED_VALUE"""),453.55)</f>
        <v>453.55</v>
      </c>
      <c r="F58" s="6">
        <f>IFERROR(__xludf.DUMMYFUNCTION("""COMPUTED_VALUE"""),5.0365587E7)</f>
        <v>50365587</v>
      </c>
    </row>
    <row r="59">
      <c r="A59" s="7">
        <f>IFERROR(__xludf.DUMMYFUNCTION("""COMPUTED_VALUE"""),45590.64583333333)</f>
        <v>45590.64583</v>
      </c>
      <c r="B59" s="6">
        <f>IFERROR(__xludf.DUMMYFUNCTION("""COMPUTED_VALUE"""),455.55)</f>
        <v>455.55</v>
      </c>
      <c r="C59" s="6">
        <f>IFERROR(__xludf.DUMMYFUNCTION("""COMPUTED_VALUE"""),465.55)</f>
        <v>465.55</v>
      </c>
      <c r="D59" s="6">
        <f>IFERROR(__xludf.DUMMYFUNCTION("""COMPUTED_VALUE"""),414.5)</f>
        <v>414.5</v>
      </c>
      <c r="E59" s="6">
        <f>IFERROR(__xludf.DUMMYFUNCTION("""COMPUTED_VALUE"""),422.1)</f>
        <v>422.1</v>
      </c>
      <c r="F59" s="6">
        <f>IFERROR(__xludf.DUMMYFUNCTION("""COMPUTED_VALUE"""),6.2477641E7)</f>
        <v>62477641</v>
      </c>
    </row>
    <row r="60">
      <c r="A60" s="7">
        <f>IFERROR(__xludf.DUMMYFUNCTION("""COMPUTED_VALUE"""),45604.64583333333)</f>
        <v>45604.64583</v>
      </c>
      <c r="B60" s="6">
        <f>IFERROR(__xludf.DUMMYFUNCTION("""COMPUTED_VALUE"""),446.25)</f>
        <v>446.25</v>
      </c>
      <c r="C60" s="6">
        <f>IFERROR(__xludf.DUMMYFUNCTION("""COMPUTED_VALUE"""),454.75)</f>
        <v>454.75</v>
      </c>
      <c r="D60" s="6">
        <f>IFERROR(__xludf.DUMMYFUNCTION("""COMPUTED_VALUE"""),425.85)</f>
        <v>425.85</v>
      </c>
      <c r="E60" s="6">
        <f>IFERROR(__xludf.DUMMYFUNCTION("""COMPUTED_VALUE"""),432.75)</f>
        <v>432.75</v>
      </c>
      <c r="F60" s="6">
        <f>IFERROR(__xludf.DUMMYFUNCTION("""COMPUTED_VALUE"""),5.3941693E7)</f>
        <v>53941693</v>
      </c>
    </row>
    <row r="61">
      <c r="A61" s="7">
        <f>IFERROR(__xludf.DUMMYFUNCTION("""COMPUTED_VALUE"""),45610.64583333333)</f>
        <v>45610.64583</v>
      </c>
      <c r="B61" s="6">
        <f>IFERROR(__xludf.DUMMYFUNCTION("""COMPUTED_VALUE"""),431.95)</f>
        <v>431.95</v>
      </c>
      <c r="C61" s="6">
        <f>IFERROR(__xludf.DUMMYFUNCTION("""COMPUTED_VALUE"""),437.75)</f>
        <v>437.75</v>
      </c>
      <c r="D61" s="6">
        <f>IFERROR(__xludf.DUMMYFUNCTION("""COMPUTED_VALUE"""),396.95)</f>
        <v>396.95</v>
      </c>
      <c r="E61" s="6">
        <f>IFERROR(__xludf.DUMMYFUNCTION("""COMPUTED_VALUE"""),404.65)</f>
        <v>404.65</v>
      </c>
      <c r="F61" s="6">
        <f>IFERROR(__xludf.DUMMYFUNCTION("""COMPUTED_VALUE"""),4.3709222E7)</f>
        <v>43709222</v>
      </c>
    </row>
    <row r="62">
      <c r="A62" s="7">
        <f>IFERROR(__xludf.DUMMYFUNCTION("""COMPUTED_VALUE"""),45618.64583333333)</f>
        <v>45618.64583</v>
      </c>
      <c r="B62" s="6">
        <f>IFERROR(__xludf.DUMMYFUNCTION("""COMPUTED_VALUE"""),408.0)</f>
        <v>408</v>
      </c>
      <c r="C62" s="6">
        <f>IFERROR(__xludf.DUMMYFUNCTION("""COMPUTED_VALUE"""),417.8)</f>
        <v>417.8</v>
      </c>
      <c r="D62" s="6">
        <f>IFERROR(__xludf.DUMMYFUNCTION("""COMPUTED_VALUE"""),397.4)</f>
        <v>397.4</v>
      </c>
      <c r="E62" s="6">
        <f>IFERROR(__xludf.DUMMYFUNCTION("""COMPUTED_VALUE"""),413.75)</f>
        <v>413.75</v>
      </c>
      <c r="F62" s="6">
        <f>IFERROR(__xludf.DUMMYFUNCTION("""COMPUTED_VALUE"""),4.4101128E7)</f>
        <v>44101128</v>
      </c>
    </row>
    <row r="63">
      <c r="A63" s="7">
        <f>IFERROR(__xludf.DUMMYFUNCTION("""COMPUTED_VALUE"""),45625.64583333333)</f>
        <v>45625.64583</v>
      </c>
      <c r="B63" s="6">
        <f>IFERROR(__xludf.DUMMYFUNCTION("""COMPUTED_VALUE"""),421.45)</f>
        <v>421.45</v>
      </c>
      <c r="C63" s="6">
        <f>IFERROR(__xludf.DUMMYFUNCTION("""COMPUTED_VALUE"""),423.45)</f>
        <v>423.45</v>
      </c>
      <c r="D63" s="6">
        <f>IFERROR(__xludf.DUMMYFUNCTION("""COMPUTED_VALUE"""),408.0)</f>
        <v>408</v>
      </c>
      <c r="E63" s="6">
        <f>IFERROR(__xludf.DUMMYFUNCTION("""COMPUTED_VALUE"""),414.15)</f>
        <v>414.15</v>
      </c>
      <c r="F63" s="6">
        <f>IFERROR(__xludf.DUMMYFUNCTION("""COMPUTED_VALUE"""),5.3717437E7)</f>
        <v>53717437</v>
      </c>
    </row>
    <row r="64">
      <c r="A64" s="7">
        <f>IFERROR(__xludf.DUMMYFUNCTION("""COMPUTED_VALUE"""),45632.64583333333)</f>
        <v>45632.64583</v>
      </c>
      <c r="B64" s="6">
        <f>IFERROR(__xludf.DUMMYFUNCTION("""COMPUTED_VALUE"""),413.0)</f>
        <v>413</v>
      </c>
      <c r="C64" s="6">
        <f>IFERROR(__xludf.DUMMYFUNCTION("""COMPUTED_VALUE"""),442.5)</f>
        <v>442.5</v>
      </c>
      <c r="D64" s="6">
        <f>IFERROR(__xludf.DUMMYFUNCTION("""COMPUTED_VALUE"""),412.0)</f>
        <v>412</v>
      </c>
      <c r="E64" s="6">
        <f>IFERROR(__xludf.DUMMYFUNCTION("""COMPUTED_VALUE"""),439.7)</f>
        <v>439.7</v>
      </c>
      <c r="F64" s="6">
        <f>IFERROR(__xludf.DUMMYFUNCTION("""COMPUTED_VALUE"""),5.688825E7)</f>
        <v>56888250</v>
      </c>
    </row>
    <row r="65">
      <c r="A65" s="7">
        <f>IFERROR(__xludf.DUMMYFUNCTION("""COMPUTED_VALUE"""),45639.64583333333)</f>
        <v>45639.64583</v>
      </c>
      <c r="B65" s="6">
        <f>IFERROR(__xludf.DUMMYFUNCTION("""COMPUTED_VALUE"""),443.0)</f>
        <v>443</v>
      </c>
      <c r="C65" s="6">
        <f>IFERROR(__xludf.DUMMYFUNCTION("""COMPUTED_VALUE"""),447.7)</f>
        <v>447.7</v>
      </c>
      <c r="D65" s="6">
        <f>IFERROR(__xludf.DUMMYFUNCTION("""COMPUTED_VALUE"""),420.3)</f>
        <v>420.3</v>
      </c>
      <c r="E65" s="6">
        <f>IFERROR(__xludf.DUMMYFUNCTION("""COMPUTED_VALUE"""),428.45)</f>
        <v>428.45</v>
      </c>
      <c r="F65" s="6">
        <f>IFERROR(__xludf.DUMMYFUNCTION("""COMPUTED_VALUE"""),4.316846E7)</f>
        <v>43168460</v>
      </c>
    </row>
    <row r="66">
      <c r="A66" s="7">
        <f>IFERROR(__xludf.DUMMYFUNCTION("""COMPUTED_VALUE"""),45646.64583333333)</f>
        <v>45646.64583</v>
      </c>
      <c r="B66" s="6">
        <f>IFERROR(__xludf.DUMMYFUNCTION("""COMPUTED_VALUE"""),427.95)</f>
        <v>427.95</v>
      </c>
      <c r="C66" s="6">
        <f>IFERROR(__xludf.DUMMYFUNCTION("""COMPUTED_VALUE"""),430.4)</f>
        <v>430.4</v>
      </c>
      <c r="D66" s="6">
        <f>IFERROR(__xludf.DUMMYFUNCTION("""COMPUTED_VALUE"""),400.05)</f>
        <v>400.05</v>
      </c>
      <c r="E66" s="6">
        <f>IFERROR(__xludf.DUMMYFUNCTION("""COMPUTED_VALUE"""),401.1)</f>
        <v>401.1</v>
      </c>
      <c r="F66" s="6">
        <f>IFERROR(__xludf.DUMMYFUNCTION("""COMPUTED_VALUE"""),3.44562E7)</f>
        <v>34456200</v>
      </c>
    </row>
    <row r="67">
      <c r="A67" s="7">
        <f>IFERROR(__xludf.DUMMYFUNCTION("""COMPUTED_VALUE"""),45653.64583333333)</f>
        <v>45653.64583</v>
      </c>
      <c r="B67" s="6">
        <f>IFERROR(__xludf.DUMMYFUNCTION("""COMPUTED_VALUE"""),404.85)</f>
        <v>404.85</v>
      </c>
      <c r="C67" s="6">
        <f>IFERROR(__xludf.DUMMYFUNCTION("""COMPUTED_VALUE"""),408.0)</f>
        <v>408</v>
      </c>
      <c r="D67" s="6">
        <f>IFERROR(__xludf.DUMMYFUNCTION("""COMPUTED_VALUE"""),396.85)</f>
        <v>396.85</v>
      </c>
      <c r="E67" s="6">
        <f>IFERROR(__xludf.DUMMYFUNCTION("""COMPUTED_VALUE"""),399.0)</f>
        <v>399</v>
      </c>
      <c r="F67" s="6">
        <f>IFERROR(__xludf.DUMMYFUNCTION("""COMPUTED_VALUE"""),3.0420346E7)</f>
        <v>30420346</v>
      </c>
    </row>
    <row r="68">
      <c r="A68" s="7">
        <f>IFERROR(__xludf.DUMMYFUNCTION("""COMPUTED_VALUE"""),45660.64583333333)</f>
        <v>45660.64583</v>
      </c>
      <c r="B68" s="6">
        <f>IFERROR(__xludf.DUMMYFUNCTION("""COMPUTED_VALUE"""),399.6)</f>
        <v>399.6</v>
      </c>
      <c r="C68" s="6">
        <f>IFERROR(__xludf.DUMMYFUNCTION("""COMPUTED_VALUE"""),402.95)</f>
        <v>402.95</v>
      </c>
      <c r="D68" s="6">
        <f>IFERROR(__xludf.DUMMYFUNCTION("""COMPUTED_VALUE"""),385.5)</f>
        <v>385.5</v>
      </c>
      <c r="E68" s="6">
        <f>IFERROR(__xludf.DUMMYFUNCTION("""COMPUTED_VALUE"""),396.65)</f>
        <v>396.65</v>
      </c>
      <c r="F68" s="6">
        <f>IFERROR(__xludf.DUMMYFUNCTION("""COMPUTED_VALUE"""),6.2612421E7)</f>
        <v>62612421</v>
      </c>
    </row>
    <row r="69">
      <c r="A69" s="7">
        <f>IFERROR(__xludf.DUMMYFUNCTION("""COMPUTED_VALUE"""),45667.64583333333)</f>
        <v>45667.64583</v>
      </c>
      <c r="B69" s="6">
        <f>IFERROR(__xludf.DUMMYFUNCTION("""COMPUTED_VALUE"""),397.0)</f>
        <v>397</v>
      </c>
      <c r="C69" s="6">
        <f>IFERROR(__xludf.DUMMYFUNCTION("""COMPUTED_VALUE"""),397.0)</f>
        <v>397</v>
      </c>
      <c r="D69" s="6">
        <f>IFERROR(__xludf.DUMMYFUNCTION("""COMPUTED_VALUE"""),355.05)</f>
        <v>355.05</v>
      </c>
      <c r="E69" s="6">
        <f>IFERROR(__xludf.DUMMYFUNCTION("""COMPUTED_VALUE"""),356.35)</f>
        <v>356.35</v>
      </c>
      <c r="F69" s="6">
        <f>IFERROR(__xludf.DUMMYFUNCTION("""COMPUTED_VALUE"""),4.3163555E7)</f>
        <v>43163555</v>
      </c>
    </row>
    <row r="70">
      <c r="A70" s="7">
        <f>IFERROR(__xludf.DUMMYFUNCTION("""COMPUTED_VALUE"""),45674.64583333333)</f>
        <v>45674.64583</v>
      </c>
      <c r="B70" s="6">
        <f>IFERROR(__xludf.DUMMYFUNCTION("""COMPUTED_VALUE"""),350.0)</f>
        <v>350</v>
      </c>
      <c r="C70" s="6">
        <f>IFERROR(__xludf.DUMMYFUNCTION("""COMPUTED_VALUE"""),375.4)</f>
        <v>375.4</v>
      </c>
      <c r="D70" s="6">
        <f>IFERROR(__xludf.DUMMYFUNCTION("""COMPUTED_VALUE"""),338.4)</f>
        <v>338.4</v>
      </c>
      <c r="E70" s="6">
        <f>IFERROR(__xludf.DUMMYFUNCTION("""COMPUTED_VALUE"""),373.6)</f>
        <v>373.6</v>
      </c>
      <c r="F70" s="6">
        <f>IFERROR(__xludf.DUMMYFUNCTION("""COMPUTED_VALUE"""),4.5522592E7)</f>
        <v>45522592</v>
      </c>
    </row>
    <row r="71">
      <c r="A71" s="7">
        <f>IFERROR(__xludf.DUMMYFUNCTION("""COMPUTED_VALUE"""),45681.64583333333)</f>
        <v>45681.64583</v>
      </c>
      <c r="B71" s="6">
        <f>IFERROR(__xludf.DUMMYFUNCTION("""COMPUTED_VALUE"""),374.85)</f>
        <v>374.85</v>
      </c>
      <c r="C71" s="6">
        <f>IFERROR(__xludf.DUMMYFUNCTION("""COMPUTED_VALUE"""),376.2)</f>
        <v>376.2</v>
      </c>
      <c r="D71" s="6">
        <f>IFERROR(__xludf.DUMMYFUNCTION("""COMPUTED_VALUE"""),352.15)</f>
        <v>352.15</v>
      </c>
      <c r="E71" s="6">
        <f>IFERROR(__xludf.DUMMYFUNCTION("""COMPUTED_VALUE"""),363.4)</f>
        <v>363.4</v>
      </c>
      <c r="F71" s="6">
        <f>IFERROR(__xludf.DUMMYFUNCTION("""COMPUTED_VALUE"""),2.7316927E7)</f>
        <v>27316927</v>
      </c>
    </row>
    <row r="72">
      <c r="A72" s="7">
        <f>IFERROR(__xludf.DUMMYFUNCTION("""COMPUTED_VALUE"""),45695.64583333333)</f>
        <v>45695.64583</v>
      </c>
      <c r="B72" s="6">
        <f>IFERROR(__xludf.DUMMYFUNCTION("""COMPUTED_VALUE"""),367.0)</f>
        <v>367</v>
      </c>
      <c r="C72" s="6">
        <f>IFERROR(__xludf.DUMMYFUNCTION("""COMPUTED_VALUE"""),375.0)</f>
        <v>375</v>
      </c>
      <c r="D72" s="6">
        <f>IFERROR(__xludf.DUMMYFUNCTION("""COMPUTED_VALUE"""),351.5)</f>
        <v>351.5</v>
      </c>
      <c r="E72" s="6">
        <f>IFERROR(__xludf.DUMMYFUNCTION("""COMPUTED_VALUE"""),367.1)</f>
        <v>367.1</v>
      </c>
      <c r="F72" s="6">
        <f>IFERROR(__xludf.DUMMYFUNCTION("""COMPUTED_VALUE"""),4.5464523E7)</f>
        <v>45464523</v>
      </c>
    </row>
    <row r="73">
      <c r="A73" s="7">
        <f>IFERROR(__xludf.DUMMYFUNCTION("""COMPUTED_VALUE"""),45702.64583333333)</f>
        <v>45702.64583</v>
      </c>
      <c r="B73" s="6">
        <f>IFERROR(__xludf.DUMMYFUNCTION("""COMPUTED_VALUE"""),367.05)</f>
        <v>367.05</v>
      </c>
      <c r="C73" s="6">
        <f>IFERROR(__xludf.DUMMYFUNCTION("""COMPUTED_VALUE"""),368.95)</f>
        <v>368.95</v>
      </c>
      <c r="D73" s="6">
        <f>IFERROR(__xludf.DUMMYFUNCTION("""COMPUTED_VALUE"""),332.0)</f>
        <v>332</v>
      </c>
      <c r="E73" s="6">
        <f>IFERROR(__xludf.DUMMYFUNCTION("""COMPUTED_VALUE"""),337.15)</f>
        <v>337.15</v>
      </c>
      <c r="F73" s="6">
        <f>IFERROR(__xludf.DUMMYFUNCTION("""COMPUTED_VALUE"""),3.1973559E7)</f>
        <v>31973559</v>
      </c>
    </row>
    <row r="74">
      <c r="A74" s="7">
        <f>IFERROR(__xludf.DUMMYFUNCTION("""COMPUTED_VALUE"""),45709.64583333333)</f>
        <v>45709.64583</v>
      </c>
      <c r="B74" s="6">
        <f>IFERROR(__xludf.DUMMYFUNCTION("""COMPUTED_VALUE"""),337.1)</f>
        <v>337.1</v>
      </c>
      <c r="C74" s="6">
        <f>IFERROR(__xludf.DUMMYFUNCTION("""COMPUTED_VALUE"""),362.45)</f>
        <v>362.45</v>
      </c>
      <c r="D74" s="6">
        <f>IFERROR(__xludf.DUMMYFUNCTION("""COMPUTED_VALUE"""),326.35)</f>
        <v>326.35</v>
      </c>
      <c r="E74" s="6">
        <f>IFERROR(__xludf.DUMMYFUNCTION("""COMPUTED_VALUE"""),357.2)</f>
        <v>357.2</v>
      </c>
      <c r="F74" s="6">
        <f>IFERROR(__xludf.DUMMYFUNCTION("""COMPUTED_VALUE"""),3.6057669E7)</f>
        <v>36057669</v>
      </c>
    </row>
    <row r="75">
      <c r="A75" s="7">
        <f>IFERROR(__xludf.DUMMYFUNCTION("""COMPUTED_VALUE"""),45716.64583333333)</f>
        <v>45716.64583</v>
      </c>
      <c r="B75" s="6">
        <f>IFERROR(__xludf.DUMMYFUNCTION("""COMPUTED_VALUE"""),356.0)</f>
        <v>356</v>
      </c>
      <c r="C75" s="6">
        <f>IFERROR(__xludf.DUMMYFUNCTION("""COMPUTED_VALUE"""),356.95)</f>
        <v>356.95</v>
      </c>
      <c r="D75" s="6">
        <f>IFERROR(__xludf.DUMMYFUNCTION("""COMPUTED_VALUE"""),335.5)</f>
        <v>335.5</v>
      </c>
      <c r="E75" s="6">
        <f>IFERROR(__xludf.DUMMYFUNCTION("""COMPUTED_VALUE"""),339.2)</f>
        <v>339.2</v>
      </c>
      <c r="F75" s="6">
        <f>IFERROR(__xludf.DUMMYFUNCTION("""COMPUTED_VALUE"""),2.2629535E7)</f>
        <v>22629535</v>
      </c>
    </row>
    <row r="76">
      <c r="A76" s="7">
        <f>IFERROR(__xludf.DUMMYFUNCTION("""COMPUTED_VALUE"""),45723.64583333333)</f>
        <v>45723.64583</v>
      </c>
      <c r="B76" s="6">
        <f>IFERROR(__xludf.DUMMYFUNCTION("""COMPUTED_VALUE"""),338.75)</f>
        <v>338.75</v>
      </c>
      <c r="C76" s="6">
        <f>IFERROR(__xludf.DUMMYFUNCTION("""COMPUTED_VALUE"""),360.5)</f>
        <v>360.5</v>
      </c>
      <c r="D76" s="6">
        <f>IFERROR(__xludf.DUMMYFUNCTION("""COMPUTED_VALUE"""),331.85)</f>
        <v>331.85</v>
      </c>
      <c r="E76" s="6">
        <f>IFERROR(__xludf.DUMMYFUNCTION("""COMPUTED_VALUE"""),351.45)</f>
        <v>351.45</v>
      </c>
      <c r="F76" s="6">
        <f>IFERROR(__xludf.DUMMYFUNCTION("""COMPUTED_VALUE"""),3.1395967E7)</f>
        <v>31395967</v>
      </c>
    </row>
    <row r="77">
      <c r="A77" s="7">
        <f>IFERROR(__xludf.DUMMYFUNCTION("""COMPUTED_VALUE"""),45729.64583333333)</f>
        <v>45729.64583</v>
      </c>
      <c r="B77" s="6">
        <f>IFERROR(__xludf.DUMMYFUNCTION("""COMPUTED_VALUE"""),356.5)</f>
        <v>356.5</v>
      </c>
      <c r="C77" s="6">
        <f>IFERROR(__xludf.DUMMYFUNCTION("""COMPUTED_VALUE"""),362.8)</f>
        <v>362.8</v>
      </c>
      <c r="D77" s="6">
        <f>IFERROR(__xludf.DUMMYFUNCTION("""COMPUTED_VALUE"""),344.3)</f>
        <v>344.3</v>
      </c>
      <c r="E77" s="6">
        <f>IFERROR(__xludf.DUMMYFUNCTION("""COMPUTED_VALUE"""),350.75)</f>
        <v>350.75</v>
      </c>
      <c r="F77" s="6">
        <f>IFERROR(__xludf.DUMMYFUNCTION("""COMPUTED_VALUE"""),2.6548145E7)</f>
        <v>26548145</v>
      </c>
    </row>
    <row r="78">
      <c r="A78" s="7">
        <f>IFERROR(__xludf.DUMMYFUNCTION("""COMPUTED_VALUE"""),45737.64583333333)</f>
        <v>45737.64583</v>
      </c>
      <c r="B78" s="6">
        <f>IFERROR(__xludf.DUMMYFUNCTION("""COMPUTED_VALUE"""),352.05)</f>
        <v>352.05</v>
      </c>
      <c r="C78" s="6">
        <f>IFERROR(__xludf.DUMMYFUNCTION("""COMPUTED_VALUE"""),381.9)</f>
        <v>381.9</v>
      </c>
      <c r="D78" s="6">
        <f>IFERROR(__xludf.DUMMYFUNCTION("""COMPUTED_VALUE"""),351.8)</f>
        <v>351.8</v>
      </c>
      <c r="E78" s="6">
        <f>IFERROR(__xludf.DUMMYFUNCTION("""COMPUTED_VALUE"""),379.5)</f>
        <v>379.5</v>
      </c>
      <c r="F78" s="6">
        <f>IFERROR(__xludf.DUMMYFUNCTION("""COMPUTED_VALUE"""),2.7209614E7)</f>
        <v>27209614</v>
      </c>
    </row>
    <row r="79">
      <c r="A79" s="7">
        <f>IFERROR(__xludf.DUMMYFUNCTION("""COMPUTED_VALUE"""),45744.64583333333)</f>
        <v>45744.64583</v>
      </c>
      <c r="B79" s="6">
        <f>IFERROR(__xludf.DUMMYFUNCTION("""COMPUTED_VALUE"""),385.0)</f>
        <v>385</v>
      </c>
      <c r="C79" s="6">
        <f>IFERROR(__xludf.DUMMYFUNCTION("""COMPUTED_VALUE"""),386.05)</f>
        <v>386.05</v>
      </c>
      <c r="D79" s="6">
        <f>IFERROR(__xludf.DUMMYFUNCTION("""COMPUTED_VALUE"""),372.35)</f>
        <v>372.35</v>
      </c>
      <c r="E79" s="6">
        <f>IFERROR(__xludf.DUMMYFUNCTION("""COMPUTED_VALUE"""),375.4)</f>
        <v>375.4</v>
      </c>
      <c r="F79" s="6">
        <f>IFERROR(__xludf.DUMMYFUNCTION("""COMPUTED_VALUE"""),3.3034884E7)</f>
        <v>33034884</v>
      </c>
    </row>
    <row r="80">
      <c r="A80" s="7">
        <f>IFERROR(__xludf.DUMMYFUNCTION("""COMPUTED_VALUE"""),45751.64583333333)</f>
        <v>45751.64583</v>
      </c>
      <c r="B80" s="6">
        <f>IFERROR(__xludf.DUMMYFUNCTION("""COMPUTED_VALUE"""),372.45)</f>
        <v>372.45</v>
      </c>
      <c r="C80" s="6">
        <f>IFERROR(__xludf.DUMMYFUNCTION("""COMPUTED_VALUE"""),388.2)</f>
        <v>388.2</v>
      </c>
      <c r="D80" s="6">
        <f>IFERROR(__xludf.DUMMYFUNCTION("""COMPUTED_VALUE"""),367.1)</f>
        <v>367.1</v>
      </c>
      <c r="E80" s="6">
        <f>IFERROR(__xludf.DUMMYFUNCTION("""COMPUTED_VALUE"""),368.95)</f>
        <v>368.95</v>
      </c>
      <c r="F80" s="6">
        <f>IFERROR(__xludf.DUMMYFUNCTION("""COMPUTED_VALUE"""),2.0887701E7)</f>
        <v>20887701</v>
      </c>
    </row>
    <row r="81">
      <c r="A81" s="7">
        <f>IFERROR(__xludf.DUMMYFUNCTION("""COMPUTED_VALUE"""),45758.64583333333)</f>
        <v>45758.64583</v>
      </c>
      <c r="B81" s="6">
        <f>IFERROR(__xludf.DUMMYFUNCTION("""COMPUTED_VALUE"""),337.0)</f>
        <v>337</v>
      </c>
      <c r="C81" s="6">
        <f>IFERROR(__xludf.DUMMYFUNCTION("""COMPUTED_VALUE"""),370.7)</f>
        <v>370.7</v>
      </c>
      <c r="D81" s="6">
        <f>IFERROR(__xludf.DUMMYFUNCTION("""COMPUTED_VALUE"""),335.0)</f>
        <v>335</v>
      </c>
      <c r="E81" s="6">
        <f>IFERROR(__xludf.DUMMYFUNCTION("""COMPUTED_VALUE"""),364.45)</f>
        <v>364.45</v>
      </c>
      <c r="F81" s="6">
        <f>IFERROR(__xludf.DUMMYFUNCTION("""COMPUTED_VALUE"""),2.5754112E7)</f>
        <v>25754112</v>
      </c>
    </row>
    <row r="82">
      <c r="A82" s="7">
        <f>IFERROR(__xludf.DUMMYFUNCTION("""COMPUTED_VALUE"""),45764.64583333333)</f>
        <v>45764.64583</v>
      </c>
      <c r="B82" s="6">
        <f>IFERROR(__xludf.DUMMYFUNCTION("""COMPUTED_VALUE"""),375.0)</f>
        <v>375</v>
      </c>
      <c r="C82" s="6">
        <f>IFERROR(__xludf.DUMMYFUNCTION("""COMPUTED_VALUE"""),384.35)</f>
        <v>384.35</v>
      </c>
      <c r="D82" s="6">
        <f>IFERROR(__xludf.DUMMYFUNCTION("""COMPUTED_VALUE"""),372.3)</f>
        <v>372.3</v>
      </c>
      <c r="E82" s="6">
        <f>IFERROR(__xludf.DUMMYFUNCTION("""COMPUTED_VALUE"""),381.7)</f>
        <v>381.7</v>
      </c>
      <c r="F82" s="6">
        <f>IFERROR(__xludf.DUMMYFUNCTION("""COMPUTED_VALUE"""),1.9264694E7)</f>
        <v>19264694</v>
      </c>
    </row>
    <row r="83">
      <c r="A83" s="7">
        <f>IFERROR(__xludf.DUMMYFUNCTION("""COMPUTED_VALUE"""),45772.64583333333)</f>
        <v>45772.64583</v>
      </c>
      <c r="B83" s="6">
        <f>IFERROR(__xludf.DUMMYFUNCTION("""COMPUTED_VALUE"""),383.1)</f>
        <v>383.1</v>
      </c>
      <c r="C83" s="6">
        <f>IFERROR(__xludf.DUMMYFUNCTION("""COMPUTED_VALUE"""),402.5)</f>
        <v>402.5</v>
      </c>
      <c r="D83" s="6">
        <f>IFERROR(__xludf.DUMMYFUNCTION("""COMPUTED_VALUE"""),382.0)</f>
        <v>382</v>
      </c>
      <c r="E83" s="6">
        <f>IFERROR(__xludf.DUMMYFUNCTION("""COMPUTED_VALUE"""),387.6)</f>
        <v>387.6</v>
      </c>
      <c r="F83" s="6">
        <f>IFERROR(__xludf.DUMMYFUNCTION("""COMPUTED_VALUE"""),4.3087144E7)</f>
        <v>43087144</v>
      </c>
    </row>
    <row r="84">
      <c r="A84" s="7">
        <f>IFERROR(__xludf.DUMMYFUNCTION("""COMPUTED_VALUE"""),45779.64583333333)</f>
        <v>45779.64583</v>
      </c>
      <c r="B84" s="6">
        <f>IFERROR(__xludf.DUMMYFUNCTION("""COMPUTED_VALUE"""),386.15)</f>
        <v>386.15</v>
      </c>
      <c r="C84" s="6">
        <f>IFERROR(__xludf.DUMMYFUNCTION("""COMPUTED_VALUE"""),403.3)</f>
        <v>403.3</v>
      </c>
      <c r="D84" s="6">
        <f>IFERROR(__xludf.DUMMYFUNCTION("""COMPUTED_VALUE"""),380.65)</f>
        <v>380.65</v>
      </c>
      <c r="E84" s="6">
        <f>IFERROR(__xludf.DUMMYFUNCTION("""COMPUTED_VALUE"""),381.75)</f>
        <v>381.75</v>
      </c>
      <c r="F84" s="6">
        <f>IFERROR(__xludf.DUMMYFUNCTION("""COMPUTED_VALUE"""),2.9445288E7)</f>
        <v>29445288</v>
      </c>
    </row>
    <row r="85">
      <c r="A85" s="7">
        <f>IFERROR(__xludf.DUMMYFUNCTION("""COMPUTED_VALUE"""),45786.64583333333)</f>
        <v>45786.64583</v>
      </c>
      <c r="B85" s="6">
        <f>IFERROR(__xludf.DUMMYFUNCTION("""COMPUTED_VALUE"""),382.0)</f>
        <v>382</v>
      </c>
      <c r="C85" s="6">
        <f>IFERROR(__xludf.DUMMYFUNCTION("""COMPUTED_VALUE"""),389.9)</f>
        <v>389.9</v>
      </c>
      <c r="D85" s="6">
        <f>IFERROR(__xludf.DUMMYFUNCTION("""COMPUTED_VALUE"""),357.25)</f>
        <v>357.25</v>
      </c>
      <c r="E85" s="6">
        <f>IFERROR(__xludf.DUMMYFUNCTION("""COMPUTED_VALUE"""),371.0)</f>
        <v>371</v>
      </c>
      <c r="F85" s="6">
        <f>IFERROR(__xludf.DUMMYFUNCTION("""COMPUTED_VALUE"""),3.1608613E7)</f>
        <v>31608613</v>
      </c>
    </row>
    <row r="86">
      <c r="A86" s="7">
        <f>IFERROR(__xludf.DUMMYFUNCTION("""COMPUTED_VALUE"""),45793.64583333333)</f>
        <v>45793.64583</v>
      </c>
      <c r="B86" s="6">
        <f>IFERROR(__xludf.DUMMYFUNCTION("""COMPUTED_VALUE"""),382.0)</f>
        <v>382</v>
      </c>
      <c r="C86" s="6">
        <f>IFERROR(__xludf.DUMMYFUNCTION("""COMPUTED_VALUE"""),409.8)</f>
        <v>409.8</v>
      </c>
      <c r="D86" s="6">
        <f>IFERROR(__xludf.DUMMYFUNCTION("""COMPUTED_VALUE"""),378.5)</f>
        <v>378.5</v>
      </c>
      <c r="E86" s="6">
        <f>IFERROR(__xludf.DUMMYFUNCTION("""COMPUTED_VALUE"""),405.8)</f>
        <v>405.8</v>
      </c>
      <c r="F86" s="6">
        <f>IFERROR(__xludf.DUMMYFUNCTION("""COMPUTED_VALUE"""),5.5597662E7)</f>
        <v>55597662</v>
      </c>
    </row>
    <row r="87">
      <c r="A87" s="7">
        <f>IFERROR(__xludf.DUMMYFUNCTION("""COMPUTED_VALUE"""),45800.64583333333)</f>
        <v>45800.64583</v>
      </c>
      <c r="B87" s="6">
        <f>IFERROR(__xludf.DUMMYFUNCTION("""COMPUTED_VALUE"""),407.8)</f>
        <v>407.8</v>
      </c>
      <c r="C87" s="6">
        <f>IFERROR(__xludf.DUMMYFUNCTION("""COMPUTED_VALUE"""),411.95)</f>
        <v>411.95</v>
      </c>
      <c r="D87" s="6">
        <f>IFERROR(__xludf.DUMMYFUNCTION("""COMPUTED_VALUE"""),389.5)</f>
        <v>389.5</v>
      </c>
      <c r="E87" s="6">
        <f>IFERROR(__xludf.DUMMYFUNCTION("""COMPUTED_VALUE"""),402.05)</f>
        <v>402.05</v>
      </c>
      <c r="F87" s="6">
        <f>IFERROR(__xludf.DUMMYFUNCTION("""COMPUTED_VALUE"""),2.6854935E7)</f>
        <v>26854935</v>
      </c>
    </row>
    <row r="88">
      <c r="A88" s="7">
        <f>IFERROR(__xludf.DUMMYFUNCTION("""COMPUTED_VALUE"""),45807.64583333333)</f>
        <v>45807.64583</v>
      </c>
      <c r="B88" s="6">
        <f>IFERROR(__xludf.DUMMYFUNCTION("""COMPUTED_VALUE"""),402.25)</f>
        <v>402.25</v>
      </c>
      <c r="C88" s="6">
        <f>IFERROR(__xludf.DUMMYFUNCTION("""COMPUTED_VALUE"""),406.0)</f>
        <v>406</v>
      </c>
      <c r="D88" s="6">
        <f>IFERROR(__xludf.DUMMYFUNCTION("""COMPUTED_VALUE"""),391.05)</f>
        <v>391.05</v>
      </c>
      <c r="E88" s="6">
        <f>IFERROR(__xludf.DUMMYFUNCTION("""COMPUTED_VALUE"""),392.8)</f>
        <v>392.8</v>
      </c>
      <c r="F88" s="6">
        <f>IFERROR(__xludf.DUMMYFUNCTION("""COMPUTED_VALUE"""),2.5398562E7)</f>
        <v>25398562</v>
      </c>
    </row>
    <row r="89">
      <c r="A89" s="7">
        <f>IFERROR(__xludf.DUMMYFUNCTION("""COMPUTED_VALUE"""),45814.64583333333)</f>
        <v>45814.64583</v>
      </c>
      <c r="B89" s="6">
        <f>IFERROR(__xludf.DUMMYFUNCTION("""COMPUTED_VALUE"""),392.8)</f>
        <v>392.8</v>
      </c>
      <c r="C89" s="6">
        <f>IFERROR(__xludf.DUMMYFUNCTION("""COMPUTED_VALUE"""),400.8)</f>
        <v>400.8</v>
      </c>
      <c r="D89" s="6">
        <f>IFERROR(__xludf.DUMMYFUNCTION("""COMPUTED_VALUE"""),389.05)</f>
        <v>389.05</v>
      </c>
      <c r="E89" s="6">
        <f>IFERROR(__xludf.DUMMYFUNCTION("""COMPUTED_VALUE"""),399.55)</f>
        <v>399.55</v>
      </c>
      <c r="F89" s="6">
        <f>IFERROR(__xludf.DUMMYFUNCTION("""COMPUTED_VALUE"""),2.7302417E7)</f>
        <v>27302417</v>
      </c>
    </row>
    <row r="90">
      <c r="A90" s="7">
        <f>IFERROR(__xludf.DUMMYFUNCTION("""COMPUTED_VALUE"""),45821.64583333333)</f>
        <v>45821.64583</v>
      </c>
      <c r="B90" s="6">
        <f>IFERROR(__xludf.DUMMYFUNCTION("""COMPUTED_VALUE"""),400.4)</f>
        <v>400.4</v>
      </c>
      <c r="C90" s="6">
        <f>IFERROR(__xludf.DUMMYFUNCTION("""COMPUTED_VALUE"""),416.8)</f>
        <v>416.8</v>
      </c>
      <c r="D90" s="6">
        <f>IFERROR(__xludf.DUMMYFUNCTION("""COMPUTED_VALUE"""),393.75)</f>
        <v>393.75</v>
      </c>
      <c r="E90" s="6">
        <f>IFERROR(__xludf.DUMMYFUNCTION("""COMPUTED_VALUE"""),397.2)</f>
        <v>397.2</v>
      </c>
      <c r="F90" s="6">
        <f>IFERROR(__xludf.DUMMYFUNCTION("""COMPUTED_VALUE"""),3.2935473E7)</f>
        <v>32935473</v>
      </c>
    </row>
    <row r="91">
      <c r="A91" s="7">
        <f>IFERROR(__xludf.DUMMYFUNCTION("""COMPUTED_VALUE"""),45828.64583333333)</f>
        <v>45828.64583</v>
      </c>
      <c r="B91" s="6">
        <f>IFERROR(__xludf.DUMMYFUNCTION("""COMPUTED_VALUE"""),397.0)</f>
        <v>397</v>
      </c>
      <c r="C91" s="6">
        <f>IFERROR(__xludf.DUMMYFUNCTION("""COMPUTED_VALUE"""),402.2)</f>
        <v>402.2</v>
      </c>
      <c r="D91" s="6">
        <f>IFERROR(__xludf.DUMMYFUNCTION("""COMPUTED_VALUE"""),381.6)</f>
        <v>381.6</v>
      </c>
      <c r="E91" s="6">
        <f>IFERROR(__xludf.DUMMYFUNCTION("""COMPUTED_VALUE"""),390.1)</f>
        <v>390.1</v>
      </c>
      <c r="F91" s="6">
        <f>IFERROR(__xludf.DUMMYFUNCTION("""COMPUTED_VALUE"""),2.9577802E7)</f>
        <v>29577802</v>
      </c>
    </row>
    <row r="92">
      <c r="A92" s="7">
        <f>IFERROR(__xludf.DUMMYFUNCTION("""COMPUTED_VALUE"""),45835.64583333333)</f>
        <v>45835.64583</v>
      </c>
      <c r="B92" s="6">
        <f>IFERROR(__xludf.DUMMYFUNCTION("""COMPUTED_VALUE"""),385.0)</f>
        <v>385</v>
      </c>
      <c r="C92" s="6">
        <f>IFERROR(__xludf.DUMMYFUNCTION("""COMPUTED_VALUE"""),411.5)</f>
        <v>411.5</v>
      </c>
      <c r="D92" s="6">
        <f>IFERROR(__xludf.DUMMYFUNCTION("""COMPUTED_VALUE"""),384.55)</f>
        <v>384.55</v>
      </c>
      <c r="E92" s="6">
        <f>IFERROR(__xludf.DUMMYFUNCTION("""COMPUTED_VALUE"""),408.85)</f>
        <v>408.85</v>
      </c>
      <c r="F92" s="6">
        <f>IFERROR(__xludf.DUMMYFUNCTION("""COMPUTED_VALUE"""),2.8125192E7)</f>
        <v>28125192</v>
      </c>
    </row>
    <row r="93">
      <c r="A93" s="7">
        <f>IFERROR(__xludf.DUMMYFUNCTION("""COMPUTED_VALUE"""),45842.64583333333)</f>
        <v>45842.64583</v>
      </c>
      <c r="B93" s="6">
        <f>IFERROR(__xludf.DUMMYFUNCTION("""COMPUTED_VALUE"""),408.85)</f>
        <v>408.85</v>
      </c>
      <c r="C93" s="6">
        <f>IFERROR(__xludf.DUMMYFUNCTION("""COMPUTED_VALUE"""),410.9)</f>
        <v>410.9</v>
      </c>
      <c r="D93" s="6">
        <f>IFERROR(__xludf.DUMMYFUNCTION("""COMPUTED_VALUE"""),396.6)</f>
        <v>396.6</v>
      </c>
      <c r="E93" s="6">
        <f>IFERROR(__xludf.DUMMYFUNCTION("""COMPUTED_VALUE"""),401.0)</f>
        <v>401</v>
      </c>
      <c r="F93" s="6">
        <f>IFERROR(__xludf.DUMMYFUNCTION("""COMPUTED_VALUE"""),2.379793E7)</f>
        <v>23797930</v>
      </c>
    </row>
    <row r="94">
      <c r="A94" s="7">
        <f>IFERROR(__xludf.DUMMYFUNCTION("""COMPUTED_VALUE"""),45849.64583333333)</f>
        <v>45849.64583</v>
      </c>
      <c r="B94" s="6">
        <f>IFERROR(__xludf.DUMMYFUNCTION("""COMPUTED_VALUE"""),401.0)</f>
        <v>401</v>
      </c>
      <c r="C94" s="6">
        <f>IFERROR(__xludf.DUMMYFUNCTION("""COMPUTED_VALUE"""),406.65)</f>
        <v>406.65</v>
      </c>
      <c r="D94" s="6">
        <f>IFERROR(__xludf.DUMMYFUNCTION("""COMPUTED_VALUE"""),395.4)</f>
        <v>395.4</v>
      </c>
      <c r="E94" s="6">
        <f>IFERROR(__xludf.DUMMYFUNCTION("""COMPUTED_VALUE"""),396.85)</f>
        <v>396.85</v>
      </c>
      <c r="F94" s="6">
        <f>IFERROR(__xludf.DUMMYFUNCTION("""COMPUTED_VALUE"""),2.7281363E7)</f>
        <v>27281363</v>
      </c>
    </row>
    <row r="95">
      <c r="A95" s="7">
        <f>IFERROR(__xludf.DUMMYFUNCTION("""COMPUTED_VALUE"""),45856.64583333333)</f>
        <v>45856.64583</v>
      </c>
      <c r="B95" s="6">
        <f>IFERROR(__xludf.DUMMYFUNCTION("""COMPUTED_VALUE"""),396.85)</f>
        <v>396.85</v>
      </c>
      <c r="C95" s="6">
        <f>IFERROR(__xludf.DUMMYFUNCTION("""COMPUTED_VALUE"""),416.75)</f>
        <v>416.75</v>
      </c>
      <c r="D95" s="6">
        <f>IFERROR(__xludf.DUMMYFUNCTION("""COMPUTED_VALUE"""),395.5)</f>
        <v>395.5</v>
      </c>
      <c r="E95" s="6">
        <f>IFERROR(__xludf.DUMMYFUNCTION("""COMPUTED_VALUE"""),407.9)</f>
        <v>407.9</v>
      </c>
      <c r="F95" s="6">
        <f>IFERROR(__xludf.DUMMYFUNCTION("""COMPUTED_VALUE"""),3.282491E7)</f>
        <v>32824910</v>
      </c>
    </row>
    <row r="96">
      <c r="A96" s="7">
        <f>IFERROR(__xludf.DUMMYFUNCTION("""COMPUTED_VALUE"""),45863.64583333333)</f>
        <v>45863.64583</v>
      </c>
      <c r="B96" s="6">
        <f>IFERROR(__xludf.DUMMYFUNCTION("""COMPUTED_VALUE"""),404.0)</f>
        <v>404</v>
      </c>
      <c r="C96" s="6">
        <f>IFERROR(__xludf.DUMMYFUNCTION("""COMPUTED_VALUE"""),405.0)</f>
        <v>405</v>
      </c>
      <c r="D96" s="6">
        <f>IFERROR(__xludf.DUMMYFUNCTION("""COMPUTED_VALUE"""),394.3)</f>
        <v>394.3</v>
      </c>
      <c r="E96" s="6">
        <f>IFERROR(__xludf.DUMMYFUNCTION("""COMPUTED_VALUE"""),395.35)</f>
        <v>395.35</v>
      </c>
      <c r="F96" s="6">
        <f>IFERROR(__xludf.DUMMYFUNCTION("""COMPUTED_VALUE"""),2.4659789E7)</f>
        <v>24659789</v>
      </c>
    </row>
    <row r="97">
      <c r="A97" s="7">
        <f>IFERROR(__xludf.DUMMYFUNCTION("""COMPUTED_VALUE"""),45870.64583333333)</f>
        <v>45870.64583</v>
      </c>
      <c r="B97" s="6">
        <f>IFERROR(__xludf.DUMMYFUNCTION("""COMPUTED_VALUE"""),394.1)</f>
        <v>394.1</v>
      </c>
      <c r="C97" s="6">
        <f>IFERROR(__xludf.DUMMYFUNCTION("""COMPUTED_VALUE"""),403.8)</f>
        <v>403.8</v>
      </c>
      <c r="D97" s="6">
        <f>IFERROR(__xludf.DUMMYFUNCTION("""COMPUTED_VALUE"""),388.2)</f>
        <v>388.2</v>
      </c>
      <c r="E97" s="6">
        <f>IFERROR(__xludf.DUMMYFUNCTION("""COMPUTED_VALUE"""),389.3)</f>
        <v>389.3</v>
      </c>
      <c r="F97" s="6">
        <f>IFERROR(__xludf.DUMMYFUNCTION("""COMPUTED_VALUE"""),2.7792009E7)</f>
        <v>27792009</v>
      </c>
    </row>
    <row r="98">
      <c r="A98" s="7">
        <f>IFERROR(__xludf.DUMMYFUNCTION("""COMPUTED_VALUE"""),45877.64583333333)</f>
        <v>45877.64583</v>
      </c>
      <c r="B98" s="6">
        <f>IFERROR(__xludf.DUMMYFUNCTION("""COMPUTED_VALUE"""),390.0)</f>
        <v>390</v>
      </c>
      <c r="C98" s="6">
        <f>IFERROR(__xludf.DUMMYFUNCTION("""COMPUTED_VALUE"""),391.65)</f>
        <v>391.65</v>
      </c>
      <c r="D98" s="6">
        <f>IFERROR(__xludf.DUMMYFUNCTION("""COMPUTED_VALUE"""),376.0)</f>
        <v>376</v>
      </c>
      <c r="E98" s="6">
        <f>IFERROR(__xludf.DUMMYFUNCTION("""COMPUTED_VALUE"""),378.8)</f>
        <v>378.8</v>
      </c>
      <c r="F98" s="6">
        <f>IFERROR(__xludf.DUMMYFUNCTION("""COMPUTED_VALUE"""),3.4561804E7)</f>
        <v>34561804</v>
      </c>
    </row>
    <row r="99">
      <c r="A99" s="7">
        <f>IFERROR(__xludf.DUMMYFUNCTION("""COMPUTED_VALUE"""),45883.64583333333)</f>
        <v>45883.64583</v>
      </c>
      <c r="B99" s="6">
        <f>IFERROR(__xludf.DUMMYFUNCTION("""COMPUTED_VALUE"""),380.0)</f>
        <v>380</v>
      </c>
      <c r="C99" s="6">
        <f>IFERROR(__xludf.DUMMYFUNCTION("""COMPUTED_VALUE"""),388.95)</f>
        <v>388.95</v>
      </c>
      <c r="D99" s="6">
        <f>IFERROR(__xludf.DUMMYFUNCTION("""COMPUTED_VALUE"""),377.5)</f>
        <v>377.5</v>
      </c>
      <c r="E99" s="6">
        <f>IFERROR(__xludf.DUMMYFUNCTION("""COMPUTED_VALUE"""),385.3)</f>
        <v>385.3</v>
      </c>
      <c r="F99" s="6">
        <f>IFERROR(__xludf.DUMMYFUNCTION("""COMPUTED_VALUE"""),1.232439E7)</f>
        <v>12324390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IFERROR(__xludf.DUMMYFUNCTION("""COMPUTED_VALUE"""),389.0)</f>
        <v>389</v>
      </c>
      <c r="C100" s="6">
        <f>IFERROR(__xludf.DUMMYFUNCTION("""COMPUTED_VALUE"""),392.45)</f>
        <v>392.45</v>
      </c>
      <c r="D100" s="6">
        <f>IFERROR(__xludf.DUMMYFUNCTION("""COMPUTED_VALUE"""),384.7)</f>
        <v>384.7</v>
      </c>
      <c r="E100" s="6">
        <f>IFERROR(__xludf.DUMMYFUNCTION("""COMPUTED_VALUE"""),385.6)</f>
        <v>385.6</v>
      </c>
      <c r="F100" s="6">
        <f>IFERROR(__xludf.DUMMYFUNCTION("""COMPUTED_VALUE"""),1.4398901E7)</f>
        <v>14398901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IFERROR(__xludf.DUMMYFUNCTION("""COMPUTED_VALUE"""),386.05)</f>
        <v>386.05</v>
      </c>
      <c r="C101" s="6">
        <f>IFERROR(__xludf.DUMMYFUNCTION("""COMPUTED_VALUE"""),388.4)</f>
        <v>388.4</v>
      </c>
      <c r="D101" s="6">
        <f>IFERROR(__xludf.DUMMYFUNCTION("""COMPUTED_VALUE"""),376.6)</f>
        <v>376.6</v>
      </c>
      <c r="E101" s="6">
        <f>IFERROR(__xludf.DUMMYFUNCTION("""COMPUTED_VALUE"""),377.75)</f>
        <v>377.75</v>
      </c>
      <c r="F101" s="6">
        <f>IFERROR(__xludf.DUMMYFUNCTION("""COMPUTED_VALUE"""),7.284391E7)</f>
        <v>72843910</v>
      </c>
    </row>
  </sheetData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IFERROR(__xludf.DUMMYFUNCTION("GOOGLEFINANCE(""NSE:TATASTEEL"",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IFERROR(__xludf.DUMMYFUNCTION("""COMPUTED_VALUE"""),117.0)</f>
        <v>117</v>
      </c>
      <c r="C2" s="6">
        <f>IFERROR(__xludf.DUMMYFUNCTION("""COMPUTED_VALUE"""),128.7)</f>
        <v>128.7</v>
      </c>
      <c r="D2" s="6">
        <f>IFERROR(__xludf.DUMMYFUNCTION("""COMPUTED_VALUE"""),117.0)</f>
        <v>117</v>
      </c>
      <c r="E2" s="6">
        <f>IFERROR(__xludf.DUMMYFUNCTION("""COMPUTED_VALUE"""),127.05)</f>
        <v>127.05</v>
      </c>
      <c r="F2" s="6">
        <f>IFERROR(__xludf.DUMMYFUNCTION("""COMPUTED_VALUE"""),2.43811708E8)</f>
        <v>243811708</v>
      </c>
    </row>
    <row r="3">
      <c r="A3" s="7">
        <f>IFERROR(__xludf.DUMMYFUNCTION("""COMPUTED_VALUE"""),45177.64583333333)</f>
        <v>45177.64583</v>
      </c>
      <c r="B3" s="6">
        <f>IFERROR(__xludf.DUMMYFUNCTION("""COMPUTED_VALUE"""),129.2)</f>
        <v>129.2</v>
      </c>
      <c r="C3" s="6">
        <f>IFERROR(__xludf.DUMMYFUNCTION("""COMPUTED_VALUE"""),132.9)</f>
        <v>132.9</v>
      </c>
      <c r="D3" s="6">
        <f>IFERROR(__xludf.DUMMYFUNCTION("""COMPUTED_VALUE"""),128.2)</f>
        <v>128.2</v>
      </c>
      <c r="E3" s="6">
        <f>IFERROR(__xludf.DUMMYFUNCTION("""COMPUTED_VALUE"""),129.5)</f>
        <v>129.5</v>
      </c>
      <c r="F3" s="6">
        <f>IFERROR(__xludf.DUMMYFUNCTION("""COMPUTED_VALUE"""),2.05633315E8)</f>
        <v>205633315</v>
      </c>
    </row>
    <row r="4">
      <c r="A4" s="7">
        <f>IFERROR(__xludf.DUMMYFUNCTION("""COMPUTED_VALUE"""),45184.64583333333)</f>
        <v>45184.64583</v>
      </c>
      <c r="B4" s="6">
        <f>IFERROR(__xludf.DUMMYFUNCTION("""COMPUTED_VALUE"""),129.5)</f>
        <v>129.5</v>
      </c>
      <c r="C4" s="6">
        <f>IFERROR(__xludf.DUMMYFUNCTION("""COMPUTED_VALUE"""),134.2)</f>
        <v>134.2</v>
      </c>
      <c r="D4" s="6">
        <f>IFERROR(__xludf.DUMMYFUNCTION("""COMPUTED_VALUE"""),127.7)</f>
        <v>127.7</v>
      </c>
      <c r="E4" s="6">
        <f>IFERROR(__xludf.DUMMYFUNCTION("""COMPUTED_VALUE"""),131.95)</f>
        <v>131.95</v>
      </c>
      <c r="F4" s="6">
        <f>IFERROR(__xludf.DUMMYFUNCTION("""COMPUTED_VALUE"""),2.38673714E8)</f>
        <v>238673714</v>
      </c>
    </row>
    <row r="5">
      <c r="A5" s="7">
        <f>IFERROR(__xludf.DUMMYFUNCTION("""COMPUTED_VALUE"""),45191.64583333333)</f>
        <v>45191.64583</v>
      </c>
      <c r="B5" s="6">
        <f>IFERROR(__xludf.DUMMYFUNCTION("""COMPUTED_VALUE"""),135.0)</f>
        <v>135</v>
      </c>
      <c r="C5" s="6">
        <f>IFERROR(__xludf.DUMMYFUNCTION("""COMPUTED_VALUE"""),135.0)</f>
        <v>135</v>
      </c>
      <c r="D5" s="6">
        <f>IFERROR(__xludf.DUMMYFUNCTION("""COMPUTED_VALUE"""),125.5)</f>
        <v>125.5</v>
      </c>
      <c r="E5" s="6">
        <f>IFERROR(__xludf.DUMMYFUNCTION("""COMPUTED_VALUE"""),126.75)</f>
        <v>126.75</v>
      </c>
      <c r="F5" s="6">
        <f>IFERROR(__xludf.DUMMYFUNCTION("""COMPUTED_VALUE"""),1.69933487E8)</f>
        <v>169933487</v>
      </c>
    </row>
    <row r="6">
      <c r="A6" s="7">
        <f>IFERROR(__xludf.DUMMYFUNCTION("""COMPUTED_VALUE"""),45198.64583333333)</f>
        <v>45198.64583</v>
      </c>
      <c r="B6" s="6">
        <f>IFERROR(__xludf.DUMMYFUNCTION("""COMPUTED_VALUE"""),127.3)</f>
        <v>127.3</v>
      </c>
      <c r="C6" s="6">
        <f>IFERROR(__xludf.DUMMYFUNCTION("""COMPUTED_VALUE"""),130.55)</f>
        <v>130.55</v>
      </c>
      <c r="D6" s="6">
        <f>IFERROR(__xludf.DUMMYFUNCTION("""COMPUTED_VALUE"""),126.1)</f>
        <v>126.1</v>
      </c>
      <c r="E6" s="6">
        <f>IFERROR(__xludf.DUMMYFUNCTION("""COMPUTED_VALUE"""),128.9)</f>
        <v>128.9</v>
      </c>
      <c r="F6" s="6">
        <f>IFERROR(__xludf.DUMMYFUNCTION("""COMPUTED_VALUE"""),1.64069576E8)</f>
        <v>164069576</v>
      </c>
    </row>
    <row r="7">
      <c r="A7" s="7">
        <f>IFERROR(__xludf.DUMMYFUNCTION("""COMPUTED_VALUE"""),45205.64583333333)</f>
        <v>45205.64583</v>
      </c>
      <c r="B7" s="6">
        <f>IFERROR(__xludf.DUMMYFUNCTION("""COMPUTED_VALUE"""),129.0)</f>
        <v>129</v>
      </c>
      <c r="C7" s="6">
        <f>IFERROR(__xludf.DUMMYFUNCTION("""COMPUTED_VALUE"""),129.1)</f>
        <v>129.1</v>
      </c>
      <c r="D7" s="6">
        <f>IFERROR(__xludf.DUMMYFUNCTION("""COMPUTED_VALUE"""),124.5)</f>
        <v>124.5</v>
      </c>
      <c r="E7" s="6">
        <f>IFERROR(__xludf.DUMMYFUNCTION("""COMPUTED_VALUE"""),125.9)</f>
        <v>125.9</v>
      </c>
      <c r="F7" s="6">
        <f>IFERROR(__xludf.DUMMYFUNCTION("""COMPUTED_VALUE"""),1.00878394E8)</f>
        <v>100878394</v>
      </c>
    </row>
    <row r="8">
      <c r="A8" s="7">
        <f>IFERROR(__xludf.DUMMYFUNCTION("""COMPUTED_VALUE"""),45212.64583333333)</f>
        <v>45212.64583</v>
      </c>
      <c r="B8" s="6">
        <f>IFERROR(__xludf.DUMMYFUNCTION("""COMPUTED_VALUE"""),124.8)</f>
        <v>124.8</v>
      </c>
      <c r="C8" s="6">
        <f>IFERROR(__xludf.DUMMYFUNCTION("""COMPUTED_VALUE"""),126.9)</f>
        <v>126.9</v>
      </c>
      <c r="D8" s="6">
        <f>IFERROR(__xludf.DUMMYFUNCTION("""COMPUTED_VALUE"""),122.6)</f>
        <v>122.6</v>
      </c>
      <c r="E8" s="6">
        <f>IFERROR(__xludf.DUMMYFUNCTION("""COMPUTED_VALUE"""),125.05)</f>
        <v>125.05</v>
      </c>
      <c r="F8" s="6">
        <f>IFERROR(__xludf.DUMMYFUNCTION("""COMPUTED_VALUE"""),1.20934213E8)</f>
        <v>120934213</v>
      </c>
    </row>
    <row r="9">
      <c r="A9" s="7">
        <f>IFERROR(__xludf.DUMMYFUNCTION("""COMPUTED_VALUE"""),45219.64583333333)</f>
        <v>45219.64583</v>
      </c>
      <c r="B9" s="6">
        <f>IFERROR(__xludf.DUMMYFUNCTION("""COMPUTED_VALUE"""),125.1)</f>
        <v>125.1</v>
      </c>
      <c r="C9" s="6">
        <f>IFERROR(__xludf.DUMMYFUNCTION("""COMPUTED_VALUE"""),128.7)</f>
        <v>128.7</v>
      </c>
      <c r="D9" s="6">
        <f>IFERROR(__xludf.DUMMYFUNCTION("""COMPUTED_VALUE"""),122.7)</f>
        <v>122.7</v>
      </c>
      <c r="E9" s="6">
        <f>IFERROR(__xludf.DUMMYFUNCTION("""COMPUTED_VALUE"""),123.1)</f>
        <v>123.1</v>
      </c>
      <c r="F9" s="6">
        <f>IFERROR(__xludf.DUMMYFUNCTION("""COMPUTED_VALUE"""),1.30723948E8)</f>
        <v>130723948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IFERROR(__xludf.DUMMYFUNCTION("""COMPUTED_VALUE"""),123.35)</f>
        <v>123.35</v>
      </c>
      <c r="C10" s="6">
        <f>IFERROR(__xludf.DUMMYFUNCTION("""COMPUTED_VALUE"""),123.4)</f>
        <v>123.4</v>
      </c>
      <c r="D10" s="6">
        <f>IFERROR(__xludf.DUMMYFUNCTION("""COMPUTED_VALUE"""),118.9)</f>
        <v>118.9</v>
      </c>
      <c r="E10" s="6">
        <f>IFERROR(__xludf.DUMMYFUNCTION("""COMPUTED_VALUE"""),119.9)</f>
        <v>119.9</v>
      </c>
      <c r="F10" s="6">
        <f>IFERROR(__xludf.DUMMYFUNCTION("""COMPUTED_VALUE"""),1.22768496E8)</f>
        <v>122768496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IFERROR(__xludf.DUMMYFUNCTION("""COMPUTED_VALUE"""),121.05)</f>
        <v>121.05</v>
      </c>
      <c r="C11" s="6">
        <f>IFERROR(__xludf.DUMMYFUNCTION("""COMPUTED_VALUE"""),121.25)</f>
        <v>121.25</v>
      </c>
      <c r="D11" s="6">
        <f>IFERROR(__xludf.DUMMYFUNCTION("""COMPUTED_VALUE"""),114.6)</f>
        <v>114.6</v>
      </c>
      <c r="E11" s="6">
        <f>IFERROR(__xludf.DUMMYFUNCTION("""COMPUTED_VALUE"""),117.3)</f>
        <v>117.3</v>
      </c>
      <c r="F11" s="6">
        <f>IFERROR(__xludf.DUMMYFUNCTION("""COMPUTED_VALUE"""),1.70077142E8)</f>
        <v>170077142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IFERROR(__xludf.DUMMYFUNCTION("""COMPUTED_VALUE"""),118.5)</f>
        <v>118.5</v>
      </c>
      <c r="C12" s="6">
        <f>IFERROR(__xludf.DUMMYFUNCTION("""COMPUTED_VALUE"""),120.5)</f>
        <v>120.5</v>
      </c>
      <c r="D12" s="6">
        <f>IFERROR(__xludf.DUMMYFUNCTION("""COMPUTED_VALUE"""),117.5)</f>
        <v>117.5</v>
      </c>
      <c r="E12" s="6">
        <f>IFERROR(__xludf.DUMMYFUNCTION("""COMPUTED_VALUE"""),120.05)</f>
        <v>120.05</v>
      </c>
      <c r="F12" s="6">
        <f>IFERROR(__xludf.DUMMYFUNCTION("""COMPUTED_VALUE"""),1.22817193E8)</f>
        <v>122817193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IFERROR(__xludf.DUMMYFUNCTION("""COMPUTED_VALUE"""),121.6)</f>
        <v>121.6</v>
      </c>
      <c r="C13" s="6">
        <f>IFERROR(__xludf.DUMMYFUNCTION("""COMPUTED_VALUE"""),125.75)</f>
        <v>125.75</v>
      </c>
      <c r="D13" s="6">
        <f>IFERROR(__xludf.DUMMYFUNCTION("""COMPUTED_VALUE"""),119.9)</f>
        <v>119.9</v>
      </c>
      <c r="E13" s="6">
        <f>IFERROR(__xludf.DUMMYFUNCTION("""COMPUTED_VALUE"""),125.2)</f>
        <v>125.2</v>
      </c>
      <c r="F13" s="6">
        <f>IFERROR(__xludf.DUMMYFUNCTION("""COMPUTED_VALUE"""),1.14436054E8)</f>
        <v>114436054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IFERROR(__xludf.DUMMYFUNCTION("""COMPUTED_VALUE"""),125.05)</f>
        <v>125.05</v>
      </c>
      <c r="C14" s="6">
        <f>IFERROR(__xludf.DUMMYFUNCTION("""COMPUTED_VALUE"""),127.4)</f>
        <v>127.4</v>
      </c>
      <c r="D14" s="6">
        <f>IFERROR(__xludf.DUMMYFUNCTION("""COMPUTED_VALUE"""),124.05)</f>
        <v>124.05</v>
      </c>
      <c r="E14" s="6">
        <f>IFERROR(__xludf.DUMMYFUNCTION("""COMPUTED_VALUE"""),125.95)</f>
        <v>125.95</v>
      </c>
      <c r="F14" s="6">
        <f>IFERROR(__xludf.DUMMYFUNCTION("""COMPUTED_VALUE"""),1.13467966E8)</f>
        <v>113467966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IFERROR(__xludf.DUMMYFUNCTION("""COMPUTED_VALUE"""),127.0)</f>
        <v>127</v>
      </c>
      <c r="C15" s="6">
        <f>IFERROR(__xludf.DUMMYFUNCTION("""COMPUTED_VALUE"""),130.3)</f>
        <v>130.3</v>
      </c>
      <c r="D15" s="6">
        <f>IFERROR(__xludf.DUMMYFUNCTION("""COMPUTED_VALUE"""),126.0)</f>
        <v>126</v>
      </c>
      <c r="E15" s="6">
        <f>IFERROR(__xludf.DUMMYFUNCTION("""COMPUTED_VALUE"""),130.0)</f>
        <v>130</v>
      </c>
      <c r="F15" s="6">
        <f>IFERROR(__xludf.DUMMYFUNCTION("""COMPUTED_VALUE"""),1.12827509E8)</f>
        <v>112827509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IFERROR(__xludf.DUMMYFUNCTION("""COMPUTED_VALUE"""),132.2)</f>
        <v>132.2</v>
      </c>
      <c r="C16" s="6">
        <f>IFERROR(__xludf.DUMMYFUNCTION("""COMPUTED_VALUE"""),133.4)</f>
        <v>133.4</v>
      </c>
      <c r="D16" s="6">
        <f>IFERROR(__xludf.DUMMYFUNCTION("""COMPUTED_VALUE"""),127.95)</f>
        <v>127.95</v>
      </c>
      <c r="E16" s="6">
        <f>IFERROR(__xludf.DUMMYFUNCTION("""COMPUTED_VALUE"""),129.2)</f>
        <v>129.2</v>
      </c>
      <c r="F16" s="6">
        <f>IFERROR(__xludf.DUMMYFUNCTION("""COMPUTED_VALUE"""),1.86256714E8)</f>
        <v>186256714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IFERROR(__xludf.DUMMYFUNCTION("""COMPUTED_VALUE"""),129.85)</f>
        <v>129.85</v>
      </c>
      <c r="C17" s="6">
        <f>IFERROR(__xludf.DUMMYFUNCTION("""COMPUTED_VALUE"""),136.75)</f>
        <v>136.75</v>
      </c>
      <c r="D17" s="6">
        <f>IFERROR(__xludf.DUMMYFUNCTION("""COMPUTED_VALUE"""),128.75)</f>
        <v>128.75</v>
      </c>
      <c r="E17" s="6">
        <f>IFERROR(__xludf.DUMMYFUNCTION("""COMPUTED_VALUE"""),136.45)</f>
        <v>136.45</v>
      </c>
      <c r="F17" s="6">
        <f>IFERROR(__xludf.DUMMYFUNCTION("""COMPUTED_VALUE"""),1.9825203E8)</f>
        <v>198252030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IFERROR(__xludf.DUMMYFUNCTION("""COMPUTED_VALUE"""),136.85)</f>
        <v>136.85</v>
      </c>
      <c r="C18" s="6">
        <f>IFERROR(__xludf.DUMMYFUNCTION("""COMPUTED_VALUE"""),137.6)</f>
        <v>137.6</v>
      </c>
      <c r="D18" s="6">
        <f>IFERROR(__xludf.DUMMYFUNCTION("""COMPUTED_VALUE"""),127.85)</f>
        <v>127.85</v>
      </c>
      <c r="E18" s="6">
        <f>IFERROR(__xludf.DUMMYFUNCTION("""COMPUTED_VALUE"""),133.55)</f>
        <v>133.55</v>
      </c>
      <c r="F18" s="6">
        <f>IFERROR(__xludf.DUMMYFUNCTION("""COMPUTED_VALUE"""),1.77956002E8)</f>
        <v>177956002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IFERROR(__xludf.DUMMYFUNCTION("""COMPUTED_VALUE"""),134.7)</f>
        <v>134.7</v>
      </c>
      <c r="C19" s="6">
        <f>IFERROR(__xludf.DUMMYFUNCTION("""COMPUTED_VALUE"""),141.25)</f>
        <v>141.25</v>
      </c>
      <c r="D19" s="6">
        <f>IFERROR(__xludf.DUMMYFUNCTION("""COMPUTED_VALUE"""),134.45)</f>
        <v>134.45</v>
      </c>
      <c r="E19" s="6">
        <f>IFERROR(__xludf.DUMMYFUNCTION("""COMPUTED_VALUE"""),139.6)</f>
        <v>139.6</v>
      </c>
      <c r="F19" s="6">
        <f>IFERROR(__xludf.DUMMYFUNCTION("""COMPUTED_VALUE"""),1.57901933E8)</f>
        <v>157901933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IFERROR(__xludf.DUMMYFUNCTION("""COMPUTED_VALUE"""),140.0)</f>
        <v>140</v>
      </c>
      <c r="C20" s="6">
        <f>IFERROR(__xludf.DUMMYFUNCTION("""COMPUTED_VALUE"""),140.95)</f>
        <v>140.95</v>
      </c>
      <c r="D20" s="6">
        <f>IFERROR(__xludf.DUMMYFUNCTION("""COMPUTED_VALUE"""),132.85)</f>
        <v>132.85</v>
      </c>
      <c r="E20" s="6">
        <f>IFERROR(__xludf.DUMMYFUNCTION("""COMPUTED_VALUE"""),133.65)</f>
        <v>133.65</v>
      </c>
      <c r="F20" s="6">
        <f>IFERROR(__xludf.DUMMYFUNCTION("""COMPUTED_VALUE"""),2.09370471E8)</f>
        <v>209370471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IFERROR(__xludf.DUMMYFUNCTION("""COMPUTED_VALUE"""),135.3)</f>
        <v>135.3</v>
      </c>
      <c r="C21" s="6">
        <f>IFERROR(__xludf.DUMMYFUNCTION("""COMPUTED_VALUE"""),136.25)</f>
        <v>136.25</v>
      </c>
      <c r="D21" s="6">
        <f>IFERROR(__xludf.DUMMYFUNCTION("""COMPUTED_VALUE"""),131.75)</f>
        <v>131.75</v>
      </c>
      <c r="E21" s="6">
        <f>IFERROR(__xludf.DUMMYFUNCTION("""COMPUTED_VALUE"""),135.3)</f>
        <v>135.3</v>
      </c>
      <c r="F21" s="6">
        <f>IFERROR(__xludf.DUMMYFUNCTION("""COMPUTED_VALUE"""),1.53507479E8)</f>
        <v>153507479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IFERROR(__xludf.DUMMYFUNCTION("""COMPUTED_VALUE"""),134.8)</f>
        <v>134.8</v>
      </c>
      <c r="C22" s="6">
        <f>IFERROR(__xludf.DUMMYFUNCTION("""COMPUTED_VALUE"""),136.5)</f>
        <v>136.5</v>
      </c>
      <c r="D22" s="6">
        <f>IFERROR(__xludf.DUMMYFUNCTION("""COMPUTED_VALUE"""),129.3)</f>
        <v>129.3</v>
      </c>
      <c r="E22" s="6">
        <f>IFERROR(__xludf.DUMMYFUNCTION("""COMPUTED_VALUE"""),133.75)</f>
        <v>133.75</v>
      </c>
      <c r="F22" s="6">
        <f>IFERROR(__xludf.DUMMYFUNCTION("""COMPUTED_VALUE"""),1.36072928E8)</f>
        <v>136072928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IFERROR(__xludf.DUMMYFUNCTION("""COMPUTED_VALUE"""),134.7)</f>
        <v>134.7</v>
      </c>
      <c r="C23" s="6">
        <f>IFERROR(__xludf.DUMMYFUNCTION("""COMPUTED_VALUE"""),139.6)</f>
        <v>139.6</v>
      </c>
      <c r="D23" s="6">
        <f>IFERROR(__xludf.DUMMYFUNCTION("""COMPUTED_VALUE"""),133.5)</f>
        <v>133.5</v>
      </c>
      <c r="E23" s="6">
        <f>IFERROR(__xludf.DUMMYFUNCTION("""COMPUTED_VALUE"""),138.7)</f>
        <v>138.7</v>
      </c>
      <c r="F23" s="6">
        <f>IFERROR(__xludf.DUMMYFUNCTION("""COMPUTED_VALUE"""),2.02526924E8)</f>
        <v>202526924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IFERROR(__xludf.DUMMYFUNCTION("""COMPUTED_VALUE"""),140.0)</f>
        <v>140</v>
      </c>
      <c r="C24" s="6">
        <f>IFERROR(__xludf.DUMMYFUNCTION("""COMPUTED_VALUE"""),147.4)</f>
        <v>147.4</v>
      </c>
      <c r="D24" s="6">
        <f>IFERROR(__xludf.DUMMYFUNCTION("""COMPUTED_VALUE"""),139.15)</f>
        <v>139.15</v>
      </c>
      <c r="E24" s="6">
        <f>IFERROR(__xludf.DUMMYFUNCTION("""COMPUTED_VALUE"""),141.3)</f>
        <v>141.3</v>
      </c>
      <c r="F24" s="6">
        <f>IFERROR(__xludf.DUMMYFUNCTION("""COMPUTED_VALUE"""),2.70407217E8)</f>
        <v>270407217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IFERROR(__xludf.DUMMYFUNCTION("""COMPUTED_VALUE"""),142.0)</f>
        <v>142</v>
      </c>
      <c r="C25" s="6">
        <f>IFERROR(__xludf.DUMMYFUNCTION("""COMPUTED_VALUE"""),143.45)</f>
        <v>143.45</v>
      </c>
      <c r="D25" s="6">
        <f>IFERROR(__xludf.DUMMYFUNCTION("""COMPUTED_VALUE"""),134.1)</f>
        <v>134.1</v>
      </c>
      <c r="E25" s="6">
        <f>IFERROR(__xludf.DUMMYFUNCTION("""COMPUTED_VALUE"""),142.3)</f>
        <v>142.3</v>
      </c>
      <c r="F25" s="6">
        <f>IFERROR(__xludf.DUMMYFUNCTION("""COMPUTED_VALUE"""),1.58678657E8)</f>
        <v>158678657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IFERROR(__xludf.DUMMYFUNCTION("""COMPUTED_VALUE"""),142.95)</f>
        <v>142.95</v>
      </c>
      <c r="C26" s="6">
        <f>IFERROR(__xludf.DUMMYFUNCTION("""COMPUTED_VALUE"""),147.1)</f>
        <v>147.1</v>
      </c>
      <c r="D26" s="6">
        <f>IFERROR(__xludf.DUMMYFUNCTION("""COMPUTED_VALUE"""),140.05)</f>
        <v>140.05</v>
      </c>
      <c r="E26" s="6">
        <f>IFERROR(__xludf.DUMMYFUNCTION("""COMPUTED_VALUE"""),145.45)</f>
        <v>145.45</v>
      </c>
      <c r="F26" s="6">
        <f>IFERROR(__xludf.DUMMYFUNCTION("""COMPUTED_VALUE"""),2.04408397E8)</f>
        <v>204408397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IFERROR(__xludf.DUMMYFUNCTION("""COMPUTED_VALUE"""),154.9)</f>
        <v>154.9</v>
      </c>
      <c r="C27" s="6">
        <f>IFERROR(__xludf.DUMMYFUNCTION("""COMPUTED_VALUE"""),159.15)</f>
        <v>159.15</v>
      </c>
      <c r="D27" s="6">
        <f>IFERROR(__xludf.DUMMYFUNCTION("""COMPUTED_VALUE"""),147.9)</f>
        <v>147.9</v>
      </c>
      <c r="E27" s="6">
        <f>IFERROR(__xludf.DUMMYFUNCTION("""COMPUTED_VALUE"""),157.25)</f>
        <v>157.25</v>
      </c>
      <c r="F27" s="6">
        <f>IFERROR(__xludf.DUMMYFUNCTION("""COMPUTED_VALUE"""),2.81373418E8)</f>
        <v>281373418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IFERROR(__xludf.DUMMYFUNCTION("""COMPUTED_VALUE"""),158.9)</f>
        <v>158.9</v>
      </c>
      <c r="C28" s="6">
        <f>IFERROR(__xludf.DUMMYFUNCTION("""COMPUTED_VALUE"""),158.9)</f>
        <v>158.9</v>
      </c>
      <c r="D28" s="6">
        <f>IFERROR(__xludf.DUMMYFUNCTION("""COMPUTED_VALUE"""),138.35)</f>
        <v>138.35</v>
      </c>
      <c r="E28" s="6">
        <f>IFERROR(__xludf.DUMMYFUNCTION("""COMPUTED_VALUE"""),141.7)</f>
        <v>141.7</v>
      </c>
      <c r="F28" s="6">
        <f>IFERROR(__xludf.DUMMYFUNCTION("""COMPUTED_VALUE"""),3.20480492E8)</f>
        <v>320480492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IFERROR(__xludf.DUMMYFUNCTION("""COMPUTED_VALUE"""),142.55)</f>
        <v>142.55</v>
      </c>
      <c r="C29" s="6">
        <f>IFERROR(__xludf.DUMMYFUNCTION("""COMPUTED_VALUE"""),152.75)</f>
        <v>152.75</v>
      </c>
      <c r="D29" s="6">
        <f>IFERROR(__xludf.DUMMYFUNCTION("""COMPUTED_VALUE"""),142.2)</f>
        <v>142.2</v>
      </c>
      <c r="E29" s="6">
        <f>IFERROR(__xludf.DUMMYFUNCTION("""COMPUTED_VALUE"""),151.8)</f>
        <v>151.8</v>
      </c>
      <c r="F29" s="6">
        <f>IFERROR(__xludf.DUMMYFUNCTION("""COMPUTED_VALUE"""),5.01934958E8)</f>
        <v>501934958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IFERROR(__xludf.DUMMYFUNCTION("""COMPUTED_VALUE"""),151.15)</f>
        <v>151.15</v>
      </c>
      <c r="C30" s="6">
        <f>IFERROR(__xludf.DUMMYFUNCTION("""COMPUTED_VALUE"""),157.0)</f>
        <v>157</v>
      </c>
      <c r="D30" s="6">
        <f>IFERROR(__xludf.DUMMYFUNCTION("""COMPUTED_VALUE"""),150.5)</f>
        <v>150.5</v>
      </c>
      <c r="E30" s="6">
        <f>IFERROR(__xludf.DUMMYFUNCTION("""COMPUTED_VALUE"""),155.85)</f>
        <v>155.85</v>
      </c>
      <c r="F30" s="6">
        <f>IFERROR(__xludf.DUMMYFUNCTION("""COMPUTED_VALUE"""),1.50869629E8)</f>
        <v>150869629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IFERROR(__xludf.DUMMYFUNCTION("""COMPUTED_VALUE"""),156.8)</f>
        <v>156.8</v>
      </c>
      <c r="C31" s="6">
        <f>IFERROR(__xludf.DUMMYFUNCTION("""COMPUTED_VALUE"""),166.25)</f>
        <v>166.25</v>
      </c>
      <c r="D31" s="6">
        <f>IFERROR(__xludf.DUMMYFUNCTION("""COMPUTED_VALUE"""),156.5)</f>
        <v>156.5</v>
      </c>
      <c r="E31" s="6">
        <f>IFERROR(__xludf.DUMMYFUNCTION("""COMPUTED_VALUE"""),163.35)</f>
        <v>163.35</v>
      </c>
      <c r="F31" s="6">
        <f>IFERROR(__xludf.DUMMYFUNCTION("""COMPUTED_VALUE"""),3.10818764E8)</f>
        <v>310818764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IFERROR(__xludf.DUMMYFUNCTION("""COMPUTED_VALUE"""),166.95)</f>
        <v>166.95</v>
      </c>
      <c r="C32" s="6">
        <f>IFERROR(__xludf.DUMMYFUNCTION("""COMPUTED_VALUE"""),169.8)</f>
        <v>169.8</v>
      </c>
      <c r="D32" s="6">
        <f>IFERROR(__xludf.DUMMYFUNCTION("""COMPUTED_VALUE"""),163.0)</f>
        <v>163</v>
      </c>
      <c r="E32" s="6">
        <f>IFERROR(__xludf.DUMMYFUNCTION("""COMPUTED_VALUE"""),163.5)</f>
        <v>163.5</v>
      </c>
      <c r="F32" s="6">
        <f>IFERROR(__xludf.DUMMYFUNCTION("""COMPUTED_VALUE"""),2.31592784E8)</f>
        <v>231592784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IFERROR(__xludf.DUMMYFUNCTION("""COMPUTED_VALUE"""),161.8)</f>
        <v>161.8</v>
      </c>
      <c r="C33" s="6">
        <f>IFERROR(__xludf.DUMMYFUNCTION("""COMPUTED_VALUE"""),164.7)</f>
        <v>164.7</v>
      </c>
      <c r="D33" s="6">
        <f>IFERROR(__xludf.DUMMYFUNCTION("""COMPUTED_VALUE"""),157.3)</f>
        <v>157.3</v>
      </c>
      <c r="E33" s="6">
        <f>IFERROR(__xludf.DUMMYFUNCTION("""COMPUTED_VALUE"""),162.1)</f>
        <v>162.1</v>
      </c>
      <c r="F33" s="6">
        <f>IFERROR(__xludf.DUMMYFUNCTION("""COMPUTED_VALUE"""),2.35989566E8)</f>
        <v>235989566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IFERROR(__xludf.DUMMYFUNCTION("""COMPUTED_VALUE"""),163.8)</f>
        <v>163.8</v>
      </c>
      <c r="C34" s="6">
        <f>IFERROR(__xludf.DUMMYFUNCTION("""COMPUTED_VALUE"""),170.7)</f>
        <v>170.7</v>
      </c>
      <c r="D34" s="6">
        <f>IFERROR(__xludf.DUMMYFUNCTION("""COMPUTED_VALUE"""),160.8)</f>
        <v>160.8</v>
      </c>
      <c r="E34" s="6">
        <f>IFERROR(__xludf.DUMMYFUNCTION("""COMPUTED_VALUE"""),165.8)</f>
        <v>165.8</v>
      </c>
      <c r="F34" s="6">
        <f>IFERROR(__xludf.DUMMYFUNCTION("""COMPUTED_VALUE"""),2.44978522E8)</f>
        <v>244978522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IFERROR(__xludf.DUMMYFUNCTION("""COMPUTED_VALUE"""),168.2)</f>
        <v>168.2</v>
      </c>
      <c r="C35" s="6">
        <f>IFERROR(__xludf.DUMMYFUNCTION("""COMPUTED_VALUE"""),170.75)</f>
        <v>170.75</v>
      </c>
      <c r="D35" s="6">
        <f>IFERROR(__xludf.DUMMYFUNCTION("""COMPUTED_VALUE"""),164.5)</f>
        <v>164.5</v>
      </c>
      <c r="E35" s="6">
        <f>IFERROR(__xludf.DUMMYFUNCTION("""COMPUTED_VALUE"""),166.5)</f>
        <v>166.5</v>
      </c>
      <c r="F35" s="6">
        <f>IFERROR(__xludf.DUMMYFUNCTION("""COMPUTED_VALUE"""),2.31843409E8)</f>
        <v>231843409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IFERROR(__xludf.DUMMYFUNCTION("""COMPUTED_VALUE"""),167.95)</f>
        <v>167.95</v>
      </c>
      <c r="C36" s="6">
        <f>IFERROR(__xludf.DUMMYFUNCTION("""COMPUTED_VALUE"""),168.65)</f>
        <v>168.65</v>
      </c>
      <c r="D36" s="6">
        <f>IFERROR(__xludf.DUMMYFUNCTION("""COMPUTED_VALUE"""),161.5)</f>
        <v>161.5</v>
      </c>
      <c r="E36" s="6">
        <f>IFERROR(__xludf.DUMMYFUNCTION("""COMPUTED_VALUE"""),162.25)</f>
        <v>162.25</v>
      </c>
      <c r="F36" s="6">
        <f>IFERROR(__xludf.DUMMYFUNCTION("""COMPUTED_VALUE"""),1.73057332E8)</f>
        <v>173057332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IFERROR(__xludf.DUMMYFUNCTION("""COMPUTED_VALUE"""),168.5)</f>
        <v>168.5</v>
      </c>
      <c r="C37" s="6">
        <f>IFERROR(__xludf.DUMMYFUNCTION("""COMPUTED_VALUE"""),177.55)</f>
        <v>177.55</v>
      </c>
      <c r="D37" s="6">
        <f>IFERROR(__xludf.DUMMYFUNCTION("""COMPUTED_VALUE"""),167.95)</f>
        <v>167.95</v>
      </c>
      <c r="E37" s="6">
        <f>IFERROR(__xludf.DUMMYFUNCTION("""COMPUTED_VALUE"""),174.85)</f>
        <v>174.85</v>
      </c>
      <c r="F37" s="6">
        <f>IFERROR(__xludf.DUMMYFUNCTION("""COMPUTED_VALUE"""),2.15805641E8)</f>
        <v>215805641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IFERROR(__xludf.DUMMYFUNCTION("""COMPUTED_VALUE"""),177.7)</f>
        <v>177.7</v>
      </c>
      <c r="C38" s="6">
        <f>IFERROR(__xludf.DUMMYFUNCTION("""COMPUTED_VALUE"""),177.7)</f>
        <v>177.7</v>
      </c>
      <c r="D38" s="6">
        <f>IFERROR(__xludf.DUMMYFUNCTION("""COMPUTED_VALUE"""),163.35)</f>
        <v>163.35</v>
      </c>
      <c r="E38" s="6">
        <f>IFERROR(__xludf.DUMMYFUNCTION("""COMPUTED_VALUE"""),167.2)</f>
        <v>167.2</v>
      </c>
      <c r="F38" s="6">
        <f>IFERROR(__xludf.DUMMYFUNCTION("""COMPUTED_VALUE"""),2.98722314E8)</f>
        <v>298722314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IFERROR(__xludf.DUMMYFUNCTION("""COMPUTED_VALUE"""),173.25)</f>
        <v>173.25</v>
      </c>
      <c r="C39" s="6">
        <f>IFERROR(__xludf.DUMMYFUNCTION("""COMPUTED_VALUE"""),179.65)</f>
        <v>179.65</v>
      </c>
      <c r="D39" s="6">
        <f>IFERROR(__xludf.DUMMYFUNCTION("""COMPUTED_VALUE"""),148.15)</f>
        <v>148.15</v>
      </c>
      <c r="E39" s="6">
        <f>IFERROR(__xludf.DUMMYFUNCTION("""COMPUTED_VALUE"""),178.9)</f>
        <v>178.9</v>
      </c>
      <c r="F39" s="6">
        <f>IFERROR(__xludf.DUMMYFUNCTION("""COMPUTED_VALUE"""),4.13778885E8)</f>
        <v>413778885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IFERROR(__xludf.DUMMYFUNCTION("""COMPUTED_VALUE"""),180.21)</f>
        <v>180.21</v>
      </c>
      <c r="C40" s="6">
        <f>IFERROR(__xludf.DUMMYFUNCTION("""COMPUTED_VALUE"""),184.1)</f>
        <v>184.1</v>
      </c>
      <c r="D40" s="6">
        <f>IFERROR(__xludf.DUMMYFUNCTION("""COMPUTED_VALUE"""),177.36)</f>
        <v>177.36</v>
      </c>
      <c r="E40" s="6">
        <f>IFERROR(__xludf.DUMMYFUNCTION("""COMPUTED_VALUE"""),183.15)</f>
        <v>183.15</v>
      </c>
      <c r="F40" s="6">
        <f>IFERROR(__xludf.DUMMYFUNCTION("""COMPUTED_VALUE"""),2.28325436E8)</f>
        <v>228325436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IFERROR(__xludf.DUMMYFUNCTION("""COMPUTED_VALUE"""),183.8)</f>
        <v>183.8</v>
      </c>
      <c r="C41" s="6">
        <f>IFERROR(__xludf.DUMMYFUNCTION("""COMPUTED_VALUE"""),184.6)</f>
        <v>184.6</v>
      </c>
      <c r="D41" s="6">
        <f>IFERROR(__xludf.DUMMYFUNCTION("""COMPUTED_VALUE"""),178.18)</f>
        <v>178.18</v>
      </c>
      <c r="E41" s="6">
        <f>IFERROR(__xludf.DUMMYFUNCTION("""COMPUTED_VALUE"""),179.94)</f>
        <v>179.94</v>
      </c>
      <c r="F41" s="6">
        <f>IFERROR(__xludf.DUMMYFUNCTION("""COMPUTED_VALUE"""),1.66841262E8)</f>
        <v>166841262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IFERROR(__xludf.DUMMYFUNCTION("""COMPUTED_VALUE"""),177.44)</f>
        <v>177.44</v>
      </c>
      <c r="C42" s="6">
        <f>IFERROR(__xludf.DUMMYFUNCTION("""COMPUTED_VALUE"""),179.0)</f>
        <v>179</v>
      </c>
      <c r="D42" s="6">
        <f>IFERROR(__xludf.DUMMYFUNCTION("""COMPUTED_VALUE"""),171.8)</f>
        <v>171.8</v>
      </c>
      <c r="E42" s="6">
        <f>IFERROR(__xludf.DUMMYFUNCTION("""COMPUTED_VALUE"""),174.01)</f>
        <v>174.01</v>
      </c>
      <c r="F42" s="6">
        <f>IFERROR(__xludf.DUMMYFUNCTION("""COMPUTED_VALUE"""),2.09493657E8)</f>
        <v>209493657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IFERROR(__xludf.DUMMYFUNCTION("""COMPUTED_VALUE"""),174.5)</f>
        <v>174.5</v>
      </c>
      <c r="C43" s="6">
        <f>IFERROR(__xludf.DUMMYFUNCTION("""COMPUTED_VALUE"""),178.19)</f>
        <v>178.19</v>
      </c>
      <c r="D43" s="6">
        <f>IFERROR(__xludf.DUMMYFUNCTION("""COMPUTED_VALUE"""),173.4)</f>
        <v>173.4</v>
      </c>
      <c r="E43" s="6">
        <f>IFERROR(__xludf.DUMMYFUNCTION("""COMPUTED_VALUE"""),174.71)</f>
        <v>174.71</v>
      </c>
      <c r="F43" s="6">
        <f>IFERROR(__xludf.DUMMYFUNCTION("""COMPUTED_VALUE"""),1.57885636E8)</f>
        <v>157885636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IFERROR(__xludf.DUMMYFUNCTION("""COMPUTED_VALUE"""),174.6)</f>
        <v>174.6</v>
      </c>
      <c r="C44" s="6">
        <f>IFERROR(__xludf.DUMMYFUNCTION("""COMPUTED_VALUE"""),175.47)</f>
        <v>175.47</v>
      </c>
      <c r="D44" s="6">
        <f>IFERROR(__xludf.DUMMYFUNCTION("""COMPUTED_VALUE"""),167.02)</f>
        <v>167.02</v>
      </c>
      <c r="E44" s="6">
        <f>IFERROR(__xludf.DUMMYFUNCTION("""COMPUTED_VALUE"""),168.69)</f>
        <v>168.69</v>
      </c>
      <c r="F44" s="6">
        <f>IFERROR(__xludf.DUMMYFUNCTION("""COMPUTED_VALUE"""),1.65431994E8)</f>
        <v>165431994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IFERROR(__xludf.DUMMYFUNCTION("""COMPUTED_VALUE"""),168.69)</f>
        <v>168.69</v>
      </c>
      <c r="C45" s="6">
        <f>IFERROR(__xludf.DUMMYFUNCTION("""COMPUTED_VALUE"""),169.82)</f>
        <v>169.82</v>
      </c>
      <c r="D45" s="6">
        <f>IFERROR(__xludf.DUMMYFUNCTION("""COMPUTED_VALUE"""),157.2)</f>
        <v>157.2</v>
      </c>
      <c r="E45" s="6">
        <f>IFERROR(__xludf.DUMMYFUNCTION("""COMPUTED_VALUE"""),157.77)</f>
        <v>157.77</v>
      </c>
      <c r="F45" s="6">
        <f>IFERROR(__xludf.DUMMYFUNCTION("""COMPUTED_VALUE"""),1.73697454E8)</f>
        <v>173697454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IFERROR(__xludf.DUMMYFUNCTION("""COMPUTED_VALUE"""),158.4)</f>
        <v>158.4</v>
      </c>
      <c r="C46" s="6">
        <f>IFERROR(__xludf.DUMMYFUNCTION("""COMPUTED_VALUE"""),162.95)</f>
        <v>162.95</v>
      </c>
      <c r="D46" s="6">
        <f>IFERROR(__xludf.DUMMYFUNCTION("""COMPUTED_VALUE"""),155.0)</f>
        <v>155</v>
      </c>
      <c r="E46" s="6">
        <f>IFERROR(__xludf.DUMMYFUNCTION("""COMPUTED_VALUE"""),162.55)</f>
        <v>162.55</v>
      </c>
      <c r="F46" s="6">
        <f>IFERROR(__xludf.DUMMYFUNCTION("""COMPUTED_VALUE"""),1.96315575E8)</f>
        <v>196315575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IFERROR(__xludf.DUMMYFUNCTION("""COMPUTED_VALUE"""),164.7)</f>
        <v>164.7</v>
      </c>
      <c r="C47" s="6">
        <f>IFERROR(__xludf.DUMMYFUNCTION("""COMPUTED_VALUE"""),168.95)</f>
        <v>168.95</v>
      </c>
      <c r="D47" s="6">
        <f>IFERROR(__xludf.DUMMYFUNCTION("""COMPUTED_VALUE"""),154.72)</f>
        <v>154.72</v>
      </c>
      <c r="E47" s="6">
        <f>IFERROR(__xludf.DUMMYFUNCTION("""COMPUTED_VALUE"""),158.22)</f>
        <v>158.22</v>
      </c>
      <c r="F47" s="6">
        <f>IFERROR(__xludf.DUMMYFUNCTION("""COMPUTED_VALUE"""),3.18118225E8)</f>
        <v>318118225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IFERROR(__xludf.DUMMYFUNCTION("""COMPUTED_VALUE"""),153.66)</f>
        <v>153.66</v>
      </c>
      <c r="C48" s="6">
        <f>IFERROR(__xludf.DUMMYFUNCTION("""COMPUTED_VALUE"""),154.3)</f>
        <v>154.3</v>
      </c>
      <c r="D48" s="6">
        <f>IFERROR(__xludf.DUMMYFUNCTION("""COMPUTED_VALUE"""),149.0)</f>
        <v>149</v>
      </c>
      <c r="E48" s="6">
        <f>IFERROR(__xludf.DUMMYFUNCTION("""COMPUTED_VALUE"""),151.81)</f>
        <v>151.81</v>
      </c>
      <c r="F48" s="6">
        <f>IFERROR(__xludf.DUMMYFUNCTION("""COMPUTED_VALUE"""),2.63569486E8)</f>
        <v>263569486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IFERROR(__xludf.DUMMYFUNCTION("""COMPUTED_VALUE"""),151.0)</f>
        <v>151</v>
      </c>
      <c r="C49" s="6">
        <f>IFERROR(__xludf.DUMMYFUNCTION("""COMPUTED_VALUE"""),153.4)</f>
        <v>153.4</v>
      </c>
      <c r="D49" s="6">
        <f>IFERROR(__xludf.DUMMYFUNCTION("""COMPUTED_VALUE"""),142.35)</f>
        <v>142.35</v>
      </c>
      <c r="E49" s="6">
        <f>IFERROR(__xludf.DUMMYFUNCTION("""COMPUTED_VALUE"""),149.52)</f>
        <v>149.52</v>
      </c>
      <c r="F49" s="6">
        <f>IFERROR(__xludf.DUMMYFUNCTION("""COMPUTED_VALUE"""),2.11989728E8)</f>
        <v>211989728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IFERROR(__xludf.DUMMYFUNCTION("""COMPUTED_VALUE"""),150.85)</f>
        <v>150.85</v>
      </c>
      <c r="C50" s="6">
        <f>IFERROR(__xludf.DUMMYFUNCTION("""COMPUTED_VALUE"""),155.7)</f>
        <v>155.7</v>
      </c>
      <c r="D50" s="6">
        <f>IFERROR(__xludf.DUMMYFUNCTION("""COMPUTED_VALUE"""),150.39)</f>
        <v>150.39</v>
      </c>
      <c r="E50" s="6">
        <f>IFERROR(__xludf.DUMMYFUNCTION("""COMPUTED_VALUE"""),154.2)</f>
        <v>154.2</v>
      </c>
      <c r="F50" s="6">
        <f>IFERROR(__xludf.DUMMYFUNCTION("""COMPUTED_VALUE"""),2.184082E8)</f>
        <v>218408200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IFERROR(__xludf.DUMMYFUNCTION("""COMPUTED_VALUE"""),154.61)</f>
        <v>154.61</v>
      </c>
      <c r="C51" s="6">
        <f>IFERROR(__xludf.DUMMYFUNCTION("""COMPUTED_VALUE"""),156.5)</f>
        <v>156.5</v>
      </c>
      <c r="D51" s="6">
        <f>IFERROR(__xludf.DUMMYFUNCTION("""COMPUTED_VALUE"""),151.2)</f>
        <v>151.2</v>
      </c>
      <c r="E51" s="6">
        <f>IFERROR(__xludf.DUMMYFUNCTION("""COMPUTED_VALUE"""),152.76)</f>
        <v>152.76</v>
      </c>
      <c r="F51" s="6">
        <f>IFERROR(__xludf.DUMMYFUNCTION("""COMPUTED_VALUE"""),1.8180349E8)</f>
        <v>181803490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IFERROR(__xludf.DUMMYFUNCTION("""COMPUTED_VALUE"""),153.9)</f>
        <v>153.9</v>
      </c>
      <c r="C52" s="6">
        <f>IFERROR(__xludf.DUMMYFUNCTION("""COMPUTED_VALUE"""),153.9)</f>
        <v>153.9</v>
      </c>
      <c r="D52" s="6">
        <f>IFERROR(__xludf.DUMMYFUNCTION("""COMPUTED_VALUE"""),149.16)</f>
        <v>149.16</v>
      </c>
      <c r="E52" s="6">
        <f>IFERROR(__xludf.DUMMYFUNCTION("""COMPUTED_VALUE"""),151.22)</f>
        <v>151.22</v>
      </c>
      <c r="F52" s="6">
        <f>IFERROR(__xludf.DUMMYFUNCTION("""COMPUTED_VALUE"""),1.37650761E8)</f>
        <v>137650761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IFERROR(__xludf.DUMMYFUNCTION("""COMPUTED_VALUE"""),150.9)</f>
        <v>150.9</v>
      </c>
      <c r="C53" s="6">
        <f>IFERROR(__xludf.DUMMYFUNCTION("""COMPUTED_VALUE"""),155.4)</f>
        <v>155.4</v>
      </c>
      <c r="D53" s="6">
        <f>IFERROR(__xludf.DUMMYFUNCTION("""COMPUTED_VALUE"""),147.62)</f>
        <v>147.62</v>
      </c>
      <c r="E53" s="6">
        <f>IFERROR(__xludf.DUMMYFUNCTION("""COMPUTED_VALUE"""),153.49)</f>
        <v>153.49</v>
      </c>
      <c r="F53" s="6">
        <f>IFERROR(__xludf.DUMMYFUNCTION("""COMPUTED_VALUE"""),2.26951448E8)</f>
        <v>226951448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IFERROR(__xludf.DUMMYFUNCTION("""COMPUTED_VALUE"""),155.0)</f>
        <v>155</v>
      </c>
      <c r="C54" s="6">
        <f>IFERROR(__xludf.DUMMYFUNCTION("""COMPUTED_VALUE"""),155.66)</f>
        <v>155.66</v>
      </c>
      <c r="D54" s="6">
        <f>IFERROR(__xludf.DUMMYFUNCTION("""COMPUTED_VALUE"""),147.79)</f>
        <v>147.79</v>
      </c>
      <c r="E54" s="6">
        <f>IFERROR(__xludf.DUMMYFUNCTION("""COMPUTED_VALUE"""),152.02)</f>
        <v>152.02</v>
      </c>
      <c r="F54" s="6">
        <f>IFERROR(__xludf.DUMMYFUNCTION("""COMPUTED_VALUE"""),1.66494068E8)</f>
        <v>166494068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IFERROR(__xludf.DUMMYFUNCTION("""COMPUTED_VALUE"""),154.38)</f>
        <v>154.38</v>
      </c>
      <c r="C55" s="6">
        <f>IFERROR(__xludf.DUMMYFUNCTION("""COMPUTED_VALUE"""),169.01)</f>
        <v>169.01</v>
      </c>
      <c r="D55" s="6">
        <f>IFERROR(__xludf.DUMMYFUNCTION("""COMPUTED_VALUE"""),152.8)</f>
        <v>152.8</v>
      </c>
      <c r="E55" s="6">
        <f>IFERROR(__xludf.DUMMYFUNCTION("""COMPUTED_VALUE"""),166.55)</f>
        <v>166.55</v>
      </c>
      <c r="F55" s="6">
        <f>IFERROR(__xludf.DUMMYFUNCTION("""COMPUTED_VALUE"""),3.90198554E8)</f>
        <v>390198554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IFERROR(__xludf.DUMMYFUNCTION("""COMPUTED_VALUE"""),167.5)</f>
        <v>167.5</v>
      </c>
      <c r="C56" s="6">
        <f>IFERROR(__xludf.DUMMYFUNCTION("""COMPUTED_VALUE"""),170.18)</f>
        <v>170.18</v>
      </c>
      <c r="D56" s="6">
        <f>IFERROR(__xludf.DUMMYFUNCTION("""COMPUTED_VALUE"""),164.0)</f>
        <v>164</v>
      </c>
      <c r="E56" s="6">
        <f>IFERROR(__xludf.DUMMYFUNCTION("""COMPUTED_VALUE"""),166.75)</f>
        <v>166.75</v>
      </c>
      <c r="F56" s="6">
        <f>IFERROR(__xludf.DUMMYFUNCTION("""COMPUTED_VALUE"""),2.7298378E8)</f>
        <v>272983780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IFERROR(__xludf.DUMMYFUNCTION("""COMPUTED_VALUE"""),167.1)</f>
        <v>167.1</v>
      </c>
      <c r="C57" s="6">
        <f>IFERROR(__xludf.DUMMYFUNCTION("""COMPUTED_VALUE"""),167.95)</f>
        <v>167.95</v>
      </c>
      <c r="D57" s="6">
        <f>IFERROR(__xludf.DUMMYFUNCTION("""COMPUTED_VALUE"""),156.6)</f>
        <v>156.6</v>
      </c>
      <c r="E57" s="6">
        <f>IFERROR(__xludf.DUMMYFUNCTION("""COMPUTED_VALUE"""),160.66)</f>
        <v>160.66</v>
      </c>
      <c r="F57" s="6">
        <f>IFERROR(__xludf.DUMMYFUNCTION("""COMPUTED_VALUE"""),2.66269449E8)</f>
        <v>266269449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IFERROR(__xludf.DUMMYFUNCTION("""COMPUTED_VALUE"""),161.88)</f>
        <v>161.88</v>
      </c>
      <c r="C58" s="6">
        <f>IFERROR(__xludf.DUMMYFUNCTION("""COMPUTED_VALUE"""),163.38)</f>
        <v>163.38</v>
      </c>
      <c r="D58" s="6">
        <f>IFERROR(__xludf.DUMMYFUNCTION("""COMPUTED_VALUE"""),151.1)</f>
        <v>151.1</v>
      </c>
      <c r="E58" s="6">
        <f>IFERROR(__xludf.DUMMYFUNCTION("""COMPUTED_VALUE"""),155.39)</f>
        <v>155.39</v>
      </c>
      <c r="F58" s="6">
        <f>IFERROR(__xludf.DUMMYFUNCTION("""COMPUTED_VALUE"""),1.6620453E8)</f>
        <v>166204530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IFERROR(__xludf.DUMMYFUNCTION("""COMPUTED_VALUE"""),156.1)</f>
        <v>156.1</v>
      </c>
      <c r="C59" s="6">
        <f>IFERROR(__xludf.DUMMYFUNCTION("""COMPUTED_VALUE"""),157.93)</f>
        <v>157.93</v>
      </c>
      <c r="D59" s="6">
        <f>IFERROR(__xludf.DUMMYFUNCTION("""COMPUTED_VALUE"""),144.43)</f>
        <v>144.43</v>
      </c>
      <c r="E59" s="6">
        <f>IFERROR(__xludf.DUMMYFUNCTION("""COMPUTED_VALUE"""),145.86)</f>
        <v>145.86</v>
      </c>
      <c r="F59" s="6">
        <f>IFERROR(__xludf.DUMMYFUNCTION("""COMPUTED_VALUE"""),1.68832701E8)</f>
        <v>168832701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IFERROR(__xludf.DUMMYFUNCTION("""COMPUTED_VALUE"""),150.0)</f>
        <v>150</v>
      </c>
      <c r="C60" s="6">
        <f>IFERROR(__xludf.DUMMYFUNCTION("""COMPUTED_VALUE"""),156.92)</f>
        <v>156.92</v>
      </c>
      <c r="D60" s="6">
        <f>IFERROR(__xludf.DUMMYFUNCTION("""COMPUTED_VALUE"""),145.1)</f>
        <v>145.1</v>
      </c>
      <c r="E60" s="6">
        <f>IFERROR(__xludf.DUMMYFUNCTION("""COMPUTED_VALUE"""),147.57)</f>
        <v>147.57</v>
      </c>
      <c r="F60" s="6">
        <f>IFERROR(__xludf.DUMMYFUNCTION("""COMPUTED_VALUE"""),2.67508068E8)</f>
        <v>267508068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IFERROR(__xludf.DUMMYFUNCTION("""COMPUTED_VALUE"""),147.57)</f>
        <v>147.57</v>
      </c>
      <c r="C61" s="6">
        <f>IFERROR(__xludf.DUMMYFUNCTION("""COMPUTED_VALUE"""),147.69)</f>
        <v>147.69</v>
      </c>
      <c r="D61" s="6">
        <f>IFERROR(__xludf.DUMMYFUNCTION("""COMPUTED_VALUE"""),137.5)</f>
        <v>137.5</v>
      </c>
      <c r="E61" s="6">
        <f>IFERROR(__xludf.DUMMYFUNCTION("""COMPUTED_VALUE"""),137.98)</f>
        <v>137.98</v>
      </c>
      <c r="F61" s="6">
        <f>IFERROR(__xludf.DUMMYFUNCTION("""COMPUTED_VALUE"""),1.70313802E8)</f>
        <v>170313802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IFERROR(__xludf.DUMMYFUNCTION("""COMPUTED_VALUE"""),139.49)</f>
        <v>139.49</v>
      </c>
      <c r="C62" s="6">
        <f>IFERROR(__xludf.DUMMYFUNCTION("""COMPUTED_VALUE"""),143.25)</f>
        <v>143.25</v>
      </c>
      <c r="D62" s="6">
        <f>IFERROR(__xludf.DUMMYFUNCTION("""COMPUTED_VALUE"""),137.25)</f>
        <v>137.25</v>
      </c>
      <c r="E62" s="6">
        <f>IFERROR(__xludf.DUMMYFUNCTION("""COMPUTED_VALUE"""),142.78)</f>
        <v>142.78</v>
      </c>
      <c r="F62" s="6">
        <f>IFERROR(__xludf.DUMMYFUNCTION("""COMPUTED_VALUE"""),1.79954664E8)</f>
        <v>179954664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IFERROR(__xludf.DUMMYFUNCTION("""COMPUTED_VALUE"""),144.94)</f>
        <v>144.94</v>
      </c>
      <c r="C63" s="6">
        <f>IFERROR(__xludf.DUMMYFUNCTION("""COMPUTED_VALUE"""),146.15)</f>
        <v>146.15</v>
      </c>
      <c r="D63" s="6">
        <f>IFERROR(__xludf.DUMMYFUNCTION("""COMPUTED_VALUE"""),142.84)</f>
        <v>142.84</v>
      </c>
      <c r="E63" s="6">
        <f>IFERROR(__xludf.DUMMYFUNCTION("""COMPUTED_VALUE"""),144.54)</f>
        <v>144.54</v>
      </c>
      <c r="F63" s="6">
        <f>IFERROR(__xludf.DUMMYFUNCTION("""COMPUTED_VALUE"""),1.6507883E8)</f>
        <v>165078830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IFERROR(__xludf.DUMMYFUNCTION("""COMPUTED_VALUE"""),144.11)</f>
        <v>144.11</v>
      </c>
      <c r="C64" s="6">
        <f>IFERROR(__xludf.DUMMYFUNCTION("""COMPUTED_VALUE"""),148.68)</f>
        <v>148.68</v>
      </c>
      <c r="D64" s="6">
        <f>IFERROR(__xludf.DUMMYFUNCTION("""COMPUTED_VALUE"""),143.14)</f>
        <v>143.14</v>
      </c>
      <c r="E64" s="6">
        <f>IFERROR(__xludf.DUMMYFUNCTION("""COMPUTED_VALUE"""),148.29)</f>
        <v>148.29</v>
      </c>
      <c r="F64" s="6">
        <f>IFERROR(__xludf.DUMMYFUNCTION("""COMPUTED_VALUE"""),1.64838531E8)</f>
        <v>164838531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IFERROR(__xludf.DUMMYFUNCTION("""COMPUTED_VALUE"""),148.29)</f>
        <v>148.29</v>
      </c>
      <c r="C65" s="6">
        <f>IFERROR(__xludf.DUMMYFUNCTION("""COMPUTED_VALUE"""),152.5)</f>
        <v>152.5</v>
      </c>
      <c r="D65" s="6">
        <f>IFERROR(__xludf.DUMMYFUNCTION("""COMPUTED_VALUE"""),145.55)</f>
        <v>145.55</v>
      </c>
      <c r="E65" s="6">
        <f>IFERROR(__xludf.DUMMYFUNCTION("""COMPUTED_VALUE"""),148.95)</f>
        <v>148.95</v>
      </c>
      <c r="F65" s="6">
        <f>IFERROR(__xludf.DUMMYFUNCTION("""COMPUTED_VALUE"""),1.61300063E8)</f>
        <v>161300063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IFERROR(__xludf.DUMMYFUNCTION("""COMPUTED_VALUE"""),148.94)</f>
        <v>148.94</v>
      </c>
      <c r="C66" s="6">
        <f>IFERROR(__xludf.DUMMYFUNCTION("""COMPUTED_VALUE"""),149.8)</f>
        <v>149.8</v>
      </c>
      <c r="D66" s="6">
        <f>IFERROR(__xludf.DUMMYFUNCTION("""COMPUTED_VALUE"""),140.0)</f>
        <v>140</v>
      </c>
      <c r="E66" s="6">
        <f>IFERROR(__xludf.DUMMYFUNCTION("""COMPUTED_VALUE"""),140.68)</f>
        <v>140.68</v>
      </c>
      <c r="F66" s="6">
        <f>IFERROR(__xludf.DUMMYFUNCTION("""COMPUTED_VALUE"""),1.43203811E8)</f>
        <v>143203811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IFERROR(__xludf.DUMMYFUNCTION("""COMPUTED_VALUE"""),142.45)</f>
        <v>142.45</v>
      </c>
      <c r="C67" s="6">
        <f>IFERROR(__xludf.DUMMYFUNCTION("""COMPUTED_VALUE"""),143.8)</f>
        <v>143.8</v>
      </c>
      <c r="D67" s="6">
        <f>IFERROR(__xludf.DUMMYFUNCTION("""COMPUTED_VALUE"""),138.61)</f>
        <v>138.61</v>
      </c>
      <c r="E67" s="6">
        <f>IFERROR(__xludf.DUMMYFUNCTION("""COMPUTED_VALUE"""),138.91)</f>
        <v>138.91</v>
      </c>
      <c r="F67" s="6">
        <f>IFERROR(__xludf.DUMMYFUNCTION("""COMPUTED_VALUE"""),9.6899204E7)</f>
        <v>96899204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IFERROR(__xludf.DUMMYFUNCTION("""COMPUTED_VALUE"""),138.91)</f>
        <v>138.91</v>
      </c>
      <c r="C68" s="6">
        <f>IFERROR(__xludf.DUMMYFUNCTION("""COMPUTED_VALUE"""),139.73)</f>
        <v>139.73</v>
      </c>
      <c r="D68" s="6">
        <f>IFERROR(__xludf.DUMMYFUNCTION("""COMPUTED_VALUE"""),136.09)</f>
        <v>136.09</v>
      </c>
      <c r="E68" s="6">
        <f>IFERROR(__xludf.DUMMYFUNCTION("""COMPUTED_VALUE"""),138.36)</f>
        <v>138.36</v>
      </c>
      <c r="F68" s="6">
        <f>IFERROR(__xludf.DUMMYFUNCTION("""COMPUTED_VALUE"""),1.17545768E8)</f>
        <v>117545768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IFERROR(__xludf.DUMMYFUNCTION("""COMPUTED_VALUE"""),138.36)</f>
        <v>138.36</v>
      </c>
      <c r="C69" s="6">
        <f>IFERROR(__xludf.DUMMYFUNCTION("""COMPUTED_VALUE"""),138.39)</f>
        <v>138.39</v>
      </c>
      <c r="D69" s="6">
        <f>IFERROR(__xludf.DUMMYFUNCTION("""COMPUTED_VALUE"""),126.7)</f>
        <v>126.7</v>
      </c>
      <c r="E69" s="6">
        <f>IFERROR(__xludf.DUMMYFUNCTION("""COMPUTED_VALUE"""),127.43)</f>
        <v>127.43</v>
      </c>
      <c r="F69" s="6">
        <f>IFERROR(__xludf.DUMMYFUNCTION("""COMPUTED_VALUE"""),1.67188908E8)</f>
        <v>167188908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IFERROR(__xludf.DUMMYFUNCTION("""COMPUTED_VALUE"""),126.0)</f>
        <v>126</v>
      </c>
      <c r="C70" s="6">
        <f>IFERROR(__xludf.DUMMYFUNCTION("""COMPUTED_VALUE"""),131.16)</f>
        <v>131.16</v>
      </c>
      <c r="D70" s="6">
        <f>IFERROR(__xludf.DUMMYFUNCTION("""COMPUTED_VALUE"""),122.62)</f>
        <v>122.62</v>
      </c>
      <c r="E70" s="6">
        <f>IFERROR(__xludf.DUMMYFUNCTION("""COMPUTED_VALUE"""),130.28)</f>
        <v>130.28</v>
      </c>
      <c r="F70" s="6">
        <f>IFERROR(__xludf.DUMMYFUNCTION("""COMPUTED_VALUE"""),1.44205174E8)</f>
        <v>144205174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IFERROR(__xludf.DUMMYFUNCTION("""COMPUTED_VALUE"""),130.99)</f>
        <v>130.99</v>
      </c>
      <c r="C71" s="6">
        <f>IFERROR(__xludf.DUMMYFUNCTION("""COMPUTED_VALUE"""),133.2)</f>
        <v>133.2</v>
      </c>
      <c r="D71" s="6">
        <f>IFERROR(__xludf.DUMMYFUNCTION("""COMPUTED_VALUE"""),127.12)</f>
        <v>127.12</v>
      </c>
      <c r="E71" s="6">
        <f>IFERROR(__xludf.DUMMYFUNCTION("""COMPUTED_VALUE"""),129.74)</f>
        <v>129.74</v>
      </c>
      <c r="F71" s="6">
        <f>IFERROR(__xludf.DUMMYFUNCTION("""COMPUTED_VALUE"""),1.38130342E8)</f>
        <v>138130342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IFERROR(__xludf.DUMMYFUNCTION("""COMPUTED_VALUE"""),131.29)</f>
        <v>131.29</v>
      </c>
      <c r="C72" s="6">
        <f>IFERROR(__xludf.DUMMYFUNCTION("""COMPUTED_VALUE"""),138.75)</f>
        <v>138.75</v>
      </c>
      <c r="D72" s="6">
        <f>IFERROR(__xludf.DUMMYFUNCTION("""COMPUTED_VALUE"""),127.81)</f>
        <v>127.81</v>
      </c>
      <c r="E72" s="6">
        <f>IFERROR(__xludf.DUMMYFUNCTION("""COMPUTED_VALUE"""),138.31)</f>
        <v>138.31</v>
      </c>
      <c r="F72" s="6">
        <f>IFERROR(__xludf.DUMMYFUNCTION("""COMPUTED_VALUE"""),1.45114552E8)</f>
        <v>145114552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IFERROR(__xludf.DUMMYFUNCTION("""COMPUTED_VALUE"""),138.1)</f>
        <v>138.1</v>
      </c>
      <c r="C73" s="6">
        <f>IFERROR(__xludf.DUMMYFUNCTION("""COMPUTED_VALUE"""),139.25)</f>
        <v>139.25</v>
      </c>
      <c r="D73" s="6">
        <f>IFERROR(__xludf.DUMMYFUNCTION("""COMPUTED_VALUE"""),128.31)</f>
        <v>128.31</v>
      </c>
      <c r="E73" s="6">
        <f>IFERROR(__xludf.DUMMYFUNCTION("""COMPUTED_VALUE"""),134.47)</f>
        <v>134.47</v>
      </c>
      <c r="F73" s="6">
        <f>IFERROR(__xludf.DUMMYFUNCTION("""COMPUTED_VALUE"""),1.81189367E8)</f>
        <v>181189367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IFERROR(__xludf.DUMMYFUNCTION("""COMPUTED_VALUE"""),132.91)</f>
        <v>132.91</v>
      </c>
      <c r="C74" s="6">
        <f>IFERROR(__xludf.DUMMYFUNCTION("""COMPUTED_VALUE"""),141.6)</f>
        <v>141.6</v>
      </c>
      <c r="D74" s="6">
        <f>IFERROR(__xludf.DUMMYFUNCTION("""COMPUTED_VALUE"""),130.73)</f>
        <v>130.73</v>
      </c>
      <c r="E74" s="6">
        <f>IFERROR(__xludf.DUMMYFUNCTION("""COMPUTED_VALUE"""),140.76)</f>
        <v>140.76</v>
      </c>
      <c r="F74" s="6">
        <f>IFERROR(__xludf.DUMMYFUNCTION("""COMPUTED_VALUE"""),1.29722293E8)</f>
        <v>129722293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IFERROR(__xludf.DUMMYFUNCTION("""COMPUTED_VALUE"""),138.81)</f>
        <v>138.81</v>
      </c>
      <c r="C75" s="6">
        <f>IFERROR(__xludf.DUMMYFUNCTION("""COMPUTED_VALUE"""),140.66)</f>
        <v>140.66</v>
      </c>
      <c r="D75" s="6">
        <f>IFERROR(__xludf.DUMMYFUNCTION("""COMPUTED_VALUE"""),134.06)</f>
        <v>134.06</v>
      </c>
      <c r="E75" s="6">
        <f>IFERROR(__xludf.DUMMYFUNCTION("""COMPUTED_VALUE"""),137.2)</f>
        <v>137.2</v>
      </c>
      <c r="F75" s="6">
        <f>IFERROR(__xludf.DUMMYFUNCTION("""COMPUTED_VALUE"""),1.25056446E8)</f>
        <v>125056446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IFERROR(__xludf.DUMMYFUNCTION("""COMPUTED_VALUE"""),137.0)</f>
        <v>137</v>
      </c>
      <c r="C76" s="6">
        <f>IFERROR(__xludf.DUMMYFUNCTION("""COMPUTED_VALUE"""),152.45)</f>
        <v>152.45</v>
      </c>
      <c r="D76" s="6">
        <f>IFERROR(__xludf.DUMMYFUNCTION("""COMPUTED_VALUE"""),134.31)</f>
        <v>134.31</v>
      </c>
      <c r="E76" s="6">
        <f>IFERROR(__xludf.DUMMYFUNCTION("""COMPUTED_VALUE"""),151.56)</f>
        <v>151.56</v>
      </c>
      <c r="F76" s="6">
        <f>IFERROR(__xludf.DUMMYFUNCTION("""COMPUTED_VALUE"""),2.82841681E8)</f>
        <v>282841681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IFERROR(__xludf.DUMMYFUNCTION("""COMPUTED_VALUE"""),151.56)</f>
        <v>151.56</v>
      </c>
      <c r="C77" s="6">
        <f>IFERROR(__xludf.DUMMYFUNCTION("""COMPUTED_VALUE"""),154.24)</f>
        <v>154.24</v>
      </c>
      <c r="D77" s="6">
        <f>IFERROR(__xludf.DUMMYFUNCTION("""COMPUTED_VALUE"""),147.7)</f>
        <v>147.7</v>
      </c>
      <c r="E77" s="6">
        <f>IFERROR(__xludf.DUMMYFUNCTION("""COMPUTED_VALUE"""),150.88)</f>
        <v>150.88</v>
      </c>
      <c r="F77" s="6">
        <f>IFERROR(__xludf.DUMMYFUNCTION("""COMPUTED_VALUE"""),1.65031211E8)</f>
        <v>165031211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IFERROR(__xludf.DUMMYFUNCTION("""COMPUTED_VALUE"""),151.99)</f>
        <v>151.99</v>
      </c>
      <c r="C78" s="6">
        <f>IFERROR(__xludf.DUMMYFUNCTION("""COMPUTED_VALUE"""),160.1)</f>
        <v>160.1</v>
      </c>
      <c r="D78" s="6">
        <f>IFERROR(__xludf.DUMMYFUNCTION("""COMPUTED_VALUE"""),150.9)</f>
        <v>150.9</v>
      </c>
      <c r="E78" s="6">
        <f>IFERROR(__xludf.DUMMYFUNCTION("""COMPUTED_VALUE"""),157.28)</f>
        <v>157.28</v>
      </c>
      <c r="F78" s="6">
        <f>IFERROR(__xludf.DUMMYFUNCTION("""COMPUTED_VALUE"""),2.29241117E8)</f>
        <v>229241117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IFERROR(__xludf.DUMMYFUNCTION("""COMPUTED_VALUE"""),158.0)</f>
        <v>158</v>
      </c>
      <c r="C79" s="6">
        <f>IFERROR(__xludf.DUMMYFUNCTION("""COMPUTED_VALUE"""),159.0)</f>
        <v>159</v>
      </c>
      <c r="D79" s="6">
        <f>IFERROR(__xludf.DUMMYFUNCTION("""COMPUTED_VALUE"""),153.37)</f>
        <v>153.37</v>
      </c>
      <c r="E79" s="6">
        <f>IFERROR(__xludf.DUMMYFUNCTION("""COMPUTED_VALUE"""),154.24)</f>
        <v>154.24</v>
      </c>
      <c r="F79" s="6">
        <f>IFERROR(__xludf.DUMMYFUNCTION("""COMPUTED_VALUE"""),1.33054212E8)</f>
        <v>133054212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IFERROR(__xludf.DUMMYFUNCTION("""COMPUTED_VALUE"""),152.07)</f>
        <v>152.07</v>
      </c>
      <c r="C80" s="6">
        <f>IFERROR(__xludf.DUMMYFUNCTION("""COMPUTED_VALUE"""),156.25)</f>
        <v>156.25</v>
      </c>
      <c r="D80" s="6">
        <f>IFERROR(__xludf.DUMMYFUNCTION("""COMPUTED_VALUE"""),140.0)</f>
        <v>140</v>
      </c>
      <c r="E80" s="6">
        <f>IFERROR(__xludf.DUMMYFUNCTION("""COMPUTED_VALUE"""),140.39)</f>
        <v>140.39</v>
      </c>
      <c r="F80" s="6">
        <f>IFERROR(__xludf.DUMMYFUNCTION("""COMPUTED_VALUE"""),1.50083373E8)</f>
        <v>150083373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IFERROR(__xludf.DUMMYFUNCTION("""COMPUTED_VALUE"""),128.0)</f>
        <v>128</v>
      </c>
      <c r="C81" s="6">
        <f>IFERROR(__xludf.DUMMYFUNCTION("""COMPUTED_VALUE"""),136.2)</f>
        <v>136.2</v>
      </c>
      <c r="D81" s="6">
        <f>IFERROR(__xludf.DUMMYFUNCTION("""COMPUTED_VALUE"""),125.3)</f>
        <v>125.3</v>
      </c>
      <c r="E81" s="6">
        <f>IFERROR(__xludf.DUMMYFUNCTION("""COMPUTED_VALUE"""),133.42)</f>
        <v>133.42</v>
      </c>
      <c r="F81" s="6">
        <f>IFERROR(__xludf.DUMMYFUNCTION("""COMPUTED_VALUE"""),3.37911973E8)</f>
        <v>337911973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IFERROR(__xludf.DUMMYFUNCTION("""COMPUTED_VALUE"""),135.6)</f>
        <v>135.6</v>
      </c>
      <c r="C82" s="6">
        <f>IFERROR(__xludf.DUMMYFUNCTION("""COMPUTED_VALUE"""),137.96)</f>
        <v>137.96</v>
      </c>
      <c r="D82" s="6">
        <f>IFERROR(__xludf.DUMMYFUNCTION("""COMPUTED_VALUE"""),133.7)</f>
        <v>133.7</v>
      </c>
      <c r="E82" s="6">
        <f>IFERROR(__xludf.DUMMYFUNCTION("""COMPUTED_VALUE"""),137.14)</f>
        <v>137.14</v>
      </c>
      <c r="F82" s="6">
        <f>IFERROR(__xludf.DUMMYFUNCTION("""COMPUTED_VALUE"""),1.43934551E8)</f>
        <v>143934551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IFERROR(__xludf.DUMMYFUNCTION("""COMPUTED_VALUE"""),137.65)</f>
        <v>137.65</v>
      </c>
      <c r="C83" s="6">
        <f>IFERROR(__xludf.DUMMYFUNCTION("""COMPUTED_VALUE"""),143.45)</f>
        <v>143.45</v>
      </c>
      <c r="D83" s="6">
        <f>IFERROR(__xludf.DUMMYFUNCTION("""COMPUTED_VALUE"""),137.05)</f>
        <v>137.05</v>
      </c>
      <c r="E83" s="6">
        <f>IFERROR(__xludf.DUMMYFUNCTION("""COMPUTED_VALUE"""),138.85)</f>
        <v>138.85</v>
      </c>
      <c r="F83" s="6">
        <f>IFERROR(__xludf.DUMMYFUNCTION("""COMPUTED_VALUE"""),1.83610592E8)</f>
        <v>183610592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IFERROR(__xludf.DUMMYFUNCTION("""COMPUTED_VALUE"""),138.54)</f>
        <v>138.54</v>
      </c>
      <c r="C84" s="6">
        <f>IFERROR(__xludf.DUMMYFUNCTION("""COMPUTED_VALUE"""),143.3)</f>
        <v>143.3</v>
      </c>
      <c r="D84" s="6">
        <f>IFERROR(__xludf.DUMMYFUNCTION("""COMPUTED_VALUE"""),138.0)</f>
        <v>138</v>
      </c>
      <c r="E84" s="6">
        <f>IFERROR(__xludf.DUMMYFUNCTION("""COMPUTED_VALUE"""),141.18)</f>
        <v>141.18</v>
      </c>
      <c r="F84" s="6">
        <f>IFERROR(__xludf.DUMMYFUNCTION("""COMPUTED_VALUE"""),1.11523338E8)</f>
        <v>111523338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IFERROR(__xludf.DUMMYFUNCTION("""COMPUTED_VALUE"""),141.57)</f>
        <v>141.57</v>
      </c>
      <c r="C85" s="6">
        <f>IFERROR(__xludf.DUMMYFUNCTION("""COMPUTED_VALUE"""),146.95)</f>
        <v>146.95</v>
      </c>
      <c r="D85" s="6">
        <f>IFERROR(__xludf.DUMMYFUNCTION("""COMPUTED_VALUE"""),140.51)</f>
        <v>140.51</v>
      </c>
      <c r="E85" s="6">
        <f>IFERROR(__xludf.DUMMYFUNCTION("""COMPUTED_VALUE"""),142.78)</f>
        <v>142.78</v>
      </c>
      <c r="F85" s="6">
        <f>IFERROR(__xludf.DUMMYFUNCTION("""COMPUTED_VALUE"""),1.46109713E8)</f>
        <v>146109713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IFERROR(__xludf.DUMMYFUNCTION("""COMPUTED_VALUE"""),145.61)</f>
        <v>145.61</v>
      </c>
      <c r="C86" s="6">
        <f>IFERROR(__xludf.DUMMYFUNCTION("""COMPUTED_VALUE"""),158.15)</f>
        <v>158.15</v>
      </c>
      <c r="D86" s="6">
        <f>IFERROR(__xludf.DUMMYFUNCTION("""COMPUTED_VALUE"""),144.5)</f>
        <v>144.5</v>
      </c>
      <c r="E86" s="6">
        <f>IFERROR(__xludf.DUMMYFUNCTION("""COMPUTED_VALUE"""),157.55)</f>
        <v>157.55</v>
      </c>
      <c r="F86" s="6">
        <f>IFERROR(__xludf.DUMMYFUNCTION("""COMPUTED_VALUE"""),2.41430208E8)</f>
        <v>241430208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IFERROR(__xludf.DUMMYFUNCTION("""COMPUTED_VALUE"""),158.0)</f>
        <v>158</v>
      </c>
      <c r="C87" s="6">
        <f>IFERROR(__xludf.DUMMYFUNCTION("""COMPUTED_VALUE"""),163.6)</f>
        <v>163.6</v>
      </c>
      <c r="D87" s="6">
        <f>IFERROR(__xludf.DUMMYFUNCTION("""COMPUTED_VALUE"""),156.13)</f>
        <v>156.13</v>
      </c>
      <c r="E87" s="6">
        <f>IFERROR(__xludf.DUMMYFUNCTION("""COMPUTED_VALUE"""),162.97)</f>
        <v>162.97</v>
      </c>
      <c r="F87" s="6">
        <f>IFERROR(__xludf.DUMMYFUNCTION("""COMPUTED_VALUE"""),2.06144938E8)</f>
        <v>206144938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IFERROR(__xludf.DUMMYFUNCTION("""COMPUTED_VALUE"""),163.1)</f>
        <v>163.1</v>
      </c>
      <c r="C88" s="6">
        <f>IFERROR(__xludf.DUMMYFUNCTION("""COMPUTED_VALUE"""),165.55)</f>
        <v>165.55</v>
      </c>
      <c r="D88" s="6">
        <f>IFERROR(__xludf.DUMMYFUNCTION("""COMPUTED_VALUE"""),160.51)</f>
        <v>160.51</v>
      </c>
      <c r="E88" s="6">
        <f>IFERROR(__xludf.DUMMYFUNCTION("""COMPUTED_VALUE"""),161.02)</f>
        <v>161.02</v>
      </c>
      <c r="F88" s="6">
        <f>IFERROR(__xludf.DUMMYFUNCTION("""COMPUTED_VALUE"""),1.21117257E8)</f>
        <v>121117257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IFERROR(__xludf.DUMMYFUNCTION("""COMPUTED_VALUE"""),159.0)</f>
        <v>159</v>
      </c>
      <c r="C89" s="6">
        <f>IFERROR(__xludf.DUMMYFUNCTION("""COMPUTED_VALUE"""),160.65)</f>
        <v>160.65</v>
      </c>
      <c r="D89" s="6">
        <f>IFERROR(__xludf.DUMMYFUNCTION("""COMPUTED_VALUE"""),154.25)</f>
        <v>154.25</v>
      </c>
      <c r="E89" s="6">
        <f>IFERROR(__xludf.DUMMYFUNCTION("""COMPUTED_VALUE"""),157.49)</f>
        <v>157.49</v>
      </c>
      <c r="F89" s="6">
        <f>IFERROR(__xludf.DUMMYFUNCTION("""COMPUTED_VALUE"""),1.25937103E8)</f>
        <v>125937103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IFERROR(__xludf.DUMMYFUNCTION("""COMPUTED_VALUE"""),157.69)</f>
        <v>157.69</v>
      </c>
      <c r="C90" s="6">
        <f>IFERROR(__xludf.DUMMYFUNCTION("""COMPUTED_VALUE"""),159.3)</f>
        <v>159.3</v>
      </c>
      <c r="D90" s="6">
        <f>IFERROR(__xludf.DUMMYFUNCTION("""COMPUTED_VALUE"""),149.8)</f>
        <v>149.8</v>
      </c>
      <c r="E90" s="6">
        <f>IFERROR(__xludf.DUMMYFUNCTION("""COMPUTED_VALUE"""),152.13)</f>
        <v>152.13</v>
      </c>
      <c r="F90" s="6">
        <f>IFERROR(__xludf.DUMMYFUNCTION("""COMPUTED_VALUE"""),1.07808928E8)</f>
        <v>107808928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IFERROR(__xludf.DUMMYFUNCTION("""COMPUTED_VALUE"""),152.01)</f>
        <v>152.01</v>
      </c>
      <c r="C91" s="6">
        <f>IFERROR(__xludf.DUMMYFUNCTION("""COMPUTED_VALUE"""),154.89)</f>
        <v>154.89</v>
      </c>
      <c r="D91" s="6">
        <f>IFERROR(__xludf.DUMMYFUNCTION("""COMPUTED_VALUE"""),150.5)</f>
        <v>150.5</v>
      </c>
      <c r="E91" s="6">
        <f>IFERROR(__xludf.DUMMYFUNCTION("""COMPUTED_VALUE"""),151.97)</f>
        <v>151.97</v>
      </c>
      <c r="F91" s="6">
        <f>IFERROR(__xludf.DUMMYFUNCTION("""COMPUTED_VALUE"""),9.7879957E7)</f>
        <v>97879957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IFERROR(__xludf.DUMMYFUNCTION("""COMPUTED_VALUE"""),150.5)</f>
        <v>150.5</v>
      </c>
      <c r="C92" s="6">
        <f>IFERROR(__xludf.DUMMYFUNCTION("""COMPUTED_VALUE"""),163.3)</f>
        <v>163.3</v>
      </c>
      <c r="D92" s="6">
        <f>IFERROR(__xludf.DUMMYFUNCTION("""COMPUTED_VALUE"""),150.48)</f>
        <v>150.48</v>
      </c>
      <c r="E92" s="6">
        <f>IFERROR(__xludf.DUMMYFUNCTION("""COMPUTED_VALUE"""),161.45)</f>
        <v>161.45</v>
      </c>
      <c r="F92" s="6">
        <f>IFERROR(__xludf.DUMMYFUNCTION("""COMPUTED_VALUE"""),1.33380499E8)</f>
        <v>133380499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IFERROR(__xludf.DUMMYFUNCTION("""COMPUTED_VALUE"""),160.99)</f>
        <v>160.99</v>
      </c>
      <c r="C93" s="6">
        <f>IFERROR(__xludf.DUMMYFUNCTION("""COMPUTED_VALUE"""),168.78)</f>
        <v>168.78</v>
      </c>
      <c r="D93" s="6">
        <f>IFERROR(__xludf.DUMMYFUNCTION("""COMPUTED_VALUE"""),157.73)</f>
        <v>157.73</v>
      </c>
      <c r="E93" s="6">
        <f>IFERROR(__xludf.DUMMYFUNCTION("""COMPUTED_VALUE"""),163.01)</f>
        <v>163.01</v>
      </c>
      <c r="F93" s="6">
        <f>IFERROR(__xludf.DUMMYFUNCTION("""COMPUTED_VALUE"""),1.80491487E8)</f>
        <v>180491487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IFERROR(__xludf.DUMMYFUNCTION("""COMPUTED_VALUE"""),163.0)</f>
        <v>163</v>
      </c>
      <c r="C94" s="6">
        <f>IFERROR(__xludf.DUMMYFUNCTION("""COMPUTED_VALUE"""),163.35)</f>
        <v>163.35</v>
      </c>
      <c r="D94" s="6">
        <f>IFERROR(__xludf.DUMMYFUNCTION("""COMPUTED_VALUE"""),157.51)</f>
        <v>157.51</v>
      </c>
      <c r="E94" s="6">
        <f>IFERROR(__xludf.DUMMYFUNCTION("""COMPUTED_VALUE"""),159.84)</f>
        <v>159.84</v>
      </c>
      <c r="F94" s="6">
        <f>IFERROR(__xludf.DUMMYFUNCTION("""COMPUTED_VALUE"""),9.6963632E7)</f>
        <v>96963632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IFERROR(__xludf.DUMMYFUNCTION("""COMPUTED_VALUE"""),159.84)</f>
        <v>159.84</v>
      </c>
      <c r="C95" s="6">
        <f>IFERROR(__xludf.DUMMYFUNCTION("""COMPUTED_VALUE"""),162.75)</f>
        <v>162.75</v>
      </c>
      <c r="D95" s="6">
        <f>IFERROR(__xludf.DUMMYFUNCTION("""COMPUTED_VALUE"""),157.0)</f>
        <v>157</v>
      </c>
      <c r="E95" s="6">
        <f>IFERROR(__xludf.DUMMYFUNCTION("""COMPUTED_VALUE"""),162.37)</f>
        <v>162.37</v>
      </c>
      <c r="F95" s="6">
        <f>IFERROR(__xludf.DUMMYFUNCTION("""COMPUTED_VALUE"""),1.00198891E8)</f>
        <v>100198891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IFERROR(__xludf.DUMMYFUNCTION("""COMPUTED_VALUE"""),162.5)</f>
        <v>162.5</v>
      </c>
      <c r="C96" s="6">
        <f>IFERROR(__xludf.DUMMYFUNCTION("""COMPUTED_VALUE"""),165.6)</f>
        <v>165.6</v>
      </c>
      <c r="D96" s="6">
        <f>IFERROR(__xludf.DUMMYFUNCTION("""COMPUTED_VALUE"""),161.05)</f>
        <v>161.05</v>
      </c>
      <c r="E96" s="6">
        <f>IFERROR(__xludf.DUMMYFUNCTION("""COMPUTED_VALUE"""),161.43)</f>
        <v>161.43</v>
      </c>
      <c r="F96" s="6">
        <f>IFERROR(__xludf.DUMMYFUNCTION("""COMPUTED_VALUE"""),8.4536337E7)</f>
        <v>84536337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IFERROR(__xludf.DUMMYFUNCTION("""COMPUTED_VALUE"""),161.23)</f>
        <v>161.23</v>
      </c>
      <c r="C97" s="6">
        <f>IFERROR(__xludf.DUMMYFUNCTION("""COMPUTED_VALUE"""),162.79)</f>
        <v>162.79</v>
      </c>
      <c r="D97" s="6">
        <f>IFERROR(__xludf.DUMMYFUNCTION("""COMPUTED_VALUE"""),152.51)</f>
        <v>152.51</v>
      </c>
      <c r="E97" s="6">
        <f>IFERROR(__xludf.DUMMYFUNCTION("""COMPUTED_VALUE"""),153.01)</f>
        <v>153.01</v>
      </c>
      <c r="F97" s="6">
        <f>IFERROR(__xludf.DUMMYFUNCTION("""COMPUTED_VALUE"""),1.00783578E8)</f>
        <v>100783578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IFERROR(__xludf.DUMMYFUNCTION("""COMPUTED_VALUE"""),153.5)</f>
        <v>153.5</v>
      </c>
      <c r="C98" s="6">
        <f>IFERROR(__xludf.DUMMYFUNCTION("""COMPUTED_VALUE"""),160.14)</f>
        <v>160.14</v>
      </c>
      <c r="D98" s="6">
        <f>IFERROR(__xludf.DUMMYFUNCTION("""COMPUTED_VALUE"""),153.5)</f>
        <v>153.5</v>
      </c>
      <c r="E98" s="6">
        <f>IFERROR(__xludf.DUMMYFUNCTION("""COMPUTED_VALUE"""),157.95)</f>
        <v>157.95</v>
      </c>
      <c r="F98" s="6">
        <f>IFERROR(__xludf.DUMMYFUNCTION("""COMPUTED_VALUE"""),9.3055317E7)</f>
        <v>93055317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IFERROR(__xludf.DUMMYFUNCTION("""COMPUTED_VALUE"""),157.95)</f>
        <v>157.95</v>
      </c>
      <c r="C99" s="6">
        <f>IFERROR(__xludf.DUMMYFUNCTION("""COMPUTED_VALUE"""),162.4)</f>
        <v>162.4</v>
      </c>
      <c r="D99" s="6">
        <f>IFERROR(__xludf.DUMMYFUNCTION("""COMPUTED_VALUE"""),154.83)</f>
        <v>154.83</v>
      </c>
      <c r="E99" s="6">
        <f>IFERROR(__xludf.DUMMYFUNCTION("""COMPUTED_VALUE"""),155.3)</f>
        <v>155.3</v>
      </c>
      <c r="F99" s="6">
        <f>IFERROR(__xludf.DUMMYFUNCTION("""COMPUTED_VALUE"""),9.9717856E7)</f>
        <v>99717856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IFERROR(__xludf.DUMMYFUNCTION("""COMPUTED_VALUE"""),158.0)</f>
        <v>158</v>
      </c>
      <c r="C100" s="6">
        <f>IFERROR(__xludf.DUMMYFUNCTION("""COMPUTED_VALUE"""),162.76)</f>
        <v>162.76</v>
      </c>
      <c r="D100" s="6">
        <f>IFERROR(__xludf.DUMMYFUNCTION("""COMPUTED_VALUE"""),156.0)</f>
        <v>156</v>
      </c>
      <c r="E100" s="6">
        <f>IFERROR(__xludf.DUMMYFUNCTION("""COMPUTED_VALUE"""),158.55)</f>
        <v>158.55</v>
      </c>
      <c r="F100" s="6">
        <f>IFERROR(__xludf.DUMMYFUNCTION("""COMPUTED_VALUE"""),1.44113556E8)</f>
        <v>144113556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IFERROR(__xludf.DUMMYFUNCTION("""COMPUTED_VALUE"""),159.2)</f>
        <v>159.2</v>
      </c>
      <c r="C101" s="6">
        <f>IFERROR(__xludf.DUMMYFUNCTION("""COMPUTED_VALUE"""),160.33)</f>
        <v>160.33</v>
      </c>
      <c r="D101" s="6">
        <f>IFERROR(__xludf.DUMMYFUNCTION("""COMPUTED_VALUE"""),154.64)</f>
        <v>154.64</v>
      </c>
      <c r="E101" s="6">
        <f>IFERROR(__xludf.DUMMYFUNCTION("""COMPUTED_VALUE"""),155.03)</f>
        <v>155.03</v>
      </c>
      <c r="F101" s="6">
        <f>IFERROR(__xludf.DUMMYFUNCTION("""COMPUTED_VALUE"""),2.75002022E8)</f>
        <v>275002022</v>
      </c>
    </row>
  </sheetData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IFERROR(__xludf.DUMMYFUNCTION("GOOGLEFINANCE(""NSE:TATATECH"",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IFERROR(__xludf.DUMMYFUNCTION("""COMPUTED_VALUE"""),45261.64583333333)</f>
        <v>45261.64583</v>
      </c>
      <c r="B2" s="6">
        <f>IFERROR(__xludf.DUMMYFUNCTION("""COMPUTED_VALUE"""),1200.0)</f>
        <v>1200</v>
      </c>
      <c r="C2" s="6">
        <f>IFERROR(__xludf.DUMMYFUNCTION("""COMPUTED_VALUE"""),1400.0)</f>
        <v>1400</v>
      </c>
      <c r="D2" s="6">
        <f>IFERROR(__xludf.DUMMYFUNCTION("""COMPUTED_VALUE"""),1200.0)</f>
        <v>1200</v>
      </c>
      <c r="E2" s="6">
        <f>IFERROR(__xludf.DUMMYFUNCTION("""COMPUTED_VALUE"""),1220.6)</f>
        <v>1220.6</v>
      </c>
      <c r="F2" s="6">
        <f>IFERROR(__xludf.DUMMYFUNCTION("""COMPUTED_VALUE"""),6.5260863E7)</f>
        <v>65260863</v>
      </c>
    </row>
    <row r="3">
      <c r="A3" s="7">
        <f>IFERROR(__xludf.DUMMYFUNCTION("""COMPUTED_VALUE"""),45268.64583333333)</f>
        <v>45268.64583</v>
      </c>
      <c r="B3" s="6">
        <f>IFERROR(__xludf.DUMMYFUNCTION("""COMPUTED_VALUE"""),1220.6)</f>
        <v>1220.6</v>
      </c>
      <c r="C3" s="6">
        <f>IFERROR(__xludf.DUMMYFUNCTION("""COMPUTED_VALUE"""),1234.0)</f>
        <v>1234</v>
      </c>
      <c r="D3" s="6">
        <f>IFERROR(__xludf.DUMMYFUNCTION("""COMPUTED_VALUE"""),1151.15)</f>
        <v>1151.15</v>
      </c>
      <c r="E3" s="6">
        <f>IFERROR(__xludf.DUMMYFUNCTION("""COMPUTED_VALUE"""),1192.55)</f>
        <v>1192.55</v>
      </c>
      <c r="F3" s="6">
        <f>IFERROR(__xludf.DUMMYFUNCTION("""COMPUTED_VALUE"""),2.6051942E7)</f>
        <v>26051942</v>
      </c>
    </row>
    <row r="4">
      <c r="A4" s="7">
        <f>IFERROR(__xludf.DUMMYFUNCTION("""COMPUTED_VALUE"""),45275.64583333333)</f>
        <v>45275.64583</v>
      </c>
      <c r="B4" s="6">
        <f>IFERROR(__xludf.DUMMYFUNCTION("""COMPUTED_VALUE"""),1199.0)</f>
        <v>1199</v>
      </c>
      <c r="C4" s="6">
        <f>IFERROR(__xludf.DUMMYFUNCTION("""COMPUTED_VALUE"""),1284.8)</f>
        <v>1284.8</v>
      </c>
      <c r="D4" s="6">
        <f>IFERROR(__xludf.DUMMYFUNCTION("""COMPUTED_VALUE"""),1193.0)</f>
        <v>1193</v>
      </c>
      <c r="E4" s="6">
        <f>IFERROR(__xludf.DUMMYFUNCTION("""COMPUTED_VALUE"""),1242.2)</f>
        <v>1242.2</v>
      </c>
      <c r="F4" s="6">
        <f>IFERROR(__xludf.DUMMYFUNCTION("""COMPUTED_VALUE"""),1.7958479E7)</f>
        <v>17958479</v>
      </c>
    </row>
    <row r="5">
      <c r="A5" s="7">
        <f>IFERROR(__xludf.DUMMYFUNCTION("""COMPUTED_VALUE"""),45282.64583333333)</f>
        <v>45282.64583</v>
      </c>
      <c r="B5" s="6">
        <f>IFERROR(__xludf.DUMMYFUNCTION("""COMPUTED_VALUE"""),1245.65)</f>
        <v>1245.65</v>
      </c>
      <c r="C5" s="6">
        <f>IFERROR(__xludf.DUMMYFUNCTION("""COMPUTED_VALUE"""),1259.8)</f>
        <v>1259.8</v>
      </c>
      <c r="D5" s="6">
        <f>IFERROR(__xludf.DUMMYFUNCTION("""COMPUTED_VALUE"""),1165.25)</f>
        <v>1165.25</v>
      </c>
      <c r="E5" s="6">
        <f>IFERROR(__xludf.DUMMYFUNCTION("""COMPUTED_VALUE"""),1208.75)</f>
        <v>1208.75</v>
      </c>
      <c r="F5" s="6">
        <f>IFERROR(__xludf.DUMMYFUNCTION("""COMPUTED_VALUE"""),6897862.0)</f>
        <v>6897862</v>
      </c>
    </row>
    <row r="6">
      <c r="A6" s="7">
        <f>IFERROR(__xludf.DUMMYFUNCTION("""COMPUTED_VALUE"""),45289.64583333333)</f>
        <v>45289.64583</v>
      </c>
      <c r="B6" s="6">
        <f>IFERROR(__xludf.DUMMYFUNCTION("""COMPUTED_VALUE"""),1210.0)</f>
        <v>1210</v>
      </c>
      <c r="C6" s="6">
        <f>IFERROR(__xludf.DUMMYFUNCTION("""COMPUTED_VALUE"""),1217.95)</f>
        <v>1217.95</v>
      </c>
      <c r="D6" s="6">
        <f>IFERROR(__xludf.DUMMYFUNCTION("""COMPUTED_VALUE"""),1169.0)</f>
        <v>1169</v>
      </c>
      <c r="E6" s="6">
        <f>IFERROR(__xludf.DUMMYFUNCTION("""COMPUTED_VALUE"""),1180.15)</f>
        <v>1180.15</v>
      </c>
      <c r="F6" s="6">
        <f>IFERROR(__xludf.DUMMYFUNCTION("""COMPUTED_VALUE"""),4119564.0)</f>
        <v>4119564</v>
      </c>
    </row>
    <row r="7">
      <c r="A7" s="7">
        <f>IFERROR(__xludf.DUMMYFUNCTION("""COMPUTED_VALUE"""),45296.64583333333)</f>
        <v>45296.64583</v>
      </c>
      <c r="B7" s="6">
        <f>IFERROR(__xludf.DUMMYFUNCTION("""COMPUTED_VALUE"""),1184.0)</f>
        <v>1184</v>
      </c>
      <c r="C7" s="6">
        <f>IFERROR(__xludf.DUMMYFUNCTION("""COMPUTED_VALUE"""),1197.9)</f>
        <v>1197.9</v>
      </c>
      <c r="D7" s="6">
        <f>IFERROR(__xludf.DUMMYFUNCTION("""COMPUTED_VALUE"""),1168.0)</f>
        <v>1168</v>
      </c>
      <c r="E7" s="6">
        <f>IFERROR(__xludf.DUMMYFUNCTION("""COMPUTED_VALUE"""),1171.35)</f>
        <v>1171.35</v>
      </c>
      <c r="F7" s="6">
        <f>IFERROR(__xludf.DUMMYFUNCTION("""COMPUTED_VALUE"""),3982190.0)</f>
        <v>3982190</v>
      </c>
    </row>
    <row r="8">
      <c r="A8" s="7">
        <f>IFERROR(__xludf.DUMMYFUNCTION("""COMPUTED_VALUE"""),45303.64583333333)</f>
        <v>45303.64583</v>
      </c>
      <c r="B8" s="6">
        <f>IFERROR(__xludf.DUMMYFUNCTION("""COMPUTED_VALUE"""),1174.7)</f>
        <v>1174.7</v>
      </c>
      <c r="C8" s="6">
        <f>IFERROR(__xludf.DUMMYFUNCTION("""COMPUTED_VALUE"""),1202.0)</f>
        <v>1202</v>
      </c>
      <c r="D8" s="6">
        <f>IFERROR(__xludf.DUMMYFUNCTION("""COMPUTED_VALUE"""),1156.0)</f>
        <v>1156</v>
      </c>
      <c r="E8" s="6">
        <f>IFERROR(__xludf.DUMMYFUNCTION("""COMPUTED_VALUE"""),1167.45)</f>
        <v>1167.45</v>
      </c>
      <c r="F8" s="6">
        <f>IFERROR(__xludf.DUMMYFUNCTION("""COMPUTED_VALUE"""),4942905.0)</f>
        <v>4942905</v>
      </c>
    </row>
    <row r="9">
      <c r="A9" s="7">
        <f>IFERROR(__xludf.DUMMYFUNCTION("""COMPUTED_VALUE"""),45316.64583333333)</f>
        <v>45316.64583</v>
      </c>
      <c r="B9" s="6">
        <f>IFERROR(__xludf.DUMMYFUNCTION("""COMPUTED_VALUE"""),1162.2)</f>
        <v>1162.2</v>
      </c>
      <c r="C9" s="6">
        <f>IFERROR(__xludf.DUMMYFUNCTION("""COMPUTED_VALUE"""),1163.5)</f>
        <v>1163.5</v>
      </c>
      <c r="D9" s="6">
        <f>IFERROR(__xludf.DUMMYFUNCTION("""COMPUTED_VALUE"""),1138.5)</f>
        <v>1138.5</v>
      </c>
      <c r="E9" s="6">
        <f>IFERROR(__xludf.DUMMYFUNCTION("""COMPUTED_VALUE"""),1144.55)</f>
        <v>1144.55</v>
      </c>
      <c r="F9" s="6">
        <f>IFERROR(__xludf.DUMMYFUNCTION("""COMPUTED_VALUE"""),1598318.0)</f>
        <v>1598318</v>
      </c>
    </row>
    <row r="10">
      <c r="A10" s="7">
        <f>IFERROR(__xludf.DUMMYFUNCTION("""COMPUTED_VALUE"""),45324.64583333333)</f>
        <v>45324.64583</v>
      </c>
      <c r="B10" s="6">
        <f>IFERROR(__xludf.DUMMYFUNCTION("""COMPUTED_VALUE"""),1161.0)</f>
        <v>1161</v>
      </c>
      <c r="C10" s="6">
        <f>IFERROR(__xludf.DUMMYFUNCTION("""COMPUTED_VALUE"""),1163.0)</f>
        <v>1163</v>
      </c>
      <c r="D10" s="6">
        <f>IFERROR(__xludf.DUMMYFUNCTION("""COMPUTED_VALUE"""),1088.05)</f>
        <v>1088.05</v>
      </c>
      <c r="E10" s="6">
        <f>IFERROR(__xludf.DUMMYFUNCTION("""COMPUTED_VALUE"""),1098.3)</f>
        <v>1098.3</v>
      </c>
      <c r="F10" s="6">
        <f>IFERROR(__xludf.DUMMYFUNCTION("""COMPUTED_VALUE"""),4912489.0)</f>
        <v>4912489</v>
      </c>
    </row>
    <row r="11">
      <c r="A11" s="7">
        <f>IFERROR(__xludf.DUMMYFUNCTION("""COMPUTED_VALUE"""),45331.64583333333)</f>
        <v>45331.64583</v>
      </c>
      <c r="B11" s="6">
        <f>IFERROR(__xludf.DUMMYFUNCTION("""COMPUTED_VALUE"""),1101.05)</f>
        <v>1101.05</v>
      </c>
      <c r="C11" s="6">
        <f>IFERROR(__xludf.DUMMYFUNCTION("""COMPUTED_VALUE"""),1163.55)</f>
        <v>1163.55</v>
      </c>
      <c r="D11" s="6">
        <f>IFERROR(__xludf.DUMMYFUNCTION("""COMPUTED_VALUE"""),1071.05)</f>
        <v>1071.05</v>
      </c>
      <c r="E11" s="6">
        <f>IFERROR(__xludf.DUMMYFUNCTION("""COMPUTED_VALUE"""),1130.3)</f>
        <v>1130.3</v>
      </c>
      <c r="F11" s="6">
        <f>IFERROR(__xludf.DUMMYFUNCTION("""COMPUTED_VALUE"""),7251187.0)</f>
        <v>7251187</v>
      </c>
    </row>
    <row r="12">
      <c r="A12" s="7">
        <f>IFERROR(__xludf.DUMMYFUNCTION("""COMPUTED_VALUE"""),45338.64583333333)</f>
        <v>45338.64583</v>
      </c>
      <c r="B12" s="6">
        <f>IFERROR(__xludf.DUMMYFUNCTION("""COMPUTED_VALUE"""),1134.0)</f>
        <v>1134</v>
      </c>
      <c r="C12" s="6">
        <f>IFERROR(__xludf.DUMMYFUNCTION("""COMPUTED_VALUE"""),1137.0)</f>
        <v>1137</v>
      </c>
      <c r="D12" s="6">
        <f>IFERROR(__xludf.DUMMYFUNCTION("""COMPUTED_VALUE"""),1084.6)</f>
        <v>1084.6</v>
      </c>
      <c r="E12" s="6">
        <f>IFERROR(__xludf.DUMMYFUNCTION("""COMPUTED_VALUE"""),1105.85)</f>
        <v>1105.85</v>
      </c>
      <c r="F12" s="6">
        <f>IFERROR(__xludf.DUMMYFUNCTION("""COMPUTED_VALUE"""),2398734.0)</f>
        <v>2398734</v>
      </c>
    </row>
    <row r="13">
      <c r="A13" s="7">
        <f>IFERROR(__xludf.DUMMYFUNCTION("""COMPUTED_VALUE"""),45345.64583333333)</f>
        <v>45345.64583</v>
      </c>
      <c r="B13" s="6">
        <f>IFERROR(__xludf.DUMMYFUNCTION("""COMPUTED_VALUE"""),1108.7)</f>
        <v>1108.7</v>
      </c>
      <c r="C13" s="6">
        <f>IFERROR(__xludf.DUMMYFUNCTION("""COMPUTED_VALUE"""),1179.0)</f>
        <v>1179</v>
      </c>
      <c r="D13" s="6">
        <f>IFERROR(__xludf.DUMMYFUNCTION("""COMPUTED_VALUE"""),1107.25)</f>
        <v>1107.25</v>
      </c>
      <c r="E13" s="6">
        <f>IFERROR(__xludf.DUMMYFUNCTION("""COMPUTED_VALUE"""),1160.5)</f>
        <v>1160.5</v>
      </c>
      <c r="F13" s="6">
        <f>IFERROR(__xludf.DUMMYFUNCTION("""COMPUTED_VALUE"""),5250911.0)</f>
        <v>5250911</v>
      </c>
    </row>
    <row r="14">
      <c r="A14" s="7">
        <f>IFERROR(__xludf.DUMMYFUNCTION("""COMPUTED_VALUE"""),45358.64583333333)</f>
        <v>45358.64583</v>
      </c>
      <c r="B14" s="6">
        <f>IFERROR(__xludf.DUMMYFUNCTION("""COMPUTED_VALUE"""),1096.7)</f>
        <v>1096.7</v>
      </c>
      <c r="C14" s="6">
        <f>IFERROR(__xludf.DUMMYFUNCTION("""COMPUTED_VALUE"""),1146.45)</f>
        <v>1146.45</v>
      </c>
      <c r="D14" s="6">
        <f>IFERROR(__xludf.DUMMYFUNCTION("""COMPUTED_VALUE"""),1058.0)</f>
        <v>1058</v>
      </c>
      <c r="E14" s="6">
        <f>IFERROR(__xludf.DUMMYFUNCTION("""COMPUTED_VALUE"""),1127.4)</f>
        <v>1127.4</v>
      </c>
      <c r="F14" s="6">
        <f>IFERROR(__xludf.DUMMYFUNCTION("""COMPUTED_VALUE"""),6665316.0)</f>
        <v>6665316</v>
      </c>
    </row>
    <row r="15">
      <c r="A15" s="7">
        <f>IFERROR(__xludf.DUMMYFUNCTION("""COMPUTED_VALUE"""),45366.64583333333)</f>
        <v>45366.64583</v>
      </c>
      <c r="B15" s="6">
        <f>IFERROR(__xludf.DUMMYFUNCTION("""COMPUTED_VALUE"""),1130.0)</f>
        <v>1130</v>
      </c>
      <c r="C15" s="6">
        <f>IFERROR(__xludf.DUMMYFUNCTION("""COMPUTED_VALUE"""),1130.0)</f>
        <v>1130</v>
      </c>
      <c r="D15" s="6">
        <f>IFERROR(__xludf.DUMMYFUNCTION("""COMPUTED_VALUE"""),1020.0)</f>
        <v>1020</v>
      </c>
      <c r="E15" s="6">
        <f>IFERROR(__xludf.DUMMYFUNCTION("""COMPUTED_VALUE"""),1049.65)</f>
        <v>1049.65</v>
      </c>
      <c r="F15" s="6">
        <f>IFERROR(__xludf.DUMMYFUNCTION("""COMPUTED_VALUE"""),5709438.0)</f>
        <v>5709438</v>
      </c>
    </row>
    <row r="16">
      <c r="A16" s="7">
        <f>IFERROR(__xludf.DUMMYFUNCTION("""COMPUTED_VALUE"""),45373.64583333333)</f>
        <v>45373.64583</v>
      </c>
      <c r="B16" s="6">
        <f>IFERROR(__xludf.DUMMYFUNCTION("""COMPUTED_VALUE"""),1051.0)</f>
        <v>1051</v>
      </c>
      <c r="C16" s="6">
        <f>IFERROR(__xludf.DUMMYFUNCTION("""COMPUTED_VALUE"""),1055.0)</f>
        <v>1055</v>
      </c>
      <c r="D16" s="6">
        <f>IFERROR(__xludf.DUMMYFUNCTION("""COMPUTED_VALUE"""),1026.6)</f>
        <v>1026.6</v>
      </c>
      <c r="E16" s="6">
        <f>IFERROR(__xludf.DUMMYFUNCTION("""COMPUTED_VALUE"""),1032.0)</f>
        <v>1032</v>
      </c>
      <c r="F16" s="6">
        <f>IFERROR(__xludf.DUMMYFUNCTION("""COMPUTED_VALUE"""),2980318.0)</f>
        <v>2980318</v>
      </c>
    </row>
    <row r="17">
      <c r="A17" s="7">
        <f>IFERROR(__xludf.DUMMYFUNCTION("""COMPUTED_VALUE"""),45379.64583333333)</f>
        <v>45379.64583</v>
      </c>
      <c r="B17" s="6">
        <f>IFERROR(__xludf.DUMMYFUNCTION("""COMPUTED_VALUE"""),1032.0)</f>
        <v>1032</v>
      </c>
      <c r="C17" s="6">
        <f>IFERROR(__xludf.DUMMYFUNCTION("""COMPUTED_VALUE"""),1038.25)</f>
        <v>1038.25</v>
      </c>
      <c r="D17" s="6">
        <f>IFERROR(__xludf.DUMMYFUNCTION("""COMPUTED_VALUE"""),1020.0)</f>
        <v>1020</v>
      </c>
      <c r="E17" s="6">
        <f>IFERROR(__xludf.DUMMYFUNCTION("""COMPUTED_VALUE"""),1020.6)</f>
        <v>1020.6</v>
      </c>
      <c r="F17" s="6">
        <f>IFERROR(__xludf.DUMMYFUNCTION("""COMPUTED_VALUE"""),2745289.0)</f>
        <v>2745289</v>
      </c>
    </row>
    <row r="18">
      <c r="A18" s="7">
        <f>IFERROR(__xludf.DUMMYFUNCTION("""COMPUTED_VALUE"""),45387.64583333333)</f>
        <v>45387.64583</v>
      </c>
      <c r="B18" s="6">
        <f>IFERROR(__xludf.DUMMYFUNCTION("""COMPUTED_VALUE"""),1040.0)</f>
        <v>1040</v>
      </c>
      <c r="C18" s="6">
        <f>IFERROR(__xludf.DUMMYFUNCTION("""COMPUTED_VALUE"""),1147.75)</f>
        <v>1147.75</v>
      </c>
      <c r="D18" s="6">
        <f>IFERROR(__xludf.DUMMYFUNCTION("""COMPUTED_VALUE"""),1033.5)</f>
        <v>1033.5</v>
      </c>
      <c r="E18" s="6">
        <f>IFERROR(__xludf.DUMMYFUNCTION("""COMPUTED_VALUE"""),1121.65)</f>
        <v>1121.65</v>
      </c>
      <c r="F18" s="6">
        <f>IFERROR(__xludf.DUMMYFUNCTION("""COMPUTED_VALUE"""),1.5191975E7)</f>
        <v>15191975</v>
      </c>
    </row>
    <row r="19">
      <c r="A19" s="7">
        <f>IFERROR(__xludf.DUMMYFUNCTION("""COMPUTED_VALUE"""),45394.64583333333)</f>
        <v>45394.64583</v>
      </c>
      <c r="B19" s="6">
        <f>IFERROR(__xludf.DUMMYFUNCTION("""COMPUTED_VALUE"""),1130.05)</f>
        <v>1130.05</v>
      </c>
      <c r="C19" s="6">
        <f>IFERROR(__xludf.DUMMYFUNCTION("""COMPUTED_VALUE"""),1130.65)</f>
        <v>1130.65</v>
      </c>
      <c r="D19" s="6">
        <f>IFERROR(__xludf.DUMMYFUNCTION("""COMPUTED_VALUE"""),1088.9)</f>
        <v>1088.9</v>
      </c>
      <c r="E19" s="6">
        <f>IFERROR(__xludf.DUMMYFUNCTION("""COMPUTED_VALUE"""),1090.35)</f>
        <v>1090.35</v>
      </c>
      <c r="F19" s="6">
        <f>IFERROR(__xludf.DUMMYFUNCTION("""COMPUTED_VALUE"""),6972863.0)</f>
        <v>6972863</v>
      </c>
    </row>
    <row r="20">
      <c r="A20" s="7">
        <f>IFERROR(__xludf.DUMMYFUNCTION("""COMPUTED_VALUE"""),45401.64583333333)</f>
        <v>45401.64583</v>
      </c>
      <c r="B20" s="6">
        <f>IFERROR(__xludf.DUMMYFUNCTION("""COMPUTED_VALUE"""),1062.0)</f>
        <v>1062</v>
      </c>
      <c r="C20" s="6">
        <f>IFERROR(__xludf.DUMMYFUNCTION("""COMPUTED_VALUE"""),1081.7)</f>
        <v>1081.7</v>
      </c>
      <c r="D20" s="6">
        <f>IFERROR(__xludf.DUMMYFUNCTION("""COMPUTED_VALUE"""),1033.05)</f>
        <v>1033.05</v>
      </c>
      <c r="E20" s="6">
        <f>IFERROR(__xludf.DUMMYFUNCTION("""COMPUTED_VALUE"""),1040.65)</f>
        <v>1040.65</v>
      </c>
      <c r="F20" s="6">
        <f>IFERROR(__xludf.DUMMYFUNCTION("""COMPUTED_VALUE"""),3990605.0)</f>
        <v>3990605</v>
      </c>
    </row>
    <row r="21">
      <c r="A21" s="7">
        <f>IFERROR(__xludf.DUMMYFUNCTION("""COMPUTED_VALUE"""),45408.64583333333)</f>
        <v>45408.64583</v>
      </c>
      <c r="B21" s="6">
        <f>IFERROR(__xludf.DUMMYFUNCTION("""COMPUTED_VALUE"""),1053.55)</f>
        <v>1053.55</v>
      </c>
      <c r="C21" s="6">
        <f>IFERROR(__xludf.DUMMYFUNCTION("""COMPUTED_VALUE"""),1094.7)</f>
        <v>1094.7</v>
      </c>
      <c r="D21" s="6">
        <f>IFERROR(__xludf.DUMMYFUNCTION("""COMPUTED_VALUE"""),1043.55)</f>
        <v>1043.55</v>
      </c>
      <c r="E21" s="6">
        <f>IFERROR(__xludf.DUMMYFUNCTION("""COMPUTED_VALUE"""),1072.55)</f>
        <v>1072.55</v>
      </c>
      <c r="F21" s="6">
        <f>IFERROR(__xludf.DUMMYFUNCTION("""COMPUTED_VALUE"""),3720194.0)</f>
        <v>3720194</v>
      </c>
    </row>
    <row r="22">
      <c r="A22" s="7">
        <f>IFERROR(__xludf.DUMMYFUNCTION("""COMPUTED_VALUE"""),45415.64583333333)</f>
        <v>45415.64583</v>
      </c>
      <c r="B22" s="6">
        <f>IFERROR(__xludf.DUMMYFUNCTION("""COMPUTED_VALUE"""),1080.05)</f>
        <v>1080.05</v>
      </c>
      <c r="C22" s="6">
        <f>IFERROR(__xludf.DUMMYFUNCTION("""COMPUTED_VALUE"""),1109.8)</f>
        <v>1109.8</v>
      </c>
      <c r="D22" s="6">
        <f>IFERROR(__xludf.DUMMYFUNCTION("""COMPUTED_VALUE"""),1058.0)</f>
        <v>1058</v>
      </c>
      <c r="E22" s="6">
        <f>IFERROR(__xludf.DUMMYFUNCTION("""COMPUTED_VALUE"""),1086.8)</f>
        <v>1086.8</v>
      </c>
      <c r="F22" s="6">
        <f>IFERROR(__xludf.DUMMYFUNCTION("""COMPUTED_VALUE"""),4584006.0)</f>
        <v>4584006</v>
      </c>
    </row>
    <row r="23">
      <c r="A23" s="7">
        <f>IFERROR(__xludf.DUMMYFUNCTION("""COMPUTED_VALUE"""),45422.64583333333)</f>
        <v>45422.64583</v>
      </c>
      <c r="B23" s="6">
        <f>IFERROR(__xludf.DUMMYFUNCTION("""COMPUTED_VALUE"""),1042.0)</f>
        <v>1042</v>
      </c>
      <c r="C23" s="6">
        <f>IFERROR(__xludf.DUMMYFUNCTION("""COMPUTED_VALUE"""),1058.45)</f>
        <v>1058.45</v>
      </c>
      <c r="D23" s="6">
        <f>IFERROR(__xludf.DUMMYFUNCTION("""COMPUTED_VALUE"""),1006.05)</f>
        <v>1006.05</v>
      </c>
      <c r="E23" s="6">
        <f>IFERROR(__xludf.DUMMYFUNCTION("""COMPUTED_VALUE"""),1009.65)</f>
        <v>1009.65</v>
      </c>
      <c r="F23" s="6">
        <f>IFERROR(__xludf.DUMMYFUNCTION("""COMPUTED_VALUE"""),4729519.0)</f>
        <v>4729519</v>
      </c>
    </row>
    <row r="24">
      <c r="A24" s="7">
        <f>IFERROR(__xludf.DUMMYFUNCTION("""COMPUTED_VALUE"""),45436.64583333333)</f>
        <v>45436.64583</v>
      </c>
      <c r="B24" s="6">
        <f>IFERROR(__xludf.DUMMYFUNCTION("""COMPUTED_VALUE"""),1058.0)</f>
        <v>1058</v>
      </c>
      <c r="C24" s="6">
        <f>IFERROR(__xludf.DUMMYFUNCTION("""COMPUTED_VALUE"""),1109.85)</f>
        <v>1109.85</v>
      </c>
      <c r="D24" s="6">
        <f>IFERROR(__xludf.DUMMYFUNCTION("""COMPUTED_VALUE"""),1048.25)</f>
        <v>1048.25</v>
      </c>
      <c r="E24" s="6">
        <f>IFERROR(__xludf.DUMMYFUNCTION("""COMPUTED_VALUE"""),1084.45)</f>
        <v>1084.45</v>
      </c>
      <c r="F24" s="6">
        <f>IFERROR(__xludf.DUMMYFUNCTION("""COMPUTED_VALUE"""),3145486.0)</f>
        <v>3145486</v>
      </c>
    </row>
    <row r="25">
      <c r="A25" s="7">
        <f>IFERROR(__xludf.DUMMYFUNCTION("""COMPUTED_VALUE"""),45443.64583333333)</f>
        <v>45443.64583</v>
      </c>
      <c r="B25" s="6">
        <f>IFERROR(__xludf.DUMMYFUNCTION("""COMPUTED_VALUE"""),1093.65)</f>
        <v>1093.65</v>
      </c>
      <c r="C25" s="6">
        <f>IFERROR(__xludf.DUMMYFUNCTION("""COMPUTED_VALUE"""),1115.9)</f>
        <v>1115.9</v>
      </c>
      <c r="D25" s="6">
        <f>IFERROR(__xludf.DUMMYFUNCTION("""COMPUTED_VALUE"""),1023.8)</f>
        <v>1023.8</v>
      </c>
      <c r="E25" s="6">
        <f>IFERROR(__xludf.DUMMYFUNCTION("""COMPUTED_VALUE"""),1030.2)</f>
        <v>1030.2</v>
      </c>
      <c r="F25" s="6">
        <f>IFERROR(__xludf.DUMMYFUNCTION("""COMPUTED_VALUE"""),3596787.0)</f>
        <v>3596787</v>
      </c>
    </row>
    <row r="26">
      <c r="A26" s="7">
        <f>IFERROR(__xludf.DUMMYFUNCTION("""COMPUTED_VALUE"""),45450.64583333333)</f>
        <v>45450.64583</v>
      </c>
      <c r="B26" s="6">
        <f>IFERROR(__xludf.DUMMYFUNCTION("""COMPUTED_VALUE"""),1070.0)</f>
        <v>1070</v>
      </c>
      <c r="C26" s="6">
        <f>IFERROR(__xludf.DUMMYFUNCTION("""COMPUTED_VALUE"""),1071.05)</f>
        <v>1071.05</v>
      </c>
      <c r="D26" s="6">
        <f>IFERROR(__xludf.DUMMYFUNCTION("""COMPUTED_VALUE"""),982.25)</f>
        <v>982.25</v>
      </c>
      <c r="E26" s="6">
        <f>IFERROR(__xludf.DUMMYFUNCTION("""COMPUTED_VALUE"""),1061.4)</f>
        <v>1061.4</v>
      </c>
      <c r="F26" s="6">
        <f>IFERROR(__xludf.DUMMYFUNCTION("""COMPUTED_VALUE"""),5123634.0)</f>
        <v>5123634</v>
      </c>
    </row>
    <row r="27">
      <c r="A27" s="7">
        <f>IFERROR(__xludf.DUMMYFUNCTION("""COMPUTED_VALUE"""),45457.64583333333)</f>
        <v>45457.64583</v>
      </c>
      <c r="B27" s="6">
        <f>IFERROR(__xludf.DUMMYFUNCTION("""COMPUTED_VALUE"""),1061.4)</f>
        <v>1061.4</v>
      </c>
      <c r="C27" s="6">
        <f>IFERROR(__xludf.DUMMYFUNCTION("""COMPUTED_VALUE"""),1073.7)</f>
        <v>1073.7</v>
      </c>
      <c r="D27" s="6">
        <f>IFERROR(__xludf.DUMMYFUNCTION("""COMPUTED_VALUE"""),1036.85)</f>
        <v>1036.85</v>
      </c>
      <c r="E27" s="6">
        <f>IFERROR(__xludf.DUMMYFUNCTION("""COMPUTED_VALUE"""),1037.65)</f>
        <v>1037.65</v>
      </c>
      <c r="F27" s="6">
        <f>IFERROR(__xludf.DUMMYFUNCTION("""COMPUTED_VALUE"""),4490920.0)</f>
        <v>4490920</v>
      </c>
    </row>
    <row r="28">
      <c r="A28" s="7">
        <f>IFERROR(__xludf.DUMMYFUNCTION("""COMPUTED_VALUE"""),45464.64583333333)</f>
        <v>45464.64583</v>
      </c>
      <c r="B28" s="6">
        <f>IFERROR(__xludf.DUMMYFUNCTION("""COMPUTED_VALUE"""),1040.4)</f>
        <v>1040.4</v>
      </c>
      <c r="C28" s="6">
        <f>IFERROR(__xludf.DUMMYFUNCTION("""COMPUTED_VALUE"""),1043.9)</f>
        <v>1043.9</v>
      </c>
      <c r="D28" s="6">
        <f>IFERROR(__xludf.DUMMYFUNCTION("""COMPUTED_VALUE"""),982.65)</f>
        <v>982.65</v>
      </c>
      <c r="E28" s="6">
        <f>IFERROR(__xludf.DUMMYFUNCTION("""COMPUTED_VALUE"""),992.25)</f>
        <v>992.25</v>
      </c>
      <c r="F28" s="6">
        <f>IFERROR(__xludf.DUMMYFUNCTION("""COMPUTED_VALUE"""),1.1748565E7)</f>
        <v>11748565</v>
      </c>
    </row>
    <row r="29">
      <c r="A29" s="7">
        <f>IFERROR(__xludf.DUMMYFUNCTION("""COMPUTED_VALUE"""),45471.64583333333)</f>
        <v>45471.64583</v>
      </c>
      <c r="B29" s="6">
        <f>IFERROR(__xludf.DUMMYFUNCTION("""COMPUTED_VALUE"""),992.25)</f>
        <v>992.25</v>
      </c>
      <c r="C29" s="6">
        <f>IFERROR(__xludf.DUMMYFUNCTION("""COMPUTED_VALUE"""),1027.9)</f>
        <v>1027.9</v>
      </c>
      <c r="D29" s="6">
        <f>IFERROR(__xludf.DUMMYFUNCTION("""COMPUTED_VALUE"""),989.75)</f>
        <v>989.75</v>
      </c>
      <c r="E29" s="6">
        <f>IFERROR(__xludf.DUMMYFUNCTION("""COMPUTED_VALUE"""),1021.95)</f>
        <v>1021.95</v>
      </c>
      <c r="F29" s="6">
        <f>IFERROR(__xludf.DUMMYFUNCTION("""COMPUTED_VALUE"""),4162945.0)</f>
        <v>4162945</v>
      </c>
    </row>
    <row r="30">
      <c r="A30" s="7">
        <f>IFERROR(__xludf.DUMMYFUNCTION("""COMPUTED_VALUE"""),45478.64583333333)</f>
        <v>45478.64583</v>
      </c>
      <c r="B30" s="6">
        <f>IFERROR(__xludf.DUMMYFUNCTION("""COMPUTED_VALUE"""),1023.3)</f>
        <v>1023.3</v>
      </c>
      <c r="C30" s="6">
        <f>IFERROR(__xludf.DUMMYFUNCTION("""COMPUTED_VALUE"""),1029.5)</f>
        <v>1029.5</v>
      </c>
      <c r="D30" s="6">
        <f>IFERROR(__xludf.DUMMYFUNCTION("""COMPUTED_VALUE"""),1006.2)</f>
        <v>1006.2</v>
      </c>
      <c r="E30" s="6">
        <f>IFERROR(__xludf.DUMMYFUNCTION("""COMPUTED_VALUE"""),1010.35)</f>
        <v>1010.35</v>
      </c>
      <c r="F30" s="6">
        <f>IFERROR(__xludf.DUMMYFUNCTION("""COMPUTED_VALUE"""),2635618.0)</f>
        <v>2635618</v>
      </c>
    </row>
    <row r="31">
      <c r="A31" s="7">
        <f>IFERROR(__xludf.DUMMYFUNCTION("""COMPUTED_VALUE"""),45485.64583333333)</f>
        <v>45485.64583</v>
      </c>
      <c r="B31" s="6">
        <f>IFERROR(__xludf.DUMMYFUNCTION("""COMPUTED_VALUE"""),1014.85)</f>
        <v>1014.85</v>
      </c>
      <c r="C31" s="6">
        <f>IFERROR(__xludf.DUMMYFUNCTION("""COMPUTED_VALUE"""),1043.0)</f>
        <v>1043</v>
      </c>
      <c r="D31" s="6">
        <f>IFERROR(__xludf.DUMMYFUNCTION("""COMPUTED_VALUE"""),1003.0)</f>
        <v>1003</v>
      </c>
      <c r="E31" s="6">
        <f>IFERROR(__xludf.DUMMYFUNCTION("""COMPUTED_VALUE"""),1033.4)</f>
        <v>1033.4</v>
      </c>
      <c r="F31" s="6">
        <f>IFERROR(__xludf.DUMMYFUNCTION("""COMPUTED_VALUE"""),5938931.0)</f>
        <v>5938931</v>
      </c>
    </row>
    <row r="32">
      <c r="A32" s="7">
        <f>IFERROR(__xludf.DUMMYFUNCTION("""COMPUTED_VALUE"""),45492.64583333333)</f>
        <v>45492.64583</v>
      </c>
      <c r="B32" s="6">
        <f>IFERROR(__xludf.DUMMYFUNCTION("""COMPUTED_VALUE"""),1040.0)</f>
        <v>1040</v>
      </c>
      <c r="C32" s="6">
        <f>IFERROR(__xludf.DUMMYFUNCTION("""COMPUTED_VALUE"""),1043.9)</f>
        <v>1043.9</v>
      </c>
      <c r="D32" s="6">
        <f>IFERROR(__xludf.DUMMYFUNCTION("""COMPUTED_VALUE"""),990.0)</f>
        <v>990</v>
      </c>
      <c r="E32" s="6">
        <f>IFERROR(__xludf.DUMMYFUNCTION("""COMPUTED_VALUE"""),997.2)</f>
        <v>997.2</v>
      </c>
      <c r="F32" s="6">
        <f>IFERROR(__xludf.DUMMYFUNCTION("""COMPUTED_VALUE"""),3733489.0)</f>
        <v>3733489</v>
      </c>
    </row>
    <row r="33">
      <c r="A33" s="7">
        <f>IFERROR(__xludf.DUMMYFUNCTION("""COMPUTED_VALUE"""),45499.64583333333)</f>
        <v>45499.64583</v>
      </c>
      <c r="B33" s="6">
        <f>IFERROR(__xludf.DUMMYFUNCTION("""COMPUTED_VALUE"""),997.2)</f>
        <v>997.2</v>
      </c>
      <c r="C33" s="6">
        <f>IFERROR(__xludf.DUMMYFUNCTION("""COMPUTED_VALUE"""),1007.65)</f>
        <v>1007.65</v>
      </c>
      <c r="D33" s="6">
        <f>IFERROR(__xludf.DUMMYFUNCTION("""COMPUTED_VALUE"""),983.0)</f>
        <v>983</v>
      </c>
      <c r="E33" s="6">
        <f>IFERROR(__xludf.DUMMYFUNCTION("""COMPUTED_VALUE"""),999.0)</f>
        <v>999</v>
      </c>
      <c r="F33" s="6">
        <f>IFERROR(__xludf.DUMMYFUNCTION("""COMPUTED_VALUE"""),2841264.0)</f>
        <v>2841264</v>
      </c>
    </row>
    <row r="34">
      <c r="A34" s="7">
        <f>IFERROR(__xludf.DUMMYFUNCTION("""COMPUTED_VALUE"""),45506.64583333333)</f>
        <v>45506.64583</v>
      </c>
      <c r="B34" s="6">
        <f>IFERROR(__xludf.DUMMYFUNCTION("""COMPUTED_VALUE"""),1002.0)</f>
        <v>1002</v>
      </c>
      <c r="C34" s="6">
        <f>IFERROR(__xludf.DUMMYFUNCTION("""COMPUTED_VALUE"""),1007.35)</f>
        <v>1007.35</v>
      </c>
      <c r="D34" s="6">
        <f>IFERROR(__xludf.DUMMYFUNCTION("""COMPUTED_VALUE"""),990.8)</f>
        <v>990.8</v>
      </c>
      <c r="E34" s="6">
        <f>IFERROR(__xludf.DUMMYFUNCTION("""COMPUTED_VALUE"""),992.0)</f>
        <v>992</v>
      </c>
      <c r="F34" s="6">
        <f>IFERROR(__xludf.DUMMYFUNCTION("""COMPUTED_VALUE"""),2092370.0)</f>
        <v>2092370</v>
      </c>
    </row>
    <row r="35">
      <c r="A35" s="7">
        <f>IFERROR(__xludf.DUMMYFUNCTION("""COMPUTED_VALUE"""),45513.64583333333)</f>
        <v>45513.64583</v>
      </c>
      <c r="B35" s="6">
        <f>IFERROR(__xludf.DUMMYFUNCTION("""COMPUTED_VALUE"""),981.0)</f>
        <v>981</v>
      </c>
      <c r="C35" s="6">
        <f>IFERROR(__xludf.DUMMYFUNCTION("""COMPUTED_VALUE"""),1009.95)</f>
        <v>1009.95</v>
      </c>
      <c r="D35" s="6">
        <f>IFERROR(__xludf.DUMMYFUNCTION("""COMPUTED_VALUE"""),970.1)</f>
        <v>970.1</v>
      </c>
      <c r="E35" s="6">
        <f>IFERROR(__xludf.DUMMYFUNCTION("""COMPUTED_VALUE"""),989.65)</f>
        <v>989.65</v>
      </c>
      <c r="F35" s="6">
        <f>IFERROR(__xludf.DUMMYFUNCTION("""COMPUTED_VALUE"""),3117411.0)</f>
        <v>3117411</v>
      </c>
    </row>
    <row r="36">
      <c r="A36" s="7">
        <f>IFERROR(__xludf.DUMMYFUNCTION("""COMPUTED_VALUE"""),45520.64583333333)</f>
        <v>45520.64583</v>
      </c>
      <c r="B36" s="6">
        <f>IFERROR(__xludf.DUMMYFUNCTION("""COMPUTED_VALUE"""),985.0)</f>
        <v>985</v>
      </c>
      <c r="C36" s="6">
        <f>IFERROR(__xludf.DUMMYFUNCTION("""COMPUTED_VALUE"""),1012.0)</f>
        <v>1012</v>
      </c>
      <c r="D36" s="6">
        <f>IFERROR(__xludf.DUMMYFUNCTION("""COMPUTED_VALUE"""),980.0)</f>
        <v>980</v>
      </c>
      <c r="E36" s="6">
        <f>IFERROR(__xludf.DUMMYFUNCTION("""COMPUTED_VALUE"""),999.05)</f>
        <v>999.05</v>
      </c>
      <c r="F36" s="6">
        <f>IFERROR(__xludf.DUMMYFUNCTION("""COMPUTED_VALUE"""),2373764.0)</f>
        <v>2373764</v>
      </c>
    </row>
    <row r="37">
      <c r="A37" s="7">
        <f>IFERROR(__xludf.DUMMYFUNCTION("""COMPUTED_VALUE"""),45527.64583333333)</f>
        <v>45527.64583</v>
      </c>
      <c r="B37" s="6">
        <f>IFERROR(__xludf.DUMMYFUNCTION("""COMPUTED_VALUE"""),1007.35)</f>
        <v>1007.35</v>
      </c>
      <c r="C37" s="6">
        <f>IFERROR(__xludf.DUMMYFUNCTION("""COMPUTED_VALUE"""),1054.8)</f>
        <v>1054.8</v>
      </c>
      <c r="D37" s="6">
        <f>IFERROR(__xludf.DUMMYFUNCTION("""COMPUTED_VALUE"""),996.0)</f>
        <v>996</v>
      </c>
      <c r="E37" s="6">
        <f>IFERROR(__xludf.DUMMYFUNCTION("""COMPUTED_VALUE"""),1036.95)</f>
        <v>1036.95</v>
      </c>
      <c r="F37" s="6">
        <f>IFERROR(__xludf.DUMMYFUNCTION("""COMPUTED_VALUE"""),2.9886377E7)</f>
        <v>29886377</v>
      </c>
    </row>
    <row r="38">
      <c r="A38" s="7">
        <f>IFERROR(__xludf.DUMMYFUNCTION("""COMPUTED_VALUE"""),45534.64583333333)</f>
        <v>45534.64583</v>
      </c>
      <c r="B38" s="6">
        <f>IFERROR(__xludf.DUMMYFUNCTION("""COMPUTED_VALUE"""),1053.0)</f>
        <v>1053</v>
      </c>
      <c r="C38" s="6">
        <f>IFERROR(__xludf.DUMMYFUNCTION("""COMPUTED_VALUE"""),1115.0)</f>
        <v>1115</v>
      </c>
      <c r="D38" s="6">
        <f>IFERROR(__xludf.DUMMYFUNCTION("""COMPUTED_VALUE"""),1021.55)</f>
        <v>1021.55</v>
      </c>
      <c r="E38" s="6">
        <f>IFERROR(__xludf.DUMMYFUNCTION("""COMPUTED_VALUE"""),1065.6)</f>
        <v>1065.6</v>
      </c>
      <c r="F38" s="6">
        <f>IFERROR(__xludf.DUMMYFUNCTION("""COMPUTED_VALUE"""),5.3941962E7)</f>
        <v>53941962</v>
      </c>
    </row>
    <row r="39">
      <c r="A39" s="7">
        <f>IFERROR(__xludf.DUMMYFUNCTION("""COMPUTED_VALUE"""),45541.64583333333)</f>
        <v>45541.64583</v>
      </c>
      <c r="B39" s="6">
        <f>IFERROR(__xludf.DUMMYFUNCTION("""COMPUTED_VALUE"""),1075.0)</f>
        <v>1075</v>
      </c>
      <c r="C39" s="6">
        <f>IFERROR(__xludf.DUMMYFUNCTION("""COMPUTED_VALUE"""),1122.9)</f>
        <v>1122.9</v>
      </c>
      <c r="D39" s="6">
        <f>IFERROR(__xludf.DUMMYFUNCTION("""COMPUTED_VALUE"""),1045.55)</f>
        <v>1045.55</v>
      </c>
      <c r="E39" s="6">
        <f>IFERROR(__xludf.DUMMYFUNCTION("""COMPUTED_VALUE"""),1112.65)</f>
        <v>1112.65</v>
      </c>
      <c r="F39" s="6">
        <f>IFERROR(__xludf.DUMMYFUNCTION("""COMPUTED_VALUE"""),2.8122605E7)</f>
        <v>28122605</v>
      </c>
    </row>
    <row r="40">
      <c r="A40" s="7">
        <f>IFERROR(__xludf.DUMMYFUNCTION("""COMPUTED_VALUE"""),45548.64583333333)</f>
        <v>45548.64583</v>
      </c>
      <c r="B40" s="6">
        <f>IFERROR(__xludf.DUMMYFUNCTION("""COMPUTED_VALUE"""),1115.0)</f>
        <v>1115</v>
      </c>
      <c r="C40" s="6">
        <f>IFERROR(__xludf.DUMMYFUNCTION("""COMPUTED_VALUE"""),1115.0)</f>
        <v>1115</v>
      </c>
      <c r="D40" s="6">
        <f>IFERROR(__xludf.DUMMYFUNCTION("""COMPUTED_VALUE"""),1073.9)</f>
        <v>1073.9</v>
      </c>
      <c r="E40" s="6">
        <f>IFERROR(__xludf.DUMMYFUNCTION("""COMPUTED_VALUE"""),1089.7)</f>
        <v>1089.7</v>
      </c>
      <c r="F40" s="6">
        <f>IFERROR(__xludf.DUMMYFUNCTION("""COMPUTED_VALUE"""),1.4483671E7)</f>
        <v>14483671</v>
      </c>
    </row>
    <row r="41">
      <c r="A41" s="7">
        <f>IFERROR(__xludf.DUMMYFUNCTION("""COMPUTED_VALUE"""),45555.64583333333)</f>
        <v>45555.64583</v>
      </c>
      <c r="B41" s="6">
        <f>IFERROR(__xludf.DUMMYFUNCTION("""COMPUTED_VALUE"""),1106.0)</f>
        <v>1106</v>
      </c>
      <c r="C41" s="6">
        <f>IFERROR(__xludf.DUMMYFUNCTION("""COMPUTED_VALUE"""),1136.0)</f>
        <v>1136</v>
      </c>
      <c r="D41" s="6">
        <f>IFERROR(__xludf.DUMMYFUNCTION("""COMPUTED_VALUE"""),1051.85)</f>
        <v>1051.85</v>
      </c>
      <c r="E41" s="6">
        <f>IFERROR(__xludf.DUMMYFUNCTION("""COMPUTED_VALUE"""),1114.7)</f>
        <v>1114.7</v>
      </c>
      <c r="F41" s="6">
        <f>IFERROR(__xludf.DUMMYFUNCTION("""COMPUTED_VALUE"""),1.8535203E7)</f>
        <v>18535203</v>
      </c>
    </row>
    <row r="42">
      <c r="A42" s="7">
        <f>IFERROR(__xludf.DUMMYFUNCTION("""COMPUTED_VALUE"""),45562.64583333333)</f>
        <v>45562.64583</v>
      </c>
      <c r="B42" s="6">
        <f>IFERROR(__xludf.DUMMYFUNCTION("""COMPUTED_VALUE"""),1130.0)</f>
        <v>1130</v>
      </c>
      <c r="C42" s="6">
        <f>IFERROR(__xludf.DUMMYFUNCTION("""COMPUTED_VALUE"""),1134.7)</f>
        <v>1134.7</v>
      </c>
      <c r="D42" s="6">
        <f>IFERROR(__xludf.DUMMYFUNCTION("""COMPUTED_VALUE"""),1084.0)</f>
        <v>1084</v>
      </c>
      <c r="E42" s="6">
        <f>IFERROR(__xludf.DUMMYFUNCTION("""COMPUTED_VALUE"""),1121.0)</f>
        <v>1121</v>
      </c>
      <c r="F42" s="6">
        <f>IFERROR(__xludf.DUMMYFUNCTION("""COMPUTED_VALUE"""),1.0341592E7)</f>
        <v>10341592</v>
      </c>
    </row>
    <row r="43">
      <c r="A43" s="7">
        <f>IFERROR(__xludf.DUMMYFUNCTION("""COMPUTED_VALUE"""),45569.64583333333)</f>
        <v>45569.64583</v>
      </c>
      <c r="B43" s="6">
        <f>IFERROR(__xludf.DUMMYFUNCTION("""COMPUTED_VALUE"""),1115.0)</f>
        <v>1115</v>
      </c>
      <c r="C43" s="6">
        <f>IFERROR(__xludf.DUMMYFUNCTION("""COMPUTED_VALUE"""),1118.0)</f>
        <v>1118</v>
      </c>
      <c r="D43" s="6">
        <f>IFERROR(__xludf.DUMMYFUNCTION("""COMPUTED_VALUE"""),1047.25)</f>
        <v>1047.25</v>
      </c>
      <c r="E43" s="6">
        <f>IFERROR(__xludf.DUMMYFUNCTION("""COMPUTED_VALUE"""),1057.45)</f>
        <v>1057.45</v>
      </c>
      <c r="F43" s="6">
        <f>IFERROR(__xludf.DUMMYFUNCTION("""COMPUTED_VALUE"""),5661734.0)</f>
        <v>5661734</v>
      </c>
    </row>
    <row r="44">
      <c r="A44" s="7">
        <f>IFERROR(__xludf.DUMMYFUNCTION("""COMPUTED_VALUE"""),45576.64583333333)</f>
        <v>45576.64583</v>
      </c>
      <c r="B44" s="6">
        <f>IFERROR(__xludf.DUMMYFUNCTION("""COMPUTED_VALUE"""),1065.0)</f>
        <v>1065</v>
      </c>
      <c r="C44" s="6">
        <f>IFERROR(__xludf.DUMMYFUNCTION("""COMPUTED_VALUE"""),1089.15)</f>
        <v>1089.15</v>
      </c>
      <c r="D44" s="6">
        <f>IFERROR(__xludf.DUMMYFUNCTION("""COMPUTED_VALUE"""),1016.5)</f>
        <v>1016.5</v>
      </c>
      <c r="E44" s="6">
        <f>IFERROR(__xludf.DUMMYFUNCTION("""COMPUTED_VALUE"""),1054.6)</f>
        <v>1054.6</v>
      </c>
      <c r="F44" s="6">
        <f>IFERROR(__xludf.DUMMYFUNCTION("""COMPUTED_VALUE"""),8271447.0)</f>
        <v>8271447</v>
      </c>
    </row>
    <row r="45">
      <c r="A45" s="7">
        <f>IFERROR(__xludf.DUMMYFUNCTION("""COMPUTED_VALUE"""),45583.64583333333)</f>
        <v>45583.64583</v>
      </c>
      <c r="B45" s="6">
        <f>IFERROR(__xludf.DUMMYFUNCTION("""COMPUTED_VALUE"""),1057.5)</f>
        <v>1057.5</v>
      </c>
      <c r="C45" s="6">
        <f>IFERROR(__xludf.DUMMYFUNCTION("""COMPUTED_VALUE"""),1087.85)</f>
        <v>1087.85</v>
      </c>
      <c r="D45" s="6">
        <f>IFERROR(__xludf.DUMMYFUNCTION("""COMPUTED_VALUE"""),1042.0)</f>
        <v>1042</v>
      </c>
      <c r="E45" s="6">
        <f>IFERROR(__xludf.DUMMYFUNCTION("""COMPUTED_VALUE"""),1060.1)</f>
        <v>1060.1</v>
      </c>
      <c r="F45" s="6">
        <f>IFERROR(__xludf.DUMMYFUNCTION("""COMPUTED_VALUE"""),5096611.0)</f>
        <v>5096611</v>
      </c>
    </row>
    <row r="46">
      <c r="A46" s="7">
        <f>IFERROR(__xludf.DUMMYFUNCTION("""COMPUTED_VALUE"""),45590.64583333333)</f>
        <v>45590.64583</v>
      </c>
      <c r="B46" s="6">
        <f>IFERROR(__xludf.DUMMYFUNCTION("""COMPUTED_VALUE"""),1063.45)</f>
        <v>1063.45</v>
      </c>
      <c r="C46" s="6">
        <f>IFERROR(__xludf.DUMMYFUNCTION("""COMPUTED_VALUE"""),1074.95)</f>
        <v>1074.95</v>
      </c>
      <c r="D46" s="6">
        <f>IFERROR(__xludf.DUMMYFUNCTION("""COMPUTED_VALUE"""),1000.1)</f>
        <v>1000.1</v>
      </c>
      <c r="E46" s="6">
        <f>IFERROR(__xludf.DUMMYFUNCTION("""COMPUTED_VALUE"""),1011.45)</f>
        <v>1011.45</v>
      </c>
      <c r="F46" s="6">
        <f>IFERROR(__xludf.DUMMYFUNCTION("""COMPUTED_VALUE"""),5647161.0)</f>
        <v>5647161</v>
      </c>
    </row>
    <row r="47">
      <c r="A47" s="7">
        <f>IFERROR(__xludf.DUMMYFUNCTION("""COMPUTED_VALUE"""),45604.64583333333)</f>
        <v>45604.64583</v>
      </c>
      <c r="B47" s="6">
        <f>IFERROR(__xludf.DUMMYFUNCTION("""COMPUTED_VALUE"""),1029.0)</f>
        <v>1029</v>
      </c>
      <c r="C47" s="6">
        <f>IFERROR(__xludf.DUMMYFUNCTION("""COMPUTED_VALUE"""),1038.0)</f>
        <v>1038</v>
      </c>
      <c r="D47" s="6">
        <f>IFERROR(__xludf.DUMMYFUNCTION("""COMPUTED_VALUE"""),1002.0)</f>
        <v>1002</v>
      </c>
      <c r="E47" s="6">
        <f>IFERROR(__xludf.DUMMYFUNCTION("""COMPUTED_VALUE"""),1004.95)</f>
        <v>1004.95</v>
      </c>
      <c r="F47" s="6">
        <f>IFERROR(__xludf.DUMMYFUNCTION("""COMPUTED_VALUE"""),2966914.0)</f>
        <v>2966914</v>
      </c>
    </row>
    <row r="48">
      <c r="A48" s="7">
        <f>IFERROR(__xludf.DUMMYFUNCTION("""COMPUTED_VALUE"""),45610.64583333333)</f>
        <v>45610.64583</v>
      </c>
      <c r="B48" s="6">
        <f>IFERROR(__xludf.DUMMYFUNCTION("""COMPUTED_VALUE"""),1004.95)</f>
        <v>1004.95</v>
      </c>
      <c r="C48" s="6">
        <f>IFERROR(__xludf.DUMMYFUNCTION("""COMPUTED_VALUE"""),1005.65)</f>
        <v>1005.65</v>
      </c>
      <c r="D48" s="6">
        <f>IFERROR(__xludf.DUMMYFUNCTION("""COMPUTED_VALUE"""),956.65)</f>
        <v>956.65</v>
      </c>
      <c r="E48" s="6">
        <f>IFERROR(__xludf.DUMMYFUNCTION("""COMPUTED_VALUE"""),962.3)</f>
        <v>962.3</v>
      </c>
      <c r="F48" s="6">
        <f>IFERROR(__xludf.DUMMYFUNCTION("""COMPUTED_VALUE"""),2952498.0)</f>
        <v>2952498</v>
      </c>
    </row>
    <row r="49">
      <c r="A49" s="7">
        <f>IFERROR(__xludf.DUMMYFUNCTION("""COMPUTED_VALUE"""),45618.64583333333)</f>
        <v>45618.64583</v>
      </c>
      <c r="B49" s="6">
        <f>IFERROR(__xludf.DUMMYFUNCTION("""COMPUTED_VALUE"""),968.0)</f>
        <v>968</v>
      </c>
      <c r="C49" s="6">
        <f>IFERROR(__xludf.DUMMYFUNCTION("""COMPUTED_VALUE"""),968.0)</f>
        <v>968</v>
      </c>
      <c r="D49" s="6">
        <f>IFERROR(__xludf.DUMMYFUNCTION("""COMPUTED_VALUE"""),931.0)</f>
        <v>931</v>
      </c>
      <c r="E49" s="6">
        <f>IFERROR(__xludf.DUMMYFUNCTION("""COMPUTED_VALUE"""),941.2)</f>
        <v>941.2</v>
      </c>
      <c r="F49" s="6">
        <f>IFERROR(__xludf.DUMMYFUNCTION("""COMPUTED_VALUE"""),2950038.0)</f>
        <v>2950038</v>
      </c>
    </row>
    <row r="50">
      <c r="A50" s="7">
        <f>IFERROR(__xludf.DUMMYFUNCTION("""COMPUTED_VALUE"""),45625.64583333333)</f>
        <v>45625.64583</v>
      </c>
      <c r="B50" s="6">
        <f>IFERROR(__xludf.DUMMYFUNCTION("""COMPUTED_VALUE"""),955.0)</f>
        <v>955</v>
      </c>
      <c r="C50" s="6">
        <f>IFERROR(__xludf.DUMMYFUNCTION("""COMPUTED_VALUE"""),963.0)</f>
        <v>963</v>
      </c>
      <c r="D50" s="6">
        <f>IFERROR(__xludf.DUMMYFUNCTION("""COMPUTED_VALUE"""),931.1)</f>
        <v>931.1</v>
      </c>
      <c r="E50" s="6">
        <f>IFERROR(__xludf.DUMMYFUNCTION("""COMPUTED_VALUE"""),938.5)</f>
        <v>938.5</v>
      </c>
      <c r="F50" s="6">
        <f>IFERROR(__xludf.DUMMYFUNCTION("""COMPUTED_VALUE"""),3609663.0)</f>
        <v>3609663</v>
      </c>
    </row>
    <row r="51">
      <c r="A51" s="7">
        <f>IFERROR(__xludf.DUMMYFUNCTION("""COMPUTED_VALUE"""),45632.64583333333)</f>
        <v>45632.64583</v>
      </c>
      <c r="B51" s="6">
        <f>IFERROR(__xludf.DUMMYFUNCTION("""COMPUTED_VALUE"""),939.1)</f>
        <v>939.1</v>
      </c>
      <c r="C51" s="6">
        <f>IFERROR(__xludf.DUMMYFUNCTION("""COMPUTED_VALUE"""),973.85)</f>
        <v>973.85</v>
      </c>
      <c r="D51" s="6">
        <f>IFERROR(__xludf.DUMMYFUNCTION("""COMPUTED_VALUE"""),936.4)</f>
        <v>936.4</v>
      </c>
      <c r="E51" s="6">
        <f>IFERROR(__xludf.DUMMYFUNCTION("""COMPUTED_VALUE"""),953.9)</f>
        <v>953.9</v>
      </c>
      <c r="F51" s="6">
        <f>IFERROR(__xludf.DUMMYFUNCTION("""COMPUTED_VALUE"""),4630685.0)</f>
        <v>4630685</v>
      </c>
    </row>
    <row r="52">
      <c r="A52" s="7">
        <f>IFERROR(__xludf.DUMMYFUNCTION("""COMPUTED_VALUE"""),45639.64583333333)</f>
        <v>45639.64583</v>
      </c>
      <c r="B52" s="6">
        <f>IFERROR(__xludf.DUMMYFUNCTION("""COMPUTED_VALUE"""),954.5)</f>
        <v>954.5</v>
      </c>
      <c r="C52" s="6">
        <f>IFERROR(__xludf.DUMMYFUNCTION("""COMPUTED_VALUE"""),960.0)</f>
        <v>960</v>
      </c>
      <c r="D52" s="6">
        <f>IFERROR(__xludf.DUMMYFUNCTION("""COMPUTED_VALUE"""),935.0)</f>
        <v>935</v>
      </c>
      <c r="E52" s="6">
        <f>IFERROR(__xludf.DUMMYFUNCTION("""COMPUTED_VALUE"""),937.55)</f>
        <v>937.55</v>
      </c>
      <c r="F52" s="6">
        <f>IFERROR(__xludf.DUMMYFUNCTION("""COMPUTED_VALUE"""),3849580.0)</f>
        <v>3849580</v>
      </c>
    </row>
    <row r="53">
      <c r="A53" s="7">
        <f>IFERROR(__xludf.DUMMYFUNCTION("""COMPUTED_VALUE"""),45646.64583333333)</f>
        <v>45646.64583</v>
      </c>
      <c r="B53" s="6">
        <f>IFERROR(__xludf.DUMMYFUNCTION("""COMPUTED_VALUE"""),937.0)</f>
        <v>937</v>
      </c>
      <c r="C53" s="6">
        <f>IFERROR(__xludf.DUMMYFUNCTION("""COMPUTED_VALUE"""),942.0)</f>
        <v>942</v>
      </c>
      <c r="D53" s="6">
        <f>IFERROR(__xludf.DUMMYFUNCTION("""COMPUTED_VALUE"""),890.0)</f>
        <v>890</v>
      </c>
      <c r="E53" s="6">
        <f>IFERROR(__xludf.DUMMYFUNCTION("""COMPUTED_VALUE"""),893.3)</f>
        <v>893.3</v>
      </c>
      <c r="F53" s="6">
        <f>IFERROR(__xludf.DUMMYFUNCTION("""COMPUTED_VALUE"""),4649574.0)</f>
        <v>4649574</v>
      </c>
    </row>
    <row r="54">
      <c r="A54" s="7">
        <f>IFERROR(__xludf.DUMMYFUNCTION("""COMPUTED_VALUE"""),45653.64583333333)</f>
        <v>45653.64583</v>
      </c>
      <c r="B54" s="6">
        <f>IFERROR(__xludf.DUMMYFUNCTION("""COMPUTED_VALUE"""),898.0)</f>
        <v>898</v>
      </c>
      <c r="C54" s="6">
        <f>IFERROR(__xludf.DUMMYFUNCTION("""COMPUTED_VALUE"""),922.9)</f>
        <v>922.9</v>
      </c>
      <c r="D54" s="6">
        <f>IFERROR(__xludf.DUMMYFUNCTION("""COMPUTED_VALUE"""),883.3)</f>
        <v>883.3</v>
      </c>
      <c r="E54" s="6">
        <f>IFERROR(__xludf.DUMMYFUNCTION("""COMPUTED_VALUE"""),898.85)</f>
        <v>898.85</v>
      </c>
      <c r="F54" s="6">
        <f>IFERROR(__xludf.DUMMYFUNCTION("""COMPUTED_VALUE"""),2586275.0)</f>
        <v>2586275</v>
      </c>
    </row>
    <row r="55">
      <c r="A55" s="7">
        <f>IFERROR(__xludf.DUMMYFUNCTION("""COMPUTED_VALUE"""),45660.64583333333)</f>
        <v>45660.64583</v>
      </c>
      <c r="B55" s="6">
        <f>IFERROR(__xludf.DUMMYFUNCTION("""COMPUTED_VALUE"""),899.0)</f>
        <v>899</v>
      </c>
      <c r="C55" s="6">
        <f>IFERROR(__xludf.DUMMYFUNCTION("""COMPUTED_VALUE"""),912.5)</f>
        <v>912.5</v>
      </c>
      <c r="D55" s="6">
        <f>IFERROR(__xludf.DUMMYFUNCTION("""COMPUTED_VALUE"""),886.0)</f>
        <v>886</v>
      </c>
      <c r="E55" s="6">
        <f>IFERROR(__xludf.DUMMYFUNCTION("""COMPUTED_VALUE"""),896.6)</f>
        <v>896.6</v>
      </c>
      <c r="F55" s="6">
        <f>IFERROR(__xludf.DUMMYFUNCTION("""COMPUTED_VALUE"""),2821108.0)</f>
        <v>2821108</v>
      </c>
    </row>
    <row r="56">
      <c r="A56" s="7">
        <f>IFERROR(__xludf.DUMMYFUNCTION("""COMPUTED_VALUE"""),45667.64583333333)</f>
        <v>45667.64583</v>
      </c>
      <c r="B56" s="6">
        <f>IFERROR(__xludf.DUMMYFUNCTION("""COMPUTED_VALUE"""),897.95)</f>
        <v>897.95</v>
      </c>
      <c r="C56" s="6">
        <f>IFERROR(__xludf.DUMMYFUNCTION("""COMPUTED_VALUE"""),912.0)</f>
        <v>912</v>
      </c>
      <c r="D56" s="6">
        <f>IFERROR(__xludf.DUMMYFUNCTION("""COMPUTED_VALUE"""),828.3)</f>
        <v>828.3</v>
      </c>
      <c r="E56" s="6">
        <f>IFERROR(__xludf.DUMMYFUNCTION("""COMPUTED_VALUE"""),834.15)</f>
        <v>834.15</v>
      </c>
      <c r="F56" s="6">
        <f>IFERROR(__xludf.DUMMYFUNCTION("""COMPUTED_VALUE"""),5823882.0)</f>
        <v>5823882</v>
      </c>
    </row>
    <row r="57">
      <c r="A57" s="7">
        <f>IFERROR(__xludf.DUMMYFUNCTION("""COMPUTED_VALUE"""),45674.64583333333)</f>
        <v>45674.64583</v>
      </c>
      <c r="B57" s="6">
        <f>IFERROR(__xludf.DUMMYFUNCTION("""COMPUTED_VALUE"""),830.0)</f>
        <v>830</v>
      </c>
      <c r="C57" s="6">
        <f>IFERROR(__xludf.DUMMYFUNCTION("""COMPUTED_VALUE"""),834.4)</f>
        <v>834.4</v>
      </c>
      <c r="D57" s="6">
        <f>IFERROR(__xludf.DUMMYFUNCTION("""COMPUTED_VALUE"""),790.55)</f>
        <v>790.55</v>
      </c>
      <c r="E57" s="6">
        <f>IFERROR(__xludf.DUMMYFUNCTION("""COMPUTED_VALUE"""),807.7)</f>
        <v>807.7</v>
      </c>
      <c r="F57" s="6">
        <f>IFERROR(__xludf.DUMMYFUNCTION("""COMPUTED_VALUE"""),5426299.0)</f>
        <v>5426299</v>
      </c>
    </row>
    <row r="58">
      <c r="A58" s="7">
        <f>IFERROR(__xludf.DUMMYFUNCTION("""COMPUTED_VALUE"""),45681.64583333333)</f>
        <v>45681.64583</v>
      </c>
      <c r="B58" s="6">
        <f>IFERROR(__xludf.DUMMYFUNCTION("""COMPUTED_VALUE"""),810.05)</f>
        <v>810.05</v>
      </c>
      <c r="C58" s="6">
        <f>IFERROR(__xludf.DUMMYFUNCTION("""COMPUTED_VALUE"""),841.3)</f>
        <v>841.3</v>
      </c>
      <c r="D58" s="6">
        <f>IFERROR(__xludf.DUMMYFUNCTION("""COMPUTED_VALUE"""),781.0)</f>
        <v>781</v>
      </c>
      <c r="E58" s="6">
        <f>IFERROR(__xludf.DUMMYFUNCTION("""COMPUTED_VALUE"""),782.9)</f>
        <v>782.9</v>
      </c>
      <c r="F58" s="6">
        <f>IFERROR(__xludf.DUMMYFUNCTION("""COMPUTED_VALUE"""),4788533.0)</f>
        <v>4788533</v>
      </c>
    </row>
    <row r="59">
      <c r="A59" s="7">
        <f>IFERROR(__xludf.DUMMYFUNCTION("""COMPUTED_VALUE"""),45695.64583333333)</f>
        <v>45695.64583</v>
      </c>
      <c r="B59" s="6">
        <f>IFERROR(__xludf.DUMMYFUNCTION("""COMPUTED_VALUE"""),770.25)</f>
        <v>770.25</v>
      </c>
      <c r="C59" s="6">
        <f>IFERROR(__xludf.DUMMYFUNCTION("""COMPUTED_VALUE"""),803.0)</f>
        <v>803</v>
      </c>
      <c r="D59" s="6">
        <f>IFERROR(__xludf.DUMMYFUNCTION("""COMPUTED_VALUE"""),758.35)</f>
        <v>758.35</v>
      </c>
      <c r="E59" s="6">
        <f>IFERROR(__xludf.DUMMYFUNCTION("""COMPUTED_VALUE"""),776.6)</f>
        <v>776.6</v>
      </c>
      <c r="F59" s="6">
        <f>IFERROR(__xludf.DUMMYFUNCTION("""COMPUTED_VALUE"""),2784925.0)</f>
        <v>2784925</v>
      </c>
    </row>
    <row r="60">
      <c r="A60" s="7">
        <f>IFERROR(__xludf.DUMMYFUNCTION("""COMPUTED_VALUE"""),45702.64583333333)</f>
        <v>45702.64583</v>
      </c>
      <c r="B60" s="6">
        <f>IFERROR(__xludf.DUMMYFUNCTION("""COMPUTED_VALUE"""),780.0)</f>
        <v>780</v>
      </c>
      <c r="C60" s="6">
        <f>IFERROR(__xludf.DUMMYFUNCTION("""COMPUTED_VALUE"""),786.4)</f>
        <v>786.4</v>
      </c>
      <c r="D60" s="6">
        <f>IFERROR(__xludf.DUMMYFUNCTION("""COMPUTED_VALUE"""),718.0)</f>
        <v>718</v>
      </c>
      <c r="E60" s="6">
        <f>IFERROR(__xludf.DUMMYFUNCTION("""COMPUTED_VALUE"""),733.85)</f>
        <v>733.85</v>
      </c>
      <c r="F60" s="6">
        <f>IFERROR(__xludf.DUMMYFUNCTION("""COMPUTED_VALUE"""),3190114.0)</f>
        <v>3190114</v>
      </c>
    </row>
    <row r="61">
      <c r="A61" s="7">
        <f>IFERROR(__xludf.DUMMYFUNCTION("""COMPUTED_VALUE"""),45709.64583333333)</f>
        <v>45709.64583</v>
      </c>
      <c r="B61" s="6">
        <f>IFERROR(__xludf.DUMMYFUNCTION("""COMPUTED_VALUE"""),731.0)</f>
        <v>731</v>
      </c>
      <c r="C61" s="6">
        <f>IFERROR(__xludf.DUMMYFUNCTION("""COMPUTED_VALUE"""),764.0)</f>
        <v>764</v>
      </c>
      <c r="D61" s="6">
        <f>IFERROR(__xludf.DUMMYFUNCTION("""COMPUTED_VALUE"""),711.2)</f>
        <v>711.2</v>
      </c>
      <c r="E61" s="6">
        <f>IFERROR(__xludf.DUMMYFUNCTION("""COMPUTED_VALUE"""),742.55)</f>
        <v>742.55</v>
      </c>
      <c r="F61" s="6">
        <f>IFERROR(__xludf.DUMMYFUNCTION("""COMPUTED_VALUE"""),5426858.0)</f>
        <v>5426858</v>
      </c>
    </row>
    <row r="62">
      <c r="A62" s="7">
        <f>IFERROR(__xludf.DUMMYFUNCTION("""COMPUTED_VALUE"""),45716.64583333333)</f>
        <v>45716.64583</v>
      </c>
      <c r="B62" s="6">
        <f>IFERROR(__xludf.DUMMYFUNCTION("""COMPUTED_VALUE"""),740.0)</f>
        <v>740</v>
      </c>
      <c r="C62" s="6">
        <f>IFERROR(__xludf.DUMMYFUNCTION("""COMPUTED_VALUE"""),741.0)</f>
        <v>741</v>
      </c>
      <c r="D62" s="6">
        <f>IFERROR(__xludf.DUMMYFUNCTION("""COMPUTED_VALUE"""),664.45)</f>
        <v>664.45</v>
      </c>
      <c r="E62" s="6">
        <f>IFERROR(__xludf.DUMMYFUNCTION("""COMPUTED_VALUE"""),671.75)</f>
        <v>671.75</v>
      </c>
      <c r="F62" s="6">
        <f>IFERROR(__xludf.DUMMYFUNCTION("""COMPUTED_VALUE"""),5379630.0)</f>
        <v>5379630</v>
      </c>
    </row>
    <row r="63">
      <c r="A63" s="7">
        <f>IFERROR(__xludf.DUMMYFUNCTION("""COMPUTED_VALUE"""),45723.64583333333)</f>
        <v>45723.64583</v>
      </c>
      <c r="B63" s="6">
        <f>IFERROR(__xludf.DUMMYFUNCTION("""COMPUTED_VALUE"""),675.1)</f>
        <v>675.1</v>
      </c>
      <c r="C63" s="6">
        <f>IFERROR(__xludf.DUMMYFUNCTION("""COMPUTED_VALUE"""),684.4)</f>
        <v>684.4</v>
      </c>
      <c r="D63" s="6">
        <f>IFERROR(__xludf.DUMMYFUNCTION("""COMPUTED_VALUE"""),634.55)</f>
        <v>634.55</v>
      </c>
      <c r="E63" s="6">
        <f>IFERROR(__xludf.DUMMYFUNCTION("""COMPUTED_VALUE"""),671.55)</f>
        <v>671.55</v>
      </c>
      <c r="F63" s="6">
        <f>IFERROR(__xludf.DUMMYFUNCTION("""COMPUTED_VALUE"""),8511107.0)</f>
        <v>8511107</v>
      </c>
    </row>
    <row r="64">
      <c r="A64" s="7">
        <f>IFERROR(__xludf.DUMMYFUNCTION("""COMPUTED_VALUE"""),45729.64583333333)</f>
        <v>45729.64583</v>
      </c>
      <c r="B64" s="6">
        <f>IFERROR(__xludf.DUMMYFUNCTION("""COMPUTED_VALUE"""),674.45)</f>
        <v>674.45</v>
      </c>
      <c r="C64" s="6">
        <f>IFERROR(__xludf.DUMMYFUNCTION("""COMPUTED_VALUE"""),676.0)</f>
        <v>676</v>
      </c>
      <c r="D64" s="6">
        <f>IFERROR(__xludf.DUMMYFUNCTION("""COMPUTED_VALUE"""),630.2)</f>
        <v>630.2</v>
      </c>
      <c r="E64" s="6">
        <f>IFERROR(__xludf.DUMMYFUNCTION("""COMPUTED_VALUE"""),636.8)</f>
        <v>636.8</v>
      </c>
      <c r="F64" s="6">
        <f>IFERROR(__xludf.DUMMYFUNCTION("""COMPUTED_VALUE"""),5296119.0)</f>
        <v>5296119</v>
      </c>
    </row>
    <row r="65">
      <c r="A65" s="7">
        <f>IFERROR(__xludf.DUMMYFUNCTION("""COMPUTED_VALUE"""),45737.64583333333)</f>
        <v>45737.64583</v>
      </c>
      <c r="B65" s="6">
        <f>IFERROR(__xludf.DUMMYFUNCTION("""COMPUTED_VALUE"""),632.0)</f>
        <v>632</v>
      </c>
      <c r="C65" s="6">
        <f>IFERROR(__xludf.DUMMYFUNCTION("""COMPUTED_VALUE"""),706.3)</f>
        <v>706.3</v>
      </c>
      <c r="D65" s="6">
        <f>IFERROR(__xludf.DUMMYFUNCTION("""COMPUTED_VALUE"""),631.65)</f>
        <v>631.65</v>
      </c>
      <c r="E65" s="6">
        <f>IFERROR(__xludf.DUMMYFUNCTION("""COMPUTED_VALUE"""),685.75)</f>
        <v>685.75</v>
      </c>
      <c r="F65" s="6">
        <f>IFERROR(__xludf.DUMMYFUNCTION("""COMPUTED_VALUE"""),9062648.0)</f>
        <v>9062648</v>
      </c>
    </row>
    <row r="66">
      <c r="A66" s="7">
        <f>IFERROR(__xludf.DUMMYFUNCTION("""COMPUTED_VALUE"""),45744.64583333333)</f>
        <v>45744.64583</v>
      </c>
      <c r="B66" s="6">
        <f>IFERROR(__xludf.DUMMYFUNCTION("""COMPUTED_VALUE"""),689.95)</f>
        <v>689.95</v>
      </c>
      <c r="C66" s="6">
        <f>IFERROR(__xludf.DUMMYFUNCTION("""COMPUTED_VALUE"""),728.75)</f>
        <v>728.75</v>
      </c>
      <c r="D66" s="6">
        <f>IFERROR(__xludf.DUMMYFUNCTION("""COMPUTED_VALUE"""),673.55)</f>
        <v>673.55</v>
      </c>
      <c r="E66" s="6">
        <f>IFERROR(__xludf.DUMMYFUNCTION("""COMPUTED_VALUE"""),679.9)</f>
        <v>679.9</v>
      </c>
      <c r="F66" s="6">
        <f>IFERROR(__xludf.DUMMYFUNCTION("""COMPUTED_VALUE"""),1.4480519E7)</f>
        <v>14480519</v>
      </c>
    </row>
    <row r="67">
      <c r="A67" s="7">
        <f>IFERROR(__xludf.DUMMYFUNCTION("""COMPUTED_VALUE"""),45751.64583333333)</f>
        <v>45751.64583</v>
      </c>
      <c r="B67" s="6">
        <f>IFERROR(__xludf.DUMMYFUNCTION("""COMPUTED_VALUE"""),677.9)</f>
        <v>677.9</v>
      </c>
      <c r="C67" s="6">
        <f>IFERROR(__xludf.DUMMYFUNCTION("""COMPUTED_VALUE"""),691.0)</f>
        <v>691</v>
      </c>
      <c r="D67" s="6">
        <f>IFERROR(__xludf.DUMMYFUNCTION("""COMPUTED_VALUE"""),642.0)</f>
        <v>642</v>
      </c>
      <c r="E67" s="6">
        <f>IFERROR(__xludf.DUMMYFUNCTION("""COMPUTED_VALUE"""),648.7)</f>
        <v>648.7</v>
      </c>
      <c r="F67" s="6">
        <f>IFERROR(__xludf.DUMMYFUNCTION("""COMPUTED_VALUE"""),5729051.0)</f>
        <v>5729051</v>
      </c>
    </row>
    <row r="68">
      <c r="A68" s="7">
        <f>IFERROR(__xludf.DUMMYFUNCTION("""COMPUTED_VALUE"""),45758.64583333333)</f>
        <v>45758.64583</v>
      </c>
      <c r="B68" s="6">
        <f>IFERROR(__xludf.DUMMYFUNCTION("""COMPUTED_VALUE"""),602.0)</f>
        <v>602</v>
      </c>
      <c r="C68" s="6">
        <f>IFERROR(__xludf.DUMMYFUNCTION("""COMPUTED_VALUE"""),634.0)</f>
        <v>634</v>
      </c>
      <c r="D68" s="6">
        <f>IFERROR(__xludf.DUMMYFUNCTION("""COMPUTED_VALUE"""),597.0)</f>
        <v>597</v>
      </c>
      <c r="E68" s="6">
        <f>IFERROR(__xludf.DUMMYFUNCTION("""COMPUTED_VALUE"""),632.05)</f>
        <v>632.05</v>
      </c>
      <c r="F68" s="6">
        <f>IFERROR(__xludf.DUMMYFUNCTION("""COMPUTED_VALUE"""),6566136.0)</f>
        <v>6566136</v>
      </c>
    </row>
    <row r="69">
      <c r="A69" s="7">
        <f>IFERROR(__xludf.DUMMYFUNCTION("""COMPUTED_VALUE"""),45764.64583333333)</f>
        <v>45764.64583</v>
      </c>
      <c r="B69" s="6">
        <f>IFERROR(__xludf.DUMMYFUNCTION("""COMPUTED_VALUE"""),637.85)</f>
        <v>637.85</v>
      </c>
      <c r="C69" s="6">
        <f>IFERROR(__xludf.DUMMYFUNCTION("""COMPUTED_VALUE"""),656.8)</f>
        <v>656.8</v>
      </c>
      <c r="D69" s="6">
        <f>IFERROR(__xludf.DUMMYFUNCTION("""COMPUTED_VALUE"""),637.0)</f>
        <v>637</v>
      </c>
      <c r="E69" s="6">
        <f>IFERROR(__xludf.DUMMYFUNCTION("""COMPUTED_VALUE"""),651.5)</f>
        <v>651.5</v>
      </c>
      <c r="F69" s="6">
        <f>IFERROR(__xludf.DUMMYFUNCTION("""COMPUTED_VALUE"""),2910802.0)</f>
        <v>2910802</v>
      </c>
    </row>
    <row r="70">
      <c r="A70" s="7">
        <f>IFERROR(__xludf.DUMMYFUNCTION("""COMPUTED_VALUE"""),45772.64583333333)</f>
        <v>45772.64583</v>
      </c>
      <c r="B70" s="6">
        <f>IFERROR(__xludf.DUMMYFUNCTION("""COMPUTED_VALUE"""),655.0)</f>
        <v>655</v>
      </c>
      <c r="C70" s="6">
        <f>IFERROR(__xludf.DUMMYFUNCTION("""COMPUTED_VALUE"""),731.75)</f>
        <v>731.75</v>
      </c>
      <c r="D70" s="6">
        <f>IFERROR(__xludf.DUMMYFUNCTION("""COMPUTED_VALUE"""),655.0)</f>
        <v>655</v>
      </c>
      <c r="E70" s="6">
        <f>IFERROR(__xludf.DUMMYFUNCTION("""COMPUTED_VALUE"""),693.2)</f>
        <v>693.2</v>
      </c>
      <c r="F70" s="6">
        <f>IFERROR(__xludf.DUMMYFUNCTION("""COMPUTED_VALUE"""),1.1855549E7)</f>
        <v>11855549</v>
      </c>
    </row>
    <row r="71">
      <c r="A71" s="7">
        <f>IFERROR(__xludf.DUMMYFUNCTION("""COMPUTED_VALUE"""),45779.64583333333)</f>
        <v>45779.64583</v>
      </c>
      <c r="B71" s="6">
        <f>IFERROR(__xludf.DUMMYFUNCTION("""COMPUTED_VALUE"""),693.35)</f>
        <v>693.35</v>
      </c>
      <c r="C71" s="6">
        <f>IFERROR(__xludf.DUMMYFUNCTION("""COMPUTED_VALUE"""),712.35)</f>
        <v>712.35</v>
      </c>
      <c r="D71" s="6">
        <f>IFERROR(__xludf.DUMMYFUNCTION("""COMPUTED_VALUE"""),648.0)</f>
        <v>648</v>
      </c>
      <c r="E71" s="6">
        <f>IFERROR(__xludf.DUMMYFUNCTION("""COMPUTED_VALUE"""),647.1)</f>
        <v>647.1</v>
      </c>
      <c r="F71" s="6">
        <f>IFERROR(__xludf.DUMMYFUNCTION("""COMPUTED_VALUE"""),5.2062818E7)</f>
        <v>52062818</v>
      </c>
    </row>
    <row r="72">
      <c r="A72" s="7">
        <f>IFERROR(__xludf.DUMMYFUNCTION("""COMPUTED_VALUE"""),45786.64583333333)</f>
        <v>45786.64583</v>
      </c>
      <c r="B72" s="6">
        <f>IFERROR(__xludf.DUMMYFUNCTION("""COMPUTED_VALUE"""),649.0)</f>
        <v>649</v>
      </c>
      <c r="C72" s="6">
        <f>IFERROR(__xludf.DUMMYFUNCTION("""COMPUTED_VALUE"""),672.8)</f>
        <v>672.8</v>
      </c>
      <c r="D72" s="6">
        <f>IFERROR(__xludf.DUMMYFUNCTION("""COMPUTED_VALUE"""),639.1)</f>
        <v>639.1</v>
      </c>
      <c r="E72" s="6">
        <f>IFERROR(__xludf.DUMMYFUNCTION("""COMPUTED_VALUE"""),665.95)</f>
        <v>665.95</v>
      </c>
      <c r="F72" s="6">
        <f>IFERROR(__xludf.DUMMYFUNCTION("""COMPUTED_VALUE"""),9094284.0)</f>
        <v>9094284</v>
      </c>
    </row>
    <row r="73">
      <c r="A73" s="7">
        <f>IFERROR(__xludf.DUMMYFUNCTION("""COMPUTED_VALUE"""),45793.64583333333)</f>
        <v>45793.64583</v>
      </c>
      <c r="B73" s="6">
        <f>IFERROR(__xludf.DUMMYFUNCTION("""COMPUTED_VALUE"""),675.95)</f>
        <v>675.95</v>
      </c>
      <c r="C73" s="6">
        <f>IFERROR(__xludf.DUMMYFUNCTION("""COMPUTED_VALUE"""),754.2)</f>
        <v>754.2</v>
      </c>
      <c r="D73" s="6">
        <f>IFERROR(__xludf.DUMMYFUNCTION("""COMPUTED_VALUE"""),671.35)</f>
        <v>671.35</v>
      </c>
      <c r="E73" s="6">
        <f>IFERROR(__xludf.DUMMYFUNCTION("""COMPUTED_VALUE"""),750.9)</f>
        <v>750.9</v>
      </c>
      <c r="F73" s="6">
        <f>IFERROR(__xludf.DUMMYFUNCTION("""COMPUTED_VALUE"""),1.5527015E7)</f>
        <v>15527015</v>
      </c>
    </row>
    <row r="74">
      <c r="A74" s="7">
        <f>IFERROR(__xludf.DUMMYFUNCTION("""COMPUTED_VALUE"""),45800.64583333333)</f>
        <v>45800.64583</v>
      </c>
      <c r="B74" s="6">
        <f>IFERROR(__xludf.DUMMYFUNCTION("""COMPUTED_VALUE"""),758.45)</f>
        <v>758.45</v>
      </c>
      <c r="C74" s="6">
        <f>IFERROR(__xludf.DUMMYFUNCTION("""COMPUTED_VALUE"""),777.4)</f>
        <v>777.4</v>
      </c>
      <c r="D74" s="6">
        <f>IFERROR(__xludf.DUMMYFUNCTION("""COMPUTED_VALUE"""),737.5)</f>
        <v>737.5</v>
      </c>
      <c r="E74" s="6">
        <f>IFERROR(__xludf.DUMMYFUNCTION("""COMPUTED_VALUE"""),764.75)</f>
        <v>764.75</v>
      </c>
      <c r="F74" s="6">
        <f>IFERROR(__xludf.DUMMYFUNCTION("""COMPUTED_VALUE"""),1.0317363E7)</f>
        <v>10317363</v>
      </c>
    </row>
    <row r="75">
      <c r="A75" s="7">
        <f>IFERROR(__xludf.DUMMYFUNCTION("""COMPUTED_VALUE"""),45807.64583333333)</f>
        <v>45807.64583</v>
      </c>
      <c r="B75" s="6">
        <f>IFERROR(__xludf.DUMMYFUNCTION("""COMPUTED_VALUE"""),766.0)</f>
        <v>766</v>
      </c>
      <c r="C75" s="6">
        <f>IFERROR(__xludf.DUMMYFUNCTION("""COMPUTED_VALUE"""),790.6)</f>
        <v>790.6</v>
      </c>
      <c r="D75" s="6">
        <f>IFERROR(__xludf.DUMMYFUNCTION("""COMPUTED_VALUE"""),754.0)</f>
        <v>754</v>
      </c>
      <c r="E75" s="6">
        <f>IFERROR(__xludf.DUMMYFUNCTION("""COMPUTED_VALUE"""),773.6)</f>
        <v>773.6</v>
      </c>
      <c r="F75" s="6">
        <f>IFERROR(__xludf.DUMMYFUNCTION("""COMPUTED_VALUE"""),1.584799E7)</f>
        <v>15847990</v>
      </c>
    </row>
    <row r="76">
      <c r="A76" s="7">
        <f>IFERROR(__xludf.DUMMYFUNCTION("""COMPUTED_VALUE"""),45814.64583333333)</f>
        <v>45814.64583</v>
      </c>
      <c r="B76" s="6">
        <f>IFERROR(__xludf.DUMMYFUNCTION("""COMPUTED_VALUE"""),773.0)</f>
        <v>773</v>
      </c>
      <c r="C76" s="6">
        <f>IFERROR(__xludf.DUMMYFUNCTION("""COMPUTED_VALUE"""),779.3)</f>
        <v>779.3</v>
      </c>
      <c r="D76" s="6">
        <f>IFERROR(__xludf.DUMMYFUNCTION("""COMPUTED_VALUE"""),751.4)</f>
        <v>751.4</v>
      </c>
      <c r="E76" s="6">
        <f>IFERROR(__xludf.DUMMYFUNCTION("""COMPUTED_VALUE"""),758.45)</f>
        <v>758.45</v>
      </c>
      <c r="F76" s="6">
        <f>IFERROR(__xludf.DUMMYFUNCTION("""COMPUTED_VALUE"""),1.4566489E7)</f>
        <v>14566489</v>
      </c>
    </row>
    <row r="77">
      <c r="A77" s="7">
        <f>IFERROR(__xludf.DUMMYFUNCTION("""COMPUTED_VALUE"""),45821.64583333333)</f>
        <v>45821.64583</v>
      </c>
      <c r="B77" s="6">
        <f>IFERROR(__xludf.DUMMYFUNCTION("""COMPUTED_VALUE"""),760.9)</f>
        <v>760.9</v>
      </c>
      <c r="C77" s="6">
        <f>IFERROR(__xludf.DUMMYFUNCTION("""COMPUTED_VALUE"""),797.0)</f>
        <v>797</v>
      </c>
      <c r="D77" s="6">
        <f>IFERROR(__xludf.DUMMYFUNCTION("""COMPUTED_VALUE"""),740.1)</f>
        <v>740.1</v>
      </c>
      <c r="E77" s="6">
        <f>IFERROR(__xludf.DUMMYFUNCTION("""COMPUTED_VALUE"""),753.5)</f>
        <v>753.5</v>
      </c>
      <c r="F77" s="6">
        <f>IFERROR(__xludf.DUMMYFUNCTION("""COMPUTED_VALUE"""),1.0112202E7)</f>
        <v>10112202</v>
      </c>
    </row>
    <row r="78">
      <c r="A78" s="7">
        <f>IFERROR(__xludf.DUMMYFUNCTION("""COMPUTED_VALUE"""),45828.64583333333)</f>
        <v>45828.64583</v>
      </c>
      <c r="B78" s="6">
        <f>IFERROR(__xludf.DUMMYFUNCTION("""COMPUTED_VALUE"""),745.0)</f>
        <v>745</v>
      </c>
      <c r="C78" s="6">
        <f>IFERROR(__xludf.DUMMYFUNCTION("""COMPUTED_VALUE"""),755.0)</f>
        <v>755</v>
      </c>
      <c r="D78" s="6">
        <f>IFERROR(__xludf.DUMMYFUNCTION("""COMPUTED_VALUE"""),696.3)</f>
        <v>696.3</v>
      </c>
      <c r="E78" s="6">
        <f>IFERROR(__xludf.DUMMYFUNCTION("""COMPUTED_VALUE"""),706.65)</f>
        <v>706.65</v>
      </c>
      <c r="F78" s="6">
        <f>IFERROR(__xludf.DUMMYFUNCTION("""COMPUTED_VALUE"""),1.2202198E7)</f>
        <v>12202198</v>
      </c>
    </row>
    <row r="79">
      <c r="A79" s="7">
        <f>IFERROR(__xludf.DUMMYFUNCTION("""COMPUTED_VALUE"""),45835.64583333333)</f>
        <v>45835.64583</v>
      </c>
      <c r="B79" s="6">
        <f>IFERROR(__xludf.DUMMYFUNCTION("""COMPUTED_VALUE"""),701.0)</f>
        <v>701</v>
      </c>
      <c r="C79" s="6">
        <f>IFERROR(__xludf.DUMMYFUNCTION("""COMPUTED_VALUE"""),727.1)</f>
        <v>727.1</v>
      </c>
      <c r="D79" s="6">
        <f>IFERROR(__xludf.DUMMYFUNCTION("""COMPUTED_VALUE"""),696.0)</f>
        <v>696</v>
      </c>
      <c r="E79" s="6">
        <f>IFERROR(__xludf.DUMMYFUNCTION("""COMPUTED_VALUE"""),715.2)</f>
        <v>715.2</v>
      </c>
      <c r="F79" s="6">
        <f>IFERROR(__xludf.DUMMYFUNCTION("""COMPUTED_VALUE"""),1.0065267E7)</f>
        <v>10065267</v>
      </c>
    </row>
    <row r="80">
      <c r="A80" s="7">
        <f>IFERROR(__xludf.DUMMYFUNCTION("""COMPUTED_VALUE"""),45842.64583333333)</f>
        <v>45842.64583</v>
      </c>
      <c r="B80" s="6">
        <f>IFERROR(__xludf.DUMMYFUNCTION("""COMPUTED_VALUE"""),718.8)</f>
        <v>718.8</v>
      </c>
      <c r="C80" s="6">
        <f>IFERROR(__xludf.DUMMYFUNCTION("""COMPUTED_VALUE"""),720.0)</f>
        <v>720</v>
      </c>
      <c r="D80" s="6">
        <f>IFERROR(__xludf.DUMMYFUNCTION("""COMPUTED_VALUE"""),701.6)</f>
        <v>701.6</v>
      </c>
      <c r="E80" s="6">
        <f>IFERROR(__xludf.DUMMYFUNCTION("""COMPUTED_VALUE"""),708.15)</f>
        <v>708.15</v>
      </c>
      <c r="F80" s="6">
        <f>IFERROR(__xludf.DUMMYFUNCTION("""COMPUTED_VALUE"""),5609737.0)</f>
        <v>5609737</v>
      </c>
    </row>
    <row r="81">
      <c r="A81" s="7">
        <f>IFERROR(__xludf.DUMMYFUNCTION("""COMPUTED_VALUE"""),45849.64583333333)</f>
        <v>45849.64583</v>
      </c>
      <c r="B81" s="6">
        <f>IFERROR(__xludf.DUMMYFUNCTION("""COMPUTED_VALUE"""),708.15)</f>
        <v>708.15</v>
      </c>
      <c r="C81" s="6">
        <f>IFERROR(__xludf.DUMMYFUNCTION("""COMPUTED_VALUE"""),717.5)</f>
        <v>717.5</v>
      </c>
      <c r="D81" s="6">
        <f>IFERROR(__xludf.DUMMYFUNCTION("""COMPUTED_VALUE"""),698.4)</f>
        <v>698.4</v>
      </c>
      <c r="E81" s="6">
        <f>IFERROR(__xludf.DUMMYFUNCTION("""COMPUTED_VALUE"""),708.8)</f>
        <v>708.8</v>
      </c>
      <c r="F81" s="6">
        <f>IFERROR(__xludf.DUMMYFUNCTION("""COMPUTED_VALUE"""),5011157.0)</f>
        <v>5011157</v>
      </c>
    </row>
    <row r="82">
      <c r="A82" s="7">
        <f>IFERROR(__xludf.DUMMYFUNCTION("""COMPUTED_VALUE"""),45856.64583333333)</f>
        <v>45856.64583</v>
      </c>
      <c r="B82" s="6">
        <f>IFERROR(__xludf.DUMMYFUNCTION("""COMPUTED_VALUE"""),708.4)</f>
        <v>708.4</v>
      </c>
      <c r="C82" s="6">
        <f>IFERROR(__xludf.DUMMYFUNCTION("""COMPUTED_VALUE"""),745.4)</f>
        <v>745.4</v>
      </c>
      <c r="D82" s="6">
        <f>IFERROR(__xludf.DUMMYFUNCTION("""COMPUTED_VALUE"""),702.0)</f>
        <v>702</v>
      </c>
      <c r="E82" s="6">
        <f>IFERROR(__xludf.DUMMYFUNCTION("""COMPUTED_VALUE"""),712.5)</f>
        <v>712.5</v>
      </c>
      <c r="F82" s="6">
        <f>IFERROR(__xludf.DUMMYFUNCTION("""COMPUTED_VALUE"""),1.250559E7)</f>
        <v>12505590</v>
      </c>
    </row>
    <row r="83">
      <c r="A83" s="7">
        <f>IFERROR(__xludf.DUMMYFUNCTION("""COMPUTED_VALUE"""),45863.64583333333)</f>
        <v>45863.64583</v>
      </c>
      <c r="B83" s="6">
        <f>IFERROR(__xludf.DUMMYFUNCTION("""COMPUTED_VALUE"""),712.5)</f>
        <v>712.5</v>
      </c>
      <c r="C83" s="6">
        <f>IFERROR(__xludf.DUMMYFUNCTION("""COMPUTED_VALUE"""),722.2)</f>
        <v>722.2</v>
      </c>
      <c r="D83" s="6">
        <f>IFERROR(__xludf.DUMMYFUNCTION("""COMPUTED_VALUE"""),705.45)</f>
        <v>705.45</v>
      </c>
      <c r="E83" s="6">
        <f>IFERROR(__xludf.DUMMYFUNCTION("""COMPUTED_VALUE"""),708.35)</f>
        <v>708.35</v>
      </c>
      <c r="F83" s="6">
        <f>IFERROR(__xludf.DUMMYFUNCTION("""COMPUTED_VALUE"""),4100969.0)</f>
        <v>4100969</v>
      </c>
    </row>
    <row r="84">
      <c r="A84" s="7">
        <f>IFERROR(__xludf.DUMMYFUNCTION("""COMPUTED_VALUE"""),45870.64583333333)</f>
        <v>45870.64583</v>
      </c>
      <c r="B84" s="6">
        <f>IFERROR(__xludf.DUMMYFUNCTION("""COMPUTED_VALUE"""),705.0)</f>
        <v>705</v>
      </c>
      <c r="C84" s="6">
        <f>IFERROR(__xludf.DUMMYFUNCTION("""COMPUTED_VALUE"""),714.9)</f>
        <v>714.9</v>
      </c>
      <c r="D84" s="6">
        <f>IFERROR(__xludf.DUMMYFUNCTION("""COMPUTED_VALUE"""),692.0)</f>
        <v>692</v>
      </c>
      <c r="E84" s="6">
        <f>IFERROR(__xludf.DUMMYFUNCTION("""COMPUTED_VALUE"""),693.9)</f>
        <v>693.9</v>
      </c>
      <c r="F84" s="6">
        <f>IFERROR(__xludf.DUMMYFUNCTION("""COMPUTED_VALUE"""),3999594.0)</f>
        <v>3999594</v>
      </c>
    </row>
    <row r="85">
      <c r="A85" s="7">
        <f>IFERROR(__xludf.DUMMYFUNCTION("""COMPUTED_VALUE"""),45877.64583333333)</f>
        <v>45877.64583</v>
      </c>
      <c r="B85" s="6">
        <f>IFERROR(__xludf.DUMMYFUNCTION("""COMPUTED_VALUE"""),693.6)</f>
        <v>693.6</v>
      </c>
      <c r="C85" s="6">
        <f>IFERROR(__xludf.DUMMYFUNCTION("""COMPUTED_VALUE"""),697.85)</f>
        <v>697.85</v>
      </c>
      <c r="D85" s="6">
        <f>IFERROR(__xludf.DUMMYFUNCTION("""COMPUTED_VALUE"""),652.5)</f>
        <v>652.5</v>
      </c>
      <c r="E85" s="6">
        <f>IFERROR(__xludf.DUMMYFUNCTION("""COMPUTED_VALUE"""),659.2)</f>
        <v>659.2</v>
      </c>
      <c r="F85" s="6">
        <f>IFERROR(__xludf.DUMMYFUNCTION("""COMPUTED_VALUE"""),4226809.0)</f>
        <v>4226809</v>
      </c>
    </row>
    <row r="86">
      <c r="A86" s="7">
        <f>IFERROR(__xludf.DUMMYFUNCTION("""COMPUTED_VALUE"""),45883.64583333333)</f>
        <v>45883.64583</v>
      </c>
      <c r="B86" s="6">
        <f>IFERROR(__xludf.DUMMYFUNCTION("""COMPUTED_VALUE"""),659.2)</f>
        <v>659.2</v>
      </c>
      <c r="C86" s="6">
        <f>IFERROR(__xludf.DUMMYFUNCTION("""COMPUTED_VALUE"""),672.65)</f>
        <v>672.65</v>
      </c>
      <c r="D86" s="6">
        <f>IFERROR(__xludf.DUMMYFUNCTION("""COMPUTED_VALUE"""),653.3)</f>
        <v>653.3</v>
      </c>
      <c r="E86" s="6">
        <f>IFERROR(__xludf.DUMMYFUNCTION("""COMPUTED_VALUE"""),663.35)</f>
        <v>663.35</v>
      </c>
      <c r="F86" s="6">
        <f>IFERROR(__xludf.DUMMYFUNCTION("""COMPUTED_VALUE"""),2183654.0)</f>
        <v>2183654</v>
      </c>
    </row>
    <row r="87">
      <c r="A87" s="7">
        <f>IFERROR(__xludf.DUMMYFUNCTION("""COMPUTED_VALUE"""),45891.64583333333)</f>
        <v>45891.64583</v>
      </c>
      <c r="B87" s="6">
        <f>IFERROR(__xludf.DUMMYFUNCTION("""COMPUTED_VALUE"""),671.0)</f>
        <v>671</v>
      </c>
      <c r="C87" s="6">
        <f>IFERROR(__xludf.DUMMYFUNCTION("""COMPUTED_VALUE"""),694.55)</f>
        <v>694.55</v>
      </c>
      <c r="D87" s="6">
        <f>IFERROR(__xludf.DUMMYFUNCTION("""COMPUTED_VALUE"""),666.35)</f>
        <v>666.35</v>
      </c>
      <c r="E87" s="6">
        <f>IFERROR(__xludf.DUMMYFUNCTION("""COMPUTED_VALUE"""),683.6)</f>
        <v>683.6</v>
      </c>
      <c r="F87" s="6">
        <f>IFERROR(__xludf.DUMMYFUNCTION("""COMPUTED_VALUE"""),2537457.0)</f>
        <v>2537457</v>
      </c>
    </row>
    <row r="88">
      <c r="A88" s="7">
        <f>IFERROR(__xludf.DUMMYFUNCTION("""COMPUTED_VALUE"""),45895.64583333333)</f>
        <v>45895.64583</v>
      </c>
      <c r="B88" s="6">
        <f>IFERROR(__xludf.DUMMYFUNCTION("""COMPUTED_VALUE"""),690.0)</f>
        <v>690</v>
      </c>
      <c r="C88" s="6">
        <f>IFERROR(__xludf.DUMMYFUNCTION("""COMPUTED_VALUE"""),693.85)</f>
        <v>693.85</v>
      </c>
      <c r="D88" s="6">
        <f>IFERROR(__xludf.DUMMYFUNCTION("""COMPUTED_VALUE"""),676.35)</f>
        <v>676.35</v>
      </c>
      <c r="E88" s="6">
        <f>IFERROR(__xludf.DUMMYFUNCTION("""COMPUTED_VALUE"""),679.15)</f>
        <v>679.15</v>
      </c>
      <c r="F88" s="6">
        <f>IFERROR(__xludf.DUMMYFUNCTION("""COMPUTED_VALUE"""),9656214.0)</f>
        <v>9656214</v>
      </c>
    </row>
  </sheetData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IFERROR(__xludf.DUMMYFUNCTION("GOOGLEFINANCE(""NSE:TCS"",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IFERROR(__xludf.DUMMYFUNCTION("""COMPUTED_VALUE"""),3394.0)</f>
        <v>3394</v>
      </c>
      <c r="C2" s="6">
        <f>IFERROR(__xludf.DUMMYFUNCTION("""COMPUTED_VALUE"""),3417.4)</f>
        <v>3417.4</v>
      </c>
      <c r="D2" s="6">
        <f>IFERROR(__xludf.DUMMYFUNCTION("""COMPUTED_VALUE"""),3343.65)</f>
        <v>3343.65</v>
      </c>
      <c r="E2" s="6">
        <f>IFERROR(__xludf.DUMMYFUNCTION("""COMPUTED_VALUE"""),3379.2)</f>
        <v>3379.2</v>
      </c>
      <c r="F2" s="6">
        <f>IFERROR(__xludf.DUMMYFUNCTION("""COMPUTED_VALUE"""),7865804.0)</f>
        <v>7865804</v>
      </c>
    </row>
    <row r="3">
      <c r="A3" s="7">
        <f>IFERROR(__xludf.DUMMYFUNCTION("""COMPUTED_VALUE"""),45177.64583333333)</f>
        <v>45177.64583</v>
      </c>
      <c r="B3" s="6">
        <f>IFERROR(__xludf.DUMMYFUNCTION("""COMPUTED_VALUE"""),3378.0)</f>
        <v>3378</v>
      </c>
      <c r="C3" s="6">
        <f>IFERROR(__xludf.DUMMYFUNCTION("""COMPUTED_VALUE"""),3465.0)</f>
        <v>3465</v>
      </c>
      <c r="D3" s="6">
        <f>IFERROR(__xludf.DUMMYFUNCTION("""COMPUTED_VALUE"""),3370.05)</f>
        <v>3370.05</v>
      </c>
      <c r="E3" s="6">
        <f>IFERROR(__xludf.DUMMYFUNCTION("""COMPUTED_VALUE"""),3441.9)</f>
        <v>3441.9</v>
      </c>
      <c r="F3" s="6">
        <f>IFERROR(__xludf.DUMMYFUNCTION("""COMPUTED_VALUE"""),8049001.0)</f>
        <v>8049001</v>
      </c>
    </row>
    <row r="4">
      <c r="A4" s="7">
        <f>IFERROR(__xludf.DUMMYFUNCTION("""COMPUTED_VALUE"""),45184.64583333333)</f>
        <v>45184.64583</v>
      </c>
      <c r="B4" s="6">
        <f>IFERROR(__xludf.DUMMYFUNCTION("""COMPUTED_VALUE"""),3462.0)</f>
        <v>3462</v>
      </c>
      <c r="C4" s="6">
        <f>IFERROR(__xludf.DUMMYFUNCTION("""COMPUTED_VALUE"""),3607.35)</f>
        <v>3607.35</v>
      </c>
      <c r="D4" s="6">
        <f>IFERROR(__xludf.DUMMYFUNCTION("""COMPUTED_VALUE"""),3445.0)</f>
        <v>3445</v>
      </c>
      <c r="E4" s="6">
        <f>IFERROR(__xludf.DUMMYFUNCTION("""COMPUTED_VALUE"""),3598.3)</f>
        <v>3598.3</v>
      </c>
      <c r="F4" s="6">
        <f>IFERROR(__xludf.DUMMYFUNCTION("""COMPUTED_VALUE"""),1.3572167E7)</f>
        <v>13572167</v>
      </c>
    </row>
    <row r="5">
      <c r="A5" s="7">
        <f>IFERROR(__xludf.DUMMYFUNCTION("""COMPUTED_VALUE"""),45191.64583333333)</f>
        <v>45191.64583</v>
      </c>
      <c r="B5" s="6">
        <f>IFERROR(__xludf.DUMMYFUNCTION("""COMPUTED_VALUE"""),3580.05)</f>
        <v>3580.05</v>
      </c>
      <c r="C5" s="6">
        <f>IFERROR(__xludf.DUMMYFUNCTION("""COMPUTED_VALUE"""),3633.75)</f>
        <v>3633.75</v>
      </c>
      <c r="D5" s="6">
        <f>IFERROR(__xludf.DUMMYFUNCTION("""COMPUTED_VALUE"""),3528.0)</f>
        <v>3528</v>
      </c>
      <c r="E5" s="6">
        <f>IFERROR(__xludf.DUMMYFUNCTION("""COMPUTED_VALUE"""),3603.65)</f>
        <v>3603.65</v>
      </c>
      <c r="F5" s="6">
        <f>IFERROR(__xludf.DUMMYFUNCTION("""COMPUTED_VALUE"""),7038305.0)</f>
        <v>7038305</v>
      </c>
    </row>
    <row r="6">
      <c r="A6" s="7">
        <f>IFERROR(__xludf.DUMMYFUNCTION("""COMPUTED_VALUE"""),45198.64583333333)</f>
        <v>45198.64583</v>
      </c>
      <c r="B6" s="6">
        <f>IFERROR(__xludf.DUMMYFUNCTION("""COMPUTED_VALUE"""),3602.5)</f>
        <v>3602.5</v>
      </c>
      <c r="C6" s="6">
        <f>IFERROR(__xludf.DUMMYFUNCTION("""COMPUTED_VALUE"""),3620.0)</f>
        <v>3620</v>
      </c>
      <c r="D6" s="6">
        <f>IFERROR(__xludf.DUMMYFUNCTION("""COMPUTED_VALUE"""),3505.55)</f>
        <v>3505.55</v>
      </c>
      <c r="E6" s="6">
        <f>IFERROR(__xludf.DUMMYFUNCTION("""COMPUTED_VALUE"""),3528.6)</f>
        <v>3528.6</v>
      </c>
      <c r="F6" s="6">
        <f>IFERROR(__xludf.DUMMYFUNCTION("""COMPUTED_VALUE"""),8505518.0)</f>
        <v>8505518</v>
      </c>
    </row>
    <row r="7">
      <c r="A7" s="7">
        <f>IFERROR(__xludf.DUMMYFUNCTION("""COMPUTED_VALUE"""),45205.64583333333)</f>
        <v>45205.64583</v>
      </c>
      <c r="B7" s="6">
        <f>IFERROR(__xludf.DUMMYFUNCTION("""COMPUTED_VALUE"""),3534.2)</f>
        <v>3534.2</v>
      </c>
      <c r="C7" s="6">
        <f>IFERROR(__xludf.DUMMYFUNCTION("""COMPUTED_VALUE"""),3634.95)</f>
        <v>3634.95</v>
      </c>
      <c r="D7" s="6">
        <f>IFERROR(__xludf.DUMMYFUNCTION("""COMPUTED_VALUE"""),3477.3)</f>
        <v>3477.3</v>
      </c>
      <c r="E7" s="6">
        <f>IFERROR(__xludf.DUMMYFUNCTION("""COMPUTED_VALUE"""),3621.4)</f>
        <v>3621.4</v>
      </c>
      <c r="F7" s="6">
        <f>IFERROR(__xludf.DUMMYFUNCTION("""COMPUTED_VALUE"""),8802745.0)</f>
        <v>8802745</v>
      </c>
    </row>
    <row r="8">
      <c r="A8" s="7">
        <f>IFERROR(__xludf.DUMMYFUNCTION("""COMPUTED_VALUE"""),45212.64583333333)</f>
        <v>45212.64583</v>
      </c>
      <c r="B8" s="6">
        <f>IFERROR(__xludf.DUMMYFUNCTION("""COMPUTED_VALUE"""),3645.05)</f>
        <v>3645.05</v>
      </c>
      <c r="C8" s="6">
        <f>IFERROR(__xludf.DUMMYFUNCTION("""COMPUTED_VALUE"""),3679.0)</f>
        <v>3679</v>
      </c>
      <c r="D8" s="6">
        <f>IFERROR(__xludf.DUMMYFUNCTION("""COMPUTED_VALUE"""),3525.0)</f>
        <v>3525</v>
      </c>
      <c r="E8" s="6">
        <f>IFERROR(__xludf.DUMMYFUNCTION("""COMPUTED_VALUE"""),3570.85)</f>
        <v>3570.85</v>
      </c>
      <c r="F8" s="6">
        <f>IFERROR(__xludf.DUMMYFUNCTION("""COMPUTED_VALUE"""),1.5639277E7)</f>
        <v>15639277</v>
      </c>
    </row>
    <row r="9">
      <c r="A9" s="7">
        <f>IFERROR(__xludf.DUMMYFUNCTION("""COMPUTED_VALUE"""),45219.64583333333)</f>
        <v>45219.64583</v>
      </c>
      <c r="B9" s="6">
        <f>IFERROR(__xludf.DUMMYFUNCTION("""COMPUTED_VALUE"""),3566.0)</f>
        <v>3566</v>
      </c>
      <c r="C9" s="6">
        <f>IFERROR(__xludf.DUMMYFUNCTION("""COMPUTED_VALUE"""),3574.65)</f>
        <v>3574.65</v>
      </c>
      <c r="D9" s="6">
        <f>IFERROR(__xludf.DUMMYFUNCTION("""COMPUTED_VALUE"""),3444.05)</f>
        <v>3444.05</v>
      </c>
      <c r="E9" s="6">
        <f>IFERROR(__xludf.DUMMYFUNCTION("""COMPUTED_VALUE"""),3494.55)</f>
        <v>3494.55</v>
      </c>
      <c r="F9" s="6">
        <f>IFERROR(__xludf.DUMMYFUNCTION("""COMPUTED_VALUE"""),7747170.0)</f>
        <v>7747170</v>
      </c>
    </row>
    <row r="10">
      <c r="A10" s="7">
        <f>IFERROR(__xludf.DUMMYFUNCTION("""COMPUTED_VALUE"""),45226.64583333333)</f>
        <v>45226.64583</v>
      </c>
      <c r="B10" s="6">
        <f>IFERROR(__xludf.DUMMYFUNCTION("""COMPUTED_VALUE"""),3473.0)</f>
        <v>3473</v>
      </c>
      <c r="C10" s="6">
        <f>IFERROR(__xludf.DUMMYFUNCTION("""COMPUTED_VALUE"""),3478.95)</f>
        <v>3478.95</v>
      </c>
      <c r="D10" s="6">
        <f>IFERROR(__xludf.DUMMYFUNCTION("""COMPUTED_VALUE"""),3330.0)</f>
        <v>3330</v>
      </c>
      <c r="E10" s="6">
        <f>IFERROR(__xludf.DUMMYFUNCTION("""COMPUTED_VALUE"""),3350.95)</f>
        <v>3350.95</v>
      </c>
      <c r="F10" s="6">
        <f>IFERROR(__xludf.DUMMYFUNCTION("""COMPUTED_VALUE"""),5718131.0)</f>
        <v>5718131</v>
      </c>
    </row>
    <row r="11">
      <c r="A11" s="7">
        <f>IFERROR(__xludf.DUMMYFUNCTION("""COMPUTED_VALUE"""),45233.64583333333)</f>
        <v>45233.64583</v>
      </c>
      <c r="B11" s="6">
        <f>IFERROR(__xludf.DUMMYFUNCTION("""COMPUTED_VALUE"""),3350.0)</f>
        <v>3350</v>
      </c>
      <c r="C11" s="6">
        <f>IFERROR(__xludf.DUMMYFUNCTION("""COMPUTED_VALUE"""),3399.0)</f>
        <v>3399</v>
      </c>
      <c r="D11" s="6">
        <f>IFERROR(__xludf.DUMMYFUNCTION("""COMPUTED_VALUE"""),3311.0)</f>
        <v>3311</v>
      </c>
      <c r="E11" s="6">
        <f>IFERROR(__xludf.DUMMYFUNCTION("""COMPUTED_VALUE"""),3350.9)</f>
        <v>3350.9</v>
      </c>
      <c r="F11" s="6">
        <f>IFERROR(__xludf.DUMMYFUNCTION("""COMPUTED_VALUE"""),6122240.0)</f>
        <v>6122240</v>
      </c>
    </row>
    <row r="12">
      <c r="A12" s="7">
        <f>IFERROR(__xludf.DUMMYFUNCTION("""COMPUTED_VALUE"""),45240.64583333333)</f>
        <v>45240.64583</v>
      </c>
      <c r="B12" s="6">
        <f>IFERROR(__xludf.DUMMYFUNCTION("""COMPUTED_VALUE"""),3375.0)</f>
        <v>3375</v>
      </c>
      <c r="C12" s="6">
        <f>IFERROR(__xludf.DUMMYFUNCTION("""COMPUTED_VALUE"""),3404.15)</f>
        <v>3404.15</v>
      </c>
      <c r="D12" s="6">
        <f>IFERROR(__xludf.DUMMYFUNCTION("""COMPUTED_VALUE"""),3322.35)</f>
        <v>3322.35</v>
      </c>
      <c r="E12" s="6">
        <f>IFERROR(__xludf.DUMMYFUNCTION("""COMPUTED_VALUE"""),3333.45)</f>
        <v>3333.45</v>
      </c>
      <c r="F12" s="6">
        <f>IFERROR(__xludf.DUMMYFUNCTION("""COMPUTED_VALUE"""),6734804.0)</f>
        <v>6734804</v>
      </c>
    </row>
    <row r="13">
      <c r="A13" s="7">
        <f>IFERROR(__xludf.DUMMYFUNCTION("""COMPUTED_VALUE"""),45247.64583333333)</f>
        <v>45247.64583</v>
      </c>
      <c r="B13" s="6">
        <f>IFERROR(__xludf.DUMMYFUNCTION("""COMPUTED_VALUE"""),3350.0)</f>
        <v>3350</v>
      </c>
      <c r="C13" s="6">
        <f>IFERROR(__xludf.DUMMYFUNCTION("""COMPUTED_VALUE"""),3529.35)</f>
        <v>3529.35</v>
      </c>
      <c r="D13" s="6">
        <f>IFERROR(__xludf.DUMMYFUNCTION("""COMPUTED_VALUE"""),3327.0)</f>
        <v>3327</v>
      </c>
      <c r="E13" s="6">
        <f>IFERROR(__xludf.DUMMYFUNCTION("""COMPUTED_VALUE"""),3502.45)</f>
        <v>3502.45</v>
      </c>
      <c r="F13" s="6">
        <f>IFERROR(__xludf.DUMMYFUNCTION("""COMPUTED_VALUE"""),9237414.0)</f>
        <v>9237414</v>
      </c>
    </row>
    <row r="14">
      <c r="A14" s="7">
        <f>IFERROR(__xludf.DUMMYFUNCTION("""COMPUTED_VALUE"""),45254.64583333333)</f>
        <v>45254.64583</v>
      </c>
      <c r="B14" s="6">
        <f>IFERROR(__xludf.DUMMYFUNCTION("""COMPUTED_VALUE"""),3491.25)</f>
        <v>3491.25</v>
      </c>
      <c r="C14" s="6">
        <f>IFERROR(__xludf.DUMMYFUNCTION("""COMPUTED_VALUE"""),3544.0)</f>
        <v>3544</v>
      </c>
      <c r="D14" s="6">
        <f>IFERROR(__xludf.DUMMYFUNCTION("""COMPUTED_VALUE"""),3453.0)</f>
        <v>3453</v>
      </c>
      <c r="E14" s="6">
        <f>IFERROR(__xludf.DUMMYFUNCTION("""COMPUTED_VALUE"""),3457.1)</f>
        <v>3457.1</v>
      </c>
      <c r="F14" s="6">
        <f>IFERROR(__xludf.DUMMYFUNCTION("""COMPUTED_VALUE"""),9800445.0)</f>
        <v>9800445</v>
      </c>
    </row>
    <row r="15">
      <c r="A15" s="7">
        <f>IFERROR(__xludf.DUMMYFUNCTION("""COMPUTED_VALUE"""),45261.64583333333)</f>
        <v>45261.64583</v>
      </c>
      <c r="B15" s="6">
        <f>IFERROR(__xludf.DUMMYFUNCTION("""COMPUTED_VALUE"""),3457.1)</f>
        <v>3457.1</v>
      </c>
      <c r="C15" s="6">
        <f>IFERROR(__xludf.DUMMYFUNCTION("""COMPUTED_VALUE"""),3518.0)</f>
        <v>3518</v>
      </c>
      <c r="D15" s="6">
        <f>IFERROR(__xludf.DUMMYFUNCTION("""COMPUTED_VALUE"""),3433.0)</f>
        <v>3433</v>
      </c>
      <c r="E15" s="6">
        <f>IFERROR(__xludf.DUMMYFUNCTION("""COMPUTED_VALUE"""),3511.65)</f>
        <v>3511.65</v>
      </c>
      <c r="F15" s="6">
        <f>IFERROR(__xludf.DUMMYFUNCTION("""COMPUTED_VALUE"""),7569205.0)</f>
        <v>7569205</v>
      </c>
    </row>
    <row r="16">
      <c r="A16" s="7">
        <f>IFERROR(__xludf.DUMMYFUNCTION("""COMPUTED_VALUE"""),45268.64583333333)</f>
        <v>45268.64583</v>
      </c>
      <c r="B16" s="6">
        <f>IFERROR(__xludf.DUMMYFUNCTION("""COMPUTED_VALUE"""),3544.65)</f>
        <v>3544.65</v>
      </c>
      <c r="C16" s="6">
        <f>IFERROR(__xludf.DUMMYFUNCTION("""COMPUTED_VALUE"""),3645.0)</f>
        <v>3645</v>
      </c>
      <c r="D16" s="6">
        <f>IFERROR(__xludf.DUMMYFUNCTION("""COMPUTED_VALUE"""),3498.0)</f>
        <v>3498</v>
      </c>
      <c r="E16" s="6">
        <f>IFERROR(__xludf.DUMMYFUNCTION("""COMPUTED_VALUE"""),3626.7)</f>
        <v>3626.7</v>
      </c>
      <c r="F16" s="6">
        <f>IFERROR(__xludf.DUMMYFUNCTION("""COMPUTED_VALUE"""),8508249.0)</f>
        <v>8508249</v>
      </c>
    </row>
    <row r="17">
      <c r="A17" s="7">
        <f>IFERROR(__xludf.DUMMYFUNCTION("""COMPUTED_VALUE"""),45275.64583333333)</f>
        <v>45275.64583</v>
      </c>
      <c r="B17" s="6">
        <f>IFERROR(__xludf.DUMMYFUNCTION("""COMPUTED_VALUE"""),3622.9)</f>
        <v>3622.9</v>
      </c>
      <c r="C17" s="6">
        <f>IFERROR(__xludf.DUMMYFUNCTION("""COMPUTED_VALUE"""),3895.95)</f>
        <v>3895.95</v>
      </c>
      <c r="D17" s="6">
        <f>IFERROR(__xludf.DUMMYFUNCTION("""COMPUTED_VALUE"""),3563.0)</f>
        <v>3563</v>
      </c>
      <c r="E17" s="6">
        <f>IFERROR(__xludf.DUMMYFUNCTION("""COMPUTED_VALUE"""),3861.0)</f>
        <v>3861</v>
      </c>
      <c r="F17" s="6">
        <f>IFERROR(__xludf.DUMMYFUNCTION("""COMPUTED_VALUE"""),1.9011963E7)</f>
        <v>19011963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IFERROR(__xludf.DUMMYFUNCTION("""COMPUTED_VALUE"""),3858.1)</f>
        <v>3858.1</v>
      </c>
      <c r="C18" s="6">
        <f>IFERROR(__xludf.DUMMYFUNCTION("""COMPUTED_VALUE"""),3929.0)</f>
        <v>3929</v>
      </c>
      <c r="D18" s="6">
        <f>IFERROR(__xludf.DUMMYFUNCTION("""COMPUTED_VALUE"""),3743.35)</f>
        <v>3743.35</v>
      </c>
      <c r="E18" s="6">
        <f>IFERROR(__xludf.DUMMYFUNCTION("""COMPUTED_VALUE"""),3824.0)</f>
        <v>3824</v>
      </c>
      <c r="F18" s="6">
        <f>IFERROR(__xludf.DUMMYFUNCTION("""COMPUTED_VALUE"""),1.104275E7)</f>
        <v>11042750</v>
      </c>
    </row>
    <row r="19">
      <c r="A19" s="7">
        <f>IFERROR(__xludf.DUMMYFUNCTION("""COMPUTED_VALUE"""),45289.64583333333)</f>
        <v>45289.64583</v>
      </c>
      <c r="B19" s="6">
        <f>IFERROR(__xludf.DUMMYFUNCTION("""COMPUTED_VALUE"""),3819.85)</f>
        <v>3819.85</v>
      </c>
      <c r="C19" s="6">
        <f>IFERROR(__xludf.DUMMYFUNCTION("""COMPUTED_VALUE"""),3838.0)</f>
        <v>3838</v>
      </c>
      <c r="D19" s="6">
        <f>IFERROR(__xludf.DUMMYFUNCTION("""COMPUTED_VALUE"""),3765.4)</f>
        <v>3765.4</v>
      </c>
      <c r="E19" s="6">
        <f>IFERROR(__xludf.DUMMYFUNCTION("""COMPUTED_VALUE"""),3793.4)</f>
        <v>3793.4</v>
      </c>
      <c r="F19" s="6">
        <f>IFERROR(__xludf.DUMMYFUNCTION("""COMPUTED_VALUE"""),5837092.0)</f>
        <v>5837092</v>
      </c>
    </row>
    <row r="20">
      <c r="A20" s="7">
        <f>IFERROR(__xludf.DUMMYFUNCTION("""COMPUTED_VALUE"""),45296.64583333333)</f>
        <v>45296.64583</v>
      </c>
      <c r="B20" s="6">
        <f>IFERROR(__xludf.DUMMYFUNCTION("""COMPUTED_VALUE"""),3790.0)</f>
        <v>3790</v>
      </c>
      <c r="C20" s="6">
        <f>IFERROR(__xludf.DUMMYFUNCTION("""COMPUTED_VALUE"""),3832.0)</f>
        <v>3832</v>
      </c>
      <c r="D20" s="6">
        <f>IFERROR(__xludf.DUMMYFUNCTION("""COMPUTED_VALUE"""),3651.0)</f>
        <v>3651</v>
      </c>
      <c r="E20" s="6">
        <f>IFERROR(__xludf.DUMMYFUNCTION("""COMPUTED_VALUE"""),3737.9)</f>
        <v>3737.9</v>
      </c>
      <c r="F20" s="6">
        <f>IFERROR(__xludf.DUMMYFUNCTION("""COMPUTED_VALUE"""),9534321.0)</f>
        <v>9534321</v>
      </c>
    </row>
    <row r="21">
      <c r="A21" s="7">
        <f>IFERROR(__xludf.DUMMYFUNCTION("""COMPUTED_VALUE"""),45303.64583333333)</f>
        <v>45303.64583</v>
      </c>
      <c r="B21" s="6">
        <f>IFERROR(__xludf.DUMMYFUNCTION("""COMPUTED_VALUE"""),3737.9)</f>
        <v>3737.9</v>
      </c>
      <c r="C21" s="6">
        <f>IFERROR(__xludf.DUMMYFUNCTION("""COMPUTED_VALUE"""),3905.25)</f>
        <v>3905.25</v>
      </c>
      <c r="D21" s="6">
        <f>IFERROR(__xludf.DUMMYFUNCTION("""COMPUTED_VALUE"""),3672.4)</f>
        <v>3672.4</v>
      </c>
      <c r="E21" s="6">
        <f>IFERROR(__xludf.DUMMYFUNCTION("""COMPUTED_VALUE"""),3882.8)</f>
        <v>3882.8</v>
      </c>
      <c r="F21" s="6">
        <f>IFERROR(__xludf.DUMMYFUNCTION("""COMPUTED_VALUE"""),1.2322335E7)</f>
        <v>12322335</v>
      </c>
    </row>
    <row r="22">
      <c r="A22" s="7">
        <f>IFERROR(__xludf.DUMMYFUNCTION("""COMPUTED_VALUE"""),45316.64583333333)</f>
        <v>45316.64583</v>
      </c>
      <c r="B22" s="6">
        <f>IFERROR(__xludf.DUMMYFUNCTION("""COMPUTED_VALUE"""),3900.0)</f>
        <v>3900</v>
      </c>
      <c r="C22" s="6">
        <f>IFERROR(__xludf.DUMMYFUNCTION("""COMPUTED_VALUE"""),3933.9)</f>
        <v>3933.9</v>
      </c>
      <c r="D22" s="6">
        <f>IFERROR(__xludf.DUMMYFUNCTION("""COMPUTED_VALUE"""),3778.7)</f>
        <v>3778.7</v>
      </c>
      <c r="E22" s="6">
        <f>IFERROR(__xludf.DUMMYFUNCTION("""COMPUTED_VALUE"""),3810.3)</f>
        <v>3810.3</v>
      </c>
      <c r="F22" s="6">
        <f>IFERROR(__xludf.DUMMYFUNCTION("""COMPUTED_VALUE"""),7481717.0)</f>
        <v>7481717</v>
      </c>
    </row>
    <row r="23">
      <c r="A23" s="7">
        <f>IFERROR(__xludf.DUMMYFUNCTION("""COMPUTED_VALUE"""),45324.64583333333)</f>
        <v>45324.64583</v>
      </c>
      <c r="B23" s="6">
        <f>IFERROR(__xludf.DUMMYFUNCTION("""COMPUTED_VALUE"""),3800.8)</f>
        <v>3800.8</v>
      </c>
      <c r="C23" s="6">
        <f>IFERROR(__xludf.DUMMYFUNCTION("""COMPUTED_VALUE"""),3984.4)</f>
        <v>3984.4</v>
      </c>
      <c r="D23" s="6">
        <f>IFERROR(__xludf.DUMMYFUNCTION("""COMPUTED_VALUE"""),3780.85)</f>
        <v>3780.85</v>
      </c>
      <c r="E23" s="6">
        <f>IFERROR(__xludf.DUMMYFUNCTION("""COMPUTED_VALUE"""),3966.3)</f>
        <v>3966.3</v>
      </c>
      <c r="F23" s="6">
        <f>IFERROR(__xludf.DUMMYFUNCTION("""COMPUTED_VALUE"""),1.0707343E7)</f>
        <v>10707343</v>
      </c>
    </row>
    <row r="24">
      <c r="A24" s="7">
        <f>IFERROR(__xludf.DUMMYFUNCTION("""COMPUTED_VALUE"""),45331.64583333333)</f>
        <v>45331.64583</v>
      </c>
      <c r="B24" s="6">
        <f>IFERROR(__xludf.DUMMYFUNCTION("""COMPUTED_VALUE"""),3983.0)</f>
        <v>3983</v>
      </c>
      <c r="C24" s="6">
        <f>IFERROR(__xludf.DUMMYFUNCTION("""COMPUTED_VALUE"""),4184.75)</f>
        <v>4184.75</v>
      </c>
      <c r="D24" s="6">
        <f>IFERROR(__xludf.DUMMYFUNCTION("""COMPUTED_VALUE"""),3962.1)</f>
        <v>3962.1</v>
      </c>
      <c r="E24" s="6">
        <f>IFERROR(__xludf.DUMMYFUNCTION("""COMPUTED_VALUE"""),4133.7)</f>
        <v>4133.7</v>
      </c>
      <c r="F24" s="6">
        <f>IFERROR(__xludf.DUMMYFUNCTION("""COMPUTED_VALUE"""),1.2735955E7)</f>
        <v>12735955</v>
      </c>
    </row>
    <row r="25">
      <c r="A25" s="7">
        <f>IFERROR(__xludf.DUMMYFUNCTION("""COMPUTED_VALUE"""),45338.64583333333)</f>
        <v>45338.64583</v>
      </c>
      <c r="B25" s="6">
        <f>IFERROR(__xludf.DUMMYFUNCTION("""COMPUTED_VALUE"""),4130.0)</f>
        <v>4130</v>
      </c>
      <c r="C25" s="6">
        <f>IFERROR(__xludf.DUMMYFUNCTION("""COMPUTED_VALUE"""),4170.0)</f>
        <v>4170</v>
      </c>
      <c r="D25" s="6">
        <f>IFERROR(__xludf.DUMMYFUNCTION("""COMPUTED_VALUE"""),4049.5)</f>
        <v>4049.5</v>
      </c>
      <c r="E25" s="6">
        <f>IFERROR(__xludf.DUMMYFUNCTION("""COMPUTED_VALUE"""),4128.3)</f>
        <v>4128.3</v>
      </c>
      <c r="F25" s="6">
        <f>IFERROR(__xludf.DUMMYFUNCTION("""COMPUTED_VALUE"""),6061552.0)</f>
        <v>6061552</v>
      </c>
    </row>
    <row r="26">
      <c r="A26" s="7">
        <f>IFERROR(__xludf.DUMMYFUNCTION("""COMPUTED_VALUE"""),45345.64583333333)</f>
        <v>45345.64583</v>
      </c>
      <c r="B26" s="6">
        <f>IFERROR(__xludf.DUMMYFUNCTION("""COMPUTED_VALUE"""),4123.05)</f>
        <v>4123.05</v>
      </c>
      <c r="C26" s="6">
        <f>IFERROR(__xludf.DUMMYFUNCTION("""COMPUTED_VALUE"""),4130.0)</f>
        <v>4130</v>
      </c>
      <c r="D26" s="6">
        <f>IFERROR(__xludf.DUMMYFUNCTION("""COMPUTED_VALUE"""),3971.0)</f>
        <v>3971</v>
      </c>
      <c r="E26" s="6">
        <f>IFERROR(__xludf.DUMMYFUNCTION("""COMPUTED_VALUE"""),4052.1)</f>
        <v>4052.1</v>
      </c>
      <c r="F26" s="6">
        <f>IFERROR(__xludf.DUMMYFUNCTION("""COMPUTED_VALUE"""),9372002.0)</f>
        <v>9372002</v>
      </c>
    </row>
    <row r="27">
      <c r="A27" s="7">
        <f>IFERROR(__xludf.DUMMYFUNCTION("""COMPUTED_VALUE"""),45358.64583333333)</f>
        <v>45358.64583</v>
      </c>
      <c r="B27" s="6">
        <f>IFERROR(__xludf.DUMMYFUNCTION("""COMPUTED_VALUE"""),4105.0)</f>
        <v>4105</v>
      </c>
      <c r="C27" s="6">
        <f>IFERROR(__xludf.DUMMYFUNCTION("""COMPUTED_VALUE"""),4124.0)</f>
        <v>4124</v>
      </c>
      <c r="D27" s="6">
        <f>IFERROR(__xludf.DUMMYFUNCTION("""COMPUTED_VALUE"""),3958.45)</f>
        <v>3958.45</v>
      </c>
      <c r="E27" s="6">
        <f>IFERROR(__xludf.DUMMYFUNCTION("""COMPUTED_VALUE"""),4108.6)</f>
        <v>4108.6</v>
      </c>
      <c r="F27" s="6">
        <f>IFERROR(__xludf.DUMMYFUNCTION("""COMPUTED_VALUE"""),8253239.0)</f>
        <v>8253239</v>
      </c>
    </row>
    <row r="28">
      <c r="A28" s="7">
        <f>IFERROR(__xludf.DUMMYFUNCTION("""COMPUTED_VALUE"""),45366.64583333333)</f>
        <v>45366.64583</v>
      </c>
      <c r="B28" s="6">
        <f>IFERROR(__xludf.DUMMYFUNCTION("""COMPUTED_VALUE"""),4089.0)</f>
        <v>4089</v>
      </c>
      <c r="C28" s="6">
        <f>IFERROR(__xludf.DUMMYFUNCTION("""COMPUTED_VALUE"""),4241.0)</f>
        <v>4241</v>
      </c>
      <c r="D28" s="6">
        <f>IFERROR(__xludf.DUMMYFUNCTION("""COMPUTED_VALUE"""),4086.0)</f>
        <v>4086</v>
      </c>
      <c r="E28" s="6">
        <f>IFERROR(__xludf.DUMMYFUNCTION("""COMPUTED_VALUE"""),4219.25)</f>
        <v>4219.25</v>
      </c>
      <c r="F28" s="6">
        <f>IFERROR(__xludf.DUMMYFUNCTION("""COMPUTED_VALUE"""),1.547388E7)</f>
        <v>15473880</v>
      </c>
    </row>
    <row r="29">
      <c r="A29" s="7">
        <f>IFERROR(__xludf.DUMMYFUNCTION("""COMPUTED_VALUE"""),45373.64583333333)</f>
        <v>45373.64583</v>
      </c>
      <c r="B29" s="6">
        <f>IFERROR(__xludf.DUMMYFUNCTION("""COMPUTED_VALUE"""),4215.25)</f>
        <v>4215.25</v>
      </c>
      <c r="C29" s="6">
        <f>IFERROR(__xludf.DUMMYFUNCTION("""COMPUTED_VALUE"""),4254.75)</f>
        <v>4254.75</v>
      </c>
      <c r="D29" s="6">
        <f>IFERROR(__xludf.DUMMYFUNCTION("""COMPUTED_VALUE"""),3855.0)</f>
        <v>3855</v>
      </c>
      <c r="E29" s="6">
        <f>IFERROR(__xludf.DUMMYFUNCTION("""COMPUTED_VALUE"""),3910.9)</f>
        <v>3910.9</v>
      </c>
      <c r="F29" s="6">
        <f>IFERROR(__xludf.DUMMYFUNCTION("""COMPUTED_VALUE"""),2.1958093E7)</f>
        <v>21958093</v>
      </c>
    </row>
    <row r="30">
      <c r="A30" s="7">
        <f>IFERROR(__xludf.DUMMYFUNCTION("""COMPUTED_VALUE"""),45379.64583333333)</f>
        <v>45379.64583</v>
      </c>
      <c r="B30" s="6">
        <f>IFERROR(__xludf.DUMMYFUNCTION("""COMPUTED_VALUE"""),3875.0)</f>
        <v>3875</v>
      </c>
      <c r="C30" s="6">
        <f>IFERROR(__xludf.DUMMYFUNCTION("""COMPUTED_VALUE"""),3946.7)</f>
        <v>3946.7</v>
      </c>
      <c r="D30" s="6">
        <f>IFERROR(__xludf.DUMMYFUNCTION("""COMPUTED_VALUE"""),3829.4)</f>
        <v>3829.4</v>
      </c>
      <c r="E30" s="6">
        <f>IFERROR(__xludf.DUMMYFUNCTION("""COMPUTED_VALUE"""),3876.3)</f>
        <v>3876.3</v>
      </c>
      <c r="F30" s="6">
        <f>IFERROR(__xludf.DUMMYFUNCTION("""COMPUTED_VALUE"""),9721283.0)</f>
        <v>9721283</v>
      </c>
    </row>
    <row r="31">
      <c r="A31" s="7">
        <f>IFERROR(__xludf.DUMMYFUNCTION("""COMPUTED_VALUE"""),45387.64583333333)</f>
        <v>45387.64583</v>
      </c>
      <c r="B31" s="6">
        <f>IFERROR(__xludf.DUMMYFUNCTION("""COMPUTED_VALUE"""),3897.7)</f>
        <v>3897.7</v>
      </c>
      <c r="C31" s="6">
        <f>IFERROR(__xludf.DUMMYFUNCTION("""COMPUTED_VALUE"""),4028.65)</f>
        <v>4028.65</v>
      </c>
      <c r="D31" s="6">
        <f>IFERROR(__xludf.DUMMYFUNCTION("""COMPUTED_VALUE"""),3851.0)</f>
        <v>3851</v>
      </c>
      <c r="E31" s="6">
        <f>IFERROR(__xludf.DUMMYFUNCTION("""COMPUTED_VALUE"""),3979.25)</f>
        <v>3979.25</v>
      </c>
      <c r="F31" s="6">
        <f>IFERROR(__xludf.DUMMYFUNCTION("""COMPUTED_VALUE"""),1.2716888E7)</f>
        <v>12716888</v>
      </c>
    </row>
    <row r="32">
      <c r="A32" s="7">
        <f>IFERROR(__xludf.DUMMYFUNCTION("""COMPUTED_VALUE"""),45394.64583333333)</f>
        <v>45394.64583</v>
      </c>
      <c r="B32" s="6">
        <f>IFERROR(__xludf.DUMMYFUNCTION("""COMPUTED_VALUE"""),3983.0)</f>
        <v>3983</v>
      </c>
      <c r="C32" s="6">
        <f>IFERROR(__xludf.DUMMYFUNCTION("""COMPUTED_VALUE"""),4032.65)</f>
        <v>4032.65</v>
      </c>
      <c r="D32" s="6">
        <f>IFERROR(__xludf.DUMMYFUNCTION("""COMPUTED_VALUE"""),3918.0)</f>
        <v>3918</v>
      </c>
      <c r="E32" s="6">
        <f>IFERROR(__xludf.DUMMYFUNCTION("""COMPUTED_VALUE"""),4001.4)</f>
        <v>4001.4</v>
      </c>
      <c r="F32" s="6">
        <f>IFERROR(__xludf.DUMMYFUNCTION("""COMPUTED_VALUE"""),1.0636316E7)</f>
        <v>10636316</v>
      </c>
    </row>
    <row r="33">
      <c r="A33" s="7">
        <f>IFERROR(__xludf.DUMMYFUNCTION("""COMPUTED_VALUE"""),45401.64583333333)</f>
        <v>45401.64583</v>
      </c>
      <c r="B33" s="6">
        <f>IFERROR(__xludf.DUMMYFUNCTION("""COMPUTED_VALUE"""),4001.4)</f>
        <v>4001.4</v>
      </c>
      <c r="C33" s="6">
        <f>IFERROR(__xludf.DUMMYFUNCTION("""COMPUTED_VALUE"""),4064.2)</f>
        <v>4064.2</v>
      </c>
      <c r="D33" s="6">
        <f>IFERROR(__xludf.DUMMYFUNCTION("""COMPUTED_VALUE"""),3800.9)</f>
        <v>3800.9</v>
      </c>
      <c r="E33" s="6">
        <f>IFERROR(__xludf.DUMMYFUNCTION("""COMPUTED_VALUE"""),3826.2)</f>
        <v>3826.2</v>
      </c>
      <c r="F33" s="6">
        <f>IFERROR(__xludf.DUMMYFUNCTION("""COMPUTED_VALUE"""),1.3685782E7)</f>
        <v>13685782</v>
      </c>
    </row>
    <row r="34">
      <c r="A34" s="7">
        <f>IFERROR(__xludf.DUMMYFUNCTION("""COMPUTED_VALUE"""),45408.64583333333)</f>
        <v>45408.64583</v>
      </c>
      <c r="B34" s="6">
        <f>IFERROR(__xludf.DUMMYFUNCTION("""COMPUTED_VALUE"""),3837.0)</f>
        <v>3837</v>
      </c>
      <c r="C34" s="6">
        <f>IFERROR(__xludf.DUMMYFUNCTION("""COMPUTED_VALUE"""),3898.0)</f>
        <v>3898</v>
      </c>
      <c r="D34" s="6">
        <f>IFERROR(__xludf.DUMMYFUNCTION("""COMPUTED_VALUE"""),3802.55)</f>
        <v>3802.55</v>
      </c>
      <c r="E34" s="6">
        <f>IFERROR(__xludf.DUMMYFUNCTION("""COMPUTED_VALUE"""),3821.35)</f>
        <v>3821.35</v>
      </c>
      <c r="F34" s="6">
        <f>IFERROR(__xludf.DUMMYFUNCTION("""COMPUTED_VALUE"""),9749230.0)</f>
        <v>9749230</v>
      </c>
    </row>
    <row r="35">
      <c r="A35" s="7">
        <f>IFERROR(__xludf.DUMMYFUNCTION("""COMPUTED_VALUE"""),45415.64583333333)</f>
        <v>45415.64583</v>
      </c>
      <c r="B35" s="6">
        <f>IFERROR(__xludf.DUMMYFUNCTION("""COMPUTED_VALUE"""),3838.0)</f>
        <v>3838</v>
      </c>
      <c r="C35" s="6">
        <f>IFERROR(__xludf.DUMMYFUNCTION("""COMPUTED_VALUE"""),3893.6)</f>
        <v>3893.6</v>
      </c>
      <c r="D35" s="6">
        <f>IFERROR(__xludf.DUMMYFUNCTION("""COMPUTED_VALUE"""),3778.05)</f>
        <v>3778.05</v>
      </c>
      <c r="E35" s="6">
        <f>IFERROR(__xludf.DUMMYFUNCTION("""COMPUTED_VALUE"""),3843.4)</f>
        <v>3843.4</v>
      </c>
      <c r="F35" s="6">
        <f>IFERROR(__xludf.DUMMYFUNCTION("""COMPUTED_VALUE"""),8767049.0)</f>
        <v>8767049</v>
      </c>
    </row>
    <row r="36">
      <c r="A36" s="7">
        <f>IFERROR(__xludf.DUMMYFUNCTION("""COMPUTED_VALUE"""),45422.64583333333)</f>
        <v>45422.64583</v>
      </c>
      <c r="B36" s="6">
        <f>IFERROR(__xludf.DUMMYFUNCTION("""COMPUTED_VALUE"""),3853.0)</f>
        <v>3853</v>
      </c>
      <c r="C36" s="6">
        <f>IFERROR(__xludf.DUMMYFUNCTION("""COMPUTED_VALUE"""),3988.0)</f>
        <v>3988</v>
      </c>
      <c r="D36" s="6">
        <f>IFERROR(__xludf.DUMMYFUNCTION("""COMPUTED_VALUE"""),3853.0)</f>
        <v>3853</v>
      </c>
      <c r="E36" s="6">
        <f>IFERROR(__xludf.DUMMYFUNCTION("""COMPUTED_VALUE"""),3893.9)</f>
        <v>3893.9</v>
      </c>
      <c r="F36" s="6">
        <f>IFERROR(__xludf.DUMMYFUNCTION("""COMPUTED_VALUE"""),8762603.0)</f>
        <v>8762603</v>
      </c>
    </row>
    <row r="37">
      <c r="A37" s="7">
        <f>IFERROR(__xludf.DUMMYFUNCTION("""COMPUTED_VALUE"""),45436.64583333333)</f>
        <v>45436.64583</v>
      </c>
      <c r="B37" s="6">
        <f>IFERROR(__xludf.DUMMYFUNCTION("""COMPUTED_VALUE"""),3830.6)</f>
        <v>3830.6</v>
      </c>
      <c r="C37" s="6">
        <f>IFERROR(__xludf.DUMMYFUNCTION("""COMPUTED_VALUE"""),3905.0)</f>
        <v>3905</v>
      </c>
      <c r="D37" s="6">
        <f>IFERROR(__xludf.DUMMYFUNCTION("""COMPUTED_VALUE"""),3810.05)</f>
        <v>3810.05</v>
      </c>
      <c r="E37" s="6">
        <f>IFERROR(__xludf.DUMMYFUNCTION("""COMPUTED_VALUE"""),3849.5)</f>
        <v>3849.5</v>
      </c>
      <c r="F37" s="6">
        <f>IFERROR(__xludf.DUMMYFUNCTION("""COMPUTED_VALUE"""),6624479.0)</f>
        <v>6624479</v>
      </c>
    </row>
    <row r="38">
      <c r="A38" s="7">
        <f>IFERROR(__xludf.DUMMYFUNCTION("""COMPUTED_VALUE"""),45443.64583333333)</f>
        <v>45443.64583</v>
      </c>
      <c r="B38" s="6">
        <f>IFERROR(__xludf.DUMMYFUNCTION("""COMPUTED_VALUE"""),3855.0)</f>
        <v>3855</v>
      </c>
      <c r="C38" s="6">
        <f>IFERROR(__xludf.DUMMYFUNCTION("""COMPUTED_VALUE"""),3908.35)</f>
        <v>3908.35</v>
      </c>
      <c r="D38" s="6">
        <f>IFERROR(__xludf.DUMMYFUNCTION("""COMPUTED_VALUE"""),3653.75)</f>
        <v>3653.75</v>
      </c>
      <c r="E38" s="6">
        <f>IFERROR(__xludf.DUMMYFUNCTION("""COMPUTED_VALUE"""),3670.95)</f>
        <v>3670.95</v>
      </c>
      <c r="F38" s="6">
        <f>IFERROR(__xludf.DUMMYFUNCTION("""COMPUTED_VALUE"""),1.9087656E7)</f>
        <v>19087656</v>
      </c>
    </row>
    <row r="39">
      <c r="A39" s="7">
        <f>IFERROR(__xludf.DUMMYFUNCTION("""COMPUTED_VALUE"""),45450.64583333333)</f>
        <v>45450.64583</v>
      </c>
      <c r="B39" s="6">
        <f>IFERROR(__xludf.DUMMYFUNCTION("""COMPUTED_VALUE"""),3732.8)</f>
        <v>3732.8</v>
      </c>
      <c r="C39" s="6">
        <f>IFERROR(__xludf.DUMMYFUNCTION("""COMPUTED_VALUE"""),3915.0)</f>
        <v>3915</v>
      </c>
      <c r="D39" s="6">
        <f>IFERROR(__xludf.DUMMYFUNCTION("""COMPUTED_VALUE"""),3591.5)</f>
        <v>3591.5</v>
      </c>
      <c r="E39" s="6">
        <f>IFERROR(__xludf.DUMMYFUNCTION("""COMPUTED_VALUE"""),3893.95)</f>
        <v>3893.95</v>
      </c>
      <c r="F39" s="6">
        <f>IFERROR(__xludf.DUMMYFUNCTION("""COMPUTED_VALUE"""),1.7232921E7)</f>
        <v>17232921</v>
      </c>
    </row>
    <row r="40">
      <c r="A40" s="7">
        <f>IFERROR(__xludf.DUMMYFUNCTION("""COMPUTED_VALUE"""),45457.64583333333)</f>
        <v>45457.64583</v>
      </c>
      <c r="B40" s="6">
        <f>IFERROR(__xludf.DUMMYFUNCTION("""COMPUTED_VALUE"""),3895.0)</f>
        <v>3895</v>
      </c>
      <c r="C40" s="6">
        <f>IFERROR(__xludf.DUMMYFUNCTION("""COMPUTED_VALUE"""),3905.9)</f>
        <v>3905.9</v>
      </c>
      <c r="D40" s="6">
        <f>IFERROR(__xludf.DUMMYFUNCTION("""COMPUTED_VALUE"""),3827.45)</f>
        <v>3827.45</v>
      </c>
      <c r="E40" s="6">
        <f>IFERROR(__xludf.DUMMYFUNCTION("""COMPUTED_VALUE"""),3832.05)</f>
        <v>3832.05</v>
      </c>
      <c r="F40" s="6">
        <f>IFERROR(__xludf.DUMMYFUNCTION("""COMPUTED_VALUE"""),9124613.0)</f>
        <v>9124613</v>
      </c>
    </row>
    <row r="41">
      <c r="A41" s="7">
        <f>IFERROR(__xludf.DUMMYFUNCTION("""COMPUTED_VALUE"""),45464.64583333333)</f>
        <v>45464.64583</v>
      </c>
      <c r="B41" s="6">
        <f>IFERROR(__xludf.DUMMYFUNCTION("""COMPUTED_VALUE"""),3826.05)</f>
        <v>3826.05</v>
      </c>
      <c r="C41" s="6">
        <f>IFERROR(__xludf.DUMMYFUNCTION("""COMPUTED_VALUE"""),3877.8)</f>
        <v>3877.8</v>
      </c>
      <c r="D41" s="6">
        <f>IFERROR(__xludf.DUMMYFUNCTION("""COMPUTED_VALUE"""),3780.05)</f>
        <v>3780.05</v>
      </c>
      <c r="E41" s="6">
        <f>IFERROR(__xludf.DUMMYFUNCTION("""COMPUTED_VALUE"""),3810.75)</f>
        <v>3810.75</v>
      </c>
      <c r="F41" s="6">
        <f>IFERROR(__xludf.DUMMYFUNCTION("""COMPUTED_VALUE"""),1.0771816E7)</f>
        <v>10771816</v>
      </c>
    </row>
    <row r="42">
      <c r="A42" s="7">
        <f>IFERROR(__xludf.DUMMYFUNCTION("""COMPUTED_VALUE"""),45471.64583333333)</f>
        <v>45471.64583</v>
      </c>
      <c r="B42" s="6">
        <f>IFERROR(__xludf.DUMMYFUNCTION("""COMPUTED_VALUE"""),3808.75)</f>
        <v>3808.75</v>
      </c>
      <c r="C42" s="6">
        <f>IFERROR(__xludf.DUMMYFUNCTION("""COMPUTED_VALUE"""),3960.0)</f>
        <v>3960</v>
      </c>
      <c r="D42" s="6">
        <f>IFERROR(__xludf.DUMMYFUNCTION("""COMPUTED_VALUE"""),3791.3)</f>
        <v>3791.3</v>
      </c>
      <c r="E42" s="6">
        <f>IFERROR(__xludf.DUMMYFUNCTION("""COMPUTED_VALUE"""),3904.15)</f>
        <v>3904.15</v>
      </c>
      <c r="F42" s="6">
        <f>IFERROR(__xludf.DUMMYFUNCTION("""COMPUTED_VALUE"""),1.1938934E7)</f>
        <v>11938934</v>
      </c>
    </row>
    <row r="43">
      <c r="A43" s="7">
        <f>IFERROR(__xludf.DUMMYFUNCTION("""COMPUTED_VALUE"""),45478.64583333333)</f>
        <v>45478.64583</v>
      </c>
      <c r="B43" s="6">
        <f>IFERROR(__xludf.DUMMYFUNCTION("""COMPUTED_VALUE"""),3884.0)</f>
        <v>3884</v>
      </c>
      <c r="C43" s="6">
        <f>IFERROR(__xludf.DUMMYFUNCTION("""COMPUTED_VALUE"""),4047.35)</f>
        <v>4047.35</v>
      </c>
      <c r="D43" s="6">
        <f>IFERROR(__xludf.DUMMYFUNCTION("""COMPUTED_VALUE"""),3884.0)</f>
        <v>3884</v>
      </c>
      <c r="E43" s="6">
        <f>IFERROR(__xludf.DUMMYFUNCTION("""COMPUTED_VALUE"""),4011.8)</f>
        <v>4011.8</v>
      </c>
      <c r="F43" s="6">
        <f>IFERROR(__xludf.DUMMYFUNCTION("""COMPUTED_VALUE"""),1.0973987E7)</f>
        <v>10973987</v>
      </c>
    </row>
    <row r="44">
      <c r="A44" s="7">
        <f>IFERROR(__xludf.DUMMYFUNCTION("""COMPUTED_VALUE"""),45485.64583333333)</f>
        <v>45485.64583</v>
      </c>
      <c r="B44" s="6">
        <f>IFERROR(__xludf.DUMMYFUNCTION("""COMPUTED_VALUE"""),4022.0)</f>
        <v>4022</v>
      </c>
      <c r="C44" s="6">
        <f>IFERROR(__xludf.DUMMYFUNCTION("""COMPUTED_VALUE"""),4199.95)</f>
        <v>4199.95</v>
      </c>
      <c r="D44" s="6">
        <f>IFERROR(__xludf.DUMMYFUNCTION("""COMPUTED_VALUE"""),3895.6)</f>
        <v>3895.6</v>
      </c>
      <c r="E44" s="6">
        <f>IFERROR(__xludf.DUMMYFUNCTION("""COMPUTED_VALUE"""),4183.95)</f>
        <v>4183.95</v>
      </c>
      <c r="F44" s="6">
        <f>IFERROR(__xludf.DUMMYFUNCTION("""COMPUTED_VALUE"""),2.4115752E7)</f>
        <v>24115752</v>
      </c>
    </row>
    <row r="45">
      <c r="A45" s="7">
        <f>IFERROR(__xludf.DUMMYFUNCTION("""COMPUTED_VALUE"""),45492.64583333333)</f>
        <v>45492.64583</v>
      </c>
      <c r="B45" s="6">
        <f>IFERROR(__xludf.DUMMYFUNCTION("""COMPUTED_VALUE"""),4235.7)</f>
        <v>4235.7</v>
      </c>
      <c r="C45" s="6">
        <f>IFERROR(__xludf.DUMMYFUNCTION("""COMPUTED_VALUE"""),4358.75)</f>
        <v>4358.75</v>
      </c>
      <c r="D45" s="6">
        <f>IFERROR(__xludf.DUMMYFUNCTION("""COMPUTED_VALUE"""),4144.9)</f>
        <v>4144.9</v>
      </c>
      <c r="E45" s="6">
        <f>IFERROR(__xludf.DUMMYFUNCTION("""COMPUTED_VALUE"""),4302.4)</f>
        <v>4302.4</v>
      </c>
      <c r="F45" s="6">
        <f>IFERROR(__xludf.DUMMYFUNCTION("""COMPUTED_VALUE"""),1.6394269E7)</f>
        <v>16394269</v>
      </c>
    </row>
    <row r="46">
      <c r="A46" s="7">
        <f>IFERROR(__xludf.DUMMYFUNCTION("""COMPUTED_VALUE"""),45499.64583333333)</f>
        <v>45499.64583</v>
      </c>
      <c r="B46" s="6">
        <f>IFERROR(__xludf.DUMMYFUNCTION("""COMPUTED_VALUE"""),4299.95)</f>
        <v>4299.95</v>
      </c>
      <c r="C46" s="6">
        <f>IFERROR(__xludf.DUMMYFUNCTION("""COMPUTED_VALUE"""),4422.45)</f>
        <v>4422.45</v>
      </c>
      <c r="D46" s="6">
        <f>IFERROR(__xludf.DUMMYFUNCTION("""COMPUTED_VALUE"""),4265.0)</f>
        <v>4265</v>
      </c>
      <c r="E46" s="6">
        <f>IFERROR(__xludf.DUMMYFUNCTION("""COMPUTED_VALUE"""),4387.85)</f>
        <v>4387.85</v>
      </c>
      <c r="F46" s="6">
        <f>IFERROR(__xludf.DUMMYFUNCTION("""COMPUTED_VALUE"""),1.2433939E7)</f>
        <v>12433939</v>
      </c>
    </row>
    <row r="47">
      <c r="A47" s="7">
        <f>IFERROR(__xludf.DUMMYFUNCTION("""COMPUTED_VALUE"""),45506.64583333333)</f>
        <v>45506.64583</v>
      </c>
      <c r="B47" s="6">
        <f>IFERROR(__xludf.DUMMYFUNCTION("""COMPUTED_VALUE"""),4415.0)</f>
        <v>4415</v>
      </c>
      <c r="C47" s="6">
        <f>IFERROR(__xludf.DUMMYFUNCTION("""COMPUTED_VALUE"""),4431.0)</f>
        <v>4431</v>
      </c>
      <c r="D47" s="6">
        <f>IFERROR(__xludf.DUMMYFUNCTION("""COMPUTED_VALUE"""),4270.0)</f>
        <v>4270</v>
      </c>
      <c r="E47" s="6">
        <f>IFERROR(__xludf.DUMMYFUNCTION("""COMPUTED_VALUE"""),4283.05)</f>
        <v>4283.05</v>
      </c>
      <c r="F47" s="6">
        <f>IFERROR(__xludf.DUMMYFUNCTION("""COMPUTED_VALUE"""),1.0888326E7)</f>
        <v>10888326</v>
      </c>
    </row>
    <row r="48">
      <c r="A48" s="7">
        <f>IFERROR(__xludf.DUMMYFUNCTION("""COMPUTED_VALUE"""),45513.64583333333)</f>
        <v>45513.64583</v>
      </c>
      <c r="B48" s="6">
        <f>IFERROR(__xludf.DUMMYFUNCTION("""COMPUTED_VALUE"""),4239.0)</f>
        <v>4239</v>
      </c>
      <c r="C48" s="6">
        <f>IFERROR(__xludf.DUMMYFUNCTION("""COMPUTED_VALUE"""),4258.25)</f>
        <v>4258.25</v>
      </c>
      <c r="D48" s="6">
        <f>IFERROR(__xludf.DUMMYFUNCTION("""COMPUTED_VALUE"""),4110.5)</f>
        <v>4110.5</v>
      </c>
      <c r="E48" s="6">
        <f>IFERROR(__xludf.DUMMYFUNCTION("""COMPUTED_VALUE"""),4228.75)</f>
        <v>4228.75</v>
      </c>
      <c r="F48" s="6">
        <f>IFERROR(__xludf.DUMMYFUNCTION("""COMPUTED_VALUE"""),9972323.0)</f>
        <v>9972323</v>
      </c>
    </row>
    <row r="49">
      <c r="A49" s="7">
        <f>IFERROR(__xludf.DUMMYFUNCTION("""COMPUTED_VALUE"""),45520.64583333333)</f>
        <v>45520.64583</v>
      </c>
      <c r="B49" s="6">
        <f>IFERROR(__xludf.DUMMYFUNCTION("""COMPUTED_VALUE"""),4230.0)</f>
        <v>4230</v>
      </c>
      <c r="C49" s="6">
        <f>IFERROR(__xludf.DUMMYFUNCTION("""COMPUTED_VALUE"""),4427.0)</f>
        <v>4427</v>
      </c>
      <c r="D49" s="6">
        <f>IFERROR(__xludf.DUMMYFUNCTION("""COMPUTED_VALUE"""),4183.0)</f>
        <v>4183</v>
      </c>
      <c r="E49" s="6">
        <f>IFERROR(__xludf.DUMMYFUNCTION("""COMPUTED_VALUE"""),4416.05)</f>
        <v>4416.05</v>
      </c>
      <c r="F49" s="6">
        <f>IFERROR(__xludf.DUMMYFUNCTION("""COMPUTED_VALUE"""),9116108.0)</f>
        <v>9116108</v>
      </c>
    </row>
    <row r="50">
      <c r="A50" s="7">
        <f>IFERROR(__xludf.DUMMYFUNCTION("""COMPUTED_VALUE"""),45527.64583333333)</f>
        <v>45527.64583</v>
      </c>
      <c r="B50" s="6">
        <f>IFERROR(__xludf.DUMMYFUNCTION("""COMPUTED_VALUE"""),4421.0)</f>
        <v>4421</v>
      </c>
      <c r="C50" s="6">
        <f>IFERROR(__xludf.DUMMYFUNCTION("""COMPUTED_VALUE"""),4565.0)</f>
        <v>4565</v>
      </c>
      <c r="D50" s="6">
        <f>IFERROR(__xludf.DUMMYFUNCTION("""COMPUTED_VALUE"""),4390.35)</f>
        <v>4390.35</v>
      </c>
      <c r="E50" s="6">
        <f>IFERROR(__xludf.DUMMYFUNCTION("""COMPUTED_VALUE"""),4463.9)</f>
        <v>4463.9</v>
      </c>
      <c r="F50" s="6">
        <f>IFERROR(__xludf.DUMMYFUNCTION("""COMPUTED_VALUE"""),9803623.0)</f>
        <v>9803623</v>
      </c>
    </row>
    <row r="51">
      <c r="A51" s="7">
        <f>IFERROR(__xludf.DUMMYFUNCTION("""COMPUTED_VALUE"""),45534.64583333333)</f>
        <v>45534.64583</v>
      </c>
      <c r="B51" s="6">
        <f>IFERROR(__xludf.DUMMYFUNCTION("""COMPUTED_VALUE"""),4489.0)</f>
        <v>4489</v>
      </c>
      <c r="C51" s="6">
        <f>IFERROR(__xludf.DUMMYFUNCTION("""COMPUTED_VALUE"""),4592.25)</f>
        <v>4592.25</v>
      </c>
      <c r="D51" s="6">
        <f>IFERROR(__xludf.DUMMYFUNCTION("""COMPUTED_VALUE"""),4457.3)</f>
        <v>4457.3</v>
      </c>
      <c r="E51" s="6">
        <f>IFERROR(__xludf.DUMMYFUNCTION("""COMPUTED_VALUE"""),4553.75)</f>
        <v>4553.75</v>
      </c>
      <c r="F51" s="6">
        <f>IFERROR(__xludf.DUMMYFUNCTION("""COMPUTED_VALUE"""),1.0393782E7)</f>
        <v>10393782</v>
      </c>
    </row>
    <row r="52">
      <c r="A52" s="7">
        <f>IFERROR(__xludf.DUMMYFUNCTION("""COMPUTED_VALUE"""),45541.64583333333)</f>
        <v>45541.64583</v>
      </c>
      <c r="B52" s="6">
        <f>IFERROR(__xludf.DUMMYFUNCTION("""COMPUTED_VALUE"""),4576.0)</f>
        <v>4576</v>
      </c>
      <c r="C52" s="6">
        <f>IFERROR(__xludf.DUMMYFUNCTION("""COMPUTED_VALUE"""),4588.0)</f>
        <v>4588</v>
      </c>
      <c r="D52" s="6">
        <f>IFERROR(__xludf.DUMMYFUNCTION("""COMPUTED_VALUE"""),4436.7)</f>
        <v>4436.7</v>
      </c>
      <c r="E52" s="6">
        <f>IFERROR(__xludf.DUMMYFUNCTION("""COMPUTED_VALUE"""),4456.75)</f>
        <v>4456.75</v>
      </c>
      <c r="F52" s="6">
        <f>IFERROR(__xludf.DUMMYFUNCTION("""COMPUTED_VALUE"""),7537240.0)</f>
        <v>7537240</v>
      </c>
    </row>
    <row r="53">
      <c r="A53" s="7">
        <f>IFERROR(__xludf.DUMMYFUNCTION("""COMPUTED_VALUE"""),45548.64583333333)</f>
        <v>45548.64583</v>
      </c>
      <c r="B53" s="6">
        <f>IFERROR(__xludf.DUMMYFUNCTION("""COMPUTED_VALUE"""),4455.0)</f>
        <v>4455</v>
      </c>
      <c r="C53" s="6">
        <f>IFERROR(__xludf.DUMMYFUNCTION("""COMPUTED_VALUE"""),4549.35)</f>
        <v>4549.35</v>
      </c>
      <c r="D53" s="6">
        <f>IFERROR(__xludf.DUMMYFUNCTION("""COMPUTED_VALUE"""),4430.5)</f>
        <v>4430.5</v>
      </c>
      <c r="E53" s="6">
        <f>IFERROR(__xludf.DUMMYFUNCTION("""COMPUTED_VALUE"""),4522.6)</f>
        <v>4522.6</v>
      </c>
      <c r="F53" s="6">
        <f>IFERROR(__xludf.DUMMYFUNCTION("""COMPUTED_VALUE"""),8097450.0)</f>
        <v>8097450</v>
      </c>
    </row>
    <row r="54">
      <c r="A54" s="7">
        <f>IFERROR(__xludf.DUMMYFUNCTION("""COMPUTED_VALUE"""),45555.64583333333)</f>
        <v>45555.64583</v>
      </c>
      <c r="B54" s="6">
        <f>IFERROR(__xludf.DUMMYFUNCTION("""COMPUTED_VALUE"""),4527.0)</f>
        <v>4527</v>
      </c>
      <c r="C54" s="6">
        <f>IFERROR(__xludf.DUMMYFUNCTION("""COMPUTED_VALUE"""),4546.05)</f>
        <v>4546.05</v>
      </c>
      <c r="D54" s="6">
        <f>IFERROR(__xludf.DUMMYFUNCTION("""COMPUTED_VALUE"""),4227.5)</f>
        <v>4227.5</v>
      </c>
      <c r="E54" s="6">
        <f>IFERROR(__xludf.DUMMYFUNCTION("""COMPUTED_VALUE"""),4284.9)</f>
        <v>4284.9</v>
      </c>
      <c r="F54" s="6">
        <f>IFERROR(__xludf.DUMMYFUNCTION("""COMPUTED_VALUE"""),1.4191722E7)</f>
        <v>14191722</v>
      </c>
    </row>
    <row r="55">
      <c r="A55" s="7">
        <f>IFERROR(__xludf.DUMMYFUNCTION("""COMPUTED_VALUE"""),45562.64583333333)</f>
        <v>45562.64583</v>
      </c>
      <c r="B55" s="6">
        <f>IFERROR(__xludf.DUMMYFUNCTION("""COMPUTED_VALUE"""),4300.0)</f>
        <v>4300</v>
      </c>
      <c r="C55" s="6">
        <f>IFERROR(__xludf.DUMMYFUNCTION("""COMPUTED_VALUE"""),4378.0)</f>
        <v>4378</v>
      </c>
      <c r="D55" s="6">
        <f>IFERROR(__xludf.DUMMYFUNCTION("""COMPUTED_VALUE"""),4240.0)</f>
        <v>4240</v>
      </c>
      <c r="E55" s="6">
        <f>IFERROR(__xludf.DUMMYFUNCTION("""COMPUTED_VALUE"""),4308.7)</f>
        <v>4308.7</v>
      </c>
      <c r="F55" s="6">
        <f>IFERROR(__xludf.DUMMYFUNCTION("""COMPUTED_VALUE"""),1.4404146E7)</f>
        <v>14404146</v>
      </c>
    </row>
    <row r="56">
      <c r="A56" s="7">
        <f>IFERROR(__xludf.DUMMYFUNCTION("""COMPUTED_VALUE"""),45569.64583333333)</f>
        <v>45569.64583</v>
      </c>
      <c r="B56" s="6">
        <f>IFERROR(__xludf.DUMMYFUNCTION("""COMPUTED_VALUE"""),4286.9)</f>
        <v>4286.9</v>
      </c>
      <c r="C56" s="6">
        <f>IFERROR(__xludf.DUMMYFUNCTION("""COMPUTED_VALUE"""),4298.75)</f>
        <v>4298.75</v>
      </c>
      <c r="D56" s="6">
        <f>IFERROR(__xludf.DUMMYFUNCTION("""COMPUTED_VALUE"""),4210.0)</f>
        <v>4210</v>
      </c>
      <c r="E56" s="6">
        <f>IFERROR(__xludf.DUMMYFUNCTION("""COMPUTED_VALUE"""),4252.25)</f>
        <v>4252.25</v>
      </c>
      <c r="F56" s="6">
        <f>IFERROR(__xludf.DUMMYFUNCTION("""COMPUTED_VALUE"""),1.0642363E7)</f>
        <v>10642363</v>
      </c>
    </row>
    <row r="57">
      <c r="A57" s="7">
        <f>IFERROR(__xludf.DUMMYFUNCTION("""COMPUTED_VALUE"""),45576.64583333333)</f>
        <v>45576.64583</v>
      </c>
      <c r="B57" s="6">
        <f>IFERROR(__xludf.DUMMYFUNCTION("""COMPUTED_VALUE"""),4273.9)</f>
        <v>4273.9</v>
      </c>
      <c r="C57" s="6">
        <f>IFERROR(__xludf.DUMMYFUNCTION("""COMPUTED_VALUE"""),4297.25)</f>
        <v>4297.25</v>
      </c>
      <c r="D57" s="6">
        <f>IFERROR(__xludf.DUMMYFUNCTION("""COMPUTED_VALUE"""),4112.45)</f>
        <v>4112.45</v>
      </c>
      <c r="E57" s="6">
        <f>IFERROR(__xludf.DUMMYFUNCTION("""COMPUTED_VALUE"""),4149.2)</f>
        <v>4149.2</v>
      </c>
      <c r="F57" s="6">
        <f>IFERROR(__xludf.DUMMYFUNCTION("""COMPUTED_VALUE"""),1.2235048E7)</f>
        <v>12235048</v>
      </c>
    </row>
    <row r="58">
      <c r="A58" s="7">
        <f>IFERROR(__xludf.DUMMYFUNCTION("""COMPUTED_VALUE"""),45583.64583333333)</f>
        <v>45583.64583</v>
      </c>
      <c r="B58" s="6">
        <f>IFERROR(__xludf.DUMMYFUNCTION("""COMPUTED_VALUE"""),4140.0)</f>
        <v>4140</v>
      </c>
      <c r="C58" s="6">
        <f>IFERROR(__xludf.DUMMYFUNCTION("""COMPUTED_VALUE"""),4169.95)</f>
        <v>4169.95</v>
      </c>
      <c r="D58" s="6">
        <f>IFERROR(__xludf.DUMMYFUNCTION("""COMPUTED_VALUE"""),4067.2)</f>
        <v>4067.2</v>
      </c>
      <c r="E58" s="6">
        <f>IFERROR(__xludf.DUMMYFUNCTION("""COMPUTED_VALUE"""),4123.05)</f>
        <v>4123.05</v>
      </c>
      <c r="F58" s="6">
        <f>IFERROR(__xludf.DUMMYFUNCTION("""COMPUTED_VALUE"""),1.2139874E7)</f>
        <v>12139874</v>
      </c>
    </row>
    <row r="59">
      <c r="A59" s="7">
        <f>IFERROR(__xludf.DUMMYFUNCTION("""COMPUTED_VALUE"""),45590.64583333333)</f>
        <v>45590.64583</v>
      </c>
      <c r="B59" s="6">
        <f>IFERROR(__xludf.DUMMYFUNCTION("""COMPUTED_VALUE"""),4132.6)</f>
        <v>4132.6</v>
      </c>
      <c r="C59" s="6">
        <f>IFERROR(__xludf.DUMMYFUNCTION("""COMPUTED_VALUE"""),4139.95)</f>
        <v>4139.95</v>
      </c>
      <c r="D59" s="6">
        <f>IFERROR(__xludf.DUMMYFUNCTION("""COMPUTED_VALUE"""),3995.15)</f>
        <v>3995.15</v>
      </c>
      <c r="E59" s="6">
        <f>IFERROR(__xludf.DUMMYFUNCTION("""COMPUTED_VALUE"""),4057.55)</f>
        <v>4057.55</v>
      </c>
      <c r="F59" s="6">
        <f>IFERROR(__xludf.DUMMYFUNCTION("""COMPUTED_VALUE"""),9926395.0)</f>
        <v>9926395</v>
      </c>
    </row>
    <row r="60">
      <c r="A60" s="7">
        <f>IFERROR(__xludf.DUMMYFUNCTION("""COMPUTED_VALUE"""),45604.64583333333)</f>
        <v>45604.64583</v>
      </c>
      <c r="B60" s="6">
        <f>IFERROR(__xludf.DUMMYFUNCTION("""COMPUTED_VALUE"""),3966.3)</f>
        <v>3966.3</v>
      </c>
      <c r="C60" s="6">
        <f>IFERROR(__xludf.DUMMYFUNCTION("""COMPUTED_VALUE"""),4205.8)</f>
        <v>4205.8</v>
      </c>
      <c r="D60" s="6">
        <f>IFERROR(__xludf.DUMMYFUNCTION("""COMPUTED_VALUE"""),3913.25)</f>
        <v>3913.25</v>
      </c>
      <c r="E60" s="6">
        <f>IFERROR(__xludf.DUMMYFUNCTION("""COMPUTED_VALUE"""),4147.0)</f>
        <v>4147</v>
      </c>
      <c r="F60" s="6">
        <f>IFERROR(__xludf.DUMMYFUNCTION("""COMPUTED_VALUE"""),1.2401187E7)</f>
        <v>12401187</v>
      </c>
    </row>
    <row r="61">
      <c r="A61" s="7">
        <f>IFERROR(__xludf.DUMMYFUNCTION("""COMPUTED_VALUE"""),45610.64583333333)</f>
        <v>45610.64583</v>
      </c>
      <c r="B61" s="6">
        <f>IFERROR(__xludf.DUMMYFUNCTION("""COMPUTED_VALUE"""),4128.2)</f>
        <v>4128.2</v>
      </c>
      <c r="C61" s="6">
        <f>IFERROR(__xludf.DUMMYFUNCTION("""COMPUTED_VALUE"""),4234.3)</f>
        <v>4234.3</v>
      </c>
      <c r="D61" s="6">
        <f>IFERROR(__xludf.DUMMYFUNCTION("""COMPUTED_VALUE"""),4116.45)</f>
        <v>4116.45</v>
      </c>
      <c r="E61" s="6">
        <f>IFERROR(__xludf.DUMMYFUNCTION("""COMPUTED_VALUE"""),4145.9)</f>
        <v>4145.9</v>
      </c>
      <c r="F61" s="6">
        <f>IFERROR(__xludf.DUMMYFUNCTION("""COMPUTED_VALUE"""),5918372.0)</f>
        <v>5918372</v>
      </c>
    </row>
    <row r="62">
      <c r="A62" s="7">
        <f>IFERROR(__xludf.DUMMYFUNCTION("""COMPUTED_VALUE"""),45618.64583333333)</f>
        <v>45618.64583</v>
      </c>
      <c r="B62" s="6">
        <f>IFERROR(__xludf.DUMMYFUNCTION("""COMPUTED_VALUE"""),4213.0)</f>
        <v>4213</v>
      </c>
      <c r="C62" s="6">
        <f>IFERROR(__xludf.DUMMYFUNCTION("""COMPUTED_VALUE"""),4254.95)</f>
        <v>4254.95</v>
      </c>
      <c r="D62" s="6">
        <f>IFERROR(__xludf.DUMMYFUNCTION("""COMPUTED_VALUE"""),3990.2)</f>
        <v>3990.2</v>
      </c>
      <c r="E62" s="6">
        <f>IFERROR(__xludf.DUMMYFUNCTION("""COMPUTED_VALUE"""),4244.6)</f>
        <v>4244.6</v>
      </c>
      <c r="F62" s="6">
        <f>IFERROR(__xludf.DUMMYFUNCTION("""COMPUTED_VALUE"""),1.0571077E7)</f>
        <v>10571077</v>
      </c>
    </row>
    <row r="63">
      <c r="A63" s="7">
        <f>IFERROR(__xludf.DUMMYFUNCTION("""COMPUTED_VALUE"""),45625.64583333333)</f>
        <v>45625.64583</v>
      </c>
      <c r="B63" s="6">
        <f>IFERROR(__xludf.DUMMYFUNCTION("""COMPUTED_VALUE"""),4280.0)</f>
        <v>4280</v>
      </c>
      <c r="C63" s="6">
        <f>IFERROR(__xludf.DUMMYFUNCTION("""COMPUTED_VALUE"""),4377.4)</f>
        <v>4377.4</v>
      </c>
      <c r="D63" s="6">
        <f>IFERROR(__xludf.DUMMYFUNCTION("""COMPUTED_VALUE"""),4195.65)</f>
        <v>4195.65</v>
      </c>
      <c r="E63" s="6">
        <f>IFERROR(__xludf.DUMMYFUNCTION("""COMPUTED_VALUE"""),4270.85)</f>
        <v>4270.85</v>
      </c>
      <c r="F63" s="6">
        <f>IFERROR(__xludf.DUMMYFUNCTION("""COMPUTED_VALUE"""),1.2247798E7)</f>
        <v>12247798</v>
      </c>
    </row>
    <row r="64">
      <c r="A64" s="7">
        <f>IFERROR(__xludf.DUMMYFUNCTION("""COMPUTED_VALUE"""),45632.64583333333)</f>
        <v>45632.64583</v>
      </c>
      <c r="B64" s="6">
        <f>IFERROR(__xludf.DUMMYFUNCTION("""COMPUTED_VALUE"""),4270.0)</f>
        <v>4270</v>
      </c>
      <c r="C64" s="6">
        <f>IFERROR(__xludf.DUMMYFUNCTION("""COMPUTED_VALUE"""),4489.0)</f>
        <v>4489</v>
      </c>
      <c r="D64" s="6">
        <f>IFERROR(__xludf.DUMMYFUNCTION("""COMPUTED_VALUE"""),4230.05)</f>
        <v>4230.05</v>
      </c>
      <c r="E64" s="6">
        <f>IFERROR(__xludf.DUMMYFUNCTION("""COMPUTED_VALUE"""),4445.5)</f>
        <v>4445.5</v>
      </c>
      <c r="F64" s="6">
        <f>IFERROR(__xludf.DUMMYFUNCTION("""COMPUTED_VALUE"""),1.2573325E7)</f>
        <v>12573325</v>
      </c>
    </row>
    <row r="65">
      <c r="A65" s="7">
        <f>IFERROR(__xludf.DUMMYFUNCTION("""COMPUTED_VALUE"""),45639.64583333333)</f>
        <v>45639.64583</v>
      </c>
      <c r="B65" s="6">
        <f>IFERROR(__xludf.DUMMYFUNCTION("""COMPUTED_VALUE"""),4430.45)</f>
        <v>4430.45</v>
      </c>
      <c r="C65" s="6">
        <f>IFERROR(__xludf.DUMMYFUNCTION("""COMPUTED_VALUE"""),4494.9)</f>
        <v>4494.9</v>
      </c>
      <c r="D65" s="6">
        <f>IFERROR(__xludf.DUMMYFUNCTION("""COMPUTED_VALUE"""),4394.4)</f>
        <v>4394.4</v>
      </c>
      <c r="E65" s="6">
        <f>IFERROR(__xludf.DUMMYFUNCTION("""COMPUTED_VALUE"""),4473.9)</f>
        <v>4473.9</v>
      </c>
      <c r="F65" s="6">
        <f>IFERROR(__xludf.DUMMYFUNCTION("""COMPUTED_VALUE"""),9671413.0)</f>
        <v>9671413</v>
      </c>
    </row>
    <row r="66">
      <c r="A66" s="7">
        <f>IFERROR(__xludf.DUMMYFUNCTION("""COMPUTED_VALUE"""),45646.64583333333)</f>
        <v>45646.64583</v>
      </c>
      <c r="B66" s="6">
        <f>IFERROR(__xludf.DUMMYFUNCTION("""COMPUTED_VALUE"""),4459.0)</f>
        <v>4459</v>
      </c>
      <c r="C66" s="6">
        <f>IFERROR(__xludf.DUMMYFUNCTION("""COMPUTED_VALUE"""),4475.0)</f>
        <v>4475</v>
      </c>
      <c r="D66" s="6">
        <f>IFERROR(__xludf.DUMMYFUNCTION("""COMPUTED_VALUE"""),4152.5)</f>
        <v>4152.5</v>
      </c>
      <c r="E66" s="6">
        <f>IFERROR(__xludf.DUMMYFUNCTION("""COMPUTED_VALUE"""),4170.3)</f>
        <v>4170.3</v>
      </c>
      <c r="F66" s="6">
        <f>IFERROR(__xludf.DUMMYFUNCTION("""COMPUTED_VALUE"""),1.3579407E7)</f>
        <v>13579407</v>
      </c>
    </row>
    <row r="67">
      <c r="A67" s="7">
        <f>IFERROR(__xludf.DUMMYFUNCTION("""COMPUTED_VALUE"""),45653.64583333333)</f>
        <v>45653.64583</v>
      </c>
      <c r="B67" s="6">
        <f>IFERROR(__xludf.DUMMYFUNCTION("""COMPUTED_VALUE"""),4200.05)</f>
        <v>4200.05</v>
      </c>
      <c r="C67" s="6">
        <f>IFERROR(__xludf.DUMMYFUNCTION("""COMPUTED_VALUE"""),4218.0)</f>
        <v>4218</v>
      </c>
      <c r="D67" s="6">
        <f>IFERROR(__xludf.DUMMYFUNCTION("""COMPUTED_VALUE"""),4114.9)</f>
        <v>4114.9</v>
      </c>
      <c r="E67" s="6">
        <f>IFERROR(__xludf.DUMMYFUNCTION("""COMPUTED_VALUE"""),4164.85)</f>
        <v>4164.85</v>
      </c>
      <c r="F67" s="6">
        <f>IFERROR(__xludf.DUMMYFUNCTION("""COMPUTED_VALUE"""),5443788.0)</f>
        <v>5443788</v>
      </c>
    </row>
    <row r="68">
      <c r="A68" s="7">
        <f>IFERROR(__xludf.DUMMYFUNCTION("""COMPUTED_VALUE"""),45660.64583333333)</f>
        <v>45660.64583</v>
      </c>
      <c r="B68" s="6">
        <f>IFERROR(__xludf.DUMMYFUNCTION("""COMPUTED_VALUE"""),4151.0)</f>
        <v>4151</v>
      </c>
      <c r="C68" s="6">
        <f>IFERROR(__xludf.DUMMYFUNCTION("""COMPUTED_VALUE"""),4199.3)</f>
        <v>4199.3</v>
      </c>
      <c r="D68" s="6">
        <f>IFERROR(__xludf.DUMMYFUNCTION("""COMPUTED_VALUE"""),4032.05)</f>
        <v>4032.05</v>
      </c>
      <c r="E68" s="6">
        <f>IFERROR(__xludf.DUMMYFUNCTION("""COMPUTED_VALUE"""),4099.9)</f>
        <v>4099.9</v>
      </c>
      <c r="F68" s="6">
        <f>IFERROR(__xludf.DUMMYFUNCTION("""COMPUTED_VALUE"""),7358547.0)</f>
        <v>7358547</v>
      </c>
    </row>
    <row r="69">
      <c r="A69" s="7">
        <f>IFERROR(__xludf.DUMMYFUNCTION("""COMPUTED_VALUE"""),45667.64583333333)</f>
        <v>45667.64583</v>
      </c>
      <c r="B69" s="6">
        <f>IFERROR(__xludf.DUMMYFUNCTION("""COMPUTED_VALUE"""),4105.5)</f>
        <v>4105.5</v>
      </c>
      <c r="C69" s="6">
        <f>IFERROR(__xludf.DUMMYFUNCTION("""COMPUTED_VALUE"""),4297.0)</f>
        <v>4297</v>
      </c>
      <c r="D69" s="6">
        <f>IFERROR(__xludf.DUMMYFUNCTION("""COMPUTED_VALUE"""),4011.55)</f>
        <v>4011.55</v>
      </c>
      <c r="E69" s="6">
        <f>IFERROR(__xludf.DUMMYFUNCTION("""COMPUTED_VALUE"""),4265.65)</f>
        <v>4265.65</v>
      </c>
      <c r="F69" s="6">
        <f>IFERROR(__xludf.DUMMYFUNCTION("""COMPUTED_VALUE"""),1.7222696E7)</f>
        <v>17222696</v>
      </c>
    </row>
    <row r="70">
      <c r="A70" s="7">
        <f>IFERROR(__xludf.DUMMYFUNCTION("""COMPUTED_VALUE"""),45674.64583333333)</f>
        <v>45674.64583</v>
      </c>
      <c r="B70" s="6">
        <f>IFERROR(__xludf.DUMMYFUNCTION("""COMPUTED_VALUE"""),4245.0)</f>
        <v>4245</v>
      </c>
      <c r="C70" s="6">
        <f>IFERROR(__xludf.DUMMYFUNCTION("""COMPUTED_VALUE"""),4322.95)</f>
        <v>4322.95</v>
      </c>
      <c r="D70" s="6">
        <f>IFERROR(__xludf.DUMMYFUNCTION("""COMPUTED_VALUE"""),4100.05)</f>
        <v>4100.05</v>
      </c>
      <c r="E70" s="6">
        <f>IFERROR(__xludf.DUMMYFUNCTION("""COMPUTED_VALUE"""),4124.3)</f>
        <v>4124.3</v>
      </c>
      <c r="F70" s="6">
        <f>IFERROR(__xludf.DUMMYFUNCTION("""COMPUTED_VALUE"""),1.3498125E7)</f>
        <v>13498125</v>
      </c>
    </row>
    <row r="71">
      <c r="A71" s="7">
        <f>IFERROR(__xludf.DUMMYFUNCTION("""COMPUTED_VALUE"""),45681.64583333333)</f>
        <v>45681.64583</v>
      </c>
      <c r="B71" s="6">
        <f>IFERROR(__xludf.DUMMYFUNCTION("""COMPUTED_VALUE"""),4145.8)</f>
        <v>4145.8</v>
      </c>
      <c r="C71" s="6">
        <f>IFERROR(__xludf.DUMMYFUNCTION("""COMPUTED_VALUE"""),4191.35)</f>
        <v>4191.35</v>
      </c>
      <c r="D71" s="6">
        <f>IFERROR(__xludf.DUMMYFUNCTION("""COMPUTED_VALUE"""),4030.0)</f>
        <v>4030</v>
      </c>
      <c r="E71" s="6">
        <f>IFERROR(__xludf.DUMMYFUNCTION("""COMPUTED_VALUE"""),4152.35)</f>
        <v>4152.35</v>
      </c>
      <c r="F71" s="6">
        <f>IFERROR(__xludf.DUMMYFUNCTION("""COMPUTED_VALUE"""),9401710.0)</f>
        <v>9401710</v>
      </c>
    </row>
    <row r="72">
      <c r="A72" s="7">
        <f>IFERROR(__xludf.DUMMYFUNCTION("""COMPUTED_VALUE"""),45695.64583333333)</f>
        <v>45695.64583</v>
      </c>
      <c r="B72" s="6">
        <f>IFERROR(__xludf.DUMMYFUNCTION("""COMPUTED_VALUE"""),4030.9)</f>
        <v>4030.9</v>
      </c>
      <c r="C72" s="6">
        <f>IFERROR(__xludf.DUMMYFUNCTION("""COMPUTED_VALUE"""),4150.0)</f>
        <v>4150</v>
      </c>
      <c r="D72" s="6">
        <f>IFERROR(__xludf.DUMMYFUNCTION("""COMPUTED_VALUE"""),3998.7)</f>
        <v>3998.7</v>
      </c>
      <c r="E72" s="6">
        <f>IFERROR(__xludf.DUMMYFUNCTION("""COMPUTED_VALUE"""),4029.4)</f>
        <v>4029.4</v>
      </c>
      <c r="F72" s="6">
        <f>IFERROR(__xludf.DUMMYFUNCTION("""COMPUTED_VALUE"""),9340233.0)</f>
        <v>9340233</v>
      </c>
    </row>
    <row r="73">
      <c r="A73" s="7">
        <f>IFERROR(__xludf.DUMMYFUNCTION("""COMPUTED_VALUE"""),45702.64583333333)</f>
        <v>45702.64583</v>
      </c>
      <c r="B73" s="6">
        <f>IFERROR(__xludf.DUMMYFUNCTION("""COMPUTED_VALUE"""),4040.0)</f>
        <v>4040</v>
      </c>
      <c r="C73" s="6">
        <f>IFERROR(__xludf.DUMMYFUNCTION("""COMPUTED_VALUE"""),4052.0)</f>
        <v>4052</v>
      </c>
      <c r="D73" s="6">
        <f>IFERROR(__xludf.DUMMYFUNCTION("""COMPUTED_VALUE"""),3900.0)</f>
        <v>3900</v>
      </c>
      <c r="E73" s="6">
        <f>IFERROR(__xludf.DUMMYFUNCTION("""COMPUTED_VALUE"""),3934.85)</f>
        <v>3934.85</v>
      </c>
      <c r="F73" s="6">
        <f>IFERROR(__xludf.DUMMYFUNCTION("""COMPUTED_VALUE"""),8787706.0)</f>
        <v>8787706</v>
      </c>
    </row>
    <row r="74">
      <c r="A74" s="7">
        <f>IFERROR(__xludf.DUMMYFUNCTION("""COMPUTED_VALUE"""),45709.64583333333)</f>
        <v>45709.64583</v>
      </c>
      <c r="B74" s="6">
        <f>IFERROR(__xludf.DUMMYFUNCTION("""COMPUTED_VALUE"""),3856.5)</f>
        <v>3856.5</v>
      </c>
      <c r="C74" s="6">
        <f>IFERROR(__xludf.DUMMYFUNCTION("""COMPUTED_VALUE"""),3934.0)</f>
        <v>3934</v>
      </c>
      <c r="D74" s="6">
        <f>IFERROR(__xludf.DUMMYFUNCTION("""COMPUTED_VALUE"""),3751.3)</f>
        <v>3751.3</v>
      </c>
      <c r="E74" s="6">
        <f>IFERROR(__xludf.DUMMYFUNCTION("""COMPUTED_VALUE"""),3786.0)</f>
        <v>3786</v>
      </c>
      <c r="F74" s="6">
        <f>IFERROR(__xludf.DUMMYFUNCTION("""COMPUTED_VALUE"""),1.303886E7)</f>
        <v>13038860</v>
      </c>
    </row>
    <row r="75">
      <c r="A75" s="7">
        <f>IFERROR(__xludf.DUMMYFUNCTION("""COMPUTED_VALUE"""),45716.64583333333)</f>
        <v>45716.64583</v>
      </c>
      <c r="B75" s="6">
        <f>IFERROR(__xludf.DUMMYFUNCTION("""COMPUTED_VALUE"""),3743.15)</f>
        <v>3743.15</v>
      </c>
      <c r="C75" s="6">
        <f>IFERROR(__xludf.DUMMYFUNCTION("""COMPUTED_VALUE"""),3763.2)</f>
        <v>3763.2</v>
      </c>
      <c r="D75" s="6">
        <f>IFERROR(__xludf.DUMMYFUNCTION("""COMPUTED_VALUE"""),3457.0)</f>
        <v>3457</v>
      </c>
      <c r="E75" s="6">
        <f>IFERROR(__xludf.DUMMYFUNCTION("""COMPUTED_VALUE"""),3483.25)</f>
        <v>3483.25</v>
      </c>
      <c r="F75" s="6">
        <f>IFERROR(__xludf.DUMMYFUNCTION("""COMPUTED_VALUE"""),1.7519344E7)</f>
        <v>17519344</v>
      </c>
    </row>
    <row r="76">
      <c r="A76" s="7">
        <f>IFERROR(__xludf.DUMMYFUNCTION("""COMPUTED_VALUE"""),45723.64583333333)</f>
        <v>45723.64583</v>
      </c>
      <c r="B76" s="6">
        <f>IFERROR(__xludf.DUMMYFUNCTION("""COMPUTED_VALUE"""),3485.0)</f>
        <v>3485</v>
      </c>
      <c r="C76" s="6">
        <f>IFERROR(__xludf.DUMMYFUNCTION("""COMPUTED_VALUE"""),3625.0)</f>
        <v>3625</v>
      </c>
      <c r="D76" s="6">
        <f>IFERROR(__xludf.DUMMYFUNCTION("""COMPUTED_VALUE"""),3464.3)</f>
        <v>3464.3</v>
      </c>
      <c r="E76" s="6">
        <f>IFERROR(__xludf.DUMMYFUNCTION("""COMPUTED_VALUE"""),3611.2)</f>
        <v>3611.2</v>
      </c>
      <c r="F76" s="6">
        <f>IFERROR(__xludf.DUMMYFUNCTION("""COMPUTED_VALUE"""),1.5127898E7)</f>
        <v>15127898</v>
      </c>
    </row>
    <row r="77">
      <c r="A77" s="7">
        <f>IFERROR(__xludf.DUMMYFUNCTION("""COMPUTED_VALUE"""),45729.64583333333)</f>
        <v>45729.64583</v>
      </c>
      <c r="B77" s="6">
        <f>IFERROR(__xludf.DUMMYFUNCTION("""COMPUTED_VALUE"""),3606.5)</f>
        <v>3606.5</v>
      </c>
      <c r="C77" s="6">
        <f>IFERROR(__xludf.DUMMYFUNCTION("""COMPUTED_VALUE"""),3622.1)</f>
        <v>3622.1</v>
      </c>
      <c r="D77" s="6">
        <f>IFERROR(__xludf.DUMMYFUNCTION("""COMPUTED_VALUE"""),3484.1)</f>
        <v>3484.1</v>
      </c>
      <c r="E77" s="6">
        <f>IFERROR(__xludf.DUMMYFUNCTION("""COMPUTED_VALUE"""),3511.05)</f>
        <v>3511.05</v>
      </c>
      <c r="F77" s="6">
        <f>IFERROR(__xludf.DUMMYFUNCTION("""COMPUTED_VALUE"""),7867247.0)</f>
        <v>7867247</v>
      </c>
    </row>
    <row r="78">
      <c r="A78" s="7">
        <f>IFERROR(__xludf.DUMMYFUNCTION("""COMPUTED_VALUE"""),45737.64583333333)</f>
        <v>45737.64583</v>
      </c>
      <c r="B78" s="6">
        <f>IFERROR(__xludf.DUMMYFUNCTION("""COMPUTED_VALUE"""),3489.0)</f>
        <v>3489</v>
      </c>
      <c r="C78" s="6">
        <f>IFERROR(__xludf.DUMMYFUNCTION("""COMPUTED_VALUE"""),3616.25)</f>
        <v>3616.25</v>
      </c>
      <c r="D78" s="6">
        <f>IFERROR(__xludf.DUMMYFUNCTION("""COMPUTED_VALUE"""),3462.75)</f>
        <v>3462.75</v>
      </c>
      <c r="E78" s="6">
        <f>IFERROR(__xludf.DUMMYFUNCTION("""COMPUTED_VALUE"""),3578.1)</f>
        <v>3578.1</v>
      </c>
      <c r="F78" s="6">
        <f>IFERROR(__xludf.DUMMYFUNCTION("""COMPUTED_VALUE"""),1.5818376E7)</f>
        <v>15818376</v>
      </c>
    </row>
    <row r="79">
      <c r="A79" s="7">
        <f>IFERROR(__xludf.DUMMYFUNCTION("""COMPUTED_VALUE"""),45744.64583333333)</f>
        <v>45744.64583</v>
      </c>
      <c r="B79" s="6">
        <f>IFERROR(__xludf.DUMMYFUNCTION("""COMPUTED_VALUE"""),3600.0)</f>
        <v>3600</v>
      </c>
      <c r="C79" s="6">
        <f>IFERROR(__xludf.DUMMYFUNCTION("""COMPUTED_VALUE"""),3710.0)</f>
        <v>3710</v>
      </c>
      <c r="D79" s="6">
        <f>IFERROR(__xludf.DUMMYFUNCTION("""COMPUTED_VALUE"""),3566.6)</f>
        <v>3566.6</v>
      </c>
      <c r="E79" s="6">
        <f>IFERROR(__xludf.DUMMYFUNCTION("""COMPUTED_VALUE"""),3606.15)</f>
        <v>3606.15</v>
      </c>
      <c r="F79" s="6">
        <f>IFERROR(__xludf.DUMMYFUNCTION("""COMPUTED_VALUE"""),1.1285033E7)</f>
        <v>11285033</v>
      </c>
    </row>
    <row r="80">
      <c r="A80" s="7">
        <f>IFERROR(__xludf.DUMMYFUNCTION("""COMPUTED_VALUE"""),45751.64583333333)</f>
        <v>45751.64583</v>
      </c>
      <c r="B80" s="6">
        <f>IFERROR(__xludf.DUMMYFUNCTION("""COMPUTED_VALUE"""),3572.7)</f>
        <v>3572.7</v>
      </c>
      <c r="C80" s="6">
        <f>IFERROR(__xludf.DUMMYFUNCTION("""COMPUTED_VALUE"""),3584.0)</f>
        <v>3584</v>
      </c>
      <c r="D80" s="6">
        <f>IFERROR(__xludf.DUMMYFUNCTION("""COMPUTED_VALUE"""),3295.5)</f>
        <v>3295.5</v>
      </c>
      <c r="E80" s="6">
        <f>IFERROR(__xludf.DUMMYFUNCTION("""COMPUTED_VALUE"""),3299.4)</f>
        <v>3299.4</v>
      </c>
      <c r="F80" s="6">
        <f>IFERROR(__xludf.DUMMYFUNCTION("""COMPUTED_VALUE"""),1.4237994E7)</f>
        <v>14237994</v>
      </c>
    </row>
    <row r="81">
      <c r="A81" s="7">
        <f>IFERROR(__xludf.DUMMYFUNCTION("""COMPUTED_VALUE"""),45758.64583333333)</f>
        <v>45758.64583</v>
      </c>
      <c r="B81" s="6">
        <f>IFERROR(__xludf.DUMMYFUNCTION("""COMPUTED_VALUE"""),3100.0)</f>
        <v>3100</v>
      </c>
      <c r="C81" s="6">
        <f>IFERROR(__xludf.DUMMYFUNCTION("""COMPUTED_VALUE"""),3349.0)</f>
        <v>3349</v>
      </c>
      <c r="D81" s="6">
        <f>IFERROR(__xludf.DUMMYFUNCTION("""COMPUTED_VALUE"""),3056.05)</f>
        <v>3056.05</v>
      </c>
      <c r="E81" s="6">
        <f>IFERROR(__xludf.DUMMYFUNCTION("""COMPUTED_VALUE"""),3231.5)</f>
        <v>3231.5</v>
      </c>
      <c r="F81" s="6">
        <f>IFERROR(__xludf.DUMMYFUNCTION("""COMPUTED_VALUE"""),2.2280739E7)</f>
        <v>22280739</v>
      </c>
    </row>
    <row r="82">
      <c r="A82" s="7">
        <f>IFERROR(__xludf.DUMMYFUNCTION("""COMPUTED_VALUE"""),45764.64583333333)</f>
        <v>45764.64583</v>
      </c>
      <c r="B82" s="6">
        <f>IFERROR(__xludf.DUMMYFUNCTION("""COMPUTED_VALUE"""),3314.4)</f>
        <v>3314.4</v>
      </c>
      <c r="C82" s="6">
        <f>IFERROR(__xludf.DUMMYFUNCTION("""COMPUTED_VALUE"""),3314.4)</f>
        <v>3314.4</v>
      </c>
      <c r="D82" s="6">
        <f>IFERROR(__xludf.DUMMYFUNCTION("""COMPUTED_VALUE"""),3218.0)</f>
        <v>3218</v>
      </c>
      <c r="E82" s="6">
        <f>IFERROR(__xludf.DUMMYFUNCTION("""COMPUTED_VALUE"""),3298.9)</f>
        <v>3298.9</v>
      </c>
      <c r="F82" s="6">
        <f>IFERROR(__xludf.DUMMYFUNCTION("""COMPUTED_VALUE"""),8828897.0)</f>
        <v>8828897</v>
      </c>
    </row>
    <row r="83">
      <c r="A83" s="7">
        <f>IFERROR(__xludf.DUMMYFUNCTION("""COMPUTED_VALUE"""),45772.64583333333)</f>
        <v>45772.64583</v>
      </c>
      <c r="B83" s="6">
        <f>IFERROR(__xludf.DUMMYFUNCTION("""COMPUTED_VALUE"""),3290.1)</f>
        <v>3290.1</v>
      </c>
      <c r="C83" s="6">
        <f>IFERROR(__xludf.DUMMYFUNCTION("""COMPUTED_VALUE"""),3477.8)</f>
        <v>3477.8</v>
      </c>
      <c r="D83" s="6">
        <f>IFERROR(__xludf.DUMMYFUNCTION("""COMPUTED_VALUE"""),3284.1)</f>
        <v>3284.1</v>
      </c>
      <c r="E83" s="6">
        <f>IFERROR(__xludf.DUMMYFUNCTION("""COMPUTED_VALUE"""),3448.0)</f>
        <v>3448</v>
      </c>
      <c r="F83" s="6">
        <f>IFERROR(__xludf.DUMMYFUNCTION("""COMPUTED_VALUE"""),1.3682533E7)</f>
        <v>13682533</v>
      </c>
    </row>
    <row r="84">
      <c r="A84" s="7">
        <f>IFERROR(__xludf.DUMMYFUNCTION("""COMPUTED_VALUE"""),45779.64583333333)</f>
        <v>45779.64583</v>
      </c>
      <c r="B84" s="6">
        <f>IFERROR(__xludf.DUMMYFUNCTION("""COMPUTED_VALUE"""),3435.0)</f>
        <v>3435</v>
      </c>
      <c r="C84" s="6">
        <f>IFERROR(__xludf.DUMMYFUNCTION("""COMPUTED_VALUE"""),3509.9)</f>
        <v>3509.9</v>
      </c>
      <c r="D84" s="6">
        <f>IFERROR(__xludf.DUMMYFUNCTION("""COMPUTED_VALUE"""),3366.0)</f>
        <v>3366</v>
      </c>
      <c r="E84" s="6">
        <f>IFERROR(__xludf.DUMMYFUNCTION("""COMPUTED_VALUE"""),3444.7)</f>
        <v>3444.7</v>
      </c>
      <c r="F84" s="6">
        <f>IFERROR(__xludf.DUMMYFUNCTION("""COMPUTED_VALUE"""),7702721.0)</f>
        <v>7702721</v>
      </c>
    </row>
    <row r="85">
      <c r="A85" s="7">
        <f>IFERROR(__xludf.DUMMYFUNCTION("""COMPUTED_VALUE"""),45786.64583333333)</f>
        <v>45786.64583</v>
      </c>
      <c r="B85" s="6">
        <f>IFERROR(__xludf.DUMMYFUNCTION("""COMPUTED_VALUE"""),3450.0)</f>
        <v>3450</v>
      </c>
      <c r="C85" s="6">
        <f>IFERROR(__xludf.DUMMYFUNCTION("""COMPUTED_VALUE"""),3504.5)</f>
        <v>3504.5</v>
      </c>
      <c r="D85" s="6">
        <f>IFERROR(__xludf.DUMMYFUNCTION("""COMPUTED_VALUE"""),3398.1)</f>
        <v>3398.1</v>
      </c>
      <c r="E85" s="6">
        <f>IFERROR(__xludf.DUMMYFUNCTION("""COMPUTED_VALUE"""),3440.3)</f>
        <v>3440.3</v>
      </c>
      <c r="F85" s="6">
        <f>IFERROR(__xludf.DUMMYFUNCTION("""COMPUTED_VALUE"""),9161682.0)</f>
        <v>9161682</v>
      </c>
    </row>
    <row r="86">
      <c r="A86" s="7">
        <f>IFERROR(__xludf.DUMMYFUNCTION("""COMPUTED_VALUE"""),45793.64583333333)</f>
        <v>45793.64583</v>
      </c>
      <c r="B86" s="6">
        <f>IFERROR(__xludf.DUMMYFUNCTION("""COMPUTED_VALUE"""),3505.0)</f>
        <v>3505</v>
      </c>
      <c r="C86" s="6">
        <f>IFERROR(__xludf.DUMMYFUNCTION("""COMPUTED_VALUE"""),3630.5)</f>
        <v>3630.5</v>
      </c>
      <c r="D86" s="6">
        <f>IFERROR(__xludf.DUMMYFUNCTION("""COMPUTED_VALUE"""),3502.2)</f>
        <v>3502.2</v>
      </c>
      <c r="E86" s="6">
        <f>IFERROR(__xludf.DUMMYFUNCTION("""COMPUTED_VALUE"""),3561.3)</f>
        <v>3561.3</v>
      </c>
      <c r="F86" s="6">
        <f>IFERROR(__xludf.DUMMYFUNCTION("""COMPUTED_VALUE"""),1.2626121E7)</f>
        <v>12626121</v>
      </c>
    </row>
    <row r="87">
      <c r="A87" s="7">
        <f>IFERROR(__xludf.DUMMYFUNCTION("""COMPUTED_VALUE"""),45800.64583333333)</f>
        <v>45800.64583</v>
      </c>
      <c r="B87" s="6">
        <f>IFERROR(__xludf.DUMMYFUNCTION("""COMPUTED_VALUE"""),3550.0)</f>
        <v>3550</v>
      </c>
      <c r="C87" s="6">
        <f>IFERROR(__xludf.DUMMYFUNCTION("""COMPUTED_VALUE"""),3558.0)</f>
        <v>3558</v>
      </c>
      <c r="D87" s="6">
        <f>IFERROR(__xludf.DUMMYFUNCTION("""COMPUTED_VALUE"""),3451.3)</f>
        <v>3451.3</v>
      </c>
      <c r="E87" s="6">
        <f>IFERROR(__xludf.DUMMYFUNCTION("""COMPUTED_VALUE"""),3514.6)</f>
        <v>3514.6</v>
      </c>
      <c r="F87" s="6">
        <f>IFERROR(__xludf.DUMMYFUNCTION("""COMPUTED_VALUE"""),9324618.0)</f>
        <v>9324618</v>
      </c>
    </row>
    <row r="88">
      <c r="A88" s="7">
        <f>IFERROR(__xludf.DUMMYFUNCTION("""COMPUTED_VALUE"""),45807.64583333333)</f>
        <v>45807.64583</v>
      </c>
      <c r="B88" s="6">
        <f>IFERROR(__xludf.DUMMYFUNCTION("""COMPUTED_VALUE"""),3521.0)</f>
        <v>3521</v>
      </c>
      <c r="C88" s="6">
        <f>IFERROR(__xludf.DUMMYFUNCTION("""COMPUTED_VALUE"""),3545.0)</f>
        <v>3545</v>
      </c>
      <c r="D88" s="6">
        <f>IFERROR(__xludf.DUMMYFUNCTION("""COMPUTED_VALUE"""),3453.1)</f>
        <v>3453.1</v>
      </c>
      <c r="E88" s="6">
        <f>IFERROR(__xludf.DUMMYFUNCTION("""COMPUTED_VALUE"""),3463.4)</f>
        <v>3463.4</v>
      </c>
      <c r="F88" s="6">
        <f>IFERROR(__xludf.DUMMYFUNCTION("""COMPUTED_VALUE"""),1.125052E7)</f>
        <v>11250520</v>
      </c>
    </row>
    <row r="89">
      <c r="A89" s="7">
        <f>IFERROR(__xludf.DUMMYFUNCTION("""COMPUTED_VALUE"""),45814.64583333333)</f>
        <v>45814.64583</v>
      </c>
      <c r="B89" s="6">
        <f>IFERROR(__xludf.DUMMYFUNCTION("""COMPUTED_VALUE"""),3450.0)</f>
        <v>3450</v>
      </c>
      <c r="C89" s="6">
        <f>IFERROR(__xludf.DUMMYFUNCTION("""COMPUTED_VALUE"""),3473.5)</f>
        <v>3473.5</v>
      </c>
      <c r="D89" s="6">
        <f>IFERROR(__xludf.DUMMYFUNCTION("""COMPUTED_VALUE"""),3358.7)</f>
        <v>3358.7</v>
      </c>
      <c r="E89" s="6">
        <f>IFERROR(__xludf.DUMMYFUNCTION("""COMPUTED_VALUE"""),3384.2)</f>
        <v>3384.2</v>
      </c>
      <c r="F89" s="6">
        <f>IFERROR(__xludf.DUMMYFUNCTION("""COMPUTED_VALUE"""),1.292559E7)</f>
        <v>12925590</v>
      </c>
    </row>
    <row r="90">
      <c r="A90" s="7">
        <f>IFERROR(__xludf.DUMMYFUNCTION("""COMPUTED_VALUE"""),45821.64583333333)</f>
        <v>45821.64583</v>
      </c>
      <c r="B90" s="6">
        <f>IFERROR(__xludf.DUMMYFUNCTION("""COMPUTED_VALUE"""),3400.0)</f>
        <v>3400</v>
      </c>
      <c r="C90" s="6">
        <f>IFERROR(__xludf.DUMMYFUNCTION("""COMPUTED_VALUE"""),3489.0)</f>
        <v>3489</v>
      </c>
      <c r="D90" s="6">
        <f>IFERROR(__xludf.DUMMYFUNCTION("""COMPUTED_VALUE"""),3390.9)</f>
        <v>3390.9</v>
      </c>
      <c r="E90" s="6">
        <f>IFERROR(__xludf.DUMMYFUNCTION("""COMPUTED_VALUE"""),3445.7)</f>
        <v>3445.7</v>
      </c>
      <c r="F90" s="6">
        <f>IFERROR(__xludf.DUMMYFUNCTION("""COMPUTED_VALUE"""),1.3224192E7)</f>
        <v>13224192</v>
      </c>
    </row>
    <row r="91">
      <c r="A91" s="7">
        <f>IFERROR(__xludf.DUMMYFUNCTION("""COMPUTED_VALUE"""),45828.64583333333)</f>
        <v>45828.64583</v>
      </c>
      <c r="B91" s="6">
        <f>IFERROR(__xludf.DUMMYFUNCTION("""COMPUTED_VALUE"""),3440.0)</f>
        <v>3440</v>
      </c>
      <c r="C91" s="6">
        <f>IFERROR(__xludf.DUMMYFUNCTION("""COMPUTED_VALUE"""),3538.0)</f>
        <v>3538</v>
      </c>
      <c r="D91" s="6">
        <f>IFERROR(__xludf.DUMMYFUNCTION("""COMPUTED_VALUE"""),3410.9)</f>
        <v>3410.9</v>
      </c>
      <c r="E91" s="6">
        <f>IFERROR(__xludf.DUMMYFUNCTION("""COMPUTED_VALUE"""),3435.7)</f>
        <v>3435.7</v>
      </c>
      <c r="F91" s="6">
        <f>IFERROR(__xludf.DUMMYFUNCTION("""COMPUTED_VALUE"""),1.1766371E7)</f>
        <v>11766371</v>
      </c>
    </row>
    <row r="92">
      <c r="A92" s="7">
        <f>IFERROR(__xludf.DUMMYFUNCTION("""COMPUTED_VALUE"""),45835.64583333333)</f>
        <v>45835.64583</v>
      </c>
      <c r="B92" s="6">
        <f>IFERROR(__xludf.DUMMYFUNCTION("""COMPUTED_VALUE"""),3415.0)</f>
        <v>3415</v>
      </c>
      <c r="C92" s="6">
        <f>IFERROR(__xludf.DUMMYFUNCTION("""COMPUTED_VALUE"""),3466.4)</f>
        <v>3466.4</v>
      </c>
      <c r="D92" s="6">
        <f>IFERROR(__xludf.DUMMYFUNCTION("""COMPUTED_VALUE"""),3370.0)</f>
        <v>3370</v>
      </c>
      <c r="E92" s="6">
        <f>IFERROR(__xludf.DUMMYFUNCTION("""COMPUTED_VALUE"""),3441.1)</f>
        <v>3441.1</v>
      </c>
      <c r="F92" s="6">
        <f>IFERROR(__xludf.DUMMYFUNCTION("""COMPUTED_VALUE"""),1.2941707E7)</f>
        <v>12941707</v>
      </c>
    </row>
    <row r="93">
      <c r="A93" s="7">
        <f>IFERROR(__xludf.DUMMYFUNCTION("""COMPUTED_VALUE"""),45842.64583333333)</f>
        <v>45842.64583</v>
      </c>
      <c r="B93" s="6">
        <f>IFERROR(__xludf.DUMMYFUNCTION("""COMPUTED_VALUE"""),3439.9)</f>
        <v>3439.9</v>
      </c>
      <c r="C93" s="6">
        <f>IFERROR(__xludf.DUMMYFUNCTION("""COMPUTED_VALUE"""),3489.9)</f>
        <v>3489.9</v>
      </c>
      <c r="D93" s="6">
        <f>IFERROR(__xludf.DUMMYFUNCTION("""COMPUTED_VALUE"""),3390.1)</f>
        <v>3390.1</v>
      </c>
      <c r="E93" s="6">
        <f>IFERROR(__xludf.DUMMYFUNCTION("""COMPUTED_VALUE"""),3419.8)</f>
        <v>3419.8</v>
      </c>
      <c r="F93" s="6">
        <f>IFERROR(__xludf.DUMMYFUNCTION("""COMPUTED_VALUE"""),1.0575309E7)</f>
        <v>10575309</v>
      </c>
    </row>
    <row r="94">
      <c r="A94" s="7">
        <f>IFERROR(__xludf.DUMMYFUNCTION("""COMPUTED_VALUE"""),45849.64583333333)</f>
        <v>45849.64583</v>
      </c>
      <c r="B94" s="6">
        <f>IFERROR(__xludf.DUMMYFUNCTION("""COMPUTED_VALUE"""),3418.3)</f>
        <v>3418.3</v>
      </c>
      <c r="C94" s="6">
        <f>IFERROR(__xludf.DUMMYFUNCTION("""COMPUTED_VALUE"""),3426.1)</f>
        <v>3426.1</v>
      </c>
      <c r="D94" s="6">
        <f>IFERROR(__xludf.DUMMYFUNCTION("""COMPUTED_VALUE"""),3261.1)</f>
        <v>3261.1</v>
      </c>
      <c r="E94" s="6">
        <f>IFERROR(__xludf.DUMMYFUNCTION("""COMPUTED_VALUE"""),3266.0)</f>
        <v>3266</v>
      </c>
      <c r="F94" s="6">
        <f>IFERROR(__xludf.DUMMYFUNCTION("""COMPUTED_VALUE"""),1.6669916E7)</f>
        <v>16669916</v>
      </c>
    </row>
    <row r="95">
      <c r="A95" s="7">
        <f>IFERROR(__xludf.DUMMYFUNCTION("""COMPUTED_VALUE"""),45856.64583333333)</f>
        <v>45856.64583</v>
      </c>
      <c r="B95" s="6">
        <f>IFERROR(__xludf.DUMMYFUNCTION("""COMPUTED_VALUE"""),3266.0)</f>
        <v>3266</v>
      </c>
      <c r="C95" s="6">
        <f>IFERROR(__xludf.DUMMYFUNCTION("""COMPUTED_VALUE"""),3272.0)</f>
        <v>3272</v>
      </c>
      <c r="D95" s="6">
        <f>IFERROR(__xludf.DUMMYFUNCTION("""COMPUTED_VALUE"""),3187.0)</f>
        <v>3187</v>
      </c>
      <c r="E95" s="6">
        <f>IFERROR(__xludf.DUMMYFUNCTION("""COMPUTED_VALUE"""),3189.9)</f>
        <v>3189.9</v>
      </c>
      <c r="F95" s="6">
        <f>IFERROR(__xludf.DUMMYFUNCTION("""COMPUTED_VALUE"""),1.5435916E7)</f>
        <v>15435916</v>
      </c>
    </row>
    <row r="96">
      <c r="A96" s="7">
        <f>IFERROR(__xludf.DUMMYFUNCTION("""COMPUTED_VALUE"""),45863.64583333333)</f>
        <v>45863.64583</v>
      </c>
      <c r="B96" s="6">
        <f>IFERROR(__xludf.DUMMYFUNCTION("""COMPUTED_VALUE"""),3190.0)</f>
        <v>3190</v>
      </c>
      <c r="C96" s="6">
        <f>IFERROR(__xludf.DUMMYFUNCTION("""COMPUTED_VALUE"""),3197.6)</f>
        <v>3197.6</v>
      </c>
      <c r="D96" s="6">
        <f>IFERROR(__xludf.DUMMYFUNCTION("""COMPUTED_VALUE"""),3125.6)</f>
        <v>3125.6</v>
      </c>
      <c r="E96" s="6">
        <f>IFERROR(__xludf.DUMMYFUNCTION("""COMPUTED_VALUE"""),3135.8)</f>
        <v>3135.8</v>
      </c>
      <c r="F96" s="6">
        <f>IFERROR(__xludf.DUMMYFUNCTION("""COMPUTED_VALUE"""),1.4468952E7)</f>
        <v>14468952</v>
      </c>
    </row>
    <row r="97">
      <c r="A97" s="7">
        <f>IFERROR(__xludf.DUMMYFUNCTION("""COMPUTED_VALUE"""),45870.64583333333)</f>
        <v>45870.64583</v>
      </c>
      <c r="B97" s="6">
        <f>IFERROR(__xludf.DUMMYFUNCTION("""COMPUTED_VALUE"""),3110.0)</f>
        <v>3110</v>
      </c>
      <c r="C97" s="6">
        <f>IFERROR(__xludf.DUMMYFUNCTION("""COMPUTED_VALUE"""),3118.0)</f>
        <v>3118</v>
      </c>
      <c r="D97" s="6">
        <f>IFERROR(__xludf.DUMMYFUNCTION("""COMPUTED_VALUE"""),3000.0)</f>
        <v>3000</v>
      </c>
      <c r="E97" s="6">
        <f>IFERROR(__xludf.DUMMYFUNCTION("""COMPUTED_VALUE"""),3003.0)</f>
        <v>3003</v>
      </c>
      <c r="F97" s="6">
        <f>IFERROR(__xludf.DUMMYFUNCTION("""COMPUTED_VALUE"""),1.6062124E7)</f>
        <v>16062124</v>
      </c>
    </row>
    <row r="98">
      <c r="A98" s="7">
        <f>IFERROR(__xludf.DUMMYFUNCTION("""COMPUTED_VALUE"""),45877.64583333333)</f>
        <v>45877.64583</v>
      </c>
      <c r="B98" s="6">
        <f>IFERROR(__xludf.DUMMYFUNCTION("""COMPUTED_VALUE"""),3009.1)</f>
        <v>3009.1</v>
      </c>
      <c r="C98" s="6">
        <f>IFERROR(__xludf.DUMMYFUNCTION("""COMPUTED_VALUE"""),3079.4)</f>
        <v>3079.4</v>
      </c>
      <c r="D98" s="6">
        <f>IFERROR(__xludf.DUMMYFUNCTION("""COMPUTED_VALUE"""),2991.6)</f>
        <v>2991.6</v>
      </c>
      <c r="E98" s="6">
        <f>IFERROR(__xludf.DUMMYFUNCTION("""COMPUTED_VALUE"""),3036.4)</f>
        <v>3036.4</v>
      </c>
      <c r="F98" s="6">
        <f>IFERROR(__xludf.DUMMYFUNCTION("""COMPUTED_VALUE"""),1.1239545E7)</f>
        <v>11239545</v>
      </c>
    </row>
    <row r="99">
      <c r="A99" s="7">
        <f>IFERROR(__xludf.DUMMYFUNCTION("""COMPUTED_VALUE"""),45883.64583333333)</f>
        <v>45883.64583</v>
      </c>
      <c r="B99" s="6">
        <f>IFERROR(__xludf.DUMMYFUNCTION("""COMPUTED_VALUE"""),3036.4)</f>
        <v>3036.4</v>
      </c>
      <c r="C99" s="6">
        <f>IFERROR(__xludf.DUMMYFUNCTION("""COMPUTED_VALUE"""),3096.4)</f>
        <v>3096.4</v>
      </c>
      <c r="D99" s="6">
        <f>IFERROR(__xludf.DUMMYFUNCTION("""COMPUTED_VALUE"""),3019.1)</f>
        <v>3019.1</v>
      </c>
      <c r="E99" s="6">
        <f>IFERROR(__xludf.DUMMYFUNCTION("""COMPUTED_VALUE"""),3022.3)</f>
        <v>3022.3</v>
      </c>
      <c r="F99" s="6">
        <f>IFERROR(__xludf.DUMMYFUNCTION("""COMPUTED_VALUE"""),1.0732787E7)</f>
        <v>10732787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IFERROR(__xludf.DUMMYFUNCTION("""COMPUTED_VALUE"""),3046.5)</f>
        <v>3046.5</v>
      </c>
      <c r="C100" s="6">
        <f>IFERROR(__xludf.DUMMYFUNCTION("""COMPUTED_VALUE"""),3130.0)</f>
        <v>3130</v>
      </c>
      <c r="D100" s="6">
        <f>IFERROR(__xludf.DUMMYFUNCTION("""COMPUTED_VALUE"""),3003.4)</f>
        <v>3003.4</v>
      </c>
      <c r="E100" s="6">
        <f>IFERROR(__xludf.DUMMYFUNCTION("""COMPUTED_VALUE"""),3054.0)</f>
        <v>3054</v>
      </c>
      <c r="F100" s="6">
        <f>IFERROR(__xludf.DUMMYFUNCTION("""COMPUTED_VALUE"""),1.5373268E7)</f>
        <v>15373268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IFERROR(__xludf.DUMMYFUNCTION("""COMPUTED_VALUE"""),3087.3)</f>
        <v>3087.3</v>
      </c>
      <c r="C101" s="6">
        <f>IFERROR(__xludf.DUMMYFUNCTION("""COMPUTED_VALUE"""),3162.0)</f>
        <v>3162</v>
      </c>
      <c r="D101" s="6">
        <f>IFERROR(__xludf.DUMMYFUNCTION("""COMPUTED_VALUE"""),3077.1)</f>
        <v>3077.1</v>
      </c>
      <c r="E101" s="6">
        <f>IFERROR(__xludf.DUMMYFUNCTION("""COMPUTED_VALUE"""),3157.2)</f>
        <v>3157.2</v>
      </c>
      <c r="F101" s="6">
        <f>IFERROR(__xludf.DUMMYFUNCTION("""COMPUTED_VALUE"""),6.3468584E7)</f>
        <v>63468584</v>
      </c>
    </row>
  </sheetData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IFERROR(__xludf.DUMMYFUNCTION("GOOGLEFINANCE(""NSE:TECHM"",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IFERROR(__xludf.DUMMYFUNCTION("""COMPUTED_VALUE"""),1189.55)</f>
        <v>1189.55</v>
      </c>
      <c r="C2" s="6">
        <f>IFERROR(__xludf.DUMMYFUNCTION("""COMPUTED_VALUE"""),1229.9)</f>
        <v>1229.9</v>
      </c>
      <c r="D2" s="6">
        <f>IFERROR(__xludf.DUMMYFUNCTION("""COMPUTED_VALUE"""),1182.3)</f>
        <v>1182.3</v>
      </c>
      <c r="E2" s="6">
        <f>IFERROR(__xludf.DUMMYFUNCTION("""COMPUTED_VALUE"""),1228.05)</f>
        <v>1228.05</v>
      </c>
      <c r="F2" s="6">
        <f>IFERROR(__xludf.DUMMYFUNCTION("""COMPUTED_VALUE"""),8889481.0)</f>
        <v>8889481</v>
      </c>
    </row>
    <row r="3">
      <c r="A3" s="7">
        <f>IFERROR(__xludf.DUMMYFUNCTION("""COMPUTED_VALUE"""),45177.64583333333)</f>
        <v>45177.64583</v>
      </c>
      <c r="B3" s="6">
        <f>IFERROR(__xludf.DUMMYFUNCTION("""COMPUTED_VALUE"""),1235.0)</f>
        <v>1235</v>
      </c>
      <c r="C3" s="6">
        <f>IFERROR(__xludf.DUMMYFUNCTION("""COMPUTED_VALUE"""),1278.0)</f>
        <v>1278</v>
      </c>
      <c r="D3" s="6">
        <f>IFERROR(__xludf.DUMMYFUNCTION("""COMPUTED_VALUE"""),1225.55)</f>
        <v>1225.55</v>
      </c>
      <c r="E3" s="6">
        <f>IFERROR(__xludf.DUMMYFUNCTION("""COMPUTED_VALUE"""),1262.95)</f>
        <v>1262.95</v>
      </c>
      <c r="F3" s="6">
        <f>IFERROR(__xludf.DUMMYFUNCTION("""COMPUTED_VALUE"""),1.1706223E7)</f>
        <v>11706223</v>
      </c>
    </row>
    <row r="4">
      <c r="A4" s="7">
        <f>IFERROR(__xludf.DUMMYFUNCTION("""COMPUTED_VALUE"""),45184.64583333333)</f>
        <v>45184.64583</v>
      </c>
      <c r="B4" s="6">
        <f>IFERROR(__xludf.DUMMYFUNCTION("""COMPUTED_VALUE"""),1265.0)</f>
        <v>1265</v>
      </c>
      <c r="C4" s="6">
        <f>IFERROR(__xludf.DUMMYFUNCTION("""COMPUTED_VALUE"""),1303.7)</f>
        <v>1303.7</v>
      </c>
      <c r="D4" s="6">
        <f>IFERROR(__xludf.DUMMYFUNCTION("""COMPUTED_VALUE"""),1251.55)</f>
        <v>1251.55</v>
      </c>
      <c r="E4" s="6">
        <f>IFERROR(__xludf.DUMMYFUNCTION("""COMPUTED_VALUE"""),1300.05)</f>
        <v>1300.05</v>
      </c>
      <c r="F4" s="6">
        <f>IFERROR(__xludf.DUMMYFUNCTION("""COMPUTED_VALUE"""),1.2438294E7)</f>
        <v>12438294</v>
      </c>
    </row>
    <row r="5">
      <c r="A5" s="7">
        <f>IFERROR(__xludf.DUMMYFUNCTION("""COMPUTED_VALUE"""),45191.64583333333)</f>
        <v>45191.64583</v>
      </c>
      <c r="B5" s="6">
        <f>IFERROR(__xludf.DUMMYFUNCTION("""COMPUTED_VALUE"""),1301.0)</f>
        <v>1301</v>
      </c>
      <c r="C5" s="6">
        <f>IFERROR(__xludf.DUMMYFUNCTION("""COMPUTED_VALUE"""),1320.0)</f>
        <v>1320</v>
      </c>
      <c r="D5" s="6">
        <f>IFERROR(__xludf.DUMMYFUNCTION("""COMPUTED_VALUE"""),1265.9)</f>
        <v>1265.9</v>
      </c>
      <c r="E5" s="6">
        <f>IFERROR(__xludf.DUMMYFUNCTION("""COMPUTED_VALUE"""),1305.35)</f>
        <v>1305.35</v>
      </c>
      <c r="F5" s="6">
        <f>IFERROR(__xludf.DUMMYFUNCTION("""COMPUTED_VALUE"""),1.1024467E7)</f>
        <v>11024467</v>
      </c>
    </row>
    <row r="6">
      <c r="A6" s="7">
        <f>IFERROR(__xludf.DUMMYFUNCTION("""COMPUTED_VALUE"""),45198.64583333333)</f>
        <v>45198.64583</v>
      </c>
      <c r="B6" s="6">
        <f>IFERROR(__xludf.DUMMYFUNCTION("""COMPUTED_VALUE"""),1305.35)</f>
        <v>1305.35</v>
      </c>
      <c r="C6" s="6">
        <f>IFERROR(__xludf.DUMMYFUNCTION("""COMPUTED_VALUE"""),1314.4)</f>
        <v>1314.4</v>
      </c>
      <c r="D6" s="6">
        <f>IFERROR(__xludf.DUMMYFUNCTION("""COMPUTED_VALUE"""),1210.0)</f>
        <v>1210</v>
      </c>
      <c r="E6" s="6">
        <f>IFERROR(__xludf.DUMMYFUNCTION("""COMPUTED_VALUE"""),1222.8)</f>
        <v>1222.8</v>
      </c>
      <c r="F6" s="6">
        <f>IFERROR(__xludf.DUMMYFUNCTION("""COMPUTED_VALUE"""),1.4241851E7)</f>
        <v>14241851</v>
      </c>
    </row>
    <row r="7">
      <c r="A7" s="7">
        <f>IFERROR(__xludf.DUMMYFUNCTION("""COMPUTED_VALUE"""),45205.64583333333)</f>
        <v>45205.64583</v>
      </c>
      <c r="B7" s="6">
        <f>IFERROR(__xludf.DUMMYFUNCTION("""COMPUTED_VALUE"""),1220.6)</f>
        <v>1220.6</v>
      </c>
      <c r="C7" s="6">
        <f>IFERROR(__xludf.DUMMYFUNCTION("""COMPUTED_VALUE"""),1230.7)</f>
        <v>1230.7</v>
      </c>
      <c r="D7" s="6">
        <f>IFERROR(__xludf.DUMMYFUNCTION("""COMPUTED_VALUE"""),1186.05)</f>
        <v>1186.05</v>
      </c>
      <c r="E7" s="6">
        <f>IFERROR(__xludf.DUMMYFUNCTION("""COMPUTED_VALUE"""),1216.9)</f>
        <v>1216.9</v>
      </c>
      <c r="F7" s="6">
        <f>IFERROR(__xludf.DUMMYFUNCTION("""COMPUTED_VALUE"""),7907225.0)</f>
        <v>7907225</v>
      </c>
    </row>
    <row r="8">
      <c r="A8" s="7">
        <f>IFERROR(__xludf.DUMMYFUNCTION("""COMPUTED_VALUE"""),45212.64583333333)</f>
        <v>45212.64583</v>
      </c>
      <c r="B8" s="6">
        <f>IFERROR(__xludf.DUMMYFUNCTION("""COMPUTED_VALUE"""),1203.25)</f>
        <v>1203.25</v>
      </c>
      <c r="C8" s="6">
        <f>IFERROR(__xludf.DUMMYFUNCTION("""COMPUTED_VALUE"""),1238.9)</f>
        <v>1238.9</v>
      </c>
      <c r="D8" s="6">
        <f>IFERROR(__xludf.DUMMYFUNCTION("""COMPUTED_VALUE"""),1180.0)</f>
        <v>1180</v>
      </c>
      <c r="E8" s="6">
        <f>IFERROR(__xludf.DUMMYFUNCTION("""COMPUTED_VALUE"""),1194.1)</f>
        <v>1194.1</v>
      </c>
      <c r="F8" s="6">
        <f>IFERROR(__xludf.DUMMYFUNCTION("""COMPUTED_VALUE"""),1.0296007E7)</f>
        <v>10296007</v>
      </c>
    </row>
    <row r="9">
      <c r="A9" s="7">
        <f>IFERROR(__xludf.DUMMYFUNCTION("""COMPUTED_VALUE"""),45219.64583333333)</f>
        <v>45219.64583</v>
      </c>
      <c r="B9" s="6">
        <f>IFERROR(__xludf.DUMMYFUNCTION("""COMPUTED_VALUE"""),1195.3)</f>
        <v>1195.3</v>
      </c>
      <c r="C9" s="6">
        <f>IFERROR(__xludf.DUMMYFUNCTION("""COMPUTED_VALUE"""),1203.0)</f>
        <v>1203</v>
      </c>
      <c r="D9" s="6">
        <f>IFERROR(__xludf.DUMMYFUNCTION("""COMPUTED_VALUE"""),1148.4)</f>
        <v>1148.4</v>
      </c>
      <c r="E9" s="6">
        <f>IFERROR(__xludf.DUMMYFUNCTION("""COMPUTED_VALUE"""),1170.7)</f>
        <v>1170.7</v>
      </c>
      <c r="F9" s="6">
        <f>IFERROR(__xludf.DUMMYFUNCTION("""COMPUTED_VALUE"""),1.2209179E7)</f>
        <v>12209179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IFERROR(__xludf.DUMMYFUNCTION("""COMPUTED_VALUE"""),1164.1)</f>
        <v>1164.1</v>
      </c>
      <c r="C10" s="6">
        <f>IFERROR(__xludf.DUMMYFUNCTION("""COMPUTED_VALUE"""),1170.95)</f>
        <v>1170.95</v>
      </c>
      <c r="D10" s="6">
        <f>IFERROR(__xludf.DUMMYFUNCTION("""COMPUTED_VALUE"""),1098.15)</f>
        <v>1098.15</v>
      </c>
      <c r="E10" s="6">
        <f>IFERROR(__xludf.DUMMYFUNCTION("""COMPUTED_VALUE"""),1120.55)</f>
        <v>1120.55</v>
      </c>
      <c r="F10" s="6">
        <f>IFERROR(__xludf.DUMMYFUNCTION("""COMPUTED_VALUE"""),1.1241143E7)</f>
        <v>11241143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IFERROR(__xludf.DUMMYFUNCTION("""COMPUTED_VALUE"""),1120.55)</f>
        <v>1120.55</v>
      </c>
      <c r="C11" s="6">
        <f>IFERROR(__xludf.DUMMYFUNCTION("""COMPUTED_VALUE"""),1138.9)</f>
        <v>1138.9</v>
      </c>
      <c r="D11" s="6">
        <f>IFERROR(__xludf.DUMMYFUNCTION("""COMPUTED_VALUE"""),1113.8)</f>
        <v>1113.8</v>
      </c>
      <c r="E11" s="6">
        <f>IFERROR(__xludf.DUMMYFUNCTION("""COMPUTED_VALUE"""),1133.1)</f>
        <v>1133.1</v>
      </c>
      <c r="F11" s="6">
        <f>IFERROR(__xludf.DUMMYFUNCTION("""COMPUTED_VALUE"""),8340416.0)</f>
        <v>8340416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IFERROR(__xludf.DUMMYFUNCTION("""COMPUTED_VALUE"""),1137.5)</f>
        <v>1137.5</v>
      </c>
      <c r="C12" s="6">
        <f>IFERROR(__xludf.DUMMYFUNCTION("""COMPUTED_VALUE"""),1152.85)</f>
        <v>1152.85</v>
      </c>
      <c r="D12" s="6">
        <f>IFERROR(__xludf.DUMMYFUNCTION("""COMPUTED_VALUE"""),1117.2)</f>
        <v>1117.2</v>
      </c>
      <c r="E12" s="6">
        <f>IFERROR(__xludf.DUMMYFUNCTION("""COMPUTED_VALUE"""),1138.15)</f>
        <v>1138.15</v>
      </c>
      <c r="F12" s="6">
        <f>IFERROR(__xludf.DUMMYFUNCTION("""COMPUTED_VALUE"""),9029887.0)</f>
        <v>9029887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IFERROR(__xludf.DUMMYFUNCTION("""COMPUTED_VALUE"""),1146.0)</f>
        <v>1146</v>
      </c>
      <c r="C13" s="6">
        <f>IFERROR(__xludf.DUMMYFUNCTION("""COMPUTED_VALUE"""),1214.95)</f>
        <v>1214.95</v>
      </c>
      <c r="D13" s="6">
        <f>IFERROR(__xludf.DUMMYFUNCTION("""COMPUTED_VALUE"""),1128.0)</f>
        <v>1128</v>
      </c>
      <c r="E13" s="6">
        <f>IFERROR(__xludf.DUMMYFUNCTION("""COMPUTED_VALUE"""),1202.75)</f>
        <v>1202.75</v>
      </c>
      <c r="F13" s="6">
        <f>IFERROR(__xludf.DUMMYFUNCTION("""COMPUTED_VALUE"""),6809636.0)</f>
        <v>6809636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IFERROR(__xludf.DUMMYFUNCTION("""COMPUTED_VALUE"""),1204.9)</f>
        <v>1204.9</v>
      </c>
      <c r="C14" s="6">
        <f>IFERROR(__xludf.DUMMYFUNCTION("""COMPUTED_VALUE"""),1222.5)</f>
        <v>1222.5</v>
      </c>
      <c r="D14" s="6">
        <f>IFERROR(__xludf.DUMMYFUNCTION("""COMPUTED_VALUE"""),1195.1)</f>
        <v>1195.1</v>
      </c>
      <c r="E14" s="6">
        <f>IFERROR(__xludf.DUMMYFUNCTION("""COMPUTED_VALUE"""),1197.85)</f>
        <v>1197.85</v>
      </c>
      <c r="F14" s="6">
        <f>IFERROR(__xludf.DUMMYFUNCTION("""COMPUTED_VALUE"""),4493872.0)</f>
        <v>4493872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IFERROR(__xludf.DUMMYFUNCTION("""COMPUTED_VALUE"""),1195.1)</f>
        <v>1195.1</v>
      </c>
      <c r="C15" s="6">
        <f>IFERROR(__xludf.DUMMYFUNCTION("""COMPUTED_VALUE"""),1234.6)</f>
        <v>1234.6</v>
      </c>
      <c r="D15" s="6">
        <f>IFERROR(__xludf.DUMMYFUNCTION("""COMPUTED_VALUE"""),1186.0)</f>
        <v>1186</v>
      </c>
      <c r="E15" s="6">
        <f>IFERROR(__xludf.DUMMYFUNCTION("""COMPUTED_VALUE"""),1220.55)</f>
        <v>1220.55</v>
      </c>
      <c r="F15" s="6">
        <f>IFERROR(__xludf.DUMMYFUNCTION("""COMPUTED_VALUE"""),6805505.0)</f>
        <v>6805505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IFERROR(__xludf.DUMMYFUNCTION("""COMPUTED_VALUE"""),1238.0)</f>
        <v>1238</v>
      </c>
      <c r="C16" s="6">
        <f>IFERROR(__xludf.DUMMYFUNCTION("""COMPUTED_VALUE"""),1249.2)</f>
        <v>1249.2</v>
      </c>
      <c r="D16" s="6">
        <f>IFERROR(__xludf.DUMMYFUNCTION("""COMPUTED_VALUE"""),1208.85)</f>
        <v>1208.85</v>
      </c>
      <c r="E16" s="6">
        <f>IFERROR(__xludf.DUMMYFUNCTION("""COMPUTED_VALUE"""),1225.3)</f>
        <v>1225.3</v>
      </c>
      <c r="F16" s="6">
        <f>IFERROR(__xludf.DUMMYFUNCTION("""COMPUTED_VALUE"""),9438814.0)</f>
        <v>9438814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IFERROR(__xludf.DUMMYFUNCTION("""COMPUTED_VALUE"""),1231.0)</f>
        <v>1231</v>
      </c>
      <c r="C17" s="6">
        <f>IFERROR(__xludf.DUMMYFUNCTION("""COMPUTED_VALUE"""),1324.8)</f>
        <v>1324.8</v>
      </c>
      <c r="D17" s="6">
        <f>IFERROR(__xludf.DUMMYFUNCTION("""COMPUTED_VALUE"""),1197.05)</f>
        <v>1197.05</v>
      </c>
      <c r="E17" s="6">
        <f>IFERROR(__xludf.DUMMYFUNCTION("""COMPUTED_VALUE"""),1306.1)</f>
        <v>1306.1</v>
      </c>
      <c r="F17" s="6">
        <f>IFERROR(__xludf.DUMMYFUNCTION("""COMPUTED_VALUE"""),1.6887542E7)</f>
        <v>16887542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IFERROR(__xludf.DUMMYFUNCTION("""COMPUTED_VALUE"""),1305.0)</f>
        <v>1305</v>
      </c>
      <c r="C18" s="6">
        <f>IFERROR(__xludf.DUMMYFUNCTION("""COMPUTED_VALUE"""),1333.05)</f>
        <v>1333.05</v>
      </c>
      <c r="D18" s="6">
        <f>IFERROR(__xludf.DUMMYFUNCTION("""COMPUTED_VALUE"""),1226.0)</f>
        <v>1226</v>
      </c>
      <c r="E18" s="6">
        <f>IFERROR(__xludf.DUMMYFUNCTION("""COMPUTED_VALUE"""),1275.15)</f>
        <v>1275.15</v>
      </c>
      <c r="F18" s="6">
        <f>IFERROR(__xludf.DUMMYFUNCTION("""COMPUTED_VALUE"""),1.2884958E7)</f>
        <v>12884958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IFERROR(__xludf.DUMMYFUNCTION("""COMPUTED_VALUE"""),1275.0)</f>
        <v>1275</v>
      </c>
      <c r="C19" s="6">
        <f>IFERROR(__xludf.DUMMYFUNCTION("""COMPUTED_VALUE"""),1291.95)</f>
        <v>1291.95</v>
      </c>
      <c r="D19" s="6">
        <f>IFERROR(__xludf.DUMMYFUNCTION("""COMPUTED_VALUE"""),1260.55)</f>
        <v>1260.55</v>
      </c>
      <c r="E19" s="6">
        <f>IFERROR(__xludf.DUMMYFUNCTION("""COMPUTED_VALUE"""),1272.65)</f>
        <v>1272.65</v>
      </c>
      <c r="F19" s="6">
        <f>IFERROR(__xludf.DUMMYFUNCTION("""COMPUTED_VALUE"""),6777682.0)</f>
        <v>6777682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IFERROR(__xludf.DUMMYFUNCTION("""COMPUTED_VALUE"""),1273.0)</f>
        <v>1273</v>
      </c>
      <c r="C20" s="6">
        <f>IFERROR(__xludf.DUMMYFUNCTION("""COMPUTED_VALUE"""),1303.8)</f>
        <v>1303.8</v>
      </c>
      <c r="D20" s="6">
        <f>IFERROR(__xludf.DUMMYFUNCTION("""COMPUTED_VALUE"""),1231.7)</f>
        <v>1231.7</v>
      </c>
      <c r="E20" s="6">
        <f>IFERROR(__xludf.DUMMYFUNCTION("""COMPUTED_VALUE"""),1248.3)</f>
        <v>1248.3</v>
      </c>
      <c r="F20" s="6">
        <f>IFERROR(__xludf.DUMMYFUNCTION("""COMPUTED_VALUE"""),1.0735658E7)</f>
        <v>10735658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IFERROR(__xludf.DUMMYFUNCTION("""COMPUTED_VALUE"""),1250.2)</f>
        <v>1250.2</v>
      </c>
      <c r="C21" s="6">
        <f>IFERROR(__xludf.DUMMYFUNCTION("""COMPUTED_VALUE"""),1311.75)</f>
        <v>1311.75</v>
      </c>
      <c r="D21" s="6">
        <f>IFERROR(__xludf.DUMMYFUNCTION("""COMPUTED_VALUE"""),1221.4)</f>
        <v>1221.4</v>
      </c>
      <c r="E21" s="6">
        <f>IFERROR(__xludf.DUMMYFUNCTION("""COMPUTED_VALUE"""),1308.05)</f>
        <v>1308.05</v>
      </c>
      <c r="F21" s="6">
        <f>IFERROR(__xludf.DUMMYFUNCTION("""COMPUTED_VALUE"""),9077691.0)</f>
        <v>9077691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IFERROR(__xludf.DUMMYFUNCTION("""COMPUTED_VALUE"""),1396.5)</f>
        <v>1396.5</v>
      </c>
      <c r="C22" s="6">
        <f>IFERROR(__xludf.DUMMYFUNCTION("""COMPUTED_VALUE"""),1416.3)</f>
        <v>1416.3</v>
      </c>
      <c r="D22" s="6">
        <f>IFERROR(__xludf.DUMMYFUNCTION("""COMPUTED_VALUE"""),1312.05)</f>
        <v>1312.05</v>
      </c>
      <c r="E22" s="6">
        <f>IFERROR(__xludf.DUMMYFUNCTION("""COMPUTED_VALUE"""),1322.05)</f>
        <v>1322.05</v>
      </c>
      <c r="F22" s="6">
        <f>IFERROR(__xludf.DUMMYFUNCTION("""COMPUTED_VALUE"""),1.3116658E7)</f>
        <v>13116658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IFERROR(__xludf.DUMMYFUNCTION("""COMPUTED_VALUE"""),1338.0)</f>
        <v>1338</v>
      </c>
      <c r="C23" s="6">
        <f>IFERROR(__xludf.DUMMYFUNCTION("""COMPUTED_VALUE"""),1354.0)</f>
        <v>1354</v>
      </c>
      <c r="D23" s="6">
        <f>IFERROR(__xludf.DUMMYFUNCTION("""COMPUTED_VALUE"""),1309.75)</f>
        <v>1309.75</v>
      </c>
      <c r="E23" s="6">
        <f>IFERROR(__xludf.DUMMYFUNCTION("""COMPUTED_VALUE"""),1338.1)</f>
        <v>1338.1</v>
      </c>
      <c r="F23" s="6">
        <f>IFERROR(__xludf.DUMMYFUNCTION("""COMPUTED_VALUE"""),1.0712674E7)</f>
        <v>10712674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IFERROR(__xludf.DUMMYFUNCTION("""COMPUTED_VALUE"""),1345.8)</f>
        <v>1345.8</v>
      </c>
      <c r="C24" s="6">
        <f>IFERROR(__xludf.DUMMYFUNCTION("""COMPUTED_VALUE"""),1362.4)</f>
        <v>1362.4</v>
      </c>
      <c r="D24" s="6">
        <f>IFERROR(__xludf.DUMMYFUNCTION("""COMPUTED_VALUE"""),1302.0)</f>
        <v>1302</v>
      </c>
      <c r="E24" s="6">
        <f>IFERROR(__xludf.DUMMYFUNCTION("""COMPUTED_VALUE"""),1311.05)</f>
        <v>1311.05</v>
      </c>
      <c r="F24" s="6">
        <f>IFERROR(__xludf.DUMMYFUNCTION("""COMPUTED_VALUE"""),9066141.0)</f>
        <v>9066141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IFERROR(__xludf.DUMMYFUNCTION("""COMPUTED_VALUE"""),1318.4)</f>
        <v>1318.4</v>
      </c>
      <c r="C25" s="6">
        <f>IFERROR(__xludf.DUMMYFUNCTION("""COMPUTED_VALUE"""),1334.8)</f>
        <v>1334.8</v>
      </c>
      <c r="D25" s="6">
        <f>IFERROR(__xludf.DUMMYFUNCTION("""COMPUTED_VALUE"""),1282.65)</f>
        <v>1282.65</v>
      </c>
      <c r="E25" s="6">
        <f>IFERROR(__xludf.DUMMYFUNCTION("""COMPUTED_VALUE"""),1302.55)</f>
        <v>1302.55</v>
      </c>
      <c r="F25" s="6">
        <f>IFERROR(__xludf.DUMMYFUNCTION("""COMPUTED_VALUE"""),9401569.0)</f>
        <v>9401569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IFERROR(__xludf.DUMMYFUNCTION("""COMPUTED_VALUE"""),1302.95)</f>
        <v>1302.95</v>
      </c>
      <c r="C26" s="6">
        <f>IFERROR(__xludf.DUMMYFUNCTION("""COMPUTED_VALUE"""),1342.55)</f>
        <v>1342.55</v>
      </c>
      <c r="D26" s="6">
        <f>IFERROR(__xludf.DUMMYFUNCTION("""COMPUTED_VALUE"""),1287.45)</f>
        <v>1287.45</v>
      </c>
      <c r="E26" s="6">
        <f>IFERROR(__xludf.DUMMYFUNCTION("""COMPUTED_VALUE"""),1322.25)</f>
        <v>1322.25</v>
      </c>
      <c r="F26" s="6">
        <f>IFERROR(__xludf.DUMMYFUNCTION("""COMPUTED_VALUE"""),9240749.0)</f>
        <v>9240749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IFERROR(__xludf.DUMMYFUNCTION("""COMPUTED_VALUE"""),1275.6)</f>
        <v>1275.6</v>
      </c>
      <c r="C27" s="6">
        <f>IFERROR(__xludf.DUMMYFUNCTION("""COMPUTED_VALUE"""),1293.1)</f>
        <v>1293.1</v>
      </c>
      <c r="D27" s="6">
        <f>IFERROR(__xludf.DUMMYFUNCTION("""COMPUTED_VALUE"""),1250.1)</f>
        <v>1250.1</v>
      </c>
      <c r="E27" s="6">
        <f>IFERROR(__xludf.DUMMYFUNCTION("""COMPUTED_VALUE"""),1288.15)</f>
        <v>1288.15</v>
      </c>
      <c r="F27" s="6">
        <f>IFERROR(__xludf.DUMMYFUNCTION("""COMPUTED_VALUE"""),7402251.0)</f>
        <v>7402251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IFERROR(__xludf.DUMMYFUNCTION("""COMPUTED_VALUE"""),1288.15)</f>
        <v>1288.15</v>
      </c>
      <c r="C28" s="6">
        <f>IFERROR(__xludf.DUMMYFUNCTION("""COMPUTED_VALUE"""),1307.65)</f>
        <v>1307.65</v>
      </c>
      <c r="D28" s="6">
        <f>IFERROR(__xludf.DUMMYFUNCTION("""COMPUTED_VALUE"""),1258.05)</f>
        <v>1258.05</v>
      </c>
      <c r="E28" s="6">
        <f>IFERROR(__xludf.DUMMYFUNCTION("""COMPUTED_VALUE"""),1282.2)</f>
        <v>1282.2</v>
      </c>
      <c r="F28" s="6">
        <f>IFERROR(__xludf.DUMMYFUNCTION("""COMPUTED_VALUE"""),1.0170321E7)</f>
        <v>10170321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IFERROR(__xludf.DUMMYFUNCTION("""COMPUTED_VALUE"""),1282.0)</f>
        <v>1282</v>
      </c>
      <c r="C29" s="6">
        <f>IFERROR(__xludf.DUMMYFUNCTION("""COMPUTED_VALUE"""),1287.45)</f>
        <v>1287.45</v>
      </c>
      <c r="D29" s="6">
        <f>IFERROR(__xludf.DUMMYFUNCTION("""COMPUTED_VALUE"""),1236.1)</f>
        <v>1236.1</v>
      </c>
      <c r="E29" s="6">
        <f>IFERROR(__xludf.DUMMYFUNCTION("""COMPUTED_VALUE"""),1262.65)</f>
        <v>1262.65</v>
      </c>
      <c r="F29" s="6">
        <f>IFERROR(__xludf.DUMMYFUNCTION("""COMPUTED_VALUE"""),7424797.0)</f>
        <v>7424797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IFERROR(__xludf.DUMMYFUNCTION("""COMPUTED_VALUE"""),1262.25)</f>
        <v>1262.25</v>
      </c>
      <c r="C30" s="6">
        <f>IFERROR(__xludf.DUMMYFUNCTION("""COMPUTED_VALUE"""),1271.6)</f>
        <v>1271.6</v>
      </c>
      <c r="D30" s="6">
        <f>IFERROR(__xludf.DUMMYFUNCTION("""COMPUTED_VALUE"""),1242.0)</f>
        <v>1242</v>
      </c>
      <c r="E30" s="6">
        <f>IFERROR(__xludf.DUMMYFUNCTION("""COMPUTED_VALUE"""),1248.1)</f>
        <v>1248.1</v>
      </c>
      <c r="F30" s="6">
        <f>IFERROR(__xludf.DUMMYFUNCTION("""COMPUTED_VALUE"""),6709345.0)</f>
        <v>6709345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IFERROR(__xludf.DUMMYFUNCTION("""COMPUTED_VALUE"""),1252.1)</f>
        <v>1252.1</v>
      </c>
      <c r="C31" s="6">
        <f>IFERROR(__xludf.DUMMYFUNCTION("""COMPUTED_VALUE"""),1289.0)</f>
        <v>1289</v>
      </c>
      <c r="D31" s="6">
        <f>IFERROR(__xludf.DUMMYFUNCTION("""COMPUTED_VALUE"""),1235.1)</f>
        <v>1235.1</v>
      </c>
      <c r="E31" s="6">
        <f>IFERROR(__xludf.DUMMYFUNCTION("""COMPUTED_VALUE"""),1263.4)</f>
        <v>1263.4</v>
      </c>
      <c r="F31" s="6">
        <f>IFERROR(__xludf.DUMMYFUNCTION("""COMPUTED_VALUE"""),8181814.0)</f>
        <v>8181814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IFERROR(__xludf.DUMMYFUNCTION("""COMPUTED_VALUE"""),1270.0)</f>
        <v>1270</v>
      </c>
      <c r="C32" s="6">
        <f>IFERROR(__xludf.DUMMYFUNCTION("""COMPUTED_VALUE"""),1281.0)</f>
        <v>1281</v>
      </c>
      <c r="D32" s="6">
        <f>IFERROR(__xludf.DUMMYFUNCTION("""COMPUTED_VALUE"""),1238.0)</f>
        <v>1238</v>
      </c>
      <c r="E32" s="6">
        <f>IFERROR(__xludf.DUMMYFUNCTION("""COMPUTED_VALUE"""),1242.1)</f>
        <v>1242.1</v>
      </c>
      <c r="F32" s="6">
        <f>IFERROR(__xludf.DUMMYFUNCTION("""COMPUTED_VALUE"""),6766795.0)</f>
        <v>6766795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IFERROR(__xludf.DUMMYFUNCTION("""COMPUTED_VALUE"""),1235.0)</f>
        <v>1235</v>
      </c>
      <c r="C33" s="6">
        <f>IFERROR(__xludf.DUMMYFUNCTION("""COMPUTED_VALUE"""),1240.65)</f>
        <v>1240.65</v>
      </c>
      <c r="D33" s="6">
        <f>IFERROR(__xludf.DUMMYFUNCTION("""COMPUTED_VALUE"""),1162.95)</f>
        <v>1162.95</v>
      </c>
      <c r="E33" s="6">
        <f>IFERROR(__xludf.DUMMYFUNCTION("""COMPUTED_VALUE"""),1193.65)</f>
        <v>1193.65</v>
      </c>
      <c r="F33" s="6">
        <f>IFERROR(__xludf.DUMMYFUNCTION("""COMPUTED_VALUE"""),1.0053107E7)</f>
        <v>10053107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IFERROR(__xludf.DUMMYFUNCTION("""COMPUTED_VALUE"""),1196.1)</f>
        <v>1196.1</v>
      </c>
      <c r="C34" s="6">
        <f>IFERROR(__xludf.DUMMYFUNCTION("""COMPUTED_VALUE"""),1347.0)</f>
        <v>1347</v>
      </c>
      <c r="D34" s="6">
        <f>IFERROR(__xludf.DUMMYFUNCTION("""COMPUTED_VALUE"""),1172.8)</f>
        <v>1172.8</v>
      </c>
      <c r="E34" s="6">
        <f>IFERROR(__xludf.DUMMYFUNCTION("""COMPUTED_VALUE"""),1278.75)</f>
        <v>1278.75</v>
      </c>
      <c r="F34" s="6">
        <f>IFERROR(__xludf.DUMMYFUNCTION("""COMPUTED_VALUE"""),2.798996E7)</f>
        <v>27989960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IFERROR(__xludf.DUMMYFUNCTION("""COMPUTED_VALUE"""),1290.0)</f>
        <v>1290</v>
      </c>
      <c r="C35" s="6">
        <f>IFERROR(__xludf.DUMMYFUNCTION("""COMPUTED_VALUE"""),1311.0)</f>
        <v>1311</v>
      </c>
      <c r="D35" s="6">
        <f>IFERROR(__xludf.DUMMYFUNCTION("""COMPUTED_VALUE"""),1243.05)</f>
        <v>1243.05</v>
      </c>
      <c r="E35" s="6">
        <f>IFERROR(__xludf.DUMMYFUNCTION("""COMPUTED_VALUE"""),1250.45)</f>
        <v>1250.45</v>
      </c>
      <c r="F35" s="6">
        <f>IFERROR(__xludf.DUMMYFUNCTION("""COMPUTED_VALUE"""),1.1180418E7)</f>
        <v>11180418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IFERROR(__xludf.DUMMYFUNCTION("""COMPUTED_VALUE"""),1258.0)</f>
        <v>1258</v>
      </c>
      <c r="C36" s="6">
        <f>IFERROR(__xludf.DUMMYFUNCTION("""COMPUTED_VALUE"""),1300.0)</f>
        <v>1300</v>
      </c>
      <c r="D36" s="6">
        <f>IFERROR(__xludf.DUMMYFUNCTION("""COMPUTED_VALUE"""),1245.1)</f>
        <v>1245.1</v>
      </c>
      <c r="E36" s="6">
        <f>IFERROR(__xludf.DUMMYFUNCTION("""COMPUTED_VALUE"""),1264.4)</f>
        <v>1264.4</v>
      </c>
      <c r="F36" s="6">
        <f>IFERROR(__xludf.DUMMYFUNCTION("""COMPUTED_VALUE"""),8789378.0)</f>
        <v>8789378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IFERROR(__xludf.DUMMYFUNCTION("""COMPUTED_VALUE"""),1307.0)</f>
        <v>1307</v>
      </c>
      <c r="C37" s="6">
        <f>IFERROR(__xludf.DUMMYFUNCTION("""COMPUTED_VALUE"""),1345.0)</f>
        <v>1345</v>
      </c>
      <c r="D37" s="6">
        <f>IFERROR(__xludf.DUMMYFUNCTION("""COMPUTED_VALUE"""),1304.1)</f>
        <v>1304.1</v>
      </c>
      <c r="E37" s="6">
        <f>IFERROR(__xludf.DUMMYFUNCTION("""COMPUTED_VALUE"""),1321.75)</f>
        <v>1321.75</v>
      </c>
      <c r="F37" s="6">
        <f>IFERROR(__xludf.DUMMYFUNCTION("""COMPUTED_VALUE"""),5594357.0)</f>
        <v>5594357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IFERROR(__xludf.DUMMYFUNCTION("""COMPUTED_VALUE"""),1323.0)</f>
        <v>1323</v>
      </c>
      <c r="C38" s="6">
        <f>IFERROR(__xludf.DUMMYFUNCTION("""COMPUTED_VALUE"""),1342.8)</f>
        <v>1342.8</v>
      </c>
      <c r="D38" s="6">
        <f>IFERROR(__xludf.DUMMYFUNCTION("""COMPUTED_VALUE"""),1224.05)</f>
        <v>1224.05</v>
      </c>
      <c r="E38" s="6">
        <f>IFERROR(__xludf.DUMMYFUNCTION("""COMPUTED_VALUE"""),1228.45)</f>
        <v>1228.45</v>
      </c>
      <c r="F38" s="6">
        <f>IFERROR(__xludf.DUMMYFUNCTION("""COMPUTED_VALUE"""),1.1254889E7)</f>
        <v>11254889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IFERROR(__xludf.DUMMYFUNCTION("""COMPUTED_VALUE"""),1255.0)</f>
        <v>1255</v>
      </c>
      <c r="C39" s="6">
        <f>IFERROR(__xludf.DUMMYFUNCTION("""COMPUTED_VALUE"""),1381.0)</f>
        <v>1381</v>
      </c>
      <c r="D39" s="6">
        <f>IFERROR(__xludf.DUMMYFUNCTION("""COMPUTED_VALUE"""),1193.65)</f>
        <v>1193.65</v>
      </c>
      <c r="E39" s="6">
        <f>IFERROR(__xludf.DUMMYFUNCTION("""COMPUTED_VALUE"""),1377.6)</f>
        <v>1377.6</v>
      </c>
      <c r="F39" s="6">
        <f>IFERROR(__xludf.DUMMYFUNCTION("""COMPUTED_VALUE"""),1.5268503E7)</f>
        <v>15268503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IFERROR(__xludf.DUMMYFUNCTION("""COMPUTED_VALUE"""),1377.6)</f>
        <v>1377.6</v>
      </c>
      <c r="C40" s="6">
        <f>IFERROR(__xludf.DUMMYFUNCTION("""COMPUTED_VALUE"""),1396.85)</f>
        <v>1396.85</v>
      </c>
      <c r="D40" s="6">
        <f>IFERROR(__xludf.DUMMYFUNCTION("""COMPUTED_VALUE"""),1335.15)</f>
        <v>1335.15</v>
      </c>
      <c r="E40" s="6">
        <f>IFERROR(__xludf.DUMMYFUNCTION("""COMPUTED_VALUE"""),1371.45)</f>
        <v>1371.45</v>
      </c>
      <c r="F40" s="6">
        <f>IFERROR(__xludf.DUMMYFUNCTION("""COMPUTED_VALUE"""),1.0470745E7)</f>
        <v>10470745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IFERROR(__xludf.DUMMYFUNCTION("""COMPUTED_VALUE"""),1380.45)</f>
        <v>1380.45</v>
      </c>
      <c r="C41" s="6">
        <f>IFERROR(__xludf.DUMMYFUNCTION("""COMPUTED_VALUE"""),1440.3)</f>
        <v>1440.3</v>
      </c>
      <c r="D41" s="6">
        <f>IFERROR(__xludf.DUMMYFUNCTION("""COMPUTED_VALUE"""),1361.0)</f>
        <v>1361</v>
      </c>
      <c r="E41" s="6">
        <f>IFERROR(__xludf.DUMMYFUNCTION("""COMPUTED_VALUE"""),1399.8)</f>
        <v>1399.8</v>
      </c>
      <c r="F41" s="6">
        <f>IFERROR(__xludf.DUMMYFUNCTION("""COMPUTED_VALUE"""),1.1087682E7)</f>
        <v>11087682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IFERROR(__xludf.DUMMYFUNCTION("""COMPUTED_VALUE"""),1390.0)</f>
        <v>1390</v>
      </c>
      <c r="C42" s="6">
        <f>IFERROR(__xludf.DUMMYFUNCTION("""COMPUTED_VALUE"""),1453.0)</f>
        <v>1453</v>
      </c>
      <c r="D42" s="6">
        <f>IFERROR(__xludf.DUMMYFUNCTION("""COMPUTED_VALUE"""),1381.0)</f>
        <v>1381</v>
      </c>
      <c r="E42" s="6">
        <f>IFERROR(__xludf.DUMMYFUNCTION("""COMPUTED_VALUE"""),1430.35)</f>
        <v>1430.35</v>
      </c>
      <c r="F42" s="6">
        <f>IFERROR(__xludf.DUMMYFUNCTION("""COMPUTED_VALUE"""),1.1387628E7)</f>
        <v>11387628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IFERROR(__xludf.DUMMYFUNCTION("""COMPUTED_VALUE"""),1430.35)</f>
        <v>1430.35</v>
      </c>
      <c r="C43" s="6">
        <f>IFERROR(__xludf.DUMMYFUNCTION("""COMPUTED_VALUE"""),1498.0)</f>
        <v>1498</v>
      </c>
      <c r="D43" s="6">
        <f>IFERROR(__xludf.DUMMYFUNCTION("""COMPUTED_VALUE"""),1424.15)</f>
        <v>1424.15</v>
      </c>
      <c r="E43" s="6">
        <f>IFERROR(__xludf.DUMMYFUNCTION("""COMPUTED_VALUE"""),1461.35)</f>
        <v>1461.35</v>
      </c>
      <c r="F43" s="6">
        <f>IFERROR(__xludf.DUMMYFUNCTION("""COMPUTED_VALUE"""),9484383.0)</f>
        <v>9484383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IFERROR(__xludf.DUMMYFUNCTION("""COMPUTED_VALUE"""),1461.35)</f>
        <v>1461.35</v>
      </c>
      <c r="C44" s="6">
        <f>IFERROR(__xludf.DUMMYFUNCTION("""COMPUTED_VALUE"""),1511.8)</f>
        <v>1511.8</v>
      </c>
      <c r="D44" s="6">
        <f>IFERROR(__xludf.DUMMYFUNCTION("""COMPUTED_VALUE"""),1441.25)</f>
        <v>1441.25</v>
      </c>
      <c r="E44" s="6">
        <f>IFERROR(__xludf.DUMMYFUNCTION("""COMPUTED_VALUE"""),1505.05)</f>
        <v>1505.05</v>
      </c>
      <c r="F44" s="6">
        <f>IFERROR(__xludf.DUMMYFUNCTION("""COMPUTED_VALUE"""),8440701.0)</f>
        <v>8440701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IFERROR(__xludf.DUMMYFUNCTION("""COMPUTED_VALUE"""),1520.1)</f>
        <v>1520.1</v>
      </c>
      <c r="C45" s="6">
        <f>IFERROR(__xludf.DUMMYFUNCTION("""COMPUTED_VALUE"""),1545.7)</f>
        <v>1545.7</v>
      </c>
      <c r="D45" s="6">
        <f>IFERROR(__xludf.DUMMYFUNCTION("""COMPUTED_VALUE"""),1486.5)</f>
        <v>1486.5</v>
      </c>
      <c r="E45" s="6">
        <f>IFERROR(__xludf.DUMMYFUNCTION("""COMPUTED_VALUE"""),1491.4)</f>
        <v>1491.4</v>
      </c>
      <c r="F45" s="6">
        <f>IFERROR(__xludf.DUMMYFUNCTION("""COMPUTED_VALUE"""),9426194.0)</f>
        <v>9426194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IFERROR(__xludf.DUMMYFUNCTION("""COMPUTED_VALUE"""),1479.95)</f>
        <v>1479.95</v>
      </c>
      <c r="C46" s="6">
        <f>IFERROR(__xludf.DUMMYFUNCTION("""COMPUTED_VALUE"""),1547.55)</f>
        <v>1547.55</v>
      </c>
      <c r="D46" s="6">
        <f>IFERROR(__xludf.DUMMYFUNCTION("""COMPUTED_VALUE"""),1444.25)</f>
        <v>1444.25</v>
      </c>
      <c r="E46" s="6">
        <f>IFERROR(__xludf.DUMMYFUNCTION("""COMPUTED_VALUE"""),1541.15)</f>
        <v>1541.15</v>
      </c>
      <c r="F46" s="6">
        <f>IFERROR(__xludf.DUMMYFUNCTION("""COMPUTED_VALUE"""),1.6845547E7)</f>
        <v>16845547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IFERROR(__xludf.DUMMYFUNCTION("""COMPUTED_VALUE"""),1545.65)</f>
        <v>1545.65</v>
      </c>
      <c r="C47" s="6">
        <f>IFERROR(__xludf.DUMMYFUNCTION("""COMPUTED_VALUE"""),1569.0)</f>
        <v>1569</v>
      </c>
      <c r="D47" s="6">
        <f>IFERROR(__xludf.DUMMYFUNCTION("""COMPUTED_VALUE"""),1502.3)</f>
        <v>1502.3</v>
      </c>
      <c r="E47" s="6">
        <f>IFERROR(__xludf.DUMMYFUNCTION("""COMPUTED_VALUE"""),1507.7)</f>
        <v>1507.7</v>
      </c>
      <c r="F47" s="6">
        <f>IFERROR(__xludf.DUMMYFUNCTION("""COMPUTED_VALUE"""),9988347.0)</f>
        <v>9988347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IFERROR(__xludf.DUMMYFUNCTION("""COMPUTED_VALUE"""),1470.0)</f>
        <v>1470</v>
      </c>
      <c r="C48" s="6">
        <f>IFERROR(__xludf.DUMMYFUNCTION("""COMPUTED_VALUE"""),1515.25)</f>
        <v>1515.25</v>
      </c>
      <c r="D48" s="6">
        <f>IFERROR(__xludf.DUMMYFUNCTION("""COMPUTED_VALUE"""),1426.75)</f>
        <v>1426.75</v>
      </c>
      <c r="E48" s="6">
        <f>IFERROR(__xludf.DUMMYFUNCTION("""COMPUTED_VALUE"""),1506.7)</f>
        <v>1506.7</v>
      </c>
      <c r="F48" s="6">
        <f>IFERROR(__xludf.DUMMYFUNCTION("""COMPUTED_VALUE"""),1.0709753E7)</f>
        <v>10709753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IFERROR(__xludf.DUMMYFUNCTION("""COMPUTED_VALUE"""),1506.7)</f>
        <v>1506.7</v>
      </c>
      <c r="C49" s="6">
        <f>IFERROR(__xludf.DUMMYFUNCTION("""COMPUTED_VALUE"""),1589.0)</f>
        <v>1589</v>
      </c>
      <c r="D49" s="6">
        <f>IFERROR(__xludf.DUMMYFUNCTION("""COMPUTED_VALUE"""),1489.4)</f>
        <v>1489.4</v>
      </c>
      <c r="E49" s="6">
        <f>IFERROR(__xludf.DUMMYFUNCTION("""COMPUTED_VALUE"""),1585.3)</f>
        <v>1585.3</v>
      </c>
      <c r="F49" s="6">
        <f>IFERROR(__xludf.DUMMYFUNCTION("""COMPUTED_VALUE"""),8449032.0)</f>
        <v>8449032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IFERROR(__xludf.DUMMYFUNCTION("""COMPUTED_VALUE"""),1587.85)</f>
        <v>1587.85</v>
      </c>
      <c r="C50" s="6">
        <f>IFERROR(__xludf.DUMMYFUNCTION("""COMPUTED_VALUE"""),1633.65)</f>
        <v>1633.65</v>
      </c>
      <c r="D50" s="6">
        <f>IFERROR(__xludf.DUMMYFUNCTION("""COMPUTED_VALUE"""),1575.85)</f>
        <v>1575.85</v>
      </c>
      <c r="E50" s="6">
        <f>IFERROR(__xludf.DUMMYFUNCTION("""COMPUTED_VALUE"""),1598.4)</f>
        <v>1598.4</v>
      </c>
      <c r="F50" s="6">
        <f>IFERROR(__xludf.DUMMYFUNCTION("""COMPUTED_VALUE"""),8602184.0)</f>
        <v>8602184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IFERROR(__xludf.DUMMYFUNCTION("""COMPUTED_VALUE"""),1610.0)</f>
        <v>1610</v>
      </c>
      <c r="C51" s="6">
        <f>IFERROR(__xludf.DUMMYFUNCTION("""COMPUTED_VALUE"""),1665.0)</f>
        <v>1665</v>
      </c>
      <c r="D51" s="6">
        <f>IFERROR(__xludf.DUMMYFUNCTION("""COMPUTED_VALUE"""),1609.0)</f>
        <v>1609</v>
      </c>
      <c r="E51" s="6">
        <f>IFERROR(__xludf.DUMMYFUNCTION("""COMPUTED_VALUE"""),1636.5)</f>
        <v>1636.5</v>
      </c>
      <c r="F51" s="6">
        <f>IFERROR(__xludf.DUMMYFUNCTION("""COMPUTED_VALUE"""),9748421.0)</f>
        <v>9748421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IFERROR(__xludf.DUMMYFUNCTION("""COMPUTED_VALUE"""),1636.5)</f>
        <v>1636.5</v>
      </c>
      <c r="C52" s="6">
        <f>IFERROR(__xludf.DUMMYFUNCTION("""COMPUTED_VALUE"""),1662.0)</f>
        <v>1662</v>
      </c>
      <c r="D52" s="6">
        <f>IFERROR(__xludf.DUMMYFUNCTION("""COMPUTED_VALUE"""),1608.9)</f>
        <v>1608.9</v>
      </c>
      <c r="E52" s="6">
        <f>IFERROR(__xludf.DUMMYFUNCTION("""COMPUTED_VALUE"""),1623.25)</f>
        <v>1623.25</v>
      </c>
      <c r="F52" s="6">
        <f>IFERROR(__xludf.DUMMYFUNCTION("""COMPUTED_VALUE"""),7720087.0)</f>
        <v>7720087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IFERROR(__xludf.DUMMYFUNCTION("""COMPUTED_VALUE"""),1623.2)</f>
        <v>1623.2</v>
      </c>
      <c r="C53" s="6">
        <f>IFERROR(__xludf.DUMMYFUNCTION("""COMPUTED_VALUE"""),1659.9)</f>
        <v>1659.9</v>
      </c>
      <c r="D53" s="6">
        <f>IFERROR(__xludf.DUMMYFUNCTION("""COMPUTED_VALUE"""),1574.75)</f>
        <v>1574.75</v>
      </c>
      <c r="E53" s="6">
        <f>IFERROR(__xludf.DUMMYFUNCTION("""COMPUTED_VALUE"""),1656.05)</f>
        <v>1656.05</v>
      </c>
      <c r="F53" s="6">
        <f>IFERROR(__xludf.DUMMYFUNCTION("""COMPUTED_VALUE"""),1.0632757E7)</f>
        <v>10632757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IFERROR(__xludf.DUMMYFUNCTION("""COMPUTED_VALUE"""),1651.1)</f>
        <v>1651.1</v>
      </c>
      <c r="C54" s="6">
        <f>IFERROR(__xludf.DUMMYFUNCTION("""COMPUTED_VALUE"""),1672.0)</f>
        <v>1672</v>
      </c>
      <c r="D54" s="6">
        <f>IFERROR(__xludf.DUMMYFUNCTION("""COMPUTED_VALUE"""),1582.4)</f>
        <v>1582.4</v>
      </c>
      <c r="E54" s="6">
        <f>IFERROR(__xludf.DUMMYFUNCTION("""COMPUTED_VALUE"""),1622.05)</f>
        <v>1622.05</v>
      </c>
      <c r="F54" s="6">
        <f>IFERROR(__xludf.DUMMYFUNCTION("""COMPUTED_VALUE"""),1.250741E7)</f>
        <v>12507410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IFERROR(__xludf.DUMMYFUNCTION("""COMPUTED_VALUE"""),1624.95)</f>
        <v>1624.95</v>
      </c>
      <c r="C55" s="6">
        <f>IFERROR(__xludf.DUMMYFUNCTION("""COMPUTED_VALUE"""),1664.8)</f>
        <v>1664.8</v>
      </c>
      <c r="D55" s="6">
        <f>IFERROR(__xludf.DUMMYFUNCTION("""COMPUTED_VALUE"""),1590.05)</f>
        <v>1590.05</v>
      </c>
      <c r="E55" s="6">
        <f>IFERROR(__xludf.DUMMYFUNCTION("""COMPUTED_VALUE"""),1609.25)</f>
        <v>1609.25</v>
      </c>
      <c r="F55" s="6">
        <f>IFERROR(__xludf.DUMMYFUNCTION("""COMPUTED_VALUE"""),1.1537305E7)</f>
        <v>11537305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IFERROR(__xludf.DUMMYFUNCTION("""COMPUTED_VALUE"""),1606.0)</f>
        <v>1606</v>
      </c>
      <c r="C56" s="6">
        <f>IFERROR(__xludf.DUMMYFUNCTION("""COMPUTED_VALUE"""),1648.4)</f>
        <v>1648.4</v>
      </c>
      <c r="D56" s="6">
        <f>IFERROR(__xludf.DUMMYFUNCTION("""COMPUTED_VALUE"""),1567.85)</f>
        <v>1567.85</v>
      </c>
      <c r="E56" s="6">
        <f>IFERROR(__xludf.DUMMYFUNCTION("""COMPUTED_VALUE"""),1616.45)</f>
        <v>1616.45</v>
      </c>
      <c r="F56" s="6">
        <f>IFERROR(__xludf.DUMMYFUNCTION("""COMPUTED_VALUE"""),1.3897142E7)</f>
        <v>13897142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IFERROR(__xludf.DUMMYFUNCTION("""COMPUTED_VALUE"""),1624.95)</f>
        <v>1624.95</v>
      </c>
      <c r="C57" s="6">
        <f>IFERROR(__xludf.DUMMYFUNCTION("""COMPUTED_VALUE"""),1675.95)</f>
        <v>1675.95</v>
      </c>
      <c r="D57" s="6">
        <f>IFERROR(__xludf.DUMMYFUNCTION("""COMPUTED_VALUE"""),1600.2)</f>
        <v>1600.2</v>
      </c>
      <c r="E57" s="6">
        <f>IFERROR(__xludf.DUMMYFUNCTION("""COMPUTED_VALUE"""),1647.05)</f>
        <v>1647.05</v>
      </c>
      <c r="F57" s="6">
        <f>IFERROR(__xludf.DUMMYFUNCTION("""COMPUTED_VALUE"""),7645087.0)</f>
        <v>7645087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IFERROR(__xludf.DUMMYFUNCTION("""COMPUTED_VALUE"""),1648.0)</f>
        <v>1648</v>
      </c>
      <c r="C58" s="6">
        <f>IFERROR(__xludf.DUMMYFUNCTION("""COMPUTED_VALUE"""),1709.9)</f>
        <v>1709.9</v>
      </c>
      <c r="D58" s="6">
        <f>IFERROR(__xludf.DUMMYFUNCTION("""COMPUTED_VALUE"""),1645.6)</f>
        <v>1645.6</v>
      </c>
      <c r="E58" s="6">
        <f>IFERROR(__xludf.DUMMYFUNCTION("""COMPUTED_VALUE"""),1687.9)</f>
        <v>1687.9</v>
      </c>
      <c r="F58" s="6">
        <f>IFERROR(__xludf.DUMMYFUNCTION("""COMPUTED_VALUE"""),1.2534917E7)</f>
        <v>12534917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IFERROR(__xludf.DUMMYFUNCTION("""COMPUTED_VALUE"""),1745.0)</f>
        <v>1745</v>
      </c>
      <c r="C59" s="6">
        <f>IFERROR(__xludf.DUMMYFUNCTION("""COMPUTED_VALUE"""),1761.85)</f>
        <v>1761.85</v>
      </c>
      <c r="D59" s="6">
        <f>IFERROR(__xludf.DUMMYFUNCTION("""COMPUTED_VALUE"""),1685.6)</f>
        <v>1685.6</v>
      </c>
      <c r="E59" s="6">
        <f>IFERROR(__xludf.DUMMYFUNCTION("""COMPUTED_VALUE"""),1716.45)</f>
        <v>1716.45</v>
      </c>
      <c r="F59" s="6">
        <f>IFERROR(__xludf.DUMMYFUNCTION("""COMPUTED_VALUE"""),1.5895552E7)</f>
        <v>15895552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IFERROR(__xludf.DUMMYFUNCTION("""COMPUTED_VALUE"""),1614.0)</f>
        <v>1614</v>
      </c>
      <c r="C60" s="6">
        <f>IFERROR(__xludf.DUMMYFUNCTION("""COMPUTED_VALUE"""),1715.5)</f>
        <v>1715.5</v>
      </c>
      <c r="D60" s="6">
        <f>IFERROR(__xludf.DUMMYFUNCTION("""COMPUTED_VALUE"""),1608.05)</f>
        <v>1608.05</v>
      </c>
      <c r="E60" s="6">
        <f>IFERROR(__xludf.DUMMYFUNCTION("""COMPUTED_VALUE"""),1681.35)</f>
        <v>1681.35</v>
      </c>
      <c r="F60" s="6">
        <f>IFERROR(__xludf.DUMMYFUNCTION("""COMPUTED_VALUE"""),1.0455696E7)</f>
        <v>10455696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IFERROR(__xludf.DUMMYFUNCTION("""COMPUTED_VALUE"""),1672.8)</f>
        <v>1672.8</v>
      </c>
      <c r="C61" s="6">
        <f>IFERROR(__xludf.DUMMYFUNCTION("""COMPUTED_VALUE"""),1715.45)</f>
        <v>1715.45</v>
      </c>
      <c r="D61" s="6">
        <f>IFERROR(__xludf.DUMMYFUNCTION("""COMPUTED_VALUE"""),1663.0)</f>
        <v>1663</v>
      </c>
      <c r="E61" s="6">
        <f>IFERROR(__xludf.DUMMYFUNCTION("""COMPUTED_VALUE"""),1687.5)</f>
        <v>1687.5</v>
      </c>
      <c r="F61" s="6">
        <f>IFERROR(__xludf.DUMMYFUNCTION("""COMPUTED_VALUE"""),5985327.0)</f>
        <v>5985327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IFERROR(__xludf.DUMMYFUNCTION("""COMPUTED_VALUE"""),1684.75)</f>
        <v>1684.75</v>
      </c>
      <c r="C62" s="6">
        <f>IFERROR(__xludf.DUMMYFUNCTION("""COMPUTED_VALUE"""),1749.85)</f>
        <v>1749.85</v>
      </c>
      <c r="D62" s="6">
        <f>IFERROR(__xludf.DUMMYFUNCTION("""COMPUTED_VALUE"""),1633.25)</f>
        <v>1633.25</v>
      </c>
      <c r="E62" s="6">
        <f>IFERROR(__xludf.DUMMYFUNCTION("""COMPUTED_VALUE"""),1747.45)</f>
        <v>1747.45</v>
      </c>
      <c r="F62" s="6">
        <f>IFERROR(__xludf.DUMMYFUNCTION("""COMPUTED_VALUE"""),8155563.0)</f>
        <v>8155563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IFERROR(__xludf.DUMMYFUNCTION("""COMPUTED_VALUE"""),1760.0)</f>
        <v>1760</v>
      </c>
      <c r="C63" s="6">
        <f>IFERROR(__xludf.DUMMYFUNCTION("""COMPUTED_VALUE"""),1767.8)</f>
        <v>1767.8</v>
      </c>
      <c r="D63" s="6">
        <f>IFERROR(__xludf.DUMMYFUNCTION("""COMPUTED_VALUE"""),1700.5)</f>
        <v>1700.5</v>
      </c>
      <c r="E63" s="6">
        <f>IFERROR(__xludf.DUMMYFUNCTION("""COMPUTED_VALUE"""),1712.3)</f>
        <v>1712.3</v>
      </c>
      <c r="F63" s="6">
        <f>IFERROR(__xludf.DUMMYFUNCTION("""COMPUTED_VALUE"""),1.0638174E7)</f>
        <v>10638174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IFERROR(__xludf.DUMMYFUNCTION("""COMPUTED_VALUE"""),1710.0)</f>
        <v>1710</v>
      </c>
      <c r="C64" s="6">
        <f>IFERROR(__xludf.DUMMYFUNCTION("""COMPUTED_VALUE"""),1797.0)</f>
        <v>1797</v>
      </c>
      <c r="D64" s="6">
        <f>IFERROR(__xludf.DUMMYFUNCTION("""COMPUTED_VALUE"""),1705.9)</f>
        <v>1705.9</v>
      </c>
      <c r="E64" s="6">
        <f>IFERROR(__xludf.DUMMYFUNCTION("""COMPUTED_VALUE"""),1782.8)</f>
        <v>1782.8</v>
      </c>
      <c r="F64" s="6">
        <f>IFERROR(__xludf.DUMMYFUNCTION("""COMPUTED_VALUE"""),8949606.0)</f>
        <v>8949606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IFERROR(__xludf.DUMMYFUNCTION("""COMPUTED_VALUE"""),1779.1)</f>
        <v>1779.1</v>
      </c>
      <c r="C65" s="6">
        <f>IFERROR(__xludf.DUMMYFUNCTION("""COMPUTED_VALUE"""),1807.7)</f>
        <v>1807.7</v>
      </c>
      <c r="D65" s="6">
        <f>IFERROR(__xludf.DUMMYFUNCTION("""COMPUTED_VALUE"""),1750.05)</f>
        <v>1750.05</v>
      </c>
      <c r="E65" s="6">
        <f>IFERROR(__xludf.DUMMYFUNCTION("""COMPUTED_VALUE"""),1796.4)</f>
        <v>1796.4</v>
      </c>
      <c r="F65" s="6">
        <f>IFERROR(__xludf.DUMMYFUNCTION("""COMPUTED_VALUE"""),8502335.0)</f>
        <v>8502335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IFERROR(__xludf.DUMMYFUNCTION("""COMPUTED_VALUE"""),1793.5)</f>
        <v>1793.5</v>
      </c>
      <c r="C66" s="6">
        <f>IFERROR(__xludf.DUMMYFUNCTION("""COMPUTED_VALUE"""),1793.5)</f>
        <v>1793.5</v>
      </c>
      <c r="D66" s="6">
        <f>IFERROR(__xludf.DUMMYFUNCTION("""COMPUTED_VALUE"""),1680.1)</f>
        <v>1680.1</v>
      </c>
      <c r="E66" s="6">
        <f>IFERROR(__xludf.DUMMYFUNCTION("""COMPUTED_VALUE"""),1686.05)</f>
        <v>1686.05</v>
      </c>
      <c r="F66" s="6">
        <f>IFERROR(__xludf.DUMMYFUNCTION("""COMPUTED_VALUE"""),8897665.0)</f>
        <v>8897665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IFERROR(__xludf.DUMMYFUNCTION("""COMPUTED_VALUE"""),1690.9)</f>
        <v>1690.9</v>
      </c>
      <c r="C67" s="6">
        <f>IFERROR(__xludf.DUMMYFUNCTION("""COMPUTED_VALUE"""),1725.35)</f>
        <v>1725.35</v>
      </c>
      <c r="D67" s="6">
        <f>IFERROR(__xludf.DUMMYFUNCTION("""COMPUTED_VALUE"""),1685.85)</f>
        <v>1685.85</v>
      </c>
      <c r="E67" s="6">
        <f>IFERROR(__xludf.DUMMYFUNCTION("""COMPUTED_VALUE"""),1711.65)</f>
        <v>1711.65</v>
      </c>
      <c r="F67" s="6">
        <f>IFERROR(__xludf.DUMMYFUNCTION("""COMPUTED_VALUE"""),3319832.0)</f>
        <v>3319832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IFERROR(__xludf.DUMMYFUNCTION("""COMPUTED_VALUE"""),1715.0)</f>
        <v>1715</v>
      </c>
      <c r="C68" s="6">
        <f>IFERROR(__xludf.DUMMYFUNCTION("""COMPUTED_VALUE"""),1773.6)</f>
        <v>1773.6</v>
      </c>
      <c r="D68" s="6">
        <f>IFERROR(__xludf.DUMMYFUNCTION("""COMPUTED_VALUE"""),1681.35)</f>
        <v>1681.35</v>
      </c>
      <c r="E68" s="6">
        <f>IFERROR(__xludf.DUMMYFUNCTION("""COMPUTED_VALUE"""),1689.45)</f>
        <v>1689.45</v>
      </c>
      <c r="F68" s="6">
        <f>IFERROR(__xludf.DUMMYFUNCTION("""COMPUTED_VALUE"""),1.2649651E7)</f>
        <v>12649651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IFERROR(__xludf.DUMMYFUNCTION("""COMPUTED_VALUE"""),1704.75)</f>
        <v>1704.75</v>
      </c>
      <c r="C69" s="6">
        <f>IFERROR(__xludf.DUMMYFUNCTION("""COMPUTED_VALUE"""),1714.0)</f>
        <v>1714</v>
      </c>
      <c r="D69" s="6">
        <f>IFERROR(__xludf.DUMMYFUNCTION("""COMPUTED_VALUE"""),1634.0)</f>
        <v>1634</v>
      </c>
      <c r="E69" s="6">
        <f>IFERROR(__xludf.DUMMYFUNCTION("""COMPUTED_VALUE"""),1705.6)</f>
        <v>1705.6</v>
      </c>
      <c r="F69" s="6">
        <f>IFERROR(__xludf.DUMMYFUNCTION("""COMPUTED_VALUE"""),5907848.0)</f>
        <v>5907848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IFERROR(__xludf.DUMMYFUNCTION("""COMPUTED_VALUE"""),1698.05)</f>
        <v>1698.05</v>
      </c>
      <c r="C70" s="6">
        <f>IFERROR(__xludf.DUMMYFUNCTION("""COMPUTED_VALUE"""),1722.85)</f>
        <v>1722.85</v>
      </c>
      <c r="D70" s="6">
        <f>IFERROR(__xludf.DUMMYFUNCTION("""COMPUTED_VALUE"""),1621.3)</f>
        <v>1621.3</v>
      </c>
      <c r="E70" s="6">
        <f>IFERROR(__xludf.DUMMYFUNCTION("""COMPUTED_VALUE"""),1660.3)</f>
        <v>1660.3</v>
      </c>
      <c r="F70" s="6">
        <f>IFERROR(__xludf.DUMMYFUNCTION("""COMPUTED_VALUE"""),9797723.0)</f>
        <v>9797723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IFERROR(__xludf.DUMMYFUNCTION("""COMPUTED_VALUE"""),1663.0)</f>
        <v>1663</v>
      </c>
      <c r="C71" s="6">
        <f>IFERROR(__xludf.DUMMYFUNCTION("""COMPUTED_VALUE"""),1736.4)</f>
        <v>1736.4</v>
      </c>
      <c r="D71" s="6">
        <f>IFERROR(__xludf.DUMMYFUNCTION("""COMPUTED_VALUE"""),1625.0)</f>
        <v>1625</v>
      </c>
      <c r="E71" s="6">
        <f>IFERROR(__xludf.DUMMYFUNCTION("""COMPUTED_VALUE"""),1723.05)</f>
        <v>1723.05</v>
      </c>
      <c r="F71" s="6">
        <f>IFERROR(__xludf.DUMMYFUNCTION("""COMPUTED_VALUE"""),1.3347387E7)</f>
        <v>13347387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IFERROR(__xludf.DUMMYFUNCTION("""COMPUTED_VALUE"""),1630.0)</f>
        <v>1630</v>
      </c>
      <c r="C72" s="6">
        <f>IFERROR(__xludf.DUMMYFUNCTION("""COMPUTED_VALUE"""),1695.6)</f>
        <v>1695.6</v>
      </c>
      <c r="D72" s="6">
        <f>IFERROR(__xludf.DUMMYFUNCTION("""COMPUTED_VALUE"""),1605.15)</f>
        <v>1605.15</v>
      </c>
      <c r="E72" s="6">
        <f>IFERROR(__xludf.DUMMYFUNCTION("""COMPUTED_VALUE"""),1692.1)</f>
        <v>1692.1</v>
      </c>
      <c r="F72" s="6">
        <f>IFERROR(__xludf.DUMMYFUNCTION("""COMPUTED_VALUE"""),7202121.0)</f>
        <v>7202121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IFERROR(__xludf.DUMMYFUNCTION("""COMPUTED_VALUE"""),1683.0)</f>
        <v>1683</v>
      </c>
      <c r="C73" s="6">
        <f>IFERROR(__xludf.DUMMYFUNCTION("""COMPUTED_VALUE"""),1709.0)</f>
        <v>1709</v>
      </c>
      <c r="D73" s="6">
        <f>IFERROR(__xludf.DUMMYFUNCTION("""COMPUTED_VALUE"""),1640.55)</f>
        <v>1640.55</v>
      </c>
      <c r="E73" s="6">
        <f>IFERROR(__xludf.DUMMYFUNCTION("""COMPUTED_VALUE"""),1659.1)</f>
        <v>1659.1</v>
      </c>
      <c r="F73" s="6">
        <f>IFERROR(__xludf.DUMMYFUNCTION("""COMPUTED_VALUE"""),7442647.0)</f>
        <v>7442647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IFERROR(__xludf.DUMMYFUNCTION("""COMPUTED_VALUE"""),1655.9)</f>
        <v>1655.9</v>
      </c>
      <c r="C74" s="6">
        <f>IFERROR(__xludf.DUMMYFUNCTION("""COMPUTED_VALUE"""),1712.4)</f>
        <v>1712.4</v>
      </c>
      <c r="D74" s="6">
        <f>IFERROR(__xludf.DUMMYFUNCTION("""COMPUTED_VALUE"""),1631.0)</f>
        <v>1631</v>
      </c>
      <c r="E74" s="6">
        <f>IFERROR(__xludf.DUMMYFUNCTION("""COMPUTED_VALUE"""),1649.5)</f>
        <v>1649.5</v>
      </c>
      <c r="F74" s="6">
        <f>IFERROR(__xludf.DUMMYFUNCTION("""COMPUTED_VALUE"""),7846428.0)</f>
        <v>7846428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IFERROR(__xludf.DUMMYFUNCTION("""COMPUTED_VALUE"""),1630.0)</f>
        <v>1630</v>
      </c>
      <c r="C75" s="6">
        <f>IFERROR(__xludf.DUMMYFUNCTION("""COMPUTED_VALUE"""),1643.95)</f>
        <v>1643.95</v>
      </c>
      <c r="D75" s="6">
        <f>IFERROR(__xludf.DUMMYFUNCTION("""COMPUTED_VALUE"""),1478.4)</f>
        <v>1478.4</v>
      </c>
      <c r="E75" s="6">
        <f>IFERROR(__xludf.DUMMYFUNCTION("""COMPUTED_VALUE"""),1487.85)</f>
        <v>1487.85</v>
      </c>
      <c r="F75" s="6">
        <f>IFERROR(__xludf.DUMMYFUNCTION("""COMPUTED_VALUE"""),9462370.0)</f>
        <v>9462370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IFERROR(__xludf.DUMMYFUNCTION("""COMPUTED_VALUE"""),1500.0)</f>
        <v>1500</v>
      </c>
      <c r="C76" s="6">
        <f>IFERROR(__xludf.DUMMYFUNCTION("""COMPUTED_VALUE"""),1550.8)</f>
        <v>1550.8</v>
      </c>
      <c r="D76" s="6">
        <f>IFERROR(__xludf.DUMMYFUNCTION("""COMPUTED_VALUE"""),1433.05)</f>
        <v>1433.05</v>
      </c>
      <c r="E76" s="6">
        <f>IFERROR(__xludf.DUMMYFUNCTION("""COMPUTED_VALUE"""),1492.35)</f>
        <v>1492.35</v>
      </c>
      <c r="F76" s="6">
        <f>IFERROR(__xludf.DUMMYFUNCTION("""COMPUTED_VALUE"""),1.0344696E7)</f>
        <v>10344696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IFERROR(__xludf.DUMMYFUNCTION("""COMPUTED_VALUE"""),1492.35)</f>
        <v>1492.35</v>
      </c>
      <c r="C77" s="6">
        <f>IFERROR(__xludf.DUMMYFUNCTION("""COMPUTED_VALUE"""),1500.0)</f>
        <v>1500</v>
      </c>
      <c r="D77" s="6">
        <f>IFERROR(__xludf.DUMMYFUNCTION("""COMPUTED_VALUE"""),1408.8)</f>
        <v>1408.8</v>
      </c>
      <c r="E77" s="6">
        <f>IFERROR(__xludf.DUMMYFUNCTION("""COMPUTED_VALUE"""),1440.65)</f>
        <v>1440.65</v>
      </c>
      <c r="F77" s="6">
        <f>IFERROR(__xludf.DUMMYFUNCTION("""COMPUTED_VALUE"""),6229392.0)</f>
        <v>6229392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IFERROR(__xludf.DUMMYFUNCTION("""COMPUTED_VALUE"""),1446.25)</f>
        <v>1446.25</v>
      </c>
      <c r="C78" s="6">
        <f>IFERROR(__xludf.DUMMYFUNCTION("""COMPUTED_VALUE"""),1453.0)</f>
        <v>1453</v>
      </c>
      <c r="D78" s="6">
        <f>IFERROR(__xludf.DUMMYFUNCTION("""COMPUTED_VALUE"""),1382.05)</f>
        <v>1382.05</v>
      </c>
      <c r="E78" s="6">
        <f>IFERROR(__xludf.DUMMYFUNCTION("""COMPUTED_VALUE"""),1409.25)</f>
        <v>1409.25</v>
      </c>
      <c r="F78" s="6">
        <f>IFERROR(__xludf.DUMMYFUNCTION("""COMPUTED_VALUE"""),1.5757816E7)</f>
        <v>15757816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IFERROR(__xludf.DUMMYFUNCTION("""COMPUTED_VALUE"""),1415.85)</f>
        <v>1415.85</v>
      </c>
      <c r="C79" s="6">
        <f>IFERROR(__xludf.DUMMYFUNCTION("""COMPUTED_VALUE"""),1483.9)</f>
        <v>1483.9</v>
      </c>
      <c r="D79" s="6">
        <f>IFERROR(__xludf.DUMMYFUNCTION("""COMPUTED_VALUE"""),1406.0)</f>
        <v>1406</v>
      </c>
      <c r="E79" s="6">
        <f>IFERROR(__xludf.DUMMYFUNCTION("""COMPUTED_VALUE"""),1418.25)</f>
        <v>1418.25</v>
      </c>
      <c r="F79" s="6">
        <f>IFERROR(__xludf.DUMMYFUNCTION("""COMPUTED_VALUE"""),1.1544005E7)</f>
        <v>11544005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IFERROR(__xludf.DUMMYFUNCTION("""COMPUTED_VALUE"""),1402.0)</f>
        <v>1402</v>
      </c>
      <c r="C80" s="6">
        <f>IFERROR(__xludf.DUMMYFUNCTION("""COMPUTED_VALUE"""),1426.05)</f>
        <v>1426.05</v>
      </c>
      <c r="D80" s="6">
        <f>IFERROR(__xludf.DUMMYFUNCTION("""COMPUTED_VALUE"""),1318.85)</f>
        <v>1318.85</v>
      </c>
      <c r="E80" s="6">
        <f>IFERROR(__xludf.DUMMYFUNCTION("""COMPUTED_VALUE"""),1320.95)</f>
        <v>1320.95</v>
      </c>
      <c r="F80" s="6">
        <f>IFERROR(__xludf.DUMMYFUNCTION("""COMPUTED_VALUE"""),6897231.0)</f>
        <v>6897231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IFERROR(__xludf.DUMMYFUNCTION("""COMPUTED_VALUE"""),1245.0)</f>
        <v>1245</v>
      </c>
      <c r="C81" s="6">
        <f>IFERROR(__xludf.DUMMYFUNCTION("""COMPUTED_VALUE"""),1342.05)</f>
        <v>1342.05</v>
      </c>
      <c r="D81" s="6">
        <f>IFERROR(__xludf.DUMMYFUNCTION("""COMPUTED_VALUE"""),1209.4)</f>
        <v>1209.4</v>
      </c>
      <c r="E81" s="6">
        <f>IFERROR(__xludf.DUMMYFUNCTION("""COMPUTED_VALUE"""),1282.25)</f>
        <v>1282.25</v>
      </c>
      <c r="F81" s="6">
        <f>IFERROR(__xludf.DUMMYFUNCTION("""COMPUTED_VALUE"""),1.1441603E7)</f>
        <v>11441603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IFERROR(__xludf.DUMMYFUNCTION("""COMPUTED_VALUE"""),1314.2)</f>
        <v>1314.2</v>
      </c>
      <c r="C82" s="6">
        <f>IFERROR(__xludf.DUMMYFUNCTION("""COMPUTED_VALUE"""),1314.6)</f>
        <v>1314.6</v>
      </c>
      <c r="D82" s="6">
        <f>IFERROR(__xludf.DUMMYFUNCTION("""COMPUTED_VALUE"""),1275.9)</f>
        <v>1275.9</v>
      </c>
      <c r="E82" s="6">
        <f>IFERROR(__xludf.DUMMYFUNCTION("""COMPUTED_VALUE"""),1306.8)</f>
        <v>1306.8</v>
      </c>
      <c r="F82" s="6">
        <f>IFERROR(__xludf.DUMMYFUNCTION("""COMPUTED_VALUE"""),5633174.0)</f>
        <v>5633174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IFERROR(__xludf.DUMMYFUNCTION("""COMPUTED_VALUE"""),1304.0)</f>
        <v>1304</v>
      </c>
      <c r="C83" s="6">
        <f>IFERROR(__xludf.DUMMYFUNCTION("""COMPUTED_VALUE"""),1473.9)</f>
        <v>1473.9</v>
      </c>
      <c r="D83" s="6">
        <f>IFERROR(__xludf.DUMMYFUNCTION("""COMPUTED_VALUE"""),1303.0)</f>
        <v>1303</v>
      </c>
      <c r="E83" s="6">
        <f>IFERROR(__xludf.DUMMYFUNCTION("""COMPUTED_VALUE"""),1462.0)</f>
        <v>1462</v>
      </c>
      <c r="F83" s="6">
        <f>IFERROR(__xludf.DUMMYFUNCTION("""COMPUTED_VALUE"""),2.2887546E7)</f>
        <v>22887546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IFERROR(__xludf.DUMMYFUNCTION("""COMPUTED_VALUE"""),1469.3)</f>
        <v>1469.3</v>
      </c>
      <c r="C84" s="6">
        <f>IFERROR(__xludf.DUMMYFUNCTION("""COMPUTED_VALUE"""),1519.0)</f>
        <v>1519</v>
      </c>
      <c r="D84" s="6">
        <f>IFERROR(__xludf.DUMMYFUNCTION("""COMPUTED_VALUE"""),1437.0)</f>
        <v>1437</v>
      </c>
      <c r="E84" s="6">
        <f>IFERROR(__xludf.DUMMYFUNCTION("""COMPUTED_VALUE"""),1496.3)</f>
        <v>1496.3</v>
      </c>
      <c r="F84" s="6">
        <f>IFERROR(__xludf.DUMMYFUNCTION("""COMPUTED_VALUE"""),8173261.0)</f>
        <v>8173261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IFERROR(__xludf.DUMMYFUNCTION("""COMPUTED_VALUE"""),1499.0)</f>
        <v>1499</v>
      </c>
      <c r="C85" s="6">
        <f>IFERROR(__xludf.DUMMYFUNCTION("""COMPUTED_VALUE"""),1518.5)</f>
        <v>1518.5</v>
      </c>
      <c r="D85" s="6">
        <f>IFERROR(__xludf.DUMMYFUNCTION("""COMPUTED_VALUE"""),1478.1)</f>
        <v>1478.1</v>
      </c>
      <c r="E85" s="6">
        <f>IFERROR(__xludf.DUMMYFUNCTION("""COMPUTED_VALUE"""),1493.7)</f>
        <v>1493.7</v>
      </c>
      <c r="F85" s="6">
        <f>IFERROR(__xludf.DUMMYFUNCTION("""COMPUTED_VALUE"""),7416972.0)</f>
        <v>7416972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IFERROR(__xludf.DUMMYFUNCTION("""COMPUTED_VALUE"""),1522.0)</f>
        <v>1522</v>
      </c>
      <c r="C86" s="6">
        <f>IFERROR(__xludf.DUMMYFUNCTION("""COMPUTED_VALUE"""),1636.4)</f>
        <v>1636.4</v>
      </c>
      <c r="D86" s="6">
        <f>IFERROR(__xludf.DUMMYFUNCTION("""COMPUTED_VALUE"""),1517.4)</f>
        <v>1517.4</v>
      </c>
      <c r="E86" s="6">
        <f>IFERROR(__xludf.DUMMYFUNCTION("""COMPUTED_VALUE"""),1617.0)</f>
        <v>1617</v>
      </c>
      <c r="F86" s="6">
        <f>IFERROR(__xludf.DUMMYFUNCTION("""COMPUTED_VALUE"""),1.2101764E7)</f>
        <v>12101764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IFERROR(__xludf.DUMMYFUNCTION("""COMPUTED_VALUE"""),1617.0)</f>
        <v>1617</v>
      </c>
      <c r="C87" s="6">
        <f>IFERROR(__xludf.DUMMYFUNCTION("""COMPUTED_VALUE"""),1626.2)</f>
        <v>1626.2</v>
      </c>
      <c r="D87" s="6">
        <f>IFERROR(__xludf.DUMMYFUNCTION("""COMPUTED_VALUE"""),1558.0)</f>
        <v>1558</v>
      </c>
      <c r="E87" s="6">
        <f>IFERROR(__xludf.DUMMYFUNCTION("""COMPUTED_VALUE"""),1580.3)</f>
        <v>1580.3</v>
      </c>
      <c r="F87" s="6">
        <f>IFERROR(__xludf.DUMMYFUNCTION("""COMPUTED_VALUE"""),6430221.0)</f>
        <v>6430221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IFERROR(__xludf.DUMMYFUNCTION("""COMPUTED_VALUE"""),1583.0)</f>
        <v>1583</v>
      </c>
      <c r="C88" s="6">
        <f>IFERROR(__xludf.DUMMYFUNCTION("""COMPUTED_VALUE"""),1604.9)</f>
        <v>1604.9</v>
      </c>
      <c r="D88" s="6">
        <f>IFERROR(__xludf.DUMMYFUNCTION("""COMPUTED_VALUE"""),1568.0)</f>
        <v>1568</v>
      </c>
      <c r="E88" s="6">
        <f>IFERROR(__xludf.DUMMYFUNCTION("""COMPUTED_VALUE"""),1573.9)</f>
        <v>1573.9</v>
      </c>
      <c r="F88" s="6">
        <f>IFERROR(__xludf.DUMMYFUNCTION("""COMPUTED_VALUE"""),7506181.0)</f>
        <v>7506181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IFERROR(__xludf.DUMMYFUNCTION("""COMPUTED_VALUE"""),1565.0)</f>
        <v>1565</v>
      </c>
      <c r="C89" s="6">
        <f>IFERROR(__xludf.DUMMYFUNCTION("""COMPUTED_VALUE"""),1573.5)</f>
        <v>1573.5</v>
      </c>
      <c r="D89" s="6">
        <f>IFERROR(__xludf.DUMMYFUNCTION("""COMPUTED_VALUE"""),1533.9)</f>
        <v>1533.9</v>
      </c>
      <c r="E89" s="6">
        <f>IFERROR(__xludf.DUMMYFUNCTION("""COMPUTED_VALUE"""),1571.1)</f>
        <v>1571.1</v>
      </c>
      <c r="F89" s="6">
        <f>IFERROR(__xludf.DUMMYFUNCTION("""COMPUTED_VALUE"""),8233705.0)</f>
        <v>8233705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IFERROR(__xludf.DUMMYFUNCTION("""COMPUTED_VALUE"""),1575.0)</f>
        <v>1575</v>
      </c>
      <c r="C90" s="6">
        <f>IFERROR(__xludf.DUMMYFUNCTION("""COMPUTED_VALUE"""),1669.0)</f>
        <v>1669</v>
      </c>
      <c r="D90" s="6">
        <f>IFERROR(__xludf.DUMMYFUNCTION("""COMPUTED_VALUE"""),1571.1)</f>
        <v>1571.1</v>
      </c>
      <c r="E90" s="6">
        <f>IFERROR(__xludf.DUMMYFUNCTION("""COMPUTED_VALUE"""),1659.0)</f>
        <v>1659</v>
      </c>
      <c r="F90" s="6">
        <f>IFERROR(__xludf.DUMMYFUNCTION("""COMPUTED_VALUE"""),1.1410679E7)</f>
        <v>11410679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IFERROR(__xludf.DUMMYFUNCTION("""COMPUTED_VALUE"""),1658.0)</f>
        <v>1658</v>
      </c>
      <c r="C91" s="6">
        <f>IFERROR(__xludf.DUMMYFUNCTION("""COMPUTED_VALUE"""),1732.8)</f>
        <v>1732.8</v>
      </c>
      <c r="D91" s="6">
        <f>IFERROR(__xludf.DUMMYFUNCTION("""COMPUTED_VALUE"""),1651.2)</f>
        <v>1651.2</v>
      </c>
      <c r="E91" s="6">
        <f>IFERROR(__xludf.DUMMYFUNCTION("""COMPUTED_VALUE"""),1696.1)</f>
        <v>1696.1</v>
      </c>
      <c r="F91" s="6">
        <f>IFERROR(__xludf.DUMMYFUNCTION("""COMPUTED_VALUE"""),1.2047244E7)</f>
        <v>12047244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IFERROR(__xludf.DUMMYFUNCTION("""COMPUTED_VALUE"""),1680.0)</f>
        <v>1680</v>
      </c>
      <c r="C92" s="6">
        <f>IFERROR(__xludf.DUMMYFUNCTION("""COMPUTED_VALUE"""),1714.0)</f>
        <v>1714</v>
      </c>
      <c r="D92" s="6">
        <f>IFERROR(__xludf.DUMMYFUNCTION("""COMPUTED_VALUE"""),1662.6)</f>
        <v>1662.6</v>
      </c>
      <c r="E92" s="6">
        <f>IFERROR(__xludf.DUMMYFUNCTION("""COMPUTED_VALUE"""),1674.4)</f>
        <v>1674.4</v>
      </c>
      <c r="F92" s="6">
        <f>IFERROR(__xludf.DUMMYFUNCTION("""COMPUTED_VALUE"""),1.2784797E7)</f>
        <v>12784797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IFERROR(__xludf.DUMMYFUNCTION("""COMPUTED_VALUE"""),1680.6)</f>
        <v>1680.6</v>
      </c>
      <c r="C93" s="6">
        <f>IFERROR(__xludf.DUMMYFUNCTION("""COMPUTED_VALUE"""),1699.0)</f>
        <v>1699</v>
      </c>
      <c r="D93" s="6">
        <f>IFERROR(__xludf.DUMMYFUNCTION("""COMPUTED_VALUE"""),1640.5)</f>
        <v>1640.5</v>
      </c>
      <c r="E93" s="6">
        <f>IFERROR(__xludf.DUMMYFUNCTION("""COMPUTED_VALUE"""),1655.2)</f>
        <v>1655.2</v>
      </c>
      <c r="F93" s="6">
        <f>IFERROR(__xludf.DUMMYFUNCTION("""COMPUTED_VALUE"""),8191506.0)</f>
        <v>8191506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IFERROR(__xludf.DUMMYFUNCTION("""COMPUTED_VALUE"""),1647.9)</f>
        <v>1647.9</v>
      </c>
      <c r="C94" s="6">
        <f>IFERROR(__xludf.DUMMYFUNCTION("""COMPUTED_VALUE"""),1647.9)</f>
        <v>1647.9</v>
      </c>
      <c r="D94" s="6">
        <f>IFERROR(__xludf.DUMMYFUNCTION("""COMPUTED_VALUE"""),1577.8)</f>
        <v>1577.8</v>
      </c>
      <c r="E94" s="6">
        <f>IFERROR(__xludf.DUMMYFUNCTION("""COMPUTED_VALUE"""),1602.5)</f>
        <v>1602.5</v>
      </c>
      <c r="F94" s="6">
        <f>IFERROR(__xludf.DUMMYFUNCTION("""COMPUTED_VALUE"""),8233267.0)</f>
        <v>8233267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IFERROR(__xludf.DUMMYFUNCTION("""COMPUTED_VALUE"""),1598.0)</f>
        <v>1598</v>
      </c>
      <c r="C95" s="6">
        <f>IFERROR(__xludf.DUMMYFUNCTION("""COMPUTED_VALUE"""),1611.0)</f>
        <v>1611</v>
      </c>
      <c r="D95" s="6">
        <f>IFERROR(__xludf.DUMMYFUNCTION("""COMPUTED_VALUE"""),1538.0)</f>
        <v>1538</v>
      </c>
      <c r="E95" s="6">
        <f>IFERROR(__xludf.DUMMYFUNCTION("""COMPUTED_VALUE"""),1548.9)</f>
        <v>1548.9</v>
      </c>
      <c r="F95" s="6">
        <f>IFERROR(__xludf.DUMMYFUNCTION("""COMPUTED_VALUE"""),1.8086622E7)</f>
        <v>18086622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IFERROR(__xludf.DUMMYFUNCTION("""COMPUTED_VALUE"""),1551.0)</f>
        <v>1551</v>
      </c>
      <c r="C96" s="6">
        <f>IFERROR(__xludf.DUMMYFUNCTION("""COMPUTED_VALUE"""),1554.0)</f>
        <v>1554</v>
      </c>
      <c r="D96" s="6">
        <f>IFERROR(__xludf.DUMMYFUNCTION("""COMPUTED_VALUE"""),1455.7)</f>
        <v>1455.7</v>
      </c>
      <c r="E96" s="6">
        <f>IFERROR(__xludf.DUMMYFUNCTION("""COMPUTED_VALUE"""),1461.9)</f>
        <v>1461.9</v>
      </c>
      <c r="F96" s="6">
        <f>IFERROR(__xludf.DUMMYFUNCTION("""COMPUTED_VALUE"""),8667095.0)</f>
        <v>8667095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IFERROR(__xludf.DUMMYFUNCTION("""COMPUTED_VALUE"""),1462.0)</f>
        <v>1462</v>
      </c>
      <c r="C97" s="6">
        <f>IFERROR(__xludf.DUMMYFUNCTION("""COMPUTED_VALUE"""),1473.3)</f>
        <v>1473.3</v>
      </c>
      <c r="D97" s="6">
        <f>IFERROR(__xludf.DUMMYFUNCTION("""COMPUTED_VALUE"""),1432.4)</f>
        <v>1432.4</v>
      </c>
      <c r="E97" s="6">
        <f>IFERROR(__xludf.DUMMYFUNCTION("""COMPUTED_VALUE"""),1438.8)</f>
        <v>1438.8</v>
      </c>
      <c r="F97" s="6">
        <f>IFERROR(__xludf.DUMMYFUNCTION("""COMPUTED_VALUE"""),6831766.0)</f>
        <v>6831766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IFERROR(__xludf.DUMMYFUNCTION("""COMPUTED_VALUE"""),1435.0)</f>
        <v>1435</v>
      </c>
      <c r="C98" s="6">
        <f>IFERROR(__xludf.DUMMYFUNCTION("""COMPUTED_VALUE"""),1496.0)</f>
        <v>1496</v>
      </c>
      <c r="D98" s="6">
        <f>IFERROR(__xludf.DUMMYFUNCTION("""COMPUTED_VALUE"""),1419.1)</f>
        <v>1419.1</v>
      </c>
      <c r="E98" s="6">
        <f>IFERROR(__xludf.DUMMYFUNCTION("""COMPUTED_VALUE"""),1480.4)</f>
        <v>1480.4</v>
      </c>
      <c r="F98" s="6">
        <f>IFERROR(__xludf.DUMMYFUNCTION("""COMPUTED_VALUE"""),8510277.0)</f>
        <v>8510277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IFERROR(__xludf.DUMMYFUNCTION("""COMPUTED_VALUE"""),1480.4)</f>
        <v>1480.4</v>
      </c>
      <c r="C99" s="6">
        <f>IFERROR(__xludf.DUMMYFUNCTION("""COMPUTED_VALUE"""),1529.9)</f>
        <v>1529.9</v>
      </c>
      <c r="D99" s="6">
        <f>IFERROR(__xludf.DUMMYFUNCTION("""COMPUTED_VALUE"""),1469.7)</f>
        <v>1469.7</v>
      </c>
      <c r="E99" s="6">
        <f>IFERROR(__xludf.DUMMYFUNCTION("""COMPUTED_VALUE"""),1486.7)</f>
        <v>1486.7</v>
      </c>
      <c r="F99" s="6">
        <f>IFERROR(__xludf.DUMMYFUNCTION("""COMPUTED_VALUE"""),6952191.0)</f>
        <v>6952191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IFERROR(__xludf.DUMMYFUNCTION("""COMPUTED_VALUE"""),1500.0)</f>
        <v>1500</v>
      </c>
      <c r="C100" s="6">
        <f>IFERROR(__xludf.DUMMYFUNCTION("""COMPUTED_VALUE"""),1532.0)</f>
        <v>1532</v>
      </c>
      <c r="D100" s="6">
        <f>IFERROR(__xludf.DUMMYFUNCTION("""COMPUTED_VALUE"""),1464.4)</f>
        <v>1464.4</v>
      </c>
      <c r="E100" s="6">
        <f>IFERROR(__xludf.DUMMYFUNCTION("""COMPUTED_VALUE"""),1505.0)</f>
        <v>1505</v>
      </c>
      <c r="F100" s="6">
        <f>IFERROR(__xludf.DUMMYFUNCTION("""COMPUTED_VALUE"""),7608044.0)</f>
        <v>7608044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IFERROR(__xludf.DUMMYFUNCTION("""COMPUTED_VALUE"""),1516.0)</f>
        <v>1516</v>
      </c>
      <c r="C101" s="6">
        <f>IFERROR(__xludf.DUMMYFUNCTION("""COMPUTED_VALUE"""),1539.7)</f>
        <v>1539.7</v>
      </c>
      <c r="D101" s="6">
        <f>IFERROR(__xludf.DUMMYFUNCTION("""COMPUTED_VALUE"""),1498.9)</f>
        <v>1498.9</v>
      </c>
      <c r="E101" s="6">
        <f>IFERROR(__xludf.DUMMYFUNCTION("""COMPUTED_VALUE"""),1502.2)</f>
        <v>1502.2</v>
      </c>
      <c r="F101" s="6">
        <f>IFERROR(__xludf.DUMMYFUNCTION("""COMPUTED_VALUE"""),2.2677628E7)</f>
        <v>22677628</v>
      </c>
    </row>
  </sheetData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IFERROR(__xludf.DUMMYFUNCTION("GOOGLEFINANCE(""NSE:TIINDIA"",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IFERROR(__xludf.DUMMYFUNCTION("""COMPUTED_VALUE"""),2906.8)</f>
        <v>2906.8</v>
      </c>
      <c r="C2" s="6">
        <f>IFERROR(__xludf.DUMMYFUNCTION("""COMPUTED_VALUE"""),3012.25)</f>
        <v>3012.25</v>
      </c>
      <c r="D2" s="6">
        <f>IFERROR(__xludf.DUMMYFUNCTION("""COMPUTED_VALUE"""),2832.2)</f>
        <v>2832.2</v>
      </c>
      <c r="E2" s="6">
        <f>IFERROR(__xludf.DUMMYFUNCTION("""COMPUTED_VALUE"""),2988.15)</f>
        <v>2988.15</v>
      </c>
      <c r="F2" s="6">
        <f>IFERROR(__xludf.DUMMYFUNCTION("""COMPUTED_VALUE"""),2415805.0)</f>
        <v>2415805</v>
      </c>
    </row>
    <row r="3">
      <c r="A3" s="7">
        <f>IFERROR(__xludf.DUMMYFUNCTION("""COMPUTED_VALUE"""),45177.64583333333)</f>
        <v>45177.64583</v>
      </c>
      <c r="B3" s="6">
        <f>IFERROR(__xludf.DUMMYFUNCTION("""COMPUTED_VALUE"""),3015.0)</f>
        <v>3015</v>
      </c>
      <c r="C3" s="6">
        <f>IFERROR(__xludf.DUMMYFUNCTION("""COMPUTED_VALUE"""),3345.0)</f>
        <v>3345</v>
      </c>
      <c r="D3" s="6">
        <f>IFERROR(__xludf.DUMMYFUNCTION("""COMPUTED_VALUE"""),2962.0)</f>
        <v>2962</v>
      </c>
      <c r="E3" s="6">
        <f>IFERROR(__xludf.DUMMYFUNCTION("""COMPUTED_VALUE"""),3313.0)</f>
        <v>3313</v>
      </c>
      <c r="F3" s="6">
        <f>IFERROR(__xludf.DUMMYFUNCTION("""COMPUTED_VALUE"""),1433570.0)</f>
        <v>1433570</v>
      </c>
    </row>
    <row r="4">
      <c r="A4" s="7">
        <f>IFERROR(__xludf.DUMMYFUNCTION("""COMPUTED_VALUE"""),45184.64583333333)</f>
        <v>45184.64583</v>
      </c>
      <c r="B4" s="6">
        <f>IFERROR(__xludf.DUMMYFUNCTION("""COMPUTED_VALUE"""),3329.0)</f>
        <v>3329</v>
      </c>
      <c r="C4" s="6">
        <f>IFERROR(__xludf.DUMMYFUNCTION("""COMPUTED_VALUE"""),3736.4)</f>
        <v>3736.4</v>
      </c>
      <c r="D4" s="6">
        <f>IFERROR(__xludf.DUMMYFUNCTION("""COMPUTED_VALUE"""),3134.15)</f>
        <v>3134.15</v>
      </c>
      <c r="E4" s="6">
        <f>IFERROR(__xludf.DUMMYFUNCTION("""COMPUTED_VALUE"""),3319.1)</f>
        <v>3319.1</v>
      </c>
      <c r="F4" s="6">
        <f>IFERROR(__xludf.DUMMYFUNCTION("""COMPUTED_VALUE"""),2037283.0)</f>
        <v>2037283</v>
      </c>
    </row>
    <row r="5">
      <c r="A5" s="7">
        <f>IFERROR(__xludf.DUMMYFUNCTION("""COMPUTED_VALUE"""),45191.64583333333)</f>
        <v>45191.64583</v>
      </c>
      <c r="B5" s="6">
        <f>IFERROR(__xludf.DUMMYFUNCTION("""COMPUTED_VALUE"""),3319.7)</f>
        <v>3319.7</v>
      </c>
      <c r="C5" s="6">
        <f>IFERROR(__xludf.DUMMYFUNCTION("""COMPUTED_VALUE"""),3385.55)</f>
        <v>3385.55</v>
      </c>
      <c r="D5" s="6">
        <f>IFERROR(__xludf.DUMMYFUNCTION("""COMPUTED_VALUE"""),3165.8)</f>
        <v>3165.8</v>
      </c>
      <c r="E5" s="6">
        <f>IFERROR(__xludf.DUMMYFUNCTION("""COMPUTED_VALUE"""),3200.3)</f>
        <v>3200.3</v>
      </c>
      <c r="F5" s="6">
        <f>IFERROR(__xludf.DUMMYFUNCTION("""COMPUTED_VALUE"""),603813.0)</f>
        <v>603813</v>
      </c>
    </row>
    <row r="6">
      <c r="A6" s="7">
        <f>IFERROR(__xludf.DUMMYFUNCTION("""COMPUTED_VALUE"""),45198.64583333333)</f>
        <v>45198.64583</v>
      </c>
      <c r="B6" s="6">
        <f>IFERROR(__xludf.DUMMYFUNCTION("""COMPUTED_VALUE"""),3200.0)</f>
        <v>3200</v>
      </c>
      <c r="C6" s="6">
        <f>IFERROR(__xludf.DUMMYFUNCTION("""COMPUTED_VALUE"""),3228.7)</f>
        <v>3228.7</v>
      </c>
      <c r="D6" s="6">
        <f>IFERROR(__xludf.DUMMYFUNCTION("""COMPUTED_VALUE"""),2905.0)</f>
        <v>2905</v>
      </c>
      <c r="E6" s="6">
        <f>IFERROR(__xludf.DUMMYFUNCTION("""COMPUTED_VALUE"""),2988.3)</f>
        <v>2988.3</v>
      </c>
      <c r="F6" s="6">
        <f>IFERROR(__xludf.DUMMYFUNCTION("""COMPUTED_VALUE"""),2082365.0)</f>
        <v>2082365</v>
      </c>
    </row>
    <row r="7">
      <c r="A7" s="7">
        <f>IFERROR(__xludf.DUMMYFUNCTION("""COMPUTED_VALUE"""),45205.64583333333)</f>
        <v>45205.64583</v>
      </c>
      <c r="B7" s="6">
        <f>IFERROR(__xludf.DUMMYFUNCTION("""COMPUTED_VALUE"""),2999.85)</f>
        <v>2999.85</v>
      </c>
      <c r="C7" s="6">
        <f>IFERROR(__xludf.DUMMYFUNCTION("""COMPUTED_VALUE"""),3045.0)</f>
        <v>3045</v>
      </c>
      <c r="D7" s="6">
        <f>IFERROR(__xludf.DUMMYFUNCTION("""COMPUTED_VALUE"""),2935.1)</f>
        <v>2935.1</v>
      </c>
      <c r="E7" s="6">
        <f>IFERROR(__xludf.DUMMYFUNCTION("""COMPUTED_VALUE"""),2974.9)</f>
        <v>2974.9</v>
      </c>
      <c r="F7" s="6">
        <f>IFERROR(__xludf.DUMMYFUNCTION("""COMPUTED_VALUE"""),609982.0)</f>
        <v>609982</v>
      </c>
    </row>
    <row r="8">
      <c r="A8" s="7">
        <f>IFERROR(__xludf.DUMMYFUNCTION("""COMPUTED_VALUE"""),45212.64583333333)</f>
        <v>45212.64583</v>
      </c>
      <c r="B8" s="6">
        <f>IFERROR(__xludf.DUMMYFUNCTION("""COMPUTED_VALUE"""),2950.0)</f>
        <v>2950</v>
      </c>
      <c r="C8" s="6">
        <f>IFERROR(__xludf.DUMMYFUNCTION("""COMPUTED_VALUE"""),2995.0)</f>
        <v>2995</v>
      </c>
      <c r="D8" s="6">
        <f>IFERROR(__xludf.DUMMYFUNCTION("""COMPUTED_VALUE"""),2890.6)</f>
        <v>2890.6</v>
      </c>
      <c r="E8" s="6">
        <f>IFERROR(__xludf.DUMMYFUNCTION("""COMPUTED_VALUE"""),2966.7)</f>
        <v>2966.7</v>
      </c>
      <c r="F8" s="6">
        <f>IFERROR(__xludf.DUMMYFUNCTION("""COMPUTED_VALUE"""),994679.0)</f>
        <v>994679</v>
      </c>
    </row>
    <row r="9">
      <c r="A9" s="7">
        <f>IFERROR(__xludf.DUMMYFUNCTION("""COMPUTED_VALUE"""),45219.64583333333)</f>
        <v>45219.64583</v>
      </c>
      <c r="B9" s="6">
        <f>IFERROR(__xludf.DUMMYFUNCTION("""COMPUTED_VALUE"""),2985.0)</f>
        <v>2985</v>
      </c>
      <c r="C9" s="6">
        <f>IFERROR(__xludf.DUMMYFUNCTION("""COMPUTED_VALUE"""),3049.65)</f>
        <v>3049.65</v>
      </c>
      <c r="D9" s="6">
        <f>IFERROR(__xludf.DUMMYFUNCTION("""COMPUTED_VALUE"""),2920.0)</f>
        <v>2920</v>
      </c>
      <c r="E9" s="6">
        <f>IFERROR(__xludf.DUMMYFUNCTION("""COMPUTED_VALUE"""),3026.15)</f>
        <v>3026.15</v>
      </c>
      <c r="F9" s="6">
        <f>IFERROR(__xludf.DUMMYFUNCTION("""COMPUTED_VALUE"""),988504.0)</f>
        <v>988504</v>
      </c>
    </row>
    <row r="10">
      <c r="A10" s="7">
        <f>IFERROR(__xludf.DUMMYFUNCTION("""COMPUTED_VALUE"""),45226.64583333333)</f>
        <v>45226.64583</v>
      </c>
      <c r="B10" s="6">
        <f>IFERROR(__xludf.DUMMYFUNCTION("""COMPUTED_VALUE"""),3036.75)</f>
        <v>3036.75</v>
      </c>
      <c r="C10" s="6">
        <f>IFERROR(__xludf.DUMMYFUNCTION("""COMPUTED_VALUE"""),3075.55)</f>
        <v>3075.55</v>
      </c>
      <c r="D10" s="6">
        <f>IFERROR(__xludf.DUMMYFUNCTION("""COMPUTED_VALUE"""),2879.25)</f>
        <v>2879.25</v>
      </c>
      <c r="E10" s="6">
        <f>IFERROR(__xludf.DUMMYFUNCTION("""COMPUTED_VALUE"""),3063.4)</f>
        <v>3063.4</v>
      </c>
      <c r="F10" s="6">
        <f>IFERROR(__xludf.DUMMYFUNCTION("""COMPUTED_VALUE"""),720377.0)</f>
        <v>720377</v>
      </c>
    </row>
    <row r="11">
      <c r="A11" s="7">
        <f>IFERROR(__xludf.DUMMYFUNCTION("""COMPUTED_VALUE"""),45233.64583333333)</f>
        <v>45233.64583</v>
      </c>
      <c r="B11" s="6">
        <f>IFERROR(__xludf.DUMMYFUNCTION("""COMPUTED_VALUE"""),3070.0)</f>
        <v>3070</v>
      </c>
      <c r="C11" s="6">
        <f>IFERROR(__xludf.DUMMYFUNCTION("""COMPUTED_VALUE"""),3227.0)</f>
        <v>3227</v>
      </c>
      <c r="D11" s="6">
        <f>IFERROR(__xludf.DUMMYFUNCTION("""COMPUTED_VALUE"""),3003.0)</f>
        <v>3003</v>
      </c>
      <c r="E11" s="6">
        <f>IFERROR(__xludf.DUMMYFUNCTION("""COMPUTED_VALUE"""),3199.35)</f>
        <v>3199.35</v>
      </c>
      <c r="F11" s="6">
        <f>IFERROR(__xludf.DUMMYFUNCTION("""COMPUTED_VALUE"""),676866.0)</f>
        <v>676866</v>
      </c>
    </row>
    <row r="12">
      <c r="A12" s="7">
        <f>IFERROR(__xludf.DUMMYFUNCTION("""COMPUTED_VALUE"""),45240.64583333333)</f>
        <v>45240.64583</v>
      </c>
      <c r="B12" s="6">
        <f>IFERROR(__xludf.DUMMYFUNCTION("""COMPUTED_VALUE"""),3210.0)</f>
        <v>3210</v>
      </c>
      <c r="C12" s="6">
        <f>IFERROR(__xludf.DUMMYFUNCTION("""COMPUTED_VALUE"""),3261.15)</f>
        <v>3261.15</v>
      </c>
      <c r="D12" s="6">
        <f>IFERROR(__xludf.DUMMYFUNCTION("""COMPUTED_VALUE"""),3109.8)</f>
        <v>3109.8</v>
      </c>
      <c r="E12" s="6">
        <f>IFERROR(__xludf.DUMMYFUNCTION("""COMPUTED_VALUE"""),3195.75)</f>
        <v>3195.75</v>
      </c>
      <c r="F12" s="6">
        <f>IFERROR(__xludf.DUMMYFUNCTION("""COMPUTED_VALUE"""),470272.0)</f>
        <v>470272</v>
      </c>
    </row>
    <row r="13">
      <c r="A13" s="7">
        <f>IFERROR(__xludf.DUMMYFUNCTION("""COMPUTED_VALUE"""),45247.64583333333)</f>
        <v>45247.64583</v>
      </c>
      <c r="B13" s="6">
        <f>IFERROR(__xludf.DUMMYFUNCTION("""COMPUTED_VALUE"""),3210.0)</f>
        <v>3210</v>
      </c>
      <c r="C13" s="6">
        <f>IFERROR(__xludf.DUMMYFUNCTION("""COMPUTED_VALUE"""),3224.0)</f>
        <v>3224</v>
      </c>
      <c r="D13" s="6">
        <f>IFERROR(__xludf.DUMMYFUNCTION("""COMPUTED_VALUE"""),3129.85)</f>
        <v>3129.85</v>
      </c>
      <c r="E13" s="6">
        <f>IFERROR(__xludf.DUMMYFUNCTION("""COMPUTED_VALUE"""),3164.85)</f>
        <v>3164.85</v>
      </c>
      <c r="F13" s="6">
        <f>IFERROR(__xludf.DUMMYFUNCTION("""COMPUTED_VALUE"""),393533.0)</f>
        <v>393533</v>
      </c>
    </row>
    <row r="14">
      <c r="A14" s="7">
        <f>IFERROR(__xludf.DUMMYFUNCTION("""COMPUTED_VALUE"""),45254.64583333333)</f>
        <v>45254.64583</v>
      </c>
      <c r="B14" s="6">
        <f>IFERROR(__xludf.DUMMYFUNCTION("""COMPUTED_VALUE"""),3150.0)</f>
        <v>3150</v>
      </c>
      <c r="C14" s="6">
        <f>IFERROR(__xludf.DUMMYFUNCTION("""COMPUTED_VALUE"""),3830.0)</f>
        <v>3830</v>
      </c>
      <c r="D14" s="6">
        <f>IFERROR(__xludf.DUMMYFUNCTION("""COMPUTED_VALUE"""),3131.0)</f>
        <v>3131</v>
      </c>
      <c r="E14" s="6">
        <f>IFERROR(__xludf.DUMMYFUNCTION("""COMPUTED_VALUE"""),3460.95)</f>
        <v>3460.95</v>
      </c>
      <c r="F14" s="6">
        <f>IFERROR(__xludf.DUMMYFUNCTION("""COMPUTED_VALUE"""),3846552.0)</f>
        <v>3846552</v>
      </c>
    </row>
    <row r="15">
      <c r="A15" s="7">
        <f>IFERROR(__xludf.DUMMYFUNCTION("""COMPUTED_VALUE"""),45261.64583333333)</f>
        <v>45261.64583</v>
      </c>
      <c r="B15" s="6">
        <f>IFERROR(__xludf.DUMMYFUNCTION("""COMPUTED_VALUE"""),3461.0)</f>
        <v>3461</v>
      </c>
      <c r="C15" s="6">
        <f>IFERROR(__xludf.DUMMYFUNCTION("""COMPUTED_VALUE"""),3505.55)</f>
        <v>3505.55</v>
      </c>
      <c r="D15" s="6">
        <f>IFERROR(__xludf.DUMMYFUNCTION("""COMPUTED_VALUE"""),3281.85)</f>
        <v>3281.85</v>
      </c>
      <c r="E15" s="6">
        <f>IFERROR(__xludf.DUMMYFUNCTION("""COMPUTED_VALUE"""),3291.7)</f>
        <v>3291.7</v>
      </c>
      <c r="F15" s="6">
        <f>IFERROR(__xludf.DUMMYFUNCTION("""COMPUTED_VALUE"""),825631.0)</f>
        <v>825631</v>
      </c>
    </row>
    <row r="16">
      <c r="A16" s="7">
        <f>IFERROR(__xludf.DUMMYFUNCTION("""COMPUTED_VALUE"""),45268.64583333333)</f>
        <v>45268.64583</v>
      </c>
      <c r="B16" s="6">
        <f>IFERROR(__xludf.DUMMYFUNCTION("""COMPUTED_VALUE"""),3304.75)</f>
        <v>3304.75</v>
      </c>
      <c r="C16" s="6">
        <f>IFERROR(__xludf.DUMMYFUNCTION("""COMPUTED_VALUE"""),3615.0)</f>
        <v>3615</v>
      </c>
      <c r="D16" s="6">
        <f>IFERROR(__xludf.DUMMYFUNCTION("""COMPUTED_VALUE"""),3260.25)</f>
        <v>3260.25</v>
      </c>
      <c r="E16" s="6">
        <f>IFERROR(__xludf.DUMMYFUNCTION("""COMPUTED_VALUE"""),3574.2)</f>
        <v>3574.2</v>
      </c>
      <c r="F16" s="6">
        <f>IFERROR(__xludf.DUMMYFUNCTION("""COMPUTED_VALUE"""),3611484.0)</f>
        <v>3611484</v>
      </c>
    </row>
    <row r="17">
      <c r="A17" s="7">
        <f>IFERROR(__xludf.DUMMYFUNCTION("""COMPUTED_VALUE"""),45275.64583333333)</f>
        <v>45275.64583</v>
      </c>
      <c r="B17" s="6">
        <f>IFERROR(__xludf.DUMMYFUNCTION("""COMPUTED_VALUE"""),3605.0)</f>
        <v>3605</v>
      </c>
      <c r="C17" s="6">
        <f>IFERROR(__xludf.DUMMYFUNCTION("""COMPUTED_VALUE"""),4050.0)</f>
        <v>4050</v>
      </c>
      <c r="D17" s="6">
        <f>IFERROR(__xludf.DUMMYFUNCTION("""COMPUTED_VALUE"""),3570.0)</f>
        <v>3570</v>
      </c>
      <c r="E17" s="6">
        <f>IFERROR(__xludf.DUMMYFUNCTION("""COMPUTED_VALUE"""),3656.55)</f>
        <v>3656.55</v>
      </c>
      <c r="F17" s="6">
        <f>IFERROR(__xludf.DUMMYFUNCTION("""COMPUTED_VALUE"""),2196711.0)</f>
        <v>2196711</v>
      </c>
    </row>
    <row r="18">
      <c r="A18" s="7">
        <f>IFERROR(__xludf.DUMMYFUNCTION("""COMPUTED_VALUE"""),45282.64583333333)</f>
        <v>45282.64583</v>
      </c>
      <c r="B18" s="6">
        <f>IFERROR(__xludf.DUMMYFUNCTION("""COMPUTED_VALUE"""),3657.0)</f>
        <v>3657</v>
      </c>
      <c r="C18" s="6">
        <f>IFERROR(__xludf.DUMMYFUNCTION("""COMPUTED_VALUE"""),3711.7)</f>
        <v>3711.7</v>
      </c>
      <c r="D18" s="6">
        <f>IFERROR(__xludf.DUMMYFUNCTION("""COMPUTED_VALUE"""),3399.75)</f>
        <v>3399.75</v>
      </c>
      <c r="E18" s="6">
        <f>IFERROR(__xludf.DUMMYFUNCTION("""COMPUTED_VALUE"""),3588.1)</f>
        <v>3588.1</v>
      </c>
      <c r="F18" s="6">
        <f>IFERROR(__xludf.DUMMYFUNCTION("""COMPUTED_VALUE"""),826681.0)</f>
        <v>826681</v>
      </c>
    </row>
    <row r="19">
      <c r="A19" s="7">
        <f>IFERROR(__xludf.DUMMYFUNCTION("""COMPUTED_VALUE"""),45289.64583333333)</f>
        <v>45289.64583</v>
      </c>
      <c r="B19" s="6">
        <f>IFERROR(__xludf.DUMMYFUNCTION("""COMPUTED_VALUE"""),3588.1)</f>
        <v>3588.1</v>
      </c>
      <c r="C19" s="6">
        <f>IFERROR(__xludf.DUMMYFUNCTION("""COMPUTED_VALUE"""),3690.45)</f>
        <v>3690.45</v>
      </c>
      <c r="D19" s="6">
        <f>IFERROR(__xludf.DUMMYFUNCTION("""COMPUTED_VALUE"""),3515.05)</f>
        <v>3515.05</v>
      </c>
      <c r="E19" s="6">
        <f>IFERROR(__xludf.DUMMYFUNCTION("""COMPUTED_VALUE"""),3541.65)</f>
        <v>3541.65</v>
      </c>
      <c r="F19" s="6">
        <f>IFERROR(__xludf.DUMMYFUNCTION("""COMPUTED_VALUE"""),463576.0)</f>
        <v>463576</v>
      </c>
    </row>
    <row r="20">
      <c r="A20" s="7">
        <f>IFERROR(__xludf.DUMMYFUNCTION("""COMPUTED_VALUE"""),45296.64583333333)</f>
        <v>45296.64583</v>
      </c>
      <c r="B20" s="6">
        <f>IFERROR(__xludf.DUMMYFUNCTION("""COMPUTED_VALUE"""),3575.0)</f>
        <v>3575</v>
      </c>
      <c r="C20" s="6">
        <f>IFERROR(__xludf.DUMMYFUNCTION("""COMPUTED_VALUE"""),3824.0)</f>
        <v>3824</v>
      </c>
      <c r="D20" s="6">
        <f>IFERROR(__xludf.DUMMYFUNCTION("""COMPUTED_VALUE"""),3483.5)</f>
        <v>3483.5</v>
      </c>
      <c r="E20" s="6">
        <f>IFERROR(__xludf.DUMMYFUNCTION("""COMPUTED_VALUE"""),3751.05)</f>
        <v>3751.05</v>
      </c>
      <c r="F20" s="6">
        <f>IFERROR(__xludf.DUMMYFUNCTION("""COMPUTED_VALUE"""),1222826.0)</f>
        <v>1222826</v>
      </c>
    </row>
    <row r="21">
      <c r="A21" s="7">
        <f>IFERROR(__xludf.DUMMYFUNCTION("""COMPUTED_VALUE"""),45303.64583333333)</f>
        <v>45303.64583</v>
      </c>
      <c r="B21" s="6">
        <f>IFERROR(__xludf.DUMMYFUNCTION("""COMPUTED_VALUE"""),3751.05)</f>
        <v>3751.05</v>
      </c>
      <c r="C21" s="6">
        <f>IFERROR(__xludf.DUMMYFUNCTION("""COMPUTED_VALUE"""),4069.45)</f>
        <v>4069.45</v>
      </c>
      <c r="D21" s="6">
        <f>IFERROR(__xludf.DUMMYFUNCTION("""COMPUTED_VALUE"""),3711.5)</f>
        <v>3711.5</v>
      </c>
      <c r="E21" s="6">
        <f>IFERROR(__xludf.DUMMYFUNCTION("""COMPUTED_VALUE"""),3897.25)</f>
        <v>3897.25</v>
      </c>
      <c r="F21" s="6">
        <f>IFERROR(__xludf.DUMMYFUNCTION("""COMPUTED_VALUE"""),1181438.0)</f>
        <v>1181438</v>
      </c>
    </row>
    <row r="22">
      <c r="A22" s="7">
        <f>IFERROR(__xludf.DUMMYFUNCTION("""COMPUTED_VALUE"""),45316.64583333333)</f>
        <v>45316.64583</v>
      </c>
      <c r="B22" s="6">
        <f>IFERROR(__xludf.DUMMYFUNCTION("""COMPUTED_VALUE"""),4045.0)</f>
        <v>4045</v>
      </c>
      <c r="C22" s="6">
        <f>IFERROR(__xludf.DUMMYFUNCTION("""COMPUTED_VALUE"""),4119.95)</f>
        <v>4119.95</v>
      </c>
      <c r="D22" s="6">
        <f>IFERROR(__xludf.DUMMYFUNCTION("""COMPUTED_VALUE"""),3776.0)</f>
        <v>3776</v>
      </c>
      <c r="E22" s="6">
        <f>IFERROR(__xludf.DUMMYFUNCTION("""COMPUTED_VALUE"""),3987.9)</f>
        <v>3987.9</v>
      </c>
      <c r="F22" s="6">
        <f>IFERROR(__xludf.DUMMYFUNCTION("""COMPUTED_VALUE"""),744508.0)</f>
        <v>744508</v>
      </c>
    </row>
    <row r="23">
      <c r="A23" s="7">
        <f>IFERROR(__xludf.DUMMYFUNCTION("""COMPUTED_VALUE"""),45324.64583333333)</f>
        <v>45324.64583</v>
      </c>
      <c r="B23" s="6">
        <f>IFERROR(__xludf.DUMMYFUNCTION("""COMPUTED_VALUE"""),3915.0)</f>
        <v>3915</v>
      </c>
      <c r="C23" s="6">
        <f>IFERROR(__xludf.DUMMYFUNCTION("""COMPUTED_VALUE"""),4105.0)</f>
        <v>4105</v>
      </c>
      <c r="D23" s="6">
        <f>IFERROR(__xludf.DUMMYFUNCTION("""COMPUTED_VALUE"""),3601.0)</f>
        <v>3601</v>
      </c>
      <c r="E23" s="6">
        <f>IFERROR(__xludf.DUMMYFUNCTION("""COMPUTED_VALUE"""),3644.0)</f>
        <v>3644</v>
      </c>
      <c r="F23" s="6">
        <f>IFERROR(__xludf.DUMMYFUNCTION("""COMPUTED_VALUE"""),1488610.0)</f>
        <v>1488610</v>
      </c>
    </row>
    <row r="24">
      <c r="A24" s="7">
        <f>IFERROR(__xludf.DUMMYFUNCTION("""COMPUTED_VALUE"""),45331.64583333333)</f>
        <v>45331.64583</v>
      </c>
      <c r="B24" s="6">
        <f>IFERROR(__xludf.DUMMYFUNCTION("""COMPUTED_VALUE"""),3645.0)</f>
        <v>3645</v>
      </c>
      <c r="C24" s="6">
        <f>IFERROR(__xludf.DUMMYFUNCTION("""COMPUTED_VALUE"""),3705.0)</f>
        <v>3705</v>
      </c>
      <c r="D24" s="6">
        <f>IFERROR(__xludf.DUMMYFUNCTION("""COMPUTED_VALUE"""),3441.15)</f>
        <v>3441.15</v>
      </c>
      <c r="E24" s="6">
        <f>IFERROR(__xludf.DUMMYFUNCTION("""COMPUTED_VALUE"""),3459.2)</f>
        <v>3459.2</v>
      </c>
      <c r="F24" s="6">
        <f>IFERROR(__xludf.DUMMYFUNCTION("""COMPUTED_VALUE"""),1205211.0)</f>
        <v>1205211</v>
      </c>
    </row>
    <row r="25">
      <c r="A25" s="7">
        <f>IFERROR(__xludf.DUMMYFUNCTION("""COMPUTED_VALUE"""),45338.64583333333)</f>
        <v>45338.64583</v>
      </c>
      <c r="B25" s="6">
        <f>IFERROR(__xludf.DUMMYFUNCTION("""COMPUTED_VALUE"""),3509.65)</f>
        <v>3509.65</v>
      </c>
      <c r="C25" s="6">
        <f>IFERROR(__xludf.DUMMYFUNCTION("""COMPUTED_VALUE"""),3746.0)</f>
        <v>3746</v>
      </c>
      <c r="D25" s="6">
        <f>IFERROR(__xludf.DUMMYFUNCTION("""COMPUTED_VALUE"""),3430.25)</f>
        <v>3430.25</v>
      </c>
      <c r="E25" s="6">
        <f>IFERROR(__xludf.DUMMYFUNCTION("""COMPUTED_VALUE"""),3657.75)</f>
        <v>3657.75</v>
      </c>
      <c r="F25" s="6">
        <f>IFERROR(__xludf.DUMMYFUNCTION("""COMPUTED_VALUE"""),625329.0)</f>
        <v>625329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IFERROR(__xludf.DUMMYFUNCTION("""COMPUTED_VALUE"""),3720.0)</f>
        <v>3720</v>
      </c>
      <c r="C26" s="6">
        <f>IFERROR(__xludf.DUMMYFUNCTION("""COMPUTED_VALUE"""),3747.8)</f>
        <v>3747.8</v>
      </c>
      <c r="D26" s="6">
        <f>IFERROR(__xludf.DUMMYFUNCTION("""COMPUTED_VALUE"""),3567.0)</f>
        <v>3567</v>
      </c>
      <c r="E26" s="6">
        <f>IFERROR(__xludf.DUMMYFUNCTION("""COMPUTED_VALUE"""),3622.65)</f>
        <v>3622.65</v>
      </c>
      <c r="F26" s="6">
        <f>IFERROR(__xludf.DUMMYFUNCTION("""COMPUTED_VALUE"""),506146.0)</f>
        <v>506146</v>
      </c>
    </row>
    <row r="27">
      <c r="A27" s="7">
        <f>IFERROR(__xludf.DUMMYFUNCTION("""COMPUTED_VALUE"""),45358.64583333333)</f>
        <v>45358.64583</v>
      </c>
      <c r="B27" s="6">
        <f>IFERROR(__xludf.DUMMYFUNCTION("""COMPUTED_VALUE"""),3741.05)</f>
        <v>3741.05</v>
      </c>
      <c r="C27" s="6">
        <f>IFERROR(__xludf.DUMMYFUNCTION("""COMPUTED_VALUE"""),3763.8)</f>
        <v>3763.8</v>
      </c>
      <c r="D27" s="6">
        <f>IFERROR(__xludf.DUMMYFUNCTION("""COMPUTED_VALUE"""),3472.6)</f>
        <v>3472.6</v>
      </c>
      <c r="E27" s="6">
        <f>IFERROR(__xludf.DUMMYFUNCTION("""COMPUTED_VALUE"""),3498.7)</f>
        <v>3498.7</v>
      </c>
      <c r="F27" s="6">
        <f>IFERROR(__xludf.DUMMYFUNCTION("""COMPUTED_VALUE"""),853773.0)</f>
        <v>853773</v>
      </c>
    </row>
    <row r="28">
      <c r="A28" s="7">
        <f>IFERROR(__xludf.DUMMYFUNCTION("""COMPUTED_VALUE"""),45366.64583333333)</f>
        <v>45366.64583</v>
      </c>
      <c r="B28" s="6">
        <f>IFERROR(__xludf.DUMMYFUNCTION("""COMPUTED_VALUE"""),3524.95)</f>
        <v>3524.95</v>
      </c>
      <c r="C28" s="6">
        <f>IFERROR(__xludf.DUMMYFUNCTION("""COMPUTED_VALUE"""),3679.95)</f>
        <v>3679.95</v>
      </c>
      <c r="D28" s="6">
        <f>IFERROR(__xludf.DUMMYFUNCTION("""COMPUTED_VALUE"""),3398.5)</f>
        <v>3398.5</v>
      </c>
      <c r="E28" s="6">
        <f>IFERROR(__xludf.DUMMYFUNCTION("""COMPUTED_VALUE"""),3560.65)</f>
        <v>3560.65</v>
      </c>
      <c r="F28" s="6">
        <f>IFERROR(__xludf.DUMMYFUNCTION("""COMPUTED_VALUE"""),916378.0)</f>
        <v>916378</v>
      </c>
    </row>
    <row r="29">
      <c r="A29" s="7">
        <f>IFERROR(__xludf.DUMMYFUNCTION("""COMPUTED_VALUE"""),45373.64583333333)</f>
        <v>45373.64583</v>
      </c>
      <c r="B29" s="6">
        <f>IFERROR(__xludf.DUMMYFUNCTION("""COMPUTED_VALUE"""),3539.55)</f>
        <v>3539.55</v>
      </c>
      <c r="C29" s="6">
        <f>IFERROR(__xludf.DUMMYFUNCTION("""COMPUTED_VALUE"""),3772.05)</f>
        <v>3772.05</v>
      </c>
      <c r="D29" s="6">
        <f>IFERROR(__xludf.DUMMYFUNCTION("""COMPUTED_VALUE"""),3471.15)</f>
        <v>3471.15</v>
      </c>
      <c r="E29" s="6">
        <f>IFERROR(__xludf.DUMMYFUNCTION("""COMPUTED_VALUE"""),3743.95)</f>
        <v>3743.95</v>
      </c>
      <c r="F29" s="6">
        <f>IFERROR(__xludf.DUMMYFUNCTION("""COMPUTED_VALUE"""),810838.0)</f>
        <v>810838</v>
      </c>
    </row>
    <row r="30">
      <c r="A30" s="7">
        <f>IFERROR(__xludf.DUMMYFUNCTION("""COMPUTED_VALUE"""),45379.64583333333)</f>
        <v>45379.64583</v>
      </c>
      <c r="B30" s="6">
        <f>IFERROR(__xludf.DUMMYFUNCTION("""COMPUTED_VALUE"""),3734.55)</f>
        <v>3734.55</v>
      </c>
      <c r="C30" s="6">
        <f>IFERROR(__xludf.DUMMYFUNCTION("""COMPUTED_VALUE"""),3845.0)</f>
        <v>3845</v>
      </c>
      <c r="D30" s="6">
        <f>IFERROR(__xludf.DUMMYFUNCTION("""COMPUTED_VALUE"""),3702.6)</f>
        <v>3702.6</v>
      </c>
      <c r="E30" s="6">
        <f>IFERROR(__xludf.DUMMYFUNCTION("""COMPUTED_VALUE"""),3736.6)</f>
        <v>3736.6</v>
      </c>
      <c r="F30" s="6">
        <f>IFERROR(__xludf.DUMMYFUNCTION("""COMPUTED_VALUE"""),718784.0)</f>
        <v>718784</v>
      </c>
    </row>
    <row r="31">
      <c r="A31" s="7">
        <f>IFERROR(__xludf.DUMMYFUNCTION("""COMPUTED_VALUE"""),45387.64583333333)</f>
        <v>45387.64583</v>
      </c>
      <c r="B31" s="6">
        <f>IFERROR(__xludf.DUMMYFUNCTION("""COMPUTED_VALUE"""),3817.95)</f>
        <v>3817.95</v>
      </c>
      <c r="C31" s="6">
        <f>IFERROR(__xludf.DUMMYFUNCTION("""COMPUTED_VALUE"""),3818.95)</f>
        <v>3818.95</v>
      </c>
      <c r="D31" s="6">
        <f>IFERROR(__xludf.DUMMYFUNCTION("""COMPUTED_VALUE"""),3590.0)</f>
        <v>3590</v>
      </c>
      <c r="E31" s="6">
        <f>IFERROR(__xludf.DUMMYFUNCTION("""COMPUTED_VALUE"""),3613.5)</f>
        <v>3613.5</v>
      </c>
      <c r="F31" s="6">
        <f>IFERROR(__xludf.DUMMYFUNCTION("""COMPUTED_VALUE"""),987116.0)</f>
        <v>987116</v>
      </c>
    </row>
    <row r="32">
      <c r="A32" s="7">
        <f>IFERROR(__xludf.DUMMYFUNCTION("""COMPUTED_VALUE"""),45394.64583333333)</f>
        <v>45394.64583</v>
      </c>
      <c r="B32" s="6">
        <f>IFERROR(__xludf.DUMMYFUNCTION("""COMPUTED_VALUE"""),3620.0)</f>
        <v>3620</v>
      </c>
      <c r="C32" s="6">
        <f>IFERROR(__xludf.DUMMYFUNCTION("""COMPUTED_VALUE"""),3634.7)</f>
        <v>3634.7</v>
      </c>
      <c r="D32" s="6">
        <f>IFERROR(__xludf.DUMMYFUNCTION("""COMPUTED_VALUE"""),3484.0)</f>
        <v>3484</v>
      </c>
      <c r="E32" s="6">
        <f>IFERROR(__xludf.DUMMYFUNCTION("""COMPUTED_VALUE"""),3525.95)</f>
        <v>3525.95</v>
      </c>
      <c r="F32" s="6">
        <f>IFERROR(__xludf.DUMMYFUNCTION("""COMPUTED_VALUE"""),421269.0)</f>
        <v>421269</v>
      </c>
    </row>
    <row r="33">
      <c r="A33" s="7">
        <f>IFERROR(__xludf.DUMMYFUNCTION("""COMPUTED_VALUE"""),45401.64583333333)</f>
        <v>45401.64583</v>
      </c>
      <c r="B33" s="6">
        <f>IFERROR(__xludf.DUMMYFUNCTION("""COMPUTED_VALUE"""),3500.0)</f>
        <v>3500</v>
      </c>
      <c r="C33" s="6">
        <f>IFERROR(__xludf.DUMMYFUNCTION("""COMPUTED_VALUE"""),3563.45)</f>
        <v>3563.45</v>
      </c>
      <c r="D33" s="6">
        <f>IFERROR(__xludf.DUMMYFUNCTION("""COMPUTED_VALUE"""),3457.2)</f>
        <v>3457.2</v>
      </c>
      <c r="E33" s="6">
        <f>IFERROR(__xludf.DUMMYFUNCTION("""COMPUTED_VALUE"""),3496.45)</f>
        <v>3496.45</v>
      </c>
      <c r="F33" s="6">
        <f>IFERROR(__xludf.DUMMYFUNCTION("""COMPUTED_VALUE"""),897111.0)</f>
        <v>897111</v>
      </c>
    </row>
    <row r="34">
      <c r="A34" s="7">
        <f>IFERROR(__xludf.DUMMYFUNCTION("""COMPUTED_VALUE"""),45408.64583333333)</f>
        <v>45408.64583</v>
      </c>
      <c r="B34" s="6">
        <f>IFERROR(__xludf.DUMMYFUNCTION("""COMPUTED_VALUE"""),3500.0)</f>
        <v>3500</v>
      </c>
      <c r="C34" s="6">
        <f>IFERROR(__xludf.DUMMYFUNCTION("""COMPUTED_VALUE"""),3659.0)</f>
        <v>3659</v>
      </c>
      <c r="D34" s="6">
        <f>IFERROR(__xludf.DUMMYFUNCTION("""COMPUTED_VALUE"""),3473.5)</f>
        <v>3473.5</v>
      </c>
      <c r="E34" s="6">
        <f>IFERROR(__xludf.DUMMYFUNCTION("""COMPUTED_VALUE"""),3624.0)</f>
        <v>3624</v>
      </c>
      <c r="F34" s="6">
        <f>IFERROR(__xludf.DUMMYFUNCTION("""COMPUTED_VALUE"""),698677.0)</f>
        <v>698677</v>
      </c>
    </row>
    <row r="35">
      <c r="A35" s="7">
        <f>IFERROR(__xludf.DUMMYFUNCTION("""COMPUTED_VALUE"""),45415.64583333333)</f>
        <v>45415.64583</v>
      </c>
      <c r="B35" s="6">
        <f>IFERROR(__xludf.DUMMYFUNCTION("""COMPUTED_VALUE"""),3643.0)</f>
        <v>3643</v>
      </c>
      <c r="C35" s="6">
        <f>IFERROR(__xludf.DUMMYFUNCTION("""COMPUTED_VALUE"""),3825.8)</f>
        <v>3825.8</v>
      </c>
      <c r="D35" s="6">
        <f>IFERROR(__xludf.DUMMYFUNCTION("""COMPUTED_VALUE"""),3612.05)</f>
        <v>3612.05</v>
      </c>
      <c r="E35" s="6">
        <f>IFERROR(__xludf.DUMMYFUNCTION("""COMPUTED_VALUE"""),3819.45)</f>
        <v>3819.45</v>
      </c>
      <c r="F35" s="6">
        <f>IFERROR(__xludf.DUMMYFUNCTION("""COMPUTED_VALUE"""),1100593.0)</f>
        <v>1100593</v>
      </c>
    </row>
    <row r="36">
      <c r="A36" s="7">
        <f>IFERROR(__xludf.DUMMYFUNCTION("""COMPUTED_VALUE"""),45422.64583333333)</f>
        <v>45422.64583</v>
      </c>
      <c r="B36" s="6">
        <f>IFERROR(__xludf.DUMMYFUNCTION("""COMPUTED_VALUE"""),3821.0)</f>
        <v>3821</v>
      </c>
      <c r="C36" s="6">
        <f>IFERROR(__xludf.DUMMYFUNCTION("""COMPUTED_VALUE"""),4162.5)</f>
        <v>4162.5</v>
      </c>
      <c r="D36" s="6">
        <f>IFERROR(__xludf.DUMMYFUNCTION("""COMPUTED_VALUE"""),3809.05)</f>
        <v>3809.05</v>
      </c>
      <c r="E36" s="6">
        <f>IFERROR(__xludf.DUMMYFUNCTION("""COMPUTED_VALUE"""),4069.95)</f>
        <v>4069.95</v>
      </c>
      <c r="F36" s="6">
        <f>IFERROR(__xludf.DUMMYFUNCTION("""COMPUTED_VALUE"""),1547292.0)</f>
        <v>1547292</v>
      </c>
    </row>
    <row r="37">
      <c r="A37" s="7">
        <f>IFERROR(__xludf.DUMMYFUNCTION("""COMPUTED_VALUE"""),45436.64583333333)</f>
        <v>45436.64583</v>
      </c>
      <c r="B37" s="6">
        <f>IFERROR(__xludf.DUMMYFUNCTION("""COMPUTED_VALUE"""),3795.1)</f>
        <v>3795.1</v>
      </c>
      <c r="C37" s="6">
        <f>IFERROR(__xludf.DUMMYFUNCTION("""COMPUTED_VALUE"""),3874.45)</f>
        <v>3874.45</v>
      </c>
      <c r="D37" s="6">
        <f>IFERROR(__xludf.DUMMYFUNCTION("""COMPUTED_VALUE"""),3620.0)</f>
        <v>3620</v>
      </c>
      <c r="E37" s="6">
        <f>IFERROR(__xludf.DUMMYFUNCTION("""COMPUTED_VALUE"""),3825.2)</f>
        <v>3825.2</v>
      </c>
      <c r="F37" s="6">
        <f>IFERROR(__xludf.DUMMYFUNCTION("""COMPUTED_VALUE"""),1044961.0)</f>
        <v>1044961</v>
      </c>
    </row>
    <row r="38">
      <c r="A38" s="7">
        <f>IFERROR(__xludf.DUMMYFUNCTION("""COMPUTED_VALUE"""),45443.64583333333)</f>
        <v>45443.64583</v>
      </c>
      <c r="B38" s="6">
        <f>IFERROR(__xludf.DUMMYFUNCTION("""COMPUTED_VALUE"""),3825.2)</f>
        <v>3825.2</v>
      </c>
      <c r="C38" s="6">
        <f>IFERROR(__xludf.DUMMYFUNCTION("""COMPUTED_VALUE"""),3868.0)</f>
        <v>3868</v>
      </c>
      <c r="D38" s="6">
        <f>IFERROR(__xludf.DUMMYFUNCTION("""COMPUTED_VALUE"""),3500.0)</f>
        <v>3500</v>
      </c>
      <c r="E38" s="6">
        <f>IFERROR(__xludf.DUMMYFUNCTION("""COMPUTED_VALUE"""),3576.85)</f>
        <v>3576.85</v>
      </c>
      <c r="F38" s="6">
        <f>IFERROR(__xludf.DUMMYFUNCTION("""COMPUTED_VALUE"""),1417815.0)</f>
        <v>1417815</v>
      </c>
    </row>
    <row r="39">
      <c r="A39" s="7">
        <f>IFERROR(__xludf.DUMMYFUNCTION("""COMPUTED_VALUE"""),45450.64583333333)</f>
        <v>45450.64583</v>
      </c>
      <c r="B39" s="6">
        <f>IFERROR(__xludf.DUMMYFUNCTION("""COMPUTED_VALUE"""),3699.6)</f>
        <v>3699.6</v>
      </c>
      <c r="C39" s="6">
        <f>IFERROR(__xludf.DUMMYFUNCTION("""COMPUTED_VALUE"""),3955.4)</f>
        <v>3955.4</v>
      </c>
      <c r="D39" s="6">
        <f>IFERROR(__xludf.DUMMYFUNCTION("""COMPUTED_VALUE"""),3515.05)</f>
        <v>3515.05</v>
      </c>
      <c r="E39" s="6">
        <f>IFERROR(__xludf.DUMMYFUNCTION("""COMPUTED_VALUE"""),3930.75)</f>
        <v>3930.75</v>
      </c>
      <c r="F39" s="6">
        <f>IFERROR(__xludf.DUMMYFUNCTION("""COMPUTED_VALUE"""),1440827.0)</f>
        <v>1440827</v>
      </c>
    </row>
    <row r="40">
      <c r="A40" s="7">
        <f>IFERROR(__xludf.DUMMYFUNCTION("""COMPUTED_VALUE"""),45457.64583333333)</f>
        <v>45457.64583</v>
      </c>
      <c r="B40" s="6">
        <f>IFERROR(__xludf.DUMMYFUNCTION("""COMPUTED_VALUE"""),3935.0)</f>
        <v>3935</v>
      </c>
      <c r="C40" s="6">
        <f>IFERROR(__xludf.DUMMYFUNCTION("""COMPUTED_VALUE"""),4320.0)</f>
        <v>4320</v>
      </c>
      <c r="D40" s="6">
        <f>IFERROR(__xludf.DUMMYFUNCTION("""COMPUTED_VALUE"""),3929.2)</f>
        <v>3929.2</v>
      </c>
      <c r="E40" s="6">
        <f>IFERROR(__xludf.DUMMYFUNCTION("""COMPUTED_VALUE"""),4307.0)</f>
        <v>4307</v>
      </c>
      <c r="F40" s="6">
        <f>IFERROR(__xludf.DUMMYFUNCTION("""COMPUTED_VALUE"""),1496225.0)</f>
        <v>1496225</v>
      </c>
    </row>
    <row r="41">
      <c r="A41" s="7">
        <f>IFERROR(__xludf.DUMMYFUNCTION("""COMPUTED_VALUE"""),45464.64583333333)</f>
        <v>45464.64583</v>
      </c>
      <c r="B41" s="6">
        <f>IFERROR(__xludf.DUMMYFUNCTION("""COMPUTED_VALUE"""),4329.0)</f>
        <v>4329</v>
      </c>
      <c r="C41" s="6">
        <f>IFERROR(__xludf.DUMMYFUNCTION("""COMPUTED_VALUE"""),4400.0)</f>
        <v>4400</v>
      </c>
      <c r="D41" s="6">
        <f>IFERROR(__xludf.DUMMYFUNCTION("""COMPUTED_VALUE"""),3925.15)</f>
        <v>3925.15</v>
      </c>
      <c r="E41" s="6">
        <f>IFERROR(__xludf.DUMMYFUNCTION("""COMPUTED_VALUE"""),3983.25)</f>
        <v>3983.25</v>
      </c>
      <c r="F41" s="6">
        <f>IFERROR(__xludf.DUMMYFUNCTION("""COMPUTED_VALUE"""),2238438.0)</f>
        <v>2238438</v>
      </c>
    </row>
    <row r="42">
      <c r="A42" s="7">
        <f>IFERROR(__xludf.DUMMYFUNCTION("""COMPUTED_VALUE"""),45471.64583333333)</f>
        <v>45471.64583</v>
      </c>
      <c r="B42" s="6">
        <f>IFERROR(__xludf.DUMMYFUNCTION("""COMPUTED_VALUE"""),3990.0)</f>
        <v>3990</v>
      </c>
      <c r="C42" s="6">
        <f>IFERROR(__xludf.DUMMYFUNCTION("""COMPUTED_VALUE"""),4358.35)</f>
        <v>4358.35</v>
      </c>
      <c r="D42" s="6">
        <f>IFERROR(__xludf.DUMMYFUNCTION("""COMPUTED_VALUE"""),3955.0)</f>
        <v>3955</v>
      </c>
      <c r="E42" s="6">
        <f>IFERROR(__xludf.DUMMYFUNCTION("""COMPUTED_VALUE"""),4259.25)</f>
        <v>4259.25</v>
      </c>
      <c r="F42" s="6">
        <f>IFERROR(__xludf.DUMMYFUNCTION("""COMPUTED_VALUE"""),1657574.0)</f>
        <v>1657574</v>
      </c>
    </row>
    <row r="43">
      <c r="A43" s="7">
        <f>IFERROR(__xludf.DUMMYFUNCTION("""COMPUTED_VALUE"""),45478.64583333333)</f>
        <v>45478.64583</v>
      </c>
      <c r="B43" s="6">
        <f>IFERROR(__xludf.DUMMYFUNCTION("""COMPUTED_VALUE"""),4250.0)</f>
        <v>4250</v>
      </c>
      <c r="C43" s="6">
        <f>IFERROR(__xludf.DUMMYFUNCTION("""COMPUTED_VALUE"""),4424.9)</f>
        <v>4424.9</v>
      </c>
      <c r="D43" s="6">
        <f>IFERROR(__xludf.DUMMYFUNCTION("""COMPUTED_VALUE"""),4087.15)</f>
        <v>4087.15</v>
      </c>
      <c r="E43" s="6">
        <f>IFERROR(__xludf.DUMMYFUNCTION("""COMPUTED_VALUE"""),4231.8)</f>
        <v>4231.8</v>
      </c>
      <c r="F43" s="6">
        <f>IFERROR(__xludf.DUMMYFUNCTION("""COMPUTED_VALUE"""),1099766.0)</f>
        <v>1099766</v>
      </c>
    </row>
    <row r="44">
      <c r="A44" s="7">
        <f>IFERROR(__xludf.DUMMYFUNCTION("""COMPUTED_VALUE"""),45485.64583333333)</f>
        <v>45485.64583</v>
      </c>
      <c r="B44" s="6">
        <f>IFERROR(__xludf.DUMMYFUNCTION("""COMPUTED_VALUE"""),4254.0)</f>
        <v>4254</v>
      </c>
      <c r="C44" s="6">
        <f>IFERROR(__xludf.DUMMYFUNCTION("""COMPUTED_VALUE"""),4681.7)</f>
        <v>4681.7</v>
      </c>
      <c r="D44" s="6">
        <f>IFERROR(__xludf.DUMMYFUNCTION("""COMPUTED_VALUE"""),4110.0)</f>
        <v>4110</v>
      </c>
      <c r="E44" s="6">
        <f>IFERROR(__xludf.DUMMYFUNCTION("""COMPUTED_VALUE"""),4153.7)</f>
        <v>4153.7</v>
      </c>
      <c r="F44" s="6">
        <f>IFERROR(__xludf.DUMMYFUNCTION("""COMPUTED_VALUE"""),3082058.0)</f>
        <v>3082058</v>
      </c>
    </row>
    <row r="45">
      <c r="A45" s="7">
        <f>IFERROR(__xludf.DUMMYFUNCTION("""COMPUTED_VALUE"""),45492.64583333333)</f>
        <v>45492.64583</v>
      </c>
      <c r="B45" s="6">
        <f>IFERROR(__xludf.DUMMYFUNCTION("""COMPUTED_VALUE"""),4160.0)</f>
        <v>4160</v>
      </c>
      <c r="C45" s="6">
        <f>IFERROR(__xludf.DUMMYFUNCTION("""COMPUTED_VALUE"""),4160.75)</f>
        <v>4160.75</v>
      </c>
      <c r="D45" s="6">
        <f>IFERROR(__xludf.DUMMYFUNCTION("""COMPUTED_VALUE"""),3980.0)</f>
        <v>3980</v>
      </c>
      <c r="E45" s="6">
        <f>IFERROR(__xludf.DUMMYFUNCTION("""COMPUTED_VALUE"""),4002.35)</f>
        <v>4002.35</v>
      </c>
      <c r="F45" s="6">
        <f>IFERROR(__xludf.DUMMYFUNCTION("""COMPUTED_VALUE"""),1178196.0)</f>
        <v>1178196</v>
      </c>
    </row>
    <row r="46">
      <c r="A46" s="7">
        <f>IFERROR(__xludf.DUMMYFUNCTION("""COMPUTED_VALUE"""),45499.64583333333)</f>
        <v>45499.64583</v>
      </c>
      <c r="B46" s="6">
        <f>IFERROR(__xludf.DUMMYFUNCTION("""COMPUTED_VALUE"""),3990.0)</f>
        <v>3990</v>
      </c>
      <c r="C46" s="6">
        <f>IFERROR(__xludf.DUMMYFUNCTION("""COMPUTED_VALUE"""),4191.85)</f>
        <v>4191.85</v>
      </c>
      <c r="D46" s="6">
        <f>IFERROR(__xludf.DUMMYFUNCTION("""COMPUTED_VALUE"""),3911.15)</f>
        <v>3911.15</v>
      </c>
      <c r="E46" s="6">
        <f>IFERROR(__xludf.DUMMYFUNCTION("""COMPUTED_VALUE"""),4162.95)</f>
        <v>4162.95</v>
      </c>
      <c r="F46" s="6">
        <f>IFERROR(__xludf.DUMMYFUNCTION("""COMPUTED_VALUE"""),938544.0)</f>
        <v>938544</v>
      </c>
    </row>
    <row r="47">
      <c r="A47" s="7">
        <f>IFERROR(__xludf.DUMMYFUNCTION("""COMPUTED_VALUE"""),45506.64583333333)</f>
        <v>45506.64583</v>
      </c>
      <c r="B47" s="6">
        <f>IFERROR(__xludf.DUMMYFUNCTION("""COMPUTED_VALUE"""),4175.0)</f>
        <v>4175</v>
      </c>
      <c r="C47" s="6">
        <f>IFERROR(__xludf.DUMMYFUNCTION("""COMPUTED_VALUE"""),4238.25)</f>
        <v>4238.25</v>
      </c>
      <c r="D47" s="6">
        <f>IFERROR(__xludf.DUMMYFUNCTION("""COMPUTED_VALUE"""),4001.1)</f>
        <v>4001.1</v>
      </c>
      <c r="E47" s="6">
        <f>IFERROR(__xludf.DUMMYFUNCTION("""COMPUTED_VALUE"""),4050.2)</f>
        <v>4050.2</v>
      </c>
      <c r="F47" s="6">
        <f>IFERROR(__xludf.DUMMYFUNCTION("""COMPUTED_VALUE"""),1592853.0)</f>
        <v>1592853</v>
      </c>
    </row>
    <row r="48">
      <c r="A48" s="7">
        <f>IFERROR(__xludf.DUMMYFUNCTION("""COMPUTED_VALUE"""),45513.64583333333)</f>
        <v>45513.64583</v>
      </c>
      <c r="B48" s="6">
        <f>IFERROR(__xludf.DUMMYFUNCTION("""COMPUTED_VALUE"""),3966.75)</f>
        <v>3966.75</v>
      </c>
      <c r="C48" s="6">
        <f>IFERROR(__xludf.DUMMYFUNCTION("""COMPUTED_VALUE"""),4129.9)</f>
        <v>4129.9</v>
      </c>
      <c r="D48" s="6">
        <f>IFERROR(__xludf.DUMMYFUNCTION("""COMPUTED_VALUE"""),3859.5)</f>
        <v>3859.5</v>
      </c>
      <c r="E48" s="6">
        <f>IFERROR(__xludf.DUMMYFUNCTION("""COMPUTED_VALUE"""),4007.15)</f>
        <v>4007.15</v>
      </c>
      <c r="F48" s="6">
        <f>IFERROR(__xludf.DUMMYFUNCTION("""COMPUTED_VALUE"""),915169.0)</f>
        <v>915169</v>
      </c>
    </row>
    <row r="49">
      <c r="A49" s="7">
        <f>IFERROR(__xludf.DUMMYFUNCTION("""COMPUTED_VALUE"""),45520.64583333333)</f>
        <v>45520.64583</v>
      </c>
      <c r="B49" s="6">
        <f>IFERROR(__xludf.DUMMYFUNCTION("""COMPUTED_VALUE"""),4007.5)</f>
        <v>4007.5</v>
      </c>
      <c r="C49" s="6">
        <f>IFERROR(__xludf.DUMMYFUNCTION("""COMPUTED_VALUE"""),4045.5)</f>
        <v>4045.5</v>
      </c>
      <c r="D49" s="6">
        <f>IFERROR(__xludf.DUMMYFUNCTION("""COMPUTED_VALUE"""),3900.0)</f>
        <v>3900</v>
      </c>
      <c r="E49" s="6">
        <f>IFERROR(__xludf.DUMMYFUNCTION("""COMPUTED_VALUE"""),4011.25)</f>
        <v>4011.25</v>
      </c>
      <c r="F49" s="6">
        <f>IFERROR(__xludf.DUMMYFUNCTION("""COMPUTED_VALUE"""),600300.0)</f>
        <v>600300</v>
      </c>
    </row>
    <row r="50">
      <c r="A50" s="7">
        <f>IFERROR(__xludf.DUMMYFUNCTION("""COMPUTED_VALUE"""),45527.64583333333)</f>
        <v>45527.64583</v>
      </c>
      <c r="B50" s="6">
        <f>IFERROR(__xludf.DUMMYFUNCTION("""COMPUTED_VALUE"""),4011.25)</f>
        <v>4011.25</v>
      </c>
      <c r="C50" s="6">
        <f>IFERROR(__xludf.DUMMYFUNCTION("""COMPUTED_VALUE"""),4160.0)</f>
        <v>4160</v>
      </c>
      <c r="D50" s="6">
        <f>IFERROR(__xludf.DUMMYFUNCTION("""COMPUTED_VALUE"""),3965.0)</f>
        <v>3965</v>
      </c>
      <c r="E50" s="6">
        <f>IFERROR(__xludf.DUMMYFUNCTION("""COMPUTED_VALUE"""),4064.4)</f>
        <v>4064.4</v>
      </c>
      <c r="F50" s="6">
        <f>IFERROR(__xludf.DUMMYFUNCTION("""COMPUTED_VALUE"""),620116.0)</f>
        <v>620116</v>
      </c>
    </row>
    <row r="51">
      <c r="A51" s="7">
        <f>IFERROR(__xludf.DUMMYFUNCTION("""COMPUTED_VALUE"""),45534.64583333333)</f>
        <v>45534.64583</v>
      </c>
      <c r="B51" s="6">
        <f>IFERROR(__xludf.DUMMYFUNCTION("""COMPUTED_VALUE"""),4070.0)</f>
        <v>4070</v>
      </c>
      <c r="C51" s="6">
        <f>IFERROR(__xludf.DUMMYFUNCTION("""COMPUTED_VALUE"""),4197.0)</f>
        <v>4197</v>
      </c>
      <c r="D51" s="6">
        <f>IFERROR(__xludf.DUMMYFUNCTION("""COMPUTED_VALUE"""),3985.1)</f>
        <v>3985.1</v>
      </c>
      <c r="E51" s="6">
        <f>IFERROR(__xludf.DUMMYFUNCTION("""COMPUTED_VALUE"""),4030.8)</f>
        <v>4030.8</v>
      </c>
      <c r="F51" s="6">
        <f>IFERROR(__xludf.DUMMYFUNCTION("""COMPUTED_VALUE"""),887310.0)</f>
        <v>887310</v>
      </c>
    </row>
    <row r="52">
      <c r="A52" s="7">
        <f>IFERROR(__xludf.DUMMYFUNCTION("""COMPUTED_VALUE"""),45541.64583333333)</f>
        <v>45541.64583</v>
      </c>
      <c r="B52" s="6">
        <f>IFERROR(__xludf.DUMMYFUNCTION("""COMPUTED_VALUE"""),4058.0)</f>
        <v>4058</v>
      </c>
      <c r="C52" s="6">
        <f>IFERROR(__xludf.DUMMYFUNCTION("""COMPUTED_VALUE"""),4168.85)</f>
        <v>4168.85</v>
      </c>
      <c r="D52" s="6">
        <f>IFERROR(__xludf.DUMMYFUNCTION("""COMPUTED_VALUE"""),3892.05)</f>
        <v>3892.05</v>
      </c>
      <c r="E52" s="6">
        <f>IFERROR(__xludf.DUMMYFUNCTION("""COMPUTED_VALUE"""),3912.4)</f>
        <v>3912.4</v>
      </c>
      <c r="F52" s="6">
        <f>IFERROR(__xludf.DUMMYFUNCTION("""COMPUTED_VALUE"""),1150088.0)</f>
        <v>1150088</v>
      </c>
    </row>
    <row r="53">
      <c r="A53" s="7">
        <f>IFERROR(__xludf.DUMMYFUNCTION("""COMPUTED_VALUE"""),45548.64583333333)</f>
        <v>45548.64583</v>
      </c>
      <c r="B53" s="6">
        <f>IFERROR(__xludf.DUMMYFUNCTION("""COMPUTED_VALUE"""),3932.7)</f>
        <v>3932.7</v>
      </c>
      <c r="C53" s="6">
        <f>IFERROR(__xludf.DUMMYFUNCTION("""COMPUTED_VALUE"""),4141.95)</f>
        <v>4141.95</v>
      </c>
      <c r="D53" s="6">
        <f>IFERROR(__xludf.DUMMYFUNCTION("""COMPUTED_VALUE"""),3871.6)</f>
        <v>3871.6</v>
      </c>
      <c r="E53" s="6">
        <f>IFERROR(__xludf.DUMMYFUNCTION("""COMPUTED_VALUE"""),4097.85)</f>
        <v>4097.85</v>
      </c>
      <c r="F53" s="6">
        <f>IFERROR(__xludf.DUMMYFUNCTION("""COMPUTED_VALUE"""),1706875.0)</f>
        <v>1706875</v>
      </c>
    </row>
    <row r="54">
      <c r="A54" s="7">
        <f>IFERROR(__xludf.DUMMYFUNCTION("""COMPUTED_VALUE"""),45555.64583333333)</f>
        <v>45555.64583</v>
      </c>
      <c r="B54" s="6">
        <f>IFERROR(__xludf.DUMMYFUNCTION("""COMPUTED_VALUE"""),4099.8)</f>
        <v>4099.8</v>
      </c>
      <c r="C54" s="6">
        <f>IFERROR(__xludf.DUMMYFUNCTION("""COMPUTED_VALUE"""),4450.65)</f>
        <v>4450.65</v>
      </c>
      <c r="D54" s="6">
        <f>IFERROR(__xludf.DUMMYFUNCTION("""COMPUTED_VALUE"""),3939.6)</f>
        <v>3939.6</v>
      </c>
      <c r="E54" s="6">
        <f>IFERROR(__xludf.DUMMYFUNCTION("""COMPUTED_VALUE"""),4291.95)</f>
        <v>4291.95</v>
      </c>
      <c r="F54" s="6">
        <f>IFERROR(__xludf.DUMMYFUNCTION("""COMPUTED_VALUE"""),2770516.0)</f>
        <v>2770516</v>
      </c>
    </row>
    <row r="55">
      <c r="A55" s="7">
        <f>IFERROR(__xludf.DUMMYFUNCTION("""COMPUTED_VALUE"""),45562.64583333333)</f>
        <v>45562.64583</v>
      </c>
      <c r="B55" s="6">
        <f>IFERROR(__xludf.DUMMYFUNCTION("""COMPUTED_VALUE"""),4186.05)</f>
        <v>4186.05</v>
      </c>
      <c r="C55" s="6">
        <f>IFERROR(__xludf.DUMMYFUNCTION("""COMPUTED_VALUE"""),4366.65)</f>
        <v>4366.65</v>
      </c>
      <c r="D55" s="6">
        <f>IFERROR(__xludf.DUMMYFUNCTION("""COMPUTED_VALUE"""),4082.0)</f>
        <v>4082</v>
      </c>
      <c r="E55" s="6">
        <f>IFERROR(__xludf.DUMMYFUNCTION("""COMPUTED_VALUE"""),4146.95)</f>
        <v>4146.95</v>
      </c>
      <c r="F55" s="6">
        <f>IFERROR(__xludf.DUMMYFUNCTION("""COMPUTED_VALUE"""),1262233.0)</f>
        <v>1262233</v>
      </c>
    </row>
    <row r="56">
      <c r="A56" s="7">
        <f>IFERROR(__xludf.DUMMYFUNCTION("""COMPUTED_VALUE"""),45569.64583333333)</f>
        <v>45569.64583</v>
      </c>
      <c r="B56" s="6">
        <f>IFERROR(__xludf.DUMMYFUNCTION("""COMPUTED_VALUE"""),4159.0)</f>
        <v>4159</v>
      </c>
      <c r="C56" s="6">
        <f>IFERROR(__xludf.DUMMYFUNCTION("""COMPUTED_VALUE"""),4406.0)</f>
        <v>4406</v>
      </c>
      <c r="D56" s="6">
        <f>IFERROR(__xludf.DUMMYFUNCTION("""COMPUTED_VALUE"""),4042.8)</f>
        <v>4042.8</v>
      </c>
      <c r="E56" s="6">
        <f>IFERROR(__xludf.DUMMYFUNCTION("""COMPUTED_VALUE"""),4078.4)</f>
        <v>4078.4</v>
      </c>
      <c r="F56" s="6">
        <f>IFERROR(__xludf.DUMMYFUNCTION("""COMPUTED_VALUE"""),1115981.0)</f>
        <v>1115981</v>
      </c>
    </row>
    <row r="57">
      <c r="A57" s="7">
        <f>IFERROR(__xludf.DUMMYFUNCTION("""COMPUTED_VALUE"""),45576.64583333333)</f>
        <v>45576.64583</v>
      </c>
      <c r="B57" s="6">
        <f>IFERROR(__xludf.DUMMYFUNCTION("""COMPUTED_VALUE"""),4127.65)</f>
        <v>4127.65</v>
      </c>
      <c r="C57" s="6">
        <f>IFERROR(__xludf.DUMMYFUNCTION("""COMPUTED_VALUE"""),4310.7)</f>
        <v>4310.7</v>
      </c>
      <c r="D57" s="6">
        <f>IFERROR(__xludf.DUMMYFUNCTION("""COMPUTED_VALUE"""),3927.0)</f>
        <v>3927</v>
      </c>
      <c r="E57" s="6">
        <f>IFERROR(__xludf.DUMMYFUNCTION("""COMPUTED_VALUE"""),4225.65)</f>
        <v>4225.65</v>
      </c>
      <c r="F57" s="6">
        <f>IFERROR(__xludf.DUMMYFUNCTION("""COMPUTED_VALUE"""),1092803.0)</f>
        <v>1092803</v>
      </c>
    </row>
    <row r="58">
      <c r="A58" s="7">
        <f>IFERROR(__xludf.DUMMYFUNCTION("""COMPUTED_VALUE"""),45583.64583333333)</f>
        <v>45583.64583</v>
      </c>
      <c r="B58" s="6">
        <f>IFERROR(__xludf.DUMMYFUNCTION("""COMPUTED_VALUE"""),4239.95)</f>
        <v>4239.95</v>
      </c>
      <c r="C58" s="6">
        <f>IFERROR(__xludf.DUMMYFUNCTION("""COMPUTED_VALUE"""),4536.0)</f>
        <v>4536</v>
      </c>
      <c r="D58" s="6">
        <f>IFERROR(__xludf.DUMMYFUNCTION("""COMPUTED_VALUE"""),4161.55)</f>
        <v>4161.55</v>
      </c>
      <c r="E58" s="6">
        <f>IFERROR(__xludf.DUMMYFUNCTION("""COMPUTED_VALUE"""),4488.75)</f>
        <v>4488.75</v>
      </c>
      <c r="F58" s="6">
        <f>IFERROR(__xludf.DUMMYFUNCTION("""COMPUTED_VALUE"""),1044016.0)</f>
        <v>1044016</v>
      </c>
    </row>
    <row r="59">
      <c r="A59" s="7">
        <f>IFERROR(__xludf.DUMMYFUNCTION("""COMPUTED_VALUE"""),45590.64583333333)</f>
        <v>45590.64583</v>
      </c>
      <c r="B59" s="6">
        <f>IFERROR(__xludf.DUMMYFUNCTION("""COMPUTED_VALUE"""),4489.0)</f>
        <v>4489</v>
      </c>
      <c r="C59" s="6">
        <f>IFERROR(__xludf.DUMMYFUNCTION("""COMPUTED_VALUE"""),4810.8)</f>
        <v>4810.8</v>
      </c>
      <c r="D59" s="6">
        <f>IFERROR(__xludf.DUMMYFUNCTION("""COMPUTED_VALUE"""),4352.0)</f>
        <v>4352</v>
      </c>
      <c r="E59" s="6">
        <f>IFERROR(__xludf.DUMMYFUNCTION("""COMPUTED_VALUE"""),4627.75)</f>
        <v>4627.75</v>
      </c>
      <c r="F59" s="6">
        <f>IFERROR(__xludf.DUMMYFUNCTION("""COMPUTED_VALUE"""),1623392.0)</f>
        <v>1623392</v>
      </c>
    </row>
    <row r="60">
      <c r="A60" s="7">
        <f>IFERROR(__xludf.DUMMYFUNCTION("""COMPUTED_VALUE"""),45604.64583333333)</f>
        <v>45604.64583</v>
      </c>
      <c r="B60" s="6">
        <f>IFERROR(__xludf.DUMMYFUNCTION("""COMPUTED_VALUE"""),4449.7)</f>
        <v>4449.7</v>
      </c>
      <c r="C60" s="6">
        <f>IFERROR(__xludf.DUMMYFUNCTION("""COMPUTED_VALUE"""),4515.0)</f>
        <v>4515</v>
      </c>
      <c r="D60" s="6">
        <f>IFERROR(__xludf.DUMMYFUNCTION("""COMPUTED_VALUE"""),3866.0)</f>
        <v>3866</v>
      </c>
      <c r="E60" s="6">
        <f>IFERROR(__xludf.DUMMYFUNCTION("""COMPUTED_VALUE"""),3890.55)</f>
        <v>3890.55</v>
      </c>
      <c r="F60" s="6">
        <f>IFERROR(__xludf.DUMMYFUNCTION("""COMPUTED_VALUE"""),964984.0)</f>
        <v>964984</v>
      </c>
    </row>
    <row r="61">
      <c r="A61" s="7">
        <f>IFERROR(__xludf.DUMMYFUNCTION("""COMPUTED_VALUE"""),45610.64583333333)</f>
        <v>45610.64583</v>
      </c>
      <c r="B61" s="6">
        <f>IFERROR(__xludf.DUMMYFUNCTION("""COMPUTED_VALUE"""),3888.05)</f>
        <v>3888.05</v>
      </c>
      <c r="C61" s="6">
        <f>IFERROR(__xludf.DUMMYFUNCTION("""COMPUTED_VALUE"""),3888.05)</f>
        <v>3888.05</v>
      </c>
      <c r="D61" s="6">
        <f>IFERROR(__xludf.DUMMYFUNCTION("""COMPUTED_VALUE"""),3361.6)</f>
        <v>3361.6</v>
      </c>
      <c r="E61" s="6">
        <f>IFERROR(__xludf.DUMMYFUNCTION("""COMPUTED_VALUE"""),3440.5)</f>
        <v>3440.5</v>
      </c>
      <c r="F61" s="6">
        <f>IFERROR(__xludf.DUMMYFUNCTION("""COMPUTED_VALUE"""),1786221.0)</f>
        <v>1786221</v>
      </c>
    </row>
    <row r="62">
      <c r="A62" s="7">
        <f>IFERROR(__xludf.DUMMYFUNCTION("""COMPUTED_VALUE"""),45618.64583333333)</f>
        <v>45618.64583</v>
      </c>
      <c r="B62" s="6">
        <f>IFERROR(__xludf.DUMMYFUNCTION("""COMPUTED_VALUE"""),3460.0)</f>
        <v>3460</v>
      </c>
      <c r="C62" s="6">
        <f>IFERROR(__xludf.DUMMYFUNCTION("""COMPUTED_VALUE"""),3670.0)</f>
        <v>3670</v>
      </c>
      <c r="D62" s="6">
        <f>IFERROR(__xludf.DUMMYFUNCTION("""COMPUTED_VALUE"""),3370.0)</f>
        <v>3370</v>
      </c>
      <c r="E62" s="6">
        <f>IFERROR(__xludf.DUMMYFUNCTION("""COMPUTED_VALUE"""),3474.4)</f>
        <v>3474.4</v>
      </c>
      <c r="F62" s="6">
        <f>IFERROR(__xludf.DUMMYFUNCTION("""COMPUTED_VALUE"""),1105361.0)</f>
        <v>1105361</v>
      </c>
    </row>
    <row r="63">
      <c r="A63" s="7">
        <f>IFERROR(__xludf.DUMMYFUNCTION("""COMPUTED_VALUE"""),45625.64583333333)</f>
        <v>45625.64583</v>
      </c>
      <c r="B63" s="6">
        <f>IFERROR(__xludf.DUMMYFUNCTION("""COMPUTED_VALUE"""),3504.25)</f>
        <v>3504.25</v>
      </c>
      <c r="C63" s="6">
        <f>IFERROR(__xludf.DUMMYFUNCTION("""COMPUTED_VALUE"""),3649.0)</f>
        <v>3649</v>
      </c>
      <c r="D63" s="6">
        <f>IFERROR(__xludf.DUMMYFUNCTION("""COMPUTED_VALUE"""),3334.3)</f>
        <v>3334.3</v>
      </c>
      <c r="E63" s="6">
        <f>IFERROR(__xludf.DUMMYFUNCTION("""COMPUTED_VALUE"""),3590.55)</f>
        <v>3590.55</v>
      </c>
      <c r="F63" s="6">
        <f>IFERROR(__xludf.DUMMYFUNCTION("""COMPUTED_VALUE"""),2756324.0)</f>
        <v>2756324</v>
      </c>
    </row>
    <row r="64">
      <c r="A64" s="7">
        <f>IFERROR(__xludf.DUMMYFUNCTION("""COMPUTED_VALUE"""),45632.64583333333)</f>
        <v>45632.64583</v>
      </c>
      <c r="B64" s="6">
        <f>IFERROR(__xludf.DUMMYFUNCTION("""COMPUTED_VALUE"""),3590.0)</f>
        <v>3590</v>
      </c>
      <c r="C64" s="6">
        <f>IFERROR(__xludf.DUMMYFUNCTION("""COMPUTED_VALUE"""),3767.0)</f>
        <v>3767</v>
      </c>
      <c r="D64" s="6">
        <f>IFERROR(__xludf.DUMMYFUNCTION("""COMPUTED_VALUE"""),3500.0)</f>
        <v>3500</v>
      </c>
      <c r="E64" s="6">
        <f>IFERROR(__xludf.DUMMYFUNCTION("""COMPUTED_VALUE"""),3680.15)</f>
        <v>3680.15</v>
      </c>
      <c r="F64" s="6">
        <f>IFERROR(__xludf.DUMMYFUNCTION("""COMPUTED_VALUE"""),1558023.0)</f>
        <v>1558023</v>
      </c>
    </row>
    <row r="65">
      <c r="A65" s="7">
        <f>IFERROR(__xludf.DUMMYFUNCTION("""COMPUTED_VALUE"""),45639.64583333333)</f>
        <v>45639.64583</v>
      </c>
      <c r="B65" s="6">
        <f>IFERROR(__xludf.DUMMYFUNCTION("""COMPUTED_VALUE"""),3699.5)</f>
        <v>3699.5</v>
      </c>
      <c r="C65" s="6">
        <f>IFERROR(__xludf.DUMMYFUNCTION("""COMPUTED_VALUE"""),3798.0)</f>
        <v>3798</v>
      </c>
      <c r="D65" s="6">
        <f>IFERROR(__xludf.DUMMYFUNCTION("""COMPUTED_VALUE"""),3564.9)</f>
        <v>3564.9</v>
      </c>
      <c r="E65" s="6">
        <f>IFERROR(__xludf.DUMMYFUNCTION("""COMPUTED_VALUE"""),3653.65)</f>
        <v>3653.65</v>
      </c>
      <c r="F65" s="6">
        <f>IFERROR(__xludf.DUMMYFUNCTION("""COMPUTED_VALUE"""),904010.0)</f>
        <v>904010</v>
      </c>
    </row>
    <row r="66">
      <c r="A66" s="7">
        <f>IFERROR(__xludf.DUMMYFUNCTION("""COMPUTED_VALUE"""),45646.64583333333)</f>
        <v>45646.64583</v>
      </c>
      <c r="B66" s="6">
        <f>IFERROR(__xludf.DUMMYFUNCTION("""COMPUTED_VALUE"""),3650.0)</f>
        <v>3650</v>
      </c>
      <c r="C66" s="6">
        <f>IFERROR(__xludf.DUMMYFUNCTION("""COMPUTED_VALUE"""),3825.0)</f>
        <v>3825</v>
      </c>
      <c r="D66" s="6">
        <f>IFERROR(__xludf.DUMMYFUNCTION("""COMPUTED_VALUE"""),3592.85)</f>
        <v>3592.85</v>
      </c>
      <c r="E66" s="6">
        <f>IFERROR(__xludf.DUMMYFUNCTION("""COMPUTED_VALUE"""),3619.1)</f>
        <v>3619.1</v>
      </c>
      <c r="F66" s="6">
        <f>IFERROR(__xludf.DUMMYFUNCTION("""COMPUTED_VALUE"""),1237484.0)</f>
        <v>1237484</v>
      </c>
    </row>
    <row r="67">
      <c r="A67" s="7">
        <f>IFERROR(__xludf.DUMMYFUNCTION("""COMPUTED_VALUE"""),45653.64583333333)</f>
        <v>45653.64583</v>
      </c>
      <c r="B67" s="6">
        <f>IFERROR(__xludf.DUMMYFUNCTION("""COMPUTED_VALUE"""),3610.05)</f>
        <v>3610.05</v>
      </c>
      <c r="C67" s="6">
        <f>IFERROR(__xludf.DUMMYFUNCTION("""COMPUTED_VALUE"""),3670.5)</f>
        <v>3670.5</v>
      </c>
      <c r="D67" s="6">
        <f>IFERROR(__xludf.DUMMYFUNCTION("""COMPUTED_VALUE"""),3514.3)</f>
        <v>3514.3</v>
      </c>
      <c r="E67" s="6">
        <f>IFERROR(__xludf.DUMMYFUNCTION("""COMPUTED_VALUE"""),3589.5)</f>
        <v>3589.5</v>
      </c>
      <c r="F67" s="6">
        <f>IFERROR(__xludf.DUMMYFUNCTION("""COMPUTED_VALUE"""),447678.0)</f>
        <v>447678</v>
      </c>
    </row>
    <row r="68">
      <c r="A68" s="7">
        <f>IFERROR(__xludf.DUMMYFUNCTION("""COMPUTED_VALUE"""),45660.64583333333)</f>
        <v>45660.64583</v>
      </c>
      <c r="B68" s="6">
        <f>IFERROR(__xludf.DUMMYFUNCTION("""COMPUTED_VALUE"""),3575.0)</f>
        <v>3575</v>
      </c>
      <c r="C68" s="6">
        <f>IFERROR(__xludf.DUMMYFUNCTION("""COMPUTED_VALUE"""),3693.6)</f>
        <v>3693.6</v>
      </c>
      <c r="D68" s="6">
        <f>IFERROR(__xludf.DUMMYFUNCTION("""COMPUTED_VALUE"""),3489.25)</f>
        <v>3489.25</v>
      </c>
      <c r="E68" s="6">
        <f>IFERROR(__xludf.DUMMYFUNCTION("""COMPUTED_VALUE"""),3609.65)</f>
        <v>3609.65</v>
      </c>
      <c r="F68" s="6">
        <f>IFERROR(__xludf.DUMMYFUNCTION("""COMPUTED_VALUE"""),852738.0)</f>
        <v>852738</v>
      </c>
    </row>
    <row r="69">
      <c r="A69" s="7">
        <f>IFERROR(__xludf.DUMMYFUNCTION("""COMPUTED_VALUE"""),45667.64583333333)</f>
        <v>45667.64583</v>
      </c>
      <c r="B69" s="6">
        <f>IFERROR(__xludf.DUMMYFUNCTION("""COMPUTED_VALUE"""),3602.0)</f>
        <v>3602</v>
      </c>
      <c r="C69" s="6">
        <f>IFERROR(__xludf.DUMMYFUNCTION("""COMPUTED_VALUE"""),3673.65)</f>
        <v>3673.65</v>
      </c>
      <c r="D69" s="6">
        <f>IFERROR(__xludf.DUMMYFUNCTION("""COMPUTED_VALUE"""),3425.0)</f>
        <v>3425</v>
      </c>
      <c r="E69" s="6">
        <f>IFERROR(__xludf.DUMMYFUNCTION("""COMPUTED_VALUE"""),3454.5)</f>
        <v>3454.5</v>
      </c>
      <c r="F69" s="6">
        <f>IFERROR(__xludf.DUMMYFUNCTION("""COMPUTED_VALUE"""),1014311.0)</f>
        <v>1014311</v>
      </c>
    </row>
    <row r="70">
      <c r="A70" s="7">
        <f>IFERROR(__xludf.DUMMYFUNCTION("""COMPUTED_VALUE"""),45674.64583333333)</f>
        <v>45674.64583</v>
      </c>
      <c r="B70" s="6">
        <f>IFERROR(__xludf.DUMMYFUNCTION("""COMPUTED_VALUE"""),3406.1)</f>
        <v>3406.1</v>
      </c>
      <c r="C70" s="6">
        <f>IFERROR(__xludf.DUMMYFUNCTION("""COMPUTED_VALUE"""),3448.3)</f>
        <v>3448.3</v>
      </c>
      <c r="D70" s="6">
        <f>IFERROR(__xludf.DUMMYFUNCTION("""COMPUTED_VALUE"""),3219.45)</f>
        <v>3219.45</v>
      </c>
      <c r="E70" s="6">
        <f>IFERROR(__xludf.DUMMYFUNCTION("""COMPUTED_VALUE"""),3408.8)</f>
        <v>3408.8</v>
      </c>
      <c r="F70" s="6">
        <f>IFERROR(__xludf.DUMMYFUNCTION("""COMPUTED_VALUE"""),959927.0)</f>
        <v>959927</v>
      </c>
    </row>
    <row r="71">
      <c r="A71" s="7">
        <f>IFERROR(__xludf.DUMMYFUNCTION("""COMPUTED_VALUE"""),45681.64583333333)</f>
        <v>45681.64583</v>
      </c>
      <c r="B71" s="6">
        <f>IFERROR(__xludf.DUMMYFUNCTION("""COMPUTED_VALUE"""),3402.25)</f>
        <v>3402.25</v>
      </c>
      <c r="C71" s="6">
        <f>IFERROR(__xludf.DUMMYFUNCTION("""COMPUTED_VALUE"""),3485.0)</f>
        <v>3485</v>
      </c>
      <c r="D71" s="6">
        <f>IFERROR(__xludf.DUMMYFUNCTION("""COMPUTED_VALUE"""),3204.05)</f>
        <v>3204.05</v>
      </c>
      <c r="E71" s="6">
        <f>IFERROR(__xludf.DUMMYFUNCTION("""COMPUTED_VALUE"""),3232.15)</f>
        <v>3232.15</v>
      </c>
      <c r="F71" s="6">
        <f>IFERROR(__xludf.DUMMYFUNCTION("""COMPUTED_VALUE"""),862211.0)</f>
        <v>862211</v>
      </c>
    </row>
    <row r="72">
      <c r="A72" s="7">
        <f>IFERROR(__xludf.DUMMYFUNCTION("""COMPUTED_VALUE"""),45695.64583333333)</f>
        <v>45695.64583</v>
      </c>
      <c r="B72" s="6">
        <f>IFERROR(__xludf.DUMMYFUNCTION("""COMPUTED_VALUE"""),3175.0)</f>
        <v>3175</v>
      </c>
      <c r="C72" s="6">
        <f>IFERROR(__xludf.DUMMYFUNCTION("""COMPUTED_VALUE"""),3203.05)</f>
        <v>3203.05</v>
      </c>
      <c r="D72" s="6">
        <f>IFERROR(__xludf.DUMMYFUNCTION("""COMPUTED_VALUE"""),2890.0)</f>
        <v>2890</v>
      </c>
      <c r="E72" s="6">
        <f>IFERROR(__xludf.DUMMYFUNCTION("""COMPUTED_VALUE"""),2909.85)</f>
        <v>2909.85</v>
      </c>
      <c r="F72" s="6">
        <f>IFERROR(__xludf.DUMMYFUNCTION("""COMPUTED_VALUE"""),1732416.0)</f>
        <v>1732416</v>
      </c>
    </row>
    <row r="73">
      <c r="A73" s="7">
        <f>IFERROR(__xludf.DUMMYFUNCTION("""COMPUTED_VALUE"""),45702.64583333333)</f>
        <v>45702.64583</v>
      </c>
      <c r="B73" s="6">
        <f>IFERROR(__xludf.DUMMYFUNCTION("""COMPUTED_VALUE"""),2909.85)</f>
        <v>2909.85</v>
      </c>
      <c r="C73" s="6">
        <f>IFERROR(__xludf.DUMMYFUNCTION("""COMPUTED_VALUE"""),2950.85)</f>
        <v>2950.85</v>
      </c>
      <c r="D73" s="6">
        <f>IFERROR(__xludf.DUMMYFUNCTION("""COMPUTED_VALUE"""),2555.0)</f>
        <v>2555</v>
      </c>
      <c r="E73" s="6">
        <f>IFERROR(__xludf.DUMMYFUNCTION("""COMPUTED_VALUE"""),2580.5)</f>
        <v>2580.5</v>
      </c>
      <c r="F73" s="6">
        <f>IFERROR(__xludf.DUMMYFUNCTION("""COMPUTED_VALUE"""),1395740.0)</f>
        <v>1395740</v>
      </c>
    </row>
    <row r="74">
      <c r="A74" s="7">
        <f>IFERROR(__xludf.DUMMYFUNCTION("""COMPUTED_VALUE"""),45709.64583333333)</f>
        <v>45709.64583</v>
      </c>
      <c r="B74" s="6">
        <f>IFERROR(__xludf.DUMMYFUNCTION("""COMPUTED_VALUE"""),2540.05)</f>
        <v>2540.05</v>
      </c>
      <c r="C74" s="6">
        <f>IFERROR(__xludf.DUMMYFUNCTION("""COMPUTED_VALUE"""),2797.15)</f>
        <v>2797.15</v>
      </c>
      <c r="D74" s="6">
        <f>IFERROR(__xludf.DUMMYFUNCTION("""COMPUTED_VALUE"""),2513.5)</f>
        <v>2513.5</v>
      </c>
      <c r="E74" s="6">
        <f>IFERROR(__xludf.DUMMYFUNCTION("""COMPUTED_VALUE"""),2685.65)</f>
        <v>2685.65</v>
      </c>
      <c r="F74" s="6">
        <f>IFERROR(__xludf.DUMMYFUNCTION("""COMPUTED_VALUE"""),1486844.0)</f>
        <v>1486844</v>
      </c>
    </row>
    <row r="75">
      <c r="A75" s="7">
        <f>IFERROR(__xludf.DUMMYFUNCTION("""COMPUTED_VALUE"""),45716.64583333333)</f>
        <v>45716.64583</v>
      </c>
      <c r="B75" s="6">
        <f>IFERROR(__xludf.DUMMYFUNCTION("""COMPUTED_VALUE"""),2660.0)</f>
        <v>2660</v>
      </c>
      <c r="C75" s="6">
        <f>IFERROR(__xludf.DUMMYFUNCTION("""COMPUTED_VALUE"""),2686.7)</f>
        <v>2686.7</v>
      </c>
      <c r="D75" s="6">
        <f>IFERROR(__xludf.DUMMYFUNCTION("""COMPUTED_VALUE"""),2407.1)</f>
        <v>2407.1</v>
      </c>
      <c r="E75" s="6">
        <f>IFERROR(__xludf.DUMMYFUNCTION("""COMPUTED_VALUE"""),2462.15)</f>
        <v>2462.15</v>
      </c>
      <c r="F75" s="6">
        <f>IFERROR(__xludf.DUMMYFUNCTION("""COMPUTED_VALUE"""),1254172.0)</f>
        <v>1254172</v>
      </c>
    </row>
    <row r="76">
      <c r="A76" s="7">
        <f>IFERROR(__xludf.DUMMYFUNCTION("""COMPUTED_VALUE"""),45723.64583333333)</f>
        <v>45723.64583</v>
      </c>
      <c r="B76" s="6">
        <f>IFERROR(__xludf.DUMMYFUNCTION("""COMPUTED_VALUE"""),2462.15)</f>
        <v>2462.15</v>
      </c>
      <c r="C76" s="6">
        <f>IFERROR(__xludf.DUMMYFUNCTION("""COMPUTED_VALUE"""),2760.0)</f>
        <v>2760</v>
      </c>
      <c r="D76" s="6">
        <f>IFERROR(__xludf.DUMMYFUNCTION("""COMPUTED_VALUE"""),2419.35)</f>
        <v>2419.35</v>
      </c>
      <c r="E76" s="6">
        <f>IFERROR(__xludf.DUMMYFUNCTION("""COMPUTED_VALUE"""),2701.8)</f>
        <v>2701.8</v>
      </c>
      <c r="F76" s="6">
        <f>IFERROR(__xludf.DUMMYFUNCTION("""COMPUTED_VALUE"""),3467788.0)</f>
        <v>3467788</v>
      </c>
    </row>
    <row r="77">
      <c r="A77" s="7">
        <f>IFERROR(__xludf.DUMMYFUNCTION("""COMPUTED_VALUE"""),45729.64583333333)</f>
        <v>45729.64583</v>
      </c>
      <c r="B77" s="6">
        <f>IFERROR(__xludf.DUMMYFUNCTION("""COMPUTED_VALUE"""),2706.0)</f>
        <v>2706</v>
      </c>
      <c r="C77" s="6">
        <f>IFERROR(__xludf.DUMMYFUNCTION("""COMPUTED_VALUE"""),2964.55)</f>
        <v>2964.55</v>
      </c>
      <c r="D77" s="6">
        <f>IFERROR(__xludf.DUMMYFUNCTION("""COMPUTED_VALUE"""),2684.95)</f>
        <v>2684.95</v>
      </c>
      <c r="E77" s="6">
        <f>IFERROR(__xludf.DUMMYFUNCTION("""COMPUTED_VALUE"""),2926.55)</f>
        <v>2926.55</v>
      </c>
      <c r="F77" s="6">
        <f>IFERROR(__xludf.DUMMYFUNCTION("""COMPUTED_VALUE"""),3775908.0)</f>
        <v>3775908</v>
      </c>
    </row>
    <row r="78">
      <c r="A78" s="7">
        <f>IFERROR(__xludf.DUMMYFUNCTION("""COMPUTED_VALUE"""),45737.64583333333)</f>
        <v>45737.64583</v>
      </c>
      <c r="B78" s="6">
        <f>IFERROR(__xludf.DUMMYFUNCTION("""COMPUTED_VALUE"""),2851.0)</f>
        <v>2851</v>
      </c>
      <c r="C78" s="6">
        <f>IFERROR(__xludf.DUMMYFUNCTION("""COMPUTED_VALUE"""),2967.5)</f>
        <v>2967.5</v>
      </c>
      <c r="D78" s="6">
        <f>IFERROR(__xludf.DUMMYFUNCTION("""COMPUTED_VALUE"""),2822.85)</f>
        <v>2822.85</v>
      </c>
      <c r="E78" s="6">
        <f>IFERROR(__xludf.DUMMYFUNCTION("""COMPUTED_VALUE"""),2872.15)</f>
        <v>2872.15</v>
      </c>
      <c r="F78" s="6">
        <f>IFERROR(__xludf.DUMMYFUNCTION("""COMPUTED_VALUE"""),1973866.0)</f>
        <v>1973866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IFERROR(__xludf.DUMMYFUNCTION("""COMPUTED_VALUE"""),2879.95)</f>
        <v>2879.95</v>
      </c>
      <c r="C79" s="6">
        <f>IFERROR(__xludf.DUMMYFUNCTION("""COMPUTED_VALUE"""),2899.7)</f>
        <v>2899.7</v>
      </c>
      <c r="D79" s="6">
        <f>IFERROR(__xludf.DUMMYFUNCTION("""COMPUTED_VALUE"""),2676.5)</f>
        <v>2676.5</v>
      </c>
      <c r="E79" s="6">
        <f>IFERROR(__xludf.DUMMYFUNCTION("""COMPUTED_VALUE"""),2769.35)</f>
        <v>2769.35</v>
      </c>
      <c r="F79" s="6">
        <f>IFERROR(__xludf.DUMMYFUNCTION("""COMPUTED_VALUE"""),2769385.0)</f>
        <v>2769385</v>
      </c>
    </row>
    <row r="80">
      <c r="A80" s="7">
        <f>IFERROR(__xludf.DUMMYFUNCTION("""COMPUTED_VALUE"""),45751.64583333333)</f>
        <v>45751.64583</v>
      </c>
      <c r="B80" s="6">
        <f>IFERROR(__xludf.DUMMYFUNCTION("""COMPUTED_VALUE"""),2760.0)</f>
        <v>2760</v>
      </c>
      <c r="C80" s="6">
        <f>IFERROR(__xludf.DUMMYFUNCTION("""COMPUTED_VALUE"""),2786.35)</f>
        <v>2786.35</v>
      </c>
      <c r="D80" s="6">
        <f>IFERROR(__xludf.DUMMYFUNCTION("""COMPUTED_VALUE"""),2618.55)</f>
        <v>2618.55</v>
      </c>
      <c r="E80" s="6">
        <f>IFERROR(__xludf.DUMMYFUNCTION("""COMPUTED_VALUE"""),2637.25)</f>
        <v>2637.25</v>
      </c>
      <c r="F80" s="6">
        <f>IFERROR(__xludf.DUMMYFUNCTION("""COMPUTED_VALUE"""),720149.0)</f>
        <v>720149</v>
      </c>
    </row>
    <row r="81">
      <c r="A81" s="7">
        <f>IFERROR(__xludf.DUMMYFUNCTION("""COMPUTED_VALUE"""),45758.64583333333)</f>
        <v>45758.64583</v>
      </c>
      <c r="B81" s="6">
        <f>IFERROR(__xludf.DUMMYFUNCTION("""COMPUTED_VALUE"""),2501.0)</f>
        <v>2501</v>
      </c>
      <c r="C81" s="6">
        <f>IFERROR(__xludf.DUMMYFUNCTION("""COMPUTED_VALUE"""),2626.35)</f>
        <v>2626.35</v>
      </c>
      <c r="D81" s="6">
        <f>IFERROR(__xludf.DUMMYFUNCTION("""COMPUTED_VALUE"""),2486.75)</f>
        <v>2486.75</v>
      </c>
      <c r="E81" s="6">
        <f>IFERROR(__xludf.DUMMYFUNCTION("""COMPUTED_VALUE"""),2509.7)</f>
        <v>2509.7</v>
      </c>
      <c r="F81" s="6">
        <f>IFERROR(__xludf.DUMMYFUNCTION("""COMPUTED_VALUE"""),1454351.0)</f>
        <v>1454351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IFERROR(__xludf.DUMMYFUNCTION("""COMPUTED_VALUE"""),2583.9)</f>
        <v>2583.9</v>
      </c>
      <c r="C82" s="6">
        <f>IFERROR(__xludf.DUMMYFUNCTION("""COMPUTED_VALUE"""),2593.0)</f>
        <v>2593</v>
      </c>
      <c r="D82" s="6">
        <f>IFERROR(__xludf.DUMMYFUNCTION("""COMPUTED_VALUE"""),2463.1)</f>
        <v>2463.1</v>
      </c>
      <c r="E82" s="6">
        <f>IFERROR(__xludf.DUMMYFUNCTION("""COMPUTED_VALUE"""),2495.8)</f>
        <v>2495.8</v>
      </c>
      <c r="F82" s="6">
        <f>IFERROR(__xludf.DUMMYFUNCTION("""COMPUTED_VALUE"""),2050851.0)</f>
        <v>2050851</v>
      </c>
    </row>
    <row r="83">
      <c r="A83" s="7">
        <f>IFERROR(__xludf.DUMMYFUNCTION("""COMPUTED_VALUE"""),45772.64583333333)</f>
        <v>45772.64583</v>
      </c>
      <c r="B83" s="6">
        <f>IFERROR(__xludf.DUMMYFUNCTION("""COMPUTED_VALUE"""),2510.0)</f>
        <v>2510</v>
      </c>
      <c r="C83" s="6">
        <f>IFERROR(__xludf.DUMMYFUNCTION("""COMPUTED_VALUE"""),2702.4)</f>
        <v>2702.4</v>
      </c>
      <c r="D83" s="6">
        <f>IFERROR(__xludf.DUMMYFUNCTION("""COMPUTED_VALUE"""),2485.5)</f>
        <v>2485.5</v>
      </c>
      <c r="E83" s="6">
        <f>IFERROR(__xludf.DUMMYFUNCTION("""COMPUTED_VALUE"""),2573.9)</f>
        <v>2573.9</v>
      </c>
      <c r="F83" s="6">
        <f>IFERROR(__xludf.DUMMYFUNCTION("""COMPUTED_VALUE"""),3143293.0)</f>
        <v>3143293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IFERROR(__xludf.DUMMYFUNCTION("""COMPUTED_VALUE"""),2572.0)</f>
        <v>2572</v>
      </c>
      <c r="C84" s="6">
        <f>IFERROR(__xludf.DUMMYFUNCTION("""COMPUTED_VALUE"""),2934.4)</f>
        <v>2934.4</v>
      </c>
      <c r="D84" s="6">
        <f>IFERROR(__xludf.DUMMYFUNCTION("""COMPUTED_VALUE"""),2565.3)</f>
        <v>2565.3</v>
      </c>
      <c r="E84" s="6">
        <f>IFERROR(__xludf.DUMMYFUNCTION("""COMPUTED_VALUE"""),2908.4)</f>
        <v>2908.4</v>
      </c>
      <c r="F84" s="6">
        <f>IFERROR(__xludf.DUMMYFUNCTION("""COMPUTED_VALUE"""),3402837.0)</f>
        <v>3402837</v>
      </c>
    </row>
    <row r="85">
      <c r="A85" s="7">
        <f>IFERROR(__xludf.DUMMYFUNCTION("""COMPUTED_VALUE"""),45786.64583333333)</f>
        <v>45786.64583</v>
      </c>
      <c r="B85" s="6">
        <f>IFERROR(__xludf.DUMMYFUNCTION("""COMPUTED_VALUE"""),2913.0)</f>
        <v>2913</v>
      </c>
      <c r="C85" s="6">
        <f>IFERROR(__xludf.DUMMYFUNCTION("""COMPUTED_VALUE"""),3007.0)</f>
        <v>3007</v>
      </c>
      <c r="D85" s="6">
        <f>IFERROR(__xludf.DUMMYFUNCTION("""COMPUTED_VALUE"""),2803.0)</f>
        <v>2803</v>
      </c>
      <c r="E85" s="6">
        <f>IFERROR(__xludf.DUMMYFUNCTION("""COMPUTED_VALUE"""),2860.3)</f>
        <v>2860.3</v>
      </c>
      <c r="F85" s="6">
        <f>IFERROR(__xludf.DUMMYFUNCTION("""COMPUTED_VALUE"""),1664915.0)</f>
        <v>1664915</v>
      </c>
    </row>
    <row r="86">
      <c r="A86" s="7">
        <f>IFERROR(__xludf.DUMMYFUNCTION("""COMPUTED_VALUE"""),45793.64583333333)</f>
        <v>45793.64583</v>
      </c>
      <c r="B86" s="6">
        <f>IFERROR(__xludf.DUMMYFUNCTION("""COMPUTED_VALUE"""),2904.6)</f>
        <v>2904.6</v>
      </c>
      <c r="C86" s="6">
        <f>IFERROR(__xludf.DUMMYFUNCTION("""COMPUTED_VALUE"""),3075.0)</f>
        <v>3075</v>
      </c>
      <c r="D86" s="6">
        <f>IFERROR(__xludf.DUMMYFUNCTION("""COMPUTED_VALUE"""),2892.0)</f>
        <v>2892</v>
      </c>
      <c r="E86" s="6">
        <f>IFERROR(__xludf.DUMMYFUNCTION("""COMPUTED_VALUE"""),3044.6)</f>
        <v>3044.6</v>
      </c>
      <c r="F86" s="6">
        <f>IFERROR(__xludf.DUMMYFUNCTION("""COMPUTED_VALUE"""),1824219.0)</f>
        <v>1824219</v>
      </c>
    </row>
    <row r="87">
      <c r="A87" s="7">
        <f>IFERROR(__xludf.DUMMYFUNCTION("""COMPUTED_VALUE"""),45800.64583333333)</f>
        <v>45800.64583</v>
      </c>
      <c r="B87" s="6">
        <f>IFERROR(__xludf.DUMMYFUNCTION("""COMPUTED_VALUE"""),3077.0)</f>
        <v>3077</v>
      </c>
      <c r="C87" s="6">
        <f>IFERROR(__xludf.DUMMYFUNCTION("""COMPUTED_VALUE"""),3255.0)</f>
        <v>3255</v>
      </c>
      <c r="D87" s="6">
        <f>IFERROR(__xludf.DUMMYFUNCTION("""COMPUTED_VALUE"""),2966.4)</f>
        <v>2966.4</v>
      </c>
      <c r="E87" s="6">
        <f>IFERROR(__xludf.DUMMYFUNCTION("""COMPUTED_VALUE"""),3046.8)</f>
        <v>3046.8</v>
      </c>
      <c r="F87" s="6">
        <f>IFERROR(__xludf.DUMMYFUNCTION("""COMPUTED_VALUE"""),2279062.0)</f>
        <v>2279062</v>
      </c>
    </row>
    <row r="88">
      <c r="A88" s="7">
        <f>IFERROR(__xludf.DUMMYFUNCTION("""COMPUTED_VALUE"""),45807.64583333333)</f>
        <v>45807.64583</v>
      </c>
      <c r="B88" s="6">
        <f>IFERROR(__xludf.DUMMYFUNCTION("""COMPUTED_VALUE"""),3050.0)</f>
        <v>3050</v>
      </c>
      <c r="C88" s="6">
        <f>IFERROR(__xludf.DUMMYFUNCTION("""COMPUTED_VALUE"""),3090.9)</f>
        <v>3090.9</v>
      </c>
      <c r="D88" s="6">
        <f>IFERROR(__xludf.DUMMYFUNCTION("""COMPUTED_VALUE"""),3002.1)</f>
        <v>3002.1</v>
      </c>
      <c r="E88" s="6">
        <f>IFERROR(__xludf.DUMMYFUNCTION("""COMPUTED_VALUE"""),3062.1)</f>
        <v>3062.1</v>
      </c>
      <c r="F88" s="6">
        <f>IFERROR(__xludf.DUMMYFUNCTION("""COMPUTED_VALUE"""),1074961.0)</f>
        <v>1074961</v>
      </c>
    </row>
    <row r="89">
      <c r="A89" s="7">
        <f>IFERROR(__xludf.DUMMYFUNCTION("""COMPUTED_VALUE"""),45814.64583333333)</f>
        <v>45814.64583</v>
      </c>
      <c r="B89" s="6">
        <f>IFERROR(__xludf.DUMMYFUNCTION("""COMPUTED_VALUE"""),3020.0)</f>
        <v>3020</v>
      </c>
      <c r="C89" s="6">
        <f>IFERROR(__xludf.DUMMYFUNCTION("""COMPUTED_VALUE"""),3119.0)</f>
        <v>3119</v>
      </c>
      <c r="D89" s="6">
        <f>IFERROR(__xludf.DUMMYFUNCTION("""COMPUTED_VALUE"""),3001.0)</f>
        <v>3001</v>
      </c>
      <c r="E89" s="6">
        <f>IFERROR(__xludf.DUMMYFUNCTION("""COMPUTED_VALUE"""),3067.0)</f>
        <v>3067</v>
      </c>
      <c r="F89" s="6">
        <f>IFERROR(__xludf.DUMMYFUNCTION("""COMPUTED_VALUE"""),905067.0)</f>
        <v>905067</v>
      </c>
    </row>
    <row r="90">
      <c r="A90" s="7">
        <f>IFERROR(__xludf.DUMMYFUNCTION("""COMPUTED_VALUE"""),45821.64583333333)</f>
        <v>45821.64583</v>
      </c>
      <c r="B90" s="6">
        <f>IFERROR(__xludf.DUMMYFUNCTION("""COMPUTED_VALUE"""),3070.0)</f>
        <v>3070</v>
      </c>
      <c r="C90" s="6">
        <f>IFERROR(__xludf.DUMMYFUNCTION("""COMPUTED_VALUE"""),3119.9)</f>
        <v>3119.9</v>
      </c>
      <c r="D90" s="6">
        <f>IFERROR(__xludf.DUMMYFUNCTION("""COMPUTED_VALUE"""),2895.0)</f>
        <v>2895</v>
      </c>
      <c r="E90" s="6">
        <f>IFERROR(__xludf.DUMMYFUNCTION("""COMPUTED_VALUE"""),2936.2)</f>
        <v>2936.2</v>
      </c>
      <c r="F90" s="6">
        <f>IFERROR(__xludf.DUMMYFUNCTION("""COMPUTED_VALUE"""),1165138.0)</f>
        <v>1165138</v>
      </c>
    </row>
    <row r="91">
      <c r="A91" s="7">
        <f>IFERROR(__xludf.DUMMYFUNCTION("""COMPUTED_VALUE"""),45828.64583333333)</f>
        <v>45828.64583</v>
      </c>
      <c r="B91" s="6">
        <f>IFERROR(__xludf.DUMMYFUNCTION("""COMPUTED_VALUE"""),2936.5)</f>
        <v>2936.5</v>
      </c>
      <c r="C91" s="6">
        <f>IFERROR(__xludf.DUMMYFUNCTION("""COMPUTED_VALUE"""),3020.0)</f>
        <v>3020</v>
      </c>
      <c r="D91" s="6">
        <f>IFERROR(__xludf.DUMMYFUNCTION("""COMPUTED_VALUE"""),2835.5)</f>
        <v>2835.5</v>
      </c>
      <c r="E91" s="6">
        <f>IFERROR(__xludf.DUMMYFUNCTION("""COMPUTED_VALUE"""),2926.3)</f>
        <v>2926.3</v>
      </c>
      <c r="F91" s="6">
        <f>IFERROR(__xludf.DUMMYFUNCTION("""COMPUTED_VALUE"""),1346334.0)</f>
        <v>1346334</v>
      </c>
    </row>
    <row r="92">
      <c r="A92" s="7">
        <f>IFERROR(__xludf.DUMMYFUNCTION("""COMPUTED_VALUE"""),45835.64583333333)</f>
        <v>45835.64583</v>
      </c>
      <c r="B92" s="6">
        <f>IFERROR(__xludf.DUMMYFUNCTION("""COMPUTED_VALUE"""),2901.2)</f>
        <v>2901.2</v>
      </c>
      <c r="C92" s="6">
        <f>IFERROR(__xludf.DUMMYFUNCTION("""COMPUTED_VALUE"""),3117.0)</f>
        <v>3117</v>
      </c>
      <c r="D92" s="6">
        <f>IFERROR(__xludf.DUMMYFUNCTION("""COMPUTED_VALUE"""),2826.6)</f>
        <v>2826.6</v>
      </c>
      <c r="E92" s="6">
        <f>IFERROR(__xludf.DUMMYFUNCTION("""COMPUTED_VALUE"""),3082.1)</f>
        <v>3082.1</v>
      </c>
      <c r="F92" s="6">
        <f>IFERROR(__xludf.DUMMYFUNCTION("""COMPUTED_VALUE"""),3192601.0)</f>
        <v>3192601</v>
      </c>
    </row>
    <row r="93">
      <c r="A93" s="7">
        <f>IFERROR(__xludf.DUMMYFUNCTION("""COMPUTED_VALUE"""),45842.64583333333)</f>
        <v>45842.64583</v>
      </c>
      <c r="B93" s="6">
        <f>IFERROR(__xludf.DUMMYFUNCTION("""COMPUTED_VALUE"""),3084.0)</f>
        <v>3084</v>
      </c>
      <c r="C93" s="6">
        <f>IFERROR(__xludf.DUMMYFUNCTION("""COMPUTED_VALUE"""),3140.0)</f>
        <v>3140</v>
      </c>
      <c r="D93" s="6">
        <f>IFERROR(__xludf.DUMMYFUNCTION("""COMPUTED_VALUE"""),2917.0)</f>
        <v>2917</v>
      </c>
      <c r="E93" s="6">
        <f>IFERROR(__xludf.DUMMYFUNCTION("""COMPUTED_VALUE"""),2988.0)</f>
        <v>2988</v>
      </c>
      <c r="F93" s="6">
        <f>IFERROR(__xludf.DUMMYFUNCTION("""COMPUTED_VALUE"""),1635441.0)</f>
        <v>1635441</v>
      </c>
    </row>
    <row r="94">
      <c r="A94" s="7">
        <f>IFERROR(__xludf.DUMMYFUNCTION("""COMPUTED_VALUE"""),45849.64583333333)</f>
        <v>45849.64583</v>
      </c>
      <c r="B94" s="6">
        <f>IFERROR(__xludf.DUMMYFUNCTION("""COMPUTED_VALUE"""),2969.0)</f>
        <v>2969</v>
      </c>
      <c r="C94" s="6">
        <f>IFERROR(__xludf.DUMMYFUNCTION("""COMPUTED_VALUE"""),3015.0)</f>
        <v>3015</v>
      </c>
      <c r="D94" s="6">
        <f>IFERROR(__xludf.DUMMYFUNCTION("""COMPUTED_VALUE"""),2836.6)</f>
        <v>2836.6</v>
      </c>
      <c r="E94" s="6">
        <f>IFERROR(__xludf.DUMMYFUNCTION("""COMPUTED_VALUE"""),2869.8)</f>
        <v>2869.8</v>
      </c>
      <c r="F94" s="6">
        <f>IFERROR(__xludf.DUMMYFUNCTION("""COMPUTED_VALUE"""),982605.0)</f>
        <v>982605</v>
      </c>
    </row>
    <row r="95">
      <c r="A95" s="7">
        <f>IFERROR(__xludf.DUMMYFUNCTION("""COMPUTED_VALUE"""),45856.64583333333)</f>
        <v>45856.64583</v>
      </c>
      <c r="B95" s="6">
        <f>IFERROR(__xludf.DUMMYFUNCTION("""COMPUTED_VALUE"""),2868.9)</f>
        <v>2868.9</v>
      </c>
      <c r="C95" s="6">
        <f>IFERROR(__xludf.DUMMYFUNCTION("""COMPUTED_VALUE"""),2979.1)</f>
        <v>2979.1</v>
      </c>
      <c r="D95" s="6">
        <f>IFERROR(__xludf.DUMMYFUNCTION("""COMPUTED_VALUE"""),2855.8)</f>
        <v>2855.8</v>
      </c>
      <c r="E95" s="6">
        <f>IFERROR(__xludf.DUMMYFUNCTION("""COMPUTED_VALUE"""),2918.9)</f>
        <v>2918.9</v>
      </c>
      <c r="F95" s="6">
        <f>IFERROR(__xludf.DUMMYFUNCTION("""COMPUTED_VALUE"""),1877837.0)</f>
        <v>1877837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IFERROR(__xludf.DUMMYFUNCTION("""COMPUTED_VALUE"""),2919.9)</f>
        <v>2919.9</v>
      </c>
      <c r="C96" s="6">
        <f>IFERROR(__xludf.DUMMYFUNCTION("""COMPUTED_VALUE"""),3005.0)</f>
        <v>3005</v>
      </c>
      <c r="D96" s="6">
        <f>IFERROR(__xludf.DUMMYFUNCTION("""COMPUTED_VALUE"""),2862.0)</f>
        <v>2862</v>
      </c>
      <c r="E96" s="6">
        <f>IFERROR(__xludf.DUMMYFUNCTION("""COMPUTED_VALUE"""),2889.0)</f>
        <v>2889</v>
      </c>
      <c r="F96" s="6">
        <f>IFERROR(__xludf.DUMMYFUNCTION("""COMPUTED_VALUE"""),1049082.0)</f>
        <v>1049082</v>
      </c>
    </row>
    <row r="97">
      <c r="A97" s="7">
        <f>IFERROR(__xludf.DUMMYFUNCTION("""COMPUTED_VALUE"""),45870.64583333333)</f>
        <v>45870.64583</v>
      </c>
      <c r="B97" s="6">
        <f>IFERROR(__xludf.DUMMYFUNCTION("""COMPUTED_VALUE"""),2880.0)</f>
        <v>2880</v>
      </c>
      <c r="C97" s="6">
        <f>IFERROR(__xludf.DUMMYFUNCTION("""COMPUTED_VALUE"""),2940.0)</f>
        <v>2940</v>
      </c>
      <c r="D97" s="6">
        <f>IFERROR(__xludf.DUMMYFUNCTION("""COMPUTED_VALUE"""),2772.0)</f>
        <v>2772</v>
      </c>
      <c r="E97" s="6">
        <f>IFERROR(__xludf.DUMMYFUNCTION("""COMPUTED_VALUE"""),2808.4)</f>
        <v>2808.4</v>
      </c>
      <c r="F97" s="6">
        <f>IFERROR(__xludf.DUMMYFUNCTION("""COMPUTED_VALUE"""),1464308.0)</f>
        <v>1464308</v>
      </c>
    </row>
    <row r="98">
      <c r="A98" s="7">
        <f>IFERROR(__xludf.DUMMYFUNCTION("""COMPUTED_VALUE"""),45877.64583333333)</f>
        <v>45877.64583</v>
      </c>
      <c r="B98" s="6">
        <f>IFERROR(__xludf.DUMMYFUNCTION("""COMPUTED_VALUE"""),2820.0)</f>
        <v>2820</v>
      </c>
      <c r="C98" s="6">
        <f>IFERROR(__xludf.DUMMYFUNCTION("""COMPUTED_VALUE"""),3003.2)</f>
        <v>3003.2</v>
      </c>
      <c r="D98" s="6">
        <f>IFERROR(__xludf.DUMMYFUNCTION("""COMPUTED_VALUE"""),2775.0)</f>
        <v>2775</v>
      </c>
      <c r="E98" s="6">
        <f>IFERROR(__xludf.DUMMYFUNCTION("""COMPUTED_VALUE"""),2885.7)</f>
        <v>2885.7</v>
      </c>
      <c r="F98" s="6">
        <f>IFERROR(__xludf.DUMMYFUNCTION("""COMPUTED_VALUE"""),2811152.0)</f>
        <v>2811152</v>
      </c>
    </row>
    <row r="99">
      <c r="A99" s="7">
        <f>IFERROR(__xludf.DUMMYFUNCTION("""COMPUTED_VALUE"""),45883.64583333333)</f>
        <v>45883.64583</v>
      </c>
      <c r="B99" s="6">
        <f>IFERROR(__xludf.DUMMYFUNCTION("""COMPUTED_VALUE"""),2893.9)</f>
        <v>2893.9</v>
      </c>
      <c r="C99" s="6">
        <f>IFERROR(__xludf.DUMMYFUNCTION("""COMPUTED_VALUE"""),3082.8)</f>
        <v>3082.8</v>
      </c>
      <c r="D99" s="6">
        <f>IFERROR(__xludf.DUMMYFUNCTION("""COMPUTED_VALUE"""),2878.5)</f>
        <v>2878.5</v>
      </c>
      <c r="E99" s="6">
        <f>IFERROR(__xludf.DUMMYFUNCTION("""COMPUTED_VALUE"""),3063.6)</f>
        <v>3063.6</v>
      </c>
      <c r="F99" s="6">
        <f>IFERROR(__xludf.DUMMYFUNCTION("""COMPUTED_VALUE"""),1142714.0)</f>
        <v>1142714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IFERROR(__xludf.DUMMYFUNCTION("""COMPUTED_VALUE"""),3080.1)</f>
        <v>3080.1</v>
      </c>
      <c r="C100" s="6">
        <f>IFERROR(__xludf.DUMMYFUNCTION("""COMPUTED_VALUE"""),3251.7)</f>
        <v>3251.7</v>
      </c>
      <c r="D100" s="6">
        <f>IFERROR(__xludf.DUMMYFUNCTION("""COMPUTED_VALUE"""),3045.0)</f>
        <v>3045</v>
      </c>
      <c r="E100" s="6">
        <f>IFERROR(__xludf.DUMMYFUNCTION("""COMPUTED_VALUE"""),3072.1)</f>
        <v>3072.1</v>
      </c>
      <c r="F100" s="6">
        <f>IFERROR(__xludf.DUMMYFUNCTION("""COMPUTED_VALUE"""),1475395.0)</f>
        <v>1475395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IFERROR(__xludf.DUMMYFUNCTION("""COMPUTED_VALUE"""),3085.1)</f>
        <v>3085.1</v>
      </c>
      <c r="C101" s="6">
        <f>IFERROR(__xludf.DUMMYFUNCTION("""COMPUTED_VALUE"""),3112.0)</f>
        <v>3112</v>
      </c>
      <c r="D101" s="6">
        <f>IFERROR(__xludf.DUMMYFUNCTION("""COMPUTED_VALUE"""),3014.4)</f>
        <v>3014.4</v>
      </c>
      <c r="E101" s="6">
        <f>IFERROR(__xludf.DUMMYFUNCTION("""COMPUTED_VALUE"""),3028.4)</f>
        <v>3028.4</v>
      </c>
      <c r="F101" s="6">
        <f>IFERROR(__xludf.DUMMYFUNCTION("""COMPUTED_VALUE"""),5116258.0)</f>
        <v>5116258</v>
      </c>
    </row>
  </sheetData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IFERROR(__xludf.DUMMYFUNCTION("GOOGLEFINANCE(""NSE:TITAN"",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IFERROR(__xludf.DUMMYFUNCTION("""COMPUTED_VALUE"""),3074.0)</f>
        <v>3074</v>
      </c>
      <c r="C2" s="6">
        <f>IFERROR(__xludf.DUMMYFUNCTION("""COMPUTED_VALUE"""),3124.9)</f>
        <v>3124.9</v>
      </c>
      <c r="D2" s="6">
        <f>IFERROR(__xludf.DUMMYFUNCTION("""COMPUTED_VALUE"""),3040.7)</f>
        <v>3040.7</v>
      </c>
      <c r="E2" s="6">
        <f>IFERROR(__xludf.DUMMYFUNCTION("""COMPUTED_VALUE"""),3116.8)</f>
        <v>3116.8</v>
      </c>
      <c r="F2" s="6">
        <f>IFERROR(__xludf.DUMMYFUNCTION("""COMPUTED_VALUE"""),3381340.0)</f>
        <v>3381340</v>
      </c>
    </row>
    <row r="3">
      <c r="A3" s="7">
        <f>IFERROR(__xludf.DUMMYFUNCTION("""COMPUTED_VALUE"""),45177.64583333333)</f>
        <v>45177.64583</v>
      </c>
      <c r="B3" s="6">
        <f>IFERROR(__xludf.DUMMYFUNCTION("""COMPUTED_VALUE"""),3116.95)</f>
        <v>3116.95</v>
      </c>
      <c r="C3" s="6">
        <f>IFERROR(__xludf.DUMMYFUNCTION("""COMPUTED_VALUE"""),3205.0)</f>
        <v>3205</v>
      </c>
      <c r="D3" s="6">
        <f>IFERROR(__xludf.DUMMYFUNCTION("""COMPUTED_VALUE"""),3086.3)</f>
        <v>3086.3</v>
      </c>
      <c r="E3" s="6">
        <f>IFERROR(__xludf.DUMMYFUNCTION("""COMPUTED_VALUE"""),3199.1)</f>
        <v>3199.1</v>
      </c>
      <c r="F3" s="6">
        <f>IFERROR(__xludf.DUMMYFUNCTION("""COMPUTED_VALUE"""),3929619.0)</f>
        <v>3929619</v>
      </c>
    </row>
    <row r="4">
      <c r="A4" s="7">
        <f>IFERROR(__xludf.DUMMYFUNCTION("""COMPUTED_VALUE"""),45184.64583333333)</f>
        <v>45184.64583</v>
      </c>
      <c r="B4" s="6">
        <f>IFERROR(__xludf.DUMMYFUNCTION("""COMPUTED_VALUE"""),3209.95)</f>
        <v>3209.95</v>
      </c>
      <c r="C4" s="6">
        <f>IFERROR(__xludf.DUMMYFUNCTION("""COMPUTED_VALUE"""),3302.45)</f>
        <v>3302.45</v>
      </c>
      <c r="D4" s="6">
        <f>IFERROR(__xludf.DUMMYFUNCTION("""COMPUTED_VALUE"""),3177.6)</f>
        <v>3177.6</v>
      </c>
      <c r="E4" s="6">
        <f>IFERROR(__xludf.DUMMYFUNCTION("""COMPUTED_VALUE"""),3248.6)</f>
        <v>3248.6</v>
      </c>
      <c r="F4" s="6">
        <f>IFERROR(__xludf.DUMMYFUNCTION("""COMPUTED_VALUE"""),5168609.0)</f>
        <v>5168609</v>
      </c>
    </row>
    <row r="5">
      <c r="A5" s="7">
        <f>IFERROR(__xludf.DUMMYFUNCTION("""COMPUTED_VALUE"""),45191.64583333333)</f>
        <v>45191.64583</v>
      </c>
      <c r="B5" s="6">
        <f>IFERROR(__xludf.DUMMYFUNCTION("""COMPUTED_VALUE"""),3257.0)</f>
        <v>3257</v>
      </c>
      <c r="C5" s="6">
        <f>IFERROR(__xludf.DUMMYFUNCTION("""COMPUTED_VALUE"""),3352.0)</f>
        <v>3352</v>
      </c>
      <c r="D5" s="6">
        <f>IFERROR(__xludf.DUMMYFUNCTION("""COMPUTED_VALUE"""),3246.8)</f>
        <v>3246.8</v>
      </c>
      <c r="E5" s="6">
        <f>IFERROR(__xludf.DUMMYFUNCTION("""COMPUTED_VALUE"""),3274.5)</f>
        <v>3274.5</v>
      </c>
      <c r="F5" s="6">
        <f>IFERROR(__xludf.DUMMYFUNCTION("""COMPUTED_VALUE"""),4734967.0)</f>
        <v>4734967</v>
      </c>
    </row>
    <row r="6">
      <c r="A6" s="7">
        <f>IFERROR(__xludf.DUMMYFUNCTION("""COMPUTED_VALUE"""),45198.64583333333)</f>
        <v>45198.64583</v>
      </c>
      <c r="B6" s="6">
        <f>IFERROR(__xludf.DUMMYFUNCTION("""COMPUTED_VALUE"""),3274.5)</f>
        <v>3274.5</v>
      </c>
      <c r="C6" s="6">
        <f>IFERROR(__xludf.DUMMYFUNCTION("""COMPUTED_VALUE"""),3314.9)</f>
        <v>3314.9</v>
      </c>
      <c r="D6" s="6">
        <f>IFERROR(__xludf.DUMMYFUNCTION("""COMPUTED_VALUE"""),3141.75)</f>
        <v>3141.75</v>
      </c>
      <c r="E6" s="6">
        <f>IFERROR(__xludf.DUMMYFUNCTION("""COMPUTED_VALUE"""),3148.8)</f>
        <v>3148.8</v>
      </c>
      <c r="F6" s="6">
        <f>IFERROR(__xludf.DUMMYFUNCTION("""COMPUTED_VALUE"""),5054481.0)</f>
        <v>5054481</v>
      </c>
    </row>
    <row r="7">
      <c r="A7" s="7">
        <f>IFERROR(__xludf.DUMMYFUNCTION("""COMPUTED_VALUE"""),45205.64583333333)</f>
        <v>45205.64583</v>
      </c>
      <c r="B7" s="6">
        <f>IFERROR(__xludf.DUMMYFUNCTION("""COMPUTED_VALUE"""),3148.8)</f>
        <v>3148.8</v>
      </c>
      <c r="C7" s="6">
        <f>IFERROR(__xludf.DUMMYFUNCTION("""COMPUTED_VALUE"""),3319.8)</f>
        <v>3319.8</v>
      </c>
      <c r="D7" s="6">
        <f>IFERROR(__xludf.DUMMYFUNCTION("""COMPUTED_VALUE"""),3114.4)</f>
        <v>3114.4</v>
      </c>
      <c r="E7" s="6">
        <f>IFERROR(__xludf.DUMMYFUNCTION("""COMPUTED_VALUE"""),3309.75)</f>
        <v>3309.75</v>
      </c>
      <c r="F7" s="6">
        <f>IFERROR(__xludf.DUMMYFUNCTION("""COMPUTED_VALUE"""),3706278.0)</f>
        <v>3706278</v>
      </c>
    </row>
    <row r="8">
      <c r="A8" s="7">
        <f>IFERROR(__xludf.DUMMYFUNCTION("""COMPUTED_VALUE"""),45212.64583333333)</f>
        <v>45212.64583</v>
      </c>
      <c r="B8" s="6">
        <f>IFERROR(__xludf.DUMMYFUNCTION("""COMPUTED_VALUE"""),3294.7)</f>
        <v>3294.7</v>
      </c>
      <c r="C8" s="6">
        <f>IFERROR(__xludf.DUMMYFUNCTION("""COMPUTED_VALUE"""),3307.0)</f>
        <v>3307</v>
      </c>
      <c r="D8" s="6">
        <f>IFERROR(__xludf.DUMMYFUNCTION("""COMPUTED_VALUE"""),3249.05)</f>
        <v>3249.05</v>
      </c>
      <c r="E8" s="6">
        <f>IFERROR(__xludf.DUMMYFUNCTION("""COMPUTED_VALUE"""),3283.75)</f>
        <v>3283.75</v>
      </c>
      <c r="F8" s="6">
        <f>IFERROR(__xludf.DUMMYFUNCTION("""COMPUTED_VALUE"""),3352617.0)</f>
        <v>3352617</v>
      </c>
    </row>
    <row r="9">
      <c r="A9" s="7">
        <f>IFERROR(__xludf.DUMMYFUNCTION("""COMPUTED_VALUE"""),45219.64583333333)</f>
        <v>45219.64583</v>
      </c>
      <c r="B9" s="6">
        <f>IFERROR(__xludf.DUMMYFUNCTION("""COMPUTED_VALUE"""),3284.0)</f>
        <v>3284</v>
      </c>
      <c r="C9" s="6">
        <f>IFERROR(__xludf.DUMMYFUNCTION("""COMPUTED_VALUE"""),3329.0)</f>
        <v>3329</v>
      </c>
      <c r="D9" s="6">
        <f>IFERROR(__xludf.DUMMYFUNCTION("""COMPUTED_VALUE"""),3239.0)</f>
        <v>3239</v>
      </c>
      <c r="E9" s="6">
        <f>IFERROR(__xludf.DUMMYFUNCTION("""COMPUTED_VALUE"""),3266.2)</f>
        <v>3266.2</v>
      </c>
      <c r="F9" s="6">
        <f>IFERROR(__xludf.DUMMYFUNCTION("""COMPUTED_VALUE"""),3043491.0)</f>
        <v>3043491</v>
      </c>
    </row>
    <row r="10">
      <c r="A10" s="7">
        <f>IFERROR(__xludf.DUMMYFUNCTION("""COMPUTED_VALUE"""),45226.64583333333)</f>
        <v>45226.64583</v>
      </c>
      <c r="B10" s="6">
        <f>IFERROR(__xludf.DUMMYFUNCTION("""COMPUTED_VALUE"""),3246.2)</f>
        <v>3246.2</v>
      </c>
      <c r="C10" s="6">
        <f>IFERROR(__xludf.DUMMYFUNCTION("""COMPUTED_VALUE"""),3274.95)</f>
        <v>3274.95</v>
      </c>
      <c r="D10" s="6">
        <f>IFERROR(__xludf.DUMMYFUNCTION("""COMPUTED_VALUE"""),3087.25)</f>
        <v>3087.25</v>
      </c>
      <c r="E10" s="6">
        <f>IFERROR(__xludf.DUMMYFUNCTION("""COMPUTED_VALUE"""),3120.7)</f>
        <v>3120.7</v>
      </c>
      <c r="F10" s="6">
        <f>IFERROR(__xludf.DUMMYFUNCTION("""COMPUTED_VALUE"""),3504275.0)</f>
        <v>3504275</v>
      </c>
    </row>
    <row r="11">
      <c r="A11" s="7">
        <f>IFERROR(__xludf.DUMMYFUNCTION("""COMPUTED_VALUE"""),45233.64583333333)</f>
        <v>45233.64583</v>
      </c>
      <c r="B11" s="6">
        <f>IFERROR(__xludf.DUMMYFUNCTION("""COMPUTED_VALUE"""),3105.0)</f>
        <v>3105</v>
      </c>
      <c r="C11" s="6">
        <f>IFERROR(__xludf.DUMMYFUNCTION("""COMPUTED_VALUE"""),3288.0)</f>
        <v>3288</v>
      </c>
      <c r="D11" s="6">
        <f>IFERROR(__xludf.DUMMYFUNCTION("""COMPUTED_VALUE"""),3075.0)</f>
        <v>3075</v>
      </c>
      <c r="E11" s="6">
        <f>IFERROR(__xludf.DUMMYFUNCTION("""COMPUTED_VALUE"""),3274.5)</f>
        <v>3274.5</v>
      </c>
      <c r="F11" s="6">
        <f>IFERROR(__xludf.DUMMYFUNCTION("""COMPUTED_VALUE"""),4924408.0)</f>
        <v>4924408</v>
      </c>
    </row>
    <row r="12">
      <c r="A12" s="7">
        <f>IFERROR(__xludf.DUMMYFUNCTION("""COMPUTED_VALUE"""),45240.64583333333)</f>
        <v>45240.64583</v>
      </c>
      <c r="B12" s="6">
        <f>IFERROR(__xludf.DUMMYFUNCTION("""COMPUTED_VALUE"""),3310.0)</f>
        <v>3310</v>
      </c>
      <c r="C12" s="6">
        <f>IFERROR(__xludf.DUMMYFUNCTION("""COMPUTED_VALUE"""),3323.8)</f>
        <v>3323.8</v>
      </c>
      <c r="D12" s="6">
        <f>IFERROR(__xludf.DUMMYFUNCTION("""COMPUTED_VALUE"""),3223.0)</f>
        <v>3223</v>
      </c>
      <c r="E12" s="6">
        <f>IFERROR(__xludf.DUMMYFUNCTION("""COMPUTED_VALUE"""),3256.35)</f>
        <v>3256.35</v>
      </c>
      <c r="F12" s="6">
        <f>IFERROR(__xludf.DUMMYFUNCTION("""COMPUTED_VALUE"""),4692064.0)</f>
        <v>4692064</v>
      </c>
    </row>
    <row r="13">
      <c r="A13" s="7">
        <f>IFERROR(__xludf.DUMMYFUNCTION("""COMPUTED_VALUE"""),45247.64583333333)</f>
        <v>45247.64583</v>
      </c>
      <c r="B13" s="6">
        <f>IFERROR(__xludf.DUMMYFUNCTION("""COMPUTED_VALUE"""),3300.0)</f>
        <v>3300</v>
      </c>
      <c r="C13" s="6">
        <f>IFERROR(__xludf.DUMMYFUNCTION("""COMPUTED_VALUE"""),3366.0)</f>
        <v>3366</v>
      </c>
      <c r="D13" s="6">
        <f>IFERROR(__xludf.DUMMYFUNCTION("""COMPUTED_VALUE"""),3250.6)</f>
        <v>3250.6</v>
      </c>
      <c r="E13" s="6">
        <f>IFERROR(__xludf.DUMMYFUNCTION("""COMPUTED_VALUE"""),3338.85)</f>
        <v>3338.85</v>
      </c>
      <c r="F13" s="6">
        <f>IFERROR(__xludf.DUMMYFUNCTION("""COMPUTED_VALUE"""),2916709.0)</f>
        <v>2916709</v>
      </c>
    </row>
    <row r="14">
      <c r="A14" s="7">
        <f>IFERROR(__xludf.DUMMYFUNCTION("""COMPUTED_VALUE"""),45254.64583333333)</f>
        <v>45254.64583</v>
      </c>
      <c r="B14" s="6">
        <f>IFERROR(__xludf.DUMMYFUNCTION("""COMPUTED_VALUE"""),3338.0)</f>
        <v>3338</v>
      </c>
      <c r="C14" s="6">
        <f>IFERROR(__xludf.DUMMYFUNCTION("""COMPUTED_VALUE"""),3441.95)</f>
        <v>3441.95</v>
      </c>
      <c r="D14" s="6">
        <f>IFERROR(__xludf.DUMMYFUNCTION("""COMPUTED_VALUE"""),3312.25)</f>
        <v>3312.25</v>
      </c>
      <c r="E14" s="6">
        <f>IFERROR(__xludf.DUMMYFUNCTION("""COMPUTED_VALUE"""),3396.95)</f>
        <v>3396.95</v>
      </c>
      <c r="F14" s="6">
        <f>IFERROR(__xludf.DUMMYFUNCTION("""COMPUTED_VALUE"""),3623913.0)</f>
        <v>3623913</v>
      </c>
    </row>
    <row r="15">
      <c r="A15" s="7">
        <f>IFERROR(__xludf.DUMMYFUNCTION("""COMPUTED_VALUE"""),45261.64583333333)</f>
        <v>45261.64583</v>
      </c>
      <c r="B15" s="6">
        <f>IFERROR(__xludf.DUMMYFUNCTION("""COMPUTED_VALUE"""),3417.95)</f>
        <v>3417.95</v>
      </c>
      <c r="C15" s="6">
        <f>IFERROR(__xludf.DUMMYFUNCTION("""COMPUTED_VALUE"""),3500.0)</f>
        <v>3500</v>
      </c>
      <c r="D15" s="6">
        <f>IFERROR(__xludf.DUMMYFUNCTION("""COMPUTED_VALUE"""),3397.35)</f>
        <v>3397.35</v>
      </c>
      <c r="E15" s="6">
        <f>IFERROR(__xludf.DUMMYFUNCTION("""COMPUTED_VALUE"""),3489.5)</f>
        <v>3489.5</v>
      </c>
      <c r="F15" s="6">
        <f>IFERROR(__xludf.DUMMYFUNCTION("""COMPUTED_VALUE"""),3688075.0)</f>
        <v>3688075</v>
      </c>
    </row>
    <row r="16">
      <c r="A16" s="7">
        <f>IFERROR(__xludf.DUMMYFUNCTION("""COMPUTED_VALUE"""),45268.64583333333)</f>
        <v>45268.64583</v>
      </c>
      <c r="B16" s="6">
        <f>IFERROR(__xludf.DUMMYFUNCTION("""COMPUTED_VALUE"""),3550.0)</f>
        <v>3550</v>
      </c>
      <c r="C16" s="6">
        <f>IFERROR(__xludf.DUMMYFUNCTION("""COMPUTED_VALUE"""),3646.95)</f>
        <v>3646.95</v>
      </c>
      <c r="D16" s="6">
        <f>IFERROR(__xludf.DUMMYFUNCTION("""COMPUTED_VALUE"""),3478.05)</f>
        <v>3478.05</v>
      </c>
      <c r="E16" s="6">
        <f>IFERROR(__xludf.DUMMYFUNCTION("""COMPUTED_VALUE"""),3634.65)</f>
        <v>3634.65</v>
      </c>
      <c r="F16" s="6">
        <f>IFERROR(__xludf.DUMMYFUNCTION("""COMPUTED_VALUE"""),4378984.0)</f>
        <v>4378984</v>
      </c>
    </row>
    <row r="17">
      <c r="A17" s="7">
        <f>IFERROR(__xludf.DUMMYFUNCTION("""COMPUTED_VALUE"""),45275.64583333333)</f>
        <v>45275.64583</v>
      </c>
      <c r="B17" s="6">
        <f>IFERROR(__xludf.DUMMYFUNCTION("""COMPUTED_VALUE"""),3634.55)</f>
        <v>3634.55</v>
      </c>
      <c r="C17" s="6">
        <f>IFERROR(__xludf.DUMMYFUNCTION("""COMPUTED_VALUE"""),3647.0)</f>
        <v>3647</v>
      </c>
      <c r="D17" s="6">
        <f>IFERROR(__xludf.DUMMYFUNCTION("""COMPUTED_VALUE"""),3552.75)</f>
        <v>3552.75</v>
      </c>
      <c r="E17" s="6">
        <f>IFERROR(__xludf.DUMMYFUNCTION("""COMPUTED_VALUE"""),3600.55)</f>
        <v>3600.55</v>
      </c>
      <c r="F17" s="6">
        <f>IFERROR(__xludf.DUMMYFUNCTION("""COMPUTED_VALUE"""),4313196.0)</f>
        <v>4313196</v>
      </c>
    </row>
    <row r="18">
      <c r="A18" s="7">
        <f>IFERROR(__xludf.DUMMYFUNCTION("""COMPUTED_VALUE"""),45282.64583333333)</f>
        <v>45282.64583</v>
      </c>
      <c r="B18" s="6">
        <f>IFERROR(__xludf.DUMMYFUNCTION("""COMPUTED_VALUE"""),3600.7)</f>
        <v>3600.7</v>
      </c>
      <c r="C18" s="6">
        <f>IFERROR(__xludf.DUMMYFUNCTION("""COMPUTED_VALUE"""),3667.2)</f>
        <v>3667.2</v>
      </c>
      <c r="D18" s="6">
        <f>IFERROR(__xludf.DUMMYFUNCTION("""COMPUTED_VALUE"""),3518.8)</f>
        <v>3518.8</v>
      </c>
      <c r="E18" s="6">
        <f>IFERROR(__xludf.DUMMYFUNCTION("""COMPUTED_VALUE"""),3627.35)</f>
        <v>3627.35</v>
      </c>
      <c r="F18" s="6">
        <f>IFERROR(__xludf.DUMMYFUNCTION("""COMPUTED_VALUE"""),3720598.0)</f>
        <v>3720598</v>
      </c>
    </row>
    <row r="19">
      <c r="A19" s="7">
        <f>IFERROR(__xludf.DUMMYFUNCTION("""COMPUTED_VALUE"""),45289.64583333333)</f>
        <v>45289.64583</v>
      </c>
      <c r="B19" s="6">
        <f>IFERROR(__xludf.DUMMYFUNCTION("""COMPUTED_VALUE"""),3635.0)</f>
        <v>3635</v>
      </c>
      <c r="C19" s="6">
        <f>IFERROR(__xludf.DUMMYFUNCTION("""COMPUTED_VALUE"""),3737.0)</f>
        <v>3737</v>
      </c>
      <c r="D19" s="6">
        <f>IFERROR(__xludf.DUMMYFUNCTION("""COMPUTED_VALUE"""),3623.45)</f>
        <v>3623.45</v>
      </c>
      <c r="E19" s="6">
        <f>IFERROR(__xludf.DUMMYFUNCTION("""COMPUTED_VALUE"""),3675.45)</f>
        <v>3675.45</v>
      </c>
      <c r="F19" s="6">
        <f>IFERROR(__xludf.DUMMYFUNCTION("""COMPUTED_VALUE"""),2935988.0)</f>
        <v>2935988</v>
      </c>
    </row>
    <row r="20">
      <c r="A20" s="7">
        <f>IFERROR(__xludf.DUMMYFUNCTION("""COMPUTED_VALUE"""),45296.64583333333)</f>
        <v>45296.64583</v>
      </c>
      <c r="B20" s="6">
        <f>IFERROR(__xludf.DUMMYFUNCTION("""COMPUTED_VALUE"""),3689.0)</f>
        <v>3689</v>
      </c>
      <c r="C20" s="6">
        <f>IFERROR(__xludf.DUMMYFUNCTION("""COMPUTED_VALUE"""),3750.0)</f>
        <v>3750</v>
      </c>
      <c r="D20" s="6">
        <f>IFERROR(__xludf.DUMMYFUNCTION("""COMPUTED_VALUE"""),3642.5)</f>
        <v>3642.5</v>
      </c>
      <c r="E20" s="6">
        <f>IFERROR(__xludf.DUMMYFUNCTION("""COMPUTED_VALUE"""),3712.55)</f>
        <v>3712.55</v>
      </c>
      <c r="F20" s="6">
        <f>IFERROR(__xludf.DUMMYFUNCTION("""COMPUTED_VALUE"""),2605981.0)</f>
        <v>2605981</v>
      </c>
    </row>
    <row r="21">
      <c r="A21" s="7">
        <f>IFERROR(__xludf.DUMMYFUNCTION("""COMPUTED_VALUE"""),45303.64583333333)</f>
        <v>45303.64583</v>
      </c>
      <c r="B21" s="6">
        <f>IFERROR(__xludf.DUMMYFUNCTION("""COMPUTED_VALUE"""),3770.0)</f>
        <v>3770</v>
      </c>
      <c r="C21" s="6">
        <f>IFERROR(__xludf.DUMMYFUNCTION("""COMPUTED_VALUE"""),3776.85)</f>
        <v>3776.85</v>
      </c>
      <c r="D21" s="6">
        <f>IFERROR(__xludf.DUMMYFUNCTION("""COMPUTED_VALUE"""),3647.95)</f>
        <v>3647.95</v>
      </c>
      <c r="E21" s="6">
        <f>IFERROR(__xludf.DUMMYFUNCTION("""COMPUTED_VALUE"""),3726.0)</f>
        <v>3726</v>
      </c>
      <c r="F21" s="6">
        <f>IFERROR(__xludf.DUMMYFUNCTION("""COMPUTED_VALUE"""),3714471.0)</f>
        <v>3714471</v>
      </c>
    </row>
    <row r="22">
      <c r="A22" s="7">
        <f>IFERROR(__xludf.DUMMYFUNCTION("""COMPUTED_VALUE"""),45316.64583333333)</f>
        <v>45316.64583</v>
      </c>
      <c r="B22" s="6">
        <f>IFERROR(__xludf.DUMMYFUNCTION("""COMPUTED_VALUE"""),3786.0)</f>
        <v>3786</v>
      </c>
      <c r="C22" s="6">
        <f>IFERROR(__xludf.DUMMYFUNCTION("""COMPUTED_VALUE"""),3858.0)</f>
        <v>3858</v>
      </c>
      <c r="D22" s="6">
        <f>IFERROR(__xludf.DUMMYFUNCTION("""COMPUTED_VALUE"""),3705.75)</f>
        <v>3705.75</v>
      </c>
      <c r="E22" s="6">
        <f>IFERROR(__xludf.DUMMYFUNCTION("""COMPUTED_VALUE"""),3770.2)</f>
        <v>3770.2</v>
      </c>
      <c r="F22" s="6">
        <f>IFERROR(__xludf.DUMMYFUNCTION("""COMPUTED_VALUE"""),2336633.0)</f>
        <v>2336633</v>
      </c>
    </row>
    <row r="23">
      <c r="A23" s="7">
        <f>IFERROR(__xludf.DUMMYFUNCTION("""COMPUTED_VALUE"""),45324.64583333333)</f>
        <v>45324.64583</v>
      </c>
      <c r="B23" s="6">
        <f>IFERROR(__xludf.DUMMYFUNCTION("""COMPUTED_VALUE"""),3760.6)</f>
        <v>3760.6</v>
      </c>
      <c r="C23" s="6">
        <f>IFERROR(__xludf.DUMMYFUNCTION("""COMPUTED_VALUE"""),3886.95)</f>
        <v>3886.95</v>
      </c>
      <c r="D23" s="6">
        <f>IFERROR(__xludf.DUMMYFUNCTION("""COMPUTED_VALUE"""),3601.0)</f>
        <v>3601</v>
      </c>
      <c r="E23" s="6">
        <f>IFERROR(__xludf.DUMMYFUNCTION("""COMPUTED_VALUE"""),3612.4)</f>
        <v>3612.4</v>
      </c>
      <c r="F23" s="6">
        <f>IFERROR(__xludf.DUMMYFUNCTION("""COMPUTED_VALUE"""),6667029.0)</f>
        <v>6667029</v>
      </c>
    </row>
    <row r="24">
      <c r="A24" s="7">
        <f>IFERROR(__xludf.DUMMYFUNCTION("""COMPUTED_VALUE"""),45331.64583333333)</f>
        <v>45331.64583</v>
      </c>
      <c r="B24" s="6">
        <f>IFERROR(__xludf.DUMMYFUNCTION("""COMPUTED_VALUE"""),3612.95)</f>
        <v>3612.95</v>
      </c>
      <c r="C24" s="6">
        <f>IFERROR(__xludf.DUMMYFUNCTION("""COMPUTED_VALUE"""),3624.65)</f>
        <v>3624.65</v>
      </c>
      <c r="D24" s="6">
        <f>IFERROR(__xludf.DUMMYFUNCTION("""COMPUTED_VALUE"""),3503.0)</f>
        <v>3503</v>
      </c>
      <c r="E24" s="6">
        <f>IFERROR(__xludf.DUMMYFUNCTION("""COMPUTED_VALUE"""),3591.6)</f>
        <v>3591.6</v>
      </c>
      <c r="F24" s="6">
        <f>IFERROR(__xludf.DUMMYFUNCTION("""COMPUTED_VALUE"""),5592101.0)</f>
        <v>5592101</v>
      </c>
    </row>
    <row r="25">
      <c r="A25" s="7">
        <f>IFERROR(__xludf.DUMMYFUNCTION("""COMPUTED_VALUE"""),45338.64583333333)</f>
        <v>45338.64583</v>
      </c>
      <c r="B25" s="6">
        <f>IFERROR(__xludf.DUMMYFUNCTION("""COMPUTED_VALUE"""),3599.0)</f>
        <v>3599</v>
      </c>
      <c r="C25" s="6">
        <f>IFERROR(__xludf.DUMMYFUNCTION("""COMPUTED_VALUE"""),3690.0)</f>
        <v>3690</v>
      </c>
      <c r="D25" s="6">
        <f>IFERROR(__xludf.DUMMYFUNCTION("""COMPUTED_VALUE"""),3503.3)</f>
        <v>3503.3</v>
      </c>
      <c r="E25" s="6">
        <f>IFERROR(__xludf.DUMMYFUNCTION("""COMPUTED_VALUE"""),3655.4)</f>
        <v>3655.4</v>
      </c>
      <c r="F25" s="6">
        <f>IFERROR(__xludf.DUMMYFUNCTION("""COMPUTED_VALUE"""),4004226.0)</f>
        <v>4004226</v>
      </c>
    </row>
    <row r="26">
      <c r="A26" s="7">
        <f>IFERROR(__xludf.DUMMYFUNCTION("""COMPUTED_VALUE"""),45345.64583333333)</f>
        <v>45345.64583</v>
      </c>
      <c r="B26" s="6">
        <f>IFERROR(__xludf.DUMMYFUNCTION("""COMPUTED_VALUE"""),3671.95)</f>
        <v>3671.95</v>
      </c>
      <c r="C26" s="6">
        <f>IFERROR(__xludf.DUMMYFUNCTION("""COMPUTED_VALUE"""),3737.0)</f>
        <v>3737</v>
      </c>
      <c r="D26" s="6">
        <f>IFERROR(__xludf.DUMMYFUNCTION("""COMPUTED_VALUE"""),3555.35)</f>
        <v>3555.35</v>
      </c>
      <c r="E26" s="6">
        <f>IFERROR(__xludf.DUMMYFUNCTION("""COMPUTED_VALUE"""),3691.95)</f>
        <v>3691.95</v>
      </c>
      <c r="F26" s="6">
        <f>IFERROR(__xludf.DUMMYFUNCTION("""COMPUTED_VALUE"""),3848675.0)</f>
        <v>3848675</v>
      </c>
    </row>
    <row r="27">
      <c r="A27" s="7">
        <f>IFERROR(__xludf.DUMMYFUNCTION("""COMPUTED_VALUE"""),45358.64583333333)</f>
        <v>45358.64583</v>
      </c>
      <c r="B27" s="6">
        <f>IFERROR(__xludf.DUMMYFUNCTION("""COMPUTED_VALUE"""),3761.6)</f>
        <v>3761.6</v>
      </c>
      <c r="C27" s="6">
        <f>IFERROR(__xludf.DUMMYFUNCTION("""COMPUTED_VALUE"""),3824.25)</f>
        <v>3824.25</v>
      </c>
      <c r="D27" s="6">
        <f>IFERROR(__xludf.DUMMYFUNCTION("""COMPUTED_VALUE"""),3702.7)</f>
        <v>3702.7</v>
      </c>
      <c r="E27" s="6">
        <f>IFERROR(__xludf.DUMMYFUNCTION("""COMPUTED_VALUE"""),3786.9)</f>
        <v>3786.9</v>
      </c>
      <c r="F27" s="6">
        <f>IFERROR(__xludf.DUMMYFUNCTION("""COMPUTED_VALUE"""),3125318.0)</f>
        <v>3125318</v>
      </c>
    </row>
    <row r="28">
      <c r="A28" s="7">
        <f>IFERROR(__xludf.DUMMYFUNCTION("""COMPUTED_VALUE"""),45366.64583333333)</f>
        <v>45366.64583</v>
      </c>
      <c r="B28" s="6">
        <f>IFERROR(__xludf.DUMMYFUNCTION("""COMPUTED_VALUE"""),3802.9)</f>
        <v>3802.9</v>
      </c>
      <c r="C28" s="6">
        <f>IFERROR(__xludf.DUMMYFUNCTION("""COMPUTED_VALUE"""),3808.0)</f>
        <v>3808</v>
      </c>
      <c r="D28" s="6">
        <f>IFERROR(__xludf.DUMMYFUNCTION("""COMPUTED_VALUE"""),3580.15)</f>
        <v>3580.15</v>
      </c>
      <c r="E28" s="6">
        <f>IFERROR(__xludf.DUMMYFUNCTION("""COMPUTED_VALUE"""),3633.2)</f>
        <v>3633.2</v>
      </c>
      <c r="F28" s="6">
        <f>IFERROR(__xludf.DUMMYFUNCTION("""COMPUTED_VALUE"""),4691293.0)</f>
        <v>4691293</v>
      </c>
    </row>
    <row r="29">
      <c r="A29" s="7">
        <f>IFERROR(__xludf.DUMMYFUNCTION("""COMPUTED_VALUE"""),45373.64583333333)</f>
        <v>45373.64583</v>
      </c>
      <c r="B29" s="6">
        <f>IFERROR(__xludf.DUMMYFUNCTION("""COMPUTED_VALUE"""),3619.0)</f>
        <v>3619</v>
      </c>
      <c r="C29" s="6">
        <f>IFERROR(__xludf.DUMMYFUNCTION("""COMPUTED_VALUE"""),3726.9)</f>
        <v>3726.9</v>
      </c>
      <c r="D29" s="6">
        <f>IFERROR(__xludf.DUMMYFUNCTION("""COMPUTED_VALUE"""),3547.05)</f>
        <v>3547.05</v>
      </c>
      <c r="E29" s="6">
        <f>IFERROR(__xludf.DUMMYFUNCTION("""COMPUTED_VALUE"""),3706.7)</f>
        <v>3706.7</v>
      </c>
      <c r="F29" s="6">
        <f>IFERROR(__xludf.DUMMYFUNCTION("""COMPUTED_VALUE"""),3915590.0)</f>
        <v>3915590</v>
      </c>
    </row>
    <row r="30">
      <c r="A30" s="7">
        <f>IFERROR(__xludf.DUMMYFUNCTION("""COMPUTED_VALUE"""),45379.64583333333)</f>
        <v>45379.64583</v>
      </c>
      <c r="B30" s="6">
        <f>IFERROR(__xludf.DUMMYFUNCTION("""COMPUTED_VALUE"""),3665.0)</f>
        <v>3665</v>
      </c>
      <c r="C30" s="6">
        <f>IFERROR(__xludf.DUMMYFUNCTION("""COMPUTED_VALUE"""),3838.3)</f>
        <v>3838.3</v>
      </c>
      <c r="D30" s="6">
        <f>IFERROR(__xludf.DUMMYFUNCTION("""COMPUTED_VALUE"""),3665.0)</f>
        <v>3665</v>
      </c>
      <c r="E30" s="6">
        <f>IFERROR(__xludf.DUMMYFUNCTION("""COMPUTED_VALUE"""),3801.8)</f>
        <v>3801.8</v>
      </c>
      <c r="F30" s="6">
        <f>IFERROR(__xludf.DUMMYFUNCTION("""COMPUTED_VALUE"""),4064676.0)</f>
        <v>4064676</v>
      </c>
    </row>
    <row r="31">
      <c r="A31" s="7">
        <f>IFERROR(__xludf.DUMMYFUNCTION("""COMPUTED_VALUE"""),45387.64583333333)</f>
        <v>45387.64583</v>
      </c>
      <c r="B31" s="6">
        <f>IFERROR(__xludf.DUMMYFUNCTION("""COMPUTED_VALUE"""),3822.95)</f>
        <v>3822.95</v>
      </c>
      <c r="C31" s="6">
        <f>IFERROR(__xludf.DUMMYFUNCTION("""COMPUTED_VALUE"""),3832.55)</f>
        <v>3832.55</v>
      </c>
      <c r="D31" s="6">
        <f>IFERROR(__xludf.DUMMYFUNCTION("""COMPUTED_VALUE"""),3679.0)</f>
        <v>3679</v>
      </c>
      <c r="E31" s="6">
        <f>IFERROR(__xludf.DUMMYFUNCTION("""COMPUTED_VALUE"""),3754.45)</f>
        <v>3754.45</v>
      </c>
      <c r="F31" s="6">
        <f>IFERROR(__xludf.DUMMYFUNCTION("""COMPUTED_VALUE"""),4245106.0)</f>
        <v>4245106</v>
      </c>
    </row>
    <row r="32">
      <c r="A32" s="7">
        <f>IFERROR(__xludf.DUMMYFUNCTION("""COMPUTED_VALUE"""),45394.64583333333)</f>
        <v>45394.64583</v>
      </c>
      <c r="B32" s="6">
        <f>IFERROR(__xludf.DUMMYFUNCTION("""COMPUTED_VALUE"""),3798.65)</f>
        <v>3798.65</v>
      </c>
      <c r="C32" s="6">
        <f>IFERROR(__xludf.DUMMYFUNCTION("""COMPUTED_VALUE"""),3808.3)</f>
        <v>3808.3</v>
      </c>
      <c r="D32" s="6">
        <f>IFERROR(__xludf.DUMMYFUNCTION("""COMPUTED_VALUE"""),3609.45)</f>
        <v>3609.45</v>
      </c>
      <c r="E32" s="6">
        <f>IFERROR(__xludf.DUMMYFUNCTION("""COMPUTED_VALUE"""),3619.3)</f>
        <v>3619.3</v>
      </c>
      <c r="F32" s="6">
        <f>IFERROR(__xludf.DUMMYFUNCTION("""COMPUTED_VALUE"""),4072659.0)</f>
        <v>4072659</v>
      </c>
    </row>
    <row r="33">
      <c r="A33" s="7">
        <f>IFERROR(__xludf.DUMMYFUNCTION("""COMPUTED_VALUE"""),45401.64583333333)</f>
        <v>45401.64583</v>
      </c>
      <c r="B33" s="6">
        <f>IFERROR(__xludf.DUMMYFUNCTION("""COMPUTED_VALUE"""),3607.0)</f>
        <v>3607</v>
      </c>
      <c r="C33" s="6">
        <f>IFERROR(__xludf.DUMMYFUNCTION("""COMPUTED_VALUE"""),3660.0)</f>
        <v>3660</v>
      </c>
      <c r="D33" s="6">
        <f>IFERROR(__xludf.DUMMYFUNCTION("""COMPUTED_VALUE"""),3478.25)</f>
        <v>3478.25</v>
      </c>
      <c r="E33" s="6">
        <f>IFERROR(__xludf.DUMMYFUNCTION("""COMPUTED_VALUE"""),3563.05)</f>
        <v>3563.05</v>
      </c>
      <c r="F33" s="6">
        <f>IFERROR(__xludf.DUMMYFUNCTION("""COMPUTED_VALUE"""),5156852.0)</f>
        <v>5156852</v>
      </c>
    </row>
    <row r="34">
      <c r="A34" s="7">
        <f>IFERROR(__xludf.DUMMYFUNCTION("""COMPUTED_VALUE"""),45408.64583333333)</f>
        <v>45408.64583</v>
      </c>
      <c r="B34" s="6">
        <f>IFERROR(__xludf.DUMMYFUNCTION("""COMPUTED_VALUE"""),3567.0)</f>
        <v>3567</v>
      </c>
      <c r="C34" s="6">
        <f>IFERROR(__xludf.DUMMYFUNCTION("""COMPUTED_VALUE"""),3648.0)</f>
        <v>3648</v>
      </c>
      <c r="D34" s="6">
        <f>IFERROR(__xludf.DUMMYFUNCTION("""COMPUTED_VALUE"""),3541.0)</f>
        <v>3541</v>
      </c>
      <c r="E34" s="6">
        <f>IFERROR(__xludf.DUMMYFUNCTION("""COMPUTED_VALUE"""),3584.8)</f>
        <v>3584.8</v>
      </c>
      <c r="F34" s="6">
        <f>IFERROR(__xludf.DUMMYFUNCTION("""COMPUTED_VALUE"""),4779407.0)</f>
        <v>4779407</v>
      </c>
    </row>
    <row r="35">
      <c r="A35" s="7">
        <f>IFERROR(__xludf.DUMMYFUNCTION("""COMPUTED_VALUE"""),45415.64583333333)</f>
        <v>45415.64583</v>
      </c>
      <c r="B35" s="6">
        <f>IFERROR(__xludf.DUMMYFUNCTION("""COMPUTED_VALUE"""),3585.0)</f>
        <v>3585</v>
      </c>
      <c r="C35" s="6">
        <f>IFERROR(__xludf.DUMMYFUNCTION("""COMPUTED_VALUE"""),3619.5)</f>
        <v>3619.5</v>
      </c>
      <c r="D35" s="6">
        <f>IFERROR(__xludf.DUMMYFUNCTION("""COMPUTED_VALUE"""),3492.0)</f>
        <v>3492</v>
      </c>
      <c r="E35" s="6">
        <f>IFERROR(__xludf.DUMMYFUNCTION("""COMPUTED_VALUE"""),3533.9)</f>
        <v>3533.9</v>
      </c>
      <c r="F35" s="6">
        <f>IFERROR(__xludf.DUMMYFUNCTION("""COMPUTED_VALUE"""),4784227.0)</f>
        <v>4784227</v>
      </c>
    </row>
    <row r="36">
      <c r="A36" s="7">
        <f>IFERROR(__xludf.DUMMYFUNCTION("""COMPUTED_VALUE"""),45422.64583333333)</f>
        <v>45422.64583</v>
      </c>
      <c r="B36" s="6">
        <f>IFERROR(__xludf.DUMMYFUNCTION("""COMPUTED_VALUE"""),3476.0)</f>
        <v>3476</v>
      </c>
      <c r="C36" s="6">
        <f>IFERROR(__xludf.DUMMYFUNCTION("""COMPUTED_VALUE"""),3488.8)</f>
        <v>3488.8</v>
      </c>
      <c r="D36" s="6">
        <f>IFERROR(__xludf.DUMMYFUNCTION("""COMPUTED_VALUE"""),3227.0)</f>
        <v>3227</v>
      </c>
      <c r="E36" s="6">
        <f>IFERROR(__xludf.DUMMYFUNCTION("""COMPUTED_VALUE"""),3289.85)</f>
        <v>3289.85</v>
      </c>
      <c r="F36" s="6">
        <f>IFERROR(__xludf.DUMMYFUNCTION("""COMPUTED_VALUE"""),1.522591E7)</f>
        <v>15225910</v>
      </c>
    </row>
    <row r="37">
      <c r="A37" s="7">
        <f>IFERROR(__xludf.DUMMYFUNCTION("""COMPUTED_VALUE"""),45436.64583333333)</f>
        <v>45436.64583</v>
      </c>
      <c r="B37" s="6">
        <f>IFERROR(__xludf.DUMMYFUNCTION("""COMPUTED_VALUE"""),3355.0)</f>
        <v>3355</v>
      </c>
      <c r="C37" s="6">
        <f>IFERROR(__xludf.DUMMYFUNCTION("""COMPUTED_VALUE"""),3460.4)</f>
        <v>3460.4</v>
      </c>
      <c r="D37" s="6">
        <f>IFERROR(__xludf.DUMMYFUNCTION("""COMPUTED_VALUE"""),3351.0)</f>
        <v>3351</v>
      </c>
      <c r="E37" s="6">
        <f>IFERROR(__xludf.DUMMYFUNCTION("""COMPUTED_VALUE"""),3412.4)</f>
        <v>3412.4</v>
      </c>
      <c r="F37" s="6">
        <f>IFERROR(__xludf.DUMMYFUNCTION("""COMPUTED_VALUE"""),3310655.0)</f>
        <v>3310655</v>
      </c>
    </row>
    <row r="38">
      <c r="A38" s="7">
        <f>IFERROR(__xludf.DUMMYFUNCTION("""COMPUTED_VALUE"""),45443.64583333333)</f>
        <v>45443.64583</v>
      </c>
      <c r="B38" s="6">
        <f>IFERROR(__xludf.DUMMYFUNCTION("""COMPUTED_VALUE"""),3423.95)</f>
        <v>3423.95</v>
      </c>
      <c r="C38" s="6">
        <f>IFERROR(__xludf.DUMMYFUNCTION("""COMPUTED_VALUE"""),3436.3)</f>
        <v>3436.3</v>
      </c>
      <c r="D38" s="6">
        <f>IFERROR(__xludf.DUMMYFUNCTION("""COMPUTED_VALUE"""),3216.75)</f>
        <v>3216.75</v>
      </c>
      <c r="E38" s="6">
        <f>IFERROR(__xludf.DUMMYFUNCTION("""COMPUTED_VALUE"""),3241.9)</f>
        <v>3241.9</v>
      </c>
      <c r="F38" s="6">
        <f>IFERROR(__xludf.DUMMYFUNCTION("""COMPUTED_VALUE"""),6762346.0)</f>
        <v>6762346</v>
      </c>
    </row>
    <row r="39">
      <c r="A39" s="7">
        <f>IFERROR(__xludf.DUMMYFUNCTION("""COMPUTED_VALUE"""),45450.64583333333)</f>
        <v>45450.64583</v>
      </c>
      <c r="B39" s="6">
        <f>IFERROR(__xludf.DUMMYFUNCTION("""COMPUTED_VALUE"""),3310.0)</f>
        <v>3310</v>
      </c>
      <c r="C39" s="6">
        <f>IFERROR(__xludf.DUMMYFUNCTION("""COMPUTED_VALUE"""),3456.6)</f>
        <v>3456.6</v>
      </c>
      <c r="D39" s="6">
        <f>IFERROR(__xludf.DUMMYFUNCTION("""COMPUTED_VALUE"""),3055.65)</f>
        <v>3055.65</v>
      </c>
      <c r="E39" s="6">
        <f>IFERROR(__xludf.DUMMYFUNCTION("""COMPUTED_VALUE"""),3444.05)</f>
        <v>3444.05</v>
      </c>
      <c r="F39" s="6">
        <f>IFERROR(__xludf.DUMMYFUNCTION("""COMPUTED_VALUE"""),9619330.0)</f>
        <v>9619330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IFERROR(__xludf.DUMMYFUNCTION("""COMPUTED_VALUE"""),3443.0)</f>
        <v>3443</v>
      </c>
      <c r="C40" s="6">
        <f>IFERROR(__xludf.DUMMYFUNCTION("""COMPUTED_VALUE"""),3535.0)</f>
        <v>3535</v>
      </c>
      <c r="D40" s="6">
        <f>IFERROR(__xludf.DUMMYFUNCTION("""COMPUTED_VALUE"""),3370.85)</f>
        <v>3370.85</v>
      </c>
      <c r="E40" s="6">
        <f>IFERROR(__xludf.DUMMYFUNCTION("""COMPUTED_VALUE"""),3530.05)</f>
        <v>3530.05</v>
      </c>
      <c r="F40" s="6">
        <f>IFERROR(__xludf.DUMMYFUNCTION("""COMPUTED_VALUE"""),8895797.0)</f>
        <v>8895797</v>
      </c>
    </row>
    <row r="41">
      <c r="A41" s="7">
        <f>IFERROR(__xludf.DUMMYFUNCTION("""COMPUTED_VALUE"""),45464.64583333333)</f>
        <v>45464.64583</v>
      </c>
      <c r="B41" s="6">
        <f>IFERROR(__xludf.DUMMYFUNCTION("""COMPUTED_VALUE"""),3554.8)</f>
        <v>3554.8</v>
      </c>
      <c r="C41" s="6">
        <f>IFERROR(__xludf.DUMMYFUNCTION("""COMPUTED_VALUE"""),3625.0)</f>
        <v>3625</v>
      </c>
      <c r="D41" s="6">
        <f>IFERROR(__xludf.DUMMYFUNCTION("""COMPUTED_VALUE"""),3383.4)</f>
        <v>3383.4</v>
      </c>
      <c r="E41" s="6">
        <f>IFERROR(__xludf.DUMMYFUNCTION("""COMPUTED_VALUE"""),3399.75)</f>
        <v>3399.75</v>
      </c>
      <c r="F41" s="6">
        <f>IFERROR(__xludf.DUMMYFUNCTION("""COMPUTED_VALUE"""),8532279.0)</f>
        <v>8532279</v>
      </c>
    </row>
    <row r="42">
      <c r="A42" s="7">
        <f>IFERROR(__xludf.DUMMYFUNCTION("""COMPUTED_VALUE"""),45471.64583333333)</f>
        <v>45471.64583</v>
      </c>
      <c r="B42" s="6">
        <f>IFERROR(__xludf.DUMMYFUNCTION("""COMPUTED_VALUE"""),3380.35)</f>
        <v>3380.35</v>
      </c>
      <c r="C42" s="6">
        <f>IFERROR(__xludf.DUMMYFUNCTION("""COMPUTED_VALUE"""),3429.0)</f>
        <v>3429</v>
      </c>
      <c r="D42" s="6">
        <f>IFERROR(__xludf.DUMMYFUNCTION("""COMPUTED_VALUE"""),3361.05)</f>
        <v>3361.05</v>
      </c>
      <c r="E42" s="6">
        <f>IFERROR(__xludf.DUMMYFUNCTION("""COMPUTED_VALUE"""),3404.2)</f>
        <v>3404.2</v>
      </c>
      <c r="F42" s="6">
        <f>IFERROR(__xludf.DUMMYFUNCTION("""COMPUTED_VALUE"""),5898704.0)</f>
        <v>5898704</v>
      </c>
    </row>
    <row r="43">
      <c r="A43" s="7">
        <f>IFERROR(__xludf.DUMMYFUNCTION("""COMPUTED_VALUE"""),45478.64583333333)</f>
        <v>45478.64583</v>
      </c>
      <c r="B43" s="6">
        <f>IFERROR(__xludf.DUMMYFUNCTION("""COMPUTED_VALUE"""),3382.0)</f>
        <v>3382</v>
      </c>
      <c r="C43" s="6">
        <f>IFERROR(__xludf.DUMMYFUNCTION("""COMPUTED_VALUE"""),3450.0)</f>
        <v>3450</v>
      </c>
      <c r="D43" s="6">
        <f>IFERROR(__xludf.DUMMYFUNCTION("""COMPUTED_VALUE"""),3257.0)</f>
        <v>3257</v>
      </c>
      <c r="E43" s="6">
        <f>IFERROR(__xludf.DUMMYFUNCTION("""COMPUTED_VALUE"""),3269.35)</f>
        <v>3269.35</v>
      </c>
      <c r="F43" s="6">
        <f>IFERROR(__xludf.DUMMYFUNCTION("""COMPUTED_VALUE"""),5603909.0)</f>
        <v>5603909</v>
      </c>
    </row>
    <row r="44">
      <c r="A44" s="7">
        <f>IFERROR(__xludf.DUMMYFUNCTION("""COMPUTED_VALUE"""),45485.64583333333)</f>
        <v>45485.64583</v>
      </c>
      <c r="B44" s="6">
        <f>IFERROR(__xludf.DUMMYFUNCTION("""COMPUTED_VALUE"""),3204.0)</f>
        <v>3204</v>
      </c>
      <c r="C44" s="6">
        <f>IFERROR(__xludf.DUMMYFUNCTION("""COMPUTED_VALUE"""),3269.0)</f>
        <v>3269</v>
      </c>
      <c r="D44" s="6">
        <f>IFERROR(__xludf.DUMMYFUNCTION("""COMPUTED_VALUE"""),3126.1)</f>
        <v>3126.1</v>
      </c>
      <c r="E44" s="6">
        <f>IFERROR(__xludf.DUMMYFUNCTION("""COMPUTED_VALUE"""),3229.85)</f>
        <v>3229.85</v>
      </c>
      <c r="F44" s="6">
        <f>IFERROR(__xludf.DUMMYFUNCTION("""COMPUTED_VALUE"""),1.1407642E7)</f>
        <v>11407642</v>
      </c>
    </row>
    <row r="45">
      <c r="A45" s="7">
        <f>IFERROR(__xludf.DUMMYFUNCTION("""COMPUTED_VALUE"""),45492.64583333333)</f>
        <v>45492.64583</v>
      </c>
      <c r="B45" s="6">
        <f>IFERROR(__xludf.DUMMYFUNCTION("""COMPUTED_VALUE"""),3241.75)</f>
        <v>3241.75</v>
      </c>
      <c r="C45" s="6">
        <f>IFERROR(__xludf.DUMMYFUNCTION("""COMPUTED_VALUE"""),3279.0)</f>
        <v>3279</v>
      </c>
      <c r="D45" s="6">
        <f>IFERROR(__xludf.DUMMYFUNCTION("""COMPUTED_VALUE"""),3205.4)</f>
        <v>3205.4</v>
      </c>
      <c r="E45" s="6">
        <f>IFERROR(__xludf.DUMMYFUNCTION("""COMPUTED_VALUE"""),3259.0)</f>
        <v>3259</v>
      </c>
      <c r="F45" s="6">
        <f>IFERROR(__xludf.DUMMYFUNCTION("""COMPUTED_VALUE"""),3942711.0)</f>
        <v>3942711</v>
      </c>
    </row>
    <row r="46">
      <c r="A46" s="7">
        <f>IFERROR(__xludf.DUMMYFUNCTION("""COMPUTED_VALUE"""),45499.64583333333)</f>
        <v>45499.64583</v>
      </c>
      <c r="B46" s="6">
        <f>IFERROR(__xludf.DUMMYFUNCTION("""COMPUTED_VALUE"""),3250.0)</f>
        <v>3250</v>
      </c>
      <c r="C46" s="6">
        <f>IFERROR(__xludf.DUMMYFUNCTION("""COMPUTED_VALUE"""),3552.5)</f>
        <v>3552.5</v>
      </c>
      <c r="D46" s="6">
        <f>IFERROR(__xludf.DUMMYFUNCTION("""COMPUTED_VALUE"""),3223.2)</f>
        <v>3223.2</v>
      </c>
      <c r="E46" s="6">
        <f>IFERROR(__xludf.DUMMYFUNCTION("""COMPUTED_VALUE"""),3494.15)</f>
        <v>3494.15</v>
      </c>
      <c r="F46" s="6">
        <f>IFERROR(__xludf.DUMMYFUNCTION("""COMPUTED_VALUE"""),1.5025069E7)</f>
        <v>15025069</v>
      </c>
    </row>
    <row r="47">
      <c r="A47" s="7">
        <f>IFERROR(__xludf.DUMMYFUNCTION("""COMPUTED_VALUE"""),45506.64583333333)</f>
        <v>45506.64583</v>
      </c>
      <c r="B47" s="6">
        <f>IFERROR(__xludf.DUMMYFUNCTION("""COMPUTED_VALUE"""),3495.0)</f>
        <v>3495</v>
      </c>
      <c r="C47" s="6">
        <f>IFERROR(__xludf.DUMMYFUNCTION("""COMPUTED_VALUE"""),3499.9)</f>
        <v>3499.9</v>
      </c>
      <c r="D47" s="6">
        <f>IFERROR(__xludf.DUMMYFUNCTION("""COMPUTED_VALUE"""),3388.0)</f>
        <v>3388</v>
      </c>
      <c r="E47" s="6">
        <f>IFERROR(__xludf.DUMMYFUNCTION("""COMPUTED_VALUE"""),3462.35)</f>
        <v>3462.35</v>
      </c>
      <c r="F47" s="6">
        <f>IFERROR(__xludf.DUMMYFUNCTION("""COMPUTED_VALUE"""),6939362.0)</f>
        <v>6939362</v>
      </c>
    </row>
    <row r="48">
      <c r="A48" s="7">
        <f>IFERROR(__xludf.DUMMYFUNCTION("""COMPUTED_VALUE"""),45513.64583333333)</f>
        <v>45513.64583</v>
      </c>
      <c r="B48" s="6">
        <f>IFERROR(__xludf.DUMMYFUNCTION("""COMPUTED_VALUE"""),3320.05)</f>
        <v>3320.05</v>
      </c>
      <c r="C48" s="6">
        <f>IFERROR(__xludf.DUMMYFUNCTION("""COMPUTED_VALUE"""),3459.0)</f>
        <v>3459</v>
      </c>
      <c r="D48" s="6">
        <f>IFERROR(__xludf.DUMMYFUNCTION("""COMPUTED_VALUE"""),3283.9)</f>
        <v>3283.9</v>
      </c>
      <c r="E48" s="6">
        <f>IFERROR(__xludf.DUMMYFUNCTION("""COMPUTED_VALUE"""),3331.7)</f>
        <v>3331.7</v>
      </c>
      <c r="F48" s="6">
        <f>IFERROR(__xludf.DUMMYFUNCTION("""COMPUTED_VALUE"""),6486280.0)</f>
        <v>6486280</v>
      </c>
    </row>
    <row r="49">
      <c r="A49" s="7">
        <f>IFERROR(__xludf.DUMMYFUNCTION("""COMPUTED_VALUE"""),45520.64583333333)</f>
        <v>45520.64583</v>
      </c>
      <c r="B49" s="6">
        <f>IFERROR(__xludf.DUMMYFUNCTION("""COMPUTED_VALUE"""),3331.65)</f>
        <v>3331.65</v>
      </c>
      <c r="C49" s="6">
        <f>IFERROR(__xludf.DUMMYFUNCTION("""COMPUTED_VALUE"""),3450.1)</f>
        <v>3450.1</v>
      </c>
      <c r="D49" s="6">
        <f>IFERROR(__xludf.DUMMYFUNCTION("""COMPUTED_VALUE"""),3295.35)</f>
        <v>3295.35</v>
      </c>
      <c r="E49" s="6">
        <f>IFERROR(__xludf.DUMMYFUNCTION("""COMPUTED_VALUE"""),3444.75)</f>
        <v>3444.75</v>
      </c>
      <c r="F49" s="6">
        <f>IFERROR(__xludf.DUMMYFUNCTION("""COMPUTED_VALUE"""),4348754.0)</f>
        <v>4348754</v>
      </c>
    </row>
    <row r="50">
      <c r="A50" s="7">
        <f>IFERROR(__xludf.DUMMYFUNCTION("""COMPUTED_VALUE"""),45527.64583333333)</f>
        <v>45527.64583</v>
      </c>
      <c r="B50" s="6">
        <f>IFERROR(__xludf.DUMMYFUNCTION("""COMPUTED_VALUE"""),3436.2)</f>
        <v>3436.2</v>
      </c>
      <c r="C50" s="6">
        <f>IFERROR(__xludf.DUMMYFUNCTION("""COMPUTED_VALUE"""),3625.0)</f>
        <v>3625</v>
      </c>
      <c r="D50" s="6">
        <f>IFERROR(__xludf.DUMMYFUNCTION("""COMPUTED_VALUE"""),3436.2)</f>
        <v>3436.2</v>
      </c>
      <c r="E50" s="6">
        <f>IFERROR(__xludf.DUMMYFUNCTION("""COMPUTED_VALUE"""),3570.0)</f>
        <v>3570</v>
      </c>
      <c r="F50" s="6">
        <f>IFERROR(__xludf.DUMMYFUNCTION("""COMPUTED_VALUE"""),6356761.0)</f>
        <v>6356761</v>
      </c>
    </row>
    <row r="51">
      <c r="A51" s="7">
        <f>IFERROR(__xludf.DUMMYFUNCTION("""COMPUTED_VALUE"""),45534.64583333333)</f>
        <v>45534.64583</v>
      </c>
      <c r="B51" s="6">
        <f>IFERROR(__xludf.DUMMYFUNCTION("""COMPUTED_VALUE"""),3592.0)</f>
        <v>3592</v>
      </c>
      <c r="C51" s="6">
        <f>IFERROR(__xludf.DUMMYFUNCTION("""COMPUTED_VALUE"""),3658.8)</f>
        <v>3658.8</v>
      </c>
      <c r="D51" s="6">
        <f>IFERROR(__xludf.DUMMYFUNCTION("""COMPUTED_VALUE"""),3510.0)</f>
        <v>3510</v>
      </c>
      <c r="E51" s="6">
        <f>IFERROR(__xludf.DUMMYFUNCTION("""COMPUTED_VALUE"""),3565.15)</f>
        <v>3565.15</v>
      </c>
      <c r="F51" s="6">
        <f>IFERROR(__xludf.DUMMYFUNCTION("""COMPUTED_VALUE"""),6097535.0)</f>
        <v>6097535</v>
      </c>
    </row>
    <row r="52">
      <c r="A52" s="7">
        <f>IFERROR(__xludf.DUMMYFUNCTION("""COMPUTED_VALUE"""),45541.64583333333)</f>
        <v>45541.64583</v>
      </c>
      <c r="B52" s="6">
        <f>IFERROR(__xludf.DUMMYFUNCTION("""COMPUTED_VALUE"""),3565.15)</f>
        <v>3565.15</v>
      </c>
      <c r="C52" s="6">
        <f>IFERROR(__xludf.DUMMYFUNCTION("""COMPUTED_VALUE"""),3753.95)</f>
        <v>3753.95</v>
      </c>
      <c r="D52" s="6">
        <f>IFERROR(__xludf.DUMMYFUNCTION("""COMPUTED_VALUE"""),3552.0)</f>
        <v>3552</v>
      </c>
      <c r="E52" s="6">
        <f>IFERROR(__xludf.DUMMYFUNCTION("""COMPUTED_VALUE"""),3695.5)</f>
        <v>3695.5</v>
      </c>
      <c r="F52" s="6">
        <f>IFERROR(__xludf.DUMMYFUNCTION("""COMPUTED_VALUE"""),7207950.0)</f>
        <v>7207950</v>
      </c>
    </row>
    <row r="53">
      <c r="A53" s="7">
        <f>IFERROR(__xludf.DUMMYFUNCTION("""COMPUTED_VALUE"""),45548.64583333333)</f>
        <v>45548.64583</v>
      </c>
      <c r="B53" s="6">
        <f>IFERROR(__xludf.DUMMYFUNCTION("""COMPUTED_VALUE"""),3690.1)</f>
        <v>3690.1</v>
      </c>
      <c r="C53" s="6">
        <f>IFERROR(__xludf.DUMMYFUNCTION("""COMPUTED_VALUE"""),3799.85)</f>
        <v>3799.85</v>
      </c>
      <c r="D53" s="6">
        <f>IFERROR(__xludf.DUMMYFUNCTION("""COMPUTED_VALUE"""),3653.75)</f>
        <v>3653.75</v>
      </c>
      <c r="E53" s="6">
        <f>IFERROR(__xludf.DUMMYFUNCTION("""COMPUTED_VALUE"""),3767.0)</f>
        <v>3767</v>
      </c>
      <c r="F53" s="6">
        <f>IFERROR(__xludf.DUMMYFUNCTION("""COMPUTED_VALUE"""),5204927.0)</f>
        <v>5204927</v>
      </c>
    </row>
    <row r="54">
      <c r="A54" s="7">
        <f>IFERROR(__xludf.DUMMYFUNCTION("""COMPUTED_VALUE"""),45555.64583333333)</f>
        <v>45555.64583</v>
      </c>
      <c r="B54" s="6">
        <f>IFERROR(__xludf.DUMMYFUNCTION("""COMPUTED_VALUE"""),3768.0)</f>
        <v>3768</v>
      </c>
      <c r="C54" s="6">
        <f>IFERROR(__xludf.DUMMYFUNCTION("""COMPUTED_VALUE"""),3819.0)</f>
        <v>3819</v>
      </c>
      <c r="D54" s="6">
        <f>IFERROR(__xludf.DUMMYFUNCTION("""COMPUTED_VALUE"""),3708.0)</f>
        <v>3708</v>
      </c>
      <c r="E54" s="6">
        <f>IFERROR(__xludf.DUMMYFUNCTION("""COMPUTED_VALUE"""),3797.2)</f>
        <v>3797.2</v>
      </c>
      <c r="F54" s="6">
        <f>IFERROR(__xludf.DUMMYFUNCTION("""COMPUTED_VALUE"""),4096591.0)</f>
        <v>4096591</v>
      </c>
    </row>
    <row r="55">
      <c r="A55" s="7">
        <f>IFERROR(__xludf.DUMMYFUNCTION("""COMPUTED_VALUE"""),45562.64583333333)</f>
        <v>45562.64583</v>
      </c>
      <c r="B55" s="6">
        <f>IFERROR(__xludf.DUMMYFUNCTION("""COMPUTED_VALUE"""),3797.2)</f>
        <v>3797.2</v>
      </c>
      <c r="C55" s="6">
        <f>IFERROR(__xludf.DUMMYFUNCTION("""COMPUTED_VALUE"""),3867.0)</f>
        <v>3867</v>
      </c>
      <c r="D55" s="6">
        <f>IFERROR(__xludf.DUMMYFUNCTION("""COMPUTED_VALUE"""),3701.4)</f>
        <v>3701.4</v>
      </c>
      <c r="E55" s="6">
        <f>IFERROR(__xludf.DUMMYFUNCTION("""COMPUTED_VALUE"""),3816.7)</f>
        <v>3816.7</v>
      </c>
      <c r="F55" s="6">
        <f>IFERROR(__xludf.DUMMYFUNCTION("""COMPUTED_VALUE"""),6782611.0)</f>
        <v>6782611</v>
      </c>
    </row>
    <row r="56">
      <c r="A56" s="7">
        <f>IFERROR(__xludf.DUMMYFUNCTION("""COMPUTED_VALUE"""),45569.64583333333)</f>
        <v>45569.64583</v>
      </c>
      <c r="B56" s="6">
        <f>IFERROR(__xludf.DUMMYFUNCTION("""COMPUTED_VALUE"""),3786.0)</f>
        <v>3786</v>
      </c>
      <c r="C56" s="6">
        <f>IFERROR(__xludf.DUMMYFUNCTION("""COMPUTED_VALUE"""),3863.55)</f>
        <v>3863.55</v>
      </c>
      <c r="D56" s="6">
        <f>IFERROR(__xludf.DUMMYFUNCTION("""COMPUTED_VALUE"""),3625.0)</f>
        <v>3625</v>
      </c>
      <c r="E56" s="6">
        <f>IFERROR(__xludf.DUMMYFUNCTION("""COMPUTED_VALUE"""),3670.1)</f>
        <v>3670.1</v>
      </c>
      <c r="F56" s="6">
        <f>IFERROR(__xludf.DUMMYFUNCTION("""COMPUTED_VALUE"""),4983377.0)</f>
        <v>4983377</v>
      </c>
    </row>
    <row r="57">
      <c r="A57" s="7">
        <f>IFERROR(__xludf.DUMMYFUNCTION("""COMPUTED_VALUE"""),45576.64583333333)</f>
        <v>45576.64583</v>
      </c>
      <c r="B57" s="6">
        <f>IFERROR(__xludf.DUMMYFUNCTION("""COMPUTED_VALUE"""),3739.95)</f>
        <v>3739.95</v>
      </c>
      <c r="C57" s="6">
        <f>IFERROR(__xludf.DUMMYFUNCTION("""COMPUTED_VALUE"""),3748.0)</f>
        <v>3748</v>
      </c>
      <c r="D57" s="6">
        <f>IFERROR(__xludf.DUMMYFUNCTION("""COMPUTED_VALUE"""),3415.1)</f>
        <v>3415.1</v>
      </c>
      <c r="E57" s="6">
        <f>IFERROR(__xludf.DUMMYFUNCTION("""COMPUTED_VALUE"""),3474.4)</f>
        <v>3474.4</v>
      </c>
      <c r="F57" s="6">
        <f>IFERROR(__xludf.DUMMYFUNCTION("""COMPUTED_VALUE"""),7294034.0)</f>
        <v>7294034</v>
      </c>
    </row>
    <row r="58">
      <c r="A58" s="7">
        <f>IFERROR(__xludf.DUMMYFUNCTION("""COMPUTED_VALUE"""),45583.64583333333)</f>
        <v>45583.64583</v>
      </c>
      <c r="B58" s="6">
        <f>IFERROR(__xludf.DUMMYFUNCTION("""COMPUTED_VALUE"""),3474.4)</f>
        <v>3474.4</v>
      </c>
      <c r="C58" s="6">
        <f>IFERROR(__xludf.DUMMYFUNCTION("""COMPUTED_VALUE"""),3529.45)</f>
        <v>3529.45</v>
      </c>
      <c r="D58" s="6">
        <f>IFERROR(__xludf.DUMMYFUNCTION("""COMPUTED_VALUE"""),3296.1)</f>
        <v>3296.1</v>
      </c>
      <c r="E58" s="6">
        <f>IFERROR(__xludf.DUMMYFUNCTION("""COMPUTED_VALUE"""),3381.45)</f>
        <v>3381.45</v>
      </c>
      <c r="F58" s="6">
        <f>IFERROR(__xludf.DUMMYFUNCTION("""COMPUTED_VALUE"""),3573950.0)</f>
        <v>3573950</v>
      </c>
    </row>
    <row r="59">
      <c r="A59" s="7">
        <f>IFERROR(__xludf.DUMMYFUNCTION("""COMPUTED_VALUE"""),45590.64583333333)</f>
        <v>45590.64583</v>
      </c>
      <c r="B59" s="6">
        <f>IFERROR(__xludf.DUMMYFUNCTION("""COMPUTED_VALUE"""),3417.95)</f>
        <v>3417.95</v>
      </c>
      <c r="C59" s="6">
        <f>IFERROR(__xludf.DUMMYFUNCTION("""COMPUTED_VALUE"""),3421.5)</f>
        <v>3421.5</v>
      </c>
      <c r="D59" s="6">
        <f>IFERROR(__xludf.DUMMYFUNCTION("""COMPUTED_VALUE"""),3232.35)</f>
        <v>3232.35</v>
      </c>
      <c r="E59" s="6">
        <f>IFERROR(__xludf.DUMMYFUNCTION("""COMPUTED_VALUE"""),3266.55)</f>
        <v>3266.55</v>
      </c>
      <c r="F59" s="6">
        <f>IFERROR(__xludf.DUMMYFUNCTION("""COMPUTED_VALUE"""),4044051.0)</f>
        <v>4044051</v>
      </c>
    </row>
    <row r="60">
      <c r="A60" s="7">
        <f>IFERROR(__xludf.DUMMYFUNCTION("""COMPUTED_VALUE"""),45604.64583333333)</f>
        <v>45604.64583</v>
      </c>
      <c r="B60" s="6">
        <f>IFERROR(__xludf.DUMMYFUNCTION("""COMPUTED_VALUE"""),3318.0)</f>
        <v>3318</v>
      </c>
      <c r="C60" s="6">
        <f>IFERROR(__xludf.DUMMYFUNCTION("""COMPUTED_VALUE"""),3318.0)</f>
        <v>3318</v>
      </c>
      <c r="D60" s="6">
        <f>IFERROR(__xludf.DUMMYFUNCTION("""COMPUTED_VALUE"""),3106.0)</f>
        <v>3106</v>
      </c>
      <c r="E60" s="6">
        <f>IFERROR(__xludf.DUMMYFUNCTION("""COMPUTED_VALUE"""),3186.25)</f>
        <v>3186.25</v>
      </c>
      <c r="F60" s="6">
        <f>IFERROR(__xludf.DUMMYFUNCTION("""COMPUTED_VALUE"""),9845962.0)</f>
        <v>9845962</v>
      </c>
    </row>
    <row r="61">
      <c r="A61" s="7">
        <f>IFERROR(__xludf.DUMMYFUNCTION("""COMPUTED_VALUE"""),45610.64583333333)</f>
        <v>45610.64583</v>
      </c>
      <c r="B61" s="6">
        <f>IFERROR(__xludf.DUMMYFUNCTION("""COMPUTED_VALUE"""),3191.6)</f>
        <v>3191.6</v>
      </c>
      <c r="C61" s="6">
        <f>IFERROR(__xludf.DUMMYFUNCTION("""COMPUTED_VALUE"""),3239.0)</f>
        <v>3239</v>
      </c>
      <c r="D61" s="6">
        <f>IFERROR(__xludf.DUMMYFUNCTION("""COMPUTED_VALUE"""),3136.0)</f>
        <v>3136</v>
      </c>
      <c r="E61" s="6">
        <f>IFERROR(__xludf.DUMMYFUNCTION("""COMPUTED_VALUE"""),3183.7)</f>
        <v>3183.7</v>
      </c>
      <c r="F61" s="6">
        <f>IFERROR(__xludf.DUMMYFUNCTION("""COMPUTED_VALUE"""),4121086.0)</f>
        <v>4121086</v>
      </c>
    </row>
    <row r="62">
      <c r="A62" s="7">
        <f>IFERROR(__xludf.DUMMYFUNCTION("""COMPUTED_VALUE"""),45618.64583333333)</f>
        <v>45618.64583</v>
      </c>
      <c r="B62" s="6">
        <f>IFERROR(__xludf.DUMMYFUNCTION("""COMPUTED_VALUE"""),3183.7)</f>
        <v>3183.7</v>
      </c>
      <c r="C62" s="6">
        <f>IFERROR(__xludf.DUMMYFUNCTION("""COMPUTED_VALUE"""),3317.0)</f>
        <v>3317</v>
      </c>
      <c r="D62" s="6">
        <f>IFERROR(__xludf.DUMMYFUNCTION("""COMPUTED_VALUE"""),3148.35)</f>
        <v>3148.35</v>
      </c>
      <c r="E62" s="6">
        <f>IFERROR(__xludf.DUMMYFUNCTION("""COMPUTED_VALUE"""),3308.7)</f>
        <v>3308.7</v>
      </c>
      <c r="F62" s="6">
        <f>IFERROR(__xludf.DUMMYFUNCTION("""COMPUTED_VALUE"""),5907443.0)</f>
        <v>5907443</v>
      </c>
    </row>
    <row r="63">
      <c r="A63" s="7">
        <f>IFERROR(__xludf.DUMMYFUNCTION("""COMPUTED_VALUE"""),45625.64583333333)</f>
        <v>45625.64583</v>
      </c>
      <c r="B63" s="6">
        <f>IFERROR(__xludf.DUMMYFUNCTION("""COMPUTED_VALUE"""),3360.0)</f>
        <v>3360</v>
      </c>
      <c r="C63" s="6">
        <f>IFERROR(__xludf.DUMMYFUNCTION("""COMPUTED_VALUE"""),3369.85)</f>
        <v>3369.85</v>
      </c>
      <c r="D63" s="6">
        <f>IFERROR(__xludf.DUMMYFUNCTION("""COMPUTED_VALUE"""),3200.35)</f>
        <v>3200.35</v>
      </c>
      <c r="E63" s="6">
        <f>IFERROR(__xludf.DUMMYFUNCTION("""COMPUTED_VALUE"""),3249.0)</f>
        <v>3249</v>
      </c>
      <c r="F63" s="6">
        <f>IFERROR(__xludf.DUMMYFUNCTION("""COMPUTED_VALUE"""),6187662.0)</f>
        <v>6187662</v>
      </c>
    </row>
    <row r="64">
      <c r="A64" s="7">
        <f>IFERROR(__xludf.DUMMYFUNCTION("""COMPUTED_VALUE"""),45632.64583333333)</f>
        <v>45632.64583</v>
      </c>
      <c r="B64" s="6">
        <f>IFERROR(__xludf.DUMMYFUNCTION("""COMPUTED_VALUE"""),3249.0)</f>
        <v>3249</v>
      </c>
      <c r="C64" s="6">
        <f>IFERROR(__xludf.DUMMYFUNCTION("""COMPUTED_VALUE"""),3499.65)</f>
        <v>3499.65</v>
      </c>
      <c r="D64" s="6">
        <f>IFERROR(__xludf.DUMMYFUNCTION("""COMPUTED_VALUE"""),3222.05)</f>
        <v>3222.05</v>
      </c>
      <c r="E64" s="6">
        <f>IFERROR(__xludf.DUMMYFUNCTION("""COMPUTED_VALUE"""),3470.1)</f>
        <v>3470.1</v>
      </c>
      <c r="F64" s="6">
        <f>IFERROR(__xludf.DUMMYFUNCTION("""COMPUTED_VALUE"""),7370512.0)</f>
        <v>7370512</v>
      </c>
    </row>
    <row r="65">
      <c r="A65" s="7">
        <f>IFERROR(__xludf.DUMMYFUNCTION("""COMPUTED_VALUE"""),45639.64583333333)</f>
        <v>45639.64583</v>
      </c>
      <c r="B65" s="6">
        <f>IFERROR(__xludf.DUMMYFUNCTION("""COMPUTED_VALUE"""),3467.5)</f>
        <v>3467.5</v>
      </c>
      <c r="C65" s="6">
        <f>IFERROR(__xludf.DUMMYFUNCTION("""COMPUTED_VALUE"""),3518.0)</f>
        <v>3518</v>
      </c>
      <c r="D65" s="6">
        <f>IFERROR(__xludf.DUMMYFUNCTION("""COMPUTED_VALUE"""),3380.25)</f>
        <v>3380.25</v>
      </c>
      <c r="E65" s="6">
        <f>IFERROR(__xludf.DUMMYFUNCTION("""COMPUTED_VALUE"""),3508.85)</f>
        <v>3508.85</v>
      </c>
      <c r="F65" s="6">
        <f>IFERROR(__xludf.DUMMYFUNCTION("""COMPUTED_VALUE"""),4713302.0)</f>
        <v>4713302</v>
      </c>
    </row>
    <row r="66">
      <c r="A66" s="7">
        <f>IFERROR(__xludf.DUMMYFUNCTION("""COMPUTED_VALUE"""),45646.64583333333)</f>
        <v>45646.64583</v>
      </c>
      <c r="B66" s="6">
        <f>IFERROR(__xludf.DUMMYFUNCTION("""COMPUTED_VALUE"""),3505.0)</f>
        <v>3505</v>
      </c>
      <c r="C66" s="6">
        <f>IFERROR(__xludf.DUMMYFUNCTION("""COMPUTED_VALUE"""),3511.0)</f>
        <v>3511</v>
      </c>
      <c r="D66" s="6">
        <f>IFERROR(__xludf.DUMMYFUNCTION("""COMPUTED_VALUE"""),3332.0)</f>
        <v>3332</v>
      </c>
      <c r="E66" s="6">
        <f>IFERROR(__xludf.DUMMYFUNCTION("""COMPUTED_VALUE"""),3356.25)</f>
        <v>3356.25</v>
      </c>
      <c r="F66" s="6">
        <f>IFERROR(__xludf.DUMMYFUNCTION("""COMPUTED_VALUE"""),4915379.0)</f>
        <v>4915379</v>
      </c>
    </row>
    <row r="67">
      <c r="A67" s="7">
        <f>IFERROR(__xludf.DUMMYFUNCTION("""COMPUTED_VALUE"""),45653.64583333333)</f>
        <v>45653.64583</v>
      </c>
      <c r="B67" s="6">
        <f>IFERROR(__xludf.DUMMYFUNCTION("""COMPUTED_VALUE"""),3378.1)</f>
        <v>3378.1</v>
      </c>
      <c r="C67" s="6">
        <f>IFERROR(__xludf.DUMMYFUNCTION("""COMPUTED_VALUE"""),3419.0)</f>
        <v>3419</v>
      </c>
      <c r="D67" s="6">
        <f>IFERROR(__xludf.DUMMYFUNCTION("""COMPUTED_VALUE"""),3301.1)</f>
        <v>3301.1</v>
      </c>
      <c r="E67" s="6">
        <f>IFERROR(__xludf.DUMMYFUNCTION("""COMPUTED_VALUE"""),3309.2)</f>
        <v>3309.2</v>
      </c>
      <c r="F67" s="6">
        <f>IFERROR(__xludf.DUMMYFUNCTION("""COMPUTED_VALUE"""),2382530.0)</f>
        <v>2382530</v>
      </c>
    </row>
    <row r="68">
      <c r="A68" s="7">
        <f>IFERROR(__xludf.DUMMYFUNCTION("""COMPUTED_VALUE"""),45660.64583333333)</f>
        <v>45660.64583</v>
      </c>
      <c r="B68" s="6">
        <f>IFERROR(__xludf.DUMMYFUNCTION("""COMPUTED_VALUE"""),3309.95)</f>
        <v>3309.95</v>
      </c>
      <c r="C68" s="6">
        <f>IFERROR(__xludf.DUMMYFUNCTION("""COMPUTED_VALUE"""),3481.95)</f>
        <v>3481.95</v>
      </c>
      <c r="D68" s="6">
        <f>IFERROR(__xludf.DUMMYFUNCTION("""COMPUTED_VALUE"""),3230.8)</f>
        <v>3230.8</v>
      </c>
      <c r="E68" s="6">
        <f>IFERROR(__xludf.DUMMYFUNCTION("""COMPUTED_VALUE"""),3451.65)</f>
        <v>3451.65</v>
      </c>
      <c r="F68" s="6">
        <f>IFERROR(__xludf.DUMMYFUNCTION("""COMPUTED_VALUE"""),4699030.0)</f>
        <v>4699030</v>
      </c>
    </row>
    <row r="69">
      <c r="A69" s="7">
        <f>IFERROR(__xludf.DUMMYFUNCTION("""COMPUTED_VALUE"""),45667.64583333333)</f>
        <v>45667.64583</v>
      </c>
      <c r="B69" s="6">
        <f>IFERROR(__xludf.DUMMYFUNCTION("""COMPUTED_VALUE"""),3490.0)</f>
        <v>3490</v>
      </c>
      <c r="C69" s="6">
        <f>IFERROR(__xludf.DUMMYFUNCTION("""COMPUTED_VALUE"""),3576.7)</f>
        <v>3576.7</v>
      </c>
      <c r="D69" s="6">
        <f>IFERROR(__xludf.DUMMYFUNCTION("""COMPUTED_VALUE"""),3391.3)</f>
        <v>3391.3</v>
      </c>
      <c r="E69" s="6">
        <f>IFERROR(__xludf.DUMMYFUNCTION("""COMPUTED_VALUE"""),3440.25)</f>
        <v>3440.25</v>
      </c>
      <c r="F69" s="6">
        <f>IFERROR(__xludf.DUMMYFUNCTION("""COMPUTED_VALUE"""),7249173.0)</f>
        <v>7249173</v>
      </c>
    </row>
    <row r="70">
      <c r="A70" s="7">
        <f>IFERROR(__xludf.DUMMYFUNCTION("""COMPUTED_VALUE"""),45674.64583333333)</f>
        <v>45674.64583</v>
      </c>
      <c r="B70" s="6">
        <f>IFERROR(__xludf.DUMMYFUNCTION("""COMPUTED_VALUE"""),3380.0)</f>
        <v>3380</v>
      </c>
      <c r="C70" s="6">
        <f>IFERROR(__xludf.DUMMYFUNCTION("""COMPUTED_VALUE"""),3467.0)</f>
        <v>3467</v>
      </c>
      <c r="D70" s="6">
        <f>IFERROR(__xludf.DUMMYFUNCTION("""COMPUTED_VALUE"""),3282.0)</f>
        <v>3282</v>
      </c>
      <c r="E70" s="6">
        <f>IFERROR(__xludf.DUMMYFUNCTION("""COMPUTED_VALUE"""),3357.4)</f>
        <v>3357.4</v>
      </c>
      <c r="F70" s="6">
        <f>IFERROR(__xludf.DUMMYFUNCTION("""COMPUTED_VALUE"""),5315598.0)</f>
        <v>5315598</v>
      </c>
    </row>
    <row r="71">
      <c r="A71" s="7">
        <f>IFERROR(__xludf.DUMMYFUNCTION("""COMPUTED_VALUE"""),45681.64583333333)</f>
        <v>45681.64583</v>
      </c>
      <c r="B71" s="6">
        <f>IFERROR(__xludf.DUMMYFUNCTION("""COMPUTED_VALUE"""),3374.1)</f>
        <v>3374.1</v>
      </c>
      <c r="C71" s="6">
        <f>IFERROR(__xludf.DUMMYFUNCTION("""COMPUTED_VALUE"""),3447.65)</f>
        <v>3447.65</v>
      </c>
      <c r="D71" s="6">
        <f>IFERROR(__xludf.DUMMYFUNCTION("""COMPUTED_VALUE"""),3325.5)</f>
        <v>3325.5</v>
      </c>
      <c r="E71" s="6">
        <f>IFERROR(__xludf.DUMMYFUNCTION("""COMPUTED_VALUE"""),3402.15)</f>
        <v>3402.15</v>
      </c>
      <c r="F71" s="6">
        <f>IFERROR(__xludf.DUMMYFUNCTION("""COMPUTED_VALUE"""),3614565.0)</f>
        <v>3614565</v>
      </c>
    </row>
    <row r="72">
      <c r="A72" s="7">
        <f>IFERROR(__xludf.DUMMYFUNCTION("""COMPUTED_VALUE"""),45695.64583333333)</f>
        <v>45695.64583</v>
      </c>
      <c r="B72" s="6">
        <f>IFERROR(__xludf.DUMMYFUNCTION("""COMPUTED_VALUE"""),3565.0)</f>
        <v>3565</v>
      </c>
      <c r="C72" s="6">
        <f>IFERROR(__xludf.DUMMYFUNCTION("""COMPUTED_VALUE"""),3652.0)</f>
        <v>3652</v>
      </c>
      <c r="D72" s="6">
        <f>IFERROR(__xludf.DUMMYFUNCTION("""COMPUTED_VALUE"""),3388.2)</f>
        <v>3388.2</v>
      </c>
      <c r="E72" s="6">
        <f>IFERROR(__xludf.DUMMYFUNCTION("""COMPUTED_VALUE"""),3424.8)</f>
        <v>3424.8</v>
      </c>
      <c r="F72" s="6">
        <f>IFERROR(__xludf.DUMMYFUNCTION("""COMPUTED_VALUE"""),6789395.0)</f>
        <v>6789395</v>
      </c>
    </row>
    <row r="73">
      <c r="A73" s="7">
        <f>IFERROR(__xludf.DUMMYFUNCTION("""COMPUTED_VALUE"""),45702.64583333333)</f>
        <v>45702.64583</v>
      </c>
      <c r="B73" s="6">
        <f>IFERROR(__xludf.DUMMYFUNCTION("""COMPUTED_VALUE"""),3415.0)</f>
        <v>3415</v>
      </c>
      <c r="C73" s="6">
        <f>IFERROR(__xludf.DUMMYFUNCTION("""COMPUTED_VALUE"""),3425.0)</f>
        <v>3425</v>
      </c>
      <c r="D73" s="6">
        <f>IFERROR(__xludf.DUMMYFUNCTION("""COMPUTED_VALUE"""),3186.45)</f>
        <v>3186.45</v>
      </c>
      <c r="E73" s="6">
        <f>IFERROR(__xludf.DUMMYFUNCTION("""COMPUTED_VALUE"""),3213.25)</f>
        <v>3213.25</v>
      </c>
      <c r="F73" s="6">
        <f>IFERROR(__xludf.DUMMYFUNCTION("""COMPUTED_VALUE"""),3897674.0)</f>
        <v>3897674</v>
      </c>
    </row>
    <row r="74">
      <c r="A74" s="7">
        <f>IFERROR(__xludf.DUMMYFUNCTION("""COMPUTED_VALUE"""),45709.64583333333)</f>
        <v>45709.64583</v>
      </c>
      <c r="B74" s="6">
        <f>IFERROR(__xludf.DUMMYFUNCTION("""COMPUTED_VALUE"""),3195.25)</f>
        <v>3195.25</v>
      </c>
      <c r="C74" s="6">
        <f>IFERROR(__xludf.DUMMYFUNCTION("""COMPUTED_VALUE"""),3253.65)</f>
        <v>3253.65</v>
      </c>
      <c r="D74" s="6">
        <f>IFERROR(__xludf.DUMMYFUNCTION("""COMPUTED_VALUE"""),3162.25)</f>
        <v>3162.25</v>
      </c>
      <c r="E74" s="6">
        <f>IFERROR(__xludf.DUMMYFUNCTION("""COMPUTED_VALUE"""),3179.9)</f>
        <v>3179.9</v>
      </c>
      <c r="F74" s="6">
        <f>IFERROR(__xludf.DUMMYFUNCTION("""COMPUTED_VALUE"""),2888148.0)</f>
        <v>2888148</v>
      </c>
    </row>
    <row r="75">
      <c r="A75" s="7">
        <f>IFERROR(__xludf.DUMMYFUNCTION("""COMPUTED_VALUE"""),45716.64583333333)</f>
        <v>45716.64583</v>
      </c>
      <c r="B75" s="6">
        <f>IFERROR(__xludf.DUMMYFUNCTION("""COMPUTED_VALUE"""),3131.0)</f>
        <v>3131</v>
      </c>
      <c r="C75" s="6">
        <f>IFERROR(__xludf.DUMMYFUNCTION("""COMPUTED_VALUE"""),3228.0)</f>
        <v>3228</v>
      </c>
      <c r="D75" s="6">
        <f>IFERROR(__xludf.DUMMYFUNCTION("""COMPUTED_VALUE"""),3060.0)</f>
        <v>3060</v>
      </c>
      <c r="E75" s="6">
        <f>IFERROR(__xludf.DUMMYFUNCTION("""COMPUTED_VALUE"""),3077.25)</f>
        <v>3077.25</v>
      </c>
      <c r="F75" s="6">
        <f>IFERROR(__xludf.DUMMYFUNCTION("""COMPUTED_VALUE"""),3000154.0)</f>
        <v>3000154</v>
      </c>
    </row>
    <row r="76">
      <c r="A76" s="7">
        <f>IFERROR(__xludf.DUMMYFUNCTION("""COMPUTED_VALUE"""),45723.64583333333)</f>
        <v>45723.64583</v>
      </c>
      <c r="B76" s="6">
        <f>IFERROR(__xludf.DUMMYFUNCTION("""COMPUTED_VALUE"""),3090.0)</f>
        <v>3090</v>
      </c>
      <c r="C76" s="6">
        <f>IFERROR(__xludf.DUMMYFUNCTION("""COMPUTED_VALUE"""),3131.65)</f>
        <v>3131.65</v>
      </c>
      <c r="D76" s="6">
        <f>IFERROR(__xludf.DUMMYFUNCTION("""COMPUTED_VALUE"""),3017.0)</f>
        <v>3017</v>
      </c>
      <c r="E76" s="6">
        <f>IFERROR(__xludf.DUMMYFUNCTION("""COMPUTED_VALUE"""),3079.35)</f>
        <v>3079.35</v>
      </c>
      <c r="F76" s="6">
        <f>IFERROR(__xludf.DUMMYFUNCTION("""COMPUTED_VALUE"""),4701729.0)</f>
        <v>4701729</v>
      </c>
    </row>
    <row r="77">
      <c r="A77" s="7">
        <f>IFERROR(__xludf.DUMMYFUNCTION("""COMPUTED_VALUE"""),45729.64583333333)</f>
        <v>45729.64583</v>
      </c>
      <c r="B77" s="6">
        <f>IFERROR(__xludf.DUMMYFUNCTION("""COMPUTED_VALUE"""),3080.0)</f>
        <v>3080</v>
      </c>
      <c r="C77" s="6">
        <f>IFERROR(__xludf.DUMMYFUNCTION("""COMPUTED_VALUE"""),3083.0)</f>
        <v>3083</v>
      </c>
      <c r="D77" s="6">
        <f>IFERROR(__xludf.DUMMYFUNCTION("""COMPUTED_VALUE"""),2996.05)</f>
        <v>2996.05</v>
      </c>
      <c r="E77" s="6">
        <f>IFERROR(__xludf.DUMMYFUNCTION("""COMPUTED_VALUE"""),3010.15)</f>
        <v>3010.15</v>
      </c>
      <c r="F77" s="6">
        <f>IFERROR(__xludf.DUMMYFUNCTION("""COMPUTED_VALUE"""),2706418.0)</f>
        <v>2706418</v>
      </c>
    </row>
    <row r="78">
      <c r="A78" s="7">
        <f>IFERROR(__xludf.DUMMYFUNCTION("""COMPUTED_VALUE"""),45737.64583333333)</f>
        <v>45737.64583</v>
      </c>
      <c r="B78" s="6">
        <f>IFERROR(__xludf.DUMMYFUNCTION("""COMPUTED_VALUE"""),2985.05)</f>
        <v>2985.05</v>
      </c>
      <c r="C78" s="6">
        <f>IFERROR(__xludf.DUMMYFUNCTION("""COMPUTED_VALUE"""),3205.0)</f>
        <v>3205</v>
      </c>
      <c r="D78" s="6">
        <f>IFERROR(__xludf.DUMMYFUNCTION("""COMPUTED_VALUE"""),2985.05)</f>
        <v>2985.05</v>
      </c>
      <c r="E78" s="6">
        <f>IFERROR(__xludf.DUMMYFUNCTION("""COMPUTED_VALUE"""),3162.7)</f>
        <v>3162.7</v>
      </c>
      <c r="F78" s="6">
        <f>IFERROR(__xludf.DUMMYFUNCTION("""COMPUTED_VALUE"""),4954063.0)</f>
        <v>4954063</v>
      </c>
    </row>
    <row r="79">
      <c r="A79" s="7">
        <f>IFERROR(__xludf.DUMMYFUNCTION("""COMPUTED_VALUE"""),45744.64583333333)</f>
        <v>45744.64583</v>
      </c>
      <c r="B79" s="6">
        <f>IFERROR(__xludf.DUMMYFUNCTION("""COMPUTED_VALUE"""),3168.2)</f>
        <v>3168.2</v>
      </c>
      <c r="C79" s="6">
        <f>IFERROR(__xludf.DUMMYFUNCTION("""COMPUTED_VALUE"""),3175.95)</f>
        <v>3175.95</v>
      </c>
      <c r="D79" s="6">
        <f>IFERROR(__xludf.DUMMYFUNCTION("""COMPUTED_VALUE"""),3034.55)</f>
        <v>3034.55</v>
      </c>
      <c r="E79" s="6">
        <f>IFERROR(__xludf.DUMMYFUNCTION("""COMPUTED_VALUE"""),3063.35)</f>
        <v>3063.35</v>
      </c>
      <c r="F79" s="6">
        <f>IFERROR(__xludf.DUMMYFUNCTION("""COMPUTED_VALUE"""),6079571.0)</f>
        <v>6079571</v>
      </c>
    </row>
    <row r="80">
      <c r="A80" s="7">
        <f>IFERROR(__xludf.DUMMYFUNCTION("""COMPUTED_VALUE"""),45751.64583333333)</f>
        <v>45751.64583</v>
      </c>
      <c r="B80" s="6">
        <f>IFERROR(__xludf.DUMMYFUNCTION("""COMPUTED_VALUE"""),3053.7)</f>
        <v>3053.7</v>
      </c>
      <c r="C80" s="6">
        <f>IFERROR(__xludf.DUMMYFUNCTION("""COMPUTED_VALUE"""),3151.0)</f>
        <v>3151</v>
      </c>
      <c r="D80" s="6">
        <f>IFERROR(__xludf.DUMMYFUNCTION("""COMPUTED_VALUE"""),2971.15)</f>
        <v>2971.15</v>
      </c>
      <c r="E80" s="6">
        <f>IFERROR(__xludf.DUMMYFUNCTION("""COMPUTED_VALUE"""),3076.2)</f>
        <v>3076.2</v>
      </c>
      <c r="F80" s="6">
        <f>IFERROR(__xludf.DUMMYFUNCTION("""COMPUTED_VALUE"""),4760912.0)</f>
        <v>4760912</v>
      </c>
    </row>
    <row r="81">
      <c r="A81" s="7">
        <f>IFERROR(__xludf.DUMMYFUNCTION("""COMPUTED_VALUE"""),45758.64583333333)</f>
        <v>45758.64583</v>
      </c>
      <c r="B81" s="6">
        <f>IFERROR(__xludf.DUMMYFUNCTION("""COMPUTED_VALUE"""),2925.0)</f>
        <v>2925</v>
      </c>
      <c r="C81" s="6">
        <f>IFERROR(__xludf.DUMMYFUNCTION("""COMPUTED_VALUE"""),3242.55)</f>
        <v>3242.55</v>
      </c>
      <c r="D81" s="6">
        <f>IFERROR(__xludf.DUMMYFUNCTION("""COMPUTED_VALUE"""),2925.0)</f>
        <v>2925</v>
      </c>
      <c r="E81" s="6">
        <f>IFERROR(__xludf.DUMMYFUNCTION("""COMPUTED_VALUE"""),3234.9)</f>
        <v>3234.9</v>
      </c>
      <c r="F81" s="6">
        <f>IFERROR(__xludf.DUMMYFUNCTION("""COMPUTED_VALUE"""),6240053.0)</f>
        <v>6240053</v>
      </c>
    </row>
    <row r="82">
      <c r="A82" s="7">
        <f>IFERROR(__xludf.DUMMYFUNCTION("""COMPUTED_VALUE"""),45764.64583333333)</f>
        <v>45764.64583</v>
      </c>
      <c r="B82" s="6">
        <f>IFERROR(__xludf.DUMMYFUNCTION("""COMPUTED_VALUE"""),3270.0)</f>
        <v>3270</v>
      </c>
      <c r="C82" s="6">
        <f>IFERROR(__xludf.DUMMYFUNCTION("""COMPUTED_VALUE"""),3334.8)</f>
        <v>3334.8</v>
      </c>
      <c r="D82" s="6">
        <f>IFERROR(__xludf.DUMMYFUNCTION("""COMPUTED_VALUE"""),3211.2)</f>
        <v>3211.2</v>
      </c>
      <c r="E82" s="6">
        <f>IFERROR(__xludf.DUMMYFUNCTION("""COMPUTED_VALUE"""),3327.5)</f>
        <v>3327.5</v>
      </c>
      <c r="F82" s="6">
        <f>IFERROR(__xludf.DUMMYFUNCTION("""COMPUTED_VALUE"""),3095324.0)</f>
        <v>3095324</v>
      </c>
    </row>
    <row r="83">
      <c r="A83" s="7">
        <f>IFERROR(__xludf.DUMMYFUNCTION("""COMPUTED_VALUE"""),45772.64583333333)</f>
        <v>45772.64583</v>
      </c>
      <c r="B83" s="6">
        <f>IFERROR(__xludf.DUMMYFUNCTION("""COMPUTED_VALUE"""),3314.0)</f>
        <v>3314</v>
      </c>
      <c r="C83" s="6">
        <f>IFERROR(__xludf.DUMMYFUNCTION("""COMPUTED_VALUE"""),3419.5)</f>
        <v>3419.5</v>
      </c>
      <c r="D83" s="6">
        <f>IFERROR(__xludf.DUMMYFUNCTION("""COMPUTED_VALUE"""),3290.0)</f>
        <v>3290</v>
      </c>
      <c r="E83" s="6">
        <f>IFERROR(__xludf.DUMMYFUNCTION("""COMPUTED_VALUE"""),3365.2)</f>
        <v>3365.2</v>
      </c>
      <c r="F83" s="6">
        <f>IFERROR(__xludf.DUMMYFUNCTION("""COMPUTED_VALUE"""),3516070.0)</f>
        <v>3516070</v>
      </c>
    </row>
    <row r="84">
      <c r="A84" s="7">
        <f>IFERROR(__xludf.DUMMYFUNCTION("""COMPUTED_VALUE"""),45779.64583333333)</f>
        <v>45779.64583</v>
      </c>
      <c r="B84" s="6">
        <f>IFERROR(__xludf.DUMMYFUNCTION("""COMPUTED_VALUE"""),3356.0)</f>
        <v>3356</v>
      </c>
      <c r="C84" s="6">
        <f>IFERROR(__xludf.DUMMYFUNCTION("""COMPUTED_VALUE"""),3409.0)</f>
        <v>3409</v>
      </c>
      <c r="D84" s="6">
        <f>IFERROR(__xludf.DUMMYFUNCTION("""COMPUTED_VALUE"""),3324.0)</f>
        <v>3324</v>
      </c>
      <c r="E84" s="6">
        <f>IFERROR(__xludf.DUMMYFUNCTION("""COMPUTED_VALUE"""),3341.0)</f>
        <v>3341</v>
      </c>
      <c r="F84" s="6">
        <f>IFERROR(__xludf.DUMMYFUNCTION("""COMPUTED_VALUE"""),2182987.0)</f>
        <v>2182987</v>
      </c>
    </row>
    <row r="85">
      <c r="A85" s="7">
        <f>IFERROR(__xludf.DUMMYFUNCTION("""COMPUTED_VALUE"""),45786.64583333333)</f>
        <v>45786.64583</v>
      </c>
      <c r="B85" s="6">
        <f>IFERROR(__xludf.DUMMYFUNCTION("""COMPUTED_VALUE"""),3357.7)</f>
        <v>3357.7</v>
      </c>
      <c r="C85" s="6">
        <f>IFERROR(__xludf.DUMMYFUNCTION("""COMPUTED_VALUE"""),3530.0)</f>
        <v>3530</v>
      </c>
      <c r="D85" s="6">
        <f>IFERROR(__xludf.DUMMYFUNCTION("""COMPUTED_VALUE"""),3245.5)</f>
        <v>3245.5</v>
      </c>
      <c r="E85" s="6">
        <f>IFERROR(__xludf.DUMMYFUNCTION("""COMPUTED_VALUE"""),3510.3)</f>
        <v>3510.3</v>
      </c>
      <c r="F85" s="6">
        <f>IFERROR(__xludf.DUMMYFUNCTION("""COMPUTED_VALUE"""),6724741.0)</f>
        <v>6724741</v>
      </c>
    </row>
    <row r="86">
      <c r="A86" s="7">
        <f>IFERROR(__xludf.DUMMYFUNCTION("""COMPUTED_VALUE"""),45793.64583333333)</f>
        <v>45793.64583</v>
      </c>
      <c r="B86" s="6">
        <f>IFERROR(__xludf.DUMMYFUNCTION("""COMPUTED_VALUE"""),3537.2)</f>
        <v>3537.2</v>
      </c>
      <c r="C86" s="6">
        <f>IFERROR(__xludf.DUMMYFUNCTION("""COMPUTED_VALUE"""),3665.0)</f>
        <v>3665</v>
      </c>
      <c r="D86" s="6">
        <f>IFERROR(__xludf.DUMMYFUNCTION("""COMPUTED_VALUE"""),3530.3)</f>
        <v>3530.3</v>
      </c>
      <c r="E86" s="6">
        <f>IFERROR(__xludf.DUMMYFUNCTION("""COMPUTED_VALUE"""),3633.7)</f>
        <v>3633.7</v>
      </c>
      <c r="F86" s="6">
        <f>IFERROR(__xludf.DUMMYFUNCTION("""COMPUTED_VALUE"""),4294445.0)</f>
        <v>4294445</v>
      </c>
    </row>
    <row r="87">
      <c r="A87" s="7">
        <f>IFERROR(__xludf.DUMMYFUNCTION("""COMPUTED_VALUE"""),45800.64583333333)</f>
        <v>45800.64583</v>
      </c>
      <c r="B87" s="6">
        <f>IFERROR(__xludf.DUMMYFUNCTION("""COMPUTED_VALUE"""),3617.0)</f>
        <v>3617</v>
      </c>
      <c r="C87" s="6">
        <f>IFERROR(__xludf.DUMMYFUNCTION("""COMPUTED_VALUE"""),3649.5)</f>
        <v>3649.5</v>
      </c>
      <c r="D87" s="6">
        <f>IFERROR(__xludf.DUMMYFUNCTION("""COMPUTED_VALUE"""),3516.1)</f>
        <v>3516.1</v>
      </c>
      <c r="E87" s="6">
        <f>IFERROR(__xludf.DUMMYFUNCTION("""COMPUTED_VALUE"""),3579.7)</f>
        <v>3579.7</v>
      </c>
      <c r="F87" s="6">
        <f>IFERROR(__xludf.DUMMYFUNCTION("""COMPUTED_VALUE"""),2729755.0)</f>
        <v>2729755</v>
      </c>
    </row>
    <row r="88">
      <c r="A88" s="7">
        <f>IFERROR(__xludf.DUMMYFUNCTION("""COMPUTED_VALUE"""),45807.64583333333)</f>
        <v>45807.64583</v>
      </c>
      <c r="B88" s="6">
        <f>IFERROR(__xludf.DUMMYFUNCTION("""COMPUTED_VALUE"""),3576.0)</f>
        <v>3576</v>
      </c>
      <c r="C88" s="6">
        <f>IFERROR(__xludf.DUMMYFUNCTION("""COMPUTED_VALUE"""),3640.0)</f>
        <v>3640</v>
      </c>
      <c r="D88" s="6">
        <f>IFERROR(__xludf.DUMMYFUNCTION("""COMPUTED_VALUE"""),3542.1)</f>
        <v>3542.1</v>
      </c>
      <c r="E88" s="6">
        <f>IFERROR(__xludf.DUMMYFUNCTION("""COMPUTED_VALUE"""),3555.0)</f>
        <v>3555</v>
      </c>
      <c r="F88" s="6">
        <f>IFERROR(__xludf.DUMMYFUNCTION("""COMPUTED_VALUE"""),3470610.0)</f>
        <v>3470610</v>
      </c>
    </row>
    <row r="89">
      <c r="A89" s="7">
        <f>IFERROR(__xludf.DUMMYFUNCTION("""COMPUTED_VALUE"""),45814.64583333333)</f>
        <v>45814.64583</v>
      </c>
      <c r="B89" s="6">
        <f>IFERROR(__xludf.DUMMYFUNCTION("""COMPUTED_VALUE"""),3525.1)</f>
        <v>3525.1</v>
      </c>
      <c r="C89" s="6">
        <f>IFERROR(__xludf.DUMMYFUNCTION("""COMPUTED_VALUE"""),3580.0)</f>
        <v>3580</v>
      </c>
      <c r="D89" s="6">
        <f>IFERROR(__xludf.DUMMYFUNCTION("""COMPUTED_VALUE"""),3474.2)</f>
        <v>3474.2</v>
      </c>
      <c r="E89" s="6">
        <f>IFERROR(__xludf.DUMMYFUNCTION("""COMPUTED_VALUE"""),3559.9)</f>
        <v>3559.9</v>
      </c>
      <c r="F89" s="6">
        <f>IFERROR(__xludf.DUMMYFUNCTION("""COMPUTED_VALUE"""),3024762.0)</f>
        <v>3024762</v>
      </c>
    </row>
    <row r="90">
      <c r="A90" s="7">
        <f>IFERROR(__xludf.DUMMYFUNCTION("""COMPUTED_VALUE"""),45821.64583333333)</f>
        <v>45821.64583</v>
      </c>
      <c r="B90" s="6">
        <f>IFERROR(__xludf.DUMMYFUNCTION("""COMPUTED_VALUE"""),3564.8)</f>
        <v>3564.8</v>
      </c>
      <c r="C90" s="6">
        <f>IFERROR(__xludf.DUMMYFUNCTION("""COMPUTED_VALUE"""),3580.0)</f>
        <v>3580</v>
      </c>
      <c r="D90" s="6">
        <f>IFERROR(__xludf.DUMMYFUNCTION("""COMPUTED_VALUE"""),3383.0)</f>
        <v>3383</v>
      </c>
      <c r="E90" s="6">
        <f>IFERROR(__xludf.DUMMYFUNCTION("""COMPUTED_VALUE"""),3421.9)</f>
        <v>3421.9</v>
      </c>
      <c r="F90" s="6">
        <f>IFERROR(__xludf.DUMMYFUNCTION("""COMPUTED_VALUE"""),3240606.0)</f>
        <v>3240606</v>
      </c>
    </row>
    <row r="91">
      <c r="A91" s="7">
        <f>IFERROR(__xludf.DUMMYFUNCTION("""COMPUTED_VALUE"""),45828.64583333333)</f>
        <v>45828.64583</v>
      </c>
      <c r="B91" s="6">
        <f>IFERROR(__xludf.DUMMYFUNCTION("""COMPUTED_VALUE"""),3411.0)</f>
        <v>3411</v>
      </c>
      <c r="C91" s="6">
        <f>IFERROR(__xludf.DUMMYFUNCTION("""COMPUTED_VALUE"""),3545.0)</f>
        <v>3545</v>
      </c>
      <c r="D91" s="6">
        <f>IFERROR(__xludf.DUMMYFUNCTION("""COMPUTED_VALUE"""),3390.0)</f>
        <v>3390</v>
      </c>
      <c r="E91" s="6">
        <f>IFERROR(__xludf.DUMMYFUNCTION("""COMPUTED_VALUE"""),3519.0)</f>
        <v>3519</v>
      </c>
      <c r="F91" s="6">
        <f>IFERROR(__xludf.DUMMYFUNCTION("""COMPUTED_VALUE"""),6471529.0)</f>
        <v>6471529</v>
      </c>
    </row>
    <row r="92">
      <c r="A92" s="7">
        <f>IFERROR(__xludf.DUMMYFUNCTION("""COMPUTED_VALUE"""),45835.64583333333)</f>
        <v>45835.64583</v>
      </c>
      <c r="B92" s="6">
        <f>IFERROR(__xludf.DUMMYFUNCTION("""COMPUTED_VALUE"""),3480.2)</f>
        <v>3480.2</v>
      </c>
      <c r="C92" s="6">
        <f>IFERROR(__xludf.DUMMYFUNCTION("""COMPUTED_VALUE"""),3709.1)</f>
        <v>3709.1</v>
      </c>
      <c r="D92" s="6">
        <f>IFERROR(__xludf.DUMMYFUNCTION("""COMPUTED_VALUE"""),3473.0)</f>
        <v>3473</v>
      </c>
      <c r="E92" s="6">
        <f>IFERROR(__xludf.DUMMYFUNCTION("""COMPUTED_VALUE"""),3666.2)</f>
        <v>3666.2</v>
      </c>
      <c r="F92" s="6">
        <f>IFERROR(__xludf.DUMMYFUNCTION("""COMPUTED_VALUE"""),6531816.0)</f>
        <v>6531816</v>
      </c>
    </row>
    <row r="93">
      <c r="A93" s="7">
        <f>IFERROR(__xludf.DUMMYFUNCTION("""COMPUTED_VALUE"""),45842.64583333333)</f>
        <v>45842.64583</v>
      </c>
      <c r="B93" s="6">
        <f>IFERROR(__xludf.DUMMYFUNCTION("""COMPUTED_VALUE"""),3666.2)</f>
        <v>3666.2</v>
      </c>
      <c r="C93" s="6">
        <f>IFERROR(__xludf.DUMMYFUNCTION("""COMPUTED_VALUE"""),3726.5)</f>
        <v>3726.5</v>
      </c>
      <c r="D93" s="6">
        <f>IFERROR(__xludf.DUMMYFUNCTION("""COMPUTED_VALUE"""),3645.1)</f>
        <v>3645.1</v>
      </c>
      <c r="E93" s="6">
        <f>IFERROR(__xludf.DUMMYFUNCTION("""COMPUTED_VALUE"""),3686.9)</f>
        <v>3686.9</v>
      </c>
      <c r="F93" s="6">
        <f>IFERROR(__xludf.DUMMYFUNCTION("""COMPUTED_VALUE"""),3611098.0)</f>
        <v>3611098</v>
      </c>
    </row>
    <row r="94">
      <c r="A94" s="7">
        <f>IFERROR(__xludf.DUMMYFUNCTION("""COMPUTED_VALUE"""),45849.64583333333)</f>
        <v>45849.64583</v>
      </c>
      <c r="B94" s="6">
        <f>IFERROR(__xludf.DUMMYFUNCTION("""COMPUTED_VALUE"""),3675.5)</f>
        <v>3675.5</v>
      </c>
      <c r="C94" s="6">
        <f>IFERROR(__xludf.DUMMYFUNCTION("""COMPUTED_VALUE"""),3696.0)</f>
        <v>3696</v>
      </c>
      <c r="D94" s="6">
        <f>IFERROR(__xludf.DUMMYFUNCTION("""COMPUTED_VALUE"""),3357.0)</f>
        <v>3357</v>
      </c>
      <c r="E94" s="6">
        <f>IFERROR(__xludf.DUMMYFUNCTION("""COMPUTED_VALUE"""),3361.6)</f>
        <v>3361.6</v>
      </c>
      <c r="F94" s="6">
        <f>IFERROR(__xludf.DUMMYFUNCTION("""COMPUTED_VALUE"""),8003555.0)</f>
        <v>8003555</v>
      </c>
    </row>
    <row r="95">
      <c r="A95" s="7">
        <f>IFERROR(__xludf.DUMMYFUNCTION("""COMPUTED_VALUE"""),45856.64583333333)</f>
        <v>45856.64583</v>
      </c>
      <c r="B95" s="6">
        <f>IFERROR(__xludf.DUMMYFUNCTION("""COMPUTED_VALUE"""),3372.0)</f>
        <v>3372</v>
      </c>
      <c r="C95" s="6">
        <f>IFERROR(__xludf.DUMMYFUNCTION("""COMPUTED_VALUE"""),3448.0)</f>
        <v>3448</v>
      </c>
      <c r="D95" s="6">
        <f>IFERROR(__xludf.DUMMYFUNCTION("""COMPUTED_VALUE"""),3344.0)</f>
        <v>3344</v>
      </c>
      <c r="E95" s="6">
        <f>IFERROR(__xludf.DUMMYFUNCTION("""COMPUTED_VALUE"""),3402.9)</f>
        <v>3402.9</v>
      </c>
      <c r="F95" s="6">
        <f>IFERROR(__xludf.DUMMYFUNCTION("""COMPUTED_VALUE"""),2964243.0)</f>
        <v>2964243</v>
      </c>
    </row>
    <row r="96">
      <c r="A96" s="7">
        <f>IFERROR(__xludf.DUMMYFUNCTION("""COMPUTED_VALUE"""),45863.64583333333)</f>
        <v>45863.64583</v>
      </c>
      <c r="B96" s="6">
        <f>IFERROR(__xludf.DUMMYFUNCTION("""COMPUTED_VALUE"""),3391.0)</f>
        <v>3391</v>
      </c>
      <c r="C96" s="6">
        <f>IFERROR(__xludf.DUMMYFUNCTION("""COMPUTED_VALUE"""),3490.0)</f>
        <v>3490</v>
      </c>
      <c r="D96" s="6">
        <f>IFERROR(__xludf.DUMMYFUNCTION("""COMPUTED_VALUE"""),3365.2)</f>
        <v>3365.2</v>
      </c>
      <c r="E96" s="6">
        <f>IFERROR(__xludf.DUMMYFUNCTION("""COMPUTED_VALUE"""),3462.8)</f>
        <v>3462.8</v>
      </c>
      <c r="F96" s="6">
        <f>IFERROR(__xludf.DUMMYFUNCTION("""COMPUTED_VALUE"""),4153792.0)</f>
        <v>4153792</v>
      </c>
    </row>
    <row r="97">
      <c r="A97" s="7">
        <f>IFERROR(__xludf.DUMMYFUNCTION("""COMPUTED_VALUE"""),45870.64583333333)</f>
        <v>45870.64583</v>
      </c>
      <c r="B97" s="6">
        <f>IFERROR(__xludf.DUMMYFUNCTION("""COMPUTED_VALUE"""),3453.0)</f>
        <v>3453</v>
      </c>
      <c r="C97" s="6">
        <f>IFERROR(__xludf.DUMMYFUNCTION("""COMPUTED_VALUE"""),3462.6)</f>
        <v>3462.6</v>
      </c>
      <c r="D97" s="6">
        <f>IFERROR(__xludf.DUMMYFUNCTION("""COMPUTED_VALUE"""),3307.0)</f>
        <v>3307</v>
      </c>
      <c r="E97" s="6">
        <f>IFERROR(__xludf.DUMMYFUNCTION("""COMPUTED_VALUE"""),3316.0)</f>
        <v>3316</v>
      </c>
      <c r="F97" s="6">
        <f>IFERROR(__xludf.DUMMYFUNCTION("""COMPUTED_VALUE"""),2534827.0)</f>
        <v>2534827</v>
      </c>
    </row>
    <row r="98">
      <c r="A98" s="7">
        <f>IFERROR(__xludf.DUMMYFUNCTION("""COMPUTED_VALUE"""),45877.64583333333)</f>
        <v>45877.64583</v>
      </c>
      <c r="B98" s="6">
        <f>IFERROR(__xludf.DUMMYFUNCTION("""COMPUTED_VALUE"""),3315.0)</f>
        <v>3315</v>
      </c>
      <c r="C98" s="6">
        <f>IFERROR(__xludf.DUMMYFUNCTION("""COMPUTED_VALUE"""),3489.8)</f>
        <v>3489.8</v>
      </c>
      <c r="D98" s="6">
        <f>IFERROR(__xludf.DUMMYFUNCTION("""COMPUTED_VALUE"""),3308.1)</f>
        <v>3308.1</v>
      </c>
      <c r="E98" s="6">
        <f>IFERROR(__xludf.DUMMYFUNCTION("""COMPUTED_VALUE"""),3460.2)</f>
        <v>3460.2</v>
      </c>
      <c r="F98" s="6">
        <f>IFERROR(__xludf.DUMMYFUNCTION("""COMPUTED_VALUE"""),4617095.0)</f>
        <v>4617095</v>
      </c>
    </row>
    <row r="99">
      <c r="A99" s="7">
        <f>IFERROR(__xludf.DUMMYFUNCTION("""COMPUTED_VALUE"""),45883.64583333333)</f>
        <v>45883.64583</v>
      </c>
      <c r="B99" s="6">
        <f>IFERROR(__xludf.DUMMYFUNCTION("""COMPUTED_VALUE"""),3473.0)</f>
        <v>3473</v>
      </c>
      <c r="C99" s="6">
        <f>IFERROR(__xludf.DUMMYFUNCTION("""COMPUTED_VALUE"""),3534.0)</f>
        <v>3534</v>
      </c>
      <c r="D99" s="6">
        <f>IFERROR(__xludf.DUMMYFUNCTION("""COMPUTED_VALUE"""),3402.8)</f>
        <v>3402.8</v>
      </c>
      <c r="E99" s="6">
        <f>IFERROR(__xludf.DUMMYFUNCTION("""COMPUTED_VALUE"""),3489.4)</f>
        <v>3489.4</v>
      </c>
      <c r="F99" s="6">
        <f>IFERROR(__xludf.DUMMYFUNCTION("""COMPUTED_VALUE"""),2451323.0)</f>
        <v>2451323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IFERROR(__xludf.DUMMYFUNCTION("""COMPUTED_VALUE"""),3496.0)</f>
        <v>3496</v>
      </c>
      <c r="C100" s="6">
        <f>IFERROR(__xludf.DUMMYFUNCTION("""COMPUTED_VALUE"""),3641.4)</f>
        <v>3641.4</v>
      </c>
      <c r="D100" s="6">
        <f>IFERROR(__xludf.DUMMYFUNCTION("""COMPUTED_VALUE"""),3493.5)</f>
        <v>3493.5</v>
      </c>
      <c r="E100" s="6">
        <f>IFERROR(__xludf.DUMMYFUNCTION("""COMPUTED_VALUE"""),3621.0)</f>
        <v>3621</v>
      </c>
      <c r="F100" s="6">
        <f>IFERROR(__xludf.DUMMYFUNCTION("""COMPUTED_VALUE"""),3672791.0)</f>
        <v>3672791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IFERROR(__xludf.DUMMYFUNCTION("""COMPUTED_VALUE"""),3629.7)</f>
        <v>3629.7</v>
      </c>
      <c r="C101" s="6">
        <f>IFERROR(__xludf.DUMMYFUNCTION("""COMPUTED_VALUE"""),3672.8)</f>
        <v>3672.8</v>
      </c>
      <c r="D101" s="6">
        <f>IFERROR(__xludf.DUMMYFUNCTION("""COMPUTED_VALUE"""),3589.1)</f>
        <v>3589.1</v>
      </c>
      <c r="E101" s="6">
        <f>IFERROR(__xludf.DUMMYFUNCTION("""COMPUTED_VALUE"""),3594.0)</f>
        <v>3594</v>
      </c>
      <c r="F101" s="6">
        <f>IFERROR(__xludf.DUMMYFUNCTION("""COMPUTED_VALUE"""),1.2248989E7)</f>
        <v>12248989</v>
      </c>
    </row>
  </sheetData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IFERROR(__xludf.DUMMYFUNCTION("GOOGLEFINANCE(""NSE:TORNTPHARM"",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IFERROR(__xludf.DUMMYFUNCTION("""COMPUTED_VALUE"""),1941.1)</f>
        <v>1941.1</v>
      </c>
      <c r="C2" s="6">
        <f>IFERROR(__xludf.DUMMYFUNCTION("""COMPUTED_VALUE"""),1983.4)</f>
        <v>1983.4</v>
      </c>
      <c r="D2" s="6">
        <f>IFERROR(__xludf.DUMMYFUNCTION("""COMPUTED_VALUE"""),1772.05)</f>
        <v>1772.05</v>
      </c>
      <c r="E2" s="6">
        <f>IFERROR(__xludf.DUMMYFUNCTION("""COMPUTED_VALUE"""),1785.8)</f>
        <v>1785.8</v>
      </c>
      <c r="F2" s="6">
        <f>IFERROR(__xludf.DUMMYFUNCTION("""COMPUTED_VALUE"""),4831569.0)</f>
        <v>4831569</v>
      </c>
    </row>
    <row r="3">
      <c r="A3" s="7">
        <f>IFERROR(__xludf.DUMMYFUNCTION("""COMPUTED_VALUE"""),45177.64583333333)</f>
        <v>45177.64583</v>
      </c>
      <c r="B3" s="6">
        <f>IFERROR(__xludf.DUMMYFUNCTION("""COMPUTED_VALUE"""),1805.0)</f>
        <v>1805</v>
      </c>
      <c r="C3" s="6">
        <f>IFERROR(__xludf.DUMMYFUNCTION("""COMPUTED_VALUE"""),1938.35)</f>
        <v>1938.35</v>
      </c>
      <c r="D3" s="6">
        <f>IFERROR(__xludf.DUMMYFUNCTION("""COMPUTED_VALUE"""),1795.4)</f>
        <v>1795.4</v>
      </c>
      <c r="E3" s="6">
        <f>IFERROR(__xludf.DUMMYFUNCTION("""COMPUTED_VALUE"""),1872.75)</f>
        <v>1872.75</v>
      </c>
      <c r="F3" s="6">
        <f>IFERROR(__xludf.DUMMYFUNCTION("""COMPUTED_VALUE"""),4229213.0)</f>
        <v>4229213</v>
      </c>
    </row>
    <row r="4">
      <c r="A4" s="7">
        <f>IFERROR(__xludf.DUMMYFUNCTION("""COMPUTED_VALUE"""),45184.64583333333)</f>
        <v>45184.64583</v>
      </c>
      <c r="B4" s="6">
        <f>IFERROR(__xludf.DUMMYFUNCTION("""COMPUTED_VALUE"""),1876.25)</f>
        <v>1876.25</v>
      </c>
      <c r="C4" s="6">
        <f>IFERROR(__xludf.DUMMYFUNCTION("""COMPUTED_VALUE"""),1897.65)</f>
        <v>1897.65</v>
      </c>
      <c r="D4" s="6">
        <f>IFERROR(__xludf.DUMMYFUNCTION("""COMPUTED_VALUE"""),1837.6)</f>
        <v>1837.6</v>
      </c>
      <c r="E4" s="6">
        <f>IFERROR(__xludf.DUMMYFUNCTION("""COMPUTED_VALUE"""),1872.0)</f>
        <v>1872</v>
      </c>
      <c r="F4" s="6">
        <f>IFERROR(__xludf.DUMMYFUNCTION("""COMPUTED_VALUE"""),2524234.0)</f>
        <v>2524234</v>
      </c>
    </row>
    <row r="5">
      <c r="A5" s="7">
        <f>IFERROR(__xludf.DUMMYFUNCTION("""COMPUTED_VALUE"""),45191.64583333333)</f>
        <v>45191.64583</v>
      </c>
      <c r="B5" s="6">
        <f>IFERROR(__xludf.DUMMYFUNCTION("""COMPUTED_VALUE"""),1879.0)</f>
        <v>1879</v>
      </c>
      <c r="C5" s="6">
        <f>IFERROR(__xludf.DUMMYFUNCTION("""COMPUTED_VALUE"""),1897.35)</f>
        <v>1897.35</v>
      </c>
      <c r="D5" s="6">
        <f>IFERROR(__xludf.DUMMYFUNCTION("""COMPUTED_VALUE"""),1835.0)</f>
        <v>1835</v>
      </c>
      <c r="E5" s="6">
        <f>IFERROR(__xludf.DUMMYFUNCTION("""COMPUTED_VALUE"""),1850.4)</f>
        <v>1850.4</v>
      </c>
      <c r="F5" s="6">
        <f>IFERROR(__xludf.DUMMYFUNCTION("""COMPUTED_VALUE"""),1448842.0)</f>
        <v>1448842</v>
      </c>
    </row>
    <row r="6">
      <c r="A6" s="7">
        <f>IFERROR(__xludf.DUMMYFUNCTION("""COMPUTED_VALUE"""),45198.64583333333)</f>
        <v>45198.64583</v>
      </c>
      <c r="B6" s="6">
        <f>IFERROR(__xludf.DUMMYFUNCTION("""COMPUTED_VALUE"""),1850.0)</f>
        <v>1850</v>
      </c>
      <c r="C6" s="6">
        <f>IFERROR(__xludf.DUMMYFUNCTION("""COMPUTED_VALUE"""),1945.0)</f>
        <v>1945</v>
      </c>
      <c r="D6" s="6">
        <f>IFERROR(__xludf.DUMMYFUNCTION("""COMPUTED_VALUE"""),1821.45)</f>
        <v>1821.45</v>
      </c>
      <c r="E6" s="6">
        <f>IFERROR(__xludf.DUMMYFUNCTION("""COMPUTED_VALUE"""),1929.1)</f>
        <v>1929.1</v>
      </c>
      <c r="F6" s="6">
        <f>IFERROR(__xludf.DUMMYFUNCTION("""COMPUTED_VALUE"""),2112852.0)</f>
        <v>2112852</v>
      </c>
    </row>
    <row r="7">
      <c r="A7" s="7">
        <f>IFERROR(__xludf.DUMMYFUNCTION("""COMPUTED_VALUE"""),45205.64583333333)</f>
        <v>45205.64583</v>
      </c>
      <c r="B7" s="6">
        <f>IFERROR(__xludf.DUMMYFUNCTION("""COMPUTED_VALUE"""),1927.0)</f>
        <v>1927</v>
      </c>
      <c r="C7" s="6">
        <f>IFERROR(__xludf.DUMMYFUNCTION("""COMPUTED_VALUE"""),1949.0)</f>
        <v>1949</v>
      </c>
      <c r="D7" s="6">
        <f>IFERROR(__xludf.DUMMYFUNCTION("""COMPUTED_VALUE"""),1842.0)</f>
        <v>1842</v>
      </c>
      <c r="E7" s="6">
        <f>IFERROR(__xludf.DUMMYFUNCTION("""COMPUTED_VALUE"""),1894.05)</f>
        <v>1894.05</v>
      </c>
      <c r="F7" s="6">
        <f>IFERROR(__xludf.DUMMYFUNCTION("""COMPUTED_VALUE"""),1571879.0)</f>
        <v>1571879</v>
      </c>
    </row>
    <row r="8">
      <c r="A8" s="7">
        <f>IFERROR(__xludf.DUMMYFUNCTION("""COMPUTED_VALUE"""),45212.64583333333)</f>
        <v>45212.64583</v>
      </c>
      <c r="B8" s="6">
        <f>IFERROR(__xludf.DUMMYFUNCTION("""COMPUTED_VALUE"""),1880.0)</f>
        <v>1880</v>
      </c>
      <c r="C8" s="6">
        <f>IFERROR(__xludf.DUMMYFUNCTION("""COMPUTED_VALUE"""),1914.75)</f>
        <v>1914.75</v>
      </c>
      <c r="D8" s="6">
        <f>IFERROR(__xludf.DUMMYFUNCTION("""COMPUTED_VALUE"""),1865.0)</f>
        <v>1865</v>
      </c>
      <c r="E8" s="6">
        <f>IFERROR(__xludf.DUMMYFUNCTION("""COMPUTED_VALUE"""),1895.6)</f>
        <v>1895.6</v>
      </c>
      <c r="F8" s="6">
        <f>IFERROR(__xludf.DUMMYFUNCTION("""COMPUTED_VALUE"""),964969.0)</f>
        <v>964969</v>
      </c>
    </row>
    <row r="9">
      <c r="A9" s="7">
        <f>IFERROR(__xludf.DUMMYFUNCTION("""COMPUTED_VALUE"""),45219.64583333333)</f>
        <v>45219.64583</v>
      </c>
      <c r="B9" s="6">
        <f>IFERROR(__xludf.DUMMYFUNCTION("""COMPUTED_VALUE"""),1895.6)</f>
        <v>1895.6</v>
      </c>
      <c r="C9" s="6">
        <f>IFERROR(__xludf.DUMMYFUNCTION("""COMPUTED_VALUE"""),1939.9)</f>
        <v>1939.9</v>
      </c>
      <c r="D9" s="6">
        <f>IFERROR(__xludf.DUMMYFUNCTION("""COMPUTED_VALUE"""),1882.05)</f>
        <v>1882.05</v>
      </c>
      <c r="E9" s="6">
        <f>IFERROR(__xludf.DUMMYFUNCTION("""COMPUTED_VALUE"""),1891.6)</f>
        <v>1891.6</v>
      </c>
      <c r="F9" s="6">
        <f>IFERROR(__xludf.DUMMYFUNCTION("""COMPUTED_VALUE"""),1617582.0)</f>
        <v>1617582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IFERROR(__xludf.DUMMYFUNCTION("""COMPUTED_VALUE"""),1898.3)</f>
        <v>1898.3</v>
      </c>
      <c r="C10" s="6">
        <f>IFERROR(__xludf.DUMMYFUNCTION("""COMPUTED_VALUE"""),1954.05)</f>
        <v>1954.05</v>
      </c>
      <c r="D10" s="6">
        <f>IFERROR(__xludf.DUMMYFUNCTION("""COMPUTED_VALUE"""),1822.55)</f>
        <v>1822.55</v>
      </c>
      <c r="E10" s="6">
        <f>IFERROR(__xludf.DUMMYFUNCTION("""COMPUTED_VALUE"""),1920.65)</f>
        <v>1920.65</v>
      </c>
      <c r="F10" s="6">
        <f>IFERROR(__xludf.DUMMYFUNCTION("""COMPUTED_VALUE"""),3034846.0)</f>
        <v>3034846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IFERROR(__xludf.DUMMYFUNCTION("""COMPUTED_VALUE"""),1930.05)</f>
        <v>1930.05</v>
      </c>
      <c r="C11" s="6">
        <f>IFERROR(__xludf.DUMMYFUNCTION("""COMPUTED_VALUE"""),1967.9)</f>
        <v>1967.9</v>
      </c>
      <c r="D11" s="6">
        <f>IFERROR(__xludf.DUMMYFUNCTION("""COMPUTED_VALUE"""),1913.35)</f>
        <v>1913.35</v>
      </c>
      <c r="E11" s="6">
        <f>IFERROR(__xludf.DUMMYFUNCTION("""COMPUTED_VALUE"""),1960.4)</f>
        <v>1960.4</v>
      </c>
      <c r="F11" s="6">
        <f>IFERROR(__xludf.DUMMYFUNCTION("""COMPUTED_VALUE"""),1343983.0)</f>
        <v>1343983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IFERROR(__xludf.DUMMYFUNCTION("""COMPUTED_VALUE"""),1978.4)</f>
        <v>1978.4</v>
      </c>
      <c r="C12" s="6">
        <f>IFERROR(__xludf.DUMMYFUNCTION("""COMPUTED_VALUE"""),2068.9)</f>
        <v>2068.9</v>
      </c>
      <c r="D12" s="6">
        <f>IFERROR(__xludf.DUMMYFUNCTION("""COMPUTED_VALUE"""),1954.55)</f>
        <v>1954.55</v>
      </c>
      <c r="E12" s="6">
        <f>IFERROR(__xludf.DUMMYFUNCTION("""COMPUTED_VALUE"""),2058.2)</f>
        <v>2058.2</v>
      </c>
      <c r="F12" s="6">
        <f>IFERROR(__xludf.DUMMYFUNCTION("""COMPUTED_VALUE"""),1471502.0)</f>
        <v>1471502</v>
      </c>
    </row>
    <row r="13">
      <c r="A13" s="7">
        <f>IFERROR(__xludf.DUMMYFUNCTION("""COMPUTED_VALUE"""),45247.64583333333)</f>
        <v>45247.64583</v>
      </c>
      <c r="B13" s="6">
        <f>IFERROR(__xludf.DUMMYFUNCTION("""COMPUTED_VALUE"""),2066.2)</f>
        <v>2066.2</v>
      </c>
      <c r="C13" s="6">
        <f>IFERROR(__xludf.DUMMYFUNCTION("""COMPUTED_VALUE"""),2088.0)</f>
        <v>2088</v>
      </c>
      <c r="D13" s="6">
        <f>IFERROR(__xludf.DUMMYFUNCTION("""COMPUTED_VALUE"""),2024.65)</f>
        <v>2024.65</v>
      </c>
      <c r="E13" s="6">
        <f>IFERROR(__xludf.DUMMYFUNCTION("""COMPUTED_VALUE"""),2082.35)</f>
        <v>2082.35</v>
      </c>
      <c r="F13" s="6">
        <f>IFERROR(__xludf.DUMMYFUNCTION("""COMPUTED_VALUE"""),874956.0)</f>
        <v>874956</v>
      </c>
    </row>
    <row r="14">
      <c r="A14" s="7">
        <f>IFERROR(__xludf.DUMMYFUNCTION("""COMPUTED_VALUE"""),45254.64583333333)</f>
        <v>45254.64583</v>
      </c>
      <c r="B14" s="6">
        <f>IFERROR(__xludf.DUMMYFUNCTION("""COMPUTED_VALUE"""),2082.35)</f>
        <v>2082.35</v>
      </c>
      <c r="C14" s="6">
        <f>IFERROR(__xludf.DUMMYFUNCTION("""COMPUTED_VALUE"""),2145.0)</f>
        <v>2145</v>
      </c>
      <c r="D14" s="6">
        <f>IFERROR(__xludf.DUMMYFUNCTION("""COMPUTED_VALUE"""),2081.8)</f>
        <v>2081.8</v>
      </c>
      <c r="E14" s="6">
        <f>IFERROR(__xludf.DUMMYFUNCTION("""COMPUTED_VALUE"""),2090.8)</f>
        <v>2090.8</v>
      </c>
      <c r="F14" s="6">
        <f>IFERROR(__xludf.DUMMYFUNCTION("""COMPUTED_VALUE"""),1118060.0)</f>
        <v>1118060</v>
      </c>
    </row>
    <row r="15">
      <c r="A15" s="7">
        <f>IFERROR(__xludf.DUMMYFUNCTION("""COMPUTED_VALUE"""),45261.64583333333)</f>
        <v>45261.64583</v>
      </c>
      <c r="B15" s="6">
        <f>IFERROR(__xludf.DUMMYFUNCTION("""COMPUTED_VALUE"""),2099.8)</f>
        <v>2099.8</v>
      </c>
      <c r="C15" s="6">
        <f>IFERROR(__xludf.DUMMYFUNCTION("""COMPUTED_VALUE"""),2157.45)</f>
        <v>2157.45</v>
      </c>
      <c r="D15" s="6">
        <f>IFERROR(__xludf.DUMMYFUNCTION("""COMPUTED_VALUE"""),2072.25)</f>
        <v>2072.25</v>
      </c>
      <c r="E15" s="6">
        <f>IFERROR(__xludf.DUMMYFUNCTION("""COMPUTED_VALUE"""),2151.25)</f>
        <v>2151.25</v>
      </c>
      <c r="F15" s="6">
        <f>IFERROR(__xludf.DUMMYFUNCTION("""COMPUTED_VALUE"""),1353997.0)</f>
        <v>1353997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IFERROR(__xludf.DUMMYFUNCTION("""COMPUTED_VALUE"""),2170.0)</f>
        <v>2170</v>
      </c>
      <c r="C16" s="6">
        <f>IFERROR(__xludf.DUMMYFUNCTION("""COMPUTED_VALUE"""),2172.55)</f>
        <v>2172.55</v>
      </c>
      <c r="D16" s="6">
        <f>IFERROR(__xludf.DUMMYFUNCTION("""COMPUTED_VALUE"""),2044.15)</f>
        <v>2044.15</v>
      </c>
      <c r="E16" s="6">
        <f>IFERROR(__xludf.DUMMYFUNCTION("""COMPUTED_VALUE"""),2053.45)</f>
        <v>2053.45</v>
      </c>
      <c r="F16" s="6">
        <f>IFERROR(__xludf.DUMMYFUNCTION("""COMPUTED_VALUE"""),1498982.0)</f>
        <v>1498982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IFERROR(__xludf.DUMMYFUNCTION("""COMPUTED_VALUE"""),2058.8)</f>
        <v>2058.8</v>
      </c>
      <c r="C17" s="6">
        <f>IFERROR(__xludf.DUMMYFUNCTION("""COMPUTED_VALUE"""),2110.0)</f>
        <v>2110</v>
      </c>
      <c r="D17" s="6">
        <f>IFERROR(__xludf.DUMMYFUNCTION("""COMPUTED_VALUE"""),2025.7)</f>
        <v>2025.7</v>
      </c>
      <c r="E17" s="6">
        <f>IFERROR(__xludf.DUMMYFUNCTION("""COMPUTED_VALUE"""),2093.35)</f>
        <v>2093.35</v>
      </c>
      <c r="F17" s="6">
        <f>IFERROR(__xludf.DUMMYFUNCTION("""COMPUTED_VALUE"""),1534850.0)</f>
        <v>1534850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IFERROR(__xludf.DUMMYFUNCTION("""COMPUTED_VALUE"""),2096.05)</f>
        <v>2096.05</v>
      </c>
      <c r="C18" s="6">
        <f>IFERROR(__xludf.DUMMYFUNCTION("""COMPUTED_VALUE"""),2235.6)</f>
        <v>2235.6</v>
      </c>
      <c r="D18" s="6">
        <f>IFERROR(__xludf.DUMMYFUNCTION("""COMPUTED_VALUE"""),2095.2)</f>
        <v>2095.2</v>
      </c>
      <c r="E18" s="6">
        <f>IFERROR(__xludf.DUMMYFUNCTION("""COMPUTED_VALUE"""),2222.5)</f>
        <v>2222.5</v>
      </c>
      <c r="F18" s="6">
        <f>IFERROR(__xludf.DUMMYFUNCTION("""COMPUTED_VALUE"""),1824945.0)</f>
        <v>1824945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IFERROR(__xludf.DUMMYFUNCTION("""COMPUTED_VALUE"""),2223.9)</f>
        <v>2223.9</v>
      </c>
      <c r="C19" s="6">
        <f>IFERROR(__xludf.DUMMYFUNCTION("""COMPUTED_VALUE"""),2310.15)</f>
        <v>2310.15</v>
      </c>
      <c r="D19" s="6">
        <f>IFERROR(__xludf.DUMMYFUNCTION("""COMPUTED_VALUE"""),2223.0)</f>
        <v>2223</v>
      </c>
      <c r="E19" s="6">
        <f>IFERROR(__xludf.DUMMYFUNCTION("""COMPUTED_VALUE"""),2305.55)</f>
        <v>2305.55</v>
      </c>
      <c r="F19" s="6">
        <f>IFERROR(__xludf.DUMMYFUNCTION("""COMPUTED_VALUE"""),1266020.0)</f>
        <v>1266020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IFERROR(__xludf.DUMMYFUNCTION("""COMPUTED_VALUE"""),2325.0)</f>
        <v>2325</v>
      </c>
      <c r="C20" s="6">
        <f>IFERROR(__xludf.DUMMYFUNCTION("""COMPUTED_VALUE"""),2385.9)</f>
        <v>2385.9</v>
      </c>
      <c r="D20" s="6">
        <f>IFERROR(__xludf.DUMMYFUNCTION("""COMPUTED_VALUE"""),2288.7)</f>
        <v>2288.7</v>
      </c>
      <c r="E20" s="6">
        <f>IFERROR(__xludf.DUMMYFUNCTION("""COMPUTED_VALUE"""),2350.1)</f>
        <v>2350.1</v>
      </c>
      <c r="F20" s="6">
        <f>IFERROR(__xludf.DUMMYFUNCTION("""COMPUTED_VALUE"""),1289816.0)</f>
        <v>1289816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IFERROR(__xludf.DUMMYFUNCTION("""COMPUTED_VALUE"""),2375.35)</f>
        <v>2375.35</v>
      </c>
      <c r="C21" s="6">
        <f>IFERROR(__xludf.DUMMYFUNCTION("""COMPUTED_VALUE"""),2476.5)</f>
        <v>2476.5</v>
      </c>
      <c r="D21" s="6">
        <f>IFERROR(__xludf.DUMMYFUNCTION("""COMPUTED_VALUE"""),2312.0)</f>
        <v>2312</v>
      </c>
      <c r="E21" s="6">
        <f>IFERROR(__xludf.DUMMYFUNCTION("""COMPUTED_VALUE"""),2468.75)</f>
        <v>2468.75</v>
      </c>
      <c r="F21" s="6">
        <f>IFERROR(__xludf.DUMMYFUNCTION("""COMPUTED_VALUE"""),1566750.0)</f>
        <v>1566750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IFERROR(__xludf.DUMMYFUNCTION("""COMPUTED_VALUE"""),2540.0)</f>
        <v>2540</v>
      </c>
      <c r="C22" s="6">
        <f>IFERROR(__xludf.DUMMYFUNCTION("""COMPUTED_VALUE"""),2551.8)</f>
        <v>2551.8</v>
      </c>
      <c r="D22" s="6">
        <f>IFERROR(__xludf.DUMMYFUNCTION("""COMPUTED_VALUE"""),2458.55)</f>
        <v>2458.55</v>
      </c>
      <c r="E22" s="6">
        <f>IFERROR(__xludf.DUMMYFUNCTION("""COMPUTED_VALUE"""),2473.4)</f>
        <v>2473.4</v>
      </c>
      <c r="F22" s="6">
        <f>IFERROR(__xludf.DUMMYFUNCTION("""COMPUTED_VALUE"""),763833.0)</f>
        <v>763833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IFERROR(__xludf.DUMMYFUNCTION("""COMPUTED_VALUE"""),2473.4)</f>
        <v>2473.4</v>
      </c>
      <c r="C23" s="6">
        <f>IFERROR(__xludf.DUMMYFUNCTION("""COMPUTED_VALUE"""),2576.0)</f>
        <v>2576</v>
      </c>
      <c r="D23" s="6">
        <f>IFERROR(__xludf.DUMMYFUNCTION("""COMPUTED_VALUE"""),2414.0)</f>
        <v>2414</v>
      </c>
      <c r="E23" s="6">
        <f>IFERROR(__xludf.DUMMYFUNCTION("""COMPUTED_VALUE"""),2525.65)</f>
        <v>2525.65</v>
      </c>
      <c r="F23" s="6">
        <f>IFERROR(__xludf.DUMMYFUNCTION("""COMPUTED_VALUE"""),1203575.0)</f>
        <v>1203575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IFERROR(__xludf.DUMMYFUNCTION("""COMPUTED_VALUE"""),2580.0)</f>
        <v>2580</v>
      </c>
      <c r="C24" s="6">
        <f>IFERROR(__xludf.DUMMYFUNCTION("""COMPUTED_VALUE"""),2700.0)</f>
        <v>2700</v>
      </c>
      <c r="D24" s="6">
        <f>IFERROR(__xludf.DUMMYFUNCTION("""COMPUTED_VALUE"""),2540.05)</f>
        <v>2540.05</v>
      </c>
      <c r="E24" s="6">
        <f>IFERROR(__xludf.DUMMYFUNCTION("""COMPUTED_VALUE"""),2657.35)</f>
        <v>2657.35</v>
      </c>
      <c r="F24" s="6">
        <f>IFERROR(__xludf.DUMMYFUNCTION("""COMPUTED_VALUE"""),1462985.0)</f>
        <v>1462985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IFERROR(__xludf.DUMMYFUNCTION("""COMPUTED_VALUE"""),2650.95)</f>
        <v>2650.95</v>
      </c>
      <c r="C25" s="6">
        <f>IFERROR(__xludf.DUMMYFUNCTION("""COMPUTED_VALUE"""),2655.8)</f>
        <v>2655.8</v>
      </c>
      <c r="D25" s="6">
        <f>IFERROR(__xludf.DUMMYFUNCTION("""COMPUTED_VALUE"""),2566.45)</f>
        <v>2566.45</v>
      </c>
      <c r="E25" s="6">
        <f>IFERROR(__xludf.DUMMYFUNCTION("""COMPUTED_VALUE"""),2639.45)</f>
        <v>2639.45</v>
      </c>
      <c r="F25" s="6">
        <f>IFERROR(__xludf.DUMMYFUNCTION("""COMPUTED_VALUE"""),702779.0)</f>
        <v>702779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IFERROR(__xludf.DUMMYFUNCTION("""COMPUTED_VALUE"""),2639.45)</f>
        <v>2639.45</v>
      </c>
      <c r="C26" s="6">
        <f>IFERROR(__xludf.DUMMYFUNCTION("""COMPUTED_VALUE"""),2668.25)</f>
        <v>2668.25</v>
      </c>
      <c r="D26" s="6">
        <f>IFERROR(__xludf.DUMMYFUNCTION("""COMPUTED_VALUE"""),2576.1)</f>
        <v>2576.1</v>
      </c>
      <c r="E26" s="6">
        <f>IFERROR(__xludf.DUMMYFUNCTION("""COMPUTED_VALUE"""),2626.95)</f>
        <v>2626.95</v>
      </c>
      <c r="F26" s="6">
        <f>IFERROR(__xludf.DUMMYFUNCTION("""COMPUTED_VALUE"""),1026549.0)</f>
        <v>1026549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IFERROR(__xludf.DUMMYFUNCTION("""COMPUTED_VALUE"""),2699.55)</f>
        <v>2699.55</v>
      </c>
      <c r="C27" s="6">
        <f>IFERROR(__xludf.DUMMYFUNCTION("""COMPUTED_VALUE"""),2742.6)</f>
        <v>2742.6</v>
      </c>
      <c r="D27" s="6">
        <f>IFERROR(__xludf.DUMMYFUNCTION("""COMPUTED_VALUE"""),2642.4)</f>
        <v>2642.4</v>
      </c>
      <c r="E27" s="6">
        <f>IFERROR(__xludf.DUMMYFUNCTION("""COMPUTED_VALUE"""),2664.8)</f>
        <v>2664.8</v>
      </c>
      <c r="F27" s="6">
        <f>IFERROR(__xludf.DUMMYFUNCTION("""COMPUTED_VALUE"""),1392150.0)</f>
        <v>1392150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IFERROR(__xludf.DUMMYFUNCTION("""COMPUTED_VALUE"""),2691.35)</f>
        <v>2691.35</v>
      </c>
      <c r="C28" s="6">
        <f>IFERROR(__xludf.DUMMYFUNCTION("""COMPUTED_VALUE"""),2744.0)</f>
        <v>2744</v>
      </c>
      <c r="D28" s="6">
        <f>IFERROR(__xludf.DUMMYFUNCTION("""COMPUTED_VALUE"""),2577.0)</f>
        <v>2577</v>
      </c>
      <c r="E28" s="6">
        <f>IFERROR(__xludf.DUMMYFUNCTION("""COMPUTED_VALUE"""),2594.45)</f>
        <v>2594.45</v>
      </c>
      <c r="F28" s="6">
        <f>IFERROR(__xludf.DUMMYFUNCTION("""COMPUTED_VALUE"""),1985002.0)</f>
        <v>1985002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IFERROR(__xludf.DUMMYFUNCTION("""COMPUTED_VALUE"""),2602.0)</f>
        <v>2602</v>
      </c>
      <c r="C29" s="6">
        <f>IFERROR(__xludf.DUMMYFUNCTION("""COMPUTED_VALUE"""),2602.0)</f>
        <v>2602</v>
      </c>
      <c r="D29" s="6">
        <f>IFERROR(__xludf.DUMMYFUNCTION("""COMPUTED_VALUE"""),2487.8)</f>
        <v>2487.8</v>
      </c>
      <c r="E29" s="6">
        <f>IFERROR(__xludf.DUMMYFUNCTION("""COMPUTED_VALUE"""),2559.8)</f>
        <v>2559.8</v>
      </c>
      <c r="F29" s="6">
        <f>IFERROR(__xludf.DUMMYFUNCTION("""COMPUTED_VALUE"""),1304823.0)</f>
        <v>1304823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IFERROR(__xludf.DUMMYFUNCTION("""COMPUTED_VALUE"""),2560.25)</f>
        <v>2560.25</v>
      </c>
      <c r="C30" s="6">
        <f>IFERROR(__xludf.DUMMYFUNCTION("""COMPUTED_VALUE"""),2625.0)</f>
        <v>2625</v>
      </c>
      <c r="D30" s="6">
        <f>IFERROR(__xludf.DUMMYFUNCTION("""COMPUTED_VALUE"""),2515.05)</f>
        <v>2515.05</v>
      </c>
      <c r="E30" s="6">
        <f>IFERROR(__xludf.DUMMYFUNCTION("""COMPUTED_VALUE"""),2600.6)</f>
        <v>2600.6</v>
      </c>
      <c r="F30" s="6">
        <f>IFERROR(__xludf.DUMMYFUNCTION("""COMPUTED_VALUE"""),927930.0)</f>
        <v>927930</v>
      </c>
    </row>
    <row r="31">
      <c r="A31" s="7">
        <f>IFERROR(__xludf.DUMMYFUNCTION("""COMPUTED_VALUE"""),45387.64583333333)</f>
        <v>45387.64583</v>
      </c>
      <c r="B31" s="6">
        <f>IFERROR(__xludf.DUMMYFUNCTION("""COMPUTED_VALUE"""),2608.7)</f>
        <v>2608.7</v>
      </c>
      <c r="C31" s="6">
        <f>IFERROR(__xludf.DUMMYFUNCTION("""COMPUTED_VALUE"""),2689.7)</f>
        <v>2689.7</v>
      </c>
      <c r="D31" s="6">
        <f>IFERROR(__xludf.DUMMYFUNCTION("""COMPUTED_VALUE"""),2525.45)</f>
        <v>2525.45</v>
      </c>
      <c r="E31" s="6">
        <f>IFERROR(__xludf.DUMMYFUNCTION("""COMPUTED_VALUE"""),2577.1)</f>
        <v>2577.1</v>
      </c>
      <c r="F31" s="6">
        <f>IFERROR(__xludf.DUMMYFUNCTION("""COMPUTED_VALUE"""),1426149.0)</f>
        <v>1426149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IFERROR(__xludf.DUMMYFUNCTION("""COMPUTED_VALUE"""),2595.05)</f>
        <v>2595.05</v>
      </c>
      <c r="C32" s="6">
        <f>IFERROR(__xludf.DUMMYFUNCTION("""COMPUTED_VALUE"""),2626.9)</f>
        <v>2626.9</v>
      </c>
      <c r="D32" s="6">
        <f>IFERROR(__xludf.DUMMYFUNCTION("""COMPUTED_VALUE"""),2534.5)</f>
        <v>2534.5</v>
      </c>
      <c r="E32" s="6">
        <f>IFERROR(__xludf.DUMMYFUNCTION("""COMPUTED_VALUE"""),2577.7)</f>
        <v>2577.7</v>
      </c>
      <c r="F32" s="6">
        <f>IFERROR(__xludf.DUMMYFUNCTION("""COMPUTED_VALUE"""),776821.0)</f>
        <v>776821</v>
      </c>
    </row>
    <row r="33">
      <c r="A33" s="7">
        <f>IFERROR(__xludf.DUMMYFUNCTION("""COMPUTED_VALUE"""),45401.64583333333)</f>
        <v>45401.64583</v>
      </c>
      <c r="B33" s="6">
        <f>IFERROR(__xludf.DUMMYFUNCTION("""COMPUTED_VALUE"""),2530.5)</f>
        <v>2530.5</v>
      </c>
      <c r="C33" s="6">
        <f>IFERROR(__xludf.DUMMYFUNCTION("""COMPUTED_VALUE"""),2585.5)</f>
        <v>2585.5</v>
      </c>
      <c r="D33" s="6">
        <f>IFERROR(__xludf.DUMMYFUNCTION("""COMPUTED_VALUE"""),2505.3)</f>
        <v>2505.3</v>
      </c>
      <c r="E33" s="6">
        <f>IFERROR(__xludf.DUMMYFUNCTION("""COMPUTED_VALUE"""),2539.4)</f>
        <v>2539.4</v>
      </c>
      <c r="F33" s="6">
        <f>IFERROR(__xludf.DUMMYFUNCTION("""COMPUTED_VALUE"""),873006.0)</f>
        <v>873006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IFERROR(__xludf.DUMMYFUNCTION("""COMPUTED_VALUE"""),2562.1)</f>
        <v>2562.1</v>
      </c>
      <c r="C34" s="6">
        <f>IFERROR(__xludf.DUMMYFUNCTION("""COMPUTED_VALUE"""),2729.2)</f>
        <v>2729.2</v>
      </c>
      <c r="D34" s="6">
        <f>IFERROR(__xludf.DUMMYFUNCTION("""COMPUTED_VALUE"""),2544.45)</f>
        <v>2544.45</v>
      </c>
      <c r="E34" s="6">
        <f>IFERROR(__xludf.DUMMYFUNCTION("""COMPUTED_VALUE"""),2691.0)</f>
        <v>2691</v>
      </c>
      <c r="F34" s="6">
        <f>IFERROR(__xludf.DUMMYFUNCTION("""COMPUTED_VALUE"""),1102681.0)</f>
        <v>1102681</v>
      </c>
    </row>
    <row r="35">
      <c r="A35" s="7">
        <f>IFERROR(__xludf.DUMMYFUNCTION("""COMPUTED_VALUE"""),45415.64583333333)</f>
        <v>45415.64583</v>
      </c>
      <c r="B35" s="6">
        <f>IFERROR(__xludf.DUMMYFUNCTION("""COMPUTED_VALUE"""),2696.8)</f>
        <v>2696.8</v>
      </c>
      <c r="C35" s="6">
        <f>IFERROR(__xludf.DUMMYFUNCTION("""COMPUTED_VALUE"""),2782.85)</f>
        <v>2782.85</v>
      </c>
      <c r="D35" s="6">
        <f>IFERROR(__xludf.DUMMYFUNCTION("""COMPUTED_VALUE"""),2635.8)</f>
        <v>2635.8</v>
      </c>
      <c r="E35" s="6">
        <f>IFERROR(__xludf.DUMMYFUNCTION("""COMPUTED_VALUE"""),2734.7)</f>
        <v>2734.7</v>
      </c>
      <c r="F35" s="6">
        <f>IFERROR(__xludf.DUMMYFUNCTION("""COMPUTED_VALUE"""),1463347.0)</f>
        <v>1463347</v>
      </c>
    </row>
    <row r="36">
      <c r="A36" s="7">
        <f>IFERROR(__xludf.DUMMYFUNCTION("""COMPUTED_VALUE"""),45422.64583333333)</f>
        <v>45422.64583</v>
      </c>
      <c r="B36" s="6">
        <f>IFERROR(__xludf.DUMMYFUNCTION("""COMPUTED_VALUE"""),2750.0)</f>
        <v>2750</v>
      </c>
      <c r="C36" s="6">
        <f>IFERROR(__xludf.DUMMYFUNCTION("""COMPUTED_VALUE"""),2761.9)</f>
        <v>2761.9</v>
      </c>
      <c r="D36" s="6">
        <f>IFERROR(__xludf.DUMMYFUNCTION("""COMPUTED_VALUE"""),2519.95)</f>
        <v>2519.95</v>
      </c>
      <c r="E36" s="6">
        <f>IFERROR(__xludf.DUMMYFUNCTION("""COMPUTED_VALUE"""),2599.9)</f>
        <v>2599.9</v>
      </c>
      <c r="F36" s="6">
        <f>IFERROR(__xludf.DUMMYFUNCTION("""COMPUTED_VALUE"""),994226.0)</f>
        <v>994226</v>
      </c>
    </row>
    <row r="37">
      <c r="A37" s="7">
        <f>IFERROR(__xludf.DUMMYFUNCTION("""COMPUTED_VALUE"""),45436.64583333333)</f>
        <v>45436.64583</v>
      </c>
      <c r="B37" s="6">
        <f>IFERROR(__xludf.DUMMYFUNCTION("""COMPUTED_VALUE"""),2680.6)</f>
        <v>2680.6</v>
      </c>
      <c r="C37" s="6">
        <f>IFERROR(__xludf.DUMMYFUNCTION("""COMPUTED_VALUE"""),2706.95)</f>
        <v>2706.95</v>
      </c>
      <c r="D37" s="6">
        <f>IFERROR(__xludf.DUMMYFUNCTION("""COMPUTED_VALUE"""),2600.0)</f>
        <v>2600</v>
      </c>
      <c r="E37" s="6">
        <f>IFERROR(__xludf.DUMMYFUNCTION("""COMPUTED_VALUE"""),2612.55)</f>
        <v>2612.55</v>
      </c>
      <c r="F37" s="6">
        <f>IFERROR(__xludf.DUMMYFUNCTION("""COMPUTED_VALUE"""),565826.0)</f>
        <v>565826</v>
      </c>
    </row>
    <row r="38">
      <c r="A38" s="7">
        <f>IFERROR(__xludf.DUMMYFUNCTION("""COMPUTED_VALUE"""),45443.64583333333)</f>
        <v>45443.64583</v>
      </c>
      <c r="B38" s="6">
        <f>IFERROR(__xludf.DUMMYFUNCTION("""COMPUTED_VALUE"""),2795.0)</f>
        <v>2795</v>
      </c>
      <c r="C38" s="6">
        <f>IFERROR(__xludf.DUMMYFUNCTION("""COMPUTED_VALUE"""),2795.0)</f>
        <v>2795</v>
      </c>
      <c r="D38" s="6">
        <f>IFERROR(__xludf.DUMMYFUNCTION("""COMPUTED_VALUE"""),2634.6)</f>
        <v>2634.6</v>
      </c>
      <c r="E38" s="6">
        <f>IFERROR(__xludf.DUMMYFUNCTION("""COMPUTED_VALUE"""),2696.05)</f>
        <v>2696.05</v>
      </c>
      <c r="F38" s="6">
        <f>IFERROR(__xludf.DUMMYFUNCTION("""COMPUTED_VALUE"""),2935053.0)</f>
        <v>2935053</v>
      </c>
    </row>
    <row r="39">
      <c r="A39" s="7">
        <f>IFERROR(__xludf.DUMMYFUNCTION("""COMPUTED_VALUE"""),45450.64583333333)</f>
        <v>45450.64583</v>
      </c>
      <c r="B39" s="6">
        <f>IFERROR(__xludf.DUMMYFUNCTION("""COMPUTED_VALUE"""),2712.0)</f>
        <v>2712</v>
      </c>
      <c r="C39" s="6">
        <f>IFERROR(__xludf.DUMMYFUNCTION("""COMPUTED_VALUE"""),2866.75)</f>
        <v>2866.75</v>
      </c>
      <c r="D39" s="6">
        <f>IFERROR(__xludf.DUMMYFUNCTION("""COMPUTED_VALUE"""),2570.45)</f>
        <v>2570.45</v>
      </c>
      <c r="E39" s="6">
        <f>IFERROR(__xludf.DUMMYFUNCTION("""COMPUTED_VALUE"""),2844.95)</f>
        <v>2844.95</v>
      </c>
      <c r="F39" s="6">
        <f>IFERROR(__xludf.DUMMYFUNCTION("""COMPUTED_VALUE"""),1431046.0)</f>
        <v>1431046</v>
      </c>
    </row>
    <row r="40">
      <c r="A40" s="7">
        <f>IFERROR(__xludf.DUMMYFUNCTION("""COMPUTED_VALUE"""),45457.64583333333)</f>
        <v>45457.64583</v>
      </c>
      <c r="B40" s="6">
        <f>IFERROR(__xludf.DUMMYFUNCTION("""COMPUTED_VALUE"""),2879.85)</f>
        <v>2879.85</v>
      </c>
      <c r="C40" s="6">
        <f>IFERROR(__xludf.DUMMYFUNCTION("""COMPUTED_VALUE"""),2919.3)</f>
        <v>2919.3</v>
      </c>
      <c r="D40" s="6">
        <f>IFERROR(__xludf.DUMMYFUNCTION("""COMPUTED_VALUE"""),2834.0)</f>
        <v>2834</v>
      </c>
      <c r="E40" s="6">
        <f>IFERROR(__xludf.DUMMYFUNCTION("""COMPUTED_VALUE"""),2882.1)</f>
        <v>2882.1</v>
      </c>
      <c r="F40" s="6">
        <f>IFERROR(__xludf.DUMMYFUNCTION("""COMPUTED_VALUE"""),978115.0)</f>
        <v>978115</v>
      </c>
    </row>
    <row r="41">
      <c r="A41" s="7">
        <f>IFERROR(__xludf.DUMMYFUNCTION("""COMPUTED_VALUE"""),45464.64583333333)</f>
        <v>45464.64583</v>
      </c>
      <c r="B41" s="6">
        <f>IFERROR(__xludf.DUMMYFUNCTION("""COMPUTED_VALUE"""),2909.0)</f>
        <v>2909</v>
      </c>
      <c r="C41" s="6">
        <f>IFERROR(__xludf.DUMMYFUNCTION("""COMPUTED_VALUE"""),2980.0)</f>
        <v>2980</v>
      </c>
      <c r="D41" s="6">
        <f>IFERROR(__xludf.DUMMYFUNCTION("""COMPUTED_VALUE"""),2815.65)</f>
        <v>2815.65</v>
      </c>
      <c r="E41" s="6">
        <f>IFERROR(__xludf.DUMMYFUNCTION("""COMPUTED_VALUE"""),2831.25)</f>
        <v>2831.25</v>
      </c>
      <c r="F41" s="6">
        <f>IFERROR(__xludf.DUMMYFUNCTION("""COMPUTED_VALUE"""),1176374.0)</f>
        <v>1176374</v>
      </c>
    </row>
    <row r="42">
      <c r="A42" s="7">
        <f>IFERROR(__xludf.DUMMYFUNCTION("""COMPUTED_VALUE"""),45471.64583333333)</f>
        <v>45471.64583</v>
      </c>
      <c r="B42" s="6">
        <f>IFERROR(__xludf.DUMMYFUNCTION("""COMPUTED_VALUE"""),2829.1)</f>
        <v>2829.1</v>
      </c>
      <c r="C42" s="6">
        <f>IFERROR(__xludf.DUMMYFUNCTION("""COMPUTED_VALUE"""),2890.0)</f>
        <v>2890</v>
      </c>
      <c r="D42" s="6">
        <f>IFERROR(__xludf.DUMMYFUNCTION("""COMPUTED_VALUE"""),2755.9)</f>
        <v>2755.9</v>
      </c>
      <c r="E42" s="6">
        <f>IFERROR(__xludf.DUMMYFUNCTION("""COMPUTED_VALUE"""),2791.3)</f>
        <v>2791.3</v>
      </c>
      <c r="F42" s="6">
        <f>IFERROR(__xludf.DUMMYFUNCTION("""COMPUTED_VALUE"""),847510.0)</f>
        <v>847510</v>
      </c>
    </row>
    <row r="43">
      <c r="A43" s="7">
        <f>IFERROR(__xludf.DUMMYFUNCTION("""COMPUTED_VALUE"""),45478.64583333333)</f>
        <v>45478.64583</v>
      </c>
      <c r="B43" s="6">
        <f>IFERROR(__xludf.DUMMYFUNCTION("""COMPUTED_VALUE"""),2796.1)</f>
        <v>2796.1</v>
      </c>
      <c r="C43" s="6">
        <f>IFERROR(__xludf.DUMMYFUNCTION("""COMPUTED_VALUE"""),2925.0)</f>
        <v>2925</v>
      </c>
      <c r="D43" s="6">
        <f>IFERROR(__xludf.DUMMYFUNCTION("""COMPUTED_VALUE"""),2757.9)</f>
        <v>2757.9</v>
      </c>
      <c r="E43" s="6">
        <f>IFERROR(__xludf.DUMMYFUNCTION("""COMPUTED_VALUE"""),2891.1)</f>
        <v>2891.1</v>
      </c>
      <c r="F43" s="6">
        <f>IFERROR(__xludf.DUMMYFUNCTION("""COMPUTED_VALUE"""),1634229.0)</f>
        <v>1634229</v>
      </c>
    </row>
    <row r="44">
      <c r="A44" s="7">
        <f>IFERROR(__xludf.DUMMYFUNCTION("""COMPUTED_VALUE"""),45485.64583333333)</f>
        <v>45485.64583</v>
      </c>
      <c r="B44" s="6">
        <f>IFERROR(__xludf.DUMMYFUNCTION("""COMPUTED_VALUE"""),2891.85)</f>
        <v>2891.85</v>
      </c>
      <c r="C44" s="6">
        <f>IFERROR(__xludf.DUMMYFUNCTION("""COMPUTED_VALUE"""),2984.0)</f>
        <v>2984</v>
      </c>
      <c r="D44" s="6">
        <f>IFERROR(__xludf.DUMMYFUNCTION("""COMPUTED_VALUE"""),2846.65)</f>
        <v>2846.65</v>
      </c>
      <c r="E44" s="6">
        <f>IFERROR(__xludf.DUMMYFUNCTION("""COMPUTED_VALUE"""),2948.45)</f>
        <v>2948.45</v>
      </c>
      <c r="F44" s="6">
        <f>IFERROR(__xludf.DUMMYFUNCTION("""COMPUTED_VALUE"""),968158.0)</f>
        <v>968158</v>
      </c>
    </row>
    <row r="45">
      <c r="A45" s="7">
        <f>IFERROR(__xludf.DUMMYFUNCTION("""COMPUTED_VALUE"""),45492.64583333333)</f>
        <v>45492.64583</v>
      </c>
      <c r="B45" s="6">
        <f>IFERROR(__xludf.DUMMYFUNCTION("""COMPUTED_VALUE"""),2950.0)</f>
        <v>2950</v>
      </c>
      <c r="C45" s="6">
        <f>IFERROR(__xludf.DUMMYFUNCTION("""COMPUTED_VALUE"""),3073.95)</f>
        <v>3073.95</v>
      </c>
      <c r="D45" s="6">
        <f>IFERROR(__xludf.DUMMYFUNCTION("""COMPUTED_VALUE"""),2935.1)</f>
        <v>2935.1</v>
      </c>
      <c r="E45" s="6">
        <f>IFERROR(__xludf.DUMMYFUNCTION("""COMPUTED_VALUE"""),2946.35)</f>
        <v>2946.35</v>
      </c>
      <c r="F45" s="6">
        <f>IFERROR(__xludf.DUMMYFUNCTION("""COMPUTED_VALUE"""),1023274.0)</f>
        <v>1023274</v>
      </c>
    </row>
    <row r="46">
      <c r="A46" s="7">
        <f>IFERROR(__xludf.DUMMYFUNCTION("""COMPUTED_VALUE"""),45499.64583333333)</f>
        <v>45499.64583</v>
      </c>
      <c r="B46" s="6">
        <f>IFERROR(__xludf.DUMMYFUNCTION("""COMPUTED_VALUE"""),2957.6)</f>
        <v>2957.6</v>
      </c>
      <c r="C46" s="6">
        <f>IFERROR(__xludf.DUMMYFUNCTION("""COMPUTED_VALUE"""),3257.15)</f>
        <v>3257.15</v>
      </c>
      <c r="D46" s="6">
        <f>IFERROR(__xludf.DUMMYFUNCTION("""COMPUTED_VALUE"""),2870.0)</f>
        <v>2870</v>
      </c>
      <c r="E46" s="6">
        <f>IFERROR(__xludf.DUMMYFUNCTION("""COMPUTED_VALUE"""),3194.9)</f>
        <v>3194.9</v>
      </c>
      <c r="F46" s="6">
        <f>IFERROR(__xludf.DUMMYFUNCTION("""COMPUTED_VALUE"""),2689112.0)</f>
        <v>2689112</v>
      </c>
    </row>
    <row r="47">
      <c r="A47" s="7">
        <f>IFERROR(__xludf.DUMMYFUNCTION("""COMPUTED_VALUE"""),45506.64583333333)</f>
        <v>45506.64583</v>
      </c>
      <c r="B47" s="6">
        <f>IFERROR(__xludf.DUMMYFUNCTION("""COMPUTED_VALUE"""),3195.0)</f>
        <v>3195</v>
      </c>
      <c r="C47" s="6">
        <f>IFERROR(__xludf.DUMMYFUNCTION("""COMPUTED_VALUE"""),3275.5)</f>
        <v>3275.5</v>
      </c>
      <c r="D47" s="6">
        <f>IFERROR(__xludf.DUMMYFUNCTION("""COMPUTED_VALUE"""),3103.0)</f>
        <v>3103</v>
      </c>
      <c r="E47" s="6">
        <f>IFERROR(__xludf.DUMMYFUNCTION("""COMPUTED_VALUE"""),3228.1)</f>
        <v>3228.1</v>
      </c>
      <c r="F47" s="6">
        <f>IFERROR(__xludf.DUMMYFUNCTION("""COMPUTED_VALUE"""),2529052.0)</f>
        <v>2529052</v>
      </c>
    </row>
    <row r="48">
      <c r="A48" s="7">
        <f>IFERROR(__xludf.DUMMYFUNCTION("""COMPUTED_VALUE"""),45513.64583333333)</f>
        <v>45513.64583</v>
      </c>
      <c r="B48" s="6">
        <f>IFERROR(__xludf.DUMMYFUNCTION("""COMPUTED_VALUE"""),3173.2)</f>
        <v>3173.2</v>
      </c>
      <c r="C48" s="6">
        <f>IFERROR(__xludf.DUMMYFUNCTION("""COMPUTED_VALUE"""),3372.85)</f>
        <v>3372.85</v>
      </c>
      <c r="D48" s="6">
        <f>IFERROR(__xludf.DUMMYFUNCTION("""COMPUTED_VALUE"""),3156.45)</f>
        <v>3156.45</v>
      </c>
      <c r="E48" s="6">
        <f>IFERROR(__xludf.DUMMYFUNCTION("""COMPUTED_VALUE"""),3338.4)</f>
        <v>3338.4</v>
      </c>
      <c r="F48" s="6">
        <f>IFERROR(__xludf.DUMMYFUNCTION("""COMPUTED_VALUE"""),1588994.0)</f>
        <v>1588994</v>
      </c>
    </row>
    <row r="49">
      <c r="A49" s="7">
        <f>IFERROR(__xludf.DUMMYFUNCTION("""COMPUTED_VALUE"""),45520.64583333333)</f>
        <v>45520.64583</v>
      </c>
      <c r="B49" s="6">
        <f>IFERROR(__xludf.DUMMYFUNCTION("""COMPUTED_VALUE"""),3338.4)</f>
        <v>3338.4</v>
      </c>
      <c r="C49" s="6">
        <f>IFERROR(__xludf.DUMMYFUNCTION("""COMPUTED_VALUE"""),3383.9)</f>
        <v>3383.9</v>
      </c>
      <c r="D49" s="6">
        <f>IFERROR(__xludf.DUMMYFUNCTION("""COMPUTED_VALUE"""),3260.9)</f>
        <v>3260.9</v>
      </c>
      <c r="E49" s="6">
        <f>IFERROR(__xludf.DUMMYFUNCTION("""COMPUTED_VALUE"""),3348.2)</f>
        <v>3348.2</v>
      </c>
      <c r="F49" s="6">
        <f>IFERROR(__xludf.DUMMYFUNCTION("""COMPUTED_VALUE"""),1175746.0)</f>
        <v>1175746</v>
      </c>
    </row>
    <row r="50">
      <c r="A50" s="7">
        <f>IFERROR(__xludf.DUMMYFUNCTION("""COMPUTED_VALUE"""),45527.64583333333)</f>
        <v>45527.64583</v>
      </c>
      <c r="B50" s="6">
        <f>IFERROR(__xludf.DUMMYFUNCTION("""COMPUTED_VALUE"""),3348.95)</f>
        <v>3348.95</v>
      </c>
      <c r="C50" s="6">
        <f>IFERROR(__xludf.DUMMYFUNCTION("""COMPUTED_VALUE"""),3391.95)</f>
        <v>3391.95</v>
      </c>
      <c r="D50" s="6">
        <f>IFERROR(__xludf.DUMMYFUNCTION("""COMPUTED_VALUE"""),3324.05)</f>
        <v>3324.05</v>
      </c>
      <c r="E50" s="6">
        <f>IFERROR(__xludf.DUMMYFUNCTION("""COMPUTED_VALUE"""),3349.35)</f>
        <v>3349.35</v>
      </c>
      <c r="F50" s="6">
        <f>IFERROR(__xludf.DUMMYFUNCTION("""COMPUTED_VALUE"""),800957.0)</f>
        <v>800957</v>
      </c>
    </row>
    <row r="51">
      <c r="A51" s="7">
        <f>IFERROR(__xludf.DUMMYFUNCTION("""COMPUTED_VALUE"""),45534.64583333333)</f>
        <v>45534.64583</v>
      </c>
      <c r="B51" s="6">
        <f>IFERROR(__xludf.DUMMYFUNCTION("""COMPUTED_VALUE"""),3353.8)</f>
        <v>3353.8</v>
      </c>
      <c r="C51" s="6">
        <f>IFERROR(__xludf.DUMMYFUNCTION("""COMPUTED_VALUE"""),3574.0)</f>
        <v>3574</v>
      </c>
      <c r="D51" s="6">
        <f>IFERROR(__xludf.DUMMYFUNCTION("""COMPUTED_VALUE"""),3311.0)</f>
        <v>3311</v>
      </c>
      <c r="E51" s="6">
        <f>IFERROR(__xludf.DUMMYFUNCTION("""COMPUTED_VALUE"""),3485.15)</f>
        <v>3485.15</v>
      </c>
      <c r="F51" s="6">
        <f>IFERROR(__xludf.DUMMYFUNCTION("""COMPUTED_VALUE"""),2116909.0)</f>
        <v>2116909</v>
      </c>
    </row>
    <row r="52">
      <c r="A52" s="7">
        <f>IFERROR(__xludf.DUMMYFUNCTION("""COMPUTED_VALUE"""),45541.64583333333)</f>
        <v>45541.64583</v>
      </c>
      <c r="B52" s="6">
        <f>IFERROR(__xludf.DUMMYFUNCTION("""COMPUTED_VALUE"""),3503.45)</f>
        <v>3503.45</v>
      </c>
      <c r="C52" s="6">
        <f>IFERROR(__xludf.DUMMYFUNCTION("""COMPUTED_VALUE"""),3523.0)</f>
        <v>3523</v>
      </c>
      <c r="D52" s="6">
        <f>IFERROR(__xludf.DUMMYFUNCTION("""COMPUTED_VALUE"""),3395.0)</f>
        <v>3395</v>
      </c>
      <c r="E52" s="6">
        <f>IFERROR(__xludf.DUMMYFUNCTION("""COMPUTED_VALUE"""),3416.7)</f>
        <v>3416.7</v>
      </c>
      <c r="F52" s="6">
        <f>IFERROR(__xludf.DUMMYFUNCTION("""COMPUTED_VALUE"""),1011821.0)</f>
        <v>1011821</v>
      </c>
    </row>
    <row r="53">
      <c r="A53" s="7">
        <f>IFERROR(__xludf.DUMMYFUNCTION("""COMPUTED_VALUE"""),45548.64583333333)</f>
        <v>45548.64583</v>
      </c>
      <c r="B53" s="6">
        <f>IFERROR(__xludf.DUMMYFUNCTION("""COMPUTED_VALUE"""),3416.0)</f>
        <v>3416</v>
      </c>
      <c r="C53" s="6">
        <f>IFERROR(__xludf.DUMMYFUNCTION("""COMPUTED_VALUE"""),3525.0)</f>
        <v>3525</v>
      </c>
      <c r="D53" s="6">
        <f>IFERROR(__xludf.DUMMYFUNCTION("""COMPUTED_VALUE"""),3364.15)</f>
        <v>3364.15</v>
      </c>
      <c r="E53" s="6">
        <f>IFERROR(__xludf.DUMMYFUNCTION("""COMPUTED_VALUE"""),3451.7)</f>
        <v>3451.7</v>
      </c>
      <c r="F53" s="6">
        <f>IFERROR(__xludf.DUMMYFUNCTION("""COMPUTED_VALUE"""),1328924.0)</f>
        <v>1328924</v>
      </c>
    </row>
    <row r="54">
      <c r="A54" s="7">
        <f>IFERROR(__xludf.DUMMYFUNCTION("""COMPUTED_VALUE"""),45555.64583333333)</f>
        <v>45555.64583</v>
      </c>
      <c r="B54" s="6">
        <f>IFERROR(__xludf.DUMMYFUNCTION("""COMPUTED_VALUE"""),3460.4)</f>
        <v>3460.4</v>
      </c>
      <c r="C54" s="6">
        <f>IFERROR(__xludf.DUMMYFUNCTION("""COMPUTED_VALUE"""),3483.05)</f>
        <v>3483.05</v>
      </c>
      <c r="D54" s="6">
        <f>IFERROR(__xludf.DUMMYFUNCTION("""COMPUTED_VALUE"""),3320.95)</f>
        <v>3320.95</v>
      </c>
      <c r="E54" s="6">
        <f>IFERROR(__xludf.DUMMYFUNCTION("""COMPUTED_VALUE"""),3457.8)</f>
        <v>3457.8</v>
      </c>
      <c r="F54" s="6">
        <f>IFERROR(__xludf.DUMMYFUNCTION("""COMPUTED_VALUE"""),1212520.0)</f>
        <v>1212520</v>
      </c>
    </row>
    <row r="55">
      <c r="A55" s="7">
        <f>IFERROR(__xludf.DUMMYFUNCTION("""COMPUTED_VALUE"""),45562.64583333333)</f>
        <v>45562.64583</v>
      </c>
      <c r="B55" s="6">
        <f>IFERROR(__xludf.DUMMYFUNCTION("""COMPUTED_VALUE"""),3477.95)</f>
        <v>3477.95</v>
      </c>
      <c r="C55" s="6">
        <f>IFERROR(__xludf.DUMMYFUNCTION("""COMPUTED_VALUE"""),3520.35)</f>
        <v>3520.35</v>
      </c>
      <c r="D55" s="6">
        <f>IFERROR(__xludf.DUMMYFUNCTION("""COMPUTED_VALUE"""),3364.05)</f>
        <v>3364.05</v>
      </c>
      <c r="E55" s="6">
        <f>IFERROR(__xludf.DUMMYFUNCTION("""COMPUTED_VALUE"""),3482.6)</f>
        <v>3482.6</v>
      </c>
      <c r="F55" s="6">
        <f>IFERROR(__xludf.DUMMYFUNCTION("""COMPUTED_VALUE"""),1408387.0)</f>
        <v>1408387</v>
      </c>
    </row>
    <row r="56">
      <c r="A56" s="7">
        <f>IFERROR(__xludf.DUMMYFUNCTION("""COMPUTED_VALUE"""),45569.64583333333)</f>
        <v>45569.64583</v>
      </c>
      <c r="B56" s="6">
        <f>IFERROR(__xludf.DUMMYFUNCTION("""COMPUTED_VALUE"""),3456.0)</f>
        <v>3456</v>
      </c>
      <c r="C56" s="6">
        <f>IFERROR(__xludf.DUMMYFUNCTION("""COMPUTED_VALUE"""),3502.25)</f>
        <v>3502.25</v>
      </c>
      <c r="D56" s="6">
        <f>IFERROR(__xludf.DUMMYFUNCTION("""COMPUTED_VALUE"""),3331.45)</f>
        <v>3331.45</v>
      </c>
      <c r="E56" s="6">
        <f>IFERROR(__xludf.DUMMYFUNCTION("""COMPUTED_VALUE"""),3473.55)</f>
        <v>3473.55</v>
      </c>
      <c r="F56" s="6">
        <f>IFERROR(__xludf.DUMMYFUNCTION("""COMPUTED_VALUE"""),1650345.0)</f>
        <v>1650345</v>
      </c>
    </row>
    <row r="57">
      <c r="A57" s="7">
        <f>IFERROR(__xludf.DUMMYFUNCTION("""COMPUTED_VALUE"""),45576.64583333333)</f>
        <v>45576.64583</v>
      </c>
      <c r="B57" s="6">
        <f>IFERROR(__xludf.DUMMYFUNCTION("""COMPUTED_VALUE"""),3490.0)</f>
        <v>3490</v>
      </c>
      <c r="C57" s="6">
        <f>IFERROR(__xludf.DUMMYFUNCTION("""COMPUTED_VALUE"""),3590.7)</f>
        <v>3590.7</v>
      </c>
      <c r="D57" s="6">
        <f>IFERROR(__xludf.DUMMYFUNCTION("""COMPUTED_VALUE"""),3380.9)</f>
        <v>3380.9</v>
      </c>
      <c r="E57" s="6">
        <f>IFERROR(__xludf.DUMMYFUNCTION("""COMPUTED_VALUE"""),3497.05)</f>
        <v>3497.05</v>
      </c>
      <c r="F57" s="6">
        <f>IFERROR(__xludf.DUMMYFUNCTION("""COMPUTED_VALUE"""),1559758.0)</f>
        <v>1559758</v>
      </c>
    </row>
    <row r="58">
      <c r="A58" s="7">
        <f>IFERROR(__xludf.DUMMYFUNCTION("""COMPUTED_VALUE"""),45583.64583333333)</f>
        <v>45583.64583</v>
      </c>
      <c r="B58" s="6">
        <f>IFERROR(__xludf.DUMMYFUNCTION("""COMPUTED_VALUE"""),3510.05)</f>
        <v>3510.05</v>
      </c>
      <c r="C58" s="6">
        <f>IFERROR(__xludf.DUMMYFUNCTION("""COMPUTED_VALUE"""),3531.75)</f>
        <v>3531.75</v>
      </c>
      <c r="D58" s="6">
        <f>IFERROR(__xludf.DUMMYFUNCTION("""COMPUTED_VALUE"""),3385.0)</f>
        <v>3385</v>
      </c>
      <c r="E58" s="6">
        <f>IFERROR(__xludf.DUMMYFUNCTION("""COMPUTED_VALUE"""),3449.5)</f>
        <v>3449.5</v>
      </c>
      <c r="F58" s="6">
        <f>IFERROR(__xludf.DUMMYFUNCTION("""COMPUTED_VALUE"""),1017359.0)</f>
        <v>1017359</v>
      </c>
    </row>
    <row r="59">
      <c r="A59" s="7">
        <f>IFERROR(__xludf.DUMMYFUNCTION("""COMPUTED_VALUE"""),45590.64583333333)</f>
        <v>45590.64583</v>
      </c>
      <c r="B59" s="6">
        <f>IFERROR(__xludf.DUMMYFUNCTION("""COMPUTED_VALUE"""),3454.95)</f>
        <v>3454.95</v>
      </c>
      <c r="C59" s="6">
        <f>IFERROR(__xludf.DUMMYFUNCTION("""COMPUTED_VALUE"""),3458.1)</f>
        <v>3458.1</v>
      </c>
      <c r="D59" s="6">
        <f>IFERROR(__xludf.DUMMYFUNCTION("""COMPUTED_VALUE"""),3296.0)</f>
        <v>3296</v>
      </c>
      <c r="E59" s="6">
        <f>IFERROR(__xludf.DUMMYFUNCTION("""COMPUTED_VALUE"""),3432.85)</f>
        <v>3432.85</v>
      </c>
      <c r="F59" s="6">
        <f>IFERROR(__xludf.DUMMYFUNCTION("""COMPUTED_VALUE"""),1798233.0)</f>
        <v>1798233</v>
      </c>
    </row>
    <row r="60">
      <c r="A60" s="7">
        <f>IFERROR(__xludf.DUMMYFUNCTION("""COMPUTED_VALUE"""),45604.64583333333)</f>
        <v>45604.64583</v>
      </c>
      <c r="B60" s="6">
        <f>IFERROR(__xludf.DUMMYFUNCTION("""COMPUTED_VALUE"""),3212.45)</f>
        <v>3212.45</v>
      </c>
      <c r="C60" s="6">
        <f>IFERROR(__xludf.DUMMYFUNCTION("""COMPUTED_VALUE"""),3242.0)</f>
        <v>3242</v>
      </c>
      <c r="D60" s="6">
        <f>IFERROR(__xludf.DUMMYFUNCTION("""COMPUTED_VALUE"""),3137.9)</f>
        <v>3137.9</v>
      </c>
      <c r="E60" s="6">
        <f>IFERROR(__xludf.DUMMYFUNCTION("""COMPUTED_VALUE"""),3199.85)</f>
        <v>3199.85</v>
      </c>
      <c r="F60" s="6">
        <f>IFERROR(__xludf.DUMMYFUNCTION("""COMPUTED_VALUE"""),2222809.0)</f>
        <v>2222809</v>
      </c>
    </row>
    <row r="61">
      <c r="A61" s="7">
        <f>IFERROR(__xludf.DUMMYFUNCTION("""COMPUTED_VALUE"""),45610.64583333333)</f>
        <v>45610.64583</v>
      </c>
      <c r="B61" s="6">
        <f>IFERROR(__xludf.DUMMYFUNCTION("""COMPUTED_VALUE"""),3200.05)</f>
        <v>3200.05</v>
      </c>
      <c r="C61" s="6">
        <f>IFERROR(__xludf.DUMMYFUNCTION("""COMPUTED_VALUE"""),3203.15)</f>
        <v>3203.15</v>
      </c>
      <c r="D61" s="6">
        <f>IFERROR(__xludf.DUMMYFUNCTION("""COMPUTED_VALUE"""),3052.0)</f>
        <v>3052</v>
      </c>
      <c r="E61" s="6">
        <f>IFERROR(__xludf.DUMMYFUNCTION("""COMPUTED_VALUE"""),3102.4)</f>
        <v>3102.4</v>
      </c>
      <c r="F61" s="6">
        <f>IFERROR(__xludf.DUMMYFUNCTION("""COMPUTED_VALUE"""),961868.0)</f>
        <v>961868</v>
      </c>
    </row>
    <row r="62">
      <c r="A62" s="7">
        <f>IFERROR(__xludf.DUMMYFUNCTION("""COMPUTED_VALUE"""),45618.64583333333)</f>
        <v>45618.64583</v>
      </c>
      <c r="B62" s="6">
        <f>IFERROR(__xludf.DUMMYFUNCTION("""COMPUTED_VALUE"""),3103.05)</f>
        <v>3103.05</v>
      </c>
      <c r="C62" s="6">
        <f>IFERROR(__xludf.DUMMYFUNCTION("""COMPUTED_VALUE"""),3189.7)</f>
        <v>3189.7</v>
      </c>
      <c r="D62" s="6">
        <f>IFERROR(__xludf.DUMMYFUNCTION("""COMPUTED_VALUE"""),3075.25)</f>
        <v>3075.25</v>
      </c>
      <c r="E62" s="6">
        <f>IFERROR(__xludf.DUMMYFUNCTION("""COMPUTED_VALUE"""),3167.1)</f>
        <v>3167.1</v>
      </c>
      <c r="F62" s="6">
        <f>IFERROR(__xludf.DUMMYFUNCTION("""COMPUTED_VALUE"""),828269.0)</f>
        <v>828269</v>
      </c>
    </row>
    <row r="63">
      <c r="A63" s="7">
        <f>IFERROR(__xludf.DUMMYFUNCTION("""COMPUTED_VALUE"""),45625.64583333333)</f>
        <v>45625.64583</v>
      </c>
      <c r="B63" s="6">
        <f>IFERROR(__xludf.DUMMYFUNCTION("""COMPUTED_VALUE"""),3206.0)</f>
        <v>3206</v>
      </c>
      <c r="C63" s="6">
        <f>IFERROR(__xludf.DUMMYFUNCTION("""COMPUTED_VALUE"""),3333.1)</f>
        <v>3333.1</v>
      </c>
      <c r="D63" s="6">
        <f>IFERROR(__xludf.DUMMYFUNCTION("""COMPUTED_VALUE"""),3163.6)</f>
        <v>3163.6</v>
      </c>
      <c r="E63" s="6">
        <f>IFERROR(__xludf.DUMMYFUNCTION("""COMPUTED_VALUE"""),3324.2)</f>
        <v>3324.2</v>
      </c>
      <c r="F63" s="6">
        <f>IFERROR(__xludf.DUMMYFUNCTION("""COMPUTED_VALUE"""),2184465.0)</f>
        <v>2184465</v>
      </c>
    </row>
    <row r="64">
      <c r="A64" s="7">
        <f>IFERROR(__xludf.DUMMYFUNCTION("""COMPUTED_VALUE"""),45632.64583333333)</f>
        <v>45632.64583</v>
      </c>
      <c r="B64" s="6">
        <f>IFERROR(__xludf.DUMMYFUNCTION("""COMPUTED_VALUE"""),3301.0)</f>
        <v>3301</v>
      </c>
      <c r="C64" s="6">
        <f>IFERROR(__xludf.DUMMYFUNCTION("""COMPUTED_VALUE"""),3455.0)</f>
        <v>3455</v>
      </c>
      <c r="D64" s="6">
        <f>IFERROR(__xludf.DUMMYFUNCTION("""COMPUTED_VALUE"""),3295.0)</f>
        <v>3295</v>
      </c>
      <c r="E64" s="6">
        <f>IFERROR(__xludf.DUMMYFUNCTION("""COMPUTED_VALUE"""),3332.5)</f>
        <v>3332.5</v>
      </c>
      <c r="F64" s="6">
        <f>IFERROR(__xludf.DUMMYFUNCTION("""COMPUTED_VALUE"""),2023122.0)</f>
        <v>2023122</v>
      </c>
    </row>
    <row r="65">
      <c r="A65" s="7">
        <f>IFERROR(__xludf.DUMMYFUNCTION("""COMPUTED_VALUE"""),45639.64583333333)</f>
        <v>45639.64583</v>
      </c>
      <c r="B65" s="6">
        <f>IFERROR(__xludf.DUMMYFUNCTION("""COMPUTED_VALUE"""),3342.15)</f>
        <v>3342.15</v>
      </c>
      <c r="C65" s="6">
        <f>IFERROR(__xludf.DUMMYFUNCTION("""COMPUTED_VALUE"""),3394.65)</f>
        <v>3394.65</v>
      </c>
      <c r="D65" s="6">
        <f>IFERROR(__xludf.DUMMYFUNCTION("""COMPUTED_VALUE"""),3294.05)</f>
        <v>3294.05</v>
      </c>
      <c r="E65" s="6">
        <f>IFERROR(__xludf.DUMMYFUNCTION("""COMPUTED_VALUE"""),3345.85)</f>
        <v>3345.85</v>
      </c>
      <c r="F65" s="6">
        <f>IFERROR(__xludf.DUMMYFUNCTION("""COMPUTED_VALUE"""),1304127.0)</f>
        <v>1304127</v>
      </c>
    </row>
    <row r="66">
      <c r="A66" s="7">
        <f>IFERROR(__xludf.DUMMYFUNCTION("""COMPUTED_VALUE"""),45646.64583333333)</f>
        <v>45646.64583</v>
      </c>
      <c r="B66" s="6">
        <f>IFERROR(__xludf.DUMMYFUNCTION("""COMPUTED_VALUE"""),3355.85)</f>
        <v>3355.85</v>
      </c>
      <c r="C66" s="6">
        <f>IFERROR(__xludf.DUMMYFUNCTION("""COMPUTED_VALUE"""),3515.35)</f>
        <v>3515.35</v>
      </c>
      <c r="D66" s="6">
        <f>IFERROR(__xludf.DUMMYFUNCTION("""COMPUTED_VALUE"""),3319.05)</f>
        <v>3319.05</v>
      </c>
      <c r="E66" s="6">
        <f>IFERROR(__xludf.DUMMYFUNCTION("""COMPUTED_VALUE"""),3437.0)</f>
        <v>3437</v>
      </c>
      <c r="F66" s="6">
        <f>IFERROR(__xludf.DUMMYFUNCTION("""COMPUTED_VALUE"""),2048308.0)</f>
        <v>2048308</v>
      </c>
    </row>
    <row r="67">
      <c r="A67" s="7">
        <f>IFERROR(__xludf.DUMMYFUNCTION("""COMPUTED_VALUE"""),45653.64583333333)</f>
        <v>45653.64583</v>
      </c>
      <c r="B67" s="6">
        <f>IFERROR(__xludf.DUMMYFUNCTION("""COMPUTED_VALUE"""),3450.0)</f>
        <v>3450</v>
      </c>
      <c r="C67" s="6">
        <f>IFERROR(__xludf.DUMMYFUNCTION("""COMPUTED_VALUE"""),3476.45)</f>
        <v>3476.45</v>
      </c>
      <c r="D67" s="6">
        <f>IFERROR(__xludf.DUMMYFUNCTION("""COMPUTED_VALUE"""),3362.0)</f>
        <v>3362</v>
      </c>
      <c r="E67" s="6">
        <f>IFERROR(__xludf.DUMMYFUNCTION("""COMPUTED_VALUE"""),3405.1)</f>
        <v>3405.1</v>
      </c>
      <c r="F67" s="6">
        <f>IFERROR(__xludf.DUMMYFUNCTION("""COMPUTED_VALUE"""),562732.0)</f>
        <v>562732</v>
      </c>
    </row>
    <row r="68">
      <c r="A68" s="7">
        <f>IFERROR(__xludf.DUMMYFUNCTION("""COMPUTED_VALUE"""),45660.64583333333)</f>
        <v>45660.64583</v>
      </c>
      <c r="B68" s="6">
        <f>IFERROR(__xludf.DUMMYFUNCTION("""COMPUTED_VALUE"""),3405.0)</f>
        <v>3405</v>
      </c>
      <c r="C68" s="6">
        <f>IFERROR(__xludf.DUMMYFUNCTION("""COMPUTED_VALUE"""),3465.0)</f>
        <v>3465</v>
      </c>
      <c r="D68" s="6">
        <f>IFERROR(__xludf.DUMMYFUNCTION("""COMPUTED_VALUE"""),3340.15)</f>
        <v>3340.15</v>
      </c>
      <c r="E68" s="6">
        <f>IFERROR(__xludf.DUMMYFUNCTION("""COMPUTED_VALUE"""),3402.85)</f>
        <v>3402.85</v>
      </c>
      <c r="F68" s="6">
        <f>IFERROR(__xludf.DUMMYFUNCTION("""COMPUTED_VALUE"""),1724976.0)</f>
        <v>1724976</v>
      </c>
    </row>
    <row r="69">
      <c r="A69" s="7">
        <f>IFERROR(__xludf.DUMMYFUNCTION("""COMPUTED_VALUE"""),45667.64583333333)</f>
        <v>45667.64583</v>
      </c>
      <c r="B69" s="6">
        <f>IFERROR(__xludf.DUMMYFUNCTION("""COMPUTED_VALUE"""),3402.85)</f>
        <v>3402.85</v>
      </c>
      <c r="C69" s="6">
        <f>IFERROR(__xludf.DUMMYFUNCTION("""COMPUTED_VALUE"""),3443.5)</f>
        <v>3443.5</v>
      </c>
      <c r="D69" s="6">
        <f>IFERROR(__xludf.DUMMYFUNCTION("""COMPUTED_VALUE"""),3264.1)</f>
        <v>3264.1</v>
      </c>
      <c r="E69" s="6">
        <f>IFERROR(__xludf.DUMMYFUNCTION("""COMPUTED_VALUE"""),3274.45)</f>
        <v>3274.45</v>
      </c>
      <c r="F69" s="6">
        <f>IFERROR(__xludf.DUMMYFUNCTION("""COMPUTED_VALUE"""),761130.0)</f>
        <v>761130</v>
      </c>
    </row>
    <row r="70">
      <c r="A70" s="7">
        <f>IFERROR(__xludf.DUMMYFUNCTION("""COMPUTED_VALUE"""),45674.64583333333)</f>
        <v>45674.64583</v>
      </c>
      <c r="B70" s="6">
        <f>IFERROR(__xludf.DUMMYFUNCTION("""COMPUTED_VALUE"""),3241.65)</f>
        <v>3241.65</v>
      </c>
      <c r="C70" s="6">
        <f>IFERROR(__xludf.DUMMYFUNCTION("""COMPUTED_VALUE"""),3294.15)</f>
        <v>3294.15</v>
      </c>
      <c r="D70" s="6">
        <f>IFERROR(__xludf.DUMMYFUNCTION("""COMPUTED_VALUE"""),3151.85)</f>
        <v>3151.85</v>
      </c>
      <c r="E70" s="6">
        <f>IFERROR(__xludf.DUMMYFUNCTION("""COMPUTED_VALUE"""),3174.85)</f>
        <v>3174.85</v>
      </c>
      <c r="F70" s="6">
        <f>IFERROR(__xludf.DUMMYFUNCTION("""COMPUTED_VALUE"""),971447.0)</f>
        <v>971447</v>
      </c>
    </row>
    <row r="71">
      <c r="A71" s="7">
        <f>IFERROR(__xludf.DUMMYFUNCTION("""COMPUTED_VALUE"""),45681.64583333333)</f>
        <v>45681.64583</v>
      </c>
      <c r="B71" s="6">
        <f>IFERROR(__xludf.DUMMYFUNCTION("""COMPUTED_VALUE"""),3194.15)</f>
        <v>3194.15</v>
      </c>
      <c r="C71" s="6">
        <f>IFERROR(__xludf.DUMMYFUNCTION("""COMPUTED_VALUE"""),3283.85)</f>
        <v>3283.85</v>
      </c>
      <c r="D71" s="6">
        <f>IFERROR(__xludf.DUMMYFUNCTION("""COMPUTED_VALUE"""),3122.0)</f>
        <v>3122</v>
      </c>
      <c r="E71" s="6">
        <f>IFERROR(__xludf.DUMMYFUNCTION("""COMPUTED_VALUE"""),3248.4)</f>
        <v>3248.4</v>
      </c>
      <c r="F71" s="6">
        <f>IFERROR(__xludf.DUMMYFUNCTION("""COMPUTED_VALUE"""),1335549.0)</f>
        <v>1335549</v>
      </c>
    </row>
    <row r="72">
      <c r="A72" s="7">
        <f>IFERROR(__xludf.DUMMYFUNCTION("""COMPUTED_VALUE"""),45695.64583333333)</f>
        <v>45695.64583</v>
      </c>
      <c r="B72" s="6">
        <f>IFERROR(__xludf.DUMMYFUNCTION("""COMPUTED_VALUE"""),3121.0)</f>
        <v>3121</v>
      </c>
      <c r="C72" s="6">
        <f>IFERROR(__xludf.DUMMYFUNCTION("""COMPUTED_VALUE"""),3273.0)</f>
        <v>3273</v>
      </c>
      <c r="D72" s="6">
        <f>IFERROR(__xludf.DUMMYFUNCTION("""COMPUTED_VALUE"""),3066.55)</f>
        <v>3066.55</v>
      </c>
      <c r="E72" s="6">
        <f>IFERROR(__xludf.DUMMYFUNCTION("""COMPUTED_VALUE"""),3258.6)</f>
        <v>3258.6</v>
      </c>
      <c r="F72" s="6">
        <f>IFERROR(__xludf.DUMMYFUNCTION("""COMPUTED_VALUE"""),3237788.0)</f>
        <v>3237788</v>
      </c>
    </row>
    <row r="73">
      <c r="A73" s="7">
        <f>IFERROR(__xludf.DUMMYFUNCTION("""COMPUTED_VALUE"""),45702.64583333333)</f>
        <v>45702.64583</v>
      </c>
      <c r="B73" s="6">
        <f>IFERROR(__xludf.DUMMYFUNCTION("""COMPUTED_VALUE"""),3267.0)</f>
        <v>3267</v>
      </c>
      <c r="C73" s="6">
        <f>IFERROR(__xludf.DUMMYFUNCTION("""COMPUTED_VALUE"""),3332.3)</f>
        <v>3332.3</v>
      </c>
      <c r="D73" s="6">
        <f>IFERROR(__xludf.DUMMYFUNCTION("""COMPUTED_VALUE"""),2966.05)</f>
        <v>2966.05</v>
      </c>
      <c r="E73" s="6">
        <f>IFERROR(__xludf.DUMMYFUNCTION("""COMPUTED_VALUE"""),3013.85)</f>
        <v>3013.85</v>
      </c>
      <c r="F73" s="6">
        <f>IFERROR(__xludf.DUMMYFUNCTION("""COMPUTED_VALUE"""),1561573.0)</f>
        <v>1561573</v>
      </c>
    </row>
    <row r="74">
      <c r="A74" s="7">
        <f>IFERROR(__xludf.DUMMYFUNCTION("""COMPUTED_VALUE"""),45709.64583333333)</f>
        <v>45709.64583</v>
      </c>
      <c r="B74" s="6">
        <f>IFERROR(__xludf.DUMMYFUNCTION("""COMPUTED_VALUE"""),2960.5)</f>
        <v>2960.5</v>
      </c>
      <c r="C74" s="6">
        <f>IFERROR(__xludf.DUMMYFUNCTION("""COMPUTED_VALUE"""),3130.0)</f>
        <v>3130</v>
      </c>
      <c r="D74" s="6">
        <f>IFERROR(__xludf.DUMMYFUNCTION("""COMPUTED_VALUE"""),2960.5)</f>
        <v>2960.5</v>
      </c>
      <c r="E74" s="6">
        <f>IFERROR(__xludf.DUMMYFUNCTION("""COMPUTED_VALUE"""),3039.35)</f>
        <v>3039.35</v>
      </c>
      <c r="F74" s="6">
        <f>IFERROR(__xludf.DUMMYFUNCTION("""COMPUTED_VALUE"""),1201543.0)</f>
        <v>1201543</v>
      </c>
    </row>
    <row r="75">
      <c r="A75" s="7">
        <f>IFERROR(__xludf.DUMMYFUNCTION("""COMPUTED_VALUE"""),45716.64583333333)</f>
        <v>45716.64583</v>
      </c>
      <c r="B75" s="6">
        <f>IFERROR(__xludf.DUMMYFUNCTION("""COMPUTED_VALUE"""),3020.1)</f>
        <v>3020.1</v>
      </c>
      <c r="C75" s="6">
        <f>IFERROR(__xludf.DUMMYFUNCTION("""COMPUTED_VALUE"""),3070.0)</f>
        <v>3070</v>
      </c>
      <c r="D75" s="6">
        <f>IFERROR(__xludf.DUMMYFUNCTION("""COMPUTED_VALUE"""),2911.5)</f>
        <v>2911.5</v>
      </c>
      <c r="E75" s="6">
        <f>IFERROR(__xludf.DUMMYFUNCTION("""COMPUTED_VALUE"""),2948.1)</f>
        <v>2948.1</v>
      </c>
      <c r="F75" s="6">
        <f>IFERROR(__xludf.DUMMYFUNCTION("""COMPUTED_VALUE"""),3296756.0)</f>
        <v>3296756</v>
      </c>
    </row>
    <row r="76">
      <c r="A76" s="7">
        <f>IFERROR(__xludf.DUMMYFUNCTION("""COMPUTED_VALUE"""),45723.64583333333)</f>
        <v>45723.64583</v>
      </c>
      <c r="B76" s="6">
        <f>IFERROR(__xludf.DUMMYFUNCTION("""COMPUTED_VALUE"""),2920.0)</f>
        <v>2920</v>
      </c>
      <c r="C76" s="6">
        <f>IFERROR(__xludf.DUMMYFUNCTION("""COMPUTED_VALUE"""),3085.0)</f>
        <v>3085</v>
      </c>
      <c r="D76" s="6">
        <f>IFERROR(__xludf.DUMMYFUNCTION("""COMPUTED_VALUE"""),2886.45)</f>
        <v>2886.45</v>
      </c>
      <c r="E76" s="6">
        <f>IFERROR(__xludf.DUMMYFUNCTION("""COMPUTED_VALUE"""),3073.8)</f>
        <v>3073.8</v>
      </c>
      <c r="F76" s="6">
        <f>IFERROR(__xludf.DUMMYFUNCTION("""COMPUTED_VALUE"""),1430383.0)</f>
        <v>1430383</v>
      </c>
    </row>
    <row r="77">
      <c r="A77" s="7">
        <f>IFERROR(__xludf.DUMMYFUNCTION("""COMPUTED_VALUE"""),45729.64583333333)</f>
        <v>45729.64583</v>
      </c>
      <c r="B77" s="6">
        <f>IFERROR(__xludf.DUMMYFUNCTION("""COMPUTED_VALUE"""),3056.85)</f>
        <v>3056.85</v>
      </c>
      <c r="C77" s="6">
        <f>IFERROR(__xludf.DUMMYFUNCTION("""COMPUTED_VALUE"""),3144.9)</f>
        <v>3144.9</v>
      </c>
      <c r="D77" s="6">
        <f>IFERROR(__xludf.DUMMYFUNCTION("""COMPUTED_VALUE"""),3027.65)</f>
        <v>3027.65</v>
      </c>
      <c r="E77" s="6">
        <f>IFERROR(__xludf.DUMMYFUNCTION("""COMPUTED_VALUE"""),3056.05)</f>
        <v>3056.05</v>
      </c>
      <c r="F77" s="6">
        <f>IFERROR(__xludf.DUMMYFUNCTION("""COMPUTED_VALUE"""),963409.0)</f>
        <v>963409</v>
      </c>
    </row>
    <row r="78">
      <c r="A78" s="7">
        <f>IFERROR(__xludf.DUMMYFUNCTION("""COMPUTED_VALUE"""),45737.64583333333)</f>
        <v>45737.64583</v>
      </c>
      <c r="B78" s="6">
        <f>IFERROR(__xludf.DUMMYFUNCTION("""COMPUTED_VALUE"""),3060.0)</f>
        <v>3060</v>
      </c>
      <c r="C78" s="6">
        <f>IFERROR(__xludf.DUMMYFUNCTION("""COMPUTED_VALUE"""),3275.0)</f>
        <v>3275</v>
      </c>
      <c r="D78" s="6">
        <f>IFERROR(__xludf.DUMMYFUNCTION("""COMPUTED_VALUE"""),3038.4)</f>
        <v>3038.4</v>
      </c>
      <c r="E78" s="6">
        <f>IFERROR(__xludf.DUMMYFUNCTION("""COMPUTED_VALUE"""),3223.1)</f>
        <v>3223.1</v>
      </c>
      <c r="F78" s="6">
        <f>IFERROR(__xludf.DUMMYFUNCTION("""COMPUTED_VALUE"""),1483877.0)</f>
        <v>1483877</v>
      </c>
    </row>
    <row r="79">
      <c r="A79" s="7">
        <f>IFERROR(__xludf.DUMMYFUNCTION("""COMPUTED_VALUE"""),45744.64583333333)</f>
        <v>45744.64583</v>
      </c>
      <c r="B79" s="6">
        <f>IFERROR(__xludf.DUMMYFUNCTION("""COMPUTED_VALUE"""),3236.95)</f>
        <v>3236.95</v>
      </c>
      <c r="C79" s="6">
        <f>IFERROR(__xludf.DUMMYFUNCTION("""COMPUTED_VALUE"""),3300.9)</f>
        <v>3300.9</v>
      </c>
      <c r="D79" s="6">
        <f>IFERROR(__xludf.DUMMYFUNCTION("""COMPUTED_VALUE"""),3152.05)</f>
        <v>3152.05</v>
      </c>
      <c r="E79" s="6">
        <f>IFERROR(__xludf.DUMMYFUNCTION("""COMPUTED_VALUE"""),3227.95)</f>
        <v>3227.95</v>
      </c>
      <c r="F79" s="6">
        <f>IFERROR(__xludf.DUMMYFUNCTION("""COMPUTED_VALUE"""),1579560.0)</f>
        <v>1579560</v>
      </c>
    </row>
    <row r="80">
      <c r="A80" s="7">
        <f>IFERROR(__xludf.DUMMYFUNCTION("""COMPUTED_VALUE"""),45751.64583333333)</f>
        <v>45751.64583</v>
      </c>
      <c r="B80" s="6">
        <f>IFERROR(__xludf.DUMMYFUNCTION("""COMPUTED_VALUE"""),3198.9)</f>
        <v>3198.9</v>
      </c>
      <c r="C80" s="6">
        <f>IFERROR(__xludf.DUMMYFUNCTION("""COMPUTED_VALUE"""),3321.6)</f>
        <v>3321.6</v>
      </c>
      <c r="D80" s="6">
        <f>IFERROR(__xludf.DUMMYFUNCTION("""COMPUTED_VALUE"""),3164.05)</f>
        <v>3164.05</v>
      </c>
      <c r="E80" s="6">
        <f>IFERROR(__xludf.DUMMYFUNCTION("""COMPUTED_VALUE"""),3286.5)</f>
        <v>3286.5</v>
      </c>
      <c r="F80" s="6">
        <f>IFERROR(__xludf.DUMMYFUNCTION("""COMPUTED_VALUE"""),1160436.0)</f>
        <v>1160436</v>
      </c>
    </row>
    <row r="81">
      <c r="A81" s="7">
        <f>IFERROR(__xludf.DUMMYFUNCTION("""COMPUTED_VALUE"""),45758.64583333333)</f>
        <v>45758.64583</v>
      </c>
      <c r="B81" s="6">
        <f>IFERROR(__xludf.DUMMYFUNCTION("""COMPUTED_VALUE"""),3226.0)</f>
        <v>3226</v>
      </c>
      <c r="C81" s="6">
        <f>IFERROR(__xludf.DUMMYFUNCTION("""COMPUTED_VALUE"""),3304.9)</f>
        <v>3304.9</v>
      </c>
      <c r="D81" s="6">
        <f>IFERROR(__xludf.DUMMYFUNCTION("""COMPUTED_VALUE"""),3107.4)</f>
        <v>3107.4</v>
      </c>
      <c r="E81" s="6">
        <f>IFERROR(__xludf.DUMMYFUNCTION("""COMPUTED_VALUE"""),3129.0)</f>
        <v>3129</v>
      </c>
      <c r="F81" s="6">
        <f>IFERROR(__xludf.DUMMYFUNCTION("""COMPUTED_VALUE"""),2634877.0)</f>
        <v>2634877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IFERROR(__xludf.DUMMYFUNCTION("""COMPUTED_VALUE"""),3206.4)</f>
        <v>3206.4</v>
      </c>
      <c r="C82" s="6">
        <f>IFERROR(__xludf.DUMMYFUNCTION("""COMPUTED_VALUE"""),3266.8)</f>
        <v>3266.8</v>
      </c>
      <c r="D82" s="6">
        <f>IFERROR(__xludf.DUMMYFUNCTION("""COMPUTED_VALUE"""),3129.0)</f>
        <v>3129</v>
      </c>
      <c r="E82" s="6">
        <f>IFERROR(__xludf.DUMMYFUNCTION("""COMPUTED_VALUE"""),3254.8)</f>
        <v>3254.8</v>
      </c>
      <c r="F82" s="6">
        <f>IFERROR(__xludf.DUMMYFUNCTION("""COMPUTED_VALUE"""),743062.0)</f>
        <v>743062</v>
      </c>
    </row>
    <row r="83">
      <c r="A83" s="7">
        <f>IFERROR(__xludf.DUMMYFUNCTION("""COMPUTED_VALUE"""),45772.64583333333)</f>
        <v>45772.64583</v>
      </c>
      <c r="B83" s="6">
        <f>IFERROR(__xludf.DUMMYFUNCTION("""COMPUTED_VALUE"""),3280.0)</f>
        <v>3280</v>
      </c>
      <c r="C83" s="6">
        <f>IFERROR(__xludf.DUMMYFUNCTION("""COMPUTED_VALUE"""),3354.9)</f>
        <v>3354.9</v>
      </c>
      <c r="D83" s="6">
        <f>IFERROR(__xludf.DUMMYFUNCTION("""COMPUTED_VALUE"""),3168.8)</f>
        <v>3168.8</v>
      </c>
      <c r="E83" s="6">
        <f>IFERROR(__xludf.DUMMYFUNCTION("""COMPUTED_VALUE"""),3238.9)</f>
        <v>3238.9</v>
      </c>
      <c r="F83" s="6">
        <f>IFERROR(__xludf.DUMMYFUNCTION("""COMPUTED_VALUE"""),1596639.0)</f>
        <v>1596639</v>
      </c>
    </row>
    <row r="84">
      <c r="A84" s="7">
        <f>IFERROR(__xludf.DUMMYFUNCTION("""COMPUTED_VALUE"""),45779.64583333333)</f>
        <v>45779.64583</v>
      </c>
      <c r="B84" s="6">
        <f>IFERROR(__xludf.DUMMYFUNCTION("""COMPUTED_VALUE"""),3240.0)</f>
        <v>3240</v>
      </c>
      <c r="C84" s="6">
        <f>IFERROR(__xludf.DUMMYFUNCTION("""COMPUTED_VALUE"""),3360.0)</f>
        <v>3360</v>
      </c>
      <c r="D84" s="6">
        <f>IFERROR(__xludf.DUMMYFUNCTION("""COMPUTED_VALUE"""),3226.6)</f>
        <v>3226.6</v>
      </c>
      <c r="E84" s="6">
        <f>IFERROR(__xludf.DUMMYFUNCTION("""COMPUTED_VALUE"""),3255.2)</f>
        <v>3255.2</v>
      </c>
      <c r="F84" s="6">
        <f>IFERROR(__xludf.DUMMYFUNCTION("""COMPUTED_VALUE"""),1903864.0)</f>
        <v>1903864</v>
      </c>
    </row>
    <row r="85">
      <c r="A85" s="7">
        <f>IFERROR(__xludf.DUMMYFUNCTION("""COMPUTED_VALUE"""),45786.64583333333)</f>
        <v>45786.64583</v>
      </c>
      <c r="B85" s="6">
        <f>IFERROR(__xludf.DUMMYFUNCTION("""COMPUTED_VALUE"""),3258.9)</f>
        <v>3258.9</v>
      </c>
      <c r="C85" s="6">
        <f>IFERROR(__xludf.DUMMYFUNCTION("""COMPUTED_VALUE"""),3327.0)</f>
        <v>3327</v>
      </c>
      <c r="D85" s="6">
        <f>IFERROR(__xludf.DUMMYFUNCTION("""COMPUTED_VALUE"""),3101.6)</f>
        <v>3101.6</v>
      </c>
      <c r="E85" s="6">
        <f>IFERROR(__xludf.DUMMYFUNCTION("""COMPUTED_VALUE"""),3141.2)</f>
        <v>3141.2</v>
      </c>
      <c r="F85" s="6">
        <f>IFERROR(__xludf.DUMMYFUNCTION("""COMPUTED_VALUE"""),1217320.0)</f>
        <v>1217320</v>
      </c>
    </row>
    <row r="86">
      <c r="A86" s="7">
        <f>IFERROR(__xludf.DUMMYFUNCTION("""COMPUTED_VALUE"""),45793.64583333333)</f>
        <v>45793.64583</v>
      </c>
      <c r="B86" s="6">
        <f>IFERROR(__xludf.DUMMYFUNCTION("""COMPUTED_VALUE"""),3152.0)</f>
        <v>3152</v>
      </c>
      <c r="C86" s="6">
        <f>IFERROR(__xludf.DUMMYFUNCTION("""COMPUTED_VALUE"""),3289.0)</f>
        <v>3289</v>
      </c>
      <c r="D86" s="6">
        <f>IFERROR(__xludf.DUMMYFUNCTION("""COMPUTED_VALUE"""),3115.7)</f>
        <v>3115.7</v>
      </c>
      <c r="E86" s="6">
        <f>IFERROR(__xludf.DUMMYFUNCTION("""COMPUTED_VALUE"""),3266.8)</f>
        <v>3266.8</v>
      </c>
      <c r="F86" s="6">
        <f>IFERROR(__xludf.DUMMYFUNCTION("""COMPUTED_VALUE"""),1141098.0)</f>
        <v>1141098</v>
      </c>
    </row>
    <row r="87">
      <c r="A87" s="7">
        <f>IFERROR(__xludf.DUMMYFUNCTION("""COMPUTED_VALUE"""),45800.64583333333)</f>
        <v>45800.64583</v>
      </c>
      <c r="B87" s="6">
        <f>IFERROR(__xludf.DUMMYFUNCTION("""COMPUTED_VALUE"""),3267.2)</f>
        <v>3267.2</v>
      </c>
      <c r="C87" s="6">
        <f>IFERROR(__xludf.DUMMYFUNCTION("""COMPUTED_VALUE"""),3371.9)</f>
        <v>3371.9</v>
      </c>
      <c r="D87" s="6">
        <f>IFERROR(__xludf.DUMMYFUNCTION("""COMPUTED_VALUE"""),3160.0)</f>
        <v>3160</v>
      </c>
      <c r="E87" s="6">
        <f>IFERROR(__xludf.DUMMYFUNCTION("""COMPUTED_VALUE"""),3174.7)</f>
        <v>3174.7</v>
      </c>
      <c r="F87" s="6">
        <f>IFERROR(__xludf.DUMMYFUNCTION("""COMPUTED_VALUE"""),2553893.0)</f>
        <v>2553893</v>
      </c>
    </row>
    <row r="88">
      <c r="A88" s="7">
        <f>IFERROR(__xludf.DUMMYFUNCTION("""COMPUTED_VALUE"""),45807.64583333333)</f>
        <v>45807.64583</v>
      </c>
      <c r="B88" s="6">
        <f>IFERROR(__xludf.DUMMYFUNCTION("""COMPUTED_VALUE"""),3202.0)</f>
        <v>3202</v>
      </c>
      <c r="C88" s="6">
        <f>IFERROR(__xludf.DUMMYFUNCTION("""COMPUTED_VALUE"""),3215.0)</f>
        <v>3215</v>
      </c>
      <c r="D88" s="6">
        <f>IFERROR(__xludf.DUMMYFUNCTION("""COMPUTED_VALUE"""),3131.1)</f>
        <v>3131.1</v>
      </c>
      <c r="E88" s="6">
        <f>IFERROR(__xludf.DUMMYFUNCTION("""COMPUTED_VALUE"""),3174.7)</f>
        <v>3174.7</v>
      </c>
      <c r="F88" s="6">
        <f>IFERROR(__xludf.DUMMYFUNCTION("""COMPUTED_VALUE"""),1829319.0)</f>
        <v>1829319</v>
      </c>
    </row>
    <row r="89">
      <c r="A89" s="7">
        <f>IFERROR(__xludf.DUMMYFUNCTION("""COMPUTED_VALUE"""),45814.64583333333)</f>
        <v>45814.64583</v>
      </c>
      <c r="B89" s="6">
        <f>IFERROR(__xludf.DUMMYFUNCTION("""COMPUTED_VALUE"""),3153.0)</f>
        <v>3153</v>
      </c>
      <c r="C89" s="6">
        <f>IFERROR(__xludf.DUMMYFUNCTION("""COMPUTED_VALUE"""),3169.8)</f>
        <v>3169.8</v>
      </c>
      <c r="D89" s="6">
        <f>IFERROR(__xludf.DUMMYFUNCTION("""COMPUTED_VALUE"""),3102.0)</f>
        <v>3102</v>
      </c>
      <c r="E89" s="6">
        <f>IFERROR(__xludf.DUMMYFUNCTION("""COMPUTED_VALUE"""),3154.3)</f>
        <v>3154.3</v>
      </c>
      <c r="F89" s="6">
        <f>IFERROR(__xludf.DUMMYFUNCTION("""COMPUTED_VALUE"""),1484228.0)</f>
        <v>1484228</v>
      </c>
    </row>
    <row r="90">
      <c r="A90" s="7">
        <f>IFERROR(__xludf.DUMMYFUNCTION("""COMPUTED_VALUE"""),45821.64583333333)</f>
        <v>45821.64583</v>
      </c>
      <c r="B90" s="6">
        <f>IFERROR(__xludf.DUMMYFUNCTION("""COMPUTED_VALUE"""),3160.0)</f>
        <v>3160</v>
      </c>
      <c r="C90" s="6">
        <f>IFERROR(__xludf.DUMMYFUNCTION("""COMPUTED_VALUE"""),3269.9)</f>
        <v>3269.9</v>
      </c>
      <c r="D90" s="6">
        <f>IFERROR(__xludf.DUMMYFUNCTION("""COMPUTED_VALUE"""),3146.2)</f>
        <v>3146.2</v>
      </c>
      <c r="E90" s="6">
        <f>IFERROR(__xludf.DUMMYFUNCTION("""COMPUTED_VALUE"""),3252.5)</f>
        <v>3252.5</v>
      </c>
      <c r="F90" s="6">
        <f>IFERROR(__xludf.DUMMYFUNCTION("""COMPUTED_VALUE"""),1850873.0)</f>
        <v>1850873</v>
      </c>
    </row>
    <row r="91">
      <c r="A91" s="7">
        <f>IFERROR(__xludf.DUMMYFUNCTION("""COMPUTED_VALUE"""),45828.64583333333)</f>
        <v>45828.64583</v>
      </c>
      <c r="B91" s="6">
        <f>IFERROR(__xludf.DUMMYFUNCTION("""COMPUTED_VALUE"""),3250.0)</f>
        <v>3250</v>
      </c>
      <c r="C91" s="6">
        <f>IFERROR(__xludf.DUMMYFUNCTION("""COMPUTED_VALUE"""),3295.0)</f>
        <v>3295</v>
      </c>
      <c r="D91" s="6">
        <f>IFERROR(__xludf.DUMMYFUNCTION("""COMPUTED_VALUE"""),3150.0)</f>
        <v>3150</v>
      </c>
      <c r="E91" s="6">
        <f>IFERROR(__xludf.DUMMYFUNCTION("""COMPUTED_VALUE"""),3167.2)</f>
        <v>3167.2</v>
      </c>
      <c r="F91" s="6">
        <f>IFERROR(__xludf.DUMMYFUNCTION("""COMPUTED_VALUE"""),1501145.0)</f>
        <v>1501145</v>
      </c>
    </row>
    <row r="92">
      <c r="A92" s="7">
        <f>IFERROR(__xludf.DUMMYFUNCTION("""COMPUTED_VALUE"""),45835.64583333333)</f>
        <v>45835.64583</v>
      </c>
      <c r="B92" s="6">
        <f>IFERROR(__xludf.DUMMYFUNCTION("""COMPUTED_VALUE"""),3146.2)</f>
        <v>3146.2</v>
      </c>
      <c r="C92" s="6">
        <f>IFERROR(__xludf.DUMMYFUNCTION("""COMPUTED_VALUE"""),3377.0)</f>
        <v>3377</v>
      </c>
      <c r="D92" s="6">
        <f>IFERROR(__xludf.DUMMYFUNCTION("""COMPUTED_VALUE"""),3140.1)</f>
        <v>3140.1</v>
      </c>
      <c r="E92" s="6">
        <f>IFERROR(__xludf.DUMMYFUNCTION("""COMPUTED_VALUE"""),3341.4)</f>
        <v>3341.4</v>
      </c>
      <c r="F92" s="6">
        <f>IFERROR(__xludf.DUMMYFUNCTION("""COMPUTED_VALUE"""),2905714.0)</f>
        <v>2905714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IFERROR(__xludf.DUMMYFUNCTION("""COMPUTED_VALUE"""),3416.0)</f>
        <v>3416</v>
      </c>
      <c r="C93" s="6">
        <f>IFERROR(__xludf.DUMMYFUNCTION("""COMPUTED_VALUE"""),3488.9)</f>
        <v>3488.9</v>
      </c>
      <c r="D93" s="6">
        <f>IFERROR(__xludf.DUMMYFUNCTION("""COMPUTED_VALUE"""),3287.3)</f>
        <v>3287.3</v>
      </c>
      <c r="E93" s="6">
        <f>IFERROR(__xludf.DUMMYFUNCTION("""COMPUTED_VALUE"""),3368.0)</f>
        <v>3368</v>
      </c>
      <c r="F93" s="6">
        <f>IFERROR(__xludf.DUMMYFUNCTION("""COMPUTED_VALUE"""),5106994.0)</f>
        <v>5106994</v>
      </c>
    </row>
    <row r="94">
      <c r="A94" s="7">
        <f>IFERROR(__xludf.DUMMYFUNCTION("""COMPUTED_VALUE"""),45849.64583333333)</f>
        <v>45849.64583</v>
      </c>
      <c r="B94" s="6">
        <f>IFERROR(__xludf.DUMMYFUNCTION("""COMPUTED_VALUE"""),3368.0)</f>
        <v>3368</v>
      </c>
      <c r="C94" s="6">
        <f>IFERROR(__xludf.DUMMYFUNCTION("""COMPUTED_VALUE"""),3372.4)</f>
        <v>3372.4</v>
      </c>
      <c r="D94" s="6">
        <f>IFERROR(__xludf.DUMMYFUNCTION("""COMPUTED_VALUE"""),3295.3)</f>
        <v>3295.3</v>
      </c>
      <c r="E94" s="6">
        <f>IFERROR(__xludf.DUMMYFUNCTION("""COMPUTED_VALUE"""),3314.2)</f>
        <v>3314.2</v>
      </c>
      <c r="F94" s="6">
        <f>IFERROR(__xludf.DUMMYFUNCTION("""COMPUTED_VALUE"""),2202392.0)</f>
        <v>2202392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IFERROR(__xludf.DUMMYFUNCTION("""COMPUTED_VALUE"""),3315.0)</f>
        <v>3315</v>
      </c>
      <c r="C95" s="6">
        <f>IFERROR(__xludf.DUMMYFUNCTION("""COMPUTED_VALUE"""),3545.0)</f>
        <v>3545</v>
      </c>
      <c r="D95" s="6">
        <f>IFERROR(__xludf.DUMMYFUNCTION("""COMPUTED_VALUE"""),3314.2)</f>
        <v>3314.2</v>
      </c>
      <c r="E95" s="6">
        <f>IFERROR(__xludf.DUMMYFUNCTION("""COMPUTED_VALUE"""),3521.4)</f>
        <v>3521.4</v>
      </c>
      <c r="F95" s="6">
        <f>IFERROR(__xludf.DUMMYFUNCTION("""COMPUTED_VALUE"""),2721423.0)</f>
        <v>2721423</v>
      </c>
    </row>
    <row r="96">
      <c r="A96" s="7">
        <f>IFERROR(__xludf.DUMMYFUNCTION("""COMPUTED_VALUE"""),45863.64583333333)</f>
        <v>45863.64583</v>
      </c>
      <c r="B96" s="6">
        <f>IFERROR(__xludf.DUMMYFUNCTION("""COMPUTED_VALUE"""),3521.4)</f>
        <v>3521.4</v>
      </c>
      <c r="C96" s="6">
        <f>IFERROR(__xludf.DUMMYFUNCTION("""COMPUTED_VALUE"""),3613.9)</f>
        <v>3613.9</v>
      </c>
      <c r="D96" s="6">
        <f>IFERROR(__xludf.DUMMYFUNCTION("""COMPUTED_VALUE"""),3468.0)</f>
        <v>3468</v>
      </c>
      <c r="E96" s="6">
        <f>IFERROR(__xludf.DUMMYFUNCTION("""COMPUTED_VALUE"""),3603.8)</f>
        <v>3603.8</v>
      </c>
      <c r="F96" s="6">
        <f>IFERROR(__xludf.DUMMYFUNCTION("""COMPUTED_VALUE"""),2658927.0)</f>
        <v>2658927</v>
      </c>
    </row>
    <row r="97">
      <c r="A97" s="7">
        <f>IFERROR(__xludf.DUMMYFUNCTION("""COMPUTED_VALUE"""),45870.64583333333)</f>
        <v>45870.64583</v>
      </c>
      <c r="B97" s="6">
        <f>IFERROR(__xludf.DUMMYFUNCTION("""COMPUTED_VALUE"""),3621.7)</f>
        <v>3621.7</v>
      </c>
      <c r="C97" s="6">
        <f>IFERROR(__xludf.DUMMYFUNCTION("""COMPUTED_VALUE"""),3787.9)</f>
        <v>3787.9</v>
      </c>
      <c r="D97" s="6">
        <f>IFERROR(__xludf.DUMMYFUNCTION("""COMPUTED_VALUE"""),3578.6)</f>
        <v>3578.6</v>
      </c>
      <c r="E97" s="6">
        <f>IFERROR(__xludf.DUMMYFUNCTION("""COMPUTED_VALUE"""),3678.2)</f>
        <v>3678.2</v>
      </c>
      <c r="F97" s="6">
        <f>IFERROR(__xludf.DUMMYFUNCTION("""COMPUTED_VALUE"""),3438291.0)</f>
        <v>3438291</v>
      </c>
    </row>
    <row r="98">
      <c r="A98" s="7">
        <f>IFERROR(__xludf.DUMMYFUNCTION("""COMPUTED_VALUE"""),45877.64583333333)</f>
        <v>45877.64583</v>
      </c>
      <c r="B98" s="6">
        <f>IFERROR(__xludf.DUMMYFUNCTION("""COMPUTED_VALUE"""),3658.3)</f>
        <v>3658.3</v>
      </c>
      <c r="C98" s="6">
        <f>IFERROR(__xludf.DUMMYFUNCTION("""COMPUTED_VALUE"""),3675.5)</f>
        <v>3675.5</v>
      </c>
      <c r="D98" s="6">
        <f>IFERROR(__xludf.DUMMYFUNCTION("""COMPUTED_VALUE"""),3490.2)</f>
        <v>3490.2</v>
      </c>
      <c r="E98" s="6">
        <f>IFERROR(__xludf.DUMMYFUNCTION("""COMPUTED_VALUE"""),3573.2)</f>
        <v>3573.2</v>
      </c>
      <c r="F98" s="6">
        <f>IFERROR(__xludf.DUMMYFUNCTION("""COMPUTED_VALUE"""),1526751.0)</f>
        <v>1526751</v>
      </c>
    </row>
    <row r="99">
      <c r="A99" s="7">
        <f>IFERROR(__xludf.DUMMYFUNCTION("""COMPUTED_VALUE"""),45883.64583333333)</f>
        <v>45883.64583</v>
      </c>
      <c r="B99" s="6">
        <f>IFERROR(__xludf.DUMMYFUNCTION("""COMPUTED_VALUE"""),3573.2)</f>
        <v>3573.2</v>
      </c>
      <c r="C99" s="6">
        <f>IFERROR(__xludf.DUMMYFUNCTION("""COMPUTED_VALUE"""),3652.3)</f>
        <v>3652.3</v>
      </c>
      <c r="D99" s="6">
        <f>IFERROR(__xludf.DUMMYFUNCTION("""COMPUTED_VALUE"""),3558.0)</f>
        <v>3558</v>
      </c>
      <c r="E99" s="6">
        <f>IFERROR(__xludf.DUMMYFUNCTION("""COMPUTED_VALUE"""),3623.0)</f>
        <v>3623</v>
      </c>
      <c r="F99" s="6">
        <f>IFERROR(__xludf.DUMMYFUNCTION("""COMPUTED_VALUE"""),1025704.0)</f>
        <v>1025704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IFERROR(__xludf.DUMMYFUNCTION("""COMPUTED_VALUE"""),3645.5)</f>
        <v>3645.5</v>
      </c>
      <c r="C100" s="6">
        <f>IFERROR(__xludf.DUMMYFUNCTION("""COMPUTED_VALUE"""),3698.0)</f>
        <v>3698</v>
      </c>
      <c r="D100" s="6">
        <f>IFERROR(__xludf.DUMMYFUNCTION("""COMPUTED_VALUE"""),3587.2)</f>
        <v>3587.2</v>
      </c>
      <c r="E100" s="6">
        <f>IFERROR(__xludf.DUMMYFUNCTION("""COMPUTED_VALUE"""),3685.3)</f>
        <v>3685.3</v>
      </c>
      <c r="F100" s="6">
        <f>IFERROR(__xludf.DUMMYFUNCTION("""COMPUTED_VALUE"""),1379309.0)</f>
        <v>1379309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IFERROR(__xludf.DUMMYFUNCTION("""COMPUTED_VALUE"""),3689.9)</f>
        <v>3689.9</v>
      </c>
      <c r="C101" s="6">
        <f>IFERROR(__xludf.DUMMYFUNCTION("""COMPUTED_VALUE"""),3700.0)</f>
        <v>3700</v>
      </c>
      <c r="D101" s="6">
        <f>IFERROR(__xludf.DUMMYFUNCTION("""COMPUTED_VALUE"""),3580.2)</f>
        <v>3580.2</v>
      </c>
      <c r="E101" s="6">
        <f>IFERROR(__xludf.DUMMYFUNCTION("""COMPUTED_VALUE"""),3604.8)</f>
        <v>3604.8</v>
      </c>
      <c r="F101" s="6">
        <f>IFERROR(__xludf.DUMMYFUNCTION("""COMPUTED_VALUE"""),5494429.0)</f>
        <v>5494429</v>
      </c>
    </row>
  </sheetData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IFERROR(__xludf.DUMMYFUNCTION("GOOGLEFINANCE(""NSE:TORNTPOWER"",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IFERROR(__xludf.DUMMYFUNCTION("""COMPUTED_VALUE"""),670.0)</f>
        <v>670</v>
      </c>
      <c r="C2" s="6">
        <f>IFERROR(__xludf.DUMMYFUNCTION("""COMPUTED_VALUE"""),675.0)</f>
        <v>675</v>
      </c>
      <c r="D2" s="6">
        <f>IFERROR(__xludf.DUMMYFUNCTION("""COMPUTED_VALUE"""),652.8)</f>
        <v>652.8</v>
      </c>
      <c r="E2" s="6">
        <f>IFERROR(__xludf.DUMMYFUNCTION("""COMPUTED_VALUE"""),665.2)</f>
        <v>665.2</v>
      </c>
      <c r="F2" s="6">
        <f>IFERROR(__xludf.DUMMYFUNCTION("""COMPUTED_VALUE"""),1063560.0)</f>
        <v>1063560</v>
      </c>
    </row>
    <row r="3">
      <c r="A3" s="7">
        <f>IFERROR(__xludf.DUMMYFUNCTION("""COMPUTED_VALUE"""),45177.64583333333)</f>
        <v>45177.64583</v>
      </c>
      <c r="B3" s="6">
        <f>IFERROR(__xludf.DUMMYFUNCTION("""COMPUTED_VALUE"""),668.7)</f>
        <v>668.7</v>
      </c>
      <c r="C3" s="6">
        <f>IFERROR(__xludf.DUMMYFUNCTION("""COMPUTED_VALUE"""),732.4)</f>
        <v>732.4</v>
      </c>
      <c r="D3" s="6">
        <f>IFERROR(__xludf.DUMMYFUNCTION("""COMPUTED_VALUE"""),662.5)</f>
        <v>662.5</v>
      </c>
      <c r="E3" s="6">
        <f>IFERROR(__xludf.DUMMYFUNCTION("""COMPUTED_VALUE"""),725.45)</f>
        <v>725.45</v>
      </c>
      <c r="F3" s="6">
        <f>IFERROR(__xludf.DUMMYFUNCTION("""COMPUTED_VALUE"""),4224782.0)</f>
        <v>4224782</v>
      </c>
    </row>
    <row r="4">
      <c r="A4" s="7">
        <f>IFERROR(__xludf.DUMMYFUNCTION("""COMPUTED_VALUE"""),45184.64583333333)</f>
        <v>45184.64583</v>
      </c>
      <c r="B4" s="6">
        <f>IFERROR(__xludf.DUMMYFUNCTION("""COMPUTED_VALUE"""),722.95)</f>
        <v>722.95</v>
      </c>
      <c r="C4" s="6">
        <f>IFERROR(__xludf.DUMMYFUNCTION("""COMPUTED_VALUE"""),745.5)</f>
        <v>745.5</v>
      </c>
      <c r="D4" s="6">
        <f>IFERROR(__xludf.DUMMYFUNCTION("""COMPUTED_VALUE"""),697.0)</f>
        <v>697</v>
      </c>
      <c r="E4" s="6">
        <f>IFERROR(__xludf.DUMMYFUNCTION("""COMPUTED_VALUE"""),724.15)</f>
        <v>724.15</v>
      </c>
      <c r="F4" s="6">
        <f>IFERROR(__xludf.DUMMYFUNCTION("""COMPUTED_VALUE"""),3056521.0)</f>
        <v>3056521</v>
      </c>
    </row>
    <row r="5">
      <c r="A5" s="7">
        <f>IFERROR(__xludf.DUMMYFUNCTION("""COMPUTED_VALUE"""),45191.64583333333)</f>
        <v>45191.64583</v>
      </c>
      <c r="B5" s="6">
        <f>IFERROR(__xludf.DUMMYFUNCTION("""COMPUTED_VALUE"""),720.05)</f>
        <v>720.05</v>
      </c>
      <c r="C5" s="6">
        <f>IFERROR(__xludf.DUMMYFUNCTION("""COMPUTED_VALUE"""),732.45)</f>
        <v>732.45</v>
      </c>
      <c r="D5" s="6">
        <f>IFERROR(__xludf.DUMMYFUNCTION("""COMPUTED_VALUE"""),706.05)</f>
        <v>706.05</v>
      </c>
      <c r="E5" s="6">
        <f>IFERROR(__xludf.DUMMYFUNCTION("""COMPUTED_VALUE"""),711.05)</f>
        <v>711.05</v>
      </c>
      <c r="F5" s="6">
        <f>IFERROR(__xludf.DUMMYFUNCTION("""COMPUTED_VALUE"""),764865.0)</f>
        <v>764865</v>
      </c>
    </row>
    <row r="6">
      <c r="A6" s="7">
        <f>IFERROR(__xludf.DUMMYFUNCTION("""COMPUTED_VALUE"""),45198.64583333333)</f>
        <v>45198.64583</v>
      </c>
      <c r="B6" s="6">
        <f>IFERROR(__xludf.DUMMYFUNCTION("""COMPUTED_VALUE"""),711.0)</f>
        <v>711</v>
      </c>
      <c r="C6" s="6">
        <f>IFERROR(__xludf.DUMMYFUNCTION("""COMPUTED_VALUE"""),747.75)</f>
        <v>747.75</v>
      </c>
      <c r="D6" s="6">
        <f>IFERROR(__xludf.DUMMYFUNCTION("""COMPUTED_VALUE"""),710.2)</f>
        <v>710.2</v>
      </c>
      <c r="E6" s="6">
        <f>IFERROR(__xludf.DUMMYFUNCTION("""COMPUTED_VALUE"""),738.5)</f>
        <v>738.5</v>
      </c>
      <c r="F6" s="6">
        <f>IFERROR(__xludf.DUMMYFUNCTION("""COMPUTED_VALUE"""),1885870.0)</f>
        <v>1885870</v>
      </c>
    </row>
    <row r="7">
      <c r="A7" s="7">
        <f>IFERROR(__xludf.DUMMYFUNCTION("""COMPUTED_VALUE"""),45205.64583333333)</f>
        <v>45205.64583</v>
      </c>
      <c r="B7" s="6">
        <f>IFERROR(__xludf.DUMMYFUNCTION("""COMPUTED_VALUE"""),738.05)</f>
        <v>738.05</v>
      </c>
      <c r="C7" s="6">
        <f>IFERROR(__xludf.DUMMYFUNCTION("""COMPUTED_VALUE"""),760.9)</f>
        <v>760.9</v>
      </c>
      <c r="D7" s="6">
        <f>IFERROR(__xludf.DUMMYFUNCTION("""COMPUTED_VALUE"""),725.05)</f>
        <v>725.05</v>
      </c>
      <c r="E7" s="6">
        <f>IFERROR(__xludf.DUMMYFUNCTION("""COMPUTED_VALUE"""),730.05)</f>
        <v>730.05</v>
      </c>
      <c r="F7" s="6">
        <f>IFERROR(__xludf.DUMMYFUNCTION("""COMPUTED_VALUE"""),640476.0)</f>
        <v>640476</v>
      </c>
    </row>
    <row r="8">
      <c r="A8" s="7">
        <f>IFERROR(__xludf.DUMMYFUNCTION("""COMPUTED_VALUE"""),45212.64583333333)</f>
        <v>45212.64583</v>
      </c>
      <c r="B8" s="6">
        <f>IFERROR(__xludf.DUMMYFUNCTION("""COMPUTED_VALUE"""),716.0)</f>
        <v>716</v>
      </c>
      <c r="C8" s="6">
        <f>IFERROR(__xludf.DUMMYFUNCTION("""COMPUTED_VALUE"""),760.8)</f>
        <v>760.8</v>
      </c>
      <c r="D8" s="6">
        <f>IFERROR(__xludf.DUMMYFUNCTION("""COMPUTED_VALUE"""),708.35)</f>
        <v>708.35</v>
      </c>
      <c r="E8" s="6">
        <f>IFERROR(__xludf.DUMMYFUNCTION("""COMPUTED_VALUE"""),729.95)</f>
        <v>729.95</v>
      </c>
      <c r="F8" s="6">
        <f>IFERROR(__xludf.DUMMYFUNCTION("""COMPUTED_VALUE"""),1659416.0)</f>
        <v>1659416</v>
      </c>
    </row>
    <row r="9">
      <c r="A9" s="7">
        <f>IFERROR(__xludf.DUMMYFUNCTION("""COMPUTED_VALUE"""),45219.64583333333)</f>
        <v>45219.64583</v>
      </c>
      <c r="B9" s="6">
        <f>IFERROR(__xludf.DUMMYFUNCTION("""COMPUTED_VALUE"""),728.05)</f>
        <v>728.05</v>
      </c>
      <c r="C9" s="6">
        <f>IFERROR(__xludf.DUMMYFUNCTION("""COMPUTED_VALUE"""),743.2)</f>
        <v>743.2</v>
      </c>
      <c r="D9" s="6">
        <f>IFERROR(__xludf.DUMMYFUNCTION("""COMPUTED_VALUE"""),711.9)</f>
        <v>711.9</v>
      </c>
      <c r="E9" s="6">
        <f>IFERROR(__xludf.DUMMYFUNCTION("""COMPUTED_VALUE"""),735.4)</f>
        <v>735.4</v>
      </c>
      <c r="F9" s="6">
        <f>IFERROR(__xludf.DUMMYFUNCTION("""COMPUTED_VALUE"""),1679459.0)</f>
        <v>1679459</v>
      </c>
    </row>
    <row r="10">
      <c r="A10" s="7">
        <f>IFERROR(__xludf.DUMMYFUNCTION("""COMPUTED_VALUE"""),45226.64583333333)</f>
        <v>45226.64583</v>
      </c>
      <c r="B10" s="6">
        <f>IFERROR(__xludf.DUMMYFUNCTION("""COMPUTED_VALUE"""),735.4)</f>
        <v>735.4</v>
      </c>
      <c r="C10" s="6">
        <f>IFERROR(__xludf.DUMMYFUNCTION("""COMPUTED_VALUE"""),740.45)</f>
        <v>740.45</v>
      </c>
      <c r="D10" s="6">
        <f>IFERROR(__xludf.DUMMYFUNCTION("""COMPUTED_VALUE"""),691.95)</f>
        <v>691.95</v>
      </c>
      <c r="E10" s="6">
        <f>IFERROR(__xludf.DUMMYFUNCTION("""COMPUTED_VALUE"""),719.95)</f>
        <v>719.95</v>
      </c>
      <c r="F10" s="6">
        <f>IFERROR(__xludf.DUMMYFUNCTION("""COMPUTED_VALUE"""),1612107.0)</f>
        <v>1612107</v>
      </c>
    </row>
    <row r="11">
      <c r="A11" s="7">
        <f>IFERROR(__xludf.DUMMYFUNCTION("""COMPUTED_VALUE"""),45233.64583333333)</f>
        <v>45233.64583</v>
      </c>
      <c r="B11" s="6">
        <f>IFERROR(__xludf.DUMMYFUNCTION("""COMPUTED_VALUE"""),719.95)</f>
        <v>719.95</v>
      </c>
      <c r="C11" s="6">
        <f>IFERROR(__xludf.DUMMYFUNCTION("""COMPUTED_VALUE"""),768.9)</f>
        <v>768.9</v>
      </c>
      <c r="D11" s="6">
        <f>IFERROR(__xludf.DUMMYFUNCTION("""COMPUTED_VALUE"""),714.8)</f>
        <v>714.8</v>
      </c>
      <c r="E11" s="6">
        <f>IFERROR(__xludf.DUMMYFUNCTION("""COMPUTED_VALUE"""),745.5)</f>
        <v>745.5</v>
      </c>
      <c r="F11" s="6">
        <f>IFERROR(__xludf.DUMMYFUNCTION("""COMPUTED_VALUE"""),2148608.0)</f>
        <v>2148608</v>
      </c>
    </row>
    <row r="12">
      <c r="A12" s="7">
        <f>IFERROR(__xludf.DUMMYFUNCTION("""COMPUTED_VALUE"""),45240.64583333333)</f>
        <v>45240.64583</v>
      </c>
      <c r="B12" s="6">
        <f>IFERROR(__xludf.DUMMYFUNCTION("""COMPUTED_VALUE"""),749.9)</f>
        <v>749.9</v>
      </c>
      <c r="C12" s="6">
        <f>IFERROR(__xludf.DUMMYFUNCTION("""COMPUTED_VALUE"""),800.0)</f>
        <v>800</v>
      </c>
      <c r="D12" s="6">
        <f>IFERROR(__xludf.DUMMYFUNCTION("""COMPUTED_VALUE"""),737.75)</f>
        <v>737.75</v>
      </c>
      <c r="E12" s="6">
        <f>IFERROR(__xludf.DUMMYFUNCTION("""COMPUTED_VALUE"""),777.65)</f>
        <v>777.65</v>
      </c>
      <c r="F12" s="6">
        <f>IFERROR(__xludf.DUMMYFUNCTION("""COMPUTED_VALUE"""),2040124.0)</f>
        <v>2040124</v>
      </c>
    </row>
    <row r="13">
      <c r="A13" s="7">
        <f>IFERROR(__xludf.DUMMYFUNCTION("""COMPUTED_VALUE"""),45247.64583333333)</f>
        <v>45247.64583</v>
      </c>
      <c r="B13" s="6">
        <f>IFERROR(__xludf.DUMMYFUNCTION("""COMPUTED_VALUE"""),782.05)</f>
        <v>782.05</v>
      </c>
      <c r="C13" s="6">
        <f>IFERROR(__xludf.DUMMYFUNCTION("""COMPUTED_VALUE"""),854.5)</f>
        <v>854.5</v>
      </c>
      <c r="D13" s="6">
        <f>IFERROR(__xludf.DUMMYFUNCTION("""COMPUTED_VALUE"""),776.0)</f>
        <v>776</v>
      </c>
      <c r="E13" s="6">
        <f>IFERROR(__xludf.DUMMYFUNCTION("""COMPUTED_VALUE"""),834.0)</f>
        <v>834</v>
      </c>
      <c r="F13" s="6">
        <f>IFERROR(__xludf.DUMMYFUNCTION("""COMPUTED_VALUE"""),3468311.0)</f>
        <v>3468311</v>
      </c>
    </row>
    <row r="14">
      <c r="A14" s="7">
        <f>IFERROR(__xludf.DUMMYFUNCTION("""COMPUTED_VALUE"""),45254.64583333333)</f>
        <v>45254.64583</v>
      </c>
      <c r="B14" s="6">
        <f>IFERROR(__xludf.DUMMYFUNCTION("""COMPUTED_VALUE"""),833.05)</f>
        <v>833.05</v>
      </c>
      <c r="C14" s="6">
        <f>IFERROR(__xludf.DUMMYFUNCTION("""COMPUTED_VALUE"""),841.0)</f>
        <v>841</v>
      </c>
      <c r="D14" s="6">
        <f>IFERROR(__xludf.DUMMYFUNCTION("""COMPUTED_VALUE"""),784.2)</f>
        <v>784.2</v>
      </c>
      <c r="E14" s="6">
        <f>IFERROR(__xludf.DUMMYFUNCTION("""COMPUTED_VALUE"""),816.0)</f>
        <v>816</v>
      </c>
      <c r="F14" s="6">
        <f>IFERROR(__xludf.DUMMYFUNCTION("""COMPUTED_VALUE"""),1570405.0)</f>
        <v>1570405</v>
      </c>
    </row>
    <row r="15">
      <c r="A15" s="7">
        <f>IFERROR(__xludf.DUMMYFUNCTION("""COMPUTED_VALUE"""),45261.64583333333)</f>
        <v>45261.64583</v>
      </c>
      <c r="B15" s="6">
        <f>IFERROR(__xludf.DUMMYFUNCTION("""COMPUTED_VALUE"""),817.95)</f>
        <v>817.95</v>
      </c>
      <c r="C15" s="6">
        <f>IFERROR(__xludf.DUMMYFUNCTION("""COMPUTED_VALUE"""),1004.0)</f>
        <v>1004</v>
      </c>
      <c r="D15" s="6">
        <f>IFERROR(__xludf.DUMMYFUNCTION("""COMPUTED_VALUE"""),817.95)</f>
        <v>817.95</v>
      </c>
      <c r="E15" s="6">
        <f>IFERROR(__xludf.DUMMYFUNCTION("""COMPUTED_VALUE"""),952.45)</f>
        <v>952.45</v>
      </c>
      <c r="F15" s="6">
        <f>IFERROR(__xludf.DUMMYFUNCTION("""COMPUTED_VALUE"""),9264772.0)</f>
        <v>9264772</v>
      </c>
    </row>
    <row r="16">
      <c r="A16" s="7">
        <f>IFERROR(__xludf.DUMMYFUNCTION("""COMPUTED_VALUE"""),45268.64583333333)</f>
        <v>45268.64583</v>
      </c>
      <c r="B16" s="6">
        <f>IFERROR(__xludf.DUMMYFUNCTION("""COMPUTED_VALUE"""),980.0)</f>
        <v>980</v>
      </c>
      <c r="C16" s="6">
        <f>IFERROR(__xludf.DUMMYFUNCTION("""COMPUTED_VALUE"""),1047.0)</f>
        <v>1047</v>
      </c>
      <c r="D16" s="6">
        <f>IFERROR(__xludf.DUMMYFUNCTION("""COMPUTED_VALUE"""),930.05)</f>
        <v>930.05</v>
      </c>
      <c r="E16" s="6">
        <f>IFERROR(__xludf.DUMMYFUNCTION("""COMPUTED_VALUE"""),966.65)</f>
        <v>966.65</v>
      </c>
      <c r="F16" s="6">
        <f>IFERROR(__xludf.DUMMYFUNCTION("""COMPUTED_VALUE"""),5778685.0)</f>
        <v>5778685</v>
      </c>
    </row>
    <row r="17">
      <c r="A17" s="7">
        <f>IFERROR(__xludf.DUMMYFUNCTION("""COMPUTED_VALUE"""),45275.64583333333)</f>
        <v>45275.64583</v>
      </c>
      <c r="B17" s="6">
        <f>IFERROR(__xludf.DUMMYFUNCTION("""COMPUTED_VALUE"""),973.0)</f>
        <v>973</v>
      </c>
      <c r="C17" s="6">
        <f>IFERROR(__xludf.DUMMYFUNCTION("""COMPUTED_VALUE"""),973.35)</f>
        <v>973.35</v>
      </c>
      <c r="D17" s="6">
        <f>IFERROR(__xludf.DUMMYFUNCTION("""COMPUTED_VALUE"""),888.0)</f>
        <v>888</v>
      </c>
      <c r="E17" s="6">
        <f>IFERROR(__xludf.DUMMYFUNCTION("""COMPUTED_VALUE"""),897.5)</f>
        <v>897.5</v>
      </c>
      <c r="F17" s="6">
        <f>IFERROR(__xludf.DUMMYFUNCTION("""COMPUTED_VALUE"""),2784882.0)</f>
        <v>2784882</v>
      </c>
    </row>
    <row r="18">
      <c r="A18" s="7">
        <f>IFERROR(__xludf.DUMMYFUNCTION("""COMPUTED_VALUE"""),45282.64583333333)</f>
        <v>45282.64583</v>
      </c>
      <c r="B18" s="6">
        <f>IFERROR(__xludf.DUMMYFUNCTION("""COMPUTED_VALUE"""),900.65)</f>
        <v>900.65</v>
      </c>
      <c r="C18" s="6">
        <f>IFERROR(__xludf.DUMMYFUNCTION("""COMPUTED_VALUE"""),951.0)</f>
        <v>951</v>
      </c>
      <c r="D18" s="6">
        <f>IFERROR(__xludf.DUMMYFUNCTION("""COMPUTED_VALUE"""),869.0)</f>
        <v>869</v>
      </c>
      <c r="E18" s="6">
        <f>IFERROR(__xludf.DUMMYFUNCTION("""COMPUTED_VALUE"""),913.5)</f>
        <v>913.5</v>
      </c>
      <c r="F18" s="6">
        <f>IFERROR(__xludf.DUMMYFUNCTION("""COMPUTED_VALUE"""),1744886.0)</f>
        <v>1744886</v>
      </c>
    </row>
    <row r="19">
      <c r="A19" s="7">
        <f>IFERROR(__xludf.DUMMYFUNCTION("""COMPUTED_VALUE"""),45289.64583333333)</f>
        <v>45289.64583</v>
      </c>
      <c r="B19" s="6">
        <f>IFERROR(__xludf.DUMMYFUNCTION("""COMPUTED_VALUE"""),915.0)</f>
        <v>915</v>
      </c>
      <c r="C19" s="6">
        <f>IFERROR(__xludf.DUMMYFUNCTION("""COMPUTED_VALUE"""),939.95)</f>
        <v>939.95</v>
      </c>
      <c r="D19" s="6">
        <f>IFERROR(__xludf.DUMMYFUNCTION("""COMPUTED_VALUE"""),894.0)</f>
        <v>894</v>
      </c>
      <c r="E19" s="6">
        <f>IFERROR(__xludf.DUMMYFUNCTION("""COMPUTED_VALUE"""),933.85)</f>
        <v>933.85</v>
      </c>
      <c r="F19" s="6">
        <f>IFERROR(__xludf.DUMMYFUNCTION("""COMPUTED_VALUE"""),1960170.0)</f>
        <v>1960170</v>
      </c>
    </row>
    <row r="20">
      <c r="A20" s="7">
        <f>IFERROR(__xludf.DUMMYFUNCTION("""COMPUTED_VALUE"""),45296.64583333333)</f>
        <v>45296.64583</v>
      </c>
      <c r="B20" s="6">
        <f>IFERROR(__xludf.DUMMYFUNCTION("""COMPUTED_VALUE"""),944.8)</f>
        <v>944.8</v>
      </c>
      <c r="C20" s="6">
        <f>IFERROR(__xludf.DUMMYFUNCTION("""COMPUTED_VALUE"""),1071.95)</f>
        <v>1071.95</v>
      </c>
      <c r="D20" s="6">
        <f>IFERROR(__xludf.DUMMYFUNCTION("""COMPUTED_VALUE"""),930.1)</f>
        <v>930.1</v>
      </c>
      <c r="E20" s="6">
        <f>IFERROR(__xludf.DUMMYFUNCTION("""COMPUTED_VALUE"""),1038.2)</f>
        <v>1038.2</v>
      </c>
      <c r="F20" s="6">
        <f>IFERROR(__xludf.DUMMYFUNCTION("""COMPUTED_VALUE"""),1.00549E7)</f>
        <v>10054900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IFERROR(__xludf.DUMMYFUNCTION("""COMPUTED_VALUE"""),1038.15)</f>
        <v>1038.15</v>
      </c>
      <c r="C21" s="6">
        <f>IFERROR(__xludf.DUMMYFUNCTION("""COMPUTED_VALUE"""),1040.0)</f>
        <v>1040</v>
      </c>
      <c r="D21" s="6">
        <f>IFERROR(__xludf.DUMMYFUNCTION("""COMPUTED_VALUE"""),1007.0)</f>
        <v>1007</v>
      </c>
      <c r="E21" s="6">
        <f>IFERROR(__xludf.DUMMYFUNCTION("""COMPUTED_VALUE"""),1013.55)</f>
        <v>1013.55</v>
      </c>
      <c r="F21" s="6">
        <f>IFERROR(__xludf.DUMMYFUNCTION("""COMPUTED_VALUE"""),1212585.0)</f>
        <v>1212585</v>
      </c>
    </row>
    <row r="22">
      <c r="A22" s="7">
        <f>IFERROR(__xludf.DUMMYFUNCTION("""COMPUTED_VALUE"""),45316.64583333333)</f>
        <v>45316.64583</v>
      </c>
      <c r="B22" s="6">
        <f>IFERROR(__xludf.DUMMYFUNCTION("""COMPUTED_VALUE"""),986.5)</f>
        <v>986.5</v>
      </c>
      <c r="C22" s="6">
        <f>IFERROR(__xludf.DUMMYFUNCTION("""COMPUTED_VALUE"""),1010.9)</f>
        <v>1010.9</v>
      </c>
      <c r="D22" s="6">
        <f>IFERROR(__xludf.DUMMYFUNCTION("""COMPUTED_VALUE"""),971.0)</f>
        <v>971</v>
      </c>
      <c r="E22" s="6">
        <f>IFERROR(__xludf.DUMMYFUNCTION("""COMPUTED_VALUE"""),1000.8)</f>
        <v>1000.8</v>
      </c>
      <c r="F22" s="6">
        <f>IFERROR(__xludf.DUMMYFUNCTION("""COMPUTED_VALUE"""),983212.0)</f>
        <v>983212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IFERROR(__xludf.DUMMYFUNCTION("""COMPUTED_VALUE"""),1000.8)</f>
        <v>1000.8</v>
      </c>
      <c r="C23" s="6">
        <f>IFERROR(__xludf.DUMMYFUNCTION("""COMPUTED_VALUE"""),1098.25)</f>
        <v>1098.25</v>
      </c>
      <c r="D23" s="6">
        <f>IFERROR(__xludf.DUMMYFUNCTION("""COMPUTED_VALUE"""),999.0)</f>
        <v>999</v>
      </c>
      <c r="E23" s="6">
        <f>IFERROR(__xludf.DUMMYFUNCTION("""COMPUTED_VALUE"""),1064.3)</f>
        <v>1064.3</v>
      </c>
      <c r="F23" s="6">
        <f>IFERROR(__xludf.DUMMYFUNCTION("""COMPUTED_VALUE"""),4558017.0)</f>
        <v>4558017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IFERROR(__xludf.DUMMYFUNCTION("""COMPUTED_VALUE"""),1070.55)</f>
        <v>1070.55</v>
      </c>
      <c r="C24" s="6">
        <f>IFERROR(__xludf.DUMMYFUNCTION("""COMPUTED_VALUE"""),1214.5)</f>
        <v>1214.5</v>
      </c>
      <c r="D24" s="6">
        <f>IFERROR(__xludf.DUMMYFUNCTION("""COMPUTED_VALUE"""),1069.05)</f>
        <v>1069.05</v>
      </c>
      <c r="E24" s="6">
        <f>IFERROR(__xludf.DUMMYFUNCTION("""COMPUTED_VALUE"""),1173.45)</f>
        <v>1173.45</v>
      </c>
      <c r="F24" s="6">
        <f>IFERROR(__xludf.DUMMYFUNCTION("""COMPUTED_VALUE"""),4333795.0)</f>
        <v>4333795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IFERROR(__xludf.DUMMYFUNCTION("""COMPUTED_VALUE"""),1172.7)</f>
        <v>1172.7</v>
      </c>
      <c r="C25" s="6">
        <f>IFERROR(__xludf.DUMMYFUNCTION("""COMPUTED_VALUE"""),1236.95)</f>
        <v>1236.95</v>
      </c>
      <c r="D25" s="6">
        <f>IFERROR(__xludf.DUMMYFUNCTION("""COMPUTED_VALUE"""),1056.95)</f>
        <v>1056.95</v>
      </c>
      <c r="E25" s="6">
        <f>IFERROR(__xludf.DUMMYFUNCTION("""COMPUTED_VALUE"""),1173.5)</f>
        <v>1173.5</v>
      </c>
      <c r="F25" s="6">
        <f>IFERROR(__xludf.DUMMYFUNCTION("""COMPUTED_VALUE"""),5665509.0)</f>
        <v>5665509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IFERROR(__xludf.DUMMYFUNCTION("""COMPUTED_VALUE"""),1177.1)</f>
        <v>1177.1</v>
      </c>
      <c r="C26" s="6">
        <f>IFERROR(__xludf.DUMMYFUNCTION("""COMPUTED_VALUE"""),1234.0)</f>
        <v>1234</v>
      </c>
      <c r="D26" s="6">
        <f>IFERROR(__xludf.DUMMYFUNCTION("""COMPUTED_VALUE"""),1111.2)</f>
        <v>1111.2</v>
      </c>
      <c r="E26" s="6">
        <f>IFERROR(__xludf.DUMMYFUNCTION("""COMPUTED_VALUE"""),1125.9)</f>
        <v>1125.9</v>
      </c>
      <c r="F26" s="6">
        <f>IFERROR(__xludf.DUMMYFUNCTION("""COMPUTED_VALUE"""),4373977.0)</f>
        <v>4373977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IFERROR(__xludf.DUMMYFUNCTION("""COMPUTED_VALUE"""),1160.6)</f>
        <v>1160.6</v>
      </c>
      <c r="C27" s="6">
        <f>IFERROR(__xludf.DUMMYFUNCTION("""COMPUTED_VALUE"""),1174.0)</f>
        <v>1174</v>
      </c>
      <c r="D27" s="6">
        <f>IFERROR(__xludf.DUMMYFUNCTION("""COMPUTED_VALUE"""),1129.25)</f>
        <v>1129.25</v>
      </c>
      <c r="E27" s="6">
        <f>IFERROR(__xludf.DUMMYFUNCTION("""COMPUTED_VALUE"""),1144.6)</f>
        <v>1144.6</v>
      </c>
      <c r="F27" s="6">
        <f>IFERROR(__xludf.DUMMYFUNCTION("""COMPUTED_VALUE"""),3744631.0)</f>
        <v>3744631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IFERROR(__xludf.DUMMYFUNCTION("""COMPUTED_VALUE"""),1170.0)</f>
        <v>1170</v>
      </c>
      <c r="C28" s="6">
        <f>IFERROR(__xludf.DUMMYFUNCTION("""COMPUTED_VALUE"""),1287.5)</f>
        <v>1287.5</v>
      </c>
      <c r="D28" s="6">
        <f>IFERROR(__xludf.DUMMYFUNCTION("""COMPUTED_VALUE"""),1104.1)</f>
        <v>1104.1</v>
      </c>
      <c r="E28" s="6">
        <f>IFERROR(__xludf.DUMMYFUNCTION("""COMPUTED_VALUE"""),1155.95)</f>
        <v>1155.95</v>
      </c>
      <c r="F28" s="6">
        <f>IFERROR(__xludf.DUMMYFUNCTION("""COMPUTED_VALUE"""),1.6486049E7)</f>
        <v>16486049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IFERROR(__xludf.DUMMYFUNCTION("""COMPUTED_VALUE"""),1189.95)</f>
        <v>1189.95</v>
      </c>
      <c r="C29" s="6">
        <f>IFERROR(__xludf.DUMMYFUNCTION("""COMPUTED_VALUE"""),1296.7)</f>
        <v>1296.7</v>
      </c>
      <c r="D29" s="6">
        <f>IFERROR(__xludf.DUMMYFUNCTION("""COMPUTED_VALUE"""),1165.0)</f>
        <v>1165</v>
      </c>
      <c r="E29" s="6">
        <f>IFERROR(__xludf.DUMMYFUNCTION("""COMPUTED_VALUE"""),1283.65)</f>
        <v>1283.65</v>
      </c>
      <c r="F29" s="6">
        <f>IFERROR(__xludf.DUMMYFUNCTION("""COMPUTED_VALUE"""),1.327928E7)</f>
        <v>13279280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IFERROR(__xludf.DUMMYFUNCTION("""COMPUTED_VALUE"""),1279.7)</f>
        <v>1279.7</v>
      </c>
      <c r="C30" s="6">
        <f>IFERROR(__xludf.DUMMYFUNCTION("""COMPUTED_VALUE"""),1514.7)</f>
        <v>1514.7</v>
      </c>
      <c r="D30" s="6">
        <f>IFERROR(__xludf.DUMMYFUNCTION("""COMPUTED_VALUE"""),1274.7)</f>
        <v>1274.7</v>
      </c>
      <c r="E30" s="6">
        <f>IFERROR(__xludf.DUMMYFUNCTION("""COMPUTED_VALUE"""),1357.95)</f>
        <v>1357.95</v>
      </c>
      <c r="F30" s="6">
        <f>IFERROR(__xludf.DUMMYFUNCTION("""COMPUTED_VALUE"""),1.5857846E7)</f>
        <v>15857846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IFERROR(__xludf.DUMMYFUNCTION("""COMPUTED_VALUE"""),1399.0)</f>
        <v>1399</v>
      </c>
      <c r="C31" s="6">
        <f>IFERROR(__xludf.DUMMYFUNCTION("""COMPUTED_VALUE"""),1513.8)</f>
        <v>1513.8</v>
      </c>
      <c r="D31" s="6">
        <f>IFERROR(__xludf.DUMMYFUNCTION("""COMPUTED_VALUE"""),1386.05)</f>
        <v>1386.05</v>
      </c>
      <c r="E31" s="6">
        <f>IFERROR(__xludf.DUMMYFUNCTION("""COMPUTED_VALUE"""),1490.45)</f>
        <v>1490.45</v>
      </c>
      <c r="F31" s="6">
        <f>IFERROR(__xludf.DUMMYFUNCTION("""COMPUTED_VALUE"""),9447808.0)</f>
        <v>9447808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IFERROR(__xludf.DUMMYFUNCTION("""COMPUTED_VALUE"""),1504.9)</f>
        <v>1504.9</v>
      </c>
      <c r="C32" s="6">
        <f>IFERROR(__xludf.DUMMYFUNCTION("""COMPUTED_VALUE"""),1633.0)</f>
        <v>1633</v>
      </c>
      <c r="D32" s="6">
        <f>IFERROR(__xludf.DUMMYFUNCTION("""COMPUTED_VALUE"""),1490.0)</f>
        <v>1490</v>
      </c>
      <c r="E32" s="6">
        <f>IFERROR(__xludf.DUMMYFUNCTION("""COMPUTED_VALUE"""),1581.0)</f>
        <v>1581</v>
      </c>
      <c r="F32" s="6">
        <f>IFERROR(__xludf.DUMMYFUNCTION("""COMPUTED_VALUE"""),5271518.0)</f>
        <v>5271518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IFERROR(__xludf.DUMMYFUNCTION("""COMPUTED_VALUE"""),1332.35)</f>
        <v>1332.35</v>
      </c>
      <c r="C33" s="6">
        <f>IFERROR(__xludf.DUMMYFUNCTION("""COMPUTED_VALUE"""),1591.5)</f>
        <v>1591.5</v>
      </c>
      <c r="D33" s="6">
        <f>IFERROR(__xludf.DUMMYFUNCTION("""COMPUTED_VALUE"""),1332.35)</f>
        <v>1332.35</v>
      </c>
      <c r="E33" s="6">
        <f>IFERROR(__xludf.DUMMYFUNCTION("""COMPUTED_VALUE"""),1501.15)</f>
        <v>1501.15</v>
      </c>
      <c r="F33" s="6">
        <f>IFERROR(__xludf.DUMMYFUNCTION("""COMPUTED_VALUE"""),3875156.0)</f>
        <v>3875156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IFERROR(__xludf.DUMMYFUNCTION("""COMPUTED_VALUE"""),1519.0)</f>
        <v>1519</v>
      </c>
      <c r="C34" s="6">
        <f>IFERROR(__xludf.DUMMYFUNCTION("""COMPUTED_VALUE"""),1555.95)</f>
        <v>1555.95</v>
      </c>
      <c r="D34" s="6">
        <f>IFERROR(__xludf.DUMMYFUNCTION("""COMPUTED_VALUE"""),1470.05)</f>
        <v>1470.05</v>
      </c>
      <c r="E34" s="6">
        <f>IFERROR(__xludf.DUMMYFUNCTION("""COMPUTED_VALUE"""),1489.8)</f>
        <v>1489.8</v>
      </c>
      <c r="F34" s="6">
        <f>IFERROR(__xludf.DUMMYFUNCTION("""COMPUTED_VALUE"""),2154446.0)</f>
        <v>2154446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IFERROR(__xludf.DUMMYFUNCTION("""COMPUTED_VALUE"""),1504.7)</f>
        <v>1504.7</v>
      </c>
      <c r="C35" s="6">
        <f>IFERROR(__xludf.DUMMYFUNCTION("""COMPUTED_VALUE"""),1575.0)</f>
        <v>1575</v>
      </c>
      <c r="D35" s="6">
        <f>IFERROR(__xludf.DUMMYFUNCTION("""COMPUTED_VALUE"""),1476.35)</f>
        <v>1476.35</v>
      </c>
      <c r="E35" s="6">
        <f>IFERROR(__xludf.DUMMYFUNCTION("""COMPUTED_VALUE"""),1484.25)</f>
        <v>1484.25</v>
      </c>
      <c r="F35" s="6">
        <f>IFERROR(__xludf.DUMMYFUNCTION("""COMPUTED_VALUE"""),2633289.0)</f>
        <v>2633289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IFERROR(__xludf.DUMMYFUNCTION("""COMPUTED_VALUE"""),1484.25)</f>
        <v>1484.25</v>
      </c>
      <c r="C36" s="6">
        <f>IFERROR(__xludf.DUMMYFUNCTION("""COMPUTED_VALUE"""),1496.35)</f>
        <v>1496.35</v>
      </c>
      <c r="D36" s="6">
        <f>IFERROR(__xludf.DUMMYFUNCTION("""COMPUTED_VALUE"""),1299.3)</f>
        <v>1299.3</v>
      </c>
      <c r="E36" s="6">
        <f>IFERROR(__xludf.DUMMYFUNCTION("""COMPUTED_VALUE"""),1326.95)</f>
        <v>1326.95</v>
      </c>
      <c r="F36" s="6">
        <f>IFERROR(__xludf.DUMMYFUNCTION("""COMPUTED_VALUE"""),3761633.0)</f>
        <v>3761633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IFERROR(__xludf.DUMMYFUNCTION("""COMPUTED_VALUE"""),1392.0)</f>
        <v>1392</v>
      </c>
      <c r="C37" s="6">
        <f>IFERROR(__xludf.DUMMYFUNCTION("""COMPUTED_VALUE"""),1464.0)</f>
        <v>1464</v>
      </c>
      <c r="D37" s="6">
        <f>IFERROR(__xludf.DUMMYFUNCTION("""COMPUTED_VALUE"""),1360.0)</f>
        <v>1360</v>
      </c>
      <c r="E37" s="6">
        <f>IFERROR(__xludf.DUMMYFUNCTION("""COMPUTED_VALUE"""),1400.6)</f>
        <v>1400.6</v>
      </c>
      <c r="F37" s="6">
        <f>IFERROR(__xludf.DUMMYFUNCTION("""COMPUTED_VALUE"""),4646542.0)</f>
        <v>4646542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IFERROR(__xludf.DUMMYFUNCTION("""COMPUTED_VALUE"""),1425.0)</f>
        <v>1425</v>
      </c>
      <c r="C38" s="6">
        <f>IFERROR(__xludf.DUMMYFUNCTION("""COMPUTED_VALUE"""),1563.0)</f>
        <v>1563</v>
      </c>
      <c r="D38" s="6">
        <f>IFERROR(__xludf.DUMMYFUNCTION("""COMPUTED_VALUE"""),1385.0)</f>
        <v>1385</v>
      </c>
      <c r="E38" s="6">
        <f>IFERROR(__xludf.DUMMYFUNCTION("""COMPUTED_VALUE"""),1501.8)</f>
        <v>1501.8</v>
      </c>
      <c r="F38" s="6">
        <f>IFERROR(__xludf.DUMMYFUNCTION("""COMPUTED_VALUE"""),2.9407285E7)</f>
        <v>29407285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IFERROR(__xludf.DUMMYFUNCTION("""COMPUTED_VALUE"""),1520.0)</f>
        <v>1520</v>
      </c>
      <c r="C39" s="6">
        <f>IFERROR(__xludf.DUMMYFUNCTION("""COMPUTED_VALUE"""),1545.0)</f>
        <v>1545</v>
      </c>
      <c r="D39" s="6">
        <f>IFERROR(__xludf.DUMMYFUNCTION("""COMPUTED_VALUE"""),1295.1)</f>
        <v>1295.1</v>
      </c>
      <c r="E39" s="6">
        <f>IFERROR(__xludf.DUMMYFUNCTION("""COMPUTED_VALUE"""),1498.0)</f>
        <v>1498</v>
      </c>
      <c r="F39" s="6">
        <f>IFERROR(__xludf.DUMMYFUNCTION("""COMPUTED_VALUE"""),2873895.0)</f>
        <v>2873895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IFERROR(__xludf.DUMMYFUNCTION("""COMPUTED_VALUE"""),1513.0)</f>
        <v>1513</v>
      </c>
      <c r="C40" s="6">
        <f>IFERROR(__xludf.DUMMYFUNCTION("""COMPUTED_VALUE"""),1633.1)</f>
        <v>1633.1</v>
      </c>
      <c r="D40" s="6">
        <f>IFERROR(__xludf.DUMMYFUNCTION("""COMPUTED_VALUE"""),1505.0)</f>
        <v>1505</v>
      </c>
      <c r="E40" s="6">
        <f>IFERROR(__xludf.DUMMYFUNCTION("""COMPUTED_VALUE"""),1599.1)</f>
        <v>1599.1</v>
      </c>
      <c r="F40" s="6">
        <f>IFERROR(__xludf.DUMMYFUNCTION("""COMPUTED_VALUE"""),2398678.0)</f>
        <v>2398678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IFERROR(__xludf.DUMMYFUNCTION("""COMPUTED_VALUE"""),1606.15)</f>
        <v>1606.15</v>
      </c>
      <c r="C41" s="6">
        <f>IFERROR(__xludf.DUMMYFUNCTION("""COMPUTED_VALUE"""),1613.8)</f>
        <v>1613.8</v>
      </c>
      <c r="D41" s="6">
        <f>IFERROR(__xludf.DUMMYFUNCTION("""COMPUTED_VALUE"""),1477.0)</f>
        <v>1477</v>
      </c>
      <c r="E41" s="6">
        <f>IFERROR(__xludf.DUMMYFUNCTION("""COMPUTED_VALUE"""),1503.45)</f>
        <v>1503.45</v>
      </c>
      <c r="F41" s="6">
        <f>IFERROR(__xludf.DUMMYFUNCTION("""COMPUTED_VALUE"""),1525975.0)</f>
        <v>1525975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IFERROR(__xludf.DUMMYFUNCTION("""COMPUTED_VALUE"""),1503.9)</f>
        <v>1503.9</v>
      </c>
      <c r="C42" s="6">
        <f>IFERROR(__xludf.DUMMYFUNCTION("""COMPUTED_VALUE"""),1531.5)</f>
        <v>1531.5</v>
      </c>
      <c r="D42" s="6">
        <f>IFERROR(__xludf.DUMMYFUNCTION("""COMPUTED_VALUE"""),1473.45)</f>
        <v>1473.45</v>
      </c>
      <c r="E42" s="6">
        <f>IFERROR(__xludf.DUMMYFUNCTION("""COMPUTED_VALUE"""),1498.4)</f>
        <v>1498.4</v>
      </c>
      <c r="F42" s="6">
        <f>IFERROR(__xludf.DUMMYFUNCTION("""COMPUTED_VALUE"""),1266648.0)</f>
        <v>1266648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IFERROR(__xludf.DUMMYFUNCTION("""COMPUTED_VALUE"""),1490.1)</f>
        <v>1490.1</v>
      </c>
      <c r="C43" s="6">
        <f>IFERROR(__xludf.DUMMYFUNCTION("""COMPUTED_VALUE"""),1522.0)</f>
        <v>1522</v>
      </c>
      <c r="D43" s="6">
        <f>IFERROR(__xludf.DUMMYFUNCTION("""COMPUTED_VALUE"""),1450.0)</f>
        <v>1450</v>
      </c>
      <c r="E43" s="6">
        <f>IFERROR(__xludf.DUMMYFUNCTION("""COMPUTED_VALUE"""),1509.5)</f>
        <v>1509.5</v>
      </c>
      <c r="F43" s="6">
        <f>IFERROR(__xludf.DUMMYFUNCTION("""COMPUTED_VALUE"""),1003804.0)</f>
        <v>1003804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IFERROR(__xludf.DUMMYFUNCTION("""COMPUTED_VALUE"""),1518.0)</f>
        <v>1518</v>
      </c>
      <c r="C44" s="6">
        <f>IFERROR(__xludf.DUMMYFUNCTION("""COMPUTED_VALUE"""),1549.95)</f>
        <v>1549.95</v>
      </c>
      <c r="D44" s="6">
        <f>IFERROR(__xludf.DUMMYFUNCTION("""COMPUTED_VALUE"""),1457.25)</f>
        <v>1457.25</v>
      </c>
      <c r="E44" s="6">
        <f>IFERROR(__xludf.DUMMYFUNCTION("""COMPUTED_VALUE"""),1510.05)</f>
        <v>1510.05</v>
      </c>
      <c r="F44" s="6">
        <f>IFERROR(__xludf.DUMMYFUNCTION("""COMPUTED_VALUE"""),1644591.0)</f>
        <v>1644591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IFERROR(__xludf.DUMMYFUNCTION("""COMPUTED_VALUE"""),1510.05)</f>
        <v>1510.05</v>
      </c>
      <c r="C45" s="6">
        <f>IFERROR(__xludf.DUMMYFUNCTION("""COMPUTED_VALUE"""),1687.0)</f>
        <v>1687</v>
      </c>
      <c r="D45" s="6">
        <f>IFERROR(__xludf.DUMMYFUNCTION("""COMPUTED_VALUE"""),1495.65)</f>
        <v>1495.65</v>
      </c>
      <c r="E45" s="6">
        <f>IFERROR(__xludf.DUMMYFUNCTION("""COMPUTED_VALUE"""),1526.5)</f>
        <v>1526.5</v>
      </c>
      <c r="F45" s="6">
        <f>IFERROR(__xludf.DUMMYFUNCTION("""COMPUTED_VALUE"""),4271252.0)</f>
        <v>4271252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IFERROR(__xludf.DUMMYFUNCTION("""COMPUTED_VALUE"""),1520.2)</f>
        <v>1520.2</v>
      </c>
      <c r="C46" s="6">
        <f>IFERROR(__xludf.DUMMYFUNCTION("""COMPUTED_VALUE"""),1609.2)</f>
        <v>1609.2</v>
      </c>
      <c r="D46" s="6">
        <f>IFERROR(__xludf.DUMMYFUNCTION("""COMPUTED_VALUE"""),1456.05)</f>
        <v>1456.05</v>
      </c>
      <c r="E46" s="6">
        <f>IFERROR(__xludf.DUMMYFUNCTION("""COMPUTED_VALUE"""),1556.85)</f>
        <v>1556.85</v>
      </c>
      <c r="F46" s="6">
        <f>IFERROR(__xludf.DUMMYFUNCTION("""COMPUTED_VALUE"""),1553507.0)</f>
        <v>1553507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IFERROR(__xludf.DUMMYFUNCTION("""COMPUTED_VALUE"""),1569.0)</f>
        <v>1569</v>
      </c>
      <c r="C47" s="6">
        <f>IFERROR(__xludf.DUMMYFUNCTION("""COMPUTED_VALUE"""),1908.0)</f>
        <v>1908</v>
      </c>
      <c r="D47" s="6">
        <f>IFERROR(__xludf.DUMMYFUNCTION("""COMPUTED_VALUE"""),1550.05)</f>
        <v>1550.05</v>
      </c>
      <c r="E47" s="6">
        <f>IFERROR(__xludf.DUMMYFUNCTION("""COMPUTED_VALUE"""),1851.35)</f>
        <v>1851.35</v>
      </c>
      <c r="F47" s="6">
        <f>IFERROR(__xludf.DUMMYFUNCTION("""COMPUTED_VALUE"""),2.2060442E7)</f>
        <v>22060442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IFERROR(__xludf.DUMMYFUNCTION("""COMPUTED_VALUE"""),1810.0)</f>
        <v>1810</v>
      </c>
      <c r="C48" s="6">
        <f>IFERROR(__xludf.DUMMYFUNCTION("""COMPUTED_VALUE"""),1850.0)</f>
        <v>1850</v>
      </c>
      <c r="D48" s="6">
        <f>IFERROR(__xludf.DUMMYFUNCTION("""COMPUTED_VALUE"""),1732.0)</f>
        <v>1732</v>
      </c>
      <c r="E48" s="6">
        <f>IFERROR(__xludf.DUMMYFUNCTION("""COMPUTED_VALUE"""),1791.5)</f>
        <v>1791.5</v>
      </c>
      <c r="F48" s="6">
        <f>IFERROR(__xludf.DUMMYFUNCTION("""COMPUTED_VALUE"""),5234756.0)</f>
        <v>5234756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IFERROR(__xludf.DUMMYFUNCTION("""COMPUTED_VALUE"""),1780.1)</f>
        <v>1780.1</v>
      </c>
      <c r="C49" s="6">
        <f>IFERROR(__xludf.DUMMYFUNCTION("""COMPUTED_VALUE"""),1790.15)</f>
        <v>1790.15</v>
      </c>
      <c r="D49" s="6">
        <f>IFERROR(__xludf.DUMMYFUNCTION("""COMPUTED_VALUE"""),1674.0)</f>
        <v>1674</v>
      </c>
      <c r="E49" s="6">
        <f>IFERROR(__xludf.DUMMYFUNCTION("""COMPUTED_VALUE"""),1688.1)</f>
        <v>1688.1</v>
      </c>
      <c r="F49" s="6">
        <f>IFERROR(__xludf.DUMMYFUNCTION("""COMPUTED_VALUE"""),2193747.0)</f>
        <v>2193747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IFERROR(__xludf.DUMMYFUNCTION("""COMPUTED_VALUE"""),1695.05)</f>
        <v>1695.05</v>
      </c>
      <c r="C50" s="6">
        <f>IFERROR(__xludf.DUMMYFUNCTION("""COMPUTED_VALUE"""),1818.7)</f>
        <v>1818.7</v>
      </c>
      <c r="D50" s="6">
        <f>IFERROR(__xludf.DUMMYFUNCTION("""COMPUTED_VALUE"""),1657.0)</f>
        <v>1657</v>
      </c>
      <c r="E50" s="6">
        <f>IFERROR(__xludf.DUMMYFUNCTION("""COMPUTED_VALUE"""),1672.0)</f>
        <v>1672</v>
      </c>
      <c r="F50" s="6">
        <f>IFERROR(__xludf.DUMMYFUNCTION("""COMPUTED_VALUE"""),4243792.0)</f>
        <v>4243792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IFERROR(__xludf.DUMMYFUNCTION("""COMPUTED_VALUE"""),1677.0)</f>
        <v>1677</v>
      </c>
      <c r="C51" s="6">
        <f>IFERROR(__xludf.DUMMYFUNCTION("""COMPUTED_VALUE"""),1770.0)</f>
        <v>1770</v>
      </c>
      <c r="D51" s="6">
        <f>IFERROR(__xludf.DUMMYFUNCTION("""COMPUTED_VALUE"""),1620.05)</f>
        <v>1620.05</v>
      </c>
      <c r="E51" s="6">
        <f>IFERROR(__xludf.DUMMYFUNCTION("""COMPUTED_VALUE"""),1743.5)</f>
        <v>1743.5</v>
      </c>
      <c r="F51" s="6">
        <f>IFERROR(__xludf.DUMMYFUNCTION("""COMPUTED_VALUE"""),3663762.0)</f>
        <v>3663762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IFERROR(__xludf.DUMMYFUNCTION("""COMPUTED_VALUE"""),1743.5)</f>
        <v>1743.5</v>
      </c>
      <c r="C52" s="6">
        <f>IFERROR(__xludf.DUMMYFUNCTION("""COMPUTED_VALUE"""),1775.0)</f>
        <v>1775</v>
      </c>
      <c r="D52" s="6">
        <f>IFERROR(__xludf.DUMMYFUNCTION("""COMPUTED_VALUE"""),1662.3)</f>
        <v>1662.3</v>
      </c>
      <c r="E52" s="6">
        <f>IFERROR(__xludf.DUMMYFUNCTION("""COMPUTED_VALUE"""),1694.85)</f>
        <v>1694.85</v>
      </c>
      <c r="F52" s="6">
        <f>IFERROR(__xludf.DUMMYFUNCTION("""COMPUTED_VALUE"""),3273462.0)</f>
        <v>3273462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IFERROR(__xludf.DUMMYFUNCTION("""COMPUTED_VALUE"""),1688.05)</f>
        <v>1688.05</v>
      </c>
      <c r="C53" s="6">
        <f>IFERROR(__xludf.DUMMYFUNCTION("""COMPUTED_VALUE"""),1776.0)</f>
        <v>1776</v>
      </c>
      <c r="D53" s="6">
        <f>IFERROR(__xludf.DUMMYFUNCTION("""COMPUTED_VALUE"""),1659.8)</f>
        <v>1659.8</v>
      </c>
      <c r="E53" s="6">
        <f>IFERROR(__xludf.DUMMYFUNCTION("""COMPUTED_VALUE"""),1763.0)</f>
        <v>1763</v>
      </c>
      <c r="F53" s="6">
        <f>IFERROR(__xludf.DUMMYFUNCTION("""COMPUTED_VALUE"""),2783442.0)</f>
        <v>2783442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IFERROR(__xludf.DUMMYFUNCTION("""COMPUTED_VALUE"""),1769.9)</f>
        <v>1769.9</v>
      </c>
      <c r="C54" s="6">
        <f>IFERROR(__xludf.DUMMYFUNCTION("""COMPUTED_VALUE"""),1969.9)</f>
        <v>1969.9</v>
      </c>
      <c r="D54" s="6">
        <f>IFERROR(__xludf.DUMMYFUNCTION("""COMPUTED_VALUE"""),1745.05)</f>
        <v>1745.05</v>
      </c>
      <c r="E54" s="6">
        <f>IFERROR(__xludf.DUMMYFUNCTION("""COMPUTED_VALUE"""),1902.05)</f>
        <v>1902.05</v>
      </c>
      <c r="F54" s="6">
        <f>IFERROR(__xludf.DUMMYFUNCTION("""COMPUTED_VALUE"""),1.3407536E7)</f>
        <v>13407536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IFERROR(__xludf.DUMMYFUNCTION("""COMPUTED_VALUE"""),1909.25)</f>
        <v>1909.25</v>
      </c>
      <c r="C55" s="6">
        <f>IFERROR(__xludf.DUMMYFUNCTION("""COMPUTED_VALUE"""),1957.3)</f>
        <v>1957.3</v>
      </c>
      <c r="D55" s="6">
        <f>IFERROR(__xludf.DUMMYFUNCTION("""COMPUTED_VALUE"""),1850.0)</f>
        <v>1850</v>
      </c>
      <c r="E55" s="6">
        <f>IFERROR(__xludf.DUMMYFUNCTION("""COMPUTED_VALUE"""),1907.8)</f>
        <v>1907.8</v>
      </c>
      <c r="F55" s="6">
        <f>IFERROR(__xludf.DUMMYFUNCTION("""COMPUTED_VALUE"""),3846622.0)</f>
        <v>3846622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IFERROR(__xludf.DUMMYFUNCTION("""COMPUTED_VALUE"""),1900.0)</f>
        <v>1900</v>
      </c>
      <c r="C56" s="6">
        <f>IFERROR(__xludf.DUMMYFUNCTION("""COMPUTED_VALUE"""),1949.45)</f>
        <v>1949.45</v>
      </c>
      <c r="D56" s="6">
        <f>IFERROR(__xludf.DUMMYFUNCTION("""COMPUTED_VALUE"""),1791.0)</f>
        <v>1791</v>
      </c>
      <c r="E56" s="6">
        <f>IFERROR(__xludf.DUMMYFUNCTION("""COMPUTED_VALUE"""),1890.7)</f>
        <v>1890.7</v>
      </c>
      <c r="F56" s="6">
        <f>IFERROR(__xludf.DUMMYFUNCTION("""COMPUTED_VALUE"""),2071983.0)</f>
        <v>2071983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IFERROR(__xludf.DUMMYFUNCTION("""COMPUTED_VALUE"""),1890.8)</f>
        <v>1890.8</v>
      </c>
      <c r="C57" s="6">
        <f>IFERROR(__xludf.DUMMYFUNCTION("""COMPUTED_VALUE"""),1984.7)</f>
        <v>1984.7</v>
      </c>
      <c r="D57" s="6">
        <f>IFERROR(__xludf.DUMMYFUNCTION("""COMPUTED_VALUE"""),1753.7)</f>
        <v>1753.7</v>
      </c>
      <c r="E57" s="6">
        <f>IFERROR(__xludf.DUMMYFUNCTION("""COMPUTED_VALUE"""),1886.4)</f>
        <v>1886.4</v>
      </c>
      <c r="F57" s="6">
        <f>IFERROR(__xludf.DUMMYFUNCTION("""COMPUTED_VALUE"""),6737620.0)</f>
        <v>6737620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IFERROR(__xludf.DUMMYFUNCTION("""COMPUTED_VALUE"""),1890.0)</f>
        <v>1890</v>
      </c>
      <c r="C58" s="6">
        <f>IFERROR(__xludf.DUMMYFUNCTION("""COMPUTED_VALUE"""),1993.0)</f>
        <v>1993</v>
      </c>
      <c r="D58" s="6">
        <f>IFERROR(__xludf.DUMMYFUNCTION("""COMPUTED_VALUE"""),1890.0)</f>
        <v>1890</v>
      </c>
      <c r="E58" s="6">
        <f>IFERROR(__xludf.DUMMYFUNCTION("""COMPUTED_VALUE"""),1973.65)</f>
        <v>1973.65</v>
      </c>
      <c r="F58" s="6">
        <f>IFERROR(__xludf.DUMMYFUNCTION("""COMPUTED_VALUE"""),4174338.0)</f>
        <v>4174338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IFERROR(__xludf.DUMMYFUNCTION("""COMPUTED_VALUE"""),1978.8)</f>
        <v>1978.8</v>
      </c>
      <c r="C59" s="6">
        <f>IFERROR(__xludf.DUMMYFUNCTION("""COMPUTED_VALUE"""),2037.0)</f>
        <v>2037</v>
      </c>
      <c r="D59" s="6">
        <f>IFERROR(__xludf.DUMMYFUNCTION("""COMPUTED_VALUE"""),1907.1)</f>
        <v>1907.1</v>
      </c>
      <c r="E59" s="6">
        <f>IFERROR(__xludf.DUMMYFUNCTION("""COMPUTED_VALUE"""),1923.8)</f>
        <v>1923.8</v>
      </c>
      <c r="F59" s="6">
        <f>IFERROR(__xludf.DUMMYFUNCTION("""COMPUTED_VALUE"""),5237597.0)</f>
        <v>5237597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IFERROR(__xludf.DUMMYFUNCTION("""COMPUTED_VALUE"""),1828.45)</f>
        <v>1828.45</v>
      </c>
      <c r="C60" s="6">
        <f>IFERROR(__xludf.DUMMYFUNCTION("""COMPUTED_VALUE"""),1833.95)</f>
        <v>1833.95</v>
      </c>
      <c r="D60" s="6">
        <f>IFERROR(__xludf.DUMMYFUNCTION("""COMPUTED_VALUE"""),1685.1)</f>
        <v>1685.1</v>
      </c>
      <c r="E60" s="6">
        <f>IFERROR(__xludf.DUMMYFUNCTION("""COMPUTED_VALUE"""),1694.1)</f>
        <v>1694.1</v>
      </c>
      <c r="F60" s="6">
        <f>IFERROR(__xludf.DUMMYFUNCTION("""COMPUTED_VALUE"""),2765240.0)</f>
        <v>2765240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IFERROR(__xludf.DUMMYFUNCTION("""COMPUTED_VALUE"""),1690.0)</f>
        <v>1690</v>
      </c>
      <c r="C61" s="6">
        <f>IFERROR(__xludf.DUMMYFUNCTION("""COMPUTED_VALUE"""),1720.3)</f>
        <v>1720.3</v>
      </c>
      <c r="D61" s="6">
        <f>IFERROR(__xludf.DUMMYFUNCTION("""COMPUTED_VALUE"""),1545.7)</f>
        <v>1545.7</v>
      </c>
      <c r="E61" s="6">
        <f>IFERROR(__xludf.DUMMYFUNCTION("""COMPUTED_VALUE"""),1559.0)</f>
        <v>1559</v>
      </c>
      <c r="F61" s="6">
        <f>IFERROR(__xludf.DUMMYFUNCTION("""COMPUTED_VALUE"""),1869900.0)</f>
        <v>1869900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IFERROR(__xludf.DUMMYFUNCTION("""COMPUTED_VALUE"""),1578.5)</f>
        <v>1578.5</v>
      </c>
      <c r="C62" s="6">
        <f>IFERROR(__xludf.DUMMYFUNCTION("""COMPUTED_VALUE"""),1615.4)</f>
        <v>1615.4</v>
      </c>
      <c r="D62" s="6">
        <f>IFERROR(__xludf.DUMMYFUNCTION("""COMPUTED_VALUE"""),1486.55)</f>
        <v>1486.55</v>
      </c>
      <c r="E62" s="6">
        <f>IFERROR(__xludf.DUMMYFUNCTION("""COMPUTED_VALUE"""),1517.4)</f>
        <v>1517.4</v>
      </c>
      <c r="F62" s="6">
        <f>IFERROR(__xludf.DUMMYFUNCTION("""COMPUTED_VALUE"""),2640397.0)</f>
        <v>2640397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IFERROR(__xludf.DUMMYFUNCTION("""COMPUTED_VALUE"""),1540.0)</f>
        <v>1540</v>
      </c>
      <c r="C63" s="6">
        <f>IFERROR(__xludf.DUMMYFUNCTION("""COMPUTED_VALUE"""),1674.0)</f>
        <v>1674</v>
      </c>
      <c r="D63" s="6">
        <f>IFERROR(__xludf.DUMMYFUNCTION("""COMPUTED_VALUE"""),1500.0)</f>
        <v>1500</v>
      </c>
      <c r="E63" s="6">
        <f>IFERROR(__xludf.DUMMYFUNCTION("""COMPUTED_VALUE"""),1510.7)</f>
        <v>1510.7</v>
      </c>
      <c r="F63" s="6">
        <f>IFERROR(__xludf.DUMMYFUNCTION("""COMPUTED_VALUE"""),4604537.0)</f>
        <v>4604537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IFERROR(__xludf.DUMMYFUNCTION("""COMPUTED_VALUE"""),1510.7)</f>
        <v>1510.7</v>
      </c>
      <c r="C64" s="6">
        <f>IFERROR(__xludf.DUMMYFUNCTION("""COMPUTED_VALUE"""),1719.85)</f>
        <v>1719.85</v>
      </c>
      <c r="D64" s="6">
        <f>IFERROR(__xludf.DUMMYFUNCTION("""COMPUTED_VALUE"""),1506.8)</f>
        <v>1506.8</v>
      </c>
      <c r="E64" s="6">
        <f>IFERROR(__xludf.DUMMYFUNCTION("""COMPUTED_VALUE"""),1648.65)</f>
        <v>1648.65</v>
      </c>
      <c r="F64" s="6">
        <f>IFERROR(__xludf.DUMMYFUNCTION("""COMPUTED_VALUE"""),8058064.0)</f>
        <v>8058064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IFERROR(__xludf.DUMMYFUNCTION("""COMPUTED_VALUE"""),1655.0)</f>
        <v>1655</v>
      </c>
      <c r="C65" s="6">
        <f>IFERROR(__xludf.DUMMYFUNCTION("""COMPUTED_VALUE"""),1713.75)</f>
        <v>1713.75</v>
      </c>
      <c r="D65" s="6">
        <f>IFERROR(__xludf.DUMMYFUNCTION("""COMPUTED_VALUE"""),1612.05)</f>
        <v>1612.05</v>
      </c>
      <c r="E65" s="6">
        <f>IFERROR(__xludf.DUMMYFUNCTION("""COMPUTED_VALUE"""),1669.2)</f>
        <v>1669.2</v>
      </c>
      <c r="F65" s="6">
        <f>IFERROR(__xludf.DUMMYFUNCTION("""COMPUTED_VALUE"""),4396270.0)</f>
        <v>4396270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IFERROR(__xludf.DUMMYFUNCTION("""COMPUTED_VALUE"""),1665.0)</f>
        <v>1665</v>
      </c>
      <c r="C66" s="6">
        <f>IFERROR(__xludf.DUMMYFUNCTION("""COMPUTED_VALUE"""),1670.0)</f>
        <v>1670</v>
      </c>
      <c r="D66" s="6">
        <f>IFERROR(__xludf.DUMMYFUNCTION("""COMPUTED_VALUE"""),1444.45)</f>
        <v>1444.45</v>
      </c>
      <c r="E66" s="6">
        <f>IFERROR(__xludf.DUMMYFUNCTION("""COMPUTED_VALUE"""),1479.2)</f>
        <v>1479.2</v>
      </c>
      <c r="F66" s="6">
        <f>IFERROR(__xludf.DUMMYFUNCTION("""COMPUTED_VALUE"""),4768319.0)</f>
        <v>4768319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IFERROR(__xludf.DUMMYFUNCTION("""COMPUTED_VALUE"""),1479.2)</f>
        <v>1479.2</v>
      </c>
      <c r="C67" s="6">
        <f>IFERROR(__xludf.DUMMYFUNCTION("""COMPUTED_VALUE"""),1558.0)</f>
        <v>1558</v>
      </c>
      <c r="D67" s="6">
        <f>IFERROR(__xludf.DUMMYFUNCTION("""COMPUTED_VALUE"""),1440.3)</f>
        <v>1440.3</v>
      </c>
      <c r="E67" s="6">
        <f>IFERROR(__xludf.DUMMYFUNCTION("""COMPUTED_VALUE"""),1451.45)</f>
        <v>1451.45</v>
      </c>
      <c r="F67" s="6">
        <f>IFERROR(__xludf.DUMMYFUNCTION("""COMPUTED_VALUE"""),2846875.0)</f>
        <v>2846875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IFERROR(__xludf.DUMMYFUNCTION("""COMPUTED_VALUE"""),1451.45)</f>
        <v>1451.45</v>
      </c>
      <c r="C68" s="6">
        <f>IFERROR(__xludf.DUMMYFUNCTION("""COMPUTED_VALUE"""),1545.3)</f>
        <v>1545.3</v>
      </c>
      <c r="D68" s="6">
        <f>IFERROR(__xludf.DUMMYFUNCTION("""COMPUTED_VALUE"""),1400.0)</f>
        <v>1400</v>
      </c>
      <c r="E68" s="6">
        <f>IFERROR(__xludf.DUMMYFUNCTION("""COMPUTED_VALUE"""),1513.45)</f>
        <v>1513.45</v>
      </c>
      <c r="F68" s="6">
        <f>IFERROR(__xludf.DUMMYFUNCTION("""COMPUTED_VALUE"""),4364759.0)</f>
        <v>4364759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IFERROR(__xludf.DUMMYFUNCTION("""COMPUTED_VALUE"""),1515.05)</f>
        <v>1515.05</v>
      </c>
      <c r="C69" s="6">
        <f>IFERROR(__xludf.DUMMYFUNCTION("""COMPUTED_VALUE"""),1516.75)</f>
        <v>1516.75</v>
      </c>
      <c r="D69" s="6">
        <f>IFERROR(__xludf.DUMMYFUNCTION("""COMPUTED_VALUE"""),1350.1)</f>
        <v>1350.1</v>
      </c>
      <c r="E69" s="6">
        <f>IFERROR(__xludf.DUMMYFUNCTION("""COMPUTED_VALUE"""),1358.25)</f>
        <v>1358.25</v>
      </c>
      <c r="F69" s="6">
        <f>IFERROR(__xludf.DUMMYFUNCTION("""COMPUTED_VALUE"""),2504215.0)</f>
        <v>2504215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IFERROR(__xludf.DUMMYFUNCTION("""COMPUTED_VALUE"""),1340.0)</f>
        <v>1340</v>
      </c>
      <c r="C70" s="6">
        <f>IFERROR(__xludf.DUMMYFUNCTION("""COMPUTED_VALUE"""),1518.0)</f>
        <v>1518</v>
      </c>
      <c r="D70" s="6">
        <f>IFERROR(__xludf.DUMMYFUNCTION("""COMPUTED_VALUE"""),1301.0)</f>
        <v>1301</v>
      </c>
      <c r="E70" s="6">
        <f>IFERROR(__xludf.DUMMYFUNCTION("""COMPUTED_VALUE"""),1477.0)</f>
        <v>1477</v>
      </c>
      <c r="F70" s="6">
        <f>IFERROR(__xludf.DUMMYFUNCTION("""COMPUTED_VALUE"""),2770982.0)</f>
        <v>2770982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IFERROR(__xludf.DUMMYFUNCTION("""COMPUTED_VALUE"""),1481.2)</f>
        <v>1481.2</v>
      </c>
      <c r="C71" s="6">
        <f>IFERROR(__xludf.DUMMYFUNCTION("""COMPUTED_VALUE"""),1522.9)</f>
        <v>1522.9</v>
      </c>
      <c r="D71" s="6">
        <f>IFERROR(__xludf.DUMMYFUNCTION("""COMPUTED_VALUE"""),1374.2)</f>
        <v>1374.2</v>
      </c>
      <c r="E71" s="6">
        <f>IFERROR(__xludf.DUMMYFUNCTION("""COMPUTED_VALUE"""),1469.7)</f>
        <v>1469.7</v>
      </c>
      <c r="F71" s="6">
        <f>IFERROR(__xludf.DUMMYFUNCTION("""COMPUTED_VALUE"""),2572619.0)</f>
        <v>2572619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IFERROR(__xludf.DUMMYFUNCTION("""COMPUTED_VALUE"""),1380.0)</f>
        <v>1380</v>
      </c>
      <c r="C72" s="6">
        <f>IFERROR(__xludf.DUMMYFUNCTION("""COMPUTED_VALUE"""),1450.0)</f>
        <v>1450</v>
      </c>
      <c r="D72" s="6">
        <f>IFERROR(__xludf.DUMMYFUNCTION("""COMPUTED_VALUE"""),1303.85)</f>
        <v>1303.85</v>
      </c>
      <c r="E72" s="6">
        <f>IFERROR(__xludf.DUMMYFUNCTION("""COMPUTED_VALUE"""),1407.3)</f>
        <v>1407.3</v>
      </c>
      <c r="F72" s="6">
        <f>IFERROR(__xludf.DUMMYFUNCTION("""COMPUTED_VALUE"""),6074682.0)</f>
        <v>6074682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IFERROR(__xludf.DUMMYFUNCTION("""COMPUTED_VALUE"""),1409.0)</f>
        <v>1409</v>
      </c>
      <c r="C73" s="6">
        <f>IFERROR(__xludf.DUMMYFUNCTION("""COMPUTED_VALUE"""),1420.0)</f>
        <v>1420</v>
      </c>
      <c r="D73" s="6">
        <f>IFERROR(__xludf.DUMMYFUNCTION("""COMPUTED_VALUE"""),1216.75)</f>
        <v>1216.75</v>
      </c>
      <c r="E73" s="6">
        <f>IFERROR(__xludf.DUMMYFUNCTION("""COMPUTED_VALUE"""),1237.7)</f>
        <v>1237.7</v>
      </c>
      <c r="F73" s="6">
        <f>IFERROR(__xludf.DUMMYFUNCTION("""COMPUTED_VALUE"""),2272597.0)</f>
        <v>2272597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IFERROR(__xludf.DUMMYFUNCTION("""COMPUTED_VALUE"""),1237.65)</f>
        <v>1237.65</v>
      </c>
      <c r="C74" s="6">
        <f>IFERROR(__xludf.DUMMYFUNCTION("""COMPUTED_VALUE"""),1294.0)</f>
        <v>1294</v>
      </c>
      <c r="D74" s="6">
        <f>IFERROR(__xludf.DUMMYFUNCTION("""COMPUTED_VALUE"""),1207.25)</f>
        <v>1207.25</v>
      </c>
      <c r="E74" s="6">
        <f>IFERROR(__xludf.DUMMYFUNCTION("""COMPUTED_VALUE"""),1289.3)</f>
        <v>1289.3</v>
      </c>
      <c r="F74" s="6">
        <f>IFERROR(__xludf.DUMMYFUNCTION("""COMPUTED_VALUE"""),3569237.0)</f>
        <v>3569237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IFERROR(__xludf.DUMMYFUNCTION("""COMPUTED_VALUE"""),1265.0)</f>
        <v>1265</v>
      </c>
      <c r="C75" s="6">
        <f>IFERROR(__xludf.DUMMYFUNCTION("""COMPUTED_VALUE"""),1343.55)</f>
        <v>1343.55</v>
      </c>
      <c r="D75" s="6">
        <f>IFERROR(__xludf.DUMMYFUNCTION("""COMPUTED_VALUE"""),1238.0)</f>
        <v>1238</v>
      </c>
      <c r="E75" s="6">
        <f>IFERROR(__xludf.DUMMYFUNCTION("""COMPUTED_VALUE"""),1262.95)</f>
        <v>1262.95</v>
      </c>
      <c r="F75" s="6">
        <f>IFERROR(__xludf.DUMMYFUNCTION("""COMPUTED_VALUE"""),4142867.0)</f>
        <v>4142867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IFERROR(__xludf.DUMMYFUNCTION("""COMPUTED_VALUE"""),1270.3)</f>
        <v>1270.3</v>
      </c>
      <c r="C76" s="6">
        <f>IFERROR(__xludf.DUMMYFUNCTION("""COMPUTED_VALUE"""),1363.45)</f>
        <v>1363.45</v>
      </c>
      <c r="D76" s="6">
        <f>IFERROR(__xludf.DUMMYFUNCTION("""COMPUTED_VALUE"""),1225.0)</f>
        <v>1225</v>
      </c>
      <c r="E76" s="6">
        <f>IFERROR(__xludf.DUMMYFUNCTION("""COMPUTED_VALUE"""),1332.0)</f>
        <v>1332</v>
      </c>
      <c r="F76" s="6">
        <f>IFERROR(__xludf.DUMMYFUNCTION("""COMPUTED_VALUE"""),2195804.0)</f>
        <v>2195804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IFERROR(__xludf.DUMMYFUNCTION("""COMPUTED_VALUE"""),1332.0)</f>
        <v>1332</v>
      </c>
      <c r="C77" s="6">
        <f>IFERROR(__xludf.DUMMYFUNCTION("""COMPUTED_VALUE"""),1391.95)</f>
        <v>1391.95</v>
      </c>
      <c r="D77" s="6">
        <f>IFERROR(__xludf.DUMMYFUNCTION("""COMPUTED_VALUE"""),1282.45)</f>
        <v>1282.45</v>
      </c>
      <c r="E77" s="6">
        <f>IFERROR(__xludf.DUMMYFUNCTION("""COMPUTED_VALUE"""),1291.2)</f>
        <v>1291.2</v>
      </c>
      <c r="F77" s="6">
        <f>IFERROR(__xludf.DUMMYFUNCTION("""COMPUTED_VALUE"""),1740333.0)</f>
        <v>1740333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IFERROR(__xludf.DUMMYFUNCTION("""COMPUTED_VALUE"""),1322.25)</f>
        <v>1322.25</v>
      </c>
      <c r="C78" s="6">
        <f>IFERROR(__xludf.DUMMYFUNCTION("""COMPUTED_VALUE"""),1504.3)</f>
        <v>1504.3</v>
      </c>
      <c r="D78" s="6">
        <f>IFERROR(__xludf.DUMMYFUNCTION("""COMPUTED_VALUE"""),1307.95)</f>
        <v>1307.95</v>
      </c>
      <c r="E78" s="6">
        <f>IFERROR(__xludf.DUMMYFUNCTION("""COMPUTED_VALUE"""),1498.55)</f>
        <v>1498.55</v>
      </c>
      <c r="F78" s="6">
        <f>IFERROR(__xludf.DUMMYFUNCTION("""COMPUTED_VALUE"""),3260706.0)</f>
        <v>3260706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IFERROR(__xludf.DUMMYFUNCTION("""COMPUTED_VALUE"""),1509.0)</f>
        <v>1509</v>
      </c>
      <c r="C79" s="6">
        <f>IFERROR(__xludf.DUMMYFUNCTION("""COMPUTED_VALUE"""),1547.0)</f>
        <v>1547</v>
      </c>
      <c r="D79" s="6">
        <f>IFERROR(__xludf.DUMMYFUNCTION("""COMPUTED_VALUE"""),1471.45)</f>
        <v>1471.45</v>
      </c>
      <c r="E79" s="6">
        <f>IFERROR(__xludf.DUMMYFUNCTION("""COMPUTED_VALUE"""),1486.85)</f>
        <v>1486.85</v>
      </c>
      <c r="F79" s="6">
        <f>IFERROR(__xludf.DUMMYFUNCTION("""COMPUTED_VALUE"""),2785519.0)</f>
        <v>2785519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IFERROR(__xludf.DUMMYFUNCTION("""COMPUTED_VALUE"""),1482.45)</f>
        <v>1482.45</v>
      </c>
      <c r="C80" s="6">
        <f>IFERROR(__xludf.DUMMYFUNCTION("""COMPUTED_VALUE"""),1567.75)</f>
        <v>1567.75</v>
      </c>
      <c r="D80" s="6">
        <f>IFERROR(__xludf.DUMMYFUNCTION("""COMPUTED_VALUE"""),1473.0)</f>
        <v>1473</v>
      </c>
      <c r="E80" s="6">
        <f>IFERROR(__xludf.DUMMYFUNCTION("""COMPUTED_VALUE"""),1537.05)</f>
        <v>1537.05</v>
      </c>
      <c r="F80" s="6">
        <f>IFERROR(__xludf.DUMMYFUNCTION("""COMPUTED_VALUE"""),1781776.0)</f>
        <v>1781776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IFERROR(__xludf.DUMMYFUNCTION("""COMPUTED_VALUE"""),1383.35)</f>
        <v>1383.35</v>
      </c>
      <c r="C81" s="6">
        <f>IFERROR(__xludf.DUMMYFUNCTION("""COMPUTED_VALUE"""),1568.55)</f>
        <v>1568.55</v>
      </c>
      <c r="D81" s="6">
        <f>IFERROR(__xludf.DUMMYFUNCTION("""COMPUTED_VALUE"""),1383.35)</f>
        <v>1383.35</v>
      </c>
      <c r="E81" s="6">
        <f>IFERROR(__xludf.DUMMYFUNCTION("""COMPUTED_VALUE"""),1562.15)</f>
        <v>1562.15</v>
      </c>
      <c r="F81" s="6">
        <f>IFERROR(__xludf.DUMMYFUNCTION("""COMPUTED_VALUE"""),1641792.0)</f>
        <v>1641792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IFERROR(__xludf.DUMMYFUNCTION("""COMPUTED_VALUE"""),1599.9)</f>
        <v>1599.9</v>
      </c>
      <c r="C82" s="6">
        <f>IFERROR(__xludf.DUMMYFUNCTION("""COMPUTED_VALUE"""),1640.0)</f>
        <v>1640</v>
      </c>
      <c r="D82" s="6">
        <f>IFERROR(__xludf.DUMMYFUNCTION("""COMPUTED_VALUE"""),1570.8)</f>
        <v>1570.8</v>
      </c>
      <c r="E82" s="6">
        <f>IFERROR(__xludf.DUMMYFUNCTION("""COMPUTED_VALUE"""),1591.0)</f>
        <v>1591</v>
      </c>
      <c r="F82" s="6">
        <f>IFERROR(__xludf.DUMMYFUNCTION("""COMPUTED_VALUE"""),1082132.0)</f>
        <v>1082132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IFERROR(__xludf.DUMMYFUNCTION("""COMPUTED_VALUE"""),1600.0)</f>
        <v>1600</v>
      </c>
      <c r="C83" s="6">
        <f>IFERROR(__xludf.DUMMYFUNCTION("""COMPUTED_VALUE"""),1622.2)</f>
        <v>1622.2</v>
      </c>
      <c r="D83" s="6">
        <f>IFERROR(__xludf.DUMMYFUNCTION("""COMPUTED_VALUE"""),1521.9)</f>
        <v>1521.9</v>
      </c>
      <c r="E83" s="6">
        <f>IFERROR(__xludf.DUMMYFUNCTION("""COMPUTED_VALUE"""),1538.6)</f>
        <v>1538.6</v>
      </c>
      <c r="F83" s="6">
        <f>IFERROR(__xludf.DUMMYFUNCTION("""COMPUTED_VALUE"""),1508315.0)</f>
        <v>1508315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IFERROR(__xludf.DUMMYFUNCTION("""COMPUTED_VALUE"""),1538.5)</f>
        <v>1538.5</v>
      </c>
      <c r="C84" s="6">
        <f>IFERROR(__xludf.DUMMYFUNCTION("""COMPUTED_VALUE"""),1586.2)</f>
        <v>1586.2</v>
      </c>
      <c r="D84" s="6">
        <f>IFERROR(__xludf.DUMMYFUNCTION("""COMPUTED_VALUE"""),1486.8)</f>
        <v>1486.8</v>
      </c>
      <c r="E84" s="6">
        <f>IFERROR(__xludf.DUMMYFUNCTION("""COMPUTED_VALUE"""),1490.4)</f>
        <v>1490.4</v>
      </c>
      <c r="F84" s="6">
        <f>IFERROR(__xludf.DUMMYFUNCTION("""COMPUTED_VALUE"""),1367031.0)</f>
        <v>1367031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IFERROR(__xludf.DUMMYFUNCTION("""COMPUTED_VALUE"""),1490.4)</f>
        <v>1490.4</v>
      </c>
      <c r="C85" s="6">
        <f>IFERROR(__xludf.DUMMYFUNCTION("""COMPUTED_VALUE"""),1510.2)</f>
        <v>1510.2</v>
      </c>
      <c r="D85" s="6">
        <f>IFERROR(__xludf.DUMMYFUNCTION("""COMPUTED_VALUE"""),1367.4)</f>
        <v>1367.4</v>
      </c>
      <c r="E85" s="6">
        <f>IFERROR(__xludf.DUMMYFUNCTION("""COMPUTED_VALUE"""),1371.7)</f>
        <v>1371.7</v>
      </c>
      <c r="F85" s="6">
        <f>IFERROR(__xludf.DUMMYFUNCTION("""COMPUTED_VALUE"""),2718529.0)</f>
        <v>2718529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IFERROR(__xludf.DUMMYFUNCTION("""COMPUTED_VALUE"""),1430.0)</f>
        <v>1430</v>
      </c>
      <c r="C86" s="6">
        <f>IFERROR(__xludf.DUMMYFUNCTION("""COMPUTED_VALUE"""),1472.5)</f>
        <v>1472.5</v>
      </c>
      <c r="D86" s="6">
        <f>IFERROR(__xludf.DUMMYFUNCTION("""COMPUTED_VALUE"""),1405.5)</f>
        <v>1405.5</v>
      </c>
      <c r="E86" s="6">
        <f>IFERROR(__xludf.DUMMYFUNCTION("""COMPUTED_VALUE"""),1442.8)</f>
        <v>1442.8</v>
      </c>
      <c r="F86" s="6">
        <f>IFERROR(__xludf.DUMMYFUNCTION("""COMPUTED_VALUE"""),3831911.0)</f>
        <v>3831911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IFERROR(__xludf.DUMMYFUNCTION("""COMPUTED_VALUE"""),1449.9)</f>
        <v>1449.9</v>
      </c>
      <c r="C87" s="6">
        <f>IFERROR(__xludf.DUMMYFUNCTION("""COMPUTED_VALUE"""),1471.7)</f>
        <v>1471.7</v>
      </c>
      <c r="D87" s="6">
        <f>IFERROR(__xludf.DUMMYFUNCTION("""COMPUTED_VALUE"""),1380.0)</f>
        <v>1380</v>
      </c>
      <c r="E87" s="6">
        <f>IFERROR(__xludf.DUMMYFUNCTION("""COMPUTED_VALUE"""),1401.9)</f>
        <v>1401.9</v>
      </c>
      <c r="F87" s="6">
        <f>IFERROR(__xludf.DUMMYFUNCTION("""COMPUTED_VALUE"""),3902302.0)</f>
        <v>3902302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IFERROR(__xludf.DUMMYFUNCTION("""COMPUTED_VALUE"""),1418.0)</f>
        <v>1418</v>
      </c>
      <c r="C88" s="6">
        <f>IFERROR(__xludf.DUMMYFUNCTION("""COMPUTED_VALUE"""),1439.0)</f>
        <v>1439</v>
      </c>
      <c r="D88" s="6">
        <f>IFERROR(__xludf.DUMMYFUNCTION("""COMPUTED_VALUE"""),1361.0)</f>
        <v>1361</v>
      </c>
      <c r="E88" s="6">
        <f>IFERROR(__xludf.DUMMYFUNCTION("""COMPUTED_VALUE"""),1374.0)</f>
        <v>1374</v>
      </c>
      <c r="F88" s="6">
        <f>IFERROR(__xludf.DUMMYFUNCTION("""COMPUTED_VALUE"""),2882345.0)</f>
        <v>2882345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IFERROR(__xludf.DUMMYFUNCTION("""COMPUTED_VALUE"""),1370.1)</f>
        <v>1370.1</v>
      </c>
      <c r="C89" s="6">
        <f>IFERROR(__xludf.DUMMYFUNCTION("""COMPUTED_VALUE"""),1453.8)</f>
        <v>1453.8</v>
      </c>
      <c r="D89" s="6">
        <f>IFERROR(__xludf.DUMMYFUNCTION("""COMPUTED_VALUE"""),1365.3)</f>
        <v>1365.3</v>
      </c>
      <c r="E89" s="6">
        <f>IFERROR(__xludf.DUMMYFUNCTION("""COMPUTED_VALUE"""),1408.0)</f>
        <v>1408</v>
      </c>
      <c r="F89" s="6">
        <f>IFERROR(__xludf.DUMMYFUNCTION("""COMPUTED_VALUE"""),2807050.0)</f>
        <v>2807050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IFERROR(__xludf.DUMMYFUNCTION("""COMPUTED_VALUE"""),1420.0)</f>
        <v>1420</v>
      </c>
      <c r="C90" s="6">
        <f>IFERROR(__xludf.DUMMYFUNCTION("""COMPUTED_VALUE"""),1468.7)</f>
        <v>1468.7</v>
      </c>
      <c r="D90" s="6">
        <f>IFERROR(__xludf.DUMMYFUNCTION("""COMPUTED_VALUE"""),1389.9)</f>
        <v>1389.9</v>
      </c>
      <c r="E90" s="6">
        <f>IFERROR(__xludf.DUMMYFUNCTION("""COMPUTED_VALUE"""),1414.0)</f>
        <v>1414</v>
      </c>
      <c r="F90" s="6">
        <f>IFERROR(__xludf.DUMMYFUNCTION("""COMPUTED_VALUE"""),4012046.0)</f>
        <v>4012046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IFERROR(__xludf.DUMMYFUNCTION("""COMPUTED_VALUE"""),1420.0)</f>
        <v>1420</v>
      </c>
      <c r="C91" s="6">
        <f>IFERROR(__xludf.DUMMYFUNCTION("""COMPUTED_VALUE"""),1440.0)</f>
        <v>1440</v>
      </c>
      <c r="D91" s="6">
        <f>IFERROR(__xludf.DUMMYFUNCTION("""COMPUTED_VALUE"""),1358.2)</f>
        <v>1358.2</v>
      </c>
      <c r="E91" s="6">
        <f>IFERROR(__xludf.DUMMYFUNCTION("""COMPUTED_VALUE"""),1390.1)</f>
        <v>1390.1</v>
      </c>
      <c r="F91" s="6">
        <f>IFERROR(__xludf.DUMMYFUNCTION("""COMPUTED_VALUE"""),1819182.0)</f>
        <v>1819182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IFERROR(__xludf.DUMMYFUNCTION("""COMPUTED_VALUE"""),1380.8)</f>
        <v>1380.8</v>
      </c>
      <c r="C92" s="6">
        <f>IFERROR(__xludf.DUMMYFUNCTION("""COMPUTED_VALUE"""),1492.0)</f>
        <v>1492</v>
      </c>
      <c r="D92" s="6">
        <f>IFERROR(__xludf.DUMMYFUNCTION("""COMPUTED_VALUE"""),1377.7)</f>
        <v>1377.7</v>
      </c>
      <c r="E92" s="6">
        <f>IFERROR(__xludf.DUMMYFUNCTION("""COMPUTED_VALUE"""),1473.2)</f>
        <v>1473.2</v>
      </c>
      <c r="F92" s="6">
        <f>IFERROR(__xludf.DUMMYFUNCTION("""COMPUTED_VALUE"""),2909820.0)</f>
        <v>2909820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IFERROR(__xludf.DUMMYFUNCTION("""COMPUTED_VALUE"""),1473.2)</f>
        <v>1473.2</v>
      </c>
      <c r="C93" s="6">
        <f>IFERROR(__xludf.DUMMYFUNCTION("""COMPUTED_VALUE"""),1480.5)</f>
        <v>1480.5</v>
      </c>
      <c r="D93" s="6">
        <f>IFERROR(__xludf.DUMMYFUNCTION("""COMPUTED_VALUE"""),1428.1)</f>
        <v>1428.1</v>
      </c>
      <c r="E93" s="6">
        <f>IFERROR(__xludf.DUMMYFUNCTION("""COMPUTED_VALUE"""),1439.8)</f>
        <v>1439.8</v>
      </c>
      <c r="F93" s="6">
        <f>IFERROR(__xludf.DUMMYFUNCTION("""COMPUTED_VALUE"""),1751044.0)</f>
        <v>1751044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IFERROR(__xludf.DUMMYFUNCTION("""COMPUTED_VALUE"""),1436.1)</f>
        <v>1436.1</v>
      </c>
      <c r="C94" s="6">
        <f>IFERROR(__xludf.DUMMYFUNCTION("""COMPUTED_VALUE"""),1455.0)</f>
        <v>1455</v>
      </c>
      <c r="D94" s="6">
        <f>IFERROR(__xludf.DUMMYFUNCTION("""COMPUTED_VALUE"""),1399.0)</f>
        <v>1399</v>
      </c>
      <c r="E94" s="6">
        <f>IFERROR(__xludf.DUMMYFUNCTION("""COMPUTED_VALUE"""),1408.1)</f>
        <v>1408.1</v>
      </c>
      <c r="F94" s="6">
        <f>IFERROR(__xludf.DUMMYFUNCTION("""COMPUTED_VALUE"""),1555903.0)</f>
        <v>1555903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IFERROR(__xludf.DUMMYFUNCTION("""COMPUTED_VALUE"""),1402.1)</f>
        <v>1402.1</v>
      </c>
      <c r="C95" s="6">
        <f>IFERROR(__xludf.DUMMYFUNCTION("""COMPUTED_VALUE"""),1421.1)</f>
        <v>1421.1</v>
      </c>
      <c r="D95" s="6">
        <f>IFERROR(__xludf.DUMMYFUNCTION("""COMPUTED_VALUE"""),1361.6)</f>
        <v>1361.6</v>
      </c>
      <c r="E95" s="6">
        <f>IFERROR(__xludf.DUMMYFUNCTION("""COMPUTED_VALUE"""),1368.6)</f>
        <v>1368.6</v>
      </c>
      <c r="F95" s="6">
        <f>IFERROR(__xludf.DUMMYFUNCTION("""COMPUTED_VALUE"""),1464760.0)</f>
        <v>1464760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IFERROR(__xludf.DUMMYFUNCTION("""COMPUTED_VALUE"""),1367.0)</f>
        <v>1367</v>
      </c>
      <c r="C96" s="6">
        <f>IFERROR(__xludf.DUMMYFUNCTION("""COMPUTED_VALUE"""),1375.0)</f>
        <v>1375</v>
      </c>
      <c r="D96" s="6">
        <f>IFERROR(__xludf.DUMMYFUNCTION("""COMPUTED_VALUE"""),1321.2)</f>
        <v>1321.2</v>
      </c>
      <c r="E96" s="6">
        <f>IFERROR(__xludf.DUMMYFUNCTION("""COMPUTED_VALUE"""),1325.5)</f>
        <v>1325.5</v>
      </c>
      <c r="F96" s="6">
        <f>IFERROR(__xludf.DUMMYFUNCTION("""COMPUTED_VALUE"""),1728438.0)</f>
        <v>1728438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IFERROR(__xludf.DUMMYFUNCTION("""COMPUTED_VALUE"""),1324.9)</f>
        <v>1324.9</v>
      </c>
      <c r="C97" s="6">
        <f>IFERROR(__xludf.DUMMYFUNCTION("""COMPUTED_VALUE"""),1364.3)</f>
        <v>1364.3</v>
      </c>
      <c r="D97" s="6">
        <f>IFERROR(__xludf.DUMMYFUNCTION("""COMPUTED_VALUE"""),1285.0)</f>
        <v>1285</v>
      </c>
      <c r="E97" s="6">
        <f>IFERROR(__xludf.DUMMYFUNCTION("""COMPUTED_VALUE"""),1288.2)</f>
        <v>1288.2</v>
      </c>
      <c r="F97" s="6">
        <f>IFERROR(__xludf.DUMMYFUNCTION("""COMPUTED_VALUE"""),1507411.0)</f>
        <v>1507411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IFERROR(__xludf.DUMMYFUNCTION("""COMPUTED_VALUE"""),1291.4)</f>
        <v>1291.4</v>
      </c>
      <c r="C98" s="6">
        <f>IFERROR(__xludf.DUMMYFUNCTION("""COMPUTED_VALUE"""),1368.9)</f>
        <v>1368.9</v>
      </c>
      <c r="D98" s="6">
        <f>IFERROR(__xludf.DUMMYFUNCTION("""COMPUTED_VALUE"""),1272.0)</f>
        <v>1272</v>
      </c>
      <c r="E98" s="6">
        <f>IFERROR(__xludf.DUMMYFUNCTION("""COMPUTED_VALUE"""),1335.8)</f>
        <v>1335.8</v>
      </c>
      <c r="F98" s="6">
        <f>IFERROR(__xludf.DUMMYFUNCTION("""COMPUTED_VALUE"""),2879855.0)</f>
        <v>2879855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IFERROR(__xludf.DUMMYFUNCTION("""COMPUTED_VALUE"""),1335.0)</f>
        <v>1335</v>
      </c>
      <c r="C99" s="6">
        <f>IFERROR(__xludf.DUMMYFUNCTION("""COMPUTED_VALUE"""),1376.0)</f>
        <v>1376</v>
      </c>
      <c r="D99" s="6">
        <f>IFERROR(__xludf.DUMMYFUNCTION("""COMPUTED_VALUE"""),1327.1)</f>
        <v>1327.1</v>
      </c>
      <c r="E99" s="6">
        <f>IFERROR(__xludf.DUMMYFUNCTION("""COMPUTED_VALUE"""),1329.6)</f>
        <v>1329.6</v>
      </c>
      <c r="F99" s="6">
        <f>IFERROR(__xludf.DUMMYFUNCTION("""COMPUTED_VALUE"""),1494887.0)</f>
        <v>1494887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IFERROR(__xludf.DUMMYFUNCTION("""COMPUTED_VALUE"""),1340.2)</f>
        <v>1340.2</v>
      </c>
      <c r="C100" s="6">
        <f>IFERROR(__xludf.DUMMYFUNCTION("""COMPUTED_VALUE"""),1344.0)</f>
        <v>1344</v>
      </c>
      <c r="D100" s="6">
        <f>IFERROR(__xludf.DUMMYFUNCTION("""COMPUTED_VALUE"""),1270.0)</f>
        <v>1270</v>
      </c>
      <c r="E100" s="6">
        <f>IFERROR(__xludf.DUMMYFUNCTION("""COMPUTED_VALUE"""),1282.0)</f>
        <v>1282</v>
      </c>
      <c r="F100" s="6">
        <f>IFERROR(__xludf.DUMMYFUNCTION("""COMPUTED_VALUE"""),3742343.0)</f>
        <v>3742343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IFERROR(__xludf.DUMMYFUNCTION("""COMPUTED_VALUE"""),1269.3)</f>
        <v>1269.3</v>
      </c>
      <c r="C101" s="6">
        <f>IFERROR(__xludf.DUMMYFUNCTION("""COMPUTED_VALUE"""),1290.0)</f>
        <v>1290</v>
      </c>
      <c r="D101" s="6">
        <f>IFERROR(__xludf.DUMMYFUNCTION("""COMPUTED_VALUE"""),1261.1)</f>
        <v>1261.1</v>
      </c>
      <c r="E101" s="6">
        <f>IFERROR(__xludf.DUMMYFUNCTION("""COMPUTED_VALUE"""),1270.2)</f>
        <v>1270.2</v>
      </c>
      <c r="F101" s="6">
        <f>IFERROR(__xludf.DUMMYFUNCTION("""COMPUTED_VALUE"""),7199508.0)</f>
        <v>7199508</v>
      </c>
    </row>
  </sheetData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IFERROR(__xludf.DUMMYFUNCTION("GOOGLEFINANCE(""NSE:TRENT"",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IFERROR(__xludf.DUMMYFUNCTION("""COMPUTED_VALUE"""),2027.05)</f>
        <v>2027.05</v>
      </c>
      <c r="C2" s="6">
        <f>IFERROR(__xludf.DUMMYFUNCTION("""COMPUTED_VALUE"""),2112.95)</f>
        <v>2112.95</v>
      </c>
      <c r="D2" s="6">
        <f>IFERROR(__xludf.DUMMYFUNCTION("""COMPUTED_VALUE"""),1990.45)</f>
        <v>1990.45</v>
      </c>
      <c r="E2" s="6">
        <f>IFERROR(__xludf.DUMMYFUNCTION("""COMPUTED_VALUE"""),2063.1)</f>
        <v>2063.1</v>
      </c>
      <c r="F2" s="6">
        <f>IFERROR(__xludf.DUMMYFUNCTION("""COMPUTED_VALUE"""),3361316.0)</f>
        <v>3361316</v>
      </c>
    </row>
    <row r="3">
      <c r="A3" s="7">
        <f>IFERROR(__xludf.DUMMYFUNCTION("""COMPUTED_VALUE"""),45177.64583333333)</f>
        <v>45177.64583</v>
      </c>
      <c r="B3" s="6">
        <f>IFERROR(__xludf.DUMMYFUNCTION("""COMPUTED_VALUE"""),2074.0)</f>
        <v>2074</v>
      </c>
      <c r="C3" s="6">
        <f>IFERROR(__xludf.DUMMYFUNCTION("""COMPUTED_VALUE"""),2131.55)</f>
        <v>2131.55</v>
      </c>
      <c r="D3" s="6">
        <f>IFERROR(__xludf.DUMMYFUNCTION("""COMPUTED_VALUE"""),2020.0)</f>
        <v>2020</v>
      </c>
      <c r="E3" s="6">
        <f>IFERROR(__xludf.DUMMYFUNCTION("""COMPUTED_VALUE"""),2086.55)</f>
        <v>2086.55</v>
      </c>
      <c r="F3" s="6">
        <f>IFERROR(__xludf.DUMMYFUNCTION("""COMPUTED_VALUE"""),2463495.0)</f>
        <v>2463495</v>
      </c>
    </row>
    <row r="4">
      <c r="A4" s="7">
        <f>IFERROR(__xludf.DUMMYFUNCTION("""COMPUTED_VALUE"""),45184.64583333333)</f>
        <v>45184.64583</v>
      </c>
      <c r="B4" s="6">
        <f>IFERROR(__xludf.DUMMYFUNCTION("""COMPUTED_VALUE"""),2093.95)</f>
        <v>2093.95</v>
      </c>
      <c r="C4" s="6">
        <f>IFERROR(__xludf.DUMMYFUNCTION("""COMPUTED_VALUE"""),2111.95)</f>
        <v>2111.95</v>
      </c>
      <c r="D4" s="6">
        <f>IFERROR(__xludf.DUMMYFUNCTION("""COMPUTED_VALUE"""),2012.35)</f>
        <v>2012.35</v>
      </c>
      <c r="E4" s="6">
        <f>IFERROR(__xludf.DUMMYFUNCTION("""COMPUTED_VALUE"""),2070.25)</f>
        <v>2070.25</v>
      </c>
      <c r="F4" s="6">
        <f>IFERROR(__xludf.DUMMYFUNCTION("""COMPUTED_VALUE"""),2349393.0)</f>
        <v>2349393</v>
      </c>
    </row>
    <row r="5">
      <c r="A5" s="7">
        <f>IFERROR(__xludf.DUMMYFUNCTION("""COMPUTED_VALUE"""),45191.64583333333)</f>
        <v>45191.64583</v>
      </c>
      <c r="B5" s="6">
        <f>IFERROR(__xludf.DUMMYFUNCTION("""COMPUTED_VALUE"""),2073.0)</f>
        <v>2073</v>
      </c>
      <c r="C5" s="6">
        <f>IFERROR(__xludf.DUMMYFUNCTION("""COMPUTED_VALUE"""),2112.0)</f>
        <v>2112</v>
      </c>
      <c r="D5" s="6">
        <f>IFERROR(__xludf.DUMMYFUNCTION("""COMPUTED_VALUE"""),2022.45)</f>
        <v>2022.45</v>
      </c>
      <c r="E5" s="6">
        <f>IFERROR(__xludf.DUMMYFUNCTION("""COMPUTED_VALUE"""),2065.9)</f>
        <v>2065.9</v>
      </c>
      <c r="F5" s="6">
        <f>IFERROR(__xludf.DUMMYFUNCTION("""COMPUTED_VALUE"""),1468220.0)</f>
        <v>1468220</v>
      </c>
    </row>
    <row r="6">
      <c r="A6" s="7">
        <f>IFERROR(__xludf.DUMMYFUNCTION("""COMPUTED_VALUE"""),45198.64583333333)</f>
        <v>45198.64583</v>
      </c>
      <c r="B6" s="6">
        <f>IFERROR(__xludf.DUMMYFUNCTION("""COMPUTED_VALUE"""),2080.0)</f>
        <v>2080</v>
      </c>
      <c r="C6" s="6">
        <f>IFERROR(__xludf.DUMMYFUNCTION("""COMPUTED_VALUE"""),2185.0)</f>
        <v>2185</v>
      </c>
      <c r="D6" s="6">
        <f>IFERROR(__xludf.DUMMYFUNCTION("""COMPUTED_VALUE"""),2031.15)</f>
        <v>2031.15</v>
      </c>
      <c r="E6" s="6">
        <f>IFERROR(__xludf.DUMMYFUNCTION("""COMPUTED_VALUE"""),2080.15)</f>
        <v>2080.15</v>
      </c>
      <c r="F6" s="6">
        <f>IFERROR(__xludf.DUMMYFUNCTION("""COMPUTED_VALUE"""),8168663.0)</f>
        <v>8168663</v>
      </c>
    </row>
    <row r="7">
      <c r="A7" s="7">
        <f>IFERROR(__xludf.DUMMYFUNCTION("""COMPUTED_VALUE"""),45205.64583333333)</f>
        <v>45205.64583</v>
      </c>
      <c r="B7" s="6">
        <f>IFERROR(__xludf.DUMMYFUNCTION("""COMPUTED_VALUE"""),2074.3)</f>
        <v>2074.3</v>
      </c>
      <c r="C7" s="6">
        <f>IFERROR(__xludf.DUMMYFUNCTION("""COMPUTED_VALUE"""),2091.9)</f>
        <v>2091.9</v>
      </c>
      <c r="D7" s="6">
        <f>IFERROR(__xludf.DUMMYFUNCTION("""COMPUTED_VALUE"""),2007.6)</f>
        <v>2007.6</v>
      </c>
      <c r="E7" s="6">
        <f>IFERROR(__xludf.DUMMYFUNCTION("""COMPUTED_VALUE"""),2072.1)</f>
        <v>2072.1</v>
      </c>
      <c r="F7" s="6">
        <f>IFERROR(__xludf.DUMMYFUNCTION("""COMPUTED_VALUE"""),2001122.0)</f>
        <v>2001122</v>
      </c>
    </row>
    <row r="8">
      <c r="A8" s="7">
        <f>IFERROR(__xludf.DUMMYFUNCTION("""COMPUTED_VALUE"""),45212.64583333333)</f>
        <v>45212.64583</v>
      </c>
      <c r="B8" s="6">
        <f>IFERROR(__xludf.DUMMYFUNCTION("""COMPUTED_VALUE"""),2035.0)</f>
        <v>2035</v>
      </c>
      <c r="C8" s="6">
        <f>IFERROR(__xludf.DUMMYFUNCTION("""COMPUTED_VALUE"""),2114.8)</f>
        <v>2114.8</v>
      </c>
      <c r="D8" s="6">
        <f>IFERROR(__xludf.DUMMYFUNCTION("""COMPUTED_VALUE"""),2032.4)</f>
        <v>2032.4</v>
      </c>
      <c r="E8" s="6">
        <f>IFERROR(__xludf.DUMMYFUNCTION("""COMPUTED_VALUE"""),2084.8)</f>
        <v>2084.8</v>
      </c>
      <c r="F8" s="6">
        <f>IFERROR(__xludf.DUMMYFUNCTION("""COMPUTED_VALUE"""),2175952.0)</f>
        <v>2175952</v>
      </c>
    </row>
    <row r="9">
      <c r="A9" s="7">
        <f>IFERROR(__xludf.DUMMYFUNCTION("""COMPUTED_VALUE"""),45219.64583333333)</f>
        <v>45219.64583</v>
      </c>
      <c r="B9" s="6">
        <f>IFERROR(__xludf.DUMMYFUNCTION("""COMPUTED_VALUE"""),2093.0)</f>
        <v>2093</v>
      </c>
      <c r="C9" s="6">
        <f>IFERROR(__xludf.DUMMYFUNCTION("""COMPUTED_VALUE"""),2117.6)</f>
        <v>2117.6</v>
      </c>
      <c r="D9" s="6">
        <f>IFERROR(__xludf.DUMMYFUNCTION("""COMPUTED_VALUE"""),2020.0)</f>
        <v>2020</v>
      </c>
      <c r="E9" s="6">
        <f>IFERROR(__xludf.DUMMYFUNCTION("""COMPUTED_VALUE"""),2036.15)</f>
        <v>2036.15</v>
      </c>
      <c r="F9" s="6">
        <f>IFERROR(__xludf.DUMMYFUNCTION("""COMPUTED_VALUE"""),1956590.0)</f>
        <v>1956590</v>
      </c>
    </row>
    <row r="10">
      <c r="A10" s="7">
        <f>IFERROR(__xludf.DUMMYFUNCTION("""COMPUTED_VALUE"""),45226.64583333333)</f>
        <v>45226.64583</v>
      </c>
      <c r="B10" s="6">
        <f>IFERROR(__xludf.DUMMYFUNCTION("""COMPUTED_VALUE"""),2035.0)</f>
        <v>2035</v>
      </c>
      <c r="C10" s="6">
        <f>IFERROR(__xludf.DUMMYFUNCTION("""COMPUTED_VALUE"""),2142.95)</f>
        <v>2142.95</v>
      </c>
      <c r="D10" s="6">
        <f>IFERROR(__xludf.DUMMYFUNCTION("""COMPUTED_VALUE"""),1945.0)</f>
        <v>1945</v>
      </c>
      <c r="E10" s="6">
        <f>IFERROR(__xludf.DUMMYFUNCTION("""COMPUTED_VALUE"""),2122.1)</f>
        <v>2122.1</v>
      </c>
      <c r="F10" s="6">
        <f>IFERROR(__xludf.DUMMYFUNCTION("""COMPUTED_VALUE"""),2966941.0)</f>
        <v>2966941</v>
      </c>
    </row>
    <row r="11">
      <c r="A11" s="7">
        <f>IFERROR(__xludf.DUMMYFUNCTION("""COMPUTED_VALUE"""),45233.64583333333)</f>
        <v>45233.64583</v>
      </c>
      <c r="B11" s="6">
        <f>IFERROR(__xludf.DUMMYFUNCTION("""COMPUTED_VALUE"""),2143.2)</f>
        <v>2143.2</v>
      </c>
      <c r="C11" s="6">
        <f>IFERROR(__xludf.DUMMYFUNCTION("""COMPUTED_VALUE"""),2210.0)</f>
        <v>2210</v>
      </c>
      <c r="D11" s="6">
        <f>IFERROR(__xludf.DUMMYFUNCTION("""COMPUTED_VALUE"""),2072.0)</f>
        <v>2072</v>
      </c>
      <c r="E11" s="6">
        <f>IFERROR(__xludf.DUMMYFUNCTION("""COMPUTED_VALUE"""),2196.5)</f>
        <v>2196.5</v>
      </c>
      <c r="F11" s="6">
        <f>IFERROR(__xludf.DUMMYFUNCTION("""COMPUTED_VALUE"""),3019663.0)</f>
        <v>3019663</v>
      </c>
    </row>
    <row r="12">
      <c r="A12" s="7">
        <f>IFERROR(__xludf.DUMMYFUNCTION("""COMPUTED_VALUE"""),45240.64583333333)</f>
        <v>45240.64583</v>
      </c>
      <c r="B12" s="6">
        <f>IFERROR(__xludf.DUMMYFUNCTION("""COMPUTED_VALUE"""),2196.55)</f>
        <v>2196.55</v>
      </c>
      <c r="C12" s="6">
        <f>IFERROR(__xludf.DUMMYFUNCTION("""COMPUTED_VALUE"""),2504.15)</f>
        <v>2504.15</v>
      </c>
      <c r="D12" s="6">
        <f>IFERROR(__xludf.DUMMYFUNCTION("""COMPUTED_VALUE"""),2181.7)</f>
        <v>2181.7</v>
      </c>
      <c r="E12" s="6">
        <f>IFERROR(__xludf.DUMMYFUNCTION("""COMPUTED_VALUE"""),2489.35)</f>
        <v>2489.35</v>
      </c>
      <c r="F12" s="6">
        <f>IFERROR(__xludf.DUMMYFUNCTION("""COMPUTED_VALUE"""),7937908.0)</f>
        <v>7937908</v>
      </c>
    </row>
    <row r="13">
      <c r="A13" s="7">
        <f>IFERROR(__xludf.DUMMYFUNCTION("""COMPUTED_VALUE"""),45247.64583333333)</f>
        <v>45247.64583</v>
      </c>
      <c r="B13" s="6">
        <f>IFERROR(__xludf.DUMMYFUNCTION("""COMPUTED_VALUE"""),2510.2)</f>
        <v>2510.2</v>
      </c>
      <c r="C13" s="6">
        <f>IFERROR(__xludf.DUMMYFUNCTION("""COMPUTED_VALUE"""),2613.7)</f>
        <v>2613.7</v>
      </c>
      <c r="D13" s="6">
        <f>IFERROR(__xludf.DUMMYFUNCTION("""COMPUTED_VALUE"""),2485.35)</f>
        <v>2485.35</v>
      </c>
      <c r="E13" s="6">
        <f>IFERROR(__xludf.DUMMYFUNCTION("""COMPUTED_VALUE"""),2576.4)</f>
        <v>2576.4</v>
      </c>
      <c r="F13" s="6">
        <f>IFERROR(__xludf.DUMMYFUNCTION("""COMPUTED_VALUE"""),3290038.0)</f>
        <v>3290038</v>
      </c>
    </row>
    <row r="14">
      <c r="A14" s="7">
        <f>IFERROR(__xludf.DUMMYFUNCTION("""COMPUTED_VALUE"""),45254.64583333333)</f>
        <v>45254.64583</v>
      </c>
      <c r="B14" s="6">
        <f>IFERROR(__xludf.DUMMYFUNCTION("""COMPUTED_VALUE"""),2595.0)</f>
        <v>2595</v>
      </c>
      <c r="C14" s="6">
        <f>IFERROR(__xludf.DUMMYFUNCTION("""COMPUTED_VALUE"""),2668.0)</f>
        <v>2668</v>
      </c>
      <c r="D14" s="6">
        <f>IFERROR(__xludf.DUMMYFUNCTION("""COMPUTED_VALUE"""),2585.3)</f>
        <v>2585.3</v>
      </c>
      <c r="E14" s="6">
        <f>IFERROR(__xludf.DUMMYFUNCTION("""COMPUTED_VALUE"""),2649.7)</f>
        <v>2649.7</v>
      </c>
      <c r="F14" s="6">
        <f>IFERROR(__xludf.DUMMYFUNCTION("""COMPUTED_VALUE"""),2207803.0)</f>
        <v>2207803</v>
      </c>
    </row>
    <row r="15">
      <c r="A15" s="7">
        <f>IFERROR(__xludf.DUMMYFUNCTION("""COMPUTED_VALUE"""),45261.64583333333)</f>
        <v>45261.64583</v>
      </c>
      <c r="B15" s="6">
        <f>IFERROR(__xludf.DUMMYFUNCTION("""COMPUTED_VALUE"""),2668.5)</f>
        <v>2668.5</v>
      </c>
      <c r="C15" s="6">
        <f>IFERROR(__xludf.DUMMYFUNCTION("""COMPUTED_VALUE"""),2837.4)</f>
        <v>2837.4</v>
      </c>
      <c r="D15" s="6">
        <f>IFERROR(__xludf.DUMMYFUNCTION("""COMPUTED_VALUE"""),2645.05)</f>
        <v>2645.05</v>
      </c>
      <c r="E15" s="6">
        <f>IFERROR(__xludf.DUMMYFUNCTION("""COMPUTED_VALUE"""),2807.7)</f>
        <v>2807.7</v>
      </c>
      <c r="F15" s="6">
        <f>IFERROR(__xludf.DUMMYFUNCTION("""COMPUTED_VALUE"""),4389206.0)</f>
        <v>4389206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IFERROR(__xludf.DUMMYFUNCTION("""COMPUTED_VALUE"""),2847.0)</f>
        <v>2847</v>
      </c>
      <c r="C16" s="6">
        <f>IFERROR(__xludf.DUMMYFUNCTION("""COMPUTED_VALUE"""),2918.0)</f>
        <v>2918</v>
      </c>
      <c r="D16" s="6">
        <f>IFERROR(__xludf.DUMMYFUNCTION("""COMPUTED_VALUE"""),2772.25)</f>
        <v>2772.25</v>
      </c>
      <c r="E16" s="6">
        <f>IFERROR(__xludf.DUMMYFUNCTION("""COMPUTED_VALUE"""),2841.3)</f>
        <v>2841.3</v>
      </c>
      <c r="F16" s="6">
        <f>IFERROR(__xludf.DUMMYFUNCTION("""COMPUTED_VALUE"""),3499072.0)</f>
        <v>3499072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IFERROR(__xludf.DUMMYFUNCTION("""COMPUTED_VALUE"""),2858.95)</f>
        <v>2858.95</v>
      </c>
      <c r="C17" s="6">
        <f>IFERROR(__xludf.DUMMYFUNCTION("""COMPUTED_VALUE"""),3024.55)</f>
        <v>3024.55</v>
      </c>
      <c r="D17" s="6">
        <f>IFERROR(__xludf.DUMMYFUNCTION("""COMPUTED_VALUE"""),2841.1)</f>
        <v>2841.1</v>
      </c>
      <c r="E17" s="6">
        <f>IFERROR(__xludf.DUMMYFUNCTION("""COMPUTED_VALUE"""),2989.75)</f>
        <v>2989.75</v>
      </c>
      <c r="F17" s="6">
        <f>IFERROR(__xludf.DUMMYFUNCTION("""COMPUTED_VALUE"""),3035382.0)</f>
        <v>3035382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IFERROR(__xludf.DUMMYFUNCTION("""COMPUTED_VALUE"""),2998.55)</f>
        <v>2998.55</v>
      </c>
      <c r="C18" s="6">
        <f>IFERROR(__xludf.DUMMYFUNCTION("""COMPUTED_VALUE"""),3025.0)</f>
        <v>3025</v>
      </c>
      <c r="D18" s="6">
        <f>IFERROR(__xludf.DUMMYFUNCTION("""COMPUTED_VALUE"""),2879.5)</f>
        <v>2879.5</v>
      </c>
      <c r="E18" s="6">
        <f>IFERROR(__xludf.DUMMYFUNCTION("""COMPUTED_VALUE"""),2965.5)</f>
        <v>2965.5</v>
      </c>
      <c r="F18" s="6">
        <f>IFERROR(__xludf.DUMMYFUNCTION("""COMPUTED_VALUE"""),3043295.0)</f>
        <v>3043295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IFERROR(__xludf.DUMMYFUNCTION("""COMPUTED_VALUE"""),2986.1)</f>
        <v>2986.1</v>
      </c>
      <c r="C19" s="6">
        <f>IFERROR(__xludf.DUMMYFUNCTION("""COMPUTED_VALUE"""),3060.35)</f>
        <v>3060.35</v>
      </c>
      <c r="D19" s="6">
        <f>IFERROR(__xludf.DUMMYFUNCTION("""COMPUTED_VALUE"""),2961.65)</f>
        <v>2961.65</v>
      </c>
      <c r="E19" s="6">
        <f>IFERROR(__xludf.DUMMYFUNCTION("""COMPUTED_VALUE"""),3054.95)</f>
        <v>3054.95</v>
      </c>
      <c r="F19" s="6">
        <f>IFERROR(__xludf.DUMMYFUNCTION("""COMPUTED_VALUE"""),1834117.0)</f>
        <v>1834117</v>
      </c>
    </row>
    <row r="20">
      <c r="A20" s="7">
        <f>IFERROR(__xludf.DUMMYFUNCTION("""COMPUTED_VALUE"""),45296.64583333333)</f>
        <v>45296.64583</v>
      </c>
      <c r="B20" s="6">
        <f>IFERROR(__xludf.DUMMYFUNCTION("""COMPUTED_VALUE"""),3061.8)</f>
        <v>3061.8</v>
      </c>
      <c r="C20" s="6">
        <f>IFERROR(__xludf.DUMMYFUNCTION("""COMPUTED_VALUE"""),3108.45)</f>
        <v>3108.45</v>
      </c>
      <c r="D20" s="6">
        <f>IFERROR(__xludf.DUMMYFUNCTION("""COMPUTED_VALUE"""),2940.75)</f>
        <v>2940.75</v>
      </c>
      <c r="E20" s="6">
        <f>IFERROR(__xludf.DUMMYFUNCTION("""COMPUTED_VALUE"""),3065.55)</f>
        <v>3065.55</v>
      </c>
      <c r="F20" s="6">
        <f>IFERROR(__xludf.DUMMYFUNCTION("""COMPUTED_VALUE"""),2103689.0)</f>
        <v>2103689</v>
      </c>
    </row>
    <row r="21">
      <c r="A21" s="7">
        <f>IFERROR(__xludf.DUMMYFUNCTION("""COMPUTED_VALUE"""),45303.64583333333)</f>
        <v>45303.64583</v>
      </c>
      <c r="B21" s="6">
        <f>IFERROR(__xludf.DUMMYFUNCTION("""COMPUTED_VALUE"""),3080.95)</f>
        <v>3080.95</v>
      </c>
      <c r="C21" s="6">
        <f>IFERROR(__xludf.DUMMYFUNCTION("""COMPUTED_VALUE"""),3240.95)</f>
        <v>3240.95</v>
      </c>
      <c r="D21" s="6">
        <f>IFERROR(__xludf.DUMMYFUNCTION("""COMPUTED_VALUE"""),3037.8)</f>
        <v>3037.8</v>
      </c>
      <c r="E21" s="6">
        <f>IFERROR(__xludf.DUMMYFUNCTION("""COMPUTED_VALUE"""),3212.15)</f>
        <v>3212.15</v>
      </c>
      <c r="F21" s="6">
        <f>IFERROR(__xludf.DUMMYFUNCTION("""COMPUTED_VALUE"""),3061677.0)</f>
        <v>3061677</v>
      </c>
    </row>
    <row r="22">
      <c r="A22" s="7">
        <f>IFERROR(__xludf.DUMMYFUNCTION("""COMPUTED_VALUE"""),45316.64583333333)</f>
        <v>45316.64583</v>
      </c>
      <c r="B22" s="6">
        <f>IFERROR(__xludf.DUMMYFUNCTION("""COMPUTED_VALUE"""),3207.0)</f>
        <v>3207</v>
      </c>
      <c r="C22" s="6">
        <f>IFERROR(__xludf.DUMMYFUNCTION("""COMPUTED_VALUE"""),3252.5)</f>
        <v>3252.5</v>
      </c>
      <c r="D22" s="6">
        <f>IFERROR(__xludf.DUMMYFUNCTION("""COMPUTED_VALUE"""),3130.0)</f>
        <v>3130</v>
      </c>
      <c r="E22" s="6">
        <f>IFERROR(__xludf.DUMMYFUNCTION("""COMPUTED_VALUE"""),3231.8)</f>
        <v>3231.8</v>
      </c>
      <c r="F22" s="6">
        <f>IFERROR(__xludf.DUMMYFUNCTION("""COMPUTED_VALUE"""),1173976.0)</f>
        <v>1173976</v>
      </c>
    </row>
    <row r="23">
      <c r="A23" s="7">
        <f>IFERROR(__xludf.DUMMYFUNCTION("""COMPUTED_VALUE"""),45324.64583333333)</f>
        <v>45324.64583</v>
      </c>
      <c r="B23" s="6">
        <f>IFERROR(__xludf.DUMMYFUNCTION("""COMPUTED_VALUE"""),3248.0)</f>
        <v>3248</v>
      </c>
      <c r="C23" s="6">
        <f>IFERROR(__xludf.DUMMYFUNCTION("""COMPUTED_VALUE"""),3295.0)</f>
        <v>3295</v>
      </c>
      <c r="D23" s="6">
        <f>IFERROR(__xludf.DUMMYFUNCTION("""COMPUTED_VALUE"""),2992.3)</f>
        <v>2992.3</v>
      </c>
      <c r="E23" s="6">
        <f>IFERROR(__xludf.DUMMYFUNCTION("""COMPUTED_VALUE"""),3126.05)</f>
        <v>3126.05</v>
      </c>
      <c r="F23" s="6">
        <f>IFERROR(__xludf.DUMMYFUNCTION("""COMPUTED_VALUE"""),4432226.0)</f>
        <v>4432226</v>
      </c>
    </row>
    <row r="24">
      <c r="A24" s="7">
        <f>IFERROR(__xludf.DUMMYFUNCTION("""COMPUTED_VALUE"""),45331.64583333333)</f>
        <v>45331.64583</v>
      </c>
      <c r="B24" s="6">
        <f>IFERROR(__xludf.DUMMYFUNCTION("""COMPUTED_VALUE"""),3175.0)</f>
        <v>3175</v>
      </c>
      <c r="C24" s="6">
        <f>IFERROR(__xludf.DUMMYFUNCTION("""COMPUTED_VALUE"""),3937.4)</f>
        <v>3937.4</v>
      </c>
      <c r="D24" s="6">
        <f>IFERROR(__xludf.DUMMYFUNCTION("""COMPUTED_VALUE"""),2955.0)</f>
        <v>2955</v>
      </c>
      <c r="E24" s="6">
        <f>IFERROR(__xludf.DUMMYFUNCTION("""COMPUTED_VALUE"""),3759.55)</f>
        <v>3759.55</v>
      </c>
      <c r="F24" s="6">
        <f>IFERROR(__xludf.DUMMYFUNCTION("""COMPUTED_VALUE"""),1.6750024E7)</f>
        <v>16750024</v>
      </c>
    </row>
    <row r="25">
      <c r="A25" s="7">
        <f>IFERROR(__xludf.DUMMYFUNCTION("""COMPUTED_VALUE"""),45338.64583333333)</f>
        <v>45338.64583</v>
      </c>
      <c r="B25" s="6">
        <f>IFERROR(__xludf.DUMMYFUNCTION("""COMPUTED_VALUE"""),3767.8)</f>
        <v>3767.8</v>
      </c>
      <c r="C25" s="6">
        <f>IFERROR(__xludf.DUMMYFUNCTION("""COMPUTED_VALUE"""),4036.3)</f>
        <v>4036.3</v>
      </c>
      <c r="D25" s="6">
        <f>IFERROR(__xludf.DUMMYFUNCTION("""COMPUTED_VALUE"""),3700.1)</f>
        <v>3700.1</v>
      </c>
      <c r="E25" s="6">
        <f>IFERROR(__xludf.DUMMYFUNCTION("""COMPUTED_VALUE"""),4024.6)</f>
        <v>4024.6</v>
      </c>
      <c r="F25" s="6">
        <f>IFERROR(__xludf.DUMMYFUNCTION("""COMPUTED_VALUE"""),4802991.0)</f>
        <v>4802991</v>
      </c>
    </row>
    <row r="26">
      <c r="A26" s="7">
        <f>IFERROR(__xludf.DUMMYFUNCTION("""COMPUTED_VALUE"""),45345.64583333333)</f>
        <v>45345.64583</v>
      </c>
      <c r="B26" s="6">
        <f>IFERROR(__xludf.DUMMYFUNCTION("""COMPUTED_VALUE"""),4048.0)</f>
        <v>4048</v>
      </c>
      <c r="C26" s="6">
        <f>IFERROR(__xludf.DUMMYFUNCTION("""COMPUTED_VALUE"""),4099.8)</f>
        <v>4099.8</v>
      </c>
      <c r="D26" s="6">
        <f>IFERROR(__xludf.DUMMYFUNCTION("""COMPUTED_VALUE"""),3829.7)</f>
        <v>3829.7</v>
      </c>
      <c r="E26" s="6">
        <f>IFERROR(__xludf.DUMMYFUNCTION("""COMPUTED_VALUE"""),3885.8)</f>
        <v>3885.8</v>
      </c>
      <c r="F26" s="6">
        <f>IFERROR(__xludf.DUMMYFUNCTION("""COMPUTED_VALUE"""),3024320.0)</f>
        <v>3024320</v>
      </c>
    </row>
    <row r="27">
      <c r="A27" s="7">
        <f>IFERROR(__xludf.DUMMYFUNCTION("""COMPUTED_VALUE"""),45358.64583333333)</f>
        <v>45358.64583</v>
      </c>
      <c r="B27" s="6">
        <f>IFERROR(__xludf.DUMMYFUNCTION("""COMPUTED_VALUE"""),3909.6)</f>
        <v>3909.6</v>
      </c>
      <c r="C27" s="6">
        <f>IFERROR(__xludf.DUMMYFUNCTION("""COMPUTED_VALUE"""),3978.0)</f>
        <v>3978</v>
      </c>
      <c r="D27" s="6">
        <f>IFERROR(__xludf.DUMMYFUNCTION("""COMPUTED_VALUE"""),3750.25)</f>
        <v>3750.25</v>
      </c>
      <c r="E27" s="6">
        <f>IFERROR(__xludf.DUMMYFUNCTION("""COMPUTED_VALUE"""),3952.2)</f>
        <v>3952.2</v>
      </c>
      <c r="F27" s="6">
        <f>IFERROR(__xludf.DUMMYFUNCTION("""COMPUTED_VALUE"""),2530802.0)</f>
        <v>2530802</v>
      </c>
    </row>
    <row r="28">
      <c r="A28" s="7">
        <f>IFERROR(__xludf.DUMMYFUNCTION("""COMPUTED_VALUE"""),45366.64583333333)</f>
        <v>45366.64583</v>
      </c>
      <c r="B28" s="6">
        <f>IFERROR(__xludf.DUMMYFUNCTION("""COMPUTED_VALUE"""),3982.0)</f>
        <v>3982</v>
      </c>
      <c r="C28" s="6">
        <f>IFERROR(__xludf.DUMMYFUNCTION("""COMPUTED_VALUE"""),4243.95)</f>
        <v>4243.95</v>
      </c>
      <c r="D28" s="6">
        <f>IFERROR(__xludf.DUMMYFUNCTION("""COMPUTED_VALUE"""),3870.6)</f>
        <v>3870.6</v>
      </c>
      <c r="E28" s="6">
        <f>IFERROR(__xludf.DUMMYFUNCTION("""COMPUTED_VALUE"""),4063.9)</f>
        <v>4063.9</v>
      </c>
      <c r="F28" s="6">
        <f>IFERROR(__xludf.DUMMYFUNCTION("""COMPUTED_VALUE"""),7546278.0)</f>
        <v>7546278</v>
      </c>
    </row>
    <row r="29">
      <c r="A29" s="7">
        <f>IFERROR(__xludf.DUMMYFUNCTION("""COMPUTED_VALUE"""),45373.64583333333)</f>
        <v>45373.64583</v>
      </c>
      <c r="B29" s="6">
        <f>IFERROR(__xludf.DUMMYFUNCTION("""COMPUTED_VALUE"""),4063.9)</f>
        <v>4063.9</v>
      </c>
      <c r="C29" s="6">
        <f>IFERROR(__xludf.DUMMYFUNCTION("""COMPUTED_VALUE"""),4088.0)</f>
        <v>4088</v>
      </c>
      <c r="D29" s="6">
        <f>IFERROR(__xludf.DUMMYFUNCTION("""COMPUTED_VALUE"""),3843.25)</f>
        <v>3843.25</v>
      </c>
      <c r="E29" s="6">
        <f>IFERROR(__xludf.DUMMYFUNCTION("""COMPUTED_VALUE"""),3948.6)</f>
        <v>3948.6</v>
      </c>
      <c r="F29" s="6">
        <f>IFERROR(__xludf.DUMMYFUNCTION("""COMPUTED_VALUE"""),2726136.0)</f>
        <v>2726136</v>
      </c>
    </row>
    <row r="30">
      <c r="A30" s="7">
        <f>IFERROR(__xludf.DUMMYFUNCTION("""COMPUTED_VALUE"""),45379.64583333333)</f>
        <v>45379.64583</v>
      </c>
      <c r="B30" s="6">
        <f>IFERROR(__xludf.DUMMYFUNCTION("""COMPUTED_VALUE"""),3885.0)</f>
        <v>3885</v>
      </c>
      <c r="C30" s="6">
        <f>IFERROR(__xludf.DUMMYFUNCTION("""COMPUTED_VALUE"""),3975.0)</f>
        <v>3975</v>
      </c>
      <c r="D30" s="6">
        <f>IFERROR(__xludf.DUMMYFUNCTION("""COMPUTED_VALUE"""),3866.05)</f>
        <v>3866.05</v>
      </c>
      <c r="E30" s="6">
        <f>IFERROR(__xludf.DUMMYFUNCTION("""COMPUTED_VALUE"""),3948.0)</f>
        <v>3948</v>
      </c>
      <c r="F30" s="6">
        <f>IFERROR(__xludf.DUMMYFUNCTION("""COMPUTED_VALUE"""),2206991.0)</f>
        <v>2206991</v>
      </c>
    </row>
    <row r="31">
      <c r="A31" s="7">
        <f>IFERROR(__xludf.DUMMYFUNCTION("""COMPUTED_VALUE"""),45387.64583333333)</f>
        <v>45387.64583</v>
      </c>
      <c r="B31" s="6">
        <f>IFERROR(__xludf.DUMMYFUNCTION("""COMPUTED_VALUE"""),3974.95)</f>
        <v>3974.95</v>
      </c>
      <c r="C31" s="6">
        <f>IFERROR(__xludf.DUMMYFUNCTION("""COMPUTED_VALUE"""),4052.9)</f>
        <v>4052.9</v>
      </c>
      <c r="D31" s="6">
        <f>IFERROR(__xludf.DUMMYFUNCTION("""COMPUTED_VALUE"""),3843.0)</f>
        <v>3843</v>
      </c>
      <c r="E31" s="6">
        <f>IFERROR(__xludf.DUMMYFUNCTION("""COMPUTED_VALUE"""),3932.6)</f>
        <v>3932.6</v>
      </c>
      <c r="F31" s="6">
        <f>IFERROR(__xludf.DUMMYFUNCTION("""COMPUTED_VALUE"""),3446690.0)</f>
        <v>3446690</v>
      </c>
    </row>
    <row r="32">
      <c r="A32" s="7">
        <f>IFERROR(__xludf.DUMMYFUNCTION("""COMPUTED_VALUE"""),45394.64583333333)</f>
        <v>45394.64583</v>
      </c>
      <c r="B32" s="6">
        <f>IFERROR(__xludf.DUMMYFUNCTION("""COMPUTED_VALUE"""),3932.6)</f>
        <v>3932.6</v>
      </c>
      <c r="C32" s="6">
        <f>IFERROR(__xludf.DUMMYFUNCTION("""COMPUTED_VALUE"""),4113.95)</f>
        <v>4113.95</v>
      </c>
      <c r="D32" s="6">
        <f>IFERROR(__xludf.DUMMYFUNCTION("""COMPUTED_VALUE"""),3894.9)</f>
        <v>3894.9</v>
      </c>
      <c r="E32" s="6">
        <f>IFERROR(__xludf.DUMMYFUNCTION("""COMPUTED_VALUE"""),4053.85)</f>
        <v>4053.85</v>
      </c>
      <c r="F32" s="6">
        <f>IFERROR(__xludf.DUMMYFUNCTION("""COMPUTED_VALUE"""),2837860.0)</f>
        <v>2837860</v>
      </c>
    </row>
    <row r="33">
      <c r="A33" s="7">
        <f>IFERROR(__xludf.DUMMYFUNCTION("""COMPUTED_VALUE"""),45401.64583333333)</f>
        <v>45401.64583</v>
      </c>
      <c r="B33" s="6">
        <f>IFERROR(__xludf.DUMMYFUNCTION("""COMPUTED_VALUE"""),3950.05)</f>
        <v>3950.05</v>
      </c>
      <c r="C33" s="6">
        <f>IFERROR(__xludf.DUMMYFUNCTION("""COMPUTED_VALUE"""),4177.9)</f>
        <v>4177.9</v>
      </c>
      <c r="D33" s="6">
        <f>IFERROR(__xludf.DUMMYFUNCTION("""COMPUTED_VALUE"""),3912.4)</f>
        <v>3912.4</v>
      </c>
      <c r="E33" s="6">
        <f>IFERROR(__xludf.DUMMYFUNCTION("""COMPUTED_VALUE"""),4158.95)</f>
        <v>4158.95</v>
      </c>
      <c r="F33" s="6">
        <f>IFERROR(__xludf.DUMMYFUNCTION("""COMPUTED_VALUE"""),3840346.0)</f>
        <v>3840346</v>
      </c>
    </row>
    <row r="34">
      <c r="A34" s="7">
        <f>IFERROR(__xludf.DUMMYFUNCTION("""COMPUTED_VALUE"""),45408.64583333333)</f>
        <v>45408.64583</v>
      </c>
      <c r="B34" s="6">
        <f>IFERROR(__xludf.DUMMYFUNCTION("""COMPUTED_VALUE"""),4215.3)</f>
        <v>4215.3</v>
      </c>
      <c r="C34" s="6">
        <f>IFERROR(__xludf.DUMMYFUNCTION("""COMPUTED_VALUE"""),4373.0)</f>
        <v>4373</v>
      </c>
      <c r="D34" s="6">
        <f>IFERROR(__xludf.DUMMYFUNCTION("""COMPUTED_VALUE"""),4115.0)</f>
        <v>4115</v>
      </c>
      <c r="E34" s="6">
        <f>IFERROR(__xludf.DUMMYFUNCTION("""COMPUTED_VALUE"""),4304.85)</f>
        <v>4304.85</v>
      </c>
      <c r="F34" s="6">
        <f>IFERROR(__xludf.DUMMYFUNCTION("""COMPUTED_VALUE"""),3830920.0)</f>
        <v>3830920</v>
      </c>
    </row>
    <row r="35">
      <c r="A35" s="7">
        <f>IFERROR(__xludf.DUMMYFUNCTION("""COMPUTED_VALUE"""),45415.64583333333)</f>
        <v>45415.64583</v>
      </c>
      <c r="B35" s="6">
        <f>IFERROR(__xludf.DUMMYFUNCTION("""COMPUTED_VALUE"""),4359.0)</f>
        <v>4359</v>
      </c>
      <c r="C35" s="6">
        <f>IFERROR(__xludf.DUMMYFUNCTION("""COMPUTED_VALUE"""),4680.55)</f>
        <v>4680.55</v>
      </c>
      <c r="D35" s="6">
        <f>IFERROR(__xludf.DUMMYFUNCTION("""COMPUTED_VALUE"""),4052.4)</f>
        <v>4052.4</v>
      </c>
      <c r="E35" s="6">
        <f>IFERROR(__xludf.DUMMYFUNCTION("""COMPUTED_VALUE"""),4523.65)</f>
        <v>4523.65</v>
      </c>
      <c r="F35" s="6">
        <f>IFERROR(__xludf.DUMMYFUNCTION("""COMPUTED_VALUE"""),1.058643E7)</f>
        <v>10586430</v>
      </c>
    </row>
    <row r="36">
      <c r="A36" s="7">
        <f>IFERROR(__xludf.DUMMYFUNCTION("""COMPUTED_VALUE"""),45422.64583333333)</f>
        <v>45422.64583</v>
      </c>
      <c r="B36" s="6">
        <f>IFERROR(__xludf.DUMMYFUNCTION("""COMPUTED_VALUE"""),4555.0)</f>
        <v>4555</v>
      </c>
      <c r="C36" s="6">
        <f>IFERROR(__xludf.DUMMYFUNCTION("""COMPUTED_VALUE"""),4580.0)</f>
        <v>4580</v>
      </c>
      <c r="D36" s="6">
        <f>IFERROR(__xludf.DUMMYFUNCTION("""COMPUTED_VALUE"""),4381.3)</f>
        <v>4381.3</v>
      </c>
      <c r="E36" s="6">
        <f>IFERROR(__xludf.DUMMYFUNCTION("""COMPUTED_VALUE"""),4471.4)</f>
        <v>4471.4</v>
      </c>
      <c r="F36" s="6">
        <f>IFERROR(__xludf.DUMMYFUNCTION("""COMPUTED_VALUE"""),3552245.0)</f>
        <v>3552245</v>
      </c>
    </row>
    <row r="37">
      <c r="A37" s="7">
        <f>IFERROR(__xludf.DUMMYFUNCTION("""COMPUTED_VALUE"""),45436.64583333333)</f>
        <v>45436.64583</v>
      </c>
      <c r="B37" s="6">
        <f>IFERROR(__xludf.DUMMYFUNCTION("""COMPUTED_VALUE"""),4690.0)</f>
        <v>4690</v>
      </c>
      <c r="C37" s="6">
        <f>IFERROR(__xludf.DUMMYFUNCTION("""COMPUTED_VALUE"""),4777.9)</f>
        <v>4777.9</v>
      </c>
      <c r="D37" s="6">
        <f>IFERROR(__xludf.DUMMYFUNCTION("""COMPUTED_VALUE"""),4545.0)</f>
        <v>4545</v>
      </c>
      <c r="E37" s="6">
        <f>IFERROR(__xludf.DUMMYFUNCTION("""COMPUTED_VALUE"""),4715.4)</f>
        <v>4715.4</v>
      </c>
      <c r="F37" s="6">
        <f>IFERROR(__xludf.DUMMYFUNCTION("""COMPUTED_VALUE"""),2420048.0)</f>
        <v>2420048</v>
      </c>
    </row>
    <row r="38">
      <c r="A38" s="7">
        <f>IFERROR(__xludf.DUMMYFUNCTION("""COMPUTED_VALUE"""),45443.64583333333)</f>
        <v>45443.64583</v>
      </c>
      <c r="B38" s="6">
        <f>IFERROR(__xludf.DUMMYFUNCTION("""COMPUTED_VALUE"""),4759.0)</f>
        <v>4759</v>
      </c>
      <c r="C38" s="6">
        <f>IFERROR(__xludf.DUMMYFUNCTION("""COMPUTED_VALUE"""),4760.85)</f>
        <v>4760.85</v>
      </c>
      <c r="D38" s="6">
        <f>IFERROR(__xludf.DUMMYFUNCTION("""COMPUTED_VALUE"""),4498.9)</f>
        <v>4498.9</v>
      </c>
      <c r="E38" s="6">
        <f>IFERROR(__xludf.DUMMYFUNCTION("""COMPUTED_VALUE"""),4559.15)</f>
        <v>4559.15</v>
      </c>
      <c r="F38" s="6">
        <f>IFERROR(__xludf.DUMMYFUNCTION("""COMPUTED_VALUE"""),5330101.0)</f>
        <v>5330101</v>
      </c>
    </row>
    <row r="39">
      <c r="A39" s="7">
        <f>IFERROR(__xludf.DUMMYFUNCTION("""COMPUTED_VALUE"""),45450.64583333333)</f>
        <v>45450.64583</v>
      </c>
      <c r="B39" s="6">
        <f>IFERROR(__xludf.DUMMYFUNCTION("""COMPUTED_VALUE"""),4745.8)</f>
        <v>4745.8</v>
      </c>
      <c r="C39" s="6">
        <f>IFERROR(__xludf.DUMMYFUNCTION("""COMPUTED_VALUE"""),5010.4)</f>
        <v>5010.4</v>
      </c>
      <c r="D39" s="6">
        <f>IFERROR(__xludf.DUMMYFUNCTION("""COMPUTED_VALUE"""),4196.0)</f>
        <v>4196</v>
      </c>
      <c r="E39" s="6">
        <f>IFERROR(__xludf.DUMMYFUNCTION("""COMPUTED_VALUE"""),4964.6)</f>
        <v>4964.6</v>
      </c>
      <c r="F39" s="6">
        <f>IFERROR(__xludf.DUMMYFUNCTION("""COMPUTED_VALUE"""),3858527.0)</f>
        <v>3858527</v>
      </c>
    </row>
    <row r="40">
      <c r="A40" s="7">
        <f>IFERROR(__xludf.DUMMYFUNCTION("""COMPUTED_VALUE"""),45457.64583333333)</f>
        <v>45457.64583</v>
      </c>
      <c r="B40" s="6">
        <f>IFERROR(__xludf.DUMMYFUNCTION("""COMPUTED_VALUE"""),5025.0)</f>
        <v>5025</v>
      </c>
      <c r="C40" s="6">
        <f>IFERROR(__xludf.DUMMYFUNCTION("""COMPUTED_VALUE"""),5294.0)</f>
        <v>5294</v>
      </c>
      <c r="D40" s="6">
        <f>IFERROR(__xludf.DUMMYFUNCTION("""COMPUTED_VALUE"""),4884.7)</f>
        <v>4884.7</v>
      </c>
      <c r="E40" s="6">
        <f>IFERROR(__xludf.DUMMYFUNCTION("""COMPUTED_VALUE"""),5245.55)</f>
        <v>5245.55</v>
      </c>
      <c r="F40" s="6">
        <f>IFERROR(__xludf.DUMMYFUNCTION("""COMPUTED_VALUE"""),4241430.0)</f>
        <v>4241430</v>
      </c>
    </row>
    <row r="41">
      <c r="A41" s="7">
        <f>IFERROR(__xludf.DUMMYFUNCTION("""COMPUTED_VALUE"""),45464.64583333333)</f>
        <v>45464.64583</v>
      </c>
      <c r="B41" s="6">
        <f>IFERROR(__xludf.DUMMYFUNCTION("""COMPUTED_VALUE"""),5299.0)</f>
        <v>5299</v>
      </c>
      <c r="C41" s="6">
        <f>IFERROR(__xludf.DUMMYFUNCTION("""COMPUTED_VALUE"""),5452.0)</f>
        <v>5452</v>
      </c>
      <c r="D41" s="6">
        <f>IFERROR(__xludf.DUMMYFUNCTION("""COMPUTED_VALUE"""),5200.0)</f>
        <v>5200</v>
      </c>
      <c r="E41" s="6">
        <f>IFERROR(__xludf.DUMMYFUNCTION("""COMPUTED_VALUE"""),5266.35)</f>
        <v>5266.35</v>
      </c>
      <c r="F41" s="6">
        <f>IFERROR(__xludf.DUMMYFUNCTION("""COMPUTED_VALUE"""),3111020.0)</f>
        <v>3111020</v>
      </c>
    </row>
    <row r="42">
      <c r="A42" s="7">
        <f>IFERROR(__xludf.DUMMYFUNCTION("""COMPUTED_VALUE"""),45471.64583333333)</f>
        <v>45471.64583</v>
      </c>
      <c r="B42" s="6">
        <f>IFERROR(__xludf.DUMMYFUNCTION("""COMPUTED_VALUE"""),5266.35)</f>
        <v>5266.35</v>
      </c>
      <c r="C42" s="6">
        <f>IFERROR(__xludf.DUMMYFUNCTION("""COMPUTED_VALUE"""),5509.0)</f>
        <v>5509</v>
      </c>
      <c r="D42" s="6">
        <f>IFERROR(__xludf.DUMMYFUNCTION("""COMPUTED_VALUE"""),5200.0)</f>
        <v>5200</v>
      </c>
      <c r="E42" s="6">
        <f>IFERROR(__xludf.DUMMYFUNCTION("""COMPUTED_VALUE"""),5479.85)</f>
        <v>5479.85</v>
      </c>
      <c r="F42" s="6">
        <f>IFERROR(__xludf.DUMMYFUNCTION("""COMPUTED_VALUE"""),3552404.0)</f>
        <v>3552404</v>
      </c>
    </row>
    <row r="43">
      <c r="A43" s="7">
        <f>IFERROR(__xludf.DUMMYFUNCTION("""COMPUTED_VALUE"""),45478.64583333333)</f>
        <v>45478.64583</v>
      </c>
      <c r="B43" s="6">
        <f>IFERROR(__xludf.DUMMYFUNCTION("""COMPUTED_VALUE"""),5500.0)</f>
        <v>5500</v>
      </c>
      <c r="C43" s="6">
        <f>IFERROR(__xludf.DUMMYFUNCTION("""COMPUTED_VALUE"""),5644.45)</f>
        <v>5644.45</v>
      </c>
      <c r="D43" s="6">
        <f>IFERROR(__xludf.DUMMYFUNCTION("""COMPUTED_VALUE"""),5380.0)</f>
        <v>5380</v>
      </c>
      <c r="E43" s="6">
        <f>IFERROR(__xludf.DUMMYFUNCTION("""COMPUTED_VALUE"""),5619.9)</f>
        <v>5619.9</v>
      </c>
      <c r="F43" s="6">
        <f>IFERROR(__xludf.DUMMYFUNCTION("""COMPUTED_VALUE"""),2130427.0)</f>
        <v>2130427</v>
      </c>
    </row>
    <row r="44">
      <c r="A44" s="7">
        <f>IFERROR(__xludf.DUMMYFUNCTION("""COMPUTED_VALUE"""),45485.64583333333)</f>
        <v>45485.64583</v>
      </c>
      <c r="B44" s="6">
        <f>IFERROR(__xludf.DUMMYFUNCTION("""COMPUTED_VALUE"""),5661.2)</f>
        <v>5661.2</v>
      </c>
      <c r="C44" s="6">
        <f>IFERROR(__xludf.DUMMYFUNCTION("""COMPUTED_VALUE"""),5696.0)</f>
        <v>5696</v>
      </c>
      <c r="D44" s="6">
        <f>IFERROR(__xludf.DUMMYFUNCTION("""COMPUTED_VALUE"""),5470.05)</f>
        <v>5470.05</v>
      </c>
      <c r="E44" s="6">
        <f>IFERROR(__xludf.DUMMYFUNCTION("""COMPUTED_VALUE"""),5651.25)</f>
        <v>5651.25</v>
      </c>
      <c r="F44" s="6">
        <f>IFERROR(__xludf.DUMMYFUNCTION("""COMPUTED_VALUE"""),2067022.0)</f>
        <v>2067022</v>
      </c>
    </row>
    <row r="45">
      <c r="A45" s="7">
        <f>IFERROR(__xludf.DUMMYFUNCTION("""COMPUTED_VALUE"""),45492.64583333333)</f>
        <v>45492.64583</v>
      </c>
      <c r="B45" s="6">
        <f>IFERROR(__xludf.DUMMYFUNCTION("""COMPUTED_VALUE"""),5690.0)</f>
        <v>5690</v>
      </c>
      <c r="C45" s="6">
        <f>IFERROR(__xludf.DUMMYFUNCTION("""COMPUTED_VALUE"""),5754.95)</f>
        <v>5754.95</v>
      </c>
      <c r="D45" s="6">
        <f>IFERROR(__xludf.DUMMYFUNCTION("""COMPUTED_VALUE"""),5106.05)</f>
        <v>5106.05</v>
      </c>
      <c r="E45" s="6">
        <f>IFERROR(__xludf.DUMMYFUNCTION("""COMPUTED_VALUE"""),5166.35)</f>
        <v>5166.35</v>
      </c>
      <c r="F45" s="6">
        <f>IFERROR(__xludf.DUMMYFUNCTION("""COMPUTED_VALUE"""),3362031.0)</f>
        <v>3362031</v>
      </c>
    </row>
    <row r="46">
      <c r="A46" s="7">
        <f>IFERROR(__xludf.DUMMYFUNCTION("""COMPUTED_VALUE"""),45499.64583333333)</f>
        <v>45499.64583</v>
      </c>
      <c r="B46" s="6">
        <f>IFERROR(__xludf.DUMMYFUNCTION("""COMPUTED_VALUE"""),5110.0)</f>
        <v>5110</v>
      </c>
      <c r="C46" s="6">
        <f>IFERROR(__xludf.DUMMYFUNCTION("""COMPUTED_VALUE"""),5411.55)</f>
        <v>5411.55</v>
      </c>
      <c r="D46" s="6">
        <f>IFERROR(__xludf.DUMMYFUNCTION("""COMPUTED_VALUE"""),4955.65)</f>
        <v>4955.65</v>
      </c>
      <c r="E46" s="6">
        <f>IFERROR(__xludf.DUMMYFUNCTION("""COMPUTED_VALUE"""),5393.35)</f>
        <v>5393.35</v>
      </c>
      <c r="F46" s="6">
        <f>IFERROR(__xludf.DUMMYFUNCTION("""COMPUTED_VALUE"""),2746021.0)</f>
        <v>2746021</v>
      </c>
    </row>
    <row r="47">
      <c r="A47" s="7">
        <f>IFERROR(__xludf.DUMMYFUNCTION("""COMPUTED_VALUE"""),45506.64583333333)</f>
        <v>45506.64583</v>
      </c>
      <c r="B47" s="6">
        <f>IFERROR(__xludf.DUMMYFUNCTION("""COMPUTED_VALUE"""),5414.95)</f>
        <v>5414.95</v>
      </c>
      <c r="C47" s="6">
        <f>IFERROR(__xludf.DUMMYFUNCTION("""COMPUTED_VALUE"""),5919.3)</f>
        <v>5919.3</v>
      </c>
      <c r="D47" s="6">
        <f>IFERROR(__xludf.DUMMYFUNCTION("""COMPUTED_VALUE"""),5365.0)</f>
        <v>5365</v>
      </c>
      <c r="E47" s="6">
        <f>IFERROR(__xludf.DUMMYFUNCTION("""COMPUTED_VALUE"""),5538.25)</f>
        <v>5538.25</v>
      </c>
      <c r="F47" s="6">
        <f>IFERROR(__xludf.DUMMYFUNCTION("""COMPUTED_VALUE"""),4323628.0)</f>
        <v>4323628</v>
      </c>
    </row>
    <row r="48">
      <c r="A48" s="7">
        <f>IFERROR(__xludf.DUMMYFUNCTION("""COMPUTED_VALUE"""),45513.64583333333)</f>
        <v>45513.64583</v>
      </c>
      <c r="B48" s="6">
        <f>IFERROR(__xludf.DUMMYFUNCTION("""COMPUTED_VALUE"""),5360.0)</f>
        <v>5360</v>
      </c>
      <c r="C48" s="6">
        <f>IFERROR(__xludf.DUMMYFUNCTION("""COMPUTED_VALUE"""),6373.85)</f>
        <v>6373.85</v>
      </c>
      <c r="D48" s="6">
        <f>IFERROR(__xludf.DUMMYFUNCTION("""COMPUTED_VALUE"""),5194.55)</f>
        <v>5194.55</v>
      </c>
      <c r="E48" s="6">
        <f>IFERROR(__xludf.DUMMYFUNCTION("""COMPUTED_VALUE"""),6275.35)</f>
        <v>6275.35</v>
      </c>
      <c r="F48" s="6">
        <f>IFERROR(__xludf.DUMMYFUNCTION("""COMPUTED_VALUE"""),1.0495142E7)</f>
        <v>10495142</v>
      </c>
    </row>
    <row r="49">
      <c r="A49" s="7">
        <f>IFERROR(__xludf.DUMMYFUNCTION("""COMPUTED_VALUE"""),45520.64583333333)</f>
        <v>45520.64583</v>
      </c>
      <c r="B49" s="6">
        <f>IFERROR(__xludf.DUMMYFUNCTION("""COMPUTED_VALUE"""),6302.95)</f>
        <v>6302.95</v>
      </c>
      <c r="C49" s="6">
        <f>IFERROR(__xludf.DUMMYFUNCTION("""COMPUTED_VALUE"""),6548.0)</f>
        <v>6548</v>
      </c>
      <c r="D49" s="6">
        <f>IFERROR(__xludf.DUMMYFUNCTION("""COMPUTED_VALUE"""),6277.0)</f>
        <v>6277</v>
      </c>
      <c r="E49" s="6">
        <f>IFERROR(__xludf.DUMMYFUNCTION("""COMPUTED_VALUE"""),6502.4)</f>
        <v>6502.4</v>
      </c>
      <c r="F49" s="6">
        <f>IFERROR(__xludf.DUMMYFUNCTION("""COMPUTED_VALUE"""),4580440.0)</f>
        <v>4580440</v>
      </c>
    </row>
    <row r="50">
      <c r="A50" s="7">
        <f>IFERROR(__xludf.DUMMYFUNCTION("""COMPUTED_VALUE"""),45527.64583333333)</f>
        <v>45527.64583</v>
      </c>
      <c r="B50" s="6">
        <f>IFERROR(__xludf.DUMMYFUNCTION("""COMPUTED_VALUE"""),6575.0)</f>
        <v>6575</v>
      </c>
      <c r="C50" s="6">
        <f>IFERROR(__xludf.DUMMYFUNCTION("""COMPUTED_VALUE"""),7030.0)</f>
        <v>7030</v>
      </c>
      <c r="D50" s="6">
        <f>IFERROR(__xludf.DUMMYFUNCTION("""COMPUTED_VALUE"""),6522.3)</f>
        <v>6522.3</v>
      </c>
      <c r="E50" s="6">
        <f>IFERROR(__xludf.DUMMYFUNCTION("""COMPUTED_VALUE"""),6948.75)</f>
        <v>6948.75</v>
      </c>
      <c r="F50" s="6">
        <f>IFERROR(__xludf.DUMMYFUNCTION("""COMPUTED_VALUE"""),5019572.0)</f>
        <v>5019572</v>
      </c>
    </row>
    <row r="51">
      <c r="A51" s="7">
        <f>IFERROR(__xludf.DUMMYFUNCTION("""COMPUTED_VALUE"""),45534.64583333333)</f>
        <v>45534.64583</v>
      </c>
      <c r="B51" s="6">
        <f>IFERROR(__xludf.DUMMYFUNCTION("""COMPUTED_VALUE"""),7000.0)</f>
        <v>7000</v>
      </c>
      <c r="C51" s="6">
        <f>IFERROR(__xludf.DUMMYFUNCTION("""COMPUTED_VALUE"""),7325.0)</f>
        <v>7325</v>
      </c>
      <c r="D51" s="6">
        <f>IFERROR(__xludf.DUMMYFUNCTION("""COMPUTED_VALUE"""),6779.25)</f>
        <v>6779.25</v>
      </c>
      <c r="E51" s="6">
        <f>IFERROR(__xludf.DUMMYFUNCTION("""COMPUTED_VALUE"""),7158.75)</f>
        <v>7158.75</v>
      </c>
      <c r="F51" s="6">
        <f>IFERROR(__xludf.DUMMYFUNCTION("""COMPUTED_VALUE"""),5697501.0)</f>
        <v>5697501</v>
      </c>
    </row>
    <row r="52">
      <c r="A52" s="7">
        <f>IFERROR(__xludf.DUMMYFUNCTION("""COMPUTED_VALUE"""),45541.64583333333)</f>
        <v>45541.64583</v>
      </c>
      <c r="B52" s="6">
        <f>IFERROR(__xludf.DUMMYFUNCTION("""COMPUTED_VALUE"""),7179.25)</f>
        <v>7179.25</v>
      </c>
      <c r="C52" s="6">
        <f>IFERROR(__xludf.DUMMYFUNCTION("""COMPUTED_VALUE"""),7267.75)</f>
        <v>7267.75</v>
      </c>
      <c r="D52" s="6">
        <f>IFERROR(__xludf.DUMMYFUNCTION("""COMPUTED_VALUE"""),6950.05)</f>
        <v>6950.05</v>
      </c>
      <c r="E52" s="6">
        <f>IFERROR(__xludf.DUMMYFUNCTION("""COMPUTED_VALUE"""),7103.55)</f>
        <v>7103.55</v>
      </c>
      <c r="F52" s="6">
        <f>IFERROR(__xludf.DUMMYFUNCTION("""COMPUTED_VALUE"""),3111761.0)</f>
        <v>3111761</v>
      </c>
    </row>
    <row r="53">
      <c r="A53" s="7">
        <f>IFERROR(__xludf.DUMMYFUNCTION("""COMPUTED_VALUE"""),45548.64583333333)</f>
        <v>45548.64583</v>
      </c>
      <c r="B53" s="6">
        <f>IFERROR(__xludf.DUMMYFUNCTION("""COMPUTED_VALUE"""),7104.0)</f>
        <v>7104</v>
      </c>
      <c r="C53" s="6">
        <f>IFERROR(__xludf.DUMMYFUNCTION("""COMPUTED_VALUE"""),7309.0)</f>
        <v>7309</v>
      </c>
      <c r="D53" s="6">
        <f>IFERROR(__xludf.DUMMYFUNCTION("""COMPUTED_VALUE"""),7048.05)</f>
        <v>7048.05</v>
      </c>
      <c r="E53" s="6">
        <f>IFERROR(__xludf.DUMMYFUNCTION("""COMPUTED_VALUE"""),7233.15)</f>
        <v>7233.15</v>
      </c>
      <c r="F53" s="6">
        <f>IFERROR(__xludf.DUMMYFUNCTION("""COMPUTED_VALUE"""),2195511.0)</f>
        <v>2195511</v>
      </c>
    </row>
    <row r="54">
      <c r="A54" s="7">
        <f>IFERROR(__xludf.DUMMYFUNCTION("""COMPUTED_VALUE"""),45555.64583333333)</f>
        <v>45555.64583</v>
      </c>
      <c r="B54" s="6">
        <f>IFERROR(__xludf.DUMMYFUNCTION("""COMPUTED_VALUE"""),7270.0)</f>
        <v>7270</v>
      </c>
      <c r="C54" s="6">
        <f>IFERROR(__xludf.DUMMYFUNCTION("""COMPUTED_VALUE"""),7508.8)</f>
        <v>7508.8</v>
      </c>
      <c r="D54" s="6">
        <f>IFERROR(__xludf.DUMMYFUNCTION("""COMPUTED_VALUE"""),7183.55)</f>
        <v>7183.55</v>
      </c>
      <c r="E54" s="6">
        <f>IFERROR(__xludf.DUMMYFUNCTION("""COMPUTED_VALUE"""),7465.15)</f>
        <v>7465.15</v>
      </c>
      <c r="F54" s="6">
        <f>IFERROR(__xludf.DUMMYFUNCTION("""COMPUTED_VALUE"""),2837723.0)</f>
        <v>2837723</v>
      </c>
    </row>
    <row r="55">
      <c r="A55" s="7">
        <f>IFERROR(__xludf.DUMMYFUNCTION("""COMPUTED_VALUE"""),45562.64583333333)</f>
        <v>45562.64583</v>
      </c>
      <c r="B55" s="6">
        <f>IFERROR(__xludf.DUMMYFUNCTION("""COMPUTED_VALUE"""),7520.95)</f>
        <v>7520.95</v>
      </c>
      <c r="C55" s="6">
        <f>IFERROR(__xludf.DUMMYFUNCTION("""COMPUTED_VALUE"""),7939.9)</f>
        <v>7939.9</v>
      </c>
      <c r="D55" s="6">
        <f>IFERROR(__xludf.DUMMYFUNCTION("""COMPUTED_VALUE"""),7464.15)</f>
        <v>7464.15</v>
      </c>
      <c r="E55" s="6">
        <f>IFERROR(__xludf.DUMMYFUNCTION("""COMPUTED_VALUE"""),7833.7)</f>
        <v>7833.7</v>
      </c>
      <c r="F55" s="6">
        <f>IFERROR(__xludf.DUMMYFUNCTION("""COMPUTED_VALUE"""),1.4592469E7)</f>
        <v>14592469</v>
      </c>
    </row>
    <row r="56">
      <c r="A56" s="7">
        <f>IFERROR(__xludf.DUMMYFUNCTION("""COMPUTED_VALUE"""),45569.64583333333)</f>
        <v>45569.64583</v>
      </c>
      <c r="B56" s="6">
        <f>IFERROR(__xludf.DUMMYFUNCTION("""COMPUTED_VALUE"""),7814.75)</f>
        <v>7814.75</v>
      </c>
      <c r="C56" s="6">
        <f>IFERROR(__xludf.DUMMYFUNCTION("""COMPUTED_VALUE"""),7833.95)</f>
        <v>7833.95</v>
      </c>
      <c r="D56" s="6">
        <f>IFERROR(__xludf.DUMMYFUNCTION("""COMPUTED_VALUE"""),7272.0)</f>
        <v>7272</v>
      </c>
      <c r="E56" s="6">
        <f>IFERROR(__xludf.DUMMYFUNCTION("""COMPUTED_VALUE"""),7353.3)</f>
        <v>7353.3</v>
      </c>
      <c r="F56" s="6">
        <f>IFERROR(__xludf.DUMMYFUNCTION("""COMPUTED_VALUE"""),3357529.0)</f>
        <v>3357529</v>
      </c>
    </row>
    <row r="57">
      <c r="A57" s="7">
        <f>IFERROR(__xludf.DUMMYFUNCTION("""COMPUTED_VALUE"""),45576.64583333333)</f>
        <v>45576.64583</v>
      </c>
      <c r="B57" s="6">
        <f>IFERROR(__xludf.DUMMYFUNCTION("""COMPUTED_VALUE"""),7307.2)</f>
        <v>7307.2</v>
      </c>
      <c r="C57" s="6">
        <f>IFERROR(__xludf.DUMMYFUNCTION("""COMPUTED_VALUE"""),8322.2)</f>
        <v>8322.2</v>
      </c>
      <c r="D57" s="6">
        <f>IFERROR(__xludf.DUMMYFUNCTION("""COMPUTED_VALUE"""),7284.0)</f>
        <v>7284</v>
      </c>
      <c r="E57" s="6">
        <f>IFERROR(__xludf.DUMMYFUNCTION("""COMPUTED_VALUE"""),8234.95)</f>
        <v>8234.95</v>
      </c>
      <c r="F57" s="6">
        <f>IFERROR(__xludf.DUMMYFUNCTION("""COMPUTED_VALUE"""),5800345.0)</f>
        <v>5800345</v>
      </c>
    </row>
    <row r="58">
      <c r="A58" s="7">
        <f>IFERROR(__xludf.DUMMYFUNCTION("""COMPUTED_VALUE"""),45583.64583333333)</f>
        <v>45583.64583</v>
      </c>
      <c r="B58" s="6">
        <f>IFERROR(__xludf.DUMMYFUNCTION("""COMPUTED_VALUE"""),8280.05)</f>
        <v>8280.05</v>
      </c>
      <c r="C58" s="6">
        <f>IFERROR(__xludf.DUMMYFUNCTION("""COMPUTED_VALUE"""),8345.0)</f>
        <v>8345</v>
      </c>
      <c r="D58" s="6">
        <f>IFERROR(__xludf.DUMMYFUNCTION("""COMPUTED_VALUE"""),7620.2)</f>
        <v>7620.2</v>
      </c>
      <c r="E58" s="6">
        <f>IFERROR(__xludf.DUMMYFUNCTION("""COMPUTED_VALUE"""),7768.05)</f>
        <v>7768.05</v>
      </c>
      <c r="F58" s="6">
        <f>IFERROR(__xludf.DUMMYFUNCTION("""COMPUTED_VALUE"""),3347188.0)</f>
        <v>3347188</v>
      </c>
    </row>
    <row r="59">
      <c r="A59" s="7">
        <f>IFERROR(__xludf.DUMMYFUNCTION("""COMPUTED_VALUE"""),45590.64583333333)</f>
        <v>45590.64583</v>
      </c>
      <c r="B59" s="6">
        <f>IFERROR(__xludf.DUMMYFUNCTION("""COMPUTED_VALUE"""),7820.0)</f>
        <v>7820</v>
      </c>
      <c r="C59" s="6">
        <f>IFERROR(__xludf.DUMMYFUNCTION("""COMPUTED_VALUE"""),7850.0)</f>
        <v>7850</v>
      </c>
      <c r="D59" s="6">
        <f>IFERROR(__xludf.DUMMYFUNCTION("""COMPUTED_VALUE"""),7064.05)</f>
        <v>7064.05</v>
      </c>
      <c r="E59" s="6">
        <f>IFERROR(__xludf.DUMMYFUNCTION("""COMPUTED_VALUE"""),7361.45)</f>
        <v>7361.45</v>
      </c>
      <c r="F59" s="6">
        <f>IFERROR(__xludf.DUMMYFUNCTION("""COMPUTED_VALUE"""),2817326.0)</f>
        <v>2817326</v>
      </c>
    </row>
    <row r="60">
      <c r="A60" s="7">
        <f>IFERROR(__xludf.DUMMYFUNCTION("""COMPUTED_VALUE"""),45604.64583333333)</f>
        <v>45604.64583</v>
      </c>
      <c r="B60" s="6">
        <f>IFERROR(__xludf.DUMMYFUNCTION("""COMPUTED_VALUE"""),7109.0)</f>
        <v>7109</v>
      </c>
      <c r="C60" s="6">
        <f>IFERROR(__xludf.DUMMYFUNCTION("""COMPUTED_VALUE"""),7236.0)</f>
        <v>7236</v>
      </c>
      <c r="D60" s="6">
        <f>IFERROR(__xludf.DUMMYFUNCTION("""COMPUTED_VALUE"""),6270.0)</f>
        <v>6270</v>
      </c>
      <c r="E60" s="6">
        <f>IFERROR(__xludf.DUMMYFUNCTION("""COMPUTED_VALUE"""),6298.95)</f>
        <v>6298.95</v>
      </c>
      <c r="F60" s="6">
        <f>IFERROR(__xludf.DUMMYFUNCTION("""COMPUTED_VALUE"""),9802035.0)</f>
        <v>9802035</v>
      </c>
    </row>
    <row r="61">
      <c r="A61" s="7">
        <f>IFERROR(__xludf.DUMMYFUNCTION("""COMPUTED_VALUE"""),45610.64583333333)</f>
        <v>45610.64583</v>
      </c>
      <c r="B61" s="6">
        <f>IFERROR(__xludf.DUMMYFUNCTION("""COMPUTED_VALUE"""),6230.35)</f>
        <v>6230.35</v>
      </c>
      <c r="C61" s="6">
        <f>IFERROR(__xludf.DUMMYFUNCTION("""COMPUTED_VALUE"""),6717.9)</f>
        <v>6717.9</v>
      </c>
      <c r="D61" s="6">
        <f>IFERROR(__xludf.DUMMYFUNCTION("""COMPUTED_VALUE"""),6212.05)</f>
        <v>6212.05</v>
      </c>
      <c r="E61" s="6">
        <f>IFERROR(__xludf.DUMMYFUNCTION("""COMPUTED_VALUE"""),6463.0)</f>
        <v>6463</v>
      </c>
      <c r="F61" s="6">
        <f>IFERROR(__xludf.DUMMYFUNCTION("""COMPUTED_VALUE"""),4976482.0)</f>
        <v>4976482</v>
      </c>
    </row>
    <row r="62">
      <c r="A62" s="7">
        <f>IFERROR(__xludf.DUMMYFUNCTION("""COMPUTED_VALUE"""),45618.64583333333)</f>
        <v>45618.64583</v>
      </c>
      <c r="B62" s="6">
        <f>IFERROR(__xludf.DUMMYFUNCTION("""COMPUTED_VALUE"""),6411.6)</f>
        <v>6411.6</v>
      </c>
      <c r="C62" s="6">
        <f>IFERROR(__xludf.DUMMYFUNCTION("""COMPUTED_VALUE"""),6678.0)</f>
        <v>6678</v>
      </c>
      <c r="D62" s="6">
        <f>IFERROR(__xludf.DUMMYFUNCTION("""COMPUTED_VALUE"""),6275.0)</f>
        <v>6275</v>
      </c>
      <c r="E62" s="6">
        <f>IFERROR(__xludf.DUMMYFUNCTION("""COMPUTED_VALUE"""),6652.8)</f>
        <v>6652.8</v>
      </c>
      <c r="F62" s="6">
        <f>IFERROR(__xludf.DUMMYFUNCTION("""COMPUTED_VALUE"""),3847593.0)</f>
        <v>3847593</v>
      </c>
    </row>
    <row r="63">
      <c r="A63" s="7">
        <f>IFERROR(__xludf.DUMMYFUNCTION("""COMPUTED_VALUE"""),45625.64583333333)</f>
        <v>45625.64583</v>
      </c>
      <c r="B63" s="6">
        <f>IFERROR(__xludf.DUMMYFUNCTION("""COMPUTED_VALUE"""),6799.0)</f>
        <v>6799</v>
      </c>
      <c r="C63" s="6">
        <f>IFERROR(__xludf.DUMMYFUNCTION("""COMPUTED_VALUE"""),6909.0)</f>
        <v>6909</v>
      </c>
      <c r="D63" s="6">
        <f>IFERROR(__xludf.DUMMYFUNCTION("""COMPUTED_VALUE"""),6631.35)</f>
        <v>6631.35</v>
      </c>
      <c r="E63" s="6">
        <f>IFERROR(__xludf.DUMMYFUNCTION("""COMPUTED_VALUE"""),6795.4)</f>
        <v>6795.4</v>
      </c>
      <c r="F63" s="6">
        <f>IFERROR(__xludf.DUMMYFUNCTION("""COMPUTED_VALUE"""),4285628.0)</f>
        <v>4285628</v>
      </c>
    </row>
    <row r="64">
      <c r="A64" s="7">
        <f>IFERROR(__xludf.DUMMYFUNCTION("""COMPUTED_VALUE"""),45632.64583333333)</f>
        <v>45632.64583</v>
      </c>
      <c r="B64" s="6">
        <f>IFERROR(__xludf.DUMMYFUNCTION("""COMPUTED_VALUE"""),6777.05)</f>
        <v>6777.05</v>
      </c>
      <c r="C64" s="6">
        <f>IFERROR(__xludf.DUMMYFUNCTION("""COMPUTED_VALUE"""),7140.0)</f>
        <v>7140</v>
      </c>
      <c r="D64" s="6">
        <f>IFERROR(__xludf.DUMMYFUNCTION("""COMPUTED_VALUE"""),6681.8)</f>
        <v>6681.8</v>
      </c>
      <c r="E64" s="6">
        <f>IFERROR(__xludf.DUMMYFUNCTION("""COMPUTED_VALUE"""),6999.95)</f>
        <v>6999.95</v>
      </c>
      <c r="F64" s="6">
        <f>IFERROR(__xludf.DUMMYFUNCTION("""COMPUTED_VALUE"""),4417675.0)</f>
        <v>4417675</v>
      </c>
    </row>
    <row r="65">
      <c r="A65" s="7">
        <f>IFERROR(__xludf.DUMMYFUNCTION("""COMPUTED_VALUE"""),45639.64583333333)</f>
        <v>45639.64583</v>
      </c>
      <c r="B65" s="6">
        <f>IFERROR(__xludf.DUMMYFUNCTION("""COMPUTED_VALUE"""),6985.0)</f>
        <v>6985</v>
      </c>
      <c r="C65" s="6">
        <f>IFERROR(__xludf.DUMMYFUNCTION("""COMPUTED_VALUE"""),7106.8)</f>
        <v>7106.8</v>
      </c>
      <c r="D65" s="6">
        <f>IFERROR(__xludf.DUMMYFUNCTION("""COMPUTED_VALUE"""),6810.0)</f>
        <v>6810</v>
      </c>
      <c r="E65" s="6">
        <f>IFERROR(__xludf.DUMMYFUNCTION("""COMPUTED_VALUE"""),7000.25)</f>
        <v>7000.25</v>
      </c>
      <c r="F65" s="6">
        <f>IFERROR(__xludf.DUMMYFUNCTION("""COMPUTED_VALUE"""),3745953.0)</f>
        <v>3745953</v>
      </c>
    </row>
    <row r="66">
      <c r="A66" s="7">
        <f>IFERROR(__xludf.DUMMYFUNCTION("""COMPUTED_VALUE"""),45646.64583333333)</f>
        <v>45646.64583</v>
      </c>
      <c r="B66" s="6">
        <f>IFERROR(__xludf.DUMMYFUNCTION("""COMPUTED_VALUE"""),7000.0)</f>
        <v>7000</v>
      </c>
      <c r="C66" s="6">
        <f>IFERROR(__xludf.DUMMYFUNCTION("""COMPUTED_VALUE"""),7188.0)</f>
        <v>7188</v>
      </c>
      <c r="D66" s="6">
        <f>IFERROR(__xludf.DUMMYFUNCTION("""COMPUTED_VALUE"""),6789.4)</f>
        <v>6789.4</v>
      </c>
      <c r="E66" s="6">
        <f>IFERROR(__xludf.DUMMYFUNCTION("""COMPUTED_VALUE"""),6831.55)</f>
        <v>6831.55</v>
      </c>
      <c r="F66" s="6">
        <f>IFERROR(__xludf.DUMMYFUNCTION("""COMPUTED_VALUE"""),3673404.0)</f>
        <v>3673404</v>
      </c>
    </row>
    <row r="67">
      <c r="A67" s="7">
        <f>IFERROR(__xludf.DUMMYFUNCTION("""COMPUTED_VALUE"""),45653.64583333333)</f>
        <v>45653.64583</v>
      </c>
      <c r="B67" s="6">
        <f>IFERROR(__xludf.DUMMYFUNCTION("""COMPUTED_VALUE"""),6870.0)</f>
        <v>6870</v>
      </c>
      <c r="C67" s="6">
        <f>IFERROR(__xludf.DUMMYFUNCTION("""COMPUTED_VALUE"""),7234.0)</f>
        <v>7234</v>
      </c>
      <c r="D67" s="6">
        <f>IFERROR(__xludf.DUMMYFUNCTION("""COMPUTED_VALUE"""),6860.05)</f>
        <v>6860.05</v>
      </c>
      <c r="E67" s="6">
        <f>IFERROR(__xludf.DUMMYFUNCTION("""COMPUTED_VALUE"""),7118.3)</f>
        <v>7118.3</v>
      </c>
      <c r="F67" s="6">
        <f>IFERROR(__xludf.DUMMYFUNCTION("""COMPUTED_VALUE"""),2241248.0)</f>
        <v>2241248</v>
      </c>
    </row>
    <row r="68">
      <c r="A68" s="7">
        <f>IFERROR(__xludf.DUMMYFUNCTION("""COMPUTED_VALUE"""),45660.64583333333)</f>
        <v>45660.64583</v>
      </c>
      <c r="B68" s="6">
        <f>IFERROR(__xludf.DUMMYFUNCTION("""COMPUTED_VALUE"""),7139.3)</f>
        <v>7139.3</v>
      </c>
      <c r="C68" s="6">
        <f>IFERROR(__xludf.DUMMYFUNCTION("""COMPUTED_VALUE"""),7493.05)</f>
        <v>7493.05</v>
      </c>
      <c r="D68" s="6">
        <f>IFERROR(__xludf.DUMMYFUNCTION("""COMPUTED_VALUE"""),6817.8)</f>
        <v>6817.8</v>
      </c>
      <c r="E68" s="6">
        <f>IFERROR(__xludf.DUMMYFUNCTION("""COMPUTED_VALUE"""),7307.7)</f>
        <v>7307.7</v>
      </c>
      <c r="F68" s="6">
        <f>IFERROR(__xludf.DUMMYFUNCTION("""COMPUTED_VALUE"""),3935772.0)</f>
        <v>3935772</v>
      </c>
    </row>
    <row r="69">
      <c r="A69" s="7">
        <f>IFERROR(__xludf.DUMMYFUNCTION("""COMPUTED_VALUE"""),45667.64583333333)</f>
        <v>45667.64583</v>
      </c>
      <c r="B69" s="6">
        <f>IFERROR(__xludf.DUMMYFUNCTION("""COMPUTED_VALUE"""),7307.7)</f>
        <v>7307.7</v>
      </c>
      <c r="C69" s="6">
        <f>IFERROR(__xludf.DUMMYFUNCTION("""COMPUTED_VALUE"""),7338.6)</f>
        <v>7338.6</v>
      </c>
      <c r="D69" s="6">
        <f>IFERROR(__xludf.DUMMYFUNCTION("""COMPUTED_VALUE"""),6480.0)</f>
        <v>6480</v>
      </c>
      <c r="E69" s="6">
        <f>IFERROR(__xludf.DUMMYFUNCTION("""COMPUTED_VALUE"""),6584.1)</f>
        <v>6584.1</v>
      </c>
      <c r="F69" s="6">
        <f>IFERROR(__xludf.DUMMYFUNCTION("""COMPUTED_VALUE"""),4163210.0)</f>
        <v>4163210</v>
      </c>
    </row>
    <row r="70">
      <c r="A70" s="7">
        <f>IFERROR(__xludf.DUMMYFUNCTION("""COMPUTED_VALUE"""),45674.64583333333)</f>
        <v>45674.64583</v>
      </c>
      <c r="B70" s="6">
        <f>IFERROR(__xludf.DUMMYFUNCTION("""COMPUTED_VALUE"""),6462.65)</f>
        <v>6462.65</v>
      </c>
      <c r="C70" s="6">
        <f>IFERROR(__xludf.DUMMYFUNCTION("""COMPUTED_VALUE"""),6523.85)</f>
        <v>6523.85</v>
      </c>
      <c r="D70" s="6">
        <f>IFERROR(__xludf.DUMMYFUNCTION("""COMPUTED_VALUE"""),6080.0)</f>
        <v>6080</v>
      </c>
      <c r="E70" s="6">
        <f>IFERROR(__xludf.DUMMYFUNCTION("""COMPUTED_VALUE"""),6216.55)</f>
        <v>6216.55</v>
      </c>
      <c r="F70" s="6">
        <f>IFERROR(__xludf.DUMMYFUNCTION("""COMPUTED_VALUE"""),5910625.0)</f>
        <v>5910625</v>
      </c>
    </row>
    <row r="71">
      <c r="A71" s="7">
        <f>IFERROR(__xludf.DUMMYFUNCTION("""COMPUTED_VALUE"""),45681.64583333333)</f>
        <v>45681.64583</v>
      </c>
      <c r="B71" s="6">
        <f>IFERROR(__xludf.DUMMYFUNCTION("""COMPUTED_VALUE"""),6210.0)</f>
        <v>6210</v>
      </c>
      <c r="C71" s="6">
        <f>IFERROR(__xludf.DUMMYFUNCTION("""COMPUTED_VALUE"""),6225.0)</f>
        <v>6225</v>
      </c>
      <c r="D71" s="6">
        <f>IFERROR(__xludf.DUMMYFUNCTION("""COMPUTED_VALUE"""),5466.45)</f>
        <v>5466.45</v>
      </c>
      <c r="E71" s="6">
        <f>IFERROR(__xludf.DUMMYFUNCTION("""COMPUTED_VALUE"""),5490.45)</f>
        <v>5490.45</v>
      </c>
      <c r="F71" s="6">
        <f>IFERROR(__xludf.DUMMYFUNCTION("""COMPUTED_VALUE"""),7066341.0)</f>
        <v>7066341</v>
      </c>
    </row>
    <row r="72">
      <c r="A72" s="7">
        <f>IFERROR(__xludf.DUMMYFUNCTION("""COMPUTED_VALUE"""),45695.64583333333)</f>
        <v>45695.64583</v>
      </c>
      <c r="B72" s="6">
        <f>IFERROR(__xludf.DUMMYFUNCTION("""COMPUTED_VALUE"""),6210.0)</f>
        <v>6210</v>
      </c>
      <c r="C72" s="6">
        <f>IFERROR(__xludf.DUMMYFUNCTION("""COMPUTED_VALUE"""),6232.5)</f>
        <v>6232.5</v>
      </c>
      <c r="D72" s="6">
        <f>IFERROR(__xludf.DUMMYFUNCTION("""COMPUTED_VALUE"""),5245.0)</f>
        <v>5245</v>
      </c>
      <c r="E72" s="6">
        <f>IFERROR(__xludf.DUMMYFUNCTION("""COMPUTED_VALUE"""),5454.4)</f>
        <v>5454.4</v>
      </c>
      <c r="F72" s="6">
        <f>IFERROR(__xludf.DUMMYFUNCTION("""COMPUTED_VALUE"""),1.4397633E7)</f>
        <v>14397633</v>
      </c>
    </row>
    <row r="73">
      <c r="A73" s="7">
        <f>IFERROR(__xludf.DUMMYFUNCTION("""COMPUTED_VALUE"""),45702.64583333333)</f>
        <v>45702.64583</v>
      </c>
      <c r="B73" s="6">
        <f>IFERROR(__xludf.DUMMYFUNCTION("""COMPUTED_VALUE"""),5460.0)</f>
        <v>5460</v>
      </c>
      <c r="C73" s="6">
        <f>IFERROR(__xludf.DUMMYFUNCTION("""COMPUTED_VALUE"""),5490.0)</f>
        <v>5490</v>
      </c>
      <c r="D73" s="6">
        <f>IFERROR(__xludf.DUMMYFUNCTION("""COMPUTED_VALUE"""),5033.2)</f>
        <v>5033.2</v>
      </c>
      <c r="E73" s="6">
        <f>IFERROR(__xludf.DUMMYFUNCTION("""COMPUTED_VALUE"""),5117.35)</f>
        <v>5117.35</v>
      </c>
      <c r="F73" s="6">
        <f>IFERROR(__xludf.DUMMYFUNCTION("""COMPUTED_VALUE"""),6314420.0)</f>
        <v>6314420</v>
      </c>
    </row>
    <row r="74">
      <c r="A74" s="7">
        <f>IFERROR(__xludf.DUMMYFUNCTION("""COMPUTED_VALUE"""),45709.64583333333)</f>
        <v>45709.64583</v>
      </c>
      <c r="B74" s="6">
        <f>IFERROR(__xludf.DUMMYFUNCTION("""COMPUTED_VALUE"""),5110.0)</f>
        <v>5110</v>
      </c>
      <c r="C74" s="6">
        <f>IFERROR(__xludf.DUMMYFUNCTION("""COMPUTED_VALUE"""),5167.95)</f>
        <v>5167.95</v>
      </c>
      <c r="D74" s="6">
        <f>IFERROR(__xludf.DUMMYFUNCTION("""COMPUTED_VALUE"""),4928.25)</f>
        <v>4928.25</v>
      </c>
      <c r="E74" s="6">
        <f>IFERROR(__xludf.DUMMYFUNCTION("""COMPUTED_VALUE"""),5048.2)</f>
        <v>5048.2</v>
      </c>
      <c r="F74" s="6">
        <f>IFERROR(__xludf.DUMMYFUNCTION("""COMPUTED_VALUE"""),4288296.0)</f>
        <v>4288296</v>
      </c>
    </row>
    <row r="75">
      <c r="A75" s="7">
        <f>IFERROR(__xludf.DUMMYFUNCTION("""COMPUTED_VALUE"""),45716.64583333333)</f>
        <v>45716.64583</v>
      </c>
      <c r="B75" s="6">
        <f>IFERROR(__xludf.DUMMYFUNCTION("""COMPUTED_VALUE"""),4998.6)</f>
        <v>4998.6</v>
      </c>
      <c r="C75" s="6">
        <f>IFERROR(__xludf.DUMMYFUNCTION("""COMPUTED_VALUE"""),5129.25)</f>
        <v>5129.25</v>
      </c>
      <c r="D75" s="6">
        <f>IFERROR(__xludf.DUMMYFUNCTION("""COMPUTED_VALUE"""),4715.0)</f>
        <v>4715</v>
      </c>
      <c r="E75" s="6">
        <f>IFERROR(__xludf.DUMMYFUNCTION("""COMPUTED_VALUE"""),4851.55)</f>
        <v>4851.55</v>
      </c>
      <c r="F75" s="6">
        <f>IFERROR(__xludf.DUMMYFUNCTION("""COMPUTED_VALUE"""),4976439.0)</f>
        <v>4976439</v>
      </c>
    </row>
    <row r="76">
      <c r="A76" s="7">
        <f>IFERROR(__xludf.DUMMYFUNCTION("""COMPUTED_VALUE"""),45723.64583333333)</f>
        <v>45723.64583</v>
      </c>
      <c r="B76" s="6">
        <f>IFERROR(__xludf.DUMMYFUNCTION("""COMPUTED_VALUE"""),4900.05)</f>
        <v>4900.05</v>
      </c>
      <c r="C76" s="6">
        <f>IFERROR(__xludf.DUMMYFUNCTION("""COMPUTED_VALUE"""),5320.0)</f>
        <v>5320</v>
      </c>
      <c r="D76" s="6">
        <f>IFERROR(__xludf.DUMMYFUNCTION("""COMPUTED_VALUE"""),4775.0)</f>
        <v>4775</v>
      </c>
      <c r="E76" s="6">
        <f>IFERROR(__xludf.DUMMYFUNCTION("""COMPUTED_VALUE"""),4999.85)</f>
        <v>4999.85</v>
      </c>
      <c r="F76" s="6">
        <f>IFERROR(__xludf.DUMMYFUNCTION("""COMPUTED_VALUE"""),6633245.0)</f>
        <v>6633245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IFERROR(__xludf.DUMMYFUNCTION("""COMPUTED_VALUE"""),4990.0)</f>
        <v>4990</v>
      </c>
      <c r="C77" s="6">
        <f>IFERROR(__xludf.DUMMYFUNCTION("""COMPUTED_VALUE"""),5107.9)</f>
        <v>5107.9</v>
      </c>
      <c r="D77" s="6">
        <f>IFERROR(__xludf.DUMMYFUNCTION("""COMPUTED_VALUE"""),4722.95)</f>
        <v>4722.95</v>
      </c>
      <c r="E77" s="6">
        <f>IFERROR(__xludf.DUMMYFUNCTION("""COMPUTED_VALUE"""),5022.4)</f>
        <v>5022.4</v>
      </c>
      <c r="F77" s="6">
        <f>IFERROR(__xludf.DUMMYFUNCTION("""COMPUTED_VALUE"""),4541816.0)</f>
        <v>4541816</v>
      </c>
    </row>
    <row r="78">
      <c r="A78" s="7">
        <f>IFERROR(__xludf.DUMMYFUNCTION("""COMPUTED_VALUE"""),45737.64583333333)</f>
        <v>45737.64583</v>
      </c>
      <c r="B78" s="6">
        <f>IFERROR(__xludf.DUMMYFUNCTION("""COMPUTED_VALUE"""),5022.4)</f>
        <v>5022.4</v>
      </c>
      <c r="C78" s="6">
        <f>IFERROR(__xludf.DUMMYFUNCTION("""COMPUTED_VALUE"""),5299.9)</f>
        <v>5299.9</v>
      </c>
      <c r="D78" s="6">
        <f>IFERROR(__xludf.DUMMYFUNCTION("""COMPUTED_VALUE"""),5014.0)</f>
        <v>5014</v>
      </c>
      <c r="E78" s="6">
        <f>IFERROR(__xludf.DUMMYFUNCTION("""COMPUTED_VALUE"""),5150.05)</f>
        <v>5150.05</v>
      </c>
      <c r="F78" s="6">
        <f>IFERROR(__xludf.DUMMYFUNCTION("""COMPUTED_VALUE"""),4765481.0)</f>
        <v>4765481</v>
      </c>
    </row>
    <row r="79">
      <c r="A79" s="7">
        <f>IFERROR(__xludf.DUMMYFUNCTION("""COMPUTED_VALUE"""),45744.64583333333)</f>
        <v>45744.64583</v>
      </c>
      <c r="B79" s="6">
        <f>IFERROR(__xludf.DUMMYFUNCTION("""COMPUTED_VALUE"""),5150.45)</f>
        <v>5150.45</v>
      </c>
      <c r="C79" s="6">
        <f>IFERROR(__xludf.DUMMYFUNCTION("""COMPUTED_VALUE"""),5525.95)</f>
        <v>5525.95</v>
      </c>
      <c r="D79" s="6">
        <f>IFERROR(__xludf.DUMMYFUNCTION("""COMPUTED_VALUE"""),5044.8)</f>
        <v>5044.8</v>
      </c>
      <c r="E79" s="6">
        <f>IFERROR(__xludf.DUMMYFUNCTION("""COMPUTED_VALUE"""),5325.15)</f>
        <v>5325.15</v>
      </c>
      <c r="F79" s="6">
        <f>IFERROR(__xludf.DUMMYFUNCTION("""COMPUTED_VALUE"""),7201801.0)</f>
        <v>7201801</v>
      </c>
    </row>
    <row r="80">
      <c r="A80" s="7">
        <f>IFERROR(__xludf.DUMMYFUNCTION("""COMPUTED_VALUE"""),45751.64583333333)</f>
        <v>45751.64583</v>
      </c>
      <c r="B80" s="6">
        <f>IFERROR(__xludf.DUMMYFUNCTION("""COMPUTED_VALUE"""),5350.85)</f>
        <v>5350.85</v>
      </c>
      <c r="C80" s="6">
        <f>IFERROR(__xludf.DUMMYFUNCTION("""COMPUTED_VALUE"""),5751.0)</f>
        <v>5751</v>
      </c>
      <c r="D80" s="6">
        <f>IFERROR(__xludf.DUMMYFUNCTION("""COMPUTED_VALUE"""),5334.2)</f>
        <v>5334.2</v>
      </c>
      <c r="E80" s="6">
        <f>IFERROR(__xludf.DUMMYFUNCTION("""COMPUTED_VALUE"""),5562.85)</f>
        <v>5562.85</v>
      </c>
      <c r="F80" s="6">
        <f>IFERROR(__xludf.DUMMYFUNCTION("""COMPUTED_VALUE"""),5394424.0)</f>
        <v>5394424</v>
      </c>
    </row>
    <row r="81">
      <c r="A81" s="7">
        <f>IFERROR(__xludf.DUMMYFUNCTION("""COMPUTED_VALUE"""),45758.64583333333)</f>
        <v>45758.64583</v>
      </c>
      <c r="B81" s="6">
        <f>IFERROR(__xludf.DUMMYFUNCTION("""COMPUTED_VALUE"""),5006.6)</f>
        <v>5006.6</v>
      </c>
      <c r="C81" s="6">
        <f>IFERROR(__xludf.DUMMYFUNCTION("""COMPUTED_VALUE"""),5006.6)</f>
        <v>5006.6</v>
      </c>
      <c r="D81" s="6">
        <f>IFERROR(__xludf.DUMMYFUNCTION("""COMPUTED_VALUE"""),4488.0)</f>
        <v>4488</v>
      </c>
      <c r="E81" s="6">
        <f>IFERROR(__xludf.DUMMYFUNCTION("""COMPUTED_VALUE"""),4780.55)</f>
        <v>4780.55</v>
      </c>
      <c r="F81" s="6">
        <f>IFERROR(__xludf.DUMMYFUNCTION("""COMPUTED_VALUE"""),1.4172557E7)</f>
        <v>14172557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IFERROR(__xludf.DUMMYFUNCTION("""COMPUTED_VALUE"""),4879.0)</f>
        <v>4879</v>
      </c>
      <c r="C82" s="6">
        <f>IFERROR(__xludf.DUMMYFUNCTION("""COMPUTED_VALUE"""),5144.0)</f>
        <v>5144</v>
      </c>
      <c r="D82" s="6">
        <f>IFERROR(__xludf.DUMMYFUNCTION("""COMPUTED_VALUE"""),4830.5)</f>
        <v>4830.5</v>
      </c>
      <c r="E82" s="6">
        <f>IFERROR(__xludf.DUMMYFUNCTION("""COMPUTED_VALUE"""),5130.5)</f>
        <v>5130.5</v>
      </c>
      <c r="F82" s="6">
        <f>IFERROR(__xludf.DUMMYFUNCTION("""COMPUTED_VALUE"""),4641995.0)</f>
        <v>4641995</v>
      </c>
    </row>
    <row r="83">
      <c r="A83" s="7">
        <f>IFERROR(__xludf.DUMMYFUNCTION("""COMPUTED_VALUE"""),45772.64583333333)</f>
        <v>45772.64583</v>
      </c>
      <c r="B83" s="6">
        <f>IFERROR(__xludf.DUMMYFUNCTION("""COMPUTED_VALUE"""),5180.0)</f>
        <v>5180</v>
      </c>
      <c r="C83" s="6">
        <f>IFERROR(__xludf.DUMMYFUNCTION("""COMPUTED_VALUE"""),5418.5)</f>
        <v>5418.5</v>
      </c>
      <c r="D83" s="6">
        <f>IFERROR(__xludf.DUMMYFUNCTION("""COMPUTED_VALUE"""),5105.0)</f>
        <v>5105</v>
      </c>
      <c r="E83" s="6">
        <f>IFERROR(__xludf.DUMMYFUNCTION("""COMPUTED_VALUE"""),5145.0)</f>
        <v>5145</v>
      </c>
      <c r="F83" s="6">
        <f>IFERROR(__xludf.DUMMYFUNCTION("""COMPUTED_VALUE"""),5517073.0)</f>
        <v>5517073</v>
      </c>
    </row>
    <row r="84">
      <c r="A84" s="7">
        <f>IFERROR(__xludf.DUMMYFUNCTION("""COMPUTED_VALUE"""),45779.64583333333)</f>
        <v>45779.64583</v>
      </c>
      <c r="B84" s="6">
        <f>IFERROR(__xludf.DUMMYFUNCTION("""COMPUTED_VALUE"""),5124.5)</f>
        <v>5124.5</v>
      </c>
      <c r="C84" s="6">
        <f>IFERROR(__xludf.DUMMYFUNCTION("""COMPUTED_VALUE"""),5510.0)</f>
        <v>5510</v>
      </c>
      <c r="D84" s="6">
        <f>IFERROR(__xludf.DUMMYFUNCTION("""COMPUTED_VALUE"""),5115.0)</f>
        <v>5115</v>
      </c>
      <c r="E84" s="6">
        <f>IFERROR(__xludf.DUMMYFUNCTION("""COMPUTED_VALUE"""),5148.0)</f>
        <v>5148</v>
      </c>
      <c r="F84" s="6">
        <f>IFERROR(__xludf.DUMMYFUNCTION("""COMPUTED_VALUE"""),5868931.0)</f>
        <v>5868931</v>
      </c>
    </row>
    <row r="85">
      <c r="A85" s="7">
        <f>IFERROR(__xludf.DUMMYFUNCTION("""COMPUTED_VALUE"""),45786.64583333333)</f>
        <v>45786.64583</v>
      </c>
      <c r="B85" s="6">
        <f>IFERROR(__xludf.DUMMYFUNCTION("""COMPUTED_VALUE"""),5175.0)</f>
        <v>5175</v>
      </c>
      <c r="C85" s="6">
        <f>IFERROR(__xludf.DUMMYFUNCTION("""COMPUTED_VALUE"""),5423.5)</f>
        <v>5423.5</v>
      </c>
      <c r="D85" s="6">
        <f>IFERROR(__xludf.DUMMYFUNCTION("""COMPUTED_VALUE"""),5063.5)</f>
        <v>5063.5</v>
      </c>
      <c r="E85" s="6">
        <f>IFERROR(__xludf.DUMMYFUNCTION("""COMPUTED_VALUE"""),5113.0)</f>
        <v>5113</v>
      </c>
      <c r="F85" s="6">
        <f>IFERROR(__xludf.DUMMYFUNCTION("""COMPUTED_VALUE"""),4434649.0)</f>
        <v>4434649</v>
      </c>
    </row>
    <row r="86">
      <c r="A86" s="7">
        <f>IFERROR(__xludf.DUMMYFUNCTION("""COMPUTED_VALUE"""),45793.64583333333)</f>
        <v>45793.64583</v>
      </c>
      <c r="B86" s="6">
        <f>IFERROR(__xludf.DUMMYFUNCTION("""COMPUTED_VALUE"""),5330.0)</f>
        <v>5330</v>
      </c>
      <c r="C86" s="6">
        <f>IFERROR(__xludf.DUMMYFUNCTION("""COMPUTED_VALUE"""),5630.0)</f>
        <v>5630</v>
      </c>
      <c r="D86" s="6">
        <f>IFERROR(__xludf.DUMMYFUNCTION("""COMPUTED_VALUE"""),5225.0)</f>
        <v>5225</v>
      </c>
      <c r="E86" s="6">
        <f>IFERROR(__xludf.DUMMYFUNCTION("""COMPUTED_VALUE"""),5583.0)</f>
        <v>5583</v>
      </c>
      <c r="F86" s="6">
        <f>IFERROR(__xludf.DUMMYFUNCTION("""COMPUTED_VALUE"""),4820056.0)</f>
        <v>4820056</v>
      </c>
    </row>
    <row r="87">
      <c r="A87" s="7">
        <f>IFERROR(__xludf.DUMMYFUNCTION("""COMPUTED_VALUE"""),45800.64583333333)</f>
        <v>45800.64583</v>
      </c>
      <c r="B87" s="6">
        <f>IFERROR(__xludf.DUMMYFUNCTION("""COMPUTED_VALUE"""),5610.0)</f>
        <v>5610</v>
      </c>
      <c r="C87" s="6">
        <f>IFERROR(__xludf.DUMMYFUNCTION("""COMPUTED_VALUE"""),5639.0)</f>
        <v>5639</v>
      </c>
      <c r="D87" s="6">
        <f>IFERROR(__xludf.DUMMYFUNCTION("""COMPUTED_VALUE"""),5285.0)</f>
        <v>5285</v>
      </c>
      <c r="E87" s="6">
        <f>IFERROR(__xludf.DUMMYFUNCTION("""COMPUTED_VALUE"""),5435.5)</f>
        <v>5435.5</v>
      </c>
      <c r="F87" s="6">
        <f>IFERROR(__xludf.DUMMYFUNCTION("""COMPUTED_VALUE"""),4050660.0)</f>
        <v>4050660</v>
      </c>
    </row>
    <row r="88">
      <c r="A88" s="7">
        <f>IFERROR(__xludf.DUMMYFUNCTION("""COMPUTED_VALUE"""),45807.64583333333)</f>
        <v>45807.64583</v>
      </c>
      <c r="B88" s="6">
        <f>IFERROR(__xludf.DUMMYFUNCTION("""COMPUTED_VALUE"""),5455.0)</f>
        <v>5455</v>
      </c>
      <c r="C88" s="6">
        <f>IFERROR(__xludf.DUMMYFUNCTION("""COMPUTED_VALUE"""),5728.0)</f>
        <v>5728</v>
      </c>
      <c r="D88" s="6">
        <f>IFERROR(__xludf.DUMMYFUNCTION("""COMPUTED_VALUE"""),5416.5)</f>
        <v>5416.5</v>
      </c>
      <c r="E88" s="6">
        <f>IFERROR(__xludf.DUMMYFUNCTION("""COMPUTED_VALUE"""),5643.5)</f>
        <v>5643.5</v>
      </c>
      <c r="F88" s="6">
        <f>IFERROR(__xludf.DUMMYFUNCTION("""COMPUTED_VALUE"""),4744597.0)</f>
        <v>4744597</v>
      </c>
    </row>
    <row r="89">
      <c r="A89" s="7">
        <f>IFERROR(__xludf.DUMMYFUNCTION("""COMPUTED_VALUE"""),45814.64583333333)</f>
        <v>45814.64583</v>
      </c>
      <c r="B89" s="6">
        <f>IFERROR(__xludf.DUMMYFUNCTION("""COMPUTED_VALUE"""),5681.0)</f>
        <v>5681</v>
      </c>
      <c r="C89" s="6">
        <f>IFERROR(__xludf.DUMMYFUNCTION("""COMPUTED_VALUE"""),5806.5)</f>
        <v>5806.5</v>
      </c>
      <c r="D89" s="6">
        <f>IFERROR(__xludf.DUMMYFUNCTION("""COMPUTED_VALUE"""),5481.5)</f>
        <v>5481.5</v>
      </c>
      <c r="E89" s="6">
        <f>IFERROR(__xludf.DUMMYFUNCTION("""COMPUTED_VALUE"""),5777.0)</f>
        <v>5777</v>
      </c>
      <c r="F89" s="6">
        <f>IFERROR(__xludf.DUMMYFUNCTION("""COMPUTED_VALUE"""),4010808.0)</f>
        <v>4010808</v>
      </c>
    </row>
    <row r="90">
      <c r="A90" s="7">
        <f>IFERROR(__xludf.DUMMYFUNCTION("""COMPUTED_VALUE"""),45821.64583333333)</f>
        <v>45821.64583</v>
      </c>
      <c r="B90" s="6">
        <f>IFERROR(__xludf.DUMMYFUNCTION("""COMPUTED_VALUE"""),5818.0)</f>
        <v>5818</v>
      </c>
      <c r="C90" s="6">
        <f>IFERROR(__xludf.DUMMYFUNCTION("""COMPUTED_VALUE"""),5955.0)</f>
        <v>5955</v>
      </c>
      <c r="D90" s="6">
        <f>IFERROR(__xludf.DUMMYFUNCTION("""COMPUTED_VALUE"""),5481.0)</f>
        <v>5481</v>
      </c>
      <c r="E90" s="6">
        <f>IFERROR(__xludf.DUMMYFUNCTION("""COMPUTED_VALUE"""),5590.0)</f>
        <v>5590</v>
      </c>
      <c r="F90" s="6">
        <f>IFERROR(__xludf.DUMMYFUNCTION("""COMPUTED_VALUE"""),4292257.0)</f>
        <v>4292257</v>
      </c>
    </row>
    <row r="91">
      <c r="A91" s="7">
        <f>IFERROR(__xludf.DUMMYFUNCTION("""COMPUTED_VALUE"""),45828.64583333333)</f>
        <v>45828.64583</v>
      </c>
      <c r="B91" s="6">
        <f>IFERROR(__xludf.DUMMYFUNCTION("""COMPUTED_VALUE"""),5589.0)</f>
        <v>5589</v>
      </c>
      <c r="C91" s="6">
        <f>IFERROR(__xludf.DUMMYFUNCTION("""COMPUTED_VALUE"""),6030.0)</f>
        <v>6030</v>
      </c>
      <c r="D91" s="6">
        <f>IFERROR(__xludf.DUMMYFUNCTION("""COMPUTED_VALUE"""),5561.5)</f>
        <v>5561.5</v>
      </c>
      <c r="E91" s="6">
        <f>IFERROR(__xludf.DUMMYFUNCTION("""COMPUTED_VALUE"""),5897.5)</f>
        <v>5897.5</v>
      </c>
      <c r="F91" s="6">
        <f>IFERROR(__xludf.DUMMYFUNCTION("""COMPUTED_VALUE"""),1.3310144E7)</f>
        <v>13310144</v>
      </c>
    </row>
    <row r="92">
      <c r="A92" s="7">
        <f>IFERROR(__xludf.DUMMYFUNCTION("""COMPUTED_VALUE"""),45835.64583333333)</f>
        <v>45835.64583</v>
      </c>
      <c r="B92" s="6">
        <f>IFERROR(__xludf.DUMMYFUNCTION("""COMPUTED_VALUE"""),5850.0)</f>
        <v>5850</v>
      </c>
      <c r="C92" s="6">
        <f>IFERROR(__xludf.DUMMYFUNCTION("""COMPUTED_VALUE"""),6210.0)</f>
        <v>6210</v>
      </c>
      <c r="D92" s="6">
        <f>IFERROR(__xludf.DUMMYFUNCTION("""COMPUTED_VALUE"""),5830.0)</f>
        <v>5830</v>
      </c>
      <c r="E92" s="6">
        <f>IFERROR(__xludf.DUMMYFUNCTION("""COMPUTED_VALUE"""),6019.5)</f>
        <v>6019.5</v>
      </c>
      <c r="F92" s="6">
        <f>IFERROR(__xludf.DUMMYFUNCTION("""COMPUTED_VALUE"""),7333720.0)</f>
        <v>7333720</v>
      </c>
    </row>
    <row r="93">
      <c r="A93" s="7">
        <f>IFERROR(__xludf.DUMMYFUNCTION("""COMPUTED_VALUE"""),45842.64583333333)</f>
        <v>45842.64583</v>
      </c>
      <c r="B93" s="6">
        <f>IFERROR(__xludf.DUMMYFUNCTION("""COMPUTED_VALUE"""),6050.0)</f>
        <v>6050</v>
      </c>
      <c r="C93" s="6">
        <f>IFERROR(__xludf.DUMMYFUNCTION("""COMPUTED_VALUE"""),6261.0)</f>
        <v>6261</v>
      </c>
      <c r="D93" s="6">
        <f>IFERROR(__xludf.DUMMYFUNCTION("""COMPUTED_VALUE"""),5350.0)</f>
        <v>5350</v>
      </c>
      <c r="E93" s="6">
        <f>IFERROR(__xludf.DUMMYFUNCTION("""COMPUTED_VALUE"""),5456.0)</f>
        <v>5456</v>
      </c>
      <c r="F93" s="6">
        <f>IFERROR(__xludf.DUMMYFUNCTION("""COMPUTED_VALUE"""),1.2121382E7)</f>
        <v>12121382</v>
      </c>
    </row>
    <row r="94">
      <c r="A94" s="7">
        <f>IFERROR(__xludf.DUMMYFUNCTION("""COMPUTED_VALUE"""),45849.64583333333)</f>
        <v>45849.64583</v>
      </c>
      <c r="B94" s="6">
        <f>IFERROR(__xludf.DUMMYFUNCTION("""COMPUTED_VALUE"""),5500.0)</f>
        <v>5500</v>
      </c>
      <c r="C94" s="6">
        <f>IFERROR(__xludf.DUMMYFUNCTION("""COMPUTED_VALUE"""),5522.5)</f>
        <v>5522.5</v>
      </c>
      <c r="D94" s="6">
        <f>IFERROR(__xludf.DUMMYFUNCTION("""COMPUTED_VALUE"""),5339.5)</f>
        <v>5339.5</v>
      </c>
      <c r="E94" s="6">
        <f>IFERROR(__xludf.DUMMYFUNCTION("""COMPUTED_VALUE"""),5364.0)</f>
        <v>5364</v>
      </c>
      <c r="F94" s="6">
        <f>IFERROR(__xludf.DUMMYFUNCTION("""COMPUTED_VALUE"""),6003616.0)</f>
        <v>6003616</v>
      </c>
    </row>
    <row r="95">
      <c r="A95" s="7">
        <f>IFERROR(__xludf.DUMMYFUNCTION("""COMPUTED_VALUE"""),45856.64583333333)</f>
        <v>45856.64583</v>
      </c>
      <c r="B95" s="6">
        <f>IFERROR(__xludf.DUMMYFUNCTION("""COMPUTED_VALUE"""),5368.0)</f>
        <v>5368</v>
      </c>
      <c r="C95" s="6">
        <f>IFERROR(__xludf.DUMMYFUNCTION("""COMPUTED_VALUE"""),5470.0)</f>
        <v>5470</v>
      </c>
      <c r="D95" s="6">
        <f>IFERROR(__xludf.DUMMYFUNCTION("""COMPUTED_VALUE"""),5287.5)</f>
        <v>5287.5</v>
      </c>
      <c r="E95" s="6">
        <f>IFERROR(__xludf.DUMMYFUNCTION("""COMPUTED_VALUE"""),5375.0)</f>
        <v>5375</v>
      </c>
      <c r="F95" s="6">
        <f>IFERROR(__xludf.DUMMYFUNCTION("""COMPUTED_VALUE"""),3031420.0)</f>
        <v>3031420</v>
      </c>
    </row>
    <row r="96">
      <c r="A96" s="7">
        <f>IFERROR(__xludf.DUMMYFUNCTION("""COMPUTED_VALUE"""),45863.64583333333)</f>
        <v>45863.64583</v>
      </c>
      <c r="B96" s="6">
        <f>IFERROR(__xludf.DUMMYFUNCTION("""COMPUTED_VALUE"""),5375.5)</f>
        <v>5375.5</v>
      </c>
      <c r="C96" s="6">
        <f>IFERROR(__xludf.DUMMYFUNCTION("""COMPUTED_VALUE"""),5454.0)</f>
        <v>5454</v>
      </c>
      <c r="D96" s="6">
        <f>IFERROR(__xludf.DUMMYFUNCTION("""COMPUTED_VALUE"""),5033.0)</f>
        <v>5033</v>
      </c>
      <c r="E96" s="6">
        <f>IFERROR(__xludf.DUMMYFUNCTION("""COMPUTED_VALUE"""),5043.0)</f>
        <v>5043</v>
      </c>
      <c r="F96" s="6">
        <f>IFERROR(__xludf.DUMMYFUNCTION("""COMPUTED_VALUE"""),3840853.0)</f>
        <v>3840853</v>
      </c>
    </row>
    <row r="97">
      <c r="A97" s="7">
        <f>IFERROR(__xludf.DUMMYFUNCTION("""COMPUTED_VALUE"""),45870.64583333333)</f>
        <v>45870.64583</v>
      </c>
      <c r="B97" s="6">
        <f>IFERROR(__xludf.DUMMYFUNCTION("""COMPUTED_VALUE"""),5043.0)</f>
        <v>5043</v>
      </c>
      <c r="C97" s="6">
        <f>IFERROR(__xludf.DUMMYFUNCTION("""COMPUTED_VALUE"""),5275.5)</f>
        <v>5275.5</v>
      </c>
      <c r="D97" s="6">
        <f>IFERROR(__xludf.DUMMYFUNCTION("""COMPUTED_VALUE"""),4957.5)</f>
        <v>4957.5</v>
      </c>
      <c r="E97" s="6">
        <f>IFERROR(__xludf.DUMMYFUNCTION("""COMPUTED_VALUE"""),5180.0)</f>
        <v>5180</v>
      </c>
      <c r="F97" s="6">
        <f>IFERROR(__xludf.DUMMYFUNCTION("""COMPUTED_VALUE"""),6163659.0)</f>
        <v>6163659</v>
      </c>
    </row>
    <row r="98">
      <c r="A98" s="7">
        <f>IFERROR(__xludf.DUMMYFUNCTION("""COMPUTED_VALUE"""),45877.64583333333)</f>
        <v>45877.64583</v>
      </c>
      <c r="B98" s="6">
        <f>IFERROR(__xludf.DUMMYFUNCTION("""COMPUTED_VALUE"""),5275.0)</f>
        <v>5275</v>
      </c>
      <c r="C98" s="6">
        <f>IFERROR(__xludf.DUMMYFUNCTION("""COMPUTED_VALUE"""),5440.0)</f>
        <v>5440</v>
      </c>
      <c r="D98" s="6">
        <f>IFERROR(__xludf.DUMMYFUNCTION("""COMPUTED_VALUE"""),5162.5)</f>
        <v>5162.5</v>
      </c>
      <c r="E98" s="6">
        <f>IFERROR(__xludf.DUMMYFUNCTION("""COMPUTED_VALUE"""),5317.0)</f>
        <v>5317</v>
      </c>
      <c r="F98" s="6">
        <f>IFERROR(__xludf.DUMMYFUNCTION("""COMPUTED_VALUE"""),7740482.0)</f>
        <v>7740482</v>
      </c>
    </row>
    <row r="99">
      <c r="A99" s="7">
        <f>IFERROR(__xludf.DUMMYFUNCTION("""COMPUTED_VALUE"""),45883.64583333333)</f>
        <v>45883.64583</v>
      </c>
      <c r="B99" s="6">
        <f>IFERROR(__xludf.DUMMYFUNCTION("""COMPUTED_VALUE"""),5330.0)</f>
        <v>5330</v>
      </c>
      <c r="C99" s="6">
        <f>IFERROR(__xludf.DUMMYFUNCTION("""COMPUTED_VALUE"""),5487.0)</f>
        <v>5487</v>
      </c>
      <c r="D99" s="6">
        <f>IFERROR(__xludf.DUMMYFUNCTION("""COMPUTED_VALUE"""),5306.5)</f>
        <v>5306.5</v>
      </c>
      <c r="E99" s="6">
        <f>IFERROR(__xludf.DUMMYFUNCTION("""COMPUTED_VALUE"""),5370.5)</f>
        <v>5370.5</v>
      </c>
      <c r="F99" s="6">
        <f>IFERROR(__xludf.DUMMYFUNCTION("""COMPUTED_VALUE"""),2865239.0)</f>
        <v>2865239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IFERROR(__xludf.DUMMYFUNCTION("""COMPUTED_VALUE"""),5530.0)</f>
        <v>5530</v>
      </c>
      <c r="C100" s="6">
        <f>IFERROR(__xludf.DUMMYFUNCTION("""COMPUTED_VALUE"""),5623.0)</f>
        <v>5623</v>
      </c>
      <c r="D100" s="6">
        <f>IFERROR(__xludf.DUMMYFUNCTION("""COMPUTED_VALUE"""),5404.0)</f>
        <v>5404</v>
      </c>
      <c r="E100" s="6">
        <f>IFERROR(__xludf.DUMMYFUNCTION("""COMPUTED_VALUE"""),5418.0)</f>
        <v>5418</v>
      </c>
      <c r="F100" s="6">
        <f>IFERROR(__xludf.DUMMYFUNCTION("""COMPUTED_VALUE"""),3949733.0)</f>
        <v>3949733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IFERROR(__xludf.DUMMYFUNCTION("""COMPUTED_VALUE"""),5460.0)</f>
        <v>5460</v>
      </c>
      <c r="C101" s="6">
        <f>IFERROR(__xludf.DUMMYFUNCTION("""COMPUTED_VALUE"""),5485.5)</f>
        <v>5485.5</v>
      </c>
      <c r="D101" s="6">
        <f>IFERROR(__xludf.DUMMYFUNCTION("""COMPUTED_VALUE"""),5272.0)</f>
        <v>5272</v>
      </c>
      <c r="E101" s="6">
        <f>IFERROR(__xludf.DUMMYFUNCTION("""COMPUTED_VALUE"""),5295.0)</f>
        <v>5295</v>
      </c>
      <c r="F101" s="6">
        <f>IFERROR(__xludf.DUMMYFUNCTION("""COMPUTED_VALUE"""),1.1672623E7)</f>
        <v>11672623</v>
      </c>
    </row>
  </sheetData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IFERROR(__xludf.DUMMYFUNCTION("GOOGLEFINANCE(""NSE:TVSMOTOR"",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IFERROR(__xludf.DUMMYFUNCTION("""COMPUTED_VALUE"""),267.39)</f>
        <v>267.39</v>
      </c>
      <c r="C2" s="6">
        <f>IFERROR(__xludf.DUMMYFUNCTION("""COMPUTED_VALUE"""),292.08)</f>
        <v>292.08</v>
      </c>
      <c r="D2" s="6">
        <f>IFERROR(__xludf.DUMMYFUNCTION("""COMPUTED_VALUE"""),267.19)</f>
        <v>267.19</v>
      </c>
      <c r="E2" s="6">
        <f>IFERROR(__xludf.DUMMYFUNCTION("""COMPUTED_VALUE"""),290.82)</f>
        <v>290.82</v>
      </c>
      <c r="F2" s="6">
        <f>IFERROR(__xludf.DUMMYFUNCTION("""COMPUTED_VALUE"""),8504479.0)</f>
        <v>8504479</v>
      </c>
    </row>
    <row r="3">
      <c r="A3" s="7">
        <f>IFERROR(__xludf.DUMMYFUNCTION("""COMPUTED_VALUE"""),45177.64583333333)</f>
        <v>45177.64583</v>
      </c>
      <c r="B3" s="6">
        <f>IFERROR(__xludf.DUMMYFUNCTION("""COMPUTED_VALUE"""),292.2)</f>
        <v>292.2</v>
      </c>
      <c r="C3" s="6">
        <f>IFERROR(__xludf.DUMMYFUNCTION("""COMPUTED_VALUE"""),297.37)</f>
        <v>297.37</v>
      </c>
      <c r="D3" s="6">
        <f>IFERROR(__xludf.DUMMYFUNCTION("""COMPUTED_VALUE"""),288.73)</f>
        <v>288.73</v>
      </c>
      <c r="E3" s="6">
        <f>IFERROR(__xludf.DUMMYFUNCTION("""COMPUTED_VALUE"""),296.11)</f>
        <v>296.11</v>
      </c>
      <c r="F3" s="6">
        <f>IFERROR(__xludf.DUMMYFUNCTION("""COMPUTED_VALUE"""),4494919.0)</f>
        <v>4494919</v>
      </c>
    </row>
    <row r="4">
      <c r="A4" s="7">
        <f>IFERROR(__xludf.DUMMYFUNCTION("""COMPUTED_VALUE"""),45184.64583333333)</f>
        <v>45184.64583</v>
      </c>
      <c r="B4" s="6">
        <f>IFERROR(__xludf.DUMMYFUNCTION("""COMPUTED_VALUE"""),296.92)</f>
        <v>296.92</v>
      </c>
      <c r="C4" s="6">
        <f>IFERROR(__xludf.DUMMYFUNCTION("""COMPUTED_VALUE"""),301.69)</f>
        <v>301.69</v>
      </c>
      <c r="D4" s="6">
        <f>IFERROR(__xludf.DUMMYFUNCTION("""COMPUTED_VALUE"""),287.84)</f>
        <v>287.84</v>
      </c>
      <c r="E4" s="6">
        <f>IFERROR(__xludf.DUMMYFUNCTION("""COMPUTED_VALUE"""),300.58)</f>
        <v>300.58</v>
      </c>
      <c r="F4" s="6">
        <f>IFERROR(__xludf.DUMMYFUNCTION("""COMPUTED_VALUE"""),3834081.0)</f>
        <v>3834081</v>
      </c>
    </row>
    <row r="5">
      <c r="A5" s="7">
        <f>IFERROR(__xludf.DUMMYFUNCTION("""COMPUTED_VALUE"""),45191.64583333333)</f>
        <v>45191.64583</v>
      </c>
      <c r="B5" s="6">
        <f>IFERROR(__xludf.DUMMYFUNCTION("""COMPUTED_VALUE"""),301.55)</f>
        <v>301.55</v>
      </c>
      <c r="C5" s="6">
        <f>IFERROR(__xludf.DUMMYFUNCTION("""COMPUTED_VALUE"""),306.68)</f>
        <v>306.68</v>
      </c>
      <c r="D5" s="6">
        <f>IFERROR(__xludf.DUMMYFUNCTION("""COMPUTED_VALUE"""),296.62)</f>
        <v>296.62</v>
      </c>
      <c r="E5" s="6">
        <f>IFERROR(__xludf.DUMMYFUNCTION("""COMPUTED_VALUE"""),298.82)</f>
        <v>298.82</v>
      </c>
      <c r="F5" s="6">
        <f>IFERROR(__xludf.DUMMYFUNCTION("""COMPUTED_VALUE"""),3593375.0)</f>
        <v>3593375</v>
      </c>
    </row>
    <row r="6">
      <c r="A6" s="7">
        <f>IFERROR(__xludf.DUMMYFUNCTION("""COMPUTED_VALUE"""),45198.64583333333)</f>
        <v>45198.64583</v>
      </c>
      <c r="B6" s="6">
        <f>IFERROR(__xludf.DUMMYFUNCTION("""COMPUTED_VALUE"""),299.6)</f>
        <v>299.6</v>
      </c>
      <c r="C6" s="6">
        <f>IFERROR(__xludf.DUMMYFUNCTION("""COMPUTED_VALUE"""),309.32)</f>
        <v>309.32</v>
      </c>
      <c r="D6" s="6">
        <f>IFERROR(__xludf.DUMMYFUNCTION("""COMPUTED_VALUE"""),297.86)</f>
        <v>297.86</v>
      </c>
      <c r="E6" s="6">
        <f>IFERROR(__xludf.DUMMYFUNCTION("""COMPUTED_VALUE"""),304.36)</f>
        <v>304.36</v>
      </c>
      <c r="F6" s="6">
        <f>IFERROR(__xludf.DUMMYFUNCTION("""COMPUTED_VALUE"""),9084202.0)</f>
        <v>9084202</v>
      </c>
    </row>
    <row r="7">
      <c r="A7" s="7">
        <f>IFERROR(__xludf.DUMMYFUNCTION("""COMPUTED_VALUE"""),45205.64583333333)</f>
        <v>45205.64583</v>
      </c>
      <c r="B7" s="6">
        <f>IFERROR(__xludf.DUMMYFUNCTION("""COMPUTED_VALUE"""),307.41)</f>
        <v>307.41</v>
      </c>
      <c r="C7" s="6">
        <f>IFERROR(__xludf.DUMMYFUNCTION("""COMPUTED_VALUE"""),308.92)</f>
        <v>308.92</v>
      </c>
      <c r="D7" s="6">
        <f>IFERROR(__xludf.DUMMYFUNCTION("""COMPUTED_VALUE"""),297.89)</f>
        <v>297.89</v>
      </c>
      <c r="E7" s="6">
        <f>IFERROR(__xludf.DUMMYFUNCTION("""COMPUTED_VALUE"""),300.25)</f>
        <v>300.25</v>
      </c>
      <c r="F7" s="6">
        <f>IFERROR(__xludf.DUMMYFUNCTION("""COMPUTED_VALUE"""),2713868.0)</f>
        <v>2713868</v>
      </c>
    </row>
    <row r="8">
      <c r="A8" s="7">
        <f>IFERROR(__xludf.DUMMYFUNCTION("""COMPUTED_VALUE"""),45212.64583333333)</f>
        <v>45212.64583</v>
      </c>
      <c r="B8" s="6">
        <f>IFERROR(__xludf.DUMMYFUNCTION("""COMPUTED_VALUE"""),299.8)</f>
        <v>299.8</v>
      </c>
      <c r="C8" s="6">
        <f>IFERROR(__xludf.DUMMYFUNCTION("""COMPUTED_VALUE"""),321.19)</f>
        <v>321.19</v>
      </c>
      <c r="D8" s="6">
        <f>IFERROR(__xludf.DUMMYFUNCTION("""COMPUTED_VALUE"""),299.01)</f>
        <v>299.01</v>
      </c>
      <c r="E8" s="6">
        <f>IFERROR(__xludf.DUMMYFUNCTION("""COMPUTED_VALUE"""),320.18)</f>
        <v>320.18</v>
      </c>
      <c r="F8" s="6">
        <f>IFERROR(__xludf.DUMMYFUNCTION("""COMPUTED_VALUE"""),6464033.0)</f>
        <v>6464033</v>
      </c>
    </row>
    <row r="9">
      <c r="A9" s="7">
        <f>IFERROR(__xludf.DUMMYFUNCTION("""COMPUTED_VALUE"""),45219.64583333333)</f>
        <v>45219.64583</v>
      </c>
      <c r="B9" s="6">
        <f>IFERROR(__xludf.DUMMYFUNCTION("""COMPUTED_VALUE"""),321.38)</f>
        <v>321.38</v>
      </c>
      <c r="C9" s="6">
        <f>IFERROR(__xludf.DUMMYFUNCTION("""COMPUTED_VALUE"""),323.46)</f>
        <v>323.46</v>
      </c>
      <c r="D9" s="6">
        <f>IFERROR(__xludf.DUMMYFUNCTION("""COMPUTED_VALUE"""),316.73)</f>
        <v>316.73</v>
      </c>
      <c r="E9" s="6">
        <f>IFERROR(__xludf.DUMMYFUNCTION("""COMPUTED_VALUE"""),319.29)</f>
        <v>319.29</v>
      </c>
      <c r="F9" s="6">
        <f>IFERROR(__xludf.DUMMYFUNCTION("""COMPUTED_VALUE"""),2827600.0)</f>
        <v>2827600</v>
      </c>
    </row>
    <row r="10">
      <c r="A10" s="7">
        <f>IFERROR(__xludf.DUMMYFUNCTION("""COMPUTED_VALUE"""),45226.64583333333)</f>
        <v>45226.64583</v>
      </c>
      <c r="B10" s="6">
        <f>IFERROR(__xludf.DUMMYFUNCTION("""COMPUTED_VALUE"""),316.8)</f>
        <v>316.8</v>
      </c>
      <c r="C10" s="6">
        <f>IFERROR(__xludf.DUMMYFUNCTION("""COMPUTED_VALUE"""),321.69)</f>
        <v>321.69</v>
      </c>
      <c r="D10" s="6">
        <f>IFERROR(__xludf.DUMMYFUNCTION("""COMPUTED_VALUE"""),309.7)</f>
        <v>309.7</v>
      </c>
      <c r="E10" s="6">
        <f>IFERROR(__xludf.DUMMYFUNCTION("""COMPUTED_VALUE"""),318.37)</f>
        <v>318.37</v>
      </c>
      <c r="F10" s="6">
        <f>IFERROR(__xludf.DUMMYFUNCTION("""COMPUTED_VALUE"""),3567190.0)</f>
        <v>3567190</v>
      </c>
    </row>
    <row r="11">
      <c r="A11" s="7">
        <f>IFERROR(__xludf.DUMMYFUNCTION("""COMPUTED_VALUE"""),45233.64583333333)</f>
        <v>45233.64583</v>
      </c>
      <c r="B11" s="6">
        <f>IFERROR(__xludf.DUMMYFUNCTION("""COMPUTED_VALUE"""),316.89)</f>
        <v>316.89</v>
      </c>
      <c r="C11" s="6">
        <f>IFERROR(__xludf.DUMMYFUNCTION("""COMPUTED_VALUE"""),326.8)</f>
        <v>326.8</v>
      </c>
      <c r="D11" s="6">
        <f>IFERROR(__xludf.DUMMYFUNCTION("""COMPUTED_VALUE"""),310.9)</f>
        <v>310.9</v>
      </c>
      <c r="E11" s="6">
        <f>IFERROR(__xludf.DUMMYFUNCTION("""COMPUTED_VALUE"""),319.82)</f>
        <v>319.82</v>
      </c>
      <c r="F11" s="6">
        <f>IFERROR(__xludf.DUMMYFUNCTION("""COMPUTED_VALUE"""),6355859.0)</f>
        <v>6355859</v>
      </c>
    </row>
    <row r="12">
      <c r="A12" s="7">
        <f>IFERROR(__xludf.DUMMYFUNCTION("""COMPUTED_VALUE"""),45240.64583333333)</f>
        <v>45240.64583</v>
      </c>
      <c r="B12" s="6">
        <f>IFERROR(__xludf.DUMMYFUNCTION("""COMPUTED_VALUE"""),321.39)</f>
        <v>321.39</v>
      </c>
      <c r="C12" s="6">
        <f>IFERROR(__xludf.DUMMYFUNCTION("""COMPUTED_VALUE"""),330.77)</f>
        <v>330.77</v>
      </c>
      <c r="D12" s="6">
        <f>IFERROR(__xludf.DUMMYFUNCTION("""COMPUTED_VALUE"""),320.04)</f>
        <v>320.04</v>
      </c>
      <c r="E12" s="6">
        <f>IFERROR(__xludf.DUMMYFUNCTION("""COMPUTED_VALUE"""),326.39)</f>
        <v>326.39</v>
      </c>
      <c r="F12" s="6">
        <f>IFERROR(__xludf.DUMMYFUNCTION("""COMPUTED_VALUE"""),2271409.0)</f>
        <v>2271409</v>
      </c>
    </row>
    <row r="13">
      <c r="A13" s="7">
        <f>IFERROR(__xludf.DUMMYFUNCTION("""COMPUTED_VALUE"""),45247.64583333333)</f>
        <v>45247.64583</v>
      </c>
      <c r="B13" s="6">
        <f>IFERROR(__xludf.DUMMYFUNCTION("""COMPUTED_VALUE"""),330.4)</f>
        <v>330.4</v>
      </c>
      <c r="C13" s="6">
        <f>IFERROR(__xludf.DUMMYFUNCTION("""COMPUTED_VALUE"""),350.93)</f>
        <v>350.93</v>
      </c>
      <c r="D13" s="6">
        <f>IFERROR(__xludf.DUMMYFUNCTION("""COMPUTED_VALUE"""),327.0)</f>
        <v>327</v>
      </c>
      <c r="E13" s="6">
        <f>IFERROR(__xludf.DUMMYFUNCTION("""COMPUTED_VALUE"""),349.52)</f>
        <v>349.52</v>
      </c>
      <c r="F13" s="6">
        <f>IFERROR(__xludf.DUMMYFUNCTION("""COMPUTED_VALUE"""),3664629.0)</f>
        <v>3664629</v>
      </c>
    </row>
    <row r="14">
      <c r="A14" s="7">
        <f>IFERROR(__xludf.DUMMYFUNCTION("""COMPUTED_VALUE"""),45254.64583333333)</f>
        <v>45254.64583</v>
      </c>
      <c r="B14" s="6">
        <f>IFERROR(__xludf.DUMMYFUNCTION("""COMPUTED_VALUE"""),350.99)</f>
        <v>350.99</v>
      </c>
      <c r="C14" s="6">
        <f>IFERROR(__xludf.DUMMYFUNCTION("""COMPUTED_VALUE"""),363.68)</f>
        <v>363.68</v>
      </c>
      <c r="D14" s="6">
        <f>IFERROR(__xludf.DUMMYFUNCTION("""COMPUTED_VALUE"""),341.2)</f>
        <v>341.2</v>
      </c>
      <c r="E14" s="6">
        <f>IFERROR(__xludf.DUMMYFUNCTION("""COMPUTED_VALUE"""),359.99)</f>
        <v>359.99</v>
      </c>
      <c r="F14" s="6">
        <f>IFERROR(__xludf.DUMMYFUNCTION("""COMPUTED_VALUE"""),6547827.0)</f>
        <v>6547827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IFERROR(__xludf.DUMMYFUNCTION("""COMPUTED_VALUE"""),360.0)</f>
        <v>360</v>
      </c>
      <c r="C15" s="6">
        <f>IFERROR(__xludf.DUMMYFUNCTION("""COMPUTED_VALUE"""),384.8)</f>
        <v>384.8</v>
      </c>
      <c r="D15" s="6">
        <f>IFERROR(__xludf.DUMMYFUNCTION("""COMPUTED_VALUE"""),359.8)</f>
        <v>359.8</v>
      </c>
      <c r="E15" s="6">
        <f>IFERROR(__xludf.DUMMYFUNCTION("""COMPUTED_VALUE"""),381.96)</f>
        <v>381.96</v>
      </c>
      <c r="F15" s="6">
        <f>IFERROR(__xludf.DUMMYFUNCTION("""COMPUTED_VALUE"""),5611101.0)</f>
        <v>5611101</v>
      </c>
    </row>
    <row r="16">
      <c r="A16" s="7">
        <f>IFERROR(__xludf.DUMMYFUNCTION("""COMPUTED_VALUE"""),45268.64583333333)</f>
        <v>45268.64583</v>
      </c>
      <c r="B16" s="6">
        <f>IFERROR(__xludf.DUMMYFUNCTION("""COMPUTED_VALUE"""),391.6)</f>
        <v>391.6</v>
      </c>
      <c r="C16" s="6">
        <f>IFERROR(__xludf.DUMMYFUNCTION("""COMPUTED_VALUE"""),391.6)</f>
        <v>391.6</v>
      </c>
      <c r="D16" s="6">
        <f>IFERROR(__xludf.DUMMYFUNCTION("""COMPUTED_VALUE"""),374.35)</f>
        <v>374.35</v>
      </c>
      <c r="E16" s="6">
        <f>IFERROR(__xludf.DUMMYFUNCTION("""COMPUTED_VALUE"""),380.54)</f>
        <v>380.54</v>
      </c>
      <c r="F16" s="6">
        <f>IFERROR(__xludf.DUMMYFUNCTION("""COMPUTED_VALUE"""),4056296.0)</f>
        <v>4056296</v>
      </c>
    </row>
    <row r="17">
      <c r="A17" s="7">
        <f>IFERROR(__xludf.DUMMYFUNCTION("""COMPUTED_VALUE"""),45275.64583333333)</f>
        <v>45275.64583</v>
      </c>
      <c r="B17" s="6">
        <f>IFERROR(__xludf.DUMMYFUNCTION("""COMPUTED_VALUE"""),381.43)</f>
        <v>381.43</v>
      </c>
      <c r="C17" s="6">
        <f>IFERROR(__xludf.DUMMYFUNCTION("""COMPUTED_VALUE"""),411.7)</f>
        <v>411.7</v>
      </c>
      <c r="D17" s="6">
        <f>IFERROR(__xludf.DUMMYFUNCTION("""COMPUTED_VALUE"""),380.6)</f>
        <v>380.6</v>
      </c>
      <c r="E17" s="6">
        <f>IFERROR(__xludf.DUMMYFUNCTION("""COMPUTED_VALUE"""),403.71)</f>
        <v>403.71</v>
      </c>
      <c r="F17" s="6">
        <f>IFERROR(__xludf.DUMMYFUNCTION("""COMPUTED_VALUE"""),5584243.0)</f>
        <v>5584243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IFERROR(__xludf.DUMMYFUNCTION("""COMPUTED_VALUE"""),404.8)</f>
        <v>404.8</v>
      </c>
      <c r="C18" s="6">
        <f>IFERROR(__xludf.DUMMYFUNCTION("""COMPUTED_VALUE"""),407.06)</f>
        <v>407.06</v>
      </c>
      <c r="D18" s="6">
        <f>IFERROR(__xludf.DUMMYFUNCTION("""COMPUTED_VALUE"""),384.94)</f>
        <v>384.94</v>
      </c>
      <c r="E18" s="6">
        <f>IFERROR(__xludf.DUMMYFUNCTION("""COMPUTED_VALUE"""),393.5)</f>
        <v>393.5</v>
      </c>
      <c r="F18" s="6">
        <f>IFERROR(__xludf.DUMMYFUNCTION("""COMPUTED_VALUE"""),4623635.0)</f>
        <v>4623635</v>
      </c>
    </row>
    <row r="19">
      <c r="A19" s="7">
        <f>IFERROR(__xludf.DUMMYFUNCTION("""COMPUTED_VALUE"""),45289.64583333333)</f>
        <v>45289.64583</v>
      </c>
      <c r="B19" s="6">
        <f>IFERROR(__xludf.DUMMYFUNCTION("""COMPUTED_VALUE"""),393.5)</f>
        <v>393.5</v>
      </c>
      <c r="C19" s="6">
        <f>IFERROR(__xludf.DUMMYFUNCTION("""COMPUTED_VALUE"""),406.0)</f>
        <v>406</v>
      </c>
      <c r="D19" s="6">
        <f>IFERROR(__xludf.DUMMYFUNCTION("""COMPUTED_VALUE"""),393.5)</f>
        <v>393.5</v>
      </c>
      <c r="E19" s="6">
        <f>IFERROR(__xludf.DUMMYFUNCTION("""COMPUTED_VALUE"""),405.16)</f>
        <v>405.16</v>
      </c>
      <c r="F19" s="6">
        <f>IFERROR(__xludf.DUMMYFUNCTION("""COMPUTED_VALUE"""),3105370.0)</f>
        <v>3105370</v>
      </c>
    </row>
    <row r="20">
      <c r="A20" s="7">
        <f>IFERROR(__xludf.DUMMYFUNCTION("""COMPUTED_VALUE"""),45296.64583333333)</f>
        <v>45296.64583</v>
      </c>
      <c r="B20" s="6">
        <f>IFERROR(__xludf.DUMMYFUNCTION("""COMPUTED_VALUE"""),406.4)</f>
        <v>406.4</v>
      </c>
      <c r="C20" s="6">
        <f>IFERROR(__xludf.DUMMYFUNCTION("""COMPUTED_VALUE"""),409.31)</f>
        <v>409.31</v>
      </c>
      <c r="D20" s="6">
        <f>IFERROR(__xludf.DUMMYFUNCTION("""COMPUTED_VALUE"""),390.43)</f>
        <v>390.43</v>
      </c>
      <c r="E20" s="6">
        <f>IFERROR(__xludf.DUMMYFUNCTION("""COMPUTED_VALUE"""),395.86)</f>
        <v>395.86</v>
      </c>
      <c r="F20" s="6">
        <f>IFERROR(__xludf.DUMMYFUNCTION("""COMPUTED_VALUE"""),5962560.0)</f>
        <v>5962560</v>
      </c>
    </row>
    <row r="21">
      <c r="A21" s="7">
        <f>IFERROR(__xludf.DUMMYFUNCTION("""COMPUTED_VALUE"""),45303.64583333333)</f>
        <v>45303.64583</v>
      </c>
      <c r="B21" s="6">
        <f>IFERROR(__xludf.DUMMYFUNCTION("""COMPUTED_VALUE"""),398.96)</f>
        <v>398.96</v>
      </c>
      <c r="C21" s="6">
        <f>IFERROR(__xludf.DUMMYFUNCTION("""COMPUTED_VALUE"""),420.0)</f>
        <v>420</v>
      </c>
      <c r="D21" s="6">
        <f>IFERROR(__xludf.DUMMYFUNCTION("""COMPUTED_VALUE"""),396.0)</f>
        <v>396</v>
      </c>
      <c r="E21" s="6">
        <f>IFERROR(__xludf.DUMMYFUNCTION("""COMPUTED_VALUE"""),417.16)</f>
        <v>417.16</v>
      </c>
      <c r="F21" s="6">
        <f>IFERROR(__xludf.DUMMYFUNCTION("""COMPUTED_VALUE"""),6340843.0)</f>
        <v>6340843</v>
      </c>
    </row>
    <row r="22">
      <c r="A22" s="7">
        <f>IFERROR(__xludf.DUMMYFUNCTION("""COMPUTED_VALUE"""),45316.64583333333)</f>
        <v>45316.64583</v>
      </c>
      <c r="B22" s="6">
        <f>IFERROR(__xludf.DUMMYFUNCTION("""COMPUTED_VALUE"""),403.09)</f>
        <v>403.09</v>
      </c>
      <c r="C22" s="6">
        <f>IFERROR(__xludf.DUMMYFUNCTION("""COMPUTED_VALUE"""),411.0)</f>
        <v>411</v>
      </c>
      <c r="D22" s="6">
        <f>IFERROR(__xludf.DUMMYFUNCTION("""COMPUTED_VALUE"""),384.61)</f>
        <v>384.61</v>
      </c>
      <c r="E22" s="6">
        <f>IFERROR(__xludf.DUMMYFUNCTION("""COMPUTED_VALUE"""),388.22)</f>
        <v>388.22</v>
      </c>
      <c r="F22" s="6">
        <f>IFERROR(__xludf.DUMMYFUNCTION("""COMPUTED_VALUE"""),3892281.0)</f>
        <v>3892281</v>
      </c>
    </row>
    <row r="23">
      <c r="A23" s="7">
        <f>IFERROR(__xludf.DUMMYFUNCTION("""COMPUTED_VALUE"""),45324.64583333333)</f>
        <v>45324.64583</v>
      </c>
      <c r="B23" s="6">
        <f>IFERROR(__xludf.DUMMYFUNCTION("""COMPUTED_VALUE"""),388.2)</f>
        <v>388.2</v>
      </c>
      <c r="C23" s="6">
        <f>IFERROR(__xludf.DUMMYFUNCTION("""COMPUTED_VALUE"""),409.72)</f>
        <v>409.72</v>
      </c>
      <c r="D23" s="6">
        <f>IFERROR(__xludf.DUMMYFUNCTION("""COMPUTED_VALUE"""),385.59)</f>
        <v>385.59</v>
      </c>
      <c r="E23" s="6">
        <f>IFERROR(__xludf.DUMMYFUNCTION("""COMPUTED_VALUE"""),409.06)</f>
        <v>409.06</v>
      </c>
      <c r="F23" s="6">
        <f>IFERROR(__xludf.DUMMYFUNCTION("""COMPUTED_VALUE"""),5058032.0)</f>
        <v>5058032</v>
      </c>
    </row>
    <row r="24">
      <c r="A24" s="7">
        <f>IFERROR(__xludf.DUMMYFUNCTION("""COMPUTED_VALUE"""),45331.64583333333)</f>
        <v>45331.64583</v>
      </c>
      <c r="B24" s="6">
        <f>IFERROR(__xludf.DUMMYFUNCTION("""COMPUTED_VALUE"""),409.85)</f>
        <v>409.85</v>
      </c>
      <c r="C24" s="6">
        <f>IFERROR(__xludf.DUMMYFUNCTION("""COMPUTED_VALUE"""),415.53)</f>
        <v>415.53</v>
      </c>
      <c r="D24" s="6">
        <f>IFERROR(__xludf.DUMMYFUNCTION("""COMPUTED_VALUE"""),401.14)</f>
        <v>401.14</v>
      </c>
      <c r="E24" s="6">
        <f>IFERROR(__xludf.DUMMYFUNCTION("""COMPUTED_VALUE"""),407.52)</f>
        <v>407.52</v>
      </c>
      <c r="F24" s="6">
        <f>IFERROR(__xludf.DUMMYFUNCTION("""COMPUTED_VALUE"""),2410053.0)</f>
        <v>2410053</v>
      </c>
    </row>
    <row r="25">
      <c r="A25" s="7">
        <f>IFERROR(__xludf.DUMMYFUNCTION("""COMPUTED_VALUE"""),45338.64583333333)</f>
        <v>45338.64583</v>
      </c>
      <c r="B25" s="6">
        <f>IFERROR(__xludf.DUMMYFUNCTION("""COMPUTED_VALUE"""),408.8)</f>
        <v>408.8</v>
      </c>
      <c r="C25" s="6">
        <f>IFERROR(__xludf.DUMMYFUNCTION("""COMPUTED_VALUE"""),437.2)</f>
        <v>437.2</v>
      </c>
      <c r="D25" s="6">
        <f>IFERROR(__xludf.DUMMYFUNCTION("""COMPUTED_VALUE"""),403.11)</f>
        <v>403.11</v>
      </c>
      <c r="E25" s="6">
        <f>IFERROR(__xludf.DUMMYFUNCTION("""COMPUTED_VALUE"""),427.75)</f>
        <v>427.75</v>
      </c>
      <c r="F25" s="6">
        <f>IFERROR(__xludf.DUMMYFUNCTION("""COMPUTED_VALUE"""),4385630.0)</f>
        <v>4385630</v>
      </c>
    </row>
    <row r="26">
      <c r="A26" s="7">
        <f>IFERROR(__xludf.DUMMYFUNCTION("""COMPUTED_VALUE"""),45345.64583333333)</f>
        <v>45345.64583</v>
      </c>
      <c r="B26" s="6">
        <f>IFERROR(__xludf.DUMMYFUNCTION("""COMPUTED_VALUE"""),430.6)</f>
        <v>430.6</v>
      </c>
      <c r="C26" s="6">
        <f>IFERROR(__xludf.DUMMYFUNCTION("""COMPUTED_VALUE"""),432.0)</f>
        <v>432</v>
      </c>
      <c r="D26" s="6">
        <f>IFERROR(__xludf.DUMMYFUNCTION("""COMPUTED_VALUE"""),416.2)</f>
        <v>416.2</v>
      </c>
      <c r="E26" s="6">
        <f>IFERROR(__xludf.DUMMYFUNCTION("""COMPUTED_VALUE"""),423.19)</f>
        <v>423.19</v>
      </c>
      <c r="F26" s="6">
        <f>IFERROR(__xludf.DUMMYFUNCTION("""COMPUTED_VALUE"""),2828986.0)</f>
        <v>2828986</v>
      </c>
    </row>
    <row r="27">
      <c r="A27" s="7">
        <f>IFERROR(__xludf.DUMMYFUNCTION("""COMPUTED_VALUE"""),45358.64583333333)</f>
        <v>45358.64583</v>
      </c>
      <c r="B27" s="6">
        <f>IFERROR(__xludf.DUMMYFUNCTION("""COMPUTED_VALUE"""),452.68)</f>
        <v>452.68</v>
      </c>
      <c r="C27" s="6">
        <f>IFERROR(__xludf.DUMMYFUNCTION("""COMPUTED_VALUE"""),462.69)</f>
        <v>462.69</v>
      </c>
      <c r="D27" s="6">
        <f>IFERROR(__xludf.DUMMYFUNCTION("""COMPUTED_VALUE"""),444.0)</f>
        <v>444</v>
      </c>
      <c r="E27" s="6">
        <f>IFERROR(__xludf.DUMMYFUNCTION("""COMPUTED_VALUE"""),451.94)</f>
        <v>451.94</v>
      </c>
      <c r="F27" s="6">
        <f>IFERROR(__xludf.DUMMYFUNCTION("""COMPUTED_VALUE"""),3859180.0)</f>
        <v>3859180</v>
      </c>
    </row>
    <row r="28">
      <c r="A28" s="7">
        <f>IFERROR(__xludf.DUMMYFUNCTION("""COMPUTED_VALUE"""),45366.64583333333)</f>
        <v>45366.64583</v>
      </c>
      <c r="B28" s="6">
        <f>IFERROR(__xludf.DUMMYFUNCTION("""COMPUTED_VALUE"""),455.2)</f>
        <v>455.2</v>
      </c>
      <c r="C28" s="6">
        <f>IFERROR(__xludf.DUMMYFUNCTION("""COMPUTED_VALUE"""),460.87)</f>
        <v>460.87</v>
      </c>
      <c r="D28" s="6">
        <f>IFERROR(__xludf.DUMMYFUNCTION("""COMPUTED_VALUE"""),410.99)</f>
        <v>410.99</v>
      </c>
      <c r="E28" s="6">
        <f>IFERROR(__xludf.DUMMYFUNCTION("""COMPUTED_VALUE"""),413.29)</f>
        <v>413.29</v>
      </c>
      <c r="F28" s="6">
        <f>IFERROR(__xludf.DUMMYFUNCTION("""COMPUTED_VALUE"""),4674393.0)</f>
        <v>4674393</v>
      </c>
    </row>
    <row r="29">
      <c r="A29" s="7">
        <f>IFERROR(__xludf.DUMMYFUNCTION("""COMPUTED_VALUE"""),45373.64583333333)</f>
        <v>45373.64583</v>
      </c>
      <c r="B29" s="6">
        <f>IFERROR(__xludf.DUMMYFUNCTION("""COMPUTED_VALUE"""),412.2)</f>
        <v>412.2</v>
      </c>
      <c r="C29" s="6">
        <f>IFERROR(__xludf.DUMMYFUNCTION("""COMPUTED_VALUE"""),421.0)</f>
        <v>421</v>
      </c>
      <c r="D29" s="6">
        <f>IFERROR(__xludf.DUMMYFUNCTION("""COMPUTED_VALUE"""),401.16)</f>
        <v>401.16</v>
      </c>
      <c r="E29" s="6">
        <f>IFERROR(__xludf.DUMMYFUNCTION("""COMPUTED_VALUE"""),410.16)</f>
        <v>410.16</v>
      </c>
      <c r="F29" s="6">
        <f>IFERROR(__xludf.DUMMYFUNCTION("""COMPUTED_VALUE"""),5599943.0)</f>
        <v>5599943</v>
      </c>
    </row>
    <row r="30">
      <c r="A30" s="7">
        <f>IFERROR(__xludf.DUMMYFUNCTION("""COMPUTED_VALUE"""),45379.64583333333)</f>
        <v>45379.64583</v>
      </c>
      <c r="B30" s="6">
        <f>IFERROR(__xludf.DUMMYFUNCTION("""COMPUTED_VALUE"""),410.66)</f>
        <v>410.66</v>
      </c>
      <c r="C30" s="6">
        <f>IFERROR(__xludf.DUMMYFUNCTION("""COMPUTED_VALUE"""),433.0)</f>
        <v>433</v>
      </c>
      <c r="D30" s="6">
        <f>IFERROR(__xludf.DUMMYFUNCTION("""COMPUTED_VALUE"""),405.67)</f>
        <v>405.67</v>
      </c>
      <c r="E30" s="6">
        <f>IFERROR(__xludf.DUMMYFUNCTION("""COMPUTED_VALUE"""),430.37)</f>
        <v>430.37</v>
      </c>
      <c r="F30" s="6">
        <f>IFERROR(__xludf.DUMMYFUNCTION("""COMPUTED_VALUE"""),3316607.0)</f>
        <v>3316607</v>
      </c>
    </row>
    <row r="31">
      <c r="A31" s="7">
        <f>IFERROR(__xludf.DUMMYFUNCTION("""COMPUTED_VALUE"""),45387.64583333333)</f>
        <v>45387.64583</v>
      </c>
      <c r="B31" s="6">
        <f>IFERROR(__xludf.DUMMYFUNCTION("""COMPUTED_VALUE"""),434.8)</f>
        <v>434.8</v>
      </c>
      <c r="C31" s="6">
        <f>IFERROR(__xludf.DUMMYFUNCTION("""COMPUTED_VALUE"""),439.0)</f>
        <v>439</v>
      </c>
      <c r="D31" s="6">
        <f>IFERROR(__xludf.DUMMYFUNCTION("""COMPUTED_VALUE"""),412.0)</f>
        <v>412</v>
      </c>
      <c r="E31" s="6">
        <f>IFERROR(__xludf.DUMMYFUNCTION("""COMPUTED_VALUE"""),413.88)</f>
        <v>413.88</v>
      </c>
      <c r="F31" s="6">
        <f>IFERROR(__xludf.DUMMYFUNCTION("""COMPUTED_VALUE"""),3594096.0)</f>
        <v>3594096</v>
      </c>
    </row>
    <row r="32">
      <c r="A32" s="7">
        <f>IFERROR(__xludf.DUMMYFUNCTION("""COMPUTED_VALUE"""),45394.64583333333)</f>
        <v>45394.64583</v>
      </c>
      <c r="B32" s="6">
        <f>IFERROR(__xludf.DUMMYFUNCTION("""COMPUTED_VALUE"""),416.0)</f>
        <v>416</v>
      </c>
      <c r="C32" s="6">
        <f>IFERROR(__xludf.DUMMYFUNCTION("""COMPUTED_VALUE"""),428.8)</f>
        <v>428.8</v>
      </c>
      <c r="D32" s="6">
        <f>IFERROR(__xludf.DUMMYFUNCTION("""COMPUTED_VALUE"""),407.68)</f>
        <v>407.68</v>
      </c>
      <c r="E32" s="6">
        <f>IFERROR(__xludf.DUMMYFUNCTION("""COMPUTED_VALUE"""),409.37)</f>
        <v>409.37</v>
      </c>
      <c r="F32" s="6">
        <f>IFERROR(__xludf.DUMMYFUNCTION("""COMPUTED_VALUE"""),2844800.0)</f>
        <v>2844800</v>
      </c>
    </row>
    <row r="33">
      <c r="A33" s="7">
        <f>IFERROR(__xludf.DUMMYFUNCTION("""COMPUTED_VALUE"""),45401.64583333333)</f>
        <v>45401.64583</v>
      </c>
      <c r="B33" s="6">
        <f>IFERROR(__xludf.DUMMYFUNCTION("""COMPUTED_VALUE"""),402.22)</f>
        <v>402.22</v>
      </c>
      <c r="C33" s="6">
        <f>IFERROR(__xludf.DUMMYFUNCTION("""COMPUTED_VALUE"""),409.33)</f>
        <v>409.33</v>
      </c>
      <c r="D33" s="6">
        <f>IFERROR(__xludf.DUMMYFUNCTION("""COMPUTED_VALUE"""),374.6)</f>
        <v>374.6</v>
      </c>
      <c r="E33" s="6">
        <f>IFERROR(__xludf.DUMMYFUNCTION("""COMPUTED_VALUE"""),379.81)</f>
        <v>379.81</v>
      </c>
      <c r="F33" s="6">
        <f>IFERROR(__xludf.DUMMYFUNCTION("""COMPUTED_VALUE"""),6800815.0)</f>
        <v>6800815</v>
      </c>
    </row>
    <row r="34">
      <c r="A34" s="7">
        <f>IFERROR(__xludf.DUMMYFUNCTION("""COMPUTED_VALUE"""),45408.64583333333)</f>
        <v>45408.64583</v>
      </c>
      <c r="B34" s="6">
        <f>IFERROR(__xludf.DUMMYFUNCTION("""COMPUTED_VALUE"""),379.79)</f>
        <v>379.79</v>
      </c>
      <c r="C34" s="6">
        <f>IFERROR(__xludf.DUMMYFUNCTION("""COMPUTED_VALUE"""),407.76)</f>
        <v>407.76</v>
      </c>
      <c r="D34" s="6">
        <f>IFERROR(__xludf.DUMMYFUNCTION("""COMPUTED_VALUE"""),378.02)</f>
        <v>378.02</v>
      </c>
      <c r="E34" s="6">
        <f>IFERROR(__xludf.DUMMYFUNCTION("""COMPUTED_VALUE"""),403.3)</f>
        <v>403.3</v>
      </c>
      <c r="F34" s="6">
        <f>IFERROR(__xludf.DUMMYFUNCTION("""COMPUTED_VALUE"""),5491180.0)</f>
        <v>5491180</v>
      </c>
    </row>
    <row r="35">
      <c r="A35" s="7">
        <f>IFERROR(__xludf.DUMMYFUNCTION("""COMPUTED_VALUE"""),45415.64583333333)</f>
        <v>45415.64583</v>
      </c>
      <c r="B35" s="6">
        <f>IFERROR(__xludf.DUMMYFUNCTION("""COMPUTED_VALUE"""),404.0)</f>
        <v>404</v>
      </c>
      <c r="C35" s="6">
        <f>IFERROR(__xludf.DUMMYFUNCTION("""COMPUTED_VALUE"""),423.57)</f>
        <v>423.57</v>
      </c>
      <c r="D35" s="6">
        <f>IFERROR(__xludf.DUMMYFUNCTION("""COMPUTED_VALUE"""),402.45)</f>
        <v>402.45</v>
      </c>
      <c r="E35" s="6">
        <f>IFERROR(__xludf.DUMMYFUNCTION("""COMPUTED_VALUE"""),410.55)</f>
        <v>410.55</v>
      </c>
      <c r="F35" s="6">
        <f>IFERROR(__xludf.DUMMYFUNCTION("""COMPUTED_VALUE"""),3766927.0)</f>
        <v>3766927</v>
      </c>
    </row>
    <row r="36">
      <c r="A36" s="7">
        <f>IFERROR(__xludf.DUMMYFUNCTION("""COMPUTED_VALUE"""),45422.64583333333)</f>
        <v>45422.64583</v>
      </c>
      <c r="B36" s="6">
        <f>IFERROR(__xludf.DUMMYFUNCTION("""COMPUTED_VALUE"""),412.0)</f>
        <v>412</v>
      </c>
      <c r="C36" s="6">
        <f>IFERROR(__xludf.DUMMYFUNCTION("""COMPUTED_VALUE"""),424.6)</f>
        <v>424.6</v>
      </c>
      <c r="D36" s="6">
        <f>IFERROR(__xludf.DUMMYFUNCTION("""COMPUTED_VALUE"""),383.7)</f>
        <v>383.7</v>
      </c>
      <c r="E36" s="6">
        <f>IFERROR(__xludf.DUMMYFUNCTION("""COMPUTED_VALUE"""),412.71)</f>
        <v>412.71</v>
      </c>
      <c r="F36" s="6">
        <f>IFERROR(__xludf.DUMMYFUNCTION("""COMPUTED_VALUE"""),9639180.0)</f>
        <v>9639180</v>
      </c>
    </row>
    <row r="37">
      <c r="A37" s="7">
        <f>IFERROR(__xludf.DUMMYFUNCTION("""COMPUTED_VALUE"""),45436.64583333333)</f>
        <v>45436.64583</v>
      </c>
      <c r="B37" s="6">
        <f>IFERROR(__xludf.DUMMYFUNCTION("""COMPUTED_VALUE"""),439.8)</f>
        <v>439.8</v>
      </c>
      <c r="C37" s="6">
        <f>IFERROR(__xludf.DUMMYFUNCTION("""COMPUTED_VALUE"""),450.8)</f>
        <v>450.8</v>
      </c>
      <c r="D37" s="6">
        <f>IFERROR(__xludf.DUMMYFUNCTION("""COMPUTED_VALUE"""),424.22)</f>
        <v>424.22</v>
      </c>
      <c r="E37" s="6">
        <f>IFERROR(__xludf.DUMMYFUNCTION("""COMPUTED_VALUE"""),447.7)</f>
        <v>447.7</v>
      </c>
      <c r="F37" s="6">
        <f>IFERROR(__xludf.DUMMYFUNCTION("""COMPUTED_VALUE"""),3064226.0)</f>
        <v>3064226</v>
      </c>
    </row>
    <row r="38">
      <c r="A38" s="7">
        <f>IFERROR(__xludf.DUMMYFUNCTION("""COMPUTED_VALUE"""),45443.64583333333)</f>
        <v>45443.64583</v>
      </c>
      <c r="B38" s="6">
        <f>IFERROR(__xludf.DUMMYFUNCTION("""COMPUTED_VALUE"""),452.0)</f>
        <v>452</v>
      </c>
      <c r="C38" s="6">
        <f>IFERROR(__xludf.DUMMYFUNCTION("""COMPUTED_VALUE"""),454.19)</f>
        <v>454.19</v>
      </c>
      <c r="D38" s="6">
        <f>IFERROR(__xludf.DUMMYFUNCTION("""COMPUTED_VALUE"""),429.15)</f>
        <v>429.15</v>
      </c>
      <c r="E38" s="6">
        <f>IFERROR(__xludf.DUMMYFUNCTION("""COMPUTED_VALUE"""),435.85)</f>
        <v>435.85</v>
      </c>
      <c r="F38" s="6">
        <f>IFERROR(__xludf.DUMMYFUNCTION("""COMPUTED_VALUE"""),5560916.0)</f>
        <v>5560916</v>
      </c>
    </row>
    <row r="39">
      <c r="A39" s="7">
        <f>IFERROR(__xludf.DUMMYFUNCTION("""COMPUTED_VALUE"""),45450.64583333333)</f>
        <v>45450.64583</v>
      </c>
      <c r="B39" s="6">
        <f>IFERROR(__xludf.DUMMYFUNCTION("""COMPUTED_VALUE"""),446.91)</f>
        <v>446.91</v>
      </c>
      <c r="C39" s="6">
        <f>IFERROR(__xludf.DUMMYFUNCTION("""COMPUTED_VALUE"""),485.93)</f>
        <v>485.93</v>
      </c>
      <c r="D39" s="6">
        <f>IFERROR(__xludf.DUMMYFUNCTION("""COMPUTED_VALUE"""),413.8)</f>
        <v>413.8</v>
      </c>
      <c r="E39" s="6">
        <f>IFERROR(__xludf.DUMMYFUNCTION("""COMPUTED_VALUE"""),481.53)</f>
        <v>481.53</v>
      </c>
      <c r="F39" s="6">
        <f>IFERROR(__xludf.DUMMYFUNCTION("""COMPUTED_VALUE"""),6212830.0)</f>
        <v>6212830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IFERROR(__xludf.DUMMYFUNCTION("""COMPUTED_VALUE"""),483.93)</f>
        <v>483.93</v>
      </c>
      <c r="C40" s="6">
        <f>IFERROR(__xludf.DUMMYFUNCTION("""COMPUTED_VALUE"""),503.8)</f>
        <v>503.8</v>
      </c>
      <c r="D40" s="6">
        <f>IFERROR(__xludf.DUMMYFUNCTION("""COMPUTED_VALUE"""),482.2)</f>
        <v>482.2</v>
      </c>
      <c r="E40" s="6">
        <f>IFERROR(__xludf.DUMMYFUNCTION("""COMPUTED_VALUE"""),500.77)</f>
        <v>500.77</v>
      </c>
      <c r="F40" s="6">
        <f>IFERROR(__xludf.DUMMYFUNCTION("""COMPUTED_VALUE"""),4854293.0)</f>
        <v>4854293</v>
      </c>
    </row>
    <row r="41">
      <c r="A41" s="7">
        <f>IFERROR(__xludf.DUMMYFUNCTION("""COMPUTED_VALUE"""),45464.64583333333)</f>
        <v>45464.64583</v>
      </c>
      <c r="B41" s="6">
        <f>IFERROR(__xludf.DUMMYFUNCTION("""COMPUTED_VALUE"""),502.0)</f>
        <v>502</v>
      </c>
      <c r="C41" s="6">
        <f>IFERROR(__xludf.DUMMYFUNCTION("""COMPUTED_VALUE"""),502.11)</f>
        <v>502.11</v>
      </c>
      <c r="D41" s="6">
        <f>IFERROR(__xludf.DUMMYFUNCTION("""COMPUTED_VALUE"""),477.7)</f>
        <v>477.7</v>
      </c>
      <c r="E41" s="6">
        <f>IFERROR(__xludf.DUMMYFUNCTION("""COMPUTED_VALUE"""),487.08)</f>
        <v>487.08</v>
      </c>
      <c r="F41" s="6">
        <f>IFERROR(__xludf.DUMMYFUNCTION("""COMPUTED_VALUE"""),3799590.0)</f>
        <v>3799590</v>
      </c>
    </row>
    <row r="42">
      <c r="A42" s="7">
        <f>IFERROR(__xludf.DUMMYFUNCTION("""COMPUTED_VALUE"""),45471.64583333333)</f>
        <v>45471.64583</v>
      </c>
      <c r="B42" s="6">
        <f>IFERROR(__xludf.DUMMYFUNCTION("""COMPUTED_VALUE"""),487.08)</f>
        <v>487.08</v>
      </c>
      <c r="C42" s="6">
        <f>IFERROR(__xludf.DUMMYFUNCTION("""COMPUTED_VALUE"""),496.71)</f>
        <v>496.71</v>
      </c>
      <c r="D42" s="6">
        <f>IFERROR(__xludf.DUMMYFUNCTION("""COMPUTED_VALUE"""),465.42)</f>
        <v>465.42</v>
      </c>
      <c r="E42" s="6">
        <f>IFERROR(__xludf.DUMMYFUNCTION("""COMPUTED_VALUE"""),472.97)</f>
        <v>472.97</v>
      </c>
      <c r="F42" s="6">
        <f>IFERROR(__xludf.DUMMYFUNCTION("""COMPUTED_VALUE"""),6300985.0)</f>
        <v>6300985</v>
      </c>
    </row>
    <row r="43">
      <c r="A43" s="7">
        <f>IFERROR(__xludf.DUMMYFUNCTION("""COMPUTED_VALUE"""),45478.64583333333)</f>
        <v>45478.64583</v>
      </c>
      <c r="B43" s="6">
        <f>IFERROR(__xludf.DUMMYFUNCTION("""COMPUTED_VALUE"""),472.97)</f>
        <v>472.97</v>
      </c>
      <c r="C43" s="6">
        <f>IFERROR(__xludf.DUMMYFUNCTION("""COMPUTED_VALUE"""),487.8)</f>
        <v>487.8</v>
      </c>
      <c r="D43" s="6">
        <f>IFERROR(__xludf.DUMMYFUNCTION("""COMPUTED_VALUE"""),460.24)</f>
        <v>460.24</v>
      </c>
      <c r="E43" s="6">
        <f>IFERROR(__xludf.DUMMYFUNCTION("""COMPUTED_VALUE"""),486.03)</f>
        <v>486.03</v>
      </c>
      <c r="F43" s="6">
        <f>IFERROR(__xludf.DUMMYFUNCTION("""COMPUTED_VALUE"""),4759764.0)</f>
        <v>4759764</v>
      </c>
    </row>
    <row r="44">
      <c r="A44" s="7">
        <f>IFERROR(__xludf.DUMMYFUNCTION("""COMPUTED_VALUE"""),45485.64583333333)</f>
        <v>45485.64583</v>
      </c>
      <c r="B44" s="6">
        <f>IFERROR(__xludf.DUMMYFUNCTION("""COMPUTED_VALUE"""),489.19)</f>
        <v>489.19</v>
      </c>
      <c r="C44" s="6">
        <f>IFERROR(__xludf.DUMMYFUNCTION("""COMPUTED_VALUE"""),498.38)</f>
        <v>498.38</v>
      </c>
      <c r="D44" s="6">
        <f>IFERROR(__xludf.DUMMYFUNCTION("""COMPUTED_VALUE"""),476.28)</f>
        <v>476.28</v>
      </c>
      <c r="E44" s="6">
        <f>IFERROR(__xludf.DUMMYFUNCTION("""COMPUTED_VALUE"""),487.89)</f>
        <v>487.89</v>
      </c>
      <c r="F44" s="6">
        <f>IFERROR(__xludf.DUMMYFUNCTION("""COMPUTED_VALUE"""),5769877.0)</f>
        <v>5769877</v>
      </c>
    </row>
    <row r="45">
      <c r="A45" s="7">
        <f>IFERROR(__xludf.DUMMYFUNCTION("""COMPUTED_VALUE"""),45492.64583333333)</f>
        <v>45492.64583</v>
      </c>
      <c r="B45" s="6">
        <f>IFERROR(__xludf.DUMMYFUNCTION("""COMPUTED_VALUE"""),489.0)</f>
        <v>489</v>
      </c>
      <c r="C45" s="6">
        <f>IFERROR(__xludf.DUMMYFUNCTION("""COMPUTED_VALUE"""),494.57)</f>
        <v>494.57</v>
      </c>
      <c r="D45" s="6">
        <f>IFERROR(__xludf.DUMMYFUNCTION("""COMPUTED_VALUE"""),474.0)</f>
        <v>474</v>
      </c>
      <c r="E45" s="6">
        <f>IFERROR(__xludf.DUMMYFUNCTION("""COMPUTED_VALUE"""),480.91)</f>
        <v>480.91</v>
      </c>
      <c r="F45" s="6">
        <f>IFERROR(__xludf.DUMMYFUNCTION("""COMPUTED_VALUE"""),2498055.0)</f>
        <v>2498055</v>
      </c>
    </row>
    <row r="46">
      <c r="A46" s="7">
        <f>IFERROR(__xludf.DUMMYFUNCTION("""COMPUTED_VALUE"""),45499.64583333333)</f>
        <v>45499.64583</v>
      </c>
      <c r="B46" s="6">
        <f>IFERROR(__xludf.DUMMYFUNCTION("""COMPUTED_VALUE"""),480.96)</f>
        <v>480.96</v>
      </c>
      <c r="C46" s="6">
        <f>IFERROR(__xludf.DUMMYFUNCTION("""COMPUTED_VALUE"""),505.76)</f>
        <v>505.76</v>
      </c>
      <c r="D46" s="6">
        <f>IFERROR(__xludf.DUMMYFUNCTION("""COMPUTED_VALUE"""),471.99)</f>
        <v>471.99</v>
      </c>
      <c r="E46" s="6">
        <f>IFERROR(__xludf.DUMMYFUNCTION("""COMPUTED_VALUE"""),501.6)</f>
        <v>501.6</v>
      </c>
      <c r="F46" s="6">
        <f>IFERROR(__xludf.DUMMYFUNCTION("""COMPUTED_VALUE"""),3613622.0)</f>
        <v>3613622</v>
      </c>
    </row>
    <row r="47">
      <c r="A47" s="7">
        <f>IFERROR(__xludf.DUMMYFUNCTION("""COMPUTED_VALUE"""),45506.64583333333)</f>
        <v>45506.64583</v>
      </c>
      <c r="B47" s="6">
        <f>IFERROR(__xludf.DUMMYFUNCTION("""COMPUTED_VALUE"""),505.8)</f>
        <v>505.8</v>
      </c>
      <c r="C47" s="6">
        <f>IFERROR(__xludf.DUMMYFUNCTION("""COMPUTED_VALUE"""),520.43)</f>
        <v>520.43</v>
      </c>
      <c r="D47" s="6">
        <f>IFERROR(__xludf.DUMMYFUNCTION("""COMPUTED_VALUE"""),493.15)</f>
        <v>493.15</v>
      </c>
      <c r="E47" s="6">
        <f>IFERROR(__xludf.DUMMYFUNCTION("""COMPUTED_VALUE"""),513.88)</f>
        <v>513.88</v>
      </c>
      <c r="F47" s="6">
        <f>IFERROR(__xludf.DUMMYFUNCTION("""COMPUTED_VALUE"""),6649225.0)</f>
        <v>6649225</v>
      </c>
    </row>
    <row r="48">
      <c r="A48" s="7">
        <f>IFERROR(__xludf.DUMMYFUNCTION("""COMPUTED_VALUE"""),45513.64583333333)</f>
        <v>45513.64583</v>
      </c>
      <c r="B48" s="6">
        <f>IFERROR(__xludf.DUMMYFUNCTION("""COMPUTED_VALUE"""),503.08)</f>
        <v>503.08</v>
      </c>
      <c r="C48" s="6">
        <f>IFERROR(__xludf.DUMMYFUNCTION("""COMPUTED_VALUE"""),523.73)</f>
        <v>523.73</v>
      </c>
      <c r="D48" s="6">
        <f>IFERROR(__xludf.DUMMYFUNCTION("""COMPUTED_VALUE"""),485.4)</f>
        <v>485.4</v>
      </c>
      <c r="E48" s="6">
        <f>IFERROR(__xludf.DUMMYFUNCTION("""COMPUTED_VALUE"""),516.29)</f>
        <v>516.29</v>
      </c>
      <c r="F48" s="6">
        <f>IFERROR(__xludf.DUMMYFUNCTION("""COMPUTED_VALUE"""),7256073.0)</f>
        <v>7256073</v>
      </c>
    </row>
    <row r="49">
      <c r="A49" s="7">
        <f>IFERROR(__xludf.DUMMYFUNCTION("""COMPUTED_VALUE"""),45520.64583333333)</f>
        <v>45520.64583</v>
      </c>
      <c r="B49" s="6">
        <f>IFERROR(__xludf.DUMMYFUNCTION("""COMPUTED_VALUE"""),515.68)</f>
        <v>515.68</v>
      </c>
      <c r="C49" s="6">
        <f>IFERROR(__xludf.DUMMYFUNCTION("""COMPUTED_VALUE"""),531.0)</f>
        <v>531</v>
      </c>
      <c r="D49" s="6">
        <f>IFERROR(__xludf.DUMMYFUNCTION("""COMPUTED_VALUE"""),507.0)</f>
        <v>507</v>
      </c>
      <c r="E49" s="6">
        <f>IFERROR(__xludf.DUMMYFUNCTION("""COMPUTED_VALUE"""),520.05)</f>
        <v>520.05</v>
      </c>
      <c r="F49" s="6">
        <f>IFERROR(__xludf.DUMMYFUNCTION("""COMPUTED_VALUE"""),5248454.0)</f>
        <v>5248454</v>
      </c>
    </row>
    <row r="50">
      <c r="A50" s="7">
        <f>IFERROR(__xludf.DUMMYFUNCTION("""COMPUTED_VALUE"""),45527.64583333333)</f>
        <v>45527.64583</v>
      </c>
      <c r="B50" s="6">
        <f>IFERROR(__xludf.DUMMYFUNCTION("""COMPUTED_VALUE"""),524.51)</f>
        <v>524.51</v>
      </c>
      <c r="C50" s="6">
        <f>IFERROR(__xludf.DUMMYFUNCTION("""COMPUTED_VALUE"""),563.6)</f>
        <v>563.6</v>
      </c>
      <c r="D50" s="6">
        <f>IFERROR(__xludf.DUMMYFUNCTION("""COMPUTED_VALUE"""),517.05)</f>
        <v>517.05</v>
      </c>
      <c r="E50" s="6">
        <f>IFERROR(__xludf.DUMMYFUNCTION("""COMPUTED_VALUE"""),553.4)</f>
        <v>553.4</v>
      </c>
      <c r="F50" s="6">
        <f>IFERROR(__xludf.DUMMYFUNCTION("""COMPUTED_VALUE"""),5921960.0)</f>
        <v>5921960</v>
      </c>
    </row>
    <row r="51">
      <c r="A51" s="7">
        <f>IFERROR(__xludf.DUMMYFUNCTION("""COMPUTED_VALUE"""),45534.64583333333)</f>
        <v>45534.64583</v>
      </c>
      <c r="B51" s="6">
        <f>IFERROR(__xludf.DUMMYFUNCTION("""COMPUTED_VALUE"""),556.34)</f>
        <v>556.34</v>
      </c>
      <c r="C51" s="6">
        <f>IFERROR(__xludf.DUMMYFUNCTION("""COMPUTED_VALUE"""),564.8)</f>
        <v>564.8</v>
      </c>
      <c r="D51" s="6">
        <f>IFERROR(__xludf.DUMMYFUNCTION("""COMPUTED_VALUE"""),544.39)</f>
        <v>544.39</v>
      </c>
      <c r="E51" s="6">
        <f>IFERROR(__xludf.DUMMYFUNCTION("""COMPUTED_VALUE"""),562.66)</f>
        <v>562.66</v>
      </c>
      <c r="F51" s="6">
        <f>IFERROR(__xludf.DUMMYFUNCTION("""COMPUTED_VALUE"""),4464380.0)</f>
        <v>4464380</v>
      </c>
    </row>
    <row r="52">
      <c r="A52" s="7">
        <f>IFERROR(__xludf.DUMMYFUNCTION("""COMPUTED_VALUE"""),45541.64583333333)</f>
        <v>45541.64583</v>
      </c>
      <c r="B52" s="6">
        <f>IFERROR(__xludf.DUMMYFUNCTION("""COMPUTED_VALUE"""),571.9)</f>
        <v>571.9</v>
      </c>
      <c r="C52" s="6">
        <f>IFERROR(__xludf.DUMMYFUNCTION("""COMPUTED_VALUE"""),572.0)</f>
        <v>572</v>
      </c>
      <c r="D52" s="6">
        <f>IFERROR(__xludf.DUMMYFUNCTION("""COMPUTED_VALUE"""),546.57)</f>
        <v>546.57</v>
      </c>
      <c r="E52" s="6">
        <f>IFERROR(__xludf.DUMMYFUNCTION("""COMPUTED_VALUE"""),550.46)</f>
        <v>550.46</v>
      </c>
      <c r="F52" s="6">
        <f>IFERROR(__xludf.DUMMYFUNCTION("""COMPUTED_VALUE"""),3442780.0)</f>
        <v>3442780</v>
      </c>
    </row>
    <row r="53">
      <c r="A53" s="7">
        <f>IFERROR(__xludf.DUMMYFUNCTION("""COMPUTED_VALUE"""),45548.64583333333)</f>
        <v>45548.64583</v>
      </c>
      <c r="B53" s="6">
        <f>IFERROR(__xludf.DUMMYFUNCTION("""COMPUTED_VALUE"""),550.77)</f>
        <v>550.77</v>
      </c>
      <c r="C53" s="6">
        <f>IFERROR(__xludf.DUMMYFUNCTION("""COMPUTED_VALUE"""),568.72)</f>
        <v>568.72</v>
      </c>
      <c r="D53" s="6">
        <f>IFERROR(__xludf.DUMMYFUNCTION("""COMPUTED_VALUE"""),543.21)</f>
        <v>543.21</v>
      </c>
      <c r="E53" s="6">
        <f>IFERROR(__xludf.DUMMYFUNCTION("""COMPUTED_VALUE"""),565.73)</f>
        <v>565.73</v>
      </c>
      <c r="F53" s="6">
        <f>IFERROR(__xludf.DUMMYFUNCTION("""COMPUTED_VALUE"""),2246197.0)</f>
        <v>2246197</v>
      </c>
    </row>
    <row r="54">
      <c r="A54" s="7">
        <f>IFERROR(__xludf.DUMMYFUNCTION("""COMPUTED_VALUE"""),45555.64583333333)</f>
        <v>45555.64583</v>
      </c>
      <c r="B54" s="6">
        <f>IFERROR(__xludf.DUMMYFUNCTION("""COMPUTED_VALUE"""),568.16)</f>
        <v>568.16</v>
      </c>
      <c r="C54" s="6">
        <f>IFERROR(__xludf.DUMMYFUNCTION("""COMPUTED_VALUE"""),570.0)</f>
        <v>570</v>
      </c>
      <c r="D54" s="6">
        <f>IFERROR(__xludf.DUMMYFUNCTION("""COMPUTED_VALUE"""),545.62)</f>
        <v>545.62</v>
      </c>
      <c r="E54" s="6">
        <f>IFERROR(__xludf.DUMMYFUNCTION("""COMPUTED_VALUE"""),563.12)</f>
        <v>563.12</v>
      </c>
      <c r="F54" s="6">
        <f>IFERROR(__xludf.DUMMYFUNCTION("""COMPUTED_VALUE"""),3343883.0)</f>
        <v>3343883</v>
      </c>
    </row>
    <row r="55">
      <c r="A55" s="7">
        <f>IFERROR(__xludf.DUMMYFUNCTION("""COMPUTED_VALUE"""),45562.64583333333)</f>
        <v>45562.64583</v>
      </c>
      <c r="B55" s="6">
        <f>IFERROR(__xludf.DUMMYFUNCTION("""COMPUTED_VALUE"""),566.58)</f>
        <v>566.58</v>
      </c>
      <c r="C55" s="6">
        <f>IFERROR(__xludf.DUMMYFUNCTION("""COMPUTED_VALUE"""),591.6)</f>
        <v>591.6</v>
      </c>
      <c r="D55" s="6">
        <f>IFERROR(__xludf.DUMMYFUNCTION("""COMPUTED_VALUE"""),562.69)</f>
        <v>562.69</v>
      </c>
      <c r="E55" s="6">
        <f>IFERROR(__xludf.DUMMYFUNCTION("""COMPUTED_VALUE"""),589.94)</f>
        <v>589.94</v>
      </c>
      <c r="F55" s="6">
        <f>IFERROR(__xludf.DUMMYFUNCTION("""COMPUTED_VALUE"""),4982029.0)</f>
        <v>4982029</v>
      </c>
    </row>
    <row r="56">
      <c r="A56" s="7">
        <f>IFERROR(__xludf.DUMMYFUNCTION("""COMPUTED_VALUE"""),45569.64583333333)</f>
        <v>45569.64583</v>
      </c>
      <c r="B56" s="6">
        <f>IFERROR(__xludf.DUMMYFUNCTION("""COMPUTED_VALUE"""),589.48)</f>
        <v>589.48</v>
      </c>
      <c r="C56" s="6">
        <f>IFERROR(__xludf.DUMMYFUNCTION("""COMPUTED_VALUE"""),589.48)</f>
        <v>589.48</v>
      </c>
      <c r="D56" s="6">
        <f>IFERROR(__xludf.DUMMYFUNCTION("""COMPUTED_VALUE"""),531.6)</f>
        <v>531.6</v>
      </c>
      <c r="E56" s="6">
        <f>IFERROR(__xludf.DUMMYFUNCTION("""COMPUTED_VALUE"""),537.5)</f>
        <v>537.5</v>
      </c>
      <c r="F56" s="6">
        <f>IFERROR(__xludf.DUMMYFUNCTION("""COMPUTED_VALUE"""),4375015.0)</f>
        <v>4375015</v>
      </c>
    </row>
    <row r="57">
      <c r="A57" s="7">
        <f>IFERROR(__xludf.DUMMYFUNCTION("""COMPUTED_VALUE"""),45576.64583333333)</f>
        <v>45576.64583</v>
      </c>
      <c r="B57" s="6">
        <f>IFERROR(__xludf.DUMMYFUNCTION("""COMPUTED_VALUE"""),537.6)</f>
        <v>537.6</v>
      </c>
      <c r="C57" s="6">
        <f>IFERROR(__xludf.DUMMYFUNCTION("""COMPUTED_VALUE"""),565.6)</f>
        <v>565.6</v>
      </c>
      <c r="D57" s="6">
        <f>IFERROR(__xludf.DUMMYFUNCTION("""COMPUTED_VALUE"""),524.23)</f>
        <v>524.23</v>
      </c>
      <c r="E57" s="6">
        <f>IFERROR(__xludf.DUMMYFUNCTION("""COMPUTED_VALUE"""),558.87)</f>
        <v>558.87</v>
      </c>
      <c r="F57" s="6">
        <f>IFERROR(__xludf.DUMMYFUNCTION("""COMPUTED_VALUE"""),3427621.0)</f>
        <v>3427621</v>
      </c>
    </row>
    <row r="58">
      <c r="A58" s="7">
        <f>IFERROR(__xludf.DUMMYFUNCTION("""COMPUTED_VALUE"""),45583.64583333333)</f>
        <v>45583.64583</v>
      </c>
      <c r="B58" s="6">
        <f>IFERROR(__xludf.DUMMYFUNCTION("""COMPUTED_VALUE"""),558.86)</f>
        <v>558.86</v>
      </c>
      <c r="C58" s="6">
        <f>IFERROR(__xludf.DUMMYFUNCTION("""COMPUTED_VALUE"""),569.6)</f>
        <v>569.6</v>
      </c>
      <c r="D58" s="6">
        <f>IFERROR(__xludf.DUMMYFUNCTION("""COMPUTED_VALUE"""),518.92)</f>
        <v>518.92</v>
      </c>
      <c r="E58" s="6">
        <f>IFERROR(__xludf.DUMMYFUNCTION("""COMPUTED_VALUE"""),543.18)</f>
        <v>543.18</v>
      </c>
      <c r="F58" s="6">
        <f>IFERROR(__xludf.DUMMYFUNCTION("""COMPUTED_VALUE"""),4837507.0)</f>
        <v>4837507</v>
      </c>
    </row>
    <row r="59">
      <c r="A59" s="7">
        <f>IFERROR(__xludf.DUMMYFUNCTION("""COMPUTED_VALUE"""),45590.64583333333)</f>
        <v>45590.64583</v>
      </c>
      <c r="B59" s="6">
        <f>IFERROR(__xludf.DUMMYFUNCTION("""COMPUTED_VALUE"""),543.07)</f>
        <v>543.07</v>
      </c>
      <c r="C59" s="6">
        <f>IFERROR(__xludf.DUMMYFUNCTION("""COMPUTED_VALUE"""),554.38)</f>
        <v>554.38</v>
      </c>
      <c r="D59" s="6">
        <f>IFERROR(__xludf.DUMMYFUNCTION("""COMPUTED_VALUE"""),475.0)</f>
        <v>475</v>
      </c>
      <c r="E59" s="6">
        <f>IFERROR(__xludf.DUMMYFUNCTION("""COMPUTED_VALUE"""),489.96)</f>
        <v>489.96</v>
      </c>
      <c r="F59" s="6">
        <f>IFERROR(__xludf.DUMMYFUNCTION("""COMPUTED_VALUE"""),8278554.0)</f>
        <v>8278554</v>
      </c>
    </row>
    <row r="60">
      <c r="A60" s="7">
        <f>IFERROR(__xludf.DUMMYFUNCTION("""COMPUTED_VALUE"""),45604.64583333333)</f>
        <v>45604.64583</v>
      </c>
      <c r="B60" s="6">
        <f>IFERROR(__xludf.DUMMYFUNCTION("""COMPUTED_VALUE"""),504.77)</f>
        <v>504.77</v>
      </c>
      <c r="C60" s="6">
        <f>IFERROR(__xludf.DUMMYFUNCTION("""COMPUTED_VALUE"""),504.77)</f>
        <v>504.77</v>
      </c>
      <c r="D60" s="6">
        <f>IFERROR(__xludf.DUMMYFUNCTION("""COMPUTED_VALUE"""),479.0)</f>
        <v>479</v>
      </c>
      <c r="E60" s="6">
        <f>IFERROR(__xludf.DUMMYFUNCTION("""COMPUTED_VALUE"""),493.58)</f>
        <v>493.58</v>
      </c>
      <c r="F60" s="6">
        <f>IFERROR(__xludf.DUMMYFUNCTION("""COMPUTED_VALUE"""),2750376.0)</f>
        <v>2750376</v>
      </c>
    </row>
    <row r="61">
      <c r="A61" s="7">
        <f>IFERROR(__xludf.DUMMYFUNCTION("""COMPUTED_VALUE"""),45610.64583333333)</f>
        <v>45610.64583</v>
      </c>
      <c r="B61" s="6">
        <f>IFERROR(__xludf.DUMMYFUNCTION("""COMPUTED_VALUE"""),491.0)</f>
        <v>491</v>
      </c>
      <c r="C61" s="6">
        <f>IFERROR(__xludf.DUMMYFUNCTION("""COMPUTED_VALUE"""),498.72)</f>
        <v>498.72</v>
      </c>
      <c r="D61" s="6">
        <f>IFERROR(__xludf.DUMMYFUNCTION("""COMPUTED_VALUE"""),471.39)</f>
        <v>471.39</v>
      </c>
      <c r="E61" s="6">
        <f>IFERROR(__xludf.DUMMYFUNCTION("""COMPUTED_VALUE"""),479.23)</f>
        <v>479.23</v>
      </c>
      <c r="F61" s="6">
        <f>IFERROR(__xludf.DUMMYFUNCTION("""COMPUTED_VALUE"""),2259510.0)</f>
        <v>2259510</v>
      </c>
    </row>
    <row r="62">
      <c r="A62" s="7">
        <f>IFERROR(__xludf.DUMMYFUNCTION("""COMPUTED_VALUE"""),45618.64583333333)</f>
        <v>45618.64583</v>
      </c>
      <c r="B62" s="6">
        <f>IFERROR(__xludf.DUMMYFUNCTION("""COMPUTED_VALUE"""),481.8)</f>
        <v>481.8</v>
      </c>
      <c r="C62" s="6">
        <f>IFERROR(__xludf.DUMMYFUNCTION("""COMPUTED_VALUE"""),493.98)</f>
        <v>493.98</v>
      </c>
      <c r="D62" s="6">
        <f>IFERROR(__xludf.DUMMYFUNCTION("""COMPUTED_VALUE"""),472.2)</f>
        <v>472.2</v>
      </c>
      <c r="E62" s="6">
        <f>IFERROR(__xludf.DUMMYFUNCTION("""COMPUTED_VALUE"""),482.85)</f>
        <v>482.85</v>
      </c>
      <c r="F62" s="6">
        <f>IFERROR(__xludf.DUMMYFUNCTION("""COMPUTED_VALUE"""),1727900.0)</f>
        <v>1727900</v>
      </c>
    </row>
    <row r="63">
      <c r="A63" s="7">
        <f>IFERROR(__xludf.DUMMYFUNCTION("""COMPUTED_VALUE"""),45625.64583333333)</f>
        <v>45625.64583</v>
      </c>
      <c r="B63" s="6">
        <f>IFERROR(__xludf.DUMMYFUNCTION("""COMPUTED_VALUE"""),493.0)</f>
        <v>493</v>
      </c>
      <c r="C63" s="6">
        <f>IFERROR(__xludf.DUMMYFUNCTION("""COMPUTED_VALUE"""),497.77)</f>
        <v>497.77</v>
      </c>
      <c r="D63" s="6">
        <f>IFERROR(__xludf.DUMMYFUNCTION("""COMPUTED_VALUE"""),479.38)</f>
        <v>479.38</v>
      </c>
      <c r="E63" s="6">
        <f>IFERROR(__xludf.DUMMYFUNCTION("""COMPUTED_VALUE"""),486.89)</f>
        <v>486.89</v>
      </c>
      <c r="F63" s="6">
        <f>IFERROR(__xludf.DUMMYFUNCTION("""COMPUTED_VALUE"""),3755200.0)</f>
        <v>3755200</v>
      </c>
    </row>
    <row r="64">
      <c r="A64" s="7">
        <f>IFERROR(__xludf.DUMMYFUNCTION("""COMPUTED_VALUE"""),45632.64583333333)</f>
        <v>45632.64583</v>
      </c>
      <c r="B64" s="6">
        <f>IFERROR(__xludf.DUMMYFUNCTION("""COMPUTED_VALUE"""),491.41)</f>
        <v>491.41</v>
      </c>
      <c r="C64" s="6">
        <f>IFERROR(__xludf.DUMMYFUNCTION("""COMPUTED_VALUE"""),514.56)</f>
        <v>514.56</v>
      </c>
      <c r="D64" s="6">
        <f>IFERROR(__xludf.DUMMYFUNCTION("""COMPUTED_VALUE"""),490.2)</f>
        <v>490.2</v>
      </c>
      <c r="E64" s="6">
        <f>IFERROR(__xludf.DUMMYFUNCTION("""COMPUTED_VALUE"""),504.31)</f>
        <v>504.31</v>
      </c>
      <c r="F64" s="6">
        <f>IFERROR(__xludf.DUMMYFUNCTION("""COMPUTED_VALUE"""),3802767.0)</f>
        <v>3802767</v>
      </c>
    </row>
    <row r="65">
      <c r="A65" s="7">
        <f>IFERROR(__xludf.DUMMYFUNCTION("""COMPUTED_VALUE"""),45639.64583333333)</f>
        <v>45639.64583</v>
      </c>
      <c r="B65" s="6">
        <f>IFERROR(__xludf.DUMMYFUNCTION("""COMPUTED_VALUE"""),505.49)</f>
        <v>505.49</v>
      </c>
      <c r="C65" s="6">
        <f>IFERROR(__xludf.DUMMYFUNCTION("""COMPUTED_VALUE"""),508.69)</f>
        <v>508.69</v>
      </c>
      <c r="D65" s="6">
        <f>IFERROR(__xludf.DUMMYFUNCTION("""COMPUTED_VALUE"""),493.0)</f>
        <v>493</v>
      </c>
      <c r="E65" s="6">
        <f>IFERROR(__xludf.DUMMYFUNCTION("""COMPUTED_VALUE"""),504.38)</f>
        <v>504.38</v>
      </c>
      <c r="F65" s="6">
        <f>IFERROR(__xludf.DUMMYFUNCTION("""COMPUTED_VALUE"""),1856909.0)</f>
        <v>1856909</v>
      </c>
    </row>
    <row r="66">
      <c r="A66" s="7">
        <f>IFERROR(__xludf.DUMMYFUNCTION("""COMPUTED_VALUE"""),45646.64583333333)</f>
        <v>45646.64583</v>
      </c>
      <c r="B66" s="6">
        <f>IFERROR(__xludf.DUMMYFUNCTION("""COMPUTED_VALUE"""),504.38)</f>
        <v>504.38</v>
      </c>
      <c r="C66" s="6">
        <f>IFERROR(__xludf.DUMMYFUNCTION("""COMPUTED_VALUE"""),509.42)</f>
        <v>509.42</v>
      </c>
      <c r="D66" s="6">
        <f>IFERROR(__xludf.DUMMYFUNCTION("""COMPUTED_VALUE"""),476.35)</f>
        <v>476.35</v>
      </c>
      <c r="E66" s="6">
        <f>IFERROR(__xludf.DUMMYFUNCTION("""COMPUTED_VALUE"""),478.33)</f>
        <v>478.33</v>
      </c>
      <c r="F66" s="6">
        <f>IFERROR(__xludf.DUMMYFUNCTION("""COMPUTED_VALUE"""),3115325.0)</f>
        <v>3115325</v>
      </c>
    </row>
    <row r="67">
      <c r="A67" s="7">
        <f>IFERROR(__xludf.DUMMYFUNCTION("""COMPUTED_VALUE"""),45653.64583333333)</f>
        <v>45653.64583</v>
      </c>
      <c r="B67" s="6">
        <f>IFERROR(__xludf.DUMMYFUNCTION("""COMPUTED_VALUE"""),479.09)</f>
        <v>479.09</v>
      </c>
      <c r="C67" s="6">
        <f>IFERROR(__xludf.DUMMYFUNCTION("""COMPUTED_VALUE"""),497.96)</f>
        <v>497.96</v>
      </c>
      <c r="D67" s="6">
        <f>IFERROR(__xludf.DUMMYFUNCTION("""COMPUTED_VALUE"""),474.51)</f>
        <v>474.51</v>
      </c>
      <c r="E67" s="6">
        <f>IFERROR(__xludf.DUMMYFUNCTION("""COMPUTED_VALUE"""),484.09)</f>
        <v>484.09</v>
      </c>
      <c r="F67" s="6">
        <f>IFERROR(__xludf.DUMMYFUNCTION("""COMPUTED_VALUE"""),1843315.0)</f>
        <v>1843315</v>
      </c>
    </row>
    <row r="68">
      <c r="A68" s="7">
        <f>IFERROR(__xludf.DUMMYFUNCTION("""COMPUTED_VALUE"""),45660.64583333333)</f>
        <v>45660.64583</v>
      </c>
      <c r="B68" s="6">
        <f>IFERROR(__xludf.DUMMYFUNCTION("""COMPUTED_VALUE"""),483.76)</f>
        <v>483.76</v>
      </c>
      <c r="C68" s="6">
        <f>IFERROR(__xludf.DUMMYFUNCTION("""COMPUTED_VALUE"""),502.8)</f>
        <v>502.8</v>
      </c>
      <c r="D68" s="6">
        <f>IFERROR(__xludf.DUMMYFUNCTION("""COMPUTED_VALUE"""),466.69)</f>
        <v>466.69</v>
      </c>
      <c r="E68" s="6">
        <f>IFERROR(__xludf.DUMMYFUNCTION("""COMPUTED_VALUE"""),496.59)</f>
        <v>496.59</v>
      </c>
      <c r="F68" s="6">
        <f>IFERROR(__xludf.DUMMYFUNCTION("""COMPUTED_VALUE"""),5541250.0)</f>
        <v>5541250</v>
      </c>
    </row>
    <row r="69">
      <c r="A69" s="7">
        <f>IFERROR(__xludf.DUMMYFUNCTION("""COMPUTED_VALUE"""),45667.64583333333)</f>
        <v>45667.64583</v>
      </c>
      <c r="B69" s="6">
        <f>IFERROR(__xludf.DUMMYFUNCTION("""COMPUTED_VALUE"""),497.6)</f>
        <v>497.6</v>
      </c>
      <c r="C69" s="6">
        <f>IFERROR(__xludf.DUMMYFUNCTION("""COMPUTED_VALUE"""),499.0)</f>
        <v>499</v>
      </c>
      <c r="D69" s="6">
        <f>IFERROR(__xludf.DUMMYFUNCTION("""COMPUTED_VALUE"""),454.53)</f>
        <v>454.53</v>
      </c>
      <c r="E69" s="6">
        <f>IFERROR(__xludf.DUMMYFUNCTION("""COMPUTED_VALUE"""),456.65)</f>
        <v>456.65</v>
      </c>
      <c r="F69" s="6">
        <f>IFERROR(__xludf.DUMMYFUNCTION("""COMPUTED_VALUE"""),3394746.0)</f>
        <v>3394746</v>
      </c>
    </row>
    <row r="70">
      <c r="A70" s="7">
        <f>IFERROR(__xludf.DUMMYFUNCTION("""COMPUTED_VALUE"""),45674.64583333333)</f>
        <v>45674.64583</v>
      </c>
      <c r="B70" s="6">
        <f>IFERROR(__xludf.DUMMYFUNCTION("""COMPUTED_VALUE"""),455.42)</f>
        <v>455.42</v>
      </c>
      <c r="C70" s="6">
        <f>IFERROR(__xludf.DUMMYFUNCTION("""COMPUTED_VALUE"""),461.43)</f>
        <v>461.43</v>
      </c>
      <c r="D70" s="6">
        <f>IFERROR(__xludf.DUMMYFUNCTION("""COMPUTED_VALUE"""),434.28)</f>
        <v>434.28</v>
      </c>
      <c r="E70" s="6">
        <f>IFERROR(__xludf.DUMMYFUNCTION("""COMPUTED_VALUE"""),460.25)</f>
        <v>460.25</v>
      </c>
      <c r="F70" s="6">
        <f>IFERROR(__xludf.DUMMYFUNCTION("""COMPUTED_VALUE"""),3885967.0)</f>
        <v>3885967</v>
      </c>
    </row>
    <row r="71">
      <c r="A71" s="7">
        <f>IFERROR(__xludf.DUMMYFUNCTION("""COMPUTED_VALUE"""),45681.64583333333)</f>
        <v>45681.64583</v>
      </c>
      <c r="B71" s="6">
        <f>IFERROR(__xludf.DUMMYFUNCTION("""COMPUTED_VALUE"""),462.8)</f>
        <v>462.8</v>
      </c>
      <c r="C71" s="6">
        <f>IFERROR(__xludf.DUMMYFUNCTION("""COMPUTED_VALUE"""),465.3)</f>
        <v>465.3</v>
      </c>
      <c r="D71" s="6">
        <f>IFERROR(__xludf.DUMMYFUNCTION("""COMPUTED_VALUE"""),448.82)</f>
        <v>448.82</v>
      </c>
      <c r="E71" s="6">
        <f>IFERROR(__xludf.DUMMYFUNCTION("""COMPUTED_VALUE"""),454.14)</f>
        <v>454.14</v>
      </c>
      <c r="F71" s="6">
        <f>IFERROR(__xludf.DUMMYFUNCTION("""COMPUTED_VALUE"""),2884612.0)</f>
        <v>2884612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IFERROR(__xludf.DUMMYFUNCTION("""COMPUTED_VALUE"""),509.98)</f>
        <v>509.98</v>
      </c>
      <c r="C72" s="6">
        <f>IFERROR(__xludf.DUMMYFUNCTION("""COMPUTED_VALUE"""),544.0)</f>
        <v>544</v>
      </c>
      <c r="D72" s="6">
        <f>IFERROR(__xludf.DUMMYFUNCTION("""COMPUTED_VALUE"""),505.53)</f>
        <v>505.53</v>
      </c>
      <c r="E72" s="6">
        <f>IFERROR(__xludf.DUMMYFUNCTION("""COMPUTED_VALUE"""),521.13)</f>
        <v>521.13</v>
      </c>
      <c r="F72" s="6">
        <f>IFERROR(__xludf.DUMMYFUNCTION("""COMPUTED_VALUE"""),5905303.0)</f>
        <v>5905303</v>
      </c>
    </row>
    <row r="73">
      <c r="A73" s="7">
        <f>IFERROR(__xludf.DUMMYFUNCTION("""COMPUTED_VALUE"""),45702.64583333333)</f>
        <v>45702.64583</v>
      </c>
      <c r="B73" s="6">
        <f>IFERROR(__xludf.DUMMYFUNCTION("""COMPUTED_VALUE"""),523.2)</f>
        <v>523.2</v>
      </c>
      <c r="C73" s="6">
        <f>IFERROR(__xludf.DUMMYFUNCTION("""COMPUTED_VALUE"""),530.0)</f>
        <v>530</v>
      </c>
      <c r="D73" s="6">
        <f>IFERROR(__xludf.DUMMYFUNCTION("""COMPUTED_VALUE"""),473.7)</f>
        <v>473.7</v>
      </c>
      <c r="E73" s="6">
        <f>IFERROR(__xludf.DUMMYFUNCTION("""COMPUTED_VALUE"""),480.28)</f>
        <v>480.28</v>
      </c>
      <c r="F73" s="6">
        <f>IFERROR(__xludf.DUMMYFUNCTION("""COMPUTED_VALUE"""),2214178.0)</f>
        <v>2214178</v>
      </c>
    </row>
    <row r="74">
      <c r="A74" s="7">
        <f>IFERROR(__xludf.DUMMYFUNCTION("""COMPUTED_VALUE"""),45709.64583333333)</f>
        <v>45709.64583</v>
      </c>
      <c r="B74" s="6">
        <f>IFERROR(__xludf.DUMMYFUNCTION("""COMPUTED_VALUE"""),480.28)</f>
        <v>480.28</v>
      </c>
      <c r="C74" s="6">
        <f>IFERROR(__xludf.DUMMYFUNCTION("""COMPUTED_VALUE"""),485.0)</f>
        <v>485</v>
      </c>
      <c r="D74" s="6">
        <f>IFERROR(__xludf.DUMMYFUNCTION("""COMPUTED_VALUE"""),460.51)</f>
        <v>460.51</v>
      </c>
      <c r="E74" s="6">
        <f>IFERROR(__xludf.DUMMYFUNCTION("""COMPUTED_VALUE"""),464.99)</f>
        <v>464.99</v>
      </c>
      <c r="F74" s="6">
        <f>IFERROR(__xludf.DUMMYFUNCTION("""COMPUTED_VALUE"""),3635794.0)</f>
        <v>3635794</v>
      </c>
    </row>
    <row r="75">
      <c r="A75" s="7">
        <f>IFERROR(__xludf.DUMMYFUNCTION("""COMPUTED_VALUE"""),45716.64583333333)</f>
        <v>45716.64583</v>
      </c>
      <c r="B75" s="6">
        <f>IFERROR(__xludf.DUMMYFUNCTION("""COMPUTED_VALUE"""),461.91)</f>
        <v>461.91</v>
      </c>
      <c r="C75" s="6">
        <f>IFERROR(__xludf.DUMMYFUNCTION("""COMPUTED_VALUE"""),479.2)</f>
        <v>479.2</v>
      </c>
      <c r="D75" s="6">
        <f>IFERROR(__xludf.DUMMYFUNCTION("""COMPUTED_VALUE"""),438.55)</f>
        <v>438.55</v>
      </c>
      <c r="E75" s="6">
        <f>IFERROR(__xludf.DUMMYFUNCTION("""COMPUTED_VALUE"""),445.1)</f>
        <v>445.1</v>
      </c>
      <c r="F75" s="6">
        <f>IFERROR(__xludf.DUMMYFUNCTION("""COMPUTED_VALUE"""),2919619.0)</f>
        <v>2919619</v>
      </c>
    </row>
    <row r="76">
      <c r="A76" s="7">
        <f>IFERROR(__xludf.DUMMYFUNCTION("""COMPUTED_VALUE"""),45723.64583333333)</f>
        <v>45723.64583</v>
      </c>
      <c r="B76" s="6">
        <f>IFERROR(__xludf.DUMMYFUNCTION("""COMPUTED_VALUE"""),453.79)</f>
        <v>453.79</v>
      </c>
      <c r="C76" s="6">
        <f>IFERROR(__xludf.DUMMYFUNCTION("""COMPUTED_VALUE"""),471.82)</f>
        <v>471.82</v>
      </c>
      <c r="D76" s="6">
        <f>IFERROR(__xludf.DUMMYFUNCTION("""COMPUTED_VALUE"""),449.62)</f>
        <v>449.62</v>
      </c>
      <c r="E76" s="6">
        <f>IFERROR(__xludf.DUMMYFUNCTION("""COMPUTED_VALUE"""),466.58)</f>
        <v>466.58</v>
      </c>
      <c r="F76" s="6">
        <f>IFERROR(__xludf.DUMMYFUNCTION("""COMPUTED_VALUE"""),4557096.0)</f>
        <v>4557096</v>
      </c>
    </row>
    <row r="77">
      <c r="A77" s="7">
        <f>IFERROR(__xludf.DUMMYFUNCTION("""COMPUTED_VALUE"""),45729.64583333333)</f>
        <v>45729.64583</v>
      </c>
      <c r="B77" s="6">
        <f>IFERROR(__xludf.DUMMYFUNCTION("""COMPUTED_VALUE"""),466.58)</f>
        <v>466.58</v>
      </c>
      <c r="C77" s="6">
        <f>IFERROR(__xludf.DUMMYFUNCTION("""COMPUTED_VALUE"""),468.28)</f>
        <v>468.28</v>
      </c>
      <c r="D77" s="6">
        <f>IFERROR(__xludf.DUMMYFUNCTION("""COMPUTED_VALUE"""),443.76)</f>
        <v>443.76</v>
      </c>
      <c r="E77" s="6">
        <f>IFERROR(__xludf.DUMMYFUNCTION("""COMPUTED_VALUE"""),450.18)</f>
        <v>450.18</v>
      </c>
      <c r="F77" s="6">
        <f>IFERROR(__xludf.DUMMYFUNCTION("""COMPUTED_VALUE"""),1988181.0)</f>
        <v>1988181</v>
      </c>
    </row>
    <row r="78">
      <c r="A78" s="7">
        <f>IFERROR(__xludf.DUMMYFUNCTION("""COMPUTED_VALUE"""),45737.64583333333)</f>
        <v>45737.64583</v>
      </c>
      <c r="B78" s="6">
        <f>IFERROR(__xludf.DUMMYFUNCTION("""COMPUTED_VALUE"""),451.71)</f>
        <v>451.71</v>
      </c>
      <c r="C78" s="6">
        <f>IFERROR(__xludf.DUMMYFUNCTION("""COMPUTED_VALUE"""),490.0)</f>
        <v>490</v>
      </c>
      <c r="D78" s="6">
        <f>IFERROR(__xludf.DUMMYFUNCTION("""COMPUTED_VALUE"""),451.21)</f>
        <v>451.21</v>
      </c>
      <c r="E78" s="6">
        <f>IFERROR(__xludf.DUMMYFUNCTION("""COMPUTED_VALUE"""),482.77)</f>
        <v>482.77</v>
      </c>
      <c r="F78" s="6">
        <f>IFERROR(__xludf.DUMMYFUNCTION("""COMPUTED_VALUE"""),4520644.0)</f>
        <v>4520644</v>
      </c>
    </row>
    <row r="79">
      <c r="A79" s="7">
        <f>IFERROR(__xludf.DUMMYFUNCTION("""COMPUTED_VALUE"""),45744.64583333333)</f>
        <v>45744.64583</v>
      </c>
      <c r="B79" s="6">
        <f>IFERROR(__xludf.DUMMYFUNCTION("""COMPUTED_VALUE"""),486.8)</f>
        <v>486.8</v>
      </c>
      <c r="C79" s="6">
        <f>IFERROR(__xludf.DUMMYFUNCTION("""COMPUTED_VALUE"""),493.6)</f>
        <v>493.6</v>
      </c>
      <c r="D79" s="6">
        <f>IFERROR(__xludf.DUMMYFUNCTION("""COMPUTED_VALUE"""),474.0)</f>
        <v>474</v>
      </c>
      <c r="E79" s="6">
        <f>IFERROR(__xludf.DUMMYFUNCTION("""COMPUTED_VALUE"""),483.97)</f>
        <v>483.97</v>
      </c>
      <c r="F79" s="6">
        <f>IFERROR(__xludf.DUMMYFUNCTION("""COMPUTED_VALUE"""),3202026.0)</f>
        <v>3202026</v>
      </c>
    </row>
    <row r="80">
      <c r="A80" s="7">
        <f>IFERROR(__xludf.DUMMYFUNCTION("""COMPUTED_VALUE"""),45751.64583333333)</f>
        <v>45751.64583</v>
      </c>
      <c r="B80" s="6">
        <f>IFERROR(__xludf.DUMMYFUNCTION("""COMPUTED_VALUE"""),485.0)</f>
        <v>485</v>
      </c>
      <c r="C80" s="6">
        <f>IFERROR(__xludf.DUMMYFUNCTION("""COMPUTED_VALUE"""),510.19)</f>
        <v>510.19</v>
      </c>
      <c r="D80" s="6">
        <f>IFERROR(__xludf.DUMMYFUNCTION("""COMPUTED_VALUE"""),478.58)</f>
        <v>478.58</v>
      </c>
      <c r="E80" s="6">
        <f>IFERROR(__xludf.DUMMYFUNCTION("""COMPUTED_VALUE"""),492.99)</f>
        <v>492.99</v>
      </c>
      <c r="F80" s="6">
        <f>IFERROR(__xludf.DUMMYFUNCTION("""COMPUTED_VALUE"""),2392724.0)</f>
        <v>2392724</v>
      </c>
    </row>
    <row r="81">
      <c r="A81" s="7">
        <f>IFERROR(__xludf.DUMMYFUNCTION("""COMPUTED_VALUE"""),45758.64583333333)</f>
        <v>45758.64583</v>
      </c>
      <c r="B81" s="6">
        <f>IFERROR(__xludf.DUMMYFUNCTION("""COMPUTED_VALUE"""),449.05)</f>
        <v>449.05</v>
      </c>
      <c r="C81" s="6">
        <f>IFERROR(__xludf.DUMMYFUNCTION("""COMPUTED_VALUE"""),506.0)</f>
        <v>506</v>
      </c>
      <c r="D81" s="6">
        <f>IFERROR(__xludf.DUMMYFUNCTION("""COMPUTED_VALUE"""),444.22)</f>
        <v>444.22</v>
      </c>
      <c r="E81" s="6">
        <f>IFERROR(__xludf.DUMMYFUNCTION("""COMPUTED_VALUE"""),502.66)</f>
        <v>502.66</v>
      </c>
      <c r="F81" s="6">
        <f>IFERROR(__xludf.DUMMYFUNCTION("""COMPUTED_VALUE"""),3554863.0)</f>
        <v>3554863</v>
      </c>
    </row>
    <row r="82">
      <c r="A82" s="7">
        <f>IFERROR(__xludf.DUMMYFUNCTION("""COMPUTED_VALUE"""),45764.64583333333)</f>
        <v>45764.64583</v>
      </c>
      <c r="B82" s="6">
        <f>IFERROR(__xludf.DUMMYFUNCTION("""COMPUTED_VALUE"""),517.2)</f>
        <v>517.2</v>
      </c>
      <c r="C82" s="6">
        <f>IFERROR(__xludf.DUMMYFUNCTION("""COMPUTED_VALUE"""),538.0)</f>
        <v>538</v>
      </c>
      <c r="D82" s="6">
        <f>IFERROR(__xludf.DUMMYFUNCTION("""COMPUTED_VALUE"""),509.16)</f>
        <v>509.16</v>
      </c>
      <c r="E82" s="6">
        <f>IFERROR(__xludf.DUMMYFUNCTION("""COMPUTED_VALUE"""),535.86)</f>
        <v>535.86</v>
      </c>
      <c r="F82" s="6">
        <f>IFERROR(__xludf.DUMMYFUNCTION("""COMPUTED_VALUE"""),2528883.0)</f>
        <v>2528883</v>
      </c>
    </row>
    <row r="83">
      <c r="A83" s="7">
        <f>IFERROR(__xludf.DUMMYFUNCTION("""COMPUTED_VALUE"""),45772.64583333333)</f>
        <v>45772.64583</v>
      </c>
      <c r="B83" s="6">
        <f>IFERROR(__xludf.DUMMYFUNCTION("""COMPUTED_VALUE"""),539.0)</f>
        <v>539</v>
      </c>
      <c r="C83" s="6">
        <f>IFERROR(__xludf.DUMMYFUNCTION("""COMPUTED_VALUE"""),564.0)</f>
        <v>564</v>
      </c>
      <c r="D83" s="6">
        <f>IFERROR(__xludf.DUMMYFUNCTION("""COMPUTED_VALUE"""),533.64)</f>
        <v>533.64</v>
      </c>
      <c r="E83" s="6">
        <f>IFERROR(__xludf.DUMMYFUNCTION("""COMPUTED_VALUE"""),547.58)</f>
        <v>547.58</v>
      </c>
      <c r="F83" s="6">
        <f>IFERROR(__xludf.DUMMYFUNCTION("""COMPUTED_VALUE"""),3366905.0)</f>
        <v>3366905</v>
      </c>
    </row>
    <row r="84">
      <c r="A84" s="7">
        <f>IFERROR(__xludf.DUMMYFUNCTION("""COMPUTED_VALUE"""),45779.64583333333)</f>
        <v>45779.64583</v>
      </c>
      <c r="B84" s="6">
        <f>IFERROR(__xludf.DUMMYFUNCTION("""COMPUTED_VALUE"""),549.0)</f>
        <v>549</v>
      </c>
      <c r="C84" s="6">
        <f>IFERROR(__xludf.DUMMYFUNCTION("""COMPUTED_VALUE"""),569.78)</f>
        <v>569.78</v>
      </c>
      <c r="D84" s="6">
        <f>IFERROR(__xludf.DUMMYFUNCTION("""COMPUTED_VALUE"""),531.0)</f>
        <v>531</v>
      </c>
      <c r="E84" s="6">
        <f>IFERROR(__xludf.DUMMYFUNCTION("""COMPUTED_VALUE"""),542.76)</f>
        <v>542.76</v>
      </c>
      <c r="F84" s="6">
        <f>IFERROR(__xludf.DUMMYFUNCTION("""COMPUTED_VALUE"""),6771425.0)</f>
        <v>6771425</v>
      </c>
    </row>
    <row r="85">
      <c r="A85" s="7">
        <f>IFERROR(__xludf.DUMMYFUNCTION("""COMPUTED_VALUE"""),45786.64583333333)</f>
        <v>45786.64583</v>
      </c>
      <c r="B85" s="6">
        <f>IFERROR(__xludf.DUMMYFUNCTION("""COMPUTED_VALUE"""),546.36)</f>
        <v>546.36</v>
      </c>
      <c r="C85" s="6">
        <f>IFERROR(__xludf.DUMMYFUNCTION("""COMPUTED_VALUE"""),565.98)</f>
        <v>565.98</v>
      </c>
      <c r="D85" s="6">
        <f>IFERROR(__xludf.DUMMYFUNCTION("""COMPUTED_VALUE"""),528.0)</f>
        <v>528</v>
      </c>
      <c r="E85" s="6">
        <f>IFERROR(__xludf.DUMMYFUNCTION("""COMPUTED_VALUE"""),532.74)</f>
        <v>532.74</v>
      </c>
      <c r="F85" s="6">
        <f>IFERROR(__xludf.DUMMYFUNCTION("""COMPUTED_VALUE"""),4427206.0)</f>
        <v>4427206</v>
      </c>
    </row>
    <row r="86">
      <c r="A86" s="7">
        <f>IFERROR(__xludf.DUMMYFUNCTION("""COMPUTED_VALUE"""),45793.64583333333)</f>
        <v>45793.64583</v>
      </c>
      <c r="B86" s="6">
        <f>IFERROR(__xludf.DUMMYFUNCTION("""COMPUTED_VALUE"""),545.0)</f>
        <v>545</v>
      </c>
      <c r="C86" s="6">
        <f>IFERROR(__xludf.DUMMYFUNCTION("""COMPUTED_VALUE"""),570.78)</f>
        <v>570.78</v>
      </c>
      <c r="D86" s="6">
        <f>IFERROR(__xludf.DUMMYFUNCTION("""COMPUTED_VALUE"""),537.8)</f>
        <v>537.8</v>
      </c>
      <c r="E86" s="6">
        <f>IFERROR(__xludf.DUMMYFUNCTION("""COMPUTED_VALUE"""),568.3)</f>
        <v>568.3</v>
      </c>
      <c r="F86" s="6">
        <f>IFERROR(__xludf.DUMMYFUNCTION("""COMPUTED_VALUE"""),3918783.0)</f>
        <v>3918783</v>
      </c>
    </row>
    <row r="87">
      <c r="A87" s="7">
        <f>IFERROR(__xludf.DUMMYFUNCTION("""COMPUTED_VALUE"""),45800.64583333333)</f>
        <v>45800.64583</v>
      </c>
      <c r="B87" s="6">
        <f>IFERROR(__xludf.DUMMYFUNCTION("""COMPUTED_VALUE"""),570.9)</f>
        <v>570.9</v>
      </c>
      <c r="C87" s="6">
        <f>IFERROR(__xludf.DUMMYFUNCTION("""COMPUTED_VALUE"""),575.78)</f>
        <v>575.78</v>
      </c>
      <c r="D87" s="6">
        <f>IFERROR(__xludf.DUMMYFUNCTION("""COMPUTED_VALUE"""),543.4)</f>
        <v>543.4</v>
      </c>
      <c r="E87" s="6">
        <f>IFERROR(__xludf.DUMMYFUNCTION("""COMPUTED_VALUE"""),556.12)</f>
        <v>556.12</v>
      </c>
      <c r="F87" s="6">
        <f>IFERROR(__xludf.DUMMYFUNCTION("""COMPUTED_VALUE"""),3331591.0)</f>
        <v>3331591</v>
      </c>
    </row>
    <row r="88">
      <c r="A88" s="7">
        <f>IFERROR(__xludf.DUMMYFUNCTION("""COMPUTED_VALUE"""),45807.64583333333)</f>
        <v>45807.64583</v>
      </c>
      <c r="B88" s="6">
        <f>IFERROR(__xludf.DUMMYFUNCTION("""COMPUTED_VALUE"""),558.8)</f>
        <v>558.8</v>
      </c>
      <c r="C88" s="6">
        <f>IFERROR(__xludf.DUMMYFUNCTION("""COMPUTED_VALUE"""),566.58)</f>
        <v>566.58</v>
      </c>
      <c r="D88" s="6">
        <f>IFERROR(__xludf.DUMMYFUNCTION("""COMPUTED_VALUE"""),546.62)</f>
        <v>546.62</v>
      </c>
      <c r="E88" s="6">
        <f>IFERROR(__xludf.DUMMYFUNCTION("""COMPUTED_VALUE"""),556.16)</f>
        <v>556.16</v>
      </c>
      <c r="F88" s="6">
        <f>IFERROR(__xludf.DUMMYFUNCTION("""COMPUTED_VALUE"""),3884557.0)</f>
        <v>3884557</v>
      </c>
    </row>
    <row r="89">
      <c r="A89" s="7">
        <f>IFERROR(__xludf.DUMMYFUNCTION("""COMPUTED_VALUE"""),45814.64583333333)</f>
        <v>45814.64583</v>
      </c>
      <c r="B89" s="6">
        <f>IFERROR(__xludf.DUMMYFUNCTION("""COMPUTED_VALUE"""),557.0)</f>
        <v>557</v>
      </c>
      <c r="C89" s="6">
        <f>IFERROR(__xludf.DUMMYFUNCTION("""COMPUTED_VALUE"""),559.38)</f>
        <v>559.38</v>
      </c>
      <c r="D89" s="6">
        <f>IFERROR(__xludf.DUMMYFUNCTION("""COMPUTED_VALUE"""),540.84)</f>
        <v>540.84</v>
      </c>
      <c r="E89" s="6">
        <f>IFERROR(__xludf.DUMMYFUNCTION("""COMPUTED_VALUE"""),549.56)</f>
        <v>549.56</v>
      </c>
      <c r="F89" s="6">
        <f>IFERROR(__xludf.DUMMYFUNCTION("""COMPUTED_VALUE"""),3362223.0)</f>
        <v>3362223</v>
      </c>
    </row>
    <row r="90">
      <c r="A90" s="7">
        <f>IFERROR(__xludf.DUMMYFUNCTION("""COMPUTED_VALUE"""),45821.64583333333)</f>
        <v>45821.64583</v>
      </c>
      <c r="B90" s="6">
        <f>IFERROR(__xludf.DUMMYFUNCTION("""COMPUTED_VALUE"""),553.0)</f>
        <v>553</v>
      </c>
      <c r="C90" s="6">
        <f>IFERROR(__xludf.DUMMYFUNCTION("""COMPUTED_VALUE"""),561.8)</f>
        <v>561.8</v>
      </c>
      <c r="D90" s="6">
        <f>IFERROR(__xludf.DUMMYFUNCTION("""COMPUTED_VALUE"""),531.02)</f>
        <v>531.02</v>
      </c>
      <c r="E90" s="6">
        <f>IFERROR(__xludf.DUMMYFUNCTION("""COMPUTED_VALUE"""),548.18)</f>
        <v>548.18</v>
      </c>
      <c r="F90" s="6">
        <f>IFERROR(__xludf.DUMMYFUNCTION("""COMPUTED_VALUE"""),3491610.0)</f>
        <v>3491610</v>
      </c>
    </row>
    <row r="91">
      <c r="A91" s="7">
        <f>IFERROR(__xludf.DUMMYFUNCTION("""COMPUTED_VALUE"""),45828.64583333333)</f>
        <v>45828.64583</v>
      </c>
      <c r="B91" s="6">
        <f>IFERROR(__xludf.DUMMYFUNCTION("""COMPUTED_VALUE"""),548.18)</f>
        <v>548.18</v>
      </c>
      <c r="C91" s="6">
        <f>IFERROR(__xludf.DUMMYFUNCTION("""COMPUTED_VALUE"""),566.74)</f>
        <v>566.74</v>
      </c>
      <c r="D91" s="6">
        <f>IFERROR(__xludf.DUMMYFUNCTION("""COMPUTED_VALUE"""),543.9)</f>
        <v>543.9</v>
      </c>
      <c r="E91" s="6">
        <f>IFERROR(__xludf.DUMMYFUNCTION("""COMPUTED_VALUE"""),562.42)</f>
        <v>562.42</v>
      </c>
      <c r="F91" s="6">
        <f>IFERROR(__xludf.DUMMYFUNCTION("""COMPUTED_VALUE"""),3447742.0)</f>
        <v>3447742</v>
      </c>
    </row>
    <row r="92">
      <c r="A92" s="7">
        <f>IFERROR(__xludf.DUMMYFUNCTION("""COMPUTED_VALUE"""),45835.64583333333)</f>
        <v>45835.64583</v>
      </c>
      <c r="B92" s="6">
        <f>IFERROR(__xludf.DUMMYFUNCTION("""COMPUTED_VALUE"""),560.0)</f>
        <v>560</v>
      </c>
      <c r="C92" s="6">
        <f>IFERROR(__xludf.DUMMYFUNCTION("""COMPUTED_VALUE"""),592.06)</f>
        <v>592.06</v>
      </c>
      <c r="D92" s="6">
        <f>IFERROR(__xludf.DUMMYFUNCTION("""COMPUTED_VALUE"""),553.42)</f>
        <v>553.42</v>
      </c>
      <c r="E92" s="6">
        <f>IFERROR(__xludf.DUMMYFUNCTION("""COMPUTED_VALUE"""),587.86)</f>
        <v>587.86</v>
      </c>
      <c r="F92" s="6">
        <f>IFERROR(__xludf.DUMMYFUNCTION("""COMPUTED_VALUE"""),6138747.0)</f>
        <v>6138747</v>
      </c>
    </row>
    <row r="93">
      <c r="A93" s="7">
        <f>IFERROR(__xludf.DUMMYFUNCTION("""COMPUTED_VALUE"""),45842.64583333333)</f>
        <v>45842.64583</v>
      </c>
      <c r="B93" s="6">
        <f>IFERROR(__xludf.DUMMYFUNCTION("""COMPUTED_VALUE"""),589.6)</f>
        <v>589.6</v>
      </c>
      <c r="C93" s="6">
        <f>IFERROR(__xludf.DUMMYFUNCTION("""COMPUTED_VALUE"""),590.22)</f>
        <v>590.22</v>
      </c>
      <c r="D93" s="6">
        <f>IFERROR(__xludf.DUMMYFUNCTION("""COMPUTED_VALUE"""),569.86)</f>
        <v>569.86</v>
      </c>
      <c r="E93" s="6">
        <f>IFERROR(__xludf.DUMMYFUNCTION("""COMPUTED_VALUE"""),576.02)</f>
        <v>576.02</v>
      </c>
      <c r="F93" s="6">
        <f>IFERROR(__xludf.DUMMYFUNCTION("""COMPUTED_VALUE"""),4101304.0)</f>
        <v>4101304</v>
      </c>
    </row>
    <row r="94">
      <c r="A94" s="7">
        <f>IFERROR(__xludf.DUMMYFUNCTION("""COMPUTED_VALUE"""),45849.64583333333)</f>
        <v>45849.64583</v>
      </c>
      <c r="B94" s="6">
        <f>IFERROR(__xludf.DUMMYFUNCTION("""COMPUTED_VALUE"""),575.22)</f>
        <v>575.22</v>
      </c>
      <c r="C94" s="6">
        <f>IFERROR(__xludf.DUMMYFUNCTION("""COMPUTED_VALUE"""),578.5)</f>
        <v>578.5</v>
      </c>
      <c r="D94" s="6">
        <f>IFERROR(__xludf.DUMMYFUNCTION("""COMPUTED_VALUE"""),549.2)</f>
        <v>549.2</v>
      </c>
      <c r="E94" s="6">
        <f>IFERROR(__xludf.DUMMYFUNCTION("""COMPUTED_VALUE"""),550.9)</f>
        <v>550.9</v>
      </c>
      <c r="F94" s="6">
        <f>IFERROR(__xludf.DUMMYFUNCTION("""COMPUTED_VALUE"""),1929747.0)</f>
        <v>1929747</v>
      </c>
    </row>
    <row r="95">
      <c r="A95" s="7">
        <f>IFERROR(__xludf.DUMMYFUNCTION("""COMPUTED_VALUE"""),45856.64583333333)</f>
        <v>45856.64583</v>
      </c>
      <c r="B95" s="6">
        <f>IFERROR(__xludf.DUMMYFUNCTION("""COMPUTED_VALUE"""),550.9)</f>
        <v>550.9</v>
      </c>
      <c r="C95" s="6">
        <f>IFERROR(__xludf.DUMMYFUNCTION("""COMPUTED_VALUE"""),581.96)</f>
        <v>581.96</v>
      </c>
      <c r="D95" s="6">
        <f>IFERROR(__xludf.DUMMYFUNCTION("""COMPUTED_VALUE"""),550.1)</f>
        <v>550.1</v>
      </c>
      <c r="E95" s="6">
        <f>IFERROR(__xludf.DUMMYFUNCTION("""COMPUTED_VALUE"""),569.86)</f>
        <v>569.86</v>
      </c>
      <c r="F95" s="6">
        <f>IFERROR(__xludf.DUMMYFUNCTION("""COMPUTED_VALUE"""),3437838.0)</f>
        <v>3437838</v>
      </c>
    </row>
    <row r="96">
      <c r="A96" s="7">
        <f>IFERROR(__xludf.DUMMYFUNCTION("""COMPUTED_VALUE"""),45863.64583333333)</f>
        <v>45863.64583</v>
      </c>
      <c r="B96" s="6">
        <f>IFERROR(__xludf.DUMMYFUNCTION("""COMPUTED_VALUE"""),570.08)</f>
        <v>570.08</v>
      </c>
      <c r="C96" s="6">
        <f>IFERROR(__xludf.DUMMYFUNCTION("""COMPUTED_VALUE"""),577.06)</f>
        <v>577.06</v>
      </c>
      <c r="D96" s="6">
        <f>IFERROR(__xludf.DUMMYFUNCTION("""COMPUTED_VALUE"""),545.74)</f>
        <v>545.74</v>
      </c>
      <c r="E96" s="6">
        <f>IFERROR(__xludf.DUMMYFUNCTION("""COMPUTED_VALUE"""),554.88)</f>
        <v>554.88</v>
      </c>
      <c r="F96" s="6">
        <f>IFERROR(__xludf.DUMMYFUNCTION("""COMPUTED_VALUE"""),2691780.0)</f>
        <v>2691780</v>
      </c>
    </row>
    <row r="97">
      <c r="A97" s="7">
        <f>IFERROR(__xludf.DUMMYFUNCTION("""COMPUTED_VALUE"""),45870.64583333333)</f>
        <v>45870.64583</v>
      </c>
      <c r="B97" s="6">
        <f>IFERROR(__xludf.DUMMYFUNCTION("""COMPUTED_VALUE"""),554.88)</f>
        <v>554.88</v>
      </c>
      <c r="C97" s="6">
        <f>IFERROR(__xludf.DUMMYFUNCTION("""COMPUTED_VALUE"""),576.82)</f>
        <v>576.82</v>
      </c>
      <c r="D97" s="6">
        <f>IFERROR(__xludf.DUMMYFUNCTION("""COMPUTED_VALUE"""),550.0)</f>
        <v>550</v>
      </c>
      <c r="E97" s="6">
        <f>IFERROR(__xludf.DUMMYFUNCTION("""COMPUTED_VALUE"""),571.64)</f>
        <v>571.64</v>
      </c>
      <c r="F97" s="6">
        <f>IFERROR(__xludf.DUMMYFUNCTION("""COMPUTED_VALUE"""),5846094.0)</f>
        <v>5846094</v>
      </c>
    </row>
    <row r="98">
      <c r="A98" s="7">
        <f>IFERROR(__xludf.DUMMYFUNCTION("""COMPUTED_VALUE"""),45877.64583333333)</f>
        <v>45877.64583</v>
      </c>
      <c r="B98" s="6">
        <f>IFERROR(__xludf.DUMMYFUNCTION("""COMPUTED_VALUE"""),578.0)</f>
        <v>578</v>
      </c>
      <c r="C98" s="6">
        <f>IFERROR(__xludf.DUMMYFUNCTION("""COMPUTED_VALUE"""),604.84)</f>
        <v>604.84</v>
      </c>
      <c r="D98" s="6">
        <f>IFERROR(__xludf.DUMMYFUNCTION("""COMPUTED_VALUE"""),576.52)</f>
        <v>576.52</v>
      </c>
      <c r="E98" s="6">
        <f>IFERROR(__xludf.DUMMYFUNCTION("""COMPUTED_VALUE"""),593.78)</f>
        <v>593.78</v>
      </c>
      <c r="F98" s="6">
        <f>IFERROR(__xludf.DUMMYFUNCTION("""COMPUTED_VALUE"""),5020030.0)</f>
        <v>5020030</v>
      </c>
    </row>
    <row r="99">
      <c r="A99" s="7">
        <f>IFERROR(__xludf.DUMMYFUNCTION("""COMPUTED_VALUE"""),45883.64583333333)</f>
        <v>45883.64583</v>
      </c>
      <c r="B99" s="6">
        <f>IFERROR(__xludf.DUMMYFUNCTION("""COMPUTED_VALUE"""),597.0)</f>
        <v>597</v>
      </c>
      <c r="C99" s="6">
        <f>IFERROR(__xludf.DUMMYFUNCTION("""COMPUTED_VALUE"""),608.96)</f>
        <v>608.96</v>
      </c>
      <c r="D99" s="6">
        <f>IFERROR(__xludf.DUMMYFUNCTION("""COMPUTED_VALUE"""),591.1)</f>
        <v>591.1</v>
      </c>
      <c r="E99" s="6">
        <f>IFERROR(__xludf.DUMMYFUNCTION("""COMPUTED_VALUE"""),604.06)</f>
        <v>604.06</v>
      </c>
      <c r="F99" s="6">
        <f>IFERROR(__xludf.DUMMYFUNCTION("""COMPUTED_VALUE"""),3804213.0)</f>
        <v>3804213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IFERROR(__xludf.DUMMYFUNCTION("""COMPUTED_VALUE"""),631.18)</f>
        <v>631.18</v>
      </c>
      <c r="C100" s="6">
        <f>IFERROR(__xludf.DUMMYFUNCTION("""COMPUTED_VALUE"""),661.6)</f>
        <v>661.6</v>
      </c>
      <c r="D100" s="6">
        <f>IFERROR(__xludf.DUMMYFUNCTION("""COMPUTED_VALUE"""),626.48)</f>
        <v>626.48</v>
      </c>
      <c r="E100" s="6">
        <f>IFERROR(__xludf.DUMMYFUNCTION("""COMPUTED_VALUE"""),658.92)</f>
        <v>658.92</v>
      </c>
      <c r="F100" s="6">
        <f>IFERROR(__xludf.DUMMYFUNCTION("""COMPUTED_VALUE"""),8621267.0)</f>
        <v>8621267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IFERROR(__xludf.DUMMYFUNCTION("""COMPUTED_VALUE"""),3310.0)</f>
        <v>3310</v>
      </c>
      <c r="C101" s="6">
        <f>IFERROR(__xludf.DUMMYFUNCTION("""COMPUTED_VALUE"""),3318.0)</f>
        <v>3318</v>
      </c>
      <c r="D101" s="6">
        <f>IFERROR(__xludf.DUMMYFUNCTION("""COMPUTED_VALUE"""),3253.2)</f>
        <v>3253.2</v>
      </c>
      <c r="E101" s="6">
        <f>IFERROR(__xludf.DUMMYFUNCTION("""COMPUTED_VALUE"""),3272.3)</f>
        <v>3272.3</v>
      </c>
      <c r="F101" s="6">
        <f>IFERROR(__xludf.DUMMYFUNCTION("""COMPUTED_VALUE"""),1.3049154E7)</f>
        <v>13049154</v>
      </c>
    </row>
  </sheetData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IFERROR(__xludf.DUMMYFUNCTION("GOOGLEFINANCE(""NSE:ULTRACEMCO"",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IFERROR(__xludf.DUMMYFUNCTION("""COMPUTED_VALUE"""),8134.8)</f>
        <v>8134.8</v>
      </c>
      <c r="C2" s="6">
        <f>IFERROR(__xludf.DUMMYFUNCTION("""COMPUTED_VALUE"""),8360.0)</f>
        <v>8360</v>
      </c>
      <c r="D2" s="6">
        <f>IFERROR(__xludf.DUMMYFUNCTION("""COMPUTED_VALUE"""),8048.45)</f>
        <v>8048.45</v>
      </c>
      <c r="E2" s="6">
        <f>IFERROR(__xludf.DUMMYFUNCTION("""COMPUTED_VALUE"""),8262.4)</f>
        <v>8262.4</v>
      </c>
      <c r="F2" s="6">
        <f>IFERROR(__xludf.DUMMYFUNCTION("""COMPUTED_VALUE"""),1479967.0)</f>
        <v>1479967</v>
      </c>
    </row>
    <row r="3">
      <c r="A3" s="7">
        <f>IFERROR(__xludf.DUMMYFUNCTION("""COMPUTED_VALUE"""),45177.64583333333)</f>
        <v>45177.64583</v>
      </c>
      <c r="B3" s="6">
        <f>IFERROR(__xludf.DUMMYFUNCTION("""COMPUTED_VALUE"""),8284.95)</f>
        <v>8284.95</v>
      </c>
      <c r="C3" s="6">
        <f>IFERROR(__xludf.DUMMYFUNCTION("""COMPUTED_VALUE"""),8600.0)</f>
        <v>8600</v>
      </c>
      <c r="D3" s="6">
        <f>IFERROR(__xludf.DUMMYFUNCTION("""COMPUTED_VALUE"""),8282.55)</f>
        <v>8282.55</v>
      </c>
      <c r="E3" s="6">
        <f>IFERROR(__xludf.DUMMYFUNCTION("""COMPUTED_VALUE"""),8430.55)</f>
        <v>8430.55</v>
      </c>
      <c r="F3" s="6">
        <f>IFERROR(__xludf.DUMMYFUNCTION("""COMPUTED_VALUE"""),1487981.0)</f>
        <v>1487981</v>
      </c>
    </row>
    <row r="4">
      <c r="A4" s="7">
        <f>IFERROR(__xludf.DUMMYFUNCTION("""COMPUTED_VALUE"""),45184.64583333333)</f>
        <v>45184.64583</v>
      </c>
      <c r="B4" s="6">
        <f>IFERROR(__xludf.DUMMYFUNCTION("""COMPUTED_VALUE"""),8450.95)</f>
        <v>8450.95</v>
      </c>
      <c r="C4" s="6">
        <f>IFERROR(__xludf.DUMMYFUNCTION("""COMPUTED_VALUE"""),8750.95)</f>
        <v>8750.95</v>
      </c>
      <c r="D4" s="6">
        <f>IFERROR(__xludf.DUMMYFUNCTION("""COMPUTED_VALUE"""),8395.0)</f>
        <v>8395</v>
      </c>
      <c r="E4" s="6">
        <f>IFERROR(__xludf.DUMMYFUNCTION("""COMPUTED_VALUE"""),8728.35)</f>
        <v>8728.35</v>
      </c>
      <c r="F4" s="6">
        <f>IFERROR(__xludf.DUMMYFUNCTION("""COMPUTED_VALUE"""),1457749.0)</f>
        <v>1457749</v>
      </c>
    </row>
    <row r="5">
      <c r="A5" s="7">
        <f>IFERROR(__xludf.DUMMYFUNCTION("""COMPUTED_VALUE"""),45191.64583333333)</f>
        <v>45191.64583</v>
      </c>
      <c r="B5" s="6">
        <f>IFERROR(__xludf.DUMMYFUNCTION("""COMPUTED_VALUE"""),8728.0)</f>
        <v>8728</v>
      </c>
      <c r="C5" s="6">
        <f>IFERROR(__xludf.DUMMYFUNCTION("""COMPUTED_VALUE"""),8737.6)</f>
        <v>8737.6</v>
      </c>
      <c r="D5" s="6">
        <f>IFERROR(__xludf.DUMMYFUNCTION("""COMPUTED_VALUE"""),8179.05)</f>
        <v>8179.05</v>
      </c>
      <c r="E5" s="6">
        <f>IFERROR(__xludf.DUMMYFUNCTION("""COMPUTED_VALUE"""),8187.4)</f>
        <v>8187.4</v>
      </c>
      <c r="F5" s="6">
        <f>IFERROR(__xludf.DUMMYFUNCTION("""COMPUTED_VALUE"""),1365488.0)</f>
        <v>1365488</v>
      </c>
    </row>
    <row r="6">
      <c r="A6" s="7">
        <f>IFERROR(__xludf.DUMMYFUNCTION("""COMPUTED_VALUE"""),45198.64583333333)</f>
        <v>45198.64583</v>
      </c>
      <c r="B6" s="6">
        <f>IFERROR(__xludf.DUMMYFUNCTION("""COMPUTED_VALUE"""),8217.0)</f>
        <v>8217</v>
      </c>
      <c r="C6" s="6">
        <f>IFERROR(__xludf.DUMMYFUNCTION("""COMPUTED_VALUE"""),8328.0)</f>
        <v>8328</v>
      </c>
      <c r="D6" s="6">
        <f>IFERROR(__xludf.DUMMYFUNCTION("""COMPUTED_VALUE"""),8132.0)</f>
        <v>8132</v>
      </c>
      <c r="E6" s="6">
        <f>IFERROR(__xludf.DUMMYFUNCTION("""COMPUTED_VALUE"""),8254.85)</f>
        <v>8254.85</v>
      </c>
      <c r="F6" s="6">
        <f>IFERROR(__xludf.DUMMYFUNCTION("""COMPUTED_VALUE"""),2216254.0)</f>
        <v>2216254</v>
      </c>
    </row>
    <row r="7">
      <c r="A7" s="7">
        <f>IFERROR(__xludf.DUMMYFUNCTION("""COMPUTED_VALUE"""),45205.64583333333)</f>
        <v>45205.64583</v>
      </c>
      <c r="B7" s="6">
        <f>IFERROR(__xludf.DUMMYFUNCTION("""COMPUTED_VALUE"""),8289.0)</f>
        <v>8289</v>
      </c>
      <c r="C7" s="6">
        <f>IFERROR(__xludf.DUMMYFUNCTION("""COMPUTED_VALUE"""),8377.0)</f>
        <v>8377</v>
      </c>
      <c r="D7" s="6">
        <f>IFERROR(__xludf.DUMMYFUNCTION("""COMPUTED_VALUE"""),8045.05)</f>
        <v>8045.05</v>
      </c>
      <c r="E7" s="6">
        <f>IFERROR(__xludf.DUMMYFUNCTION("""COMPUTED_VALUE"""),8195.45)</f>
        <v>8195.45</v>
      </c>
      <c r="F7" s="6">
        <f>IFERROR(__xludf.DUMMYFUNCTION("""COMPUTED_VALUE"""),1807768.0)</f>
        <v>1807768</v>
      </c>
    </row>
    <row r="8">
      <c r="A8" s="7">
        <f>IFERROR(__xludf.DUMMYFUNCTION("""COMPUTED_VALUE"""),45212.64583333333)</f>
        <v>45212.64583</v>
      </c>
      <c r="B8" s="6">
        <f>IFERROR(__xludf.DUMMYFUNCTION("""COMPUTED_VALUE"""),8170.05)</f>
        <v>8170.05</v>
      </c>
      <c r="C8" s="6">
        <f>IFERROR(__xludf.DUMMYFUNCTION("""COMPUTED_VALUE"""),8417.0)</f>
        <v>8417</v>
      </c>
      <c r="D8" s="6">
        <f>IFERROR(__xludf.DUMMYFUNCTION("""COMPUTED_VALUE"""),8087.2)</f>
        <v>8087.2</v>
      </c>
      <c r="E8" s="6">
        <f>IFERROR(__xludf.DUMMYFUNCTION("""COMPUTED_VALUE"""),8369.0)</f>
        <v>8369</v>
      </c>
      <c r="F8" s="6">
        <f>IFERROR(__xludf.DUMMYFUNCTION("""COMPUTED_VALUE"""),1241947.0)</f>
        <v>1241947</v>
      </c>
    </row>
    <row r="9">
      <c r="A9" s="7">
        <f>IFERROR(__xludf.DUMMYFUNCTION("""COMPUTED_VALUE"""),45219.64583333333)</f>
        <v>45219.64583</v>
      </c>
      <c r="B9" s="6">
        <f>IFERROR(__xludf.DUMMYFUNCTION("""COMPUTED_VALUE"""),8369.05)</f>
        <v>8369.05</v>
      </c>
      <c r="C9" s="6">
        <f>IFERROR(__xludf.DUMMYFUNCTION("""COMPUTED_VALUE"""),8648.35)</f>
        <v>8648.35</v>
      </c>
      <c r="D9" s="6">
        <f>IFERROR(__xludf.DUMMYFUNCTION("""COMPUTED_VALUE"""),8193.35)</f>
        <v>8193.35</v>
      </c>
      <c r="E9" s="6">
        <f>IFERROR(__xludf.DUMMYFUNCTION("""COMPUTED_VALUE"""),8461.05)</f>
        <v>8461.05</v>
      </c>
      <c r="F9" s="6">
        <f>IFERROR(__xludf.DUMMYFUNCTION("""COMPUTED_VALUE"""),2268149.0)</f>
        <v>2268149</v>
      </c>
    </row>
    <row r="10">
      <c r="A10" s="7">
        <f>IFERROR(__xludf.DUMMYFUNCTION("""COMPUTED_VALUE"""),45226.64583333333)</f>
        <v>45226.64583</v>
      </c>
      <c r="B10" s="6">
        <f>IFERROR(__xludf.DUMMYFUNCTION("""COMPUTED_VALUE"""),8415.0)</f>
        <v>8415</v>
      </c>
      <c r="C10" s="6">
        <f>IFERROR(__xludf.DUMMYFUNCTION("""COMPUTED_VALUE"""),8523.6)</f>
        <v>8523.6</v>
      </c>
      <c r="D10" s="6">
        <f>IFERROR(__xludf.DUMMYFUNCTION("""COMPUTED_VALUE"""),8155.55)</f>
        <v>8155.55</v>
      </c>
      <c r="E10" s="6">
        <f>IFERROR(__xludf.DUMMYFUNCTION("""COMPUTED_VALUE"""),8210.15)</f>
        <v>8210.15</v>
      </c>
      <c r="F10" s="6">
        <f>IFERROR(__xludf.DUMMYFUNCTION("""COMPUTED_VALUE"""),1338336.0)</f>
        <v>1338336</v>
      </c>
    </row>
    <row r="11">
      <c r="A11" s="7">
        <f>IFERROR(__xludf.DUMMYFUNCTION("""COMPUTED_VALUE"""),45233.64583333333)</f>
        <v>45233.64583</v>
      </c>
      <c r="B11" s="6">
        <f>IFERROR(__xludf.DUMMYFUNCTION("""COMPUTED_VALUE"""),8242.0)</f>
        <v>8242</v>
      </c>
      <c r="C11" s="6">
        <f>IFERROR(__xludf.DUMMYFUNCTION("""COMPUTED_VALUE"""),8530.0)</f>
        <v>8530</v>
      </c>
      <c r="D11" s="6">
        <f>IFERROR(__xludf.DUMMYFUNCTION("""COMPUTED_VALUE"""),8197.45)</f>
        <v>8197.45</v>
      </c>
      <c r="E11" s="6">
        <f>IFERROR(__xludf.DUMMYFUNCTION("""COMPUTED_VALUE"""),8522.6)</f>
        <v>8522.6</v>
      </c>
      <c r="F11" s="6">
        <f>IFERROR(__xludf.DUMMYFUNCTION("""COMPUTED_VALUE"""),1116491.0)</f>
        <v>1116491</v>
      </c>
    </row>
    <row r="12">
      <c r="A12" s="7">
        <f>IFERROR(__xludf.DUMMYFUNCTION("""COMPUTED_VALUE"""),45240.64583333333)</f>
        <v>45240.64583</v>
      </c>
      <c r="B12" s="6">
        <f>IFERROR(__xludf.DUMMYFUNCTION("""COMPUTED_VALUE"""),8539.0)</f>
        <v>8539</v>
      </c>
      <c r="C12" s="6">
        <f>IFERROR(__xludf.DUMMYFUNCTION("""COMPUTED_VALUE"""),8729.95)</f>
        <v>8729.95</v>
      </c>
      <c r="D12" s="6">
        <f>IFERROR(__xludf.DUMMYFUNCTION("""COMPUTED_VALUE"""),8521.2)</f>
        <v>8521.2</v>
      </c>
      <c r="E12" s="6">
        <f>IFERROR(__xludf.DUMMYFUNCTION("""COMPUTED_VALUE"""),8710.85)</f>
        <v>8710.85</v>
      </c>
      <c r="F12" s="6">
        <f>IFERROR(__xludf.DUMMYFUNCTION("""COMPUTED_VALUE"""),811522.0)</f>
        <v>811522</v>
      </c>
    </row>
    <row r="13">
      <c r="A13" s="7">
        <f>IFERROR(__xludf.DUMMYFUNCTION("""COMPUTED_VALUE"""),45247.64583333333)</f>
        <v>45247.64583</v>
      </c>
      <c r="B13" s="6">
        <f>IFERROR(__xludf.DUMMYFUNCTION("""COMPUTED_VALUE"""),8730.0)</f>
        <v>8730</v>
      </c>
      <c r="C13" s="6">
        <f>IFERROR(__xludf.DUMMYFUNCTION("""COMPUTED_VALUE"""),8869.6)</f>
        <v>8869.6</v>
      </c>
      <c r="D13" s="6">
        <f>IFERROR(__xludf.DUMMYFUNCTION("""COMPUTED_VALUE"""),8660.0)</f>
        <v>8660</v>
      </c>
      <c r="E13" s="6">
        <f>IFERROR(__xludf.DUMMYFUNCTION("""COMPUTED_VALUE"""),8790.95)</f>
        <v>8790.95</v>
      </c>
      <c r="F13" s="6">
        <f>IFERROR(__xludf.DUMMYFUNCTION("""COMPUTED_VALUE"""),655696.0)</f>
        <v>655696</v>
      </c>
    </row>
    <row r="14">
      <c r="A14" s="7">
        <f>IFERROR(__xludf.DUMMYFUNCTION("""COMPUTED_VALUE"""),45254.64583333333)</f>
        <v>45254.64583</v>
      </c>
      <c r="B14" s="6">
        <f>IFERROR(__xludf.DUMMYFUNCTION("""COMPUTED_VALUE"""),8800.0)</f>
        <v>8800</v>
      </c>
      <c r="C14" s="6">
        <f>IFERROR(__xludf.DUMMYFUNCTION("""COMPUTED_VALUE"""),8815.2)</f>
        <v>8815.2</v>
      </c>
      <c r="D14" s="6">
        <f>IFERROR(__xludf.DUMMYFUNCTION("""COMPUTED_VALUE"""),8545.05)</f>
        <v>8545.05</v>
      </c>
      <c r="E14" s="6">
        <f>IFERROR(__xludf.DUMMYFUNCTION("""COMPUTED_VALUE"""),8556.2)</f>
        <v>8556.2</v>
      </c>
      <c r="F14" s="6">
        <f>IFERROR(__xludf.DUMMYFUNCTION("""COMPUTED_VALUE"""),1224687.0)</f>
        <v>1224687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IFERROR(__xludf.DUMMYFUNCTION("""COMPUTED_VALUE"""),8638.0)</f>
        <v>8638</v>
      </c>
      <c r="C15" s="6">
        <f>IFERROR(__xludf.DUMMYFUNCTION("""COMPUTED_VALUE"""),9163.4)</f>
        <v>9163.4</v>
      </c>
      <c r="D15" s="6">
        <f>IFERROR(__xludf.DUMMYFUNCTION("""COMPUTED_VALUE"""),8588.25)</f>
        <v>8588.25</v>
      </c>
      <c r="E15" s="6">
        <f>IFERROR(__xludf.DUMMYFUNCTION("""COMPUTED_VALUE"""),9033.85)</f>
        <v>9033.85</v>
      </c>
      <c r="F15" s="6">
        <f>IFERROR(__xludf.DUMMYFUNCTION("""COMPUTED_VALUE"""),1929558.0)</f>
        <v>1929558</v>
      </c>
    </row>
    <row r="16">
      <c r="A16" s="7">
        <f>IFERROR(__xludf.DUMMYFUNCTION("""COMPUTED_VALUE"""),45268.64583333333)</f>
        <v>45268.64583</v>
      </c>
      <c r="B16" s="6">
        <f>IFERROR(__xludf.DUMMYFUNCTION("""COMPUTED_VALUE"""),9150.0)</f>
        <v>9150</v>
      </c>
      <c r="C16" s="6">
        <f>IFERROR(__xludf.DUMMYFUNCTION("""COMPUTED_VALUE"""),9431.65)</f>
        <v>9431.65</v>
      </c>
      <c r="D16" s="6">
        <f>IFERROR(__xludf.DUMMYFUNCTION("""COMPUTED_VALUE"""),9086.15)</f>
        <v>9086.15</v>
      </c>
      <c r="E16" s="6">
        <f>IFERROR(__xludf.DUMMYFUNCTION("""COMPUTED_VALUE"""),9413.55)</f>
        <v>9413.55</v>
      </c>
      <c r="F16" s="6">
        <f>IFERROR(__xludf.DUMMYFUNCTION("""COMPUTED_VALUE"""),1889534.0)</f>
        <v>1889534</v>
      </c>
    </row>
    <row r="17">
      <c r="A17" s="7">
        <f>IFERROR(__xludf.DUMMYFUNCTION("""COMPUTED_VALUE"""),45275.64583333333)</f>
        <v>45275.64583</v>
      </c>
      <c r="B17" s="6">
        <f>IFERROR(__xludf.DUMMYFUNCTION("""COMPUTED_VALUE"""),9414.0)</f>
        <v>9414</v>
      </c>
      <c r="C17" s="6">
        <f>IFERROR(__xludf.DUMMYFUNCTION("""COMPUTED_VALUE"""),10059.5)</f>
        <v>10059.5</v>
      </c>
      <c r="D17" s="6">
        <f>IFERROR(__xludf.DUMMYFUNCTION("""COMPUTED_VALUE"""),9400.0)</f>
        <v>9400</v>
      </c>
      <c r="E17" s="6">
        <f>IFERROR(__xludf.DUMMYFUNCTION("""COMPUTED_VALUE"""),10029.45)</f>
        <v>10029.45</v>
      </c>
      <c r="F17" s="6">
        <f>IFERROR(__xludf.DUMMYFUNCTION("""COMPUTED_VALUE"""),4300210.0)</f>
        <v>4300210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IFERROR(__xludf.DUMMYFUNCTION("""COMPUTED_VALUE"""),10028.0)</f>
        <v>10028</v>
      </c>
      <c r="C18" s="6">
        <f>IFERROR(__xludf.DUMMYFUNCTION("""COMPUTED_VALUE"""),10128.0)</f>
        <v>10128</v>
      </c>
      <c r="D18" s="6">
        <f>IFERROR(__xludf.DUMMYFUNCTION("""COMPUTED_VALUE"""),9824.85)</f>
        <v>9824.85</v>
      </c>
      <c r="E18" s="6">
        <f>IFERROR(__xludf.DUMMYFUNCTION("""COMPUTED_VALUE"""),9969.0)</f>
        <v>9969</v>
      </c>
      <c r="F18" s="6">
        <f>IFERROR(__xludf.DUMMYFUNCTION("""COMPUTED_VALUE"""),1886846.0)</f>
        <v>1886846</v>
      </c>
    </row>
    <row r="19">
      <c r="A19" s="7">
        <f>IFERROR(__xludf.DUMMYFUNCTION("""COMPUTED_VALUE"""),45289.64583333333)</f>
        <v>45289.64583</v>
      </c>
      <c r="B19" s="6">
        <f>IFERROR(__xludf.DUMMYFUNCTION("""COMPUTED_VALUE"""),9975.0)</f>
        <v>9975</v>
      </c>
      <c r="C19" s="6">
        <f>IFERROR(__xludf.DUMMYFUNCTION("""COMPUTED_VALUE"""),10526.0)</f>
        <v>10526</v>
      </c>
      <c r="D19" s="6">
        <f>IFERROR(__xludf.DUMMYFUNCTION("""COMPUTED_VALUE"""),9970.1)</f>
        <v>9970.1</v>
      </c>
      <c r="E19" s="6">
        <f>IFERROR(__xludf.DUMMYFUNCTION("""COMPUTED_VALUE"""),10503.05)</f>
        <v>10503.05</v>
      </c>
      <c r="F19" s="6">
        <f>IFERROR(__xludf.DUMMYFUNCTION("""COMPUTED_VALUE"""),1548731.0)</f>
        <v>1548731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IFERROR(__xludf.DUMMYFUNCTION("""COMPUTED_VALUE"""),10503.05)</f>
        <v>10503.05</v>
      </c>
      <c r="C20" s="6">
        <f>IFERROR(__xludf.DUMMYFUNCTION("""COMPUTED_VALUE"""),10520.0)</f>
        <v>10520</v>
      </c>
      <c r="D20" s="6">
        <f>IFERROR(__xludf.DUMMYFUNCTION("""COMPUTED_VALUE"""),9995.0)</f>
        <v>9995</v>
      </c>
      <c r="E20" s="6">
        <f>IFERROR(__xludf.DUMMYFUNCTION("""COMPUTED_VALUE"""),10016.05)</f>
        <v>10016.05</v>
      </c>
      <c r="F20" s="6">
        <f>IFERROR(__xludf.DUMMYFUNCTION("""COMPUTED_VALUE"""),1091726.0)</f>
        <v>1091726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IFERROR(__xludf.DUMMYFUNCTION("""COMPUTED_VALUE"""),10078.0)</f>
        <v>10078</v>
      </c>
      <c r="C21" s="6">
        <f>IFERROR(__xludf.DUMMYFUNCTION("""COMPUTED_VALUE"""),10080.0)</f>
        <v>10080</v>
      </c>
      <c r="D21" s="6">
        <f>IFERROR(__xludf.DUMMYFUNCTION("""COMPUTED_VALUE"""),9719.15)</f>
        <v>9719.15</v>
      </c>
      <c r="E21" s="6">
        <f>IFERROR(__xludf.DUMMYFUNCTION("""COMPUTED_VALUE"""),9808.45)</f>
        <v>9808.45</v>
      </c>
      <c r="F21" s="6">
        <f>IFERROR(__xludf.DUMMYFUNCTION("""COMPUTED_VALUE"""),1546127.0)</f>
        <v>1546127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IFERROR(__xludf.DUMMYFUNCTION("""COMPUTED_VALUE"""),10000.0)</f>
        <v>10000</v>
      </c>
      <c r="C22" s="6">
        <f>IFERROR(__xludf.DUMMYFUNCTION("""COMPUTED_VALUE"""),10085.0)</f>
        <v>10085</v>
      </c>
      <c r="D22" s="6">
        <f>IFERROR(__xludf.DUMMYFUNCTION("""COMPUTED_VALUE"""),9734.6)</f>
        <v>9734.6</v>
      </c>
      <c r="E22" s="6">
        <f>IFERROR(__xludf.DUMMYFUNCTION("""COMPUTED_VALUE"""),9969.35)</f>
        <v>9969.35</v>
      </c>
      <c r="F22" s="6">
        <f>IFERROR(__xludf.DUMMYFUNCTION("""COMPUTED_VALUE"""),1148973.0)</f>
        <v>1148973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IFERROR(__xludf.DUMMYFUNCTION("""COMPUTED_VALUE"""),10000.1)</f>
        <v>10000.1</v>
      </c>
      <c r="C23" s="6">
        <f>IFERROR(__xludf.DUMMYFUNCTION("""COMPUTED_VALUE"""),10320.0)</f>
        <v>10320</v>
      </c>
      <c r="D23" s="6">
        <f>IFERROR(__xludf.DUMMYFUNCTION("""COMPUTED_VALUE"""),9900.05)</f>
        <v>9900.05</v>
      </c>
      <c r="E23" s="6">
        <f>IFERROR(__xludf.DUMMYFUNCTION("""COMPUTED_VALUE"""),10098.55)</f>
        <v>10098.55</v>
      </c>
      <c r="F23" s="6">
        <f>IFERROR(__xludf.DUMMYFUNCTION("""COMPUTED_VALUE"""),1780753.0)</f>
        <v>1780753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IFERROR(__xludf.DUMMYFUNCTION("""COMPUTED_VALUE"""),10050.0)</f>
        <v>10050</v>
      </c>
      <c r="C24" s="6">
        <f>IFERROR(__xludf.DUMMYFUNCTION("""COMPUTED_VALUE"""),10295.0)</f>
        <v>10295</v>
      </c>
      <c r="D24" s="6">
        <f>IFERROR(__xludf.DUMMYFUNCTION("""COMPUTED_VALUE"""),9852.0)</f>
        <v>9852</v>
      </c>
      <c r="E24" s="6">
        <f>IFERROR(__xludf.DUMMYFUNCTION("""COMPUTED_VALUE"""),9945.75)</f>
        <v>9945.75</v>
      </c>
      <c r="F24" s="6">
        <f>IFERROR(__xludf.DUMMYFUNCTION("""COMPUTED_VALUE"""),1385255.0)</f>
        <v>1385255</v>
      </c>
    </row>
    <row r="25">
      <c r="A25" s="7">
        <f>IFERROR(__xludf.DUMMYFUNCTION("""COMPUTED_VALUE"""),45338.64583333333)</f>
        <v>45338.64583</v>
      </c>
      <c r="B25" s="6">
        <f>IFERROR(__xludf.DUMMYFUNCTION("""COMPUTED_VALUE"""),9951.0)</f>
        <v>9951</v>
      </c>
      <c r="C25" s="6">
        <f>IFERROR(__xludf.DUMMYFUNCTION("""COMPUTED_VALUE"""),10017.45)</f>
        <v>10017.45</v>
      </c>
      <c r="D25" s="6">
        <f>IFERROR(__xludf.DUMMYFUNCTION("""COMPUTED_VALUE"""),9703.95)</f>
        <v>9703.95</v>
      </c>
      <c r="E25" s="6">
        <f>IFERROR(__xludf.DUMMYFUNCTION("""COMPUTED_VALUE"""),9916.2)</f>
        <v>9916.2</v>
      </c>
      <c r="F25" s="6">
        <f>IFERROR(__xludf.DUMMYFUNCTION("""COMPUTED_VALUE"""),1551582.0)</f>
        <v>1551582</v>
      </c>
    </row>
    <row r="26">
      <c r="A26" s="7">
        <f>IFERROR(__xludf.DUMMYFUNCTION("""COMPUTED_VALUE"""),45345.64583333333)</f>
        <v>45345.64583</v>
      </c>
      <c r="B26" s="6">
        <f>IFERROR(__xludf.DUMMYFUNCTION("""COMPUTED_VALUE"""),9948.95)</f>
        <v>9948.95</v>
      </c>
      <c r="C26" s="6">
        <f>IFERROR(__xludf.DUMMYFUNCTION("""COMPUTED_VALUE"""),10115.0)</f>
        <v>10115</v>
      </c>
      <c r="D26" s="6">
        <f>IFERROR(__xludf.DUMMYFUNCTION("""COMPUTED_VALUE"""),9802.3)</f>
        <v>9802.3</v>
      </c>
      <c r="E26" s="6">
        <f>IFERROR(__xludf.DUMMYFUNCTION("""COMPUTED_VALUE"""),10000.9)</f>
        <v>10000.9</v>
      </c>
      <c r="F26" s="6">
        <f>IFERROR(__xludf.DUMMYFUNCTION("""COMPUTED_VALUE"""),1421721.0)</f>
        <v>1421721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IFERROR(__xludf.DUMMYFUNCTION("""COMPUTED_VALUE"""),10157.0)</f>
        <v>10157</v>
      </c>
      <c r="C27" s="6">
        <f>IFERROR(__xludf.DUMMYFUNCTION("""COMPUTED_VALUE"""),10166.0)</f>
        <v>10166</v>
      </c>
      <c r="D27" s="6">
        <f>IFERROR(__xludf.DUMMYFUNCTION("""COMPUTED_VALUE"""),9532.0)</f>
        <v>9532</v>
      </c>
      <c r="E27" s="6">
        <f>IFERROR(__xludf.DUMMYFUNCTION("""COMPUTED_VALUE"""),9673.15)</f>
        <v>9673.15</v>
      </c>
      <c r="F27" s="6">
        <f>IFERROR(__xludf.DUMMYFUNCTION("""COMPUTED_VALUE"""),1651834.0)</f>
        <v>1651834</v>
      </c>
    </row>
    <row r="28">
      <c r="A28" s="7">
        <f>IFERROR(__xludf.DUMMYFUNCTION("""COMPUTED_VALUE"""),45366.64583333333)</f>
        <v>45366.64583</v>
      </c>
      <c r="B28" s="6">
        <f>IFERROR(__xludf.DUMMYFUNCTION("""COMPUTED_VALUE"""),9694.05)</f>
        <v>9694.05</v>
      </c>
      <c r="C28" s="6">
        <f>IFERROR(__xludf.DUMMYFUNCTION("""COMPUTED_VALUE"""),9824.6)</f>
        <v>9824.6</v>
      </c>
      <c r="D28" s="6">
        <f>IFERROR(__xludf.DUMMYFUNCTION("""COMPUTED_VALUE"""),9454.0)</f>
        <v>9454</v>
      </c>
      <c r="E28" s="6">
        <f>IFERROR(__xludf.DUMMYFUNCTION("""COMPUTED_VALUE"""),9632.95)</f>
        <v>9632.95</v>
      </c>
      <c r="F28" s="6">
        <f>IFERROR(__xludf.DUMMYFUNCTION("""COMPUTED_VALUE"""),1698128.0)</f>
        <v>1698128</v>
      </c>
    </row>
    <row r="29">
      <c r="A29" s="7">
        <f>IFERROR(__xludf.DUMMYFUNCTION("""COMPUTED_VALUE"""),45373.64583333333)</f>
        <v>45373.64583</v>
      </c>
      <c r="B29" s="6">
        <f>IFERROR(__xludf.DUMMYFUNCTION("""COMPUTED_VALUE"""),9625.0)</f>
        <v>9625</v>
      </c>
      <c r="C29" s="6">
        <f>IFERROR(__xludf.DUMMYFUNCTION("""COMPUTED_VALUE"""),9751.8)</f>
        <v>9751.8</v>
      </c>
      <c r="D29" s="6">
        <f>IFERROR(__xludf.DUMMYFUNCTION("""COMPUTED_VALUE"""),9435.15)</f>
        <v>9435.15</v>
      </c>
      <c r="E29" s="6">
        <f>IFERROR(__xludf.DUMMYFUNCTION("""COMPUTED_VALUE"""),9681.75)</f>
        <v>9681.75</v>
      </c>
      <c r="F29" s="6">
        <f>IFERROR(__xludf.DUMMYFUNCTION("""COMPUTED_VALUE"""),1154023.0)</f>
        <v>1154023</v>
      </c>
    </row>
    <row r="30">
      <c r="A30" s="7">
        <f>IFERROR(__xludf.DUMMYFUNCTION("""COMPUTED_VALUE"""),45379.64583333333)</f>
        <v>45379.64583</v>
      </c>
      <c r="B30" s="6">
        <f>IFERROR(__xludf.DUMMYFUNCTION("""COMPUTED_VALUE"""),9631.1)</f>
        <v>9631.1</v>
      </c>
      <c r="C30" s="6">
        <f>IFERROR(__xludf.DUMMYFUNCTION("""COMPUTED_VALUE"""),9853.95)</f>
        <v>9853.95</v>
      </c>
      <c r="D30" s="6">
        <f>IFERROR(__xludf.DUMMYFUNCTION("""COMPUTED_VALUE"""),9570.0)</f>
        <v>9570</v>
      </c>
      <c r="E30" s="6">
        <f>IFERROR(__xludf.DUMMYFUNCTION("""COMPUTED_VALUE"""),9749.15)</f>
        <v>9749.15</v>
      </c>
      <c r="F30" s="6">
        <f>IFERROR(__xludf.DUMMYFUNCTION("""COMPUTED_VALUE"""),1172127.0)</f>
        <v>1172127</v>
      </c>
    </row>
    <row r="31">
      <c r="A31" s="7">
        <f>IFERROR(__xludf.DUMMYFUNCTION("""COMPUTED_VALUE"""),45387.64583333333)</f>
        <v>45387.64583</v>
      </c>
      <c r="B31" s="6">
        <f>IFERROR(__xludf.DUMMYFUNCTION("""COMPUTED_VALUE"""),9749.15)</f>
        <v>9749.15</v>
      </c>
      <c r="C31" s="6">
        <f>IFERROR(__xludf.DUMMYFUNCTION("""COMPUTED_VALUE"""),10277.7)</f>
        <v>10277.7</v>
      </c>
      <c r="D31" s="6">
        <f>IFERROR(__xludf.DUMMYFUNCTION("""COMPUTED_VALUE"""),9749.15)</f>
        <v>9749.15</v>
      </c>
      <c r="E31" s="6">
        <f>IFERROR(__xludf.DUMMYFUNCTION("""COMPUTED_VALUE"""),9823.6)</f>
        <v>9823.6</v>
      </c>
      <c r="F31" s="6">
        <f>IFERROR(__xludf.DUMMYFUNCTION("""COMPUTED_VALUE"""),1802863.0)</f>
        <v>1802863</v>
      </c>
    </row>
    <row r="32">
      <c r="A32" s="7">
        <f>IFERROR(__xludf.DUMMYFUNCTION("""COMPUTED_VALUE"""),45394.64583333333)</f>
        <v>45394.64583</v>
      </c>
      <c r="B32" s="6">
        <f>IFERROR(__xludf.DUMMYFUNCTION("""COMPUTED_VALUE"""),9852.95)</f>
        <v>9852.95</v>
      </c>
      <c r="C32" s="6">
        <f>IFERROR(__xludf.DUMMYFUNCTION("""COMPUTED_VALUE"""),9993.8)</f>
        <v>9993.8</v>
      </c>
      <c r="D32" s="6">
        <f>IFERROR(__xludf.DUMMYFUNCTION("""COMPUTED_VALUE"""),9610.0)</f>
        <v>9610</v>
      </c>
      <c r="E32" s="6">
        <f>IFERROR(__xludf.DUMMYFUNCTION("""COMPUTED_VALUE"""),9652.55)</f>
        <v>9652.55</v>
      </c>
      <c r="F32" s="6">
        <f>IFERROR(__xludf.DUMMYFUNCTION("""COMPUTED_VALUE"""),1118338.0)</f>
        <v>1118338</v>
      </c>
    </row>
    <row r="33">
      <c r="A33" s="7">
        <f>IFERROR(__xludf.DUMMYFUNCTION("""COMPUTED_VALUE"""),45401.64583333333)</f>
        <v>45401.64583</v>
      </c>
      <c r="B33" s="6">
        <f>IFERROR(__xludf.DUMMYFUNCTION("""COMPUTED_VALUE"""),9617.9)</f>
        <v>9617.9</v>
      </c>
      <c r="C33" s="6">
        <f>IFERROR(__xludf.DUMMYFUNCTION("""COMPUTED_VALUE"""),9617.9)</f>
        <v>9617.9</v>
      </c>
      <c r="D33" s="6">
        <f>IFERROR(__xludf.DUMMYFUNCTION("""COMPUTED_VALUE"""),9250.0)</f>
        <v>9250</v>
      </c>
      <c r="E33" s="6">
        <f>IFERROR(__xludf.DUMMYFUNCTION("""COMPUTED_VALUE"""),9363.95)</f>
        <v>9363.95</v>
      </c>
      <c r="F33" s="6">
        <f>IFERROR(__xludf.DUMMYFUNCTION("""COMPUTED_VALUE"""),1768168.0)</f>
        <v>1768168</v>
      </c>
    </row>
    <row r="34">
      <c r="A34" s="7">
        <f>IFERROR(__xludf.DUMMYFUNCTION("""COMPUTED_VALUE"""),45408.64583333333)</f>
        <v>45408.64583</v>
      </c>
      <c r="B34" s="6">
        <f>IFERROR(__xludf.DUMMYFUNCTION("""COMPUTED_VALUE"""),9505.0)</f>
        <v>9505</v>
      </c>
      <c r="C34" s="6">
        <f>IFERROR(__xludf.DUMMYFUNCTION("""COMPUTED_VALUE"""),9777.0)</f>
        <v>9777</v>
      </c>
      <c r="D34" s="6">
        <f>IFERROR(__xludf.DUMMYFUNCTION("""COMPUTED_VALUE"""),9456.1)</f>
        <v>9456.1</v>
      </c>
      <c r="E34" s="6">
        <f>IFERROR(__xludf.DUMMYFUNCTION("""COMPUTED_VALUE"""),9700.9)</f>
        <v>9700.9</v>
      </c>
      <c r="F34" s="6">
        <f>IFERROR(__xludf.DUMMYFUNCTION("""COMPUTED_VALUE"""),1577202.0)</f>
        <v>1577202</v>
      </c>
    </row>
    <row r="35">
      <c r="A35" s="7">
        <f>IFERROR(__xludf.DUMMYFUNCTION("""COMPUTED_VALUE"""),45415.64583333333)</f>
        <v>45415.64583</v>
      </c>
      <c r="B35" s="6">
        <f>IFERROR(__xludf.DUMMYFUNCTION("""COMPUTED_VALUE"""),9765.0)</f>
        <v>9765</v>
      </c>
      <c r="C35" s="6">
        <f>IFERROR(__xludf.DUMMYFUNCTION("""COMPUTED_VALUE"""),10180.0)</f>
        <v>10180</v>
      </c>
      <c r="D35" s="6">
        <f>IFERROR(__xludf.DUMMYFUNCTION("""COMPUTED_VALUE"""),9743.05)</f>
        <v>9743.05</v>
      </c>
      <c r="E35" s="6">
        <f>IFERROR(__xludf.DUMMYFUNCTION("""COMPUTED_VALUE"""),9816.3)</f>
        <v>9816.3</v>
      </c>
      <c r="F35" s="6">
        <f>IFERROR(__xludf.DUMMYFUNCTION("""COMPUTED_VALUE"""),2422545.0)</f>
        <v>2422545</v>
      </c>
    </row>
    <row r="36">
      <c r="A36" s="7">
        <f>IFERROR(__xludf.DUMMYFUNCTION("""COMPUTED_VALUE"""),45422.64583333333)</f>
        <v>45422.64583</v>
      </c>
      <c r="B36" s="6">
        <f>IFERROR(__xludf.DUMMYFUNCTION("""COMPUTED_VALUE"""),9875.0)</f>
        <v>9875</v>
      </c>
      <c r="C36" s="6">
        <f>IFERROR(__xludf.DUMMYFUNCTION("""COMPUTED_VALUE"""),9948.0)</f>
        <v>9948</v>
      </c>
      <c r="D36" s="6">
        <f>IFERROR(__xludf.DUMMYFUNCTION("""COMPUTED_VALUE"""),9408.05)</f>
        <v>9408.05</v>
      </c>
      <c r="E36" s="6">
        <f>IFERROR(__xludf.DUMMYFUNCTION("""COMPUTED_VALUE"""),9491.7)</f>
        <v>9491.7</v>
      </c>
      <c r="F36" s="6">
        <f>IFERROR(__xludf.DUMMYFUNCTION("""COMPUTED_VALUE"""),1378815.0)</f>
        <v>1378815</v>
      </c>
    </row>
    <row r="37">
      <c r="A37" s="7">
        <f>IFERROR(__xludf.DUMMYFUNCTION("""COMPUTED_VALUE"""),45436.64583333333)</f>
        <v>45436.64583</v>
      </c>
      <c r="B37" s="6">
        <f>IFERROR(__xludf.DUMMYFUNCTION("""COMPUTED_VALUE"""),9826.0)</f>
        <v>9826</v>
      </c>
      <c r="C37" s="6">
        <f>IFERROR(__xludf.DUMMYFUNCTION("""COMPUTED_VALUE"""),10369.0)</f>
        <v>10369</v>
      </c>
      <c r="D37" s="6">
        <f>IFERROR(__xludf.DUMMYFUNCTION("""COMPUTED_VALUE"""),9762.05)</f>
        <v>9762.05</v>
      </c>
      <c r="E37" s="6">
        <f>IFERROR(__xludf.DUMMYFUNCTION("""COMPUTED_VALUE"""),10231.1)</f>
        <v>10231.1</v>
      </c>
      <c r="F37" s="6">
        <f>IFERROR(__xludf.DUMMYFUNCTION("""COMPUTED_VALUE"""),1668224.0)</f>
        <v>1668224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IFERROR(__xludf.DUMMYFUNCTION("""COMPUTED_VALUE"""),10277.95)</f>
        <v>10277.95</v>
      </c>
      <c r="C38" s="6">
        <f>IFERROR(__xludf.DUMMYFUNCTION("""COMPUTED_VALUE"""),10365.85)</f>
        <v>10365.85</v>
      </c>
      <c r="D38" s="6">
        <f>IFERROR(__xludf.DUMMYFUNCTION("""COMPUTED_VALUE"""),9750.1)</f>
        <v>9750.1</v>
      </c>
      <c r="E38" s="6">
        <f>IFERROR(__xludf.DUMMYFUNCTION("""COMPUTED_VALUE"""),9915.5)</f>
        <v>9915.5</v>
      </c>
      <c r="F38" s="6">
        <f>IFERROR(__xludf.DUMMYFUNCTION("""COMPUTED_VALUE"""),2225479.0)</f>
        <v>2225479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IFERROR(__xludf.DUMMYFUNCTION("""COMPUTED_VALUE"""),10300.0)</f>
        <v>10300</v>
      </c>
      <c r="C39" s="6">
        <f>IFERROR(__xludf.DUMMYFUNCTION("""COMPUTED_VALUE"""),10519.8)</f>
        <v>10519.8</v>
      </c>
      <c r="D39" s="6">
        <f>IFERROR(__xludf.DUMMYFUNCTION("""COMPUTED_VALUE"""),9534.95)</f>
        <v>9534.95</v>
      </c>
      <c r="E39" s="6">
        <f>IFERROR(__xludf.DUMMYFUNCTION("""COMPUTED_VALUE"""),10463.15)</f>
        <v>10463.15</v>
      </c>
      <c r="F39" s="6">
        <f>IFERROR(__xludf.DUMMYFUNCTION("""COMPUTED_VALUE"""),3095220.0)</f>
        <v>3095220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IFERROR(__xludf.DUMMYFUNCTION("""COMPUTED_VALUE"""),10495.0)</f>
        <v>10495</v>
      </c>
      <c r="C40" s="6">
        <f>IFERROR(__xludf.DUMMYFUNCTION("""COMPUTED_VALUE"""),11299.0)</f>
        <v>11299</v>
      </c>
      <c r="D40" s="6">
        <f>IFERROR(__xludf.DUMMYFUNCTION("""COMPUTED_VALUE"""),10463.15)</f>
        <v>10463.15</v>
      </c>
      <c r="E40" s="6">
        <f>IFERROR(__xludf.DUMMYFUNCTION("""COMPUTED_VALUE"""),11242.8)</f>
        <v>11242.8</v>
      </c>
      <c r="F40" s="6">
        <f>IFERROR(__xludf.DUMMYFUNCTION("""COMPUTED_VALUE"""),2702176.0)</f>
        <v>2702176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IFERROR(__xludf.DUMMYFUNCTION("""COMPUTED_VALUE"""),11250.0)</f>
        <v>11250</v>
      </c>
      <c r="C41" s="6">
        <f>IFERROR(__xludf.DUMMYFUNCTION("""COMPUTED_VALUE"""),11269.35)</f>
        <v>11269.35</v>
      </c>
      <c r="D41" s="6">
        <f>IFERROR(__xludf.DUMMYFUNCTION("""COMPUTED_VALUE"""),10611.55)</f>
        <v>10611.55</v>
      </c>
      <c r="E41" s="6">
        <f>IFERROR(__xludf.DUMMYFUNCTION("""COMPUTED_VALUE"""),10662.4)</f>
        <v>10662.4</v>
      </c>
      <c r="F41" s="6">
        <f>IFERROR(__xludf.DUMMYFUNCTION("""COMPUTED_VALUE"""),2014104.0)</f>
        <v>2014104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IFERROR(__xludf.DUMMYFUNCTION("""COMPUTED_VALUE"""),10717.5)</f>
        <v>10717.5</v>
      </c>
      <c r="C42" s="6">
        <f>IFERROR(__xludf.DUMMYFUNCTION("""COMPUTED_VALUE"""),11874.95)</f>
        <v>11874.95</v>
      </c>
      <c r="D42" s="6">
        <f>IFERROR(__xludf.DUMMYFUNCTION("""COMPUTED_VALUE"""),10594.65)</f>
        <v>10594.65</v>
      </c>
      <c r="E42" s="6">
        <f>IFERROR(__xludf.DUMMYFUNCTION("""COMPUTED_VALUE"""),11667.9)</f>
        <v>11667.9</v>
      </c>
      <c r="F42" s="6">
        <f>IFERROR(__xludf.DUMMYFUNCTION("""COMPUTED_VALUE"""),4655944.0)</f>
        <v>4655944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IFERROR(__xludf.DUMMYFUNCTION("""COMPUTED_VALUE"""),11669.0)</f>
        <v>11669</v>
      </c>
      <c r="C43" s="6">
        <f>IFERROR(__xludf.DUMMYFUNCTION("""COMPUTED_VALUE"""),12078.0)</f>
        <v>12078</v>
      </c>
      <c r="D43" s="6">
        <f>IFERROR(__xludf.DUMMYFUNCTION("""COMPUTED_VALUE"""),11620.25)</f>
        <v>11620.25</v>
      </c>
      <c r="E43" s="6">
        <f>IFERROR(__xludf.DUMMYFUNCTION("""COMPUTED_VALUE"""),11690.15)</f>
        <v>11690.15</v>
      </c>
      <c r="F43" s="6">
        <f>IFERROR(__xludf.DUMMYFUNCTION("""COMPUTED_VALUE"""),1801900.0)</f>
        <v>1801900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IFERROR(__xludf.DUMMYFUNCTION("""COMPUTED_VALUE"""),11694.0)</f>
        <v>11694</v>
      </c>
      <c r="C44" s="6">
        <f>IFERROR(__xludf.DUMMYFUNCTION("""COMPUTED_VALUE"""),11761.7)</f>
        <v>11761.7</v>
      </c>
      <c r="D44" s="6">
        <f>IFERROR(__xludf.DUMMYFUNCTION("""COMPUTED_VALUE"""),11470.0)</f>
        <v>11470</v>
      </c>
      <c r="E44" s="6">
        <f>IFERROR(__xludf.DUMMYFUNCTION("""COMPUTED_VALUE"""),11602.3)</f>
        <v>11602.3</v>
      </c>
      <c r="F44" s="6">
        <f>IFERROR(__xludf.DUMMYFUNCTION("""COMPUTED_VALUE"""),1615610.0)</f>
        <v>1615610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IFERROR(__xludf.DUMMYFUNCTION("""COMPUTED_VALUE"""),11752.9)</f>
        <v>11752.9</v>
      </c>
      <c r="C45" s="6">
        <f>IFERROR(__xludf.DUMMYFUNCTION("""COMPUTED_VALUE"""),11907.05)</f>
        <v>11907.05</v>
      </c>
      <c r="D45" s="6">
        <f>IFERROR(__xludf.DUMMYFUNCTION("""COMPUTED_VALUE"""),11228.65)</f>
        <v>11228.65</v>
      </c>
      <c r="E45" s="6">
        <f>IFERROR(__xludf.DUMMYFUNCTION("""COMPUTED_VALUE"""),11258.3)</f>
        <v>11258.3</v>
      </c>
      <c r="F45" s="6">
        <f>IFERROR(__xludf.DUMMYFUNCTION("""COMPUTED_VALUE"""),2195954.0)</f>
        <v>2195954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IFERROR(__xludf.DUMMYFUNCTION("""COMPUTED_VALUE"""),11289.9)</f>
        <v>11289.9</v>
      </c>
      <c r="C46" s="6">
        <f>IFERROR(__xludf.DUMMYFUNCTION("""COMPUTED_VALUE"""),11742.45)</f>
        <v>11742.45</v>
      </c>
      <c r="D46" s="6">
        <f>IFERROR(__xludf.DUMMYFUNCTION("""COMPUTED_VALUE"""),11231.3)</f>
        <v>11231.3</v>
      </c>
      <c r="E46" s="6">
        <f>IFERROR(__xludf.DUMMYFUNCTION("""COMPUTED_VALUE"""),11673.05)</f>
        <v>11673.05</v>
      </c>
      <c r="F46" s="6">
        <f>IFERROR(__xludf.DUMMYFUNCTION("""COMPUTED_VALUE"""),1955022.0)</f>
        <v>1955022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IFERROR(__xludf.DUMMYFUNCTION("""COMPUTED_VALUE"""),11680.0)</f>
        <v>11680</v>
      </c>
      <c r="C47" s="6">
        <f>IFERROR(__xludf.DUMMYFUNCTION("""COMPUTED_VALUE"""),12032.3)</f>
        <v>12032.3</v>
      </c>
      <c r="D47" s="6">
        <f>IFERROR(__xludf.DUMMYFUNCTION("""COMPUTED_VALUE"""),11644.5)</f>
        <v>11644.5</v>
      </c>
      <c r="E47" s="6">
        <f>IFERROR(__xludf.DUMMYFUNCTION("""COMPUTED_VALUE"""),11764.5)</f>
        <v>11764.5</v>
      </c>
      <c r="F47" s="6">
        <f>IFERROR(__xludf.DUMMYFUNCTION("""COMPUTED_VALUE"""),1780622.0)</f>
        <v>1780622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IFERROR(__xludf.DUMMYFUNCTION("""COMPUTED_VALUE"""),11700.0)</f>
        <v>11700</v>
      </c>
      <c r="C48" s="6">
        <f>IFERROR(__xludf.DUMMYFUNCTION("""COMPUTED_VALUE"""),11700.0)</f>
        <v>11700</v>
      </c>
      <c r="D48" s="6">
        <f>IFERROR(__xludf.DUMMYFUNCTION("""COMPUTED_VALUE"""),11228.75)</f>
        <v>11228.75</v>
      </c>
      <c r="E48" s="6">
        <f>IFERROR(__xludf.DUMMYFUNCTION("""COMPUTED_VALUE"""),11300.35)</f>
        <v>11300.35</v>
      </c>
      <c r="F48" s="6">
        <f>IFERROR(__xludf.DUMMYFUNCTION("""COMPUTED_VALUE"""),1479582.0)</f>
        <v>1479582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IFERROR(__xludf.DUMMYFUNCTION("""COMPUTED_VALUE"""),11290.0)</f>
        <v>11290</v>
      </c>
      <c r="C49" s="6">
        <f>IFERROR(__xludf.DUMMYFUNCTION("""COMPUTED_VALUE"""),11379.8)</f>
        <v>11379.8</v>
      </c>
      <c r="D49" s="6">
        <f>IFERROR(__xludf.DUMMYFUNCTION("""COMPUTED_VALUE"""),10950.2)</f>
        <v>10950.2</v>
      </c>
      <c r="E49" s="6">
        <f>IFERROR(__xludf.DUMMYFUNCTION("""COMPUTED_VALUE"""),11295.7)</f>
        <v>11295.7</v>
      </c>
      <c r="F49" s="6">
        <f>IFERROR(__xludf.DUMMYFUNCTION("""COMPUTED_VALUE"""),1230687.0)</f>
        <v>1230687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IFERROR(__xludf.DUMMYFUNCTION("""COMPUTED_VALUE"""),11320.0)</f>
        <v>11320</v>
      </c>
      <c r="C50" s="6">
        <f>IFERROR(__xludf.DUMMYFUNCTION("""COMPUTED_VALUE"""),11525.0)</f>
        <v>11525</v>
      </c>
      <c r="D50" s="6">
        <f>IFERROR(__xludf.DUMMYFUNCTION("""COMPUTED_VALUE"""),11161.55)</f>
        <v>11161.55</v>
      </c>
      <c r="E50" s="6">
        <f>IFERROR(__xludf.DUMMYFUNCTION("""COMPUTED_VALUE"""),11341.8)</f>
        <v>11341.8</v>
      </c>
      <c r="F50" s="6">
        <f>IFERROR(__xludf.DUMMYFUNCTION("""COMPUTED_VALUE"""),1686329.0)</f>
        <v>1686329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IFERROR(__xludf.DUMMYFUNCTION("""COMPUTED_VALUE"""),11340.0)</f>
        <v>11340</v>
      </c>
      <c r="C51" s="6">
        <f>IFERROR(__xludf.DUMMYFUNCTION("""COMPUTED_VALUE"""),11450.0)</f>
        <v>11450</v>
      </c>
      <c r="D51" s="6">
        <f>IFERROR(__xludf.DUMMYFUNCTION("""COMPUTED_VALUE"""),11115.4)</f>
        <v>11115.4</v>
      </c>
      <c r="E51" s="6">
        <f>IFERROR(__xludf.DUMMYFUNCTION("""COMPUTED_VALUE"""),11301.9)</f>
        <v>11301.9</v>
      </c>
      <c r="F51" s="6">
        <f>IFERROR(__xludf.DUMMYFUNCTION("""COMPUTED_VALUE"""),1488190.0)</f>
        <v>1488190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IFERROR(__xludf.DUMMYFUNCTION("""COMPUTED_VALUE"""),11325.0)</f>
        <v>11325</v>
      </c>
      <c r="C52" s="6">
        <f>IFERROR(__xludf.DUMMYFUNCTION("""COMPUTED_VALUE"""),11822.75)</f>
        <v>11822.75</v>
      </c>
      <c r="D52" s="6">
        <f>IFERROR(__xludf.DUMMYFUNCTION("""COMPUTED_VALUE"""),11320.0)</f>
        <v>11320</v>
      </c>
      <c r="E52" s="6">
        <f>IFERROR(__xludf.DUMMYFUNCTION("""COMPUTED_VALUE"""),11432.85)</f>
        <v>11432.85</v>
      </c>
      <c r="F52" s="6">
        <f>IFERROR(__xludf.DUMMYFUNCTION("""COMPUTED_VALUE"""),1280650.0)</f>
        <v>1280650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IFERROR(__xludf.DUMMYFUNCTION("""COMPUTED_VALUE"""),11400.0)</f>
        <v>11400</v>
      </c>
      <c r="C53" s="6">
        <f>IFERROR(__xludf.DUMMYFUNCTION("""COMPUTED_VALUE"""),11762.6)</f>
        <v>11762.6</v>
      </c>
      <c r="D53" s="6">
        <f>IFERROR(__xludf.DUMMYFUNCTION("""COMPUTED_VALUE"""),11308.0)</f>
        <v>11308</v>
      </c>
      <c r="E53" s="6">
        <f>IFERROR(__xludf.DUMMYFUNCTION("""COMPUTED_VALUE"""),11717.95)</f>
        <v>11717.95</v>
      </c>
      <c r="F53" s="6">
        <f>IFERROR(__xludf.DUMMYFUNCTION("""COMPUTED_VALUE"""),1269096.0)</f>
        <v>1269096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IFERROR(__xludf.DUMMYFUNCTION("""COMPUTED_VALUE"""),11675.0)</f>
        <v>11675</v>
      </c>
      <c r="C54" s="6">
        <f>IFERROR(__xludf.DUMMYFUNCTION("""COMPUTED_VALUE"""),11843.9)</f>
        <v>11843.9</v>
      </c>
      <c r="D54" s="6">
        <f>IFERROR(__xludf.DUMMYFUNCTION("""COMPUTED_VALUE"""),11535.85)</f>
        <v>11535.85</v>
      </c>
      <c r="E54" s="6">
        <f>IFERROR(__xludf.DUMMYFUNCTION("""COMPUTED_VALUE"""),11798.3)</f>
        <v>11798.3</v>
      </c>
      <c r="F54" s="6">
        <f>IFERROR(__xludf.DUMMYFUNCTION("""COMPUTED_VALUE"""),1481682.0)</f>
        <v>1481682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IFERROR(__xludf.DUMMYFUNCTION("""COMPUTED_VALUE"""),11835.0)</f>
        <v>11835</v>
      </c>
      <c r="C55" s="6">
        <f>IFERROR(__xludf.DUMMYFUNCTION("""COMPUTED_VALUE"""),12138.0)</f>
        <v>12138</v>
      </c>
      <c r="D55" s="6">
        <f>IFERROR(__xludf.DUMMYFUNCTION("""COMPUTED_VALUE"""),11680.0)</f>
        <v>11680</v>
      </c>
      <c r="E55" s="6">
        <f>IFERROR(__xludf.DUMMYFUNCTION("""COMPUTED_VALUE"""),11952.3)</f>
        <v>11952.3</v>
      </c>
      <c r="F55" s="6">
        <f>IFERROR(__xludf.DUMMYFUNCTION("""COMPUTED_VALUE"""),1399397.0)</f>
        <v>1399397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IFERROR(__xludf.DUMMYFUNCTION("""COMPUTED_VALUE"""),11924.0)</f>
        <v>11924</v>
      </c>
      <c r="C56" s="6">
        <f>IFERROR(__xludf.DUMMYFUNCTION("""COMPUTED_VALUE"""),11930.0)</f>
        <v>11930</v>
      </c>
      <c r="D56" s="6">
        <f>IFERROR(__xludf.DUMMYFUNCTION("""COMPUTED_VALUE"""),11380.0)</f>
        <v>11380</v>
      </c>
      <c r="E56" s="6">
        <f>IFERROR(__xludf.DUMMYFUNCTION("""COMPUTED_VALUE"""),11450.25)</f>
        <v>11450.25</v>
      </c>
      <c r="F56" s="6">
        <f>IFERROR(__xludf.DUMMYFUNCTION("""COMPUTED_VALUE"""),1392286.0)</f>
        <v>1392286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IFERROR(__xludf.DUMMYFUNCTION("""COMPUTED_VALUE"""),11491.95)</f>
        <v>11491.95</v>
      </c>
      <c r="C57" s="6">
        <f>IFERROR(__xludf.DUMMYFUNCTION("""COMPUTED_VALUE"""),11529.95)</f>
        <v>11529.95</v>
      </c>
      <c r="D57" s="6">
        <f>IFERROR(__xludf.DUMMYFUNCTION("""COMPUTED_VALUE"""),11192.1)</f>
        <v>11192.1</v>
      </c>
      <c r="E57" s="6">
        <f>IFERROR(__xludf.DUMMYFUNCTION("""COMPUTED_VALUE"""),11421.3)</f>
        <v>11421.3</v>
      </c>
      <c r="F57" s="6">
        <f>IFERROR(__xludf.DUMMYFUNCTION("""COMPUTED_VALUE"""),1409078.0)</f>
        <v>1409078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IFERROR(__xludf.DUMMYFUNCTION("""COMPUTED_VALUE"""),11399.95)</f>
        <v>11399.95</v>
      </c>
      <c r="C58" s="6">
        <f>IFERROR(__xludf.DUMMYFUNCTION("""COMPUTED_VALUE"""),11432.95)</f>
        <v>11432.95</v>
      </c>
      <c r="D58" s="6">
        <f>IFERROR(__xludf.DUMMYFUNCTION("""COMPUTED_VALUE"""),10901.0)</f>
        <v>10901</v>
      </c>
      <c r="E58" s="6">
        <f>IFERROR(__xludf.DUMMYFUNCTION("""COMPUTED_VALUE"""),11069.3)</f>
        <v>11069.3</v>
      </c>
      <c r="F58" s="6">
        <f>IFERROR(__xludf.DUMMYFUNCTION("""COMPUTED_VALUE"""),1287293.0)</f>
        <v>1287293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IFERROR(__xludf.DUMMYFUNCTION("""COMPUTED_VALUE"""),11050.0)</f>
        <v>11050</v>
      </c>
      <c r="C59" s="6">
        <f>IFERROR(__xludf.DUMMYFUNCTION("""COMPUTED_VALUE"""),11166.65)</f>
        <v>11166.65</v>
      </c>
      <c r="D59" s="6">
        <f>IFERROR(__xludf.DUMMYFUNCTION("""COMPUTED_VALUE"""),10672.0)</f>
        <v>10672</v>
      </c>
      <c r="E59" s="6">
        <f>IFERROR(__xludf.DUMMYFUNCTION("""COMPUTED_VALUE"""),10995.2)</f>
        <v>10995.2</v>
      </c>
      <c r="F59" s="6">
        <f>IFERROR(__xludf.DUMMYFUNCTION("""COMPUTED_VALUE"""),2573317.0)</f>
        <v>2573317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IFERROR(__xludf.DUMMYFUNCTION("""COMPUTED_VALUE"""),11147.0)</f>
        <v>11147</v>
      </c>
      <c r="C60" s="6">
        <f>IFERROR(__xludf.DUMMYFUNCTION("""COMPUTED_VALUE"""),11306.9)</f>
        <v>11306.9</v>
      </c>
      <c r="D60" s="6">
        <f>IFERROR(__xludf.DUMMYFUNCTION("""COMPUTED_VALUE"""),10930.05)</f>
        <v>10930.05</v>
      </c>
      <c r="E60" s="6">
        <f>IFERROR(__xludf.DUMMYFUNCTION("""COMPUTED_VALUE"""),11043.35)</f>
        <v>11043.35</v>
      </c>
      <c r="F60" s="6">
        <f>IFERROR(__xludf.DUMMYFUNCTION("""COMPUTED_VALUE"""),1316040.0)</f>
        <v>1316040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IFERROR(__xludf.DUMMYFUNCTION("""COMPUTED_VALUE"""),11015.0)</f>
        <v>11015</v>
      </c>
      <c r="C61" s="6">
        <f>IFERROR(__xludf.DUMMYFUNCTION("""COMPUTED_VALUE"""),11109.95)</f>
        <v>11109.95</v>
      </c>
      <c r="D61" s="6">
        <f>IFERROR(__xludf.DUMMYFUNCTION("""COMPUTED_VALUE"""),10542.5)</f>
        <v>10542.5</v>
      </c>
      <c r="E61" s="6">
        <f>IFERROR(__xludf.DUMMYFUNCTION("""COMPUTED_VALUE"""),10728.5)</f>
        <v>10728.5</v>
      </c>
      <c r="F61" s="6">
        <f>IFERROR(__xludf.DUMMYFUNCTION("""COMPUTED_VALUE"""),788161.0)</f>
        <v>788161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IFERROR(__xludf.DUMMYFUNCTION("""COMPUTED_VALUE"""),10632.1)</f>
        <v>10632.1</v>
      </c>
      <c r="C62" s="6">
        <f>IFERROR(__xludf.DUMMYFUNCTION("""COMPUTED_VALUE"""),11409.9)</f>
        <v>11409.9</v>
      </c>
      <c r="D62" s="6">
        <f>IFERROR(__xludf.DUMMYFUNCTION("""COMPUTED_VALUE"""),10555.0)</f>
        <v>10555</v>
      </c>
      <c r="E62" s="6">
        <f>IFERROR(__xludf.DUMMYFUNCTION("""COMPUTED_VALUE"""),11375.3)</f>
        <v>11375.3</v>
      </c>
      <c r="F62" s="6">
        <f>IFERROR(__xludf.DUMMYFUNCTION("""COMPUTED_VALUE"""),1229893.0)</f>
        <v>1229893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IFERROR(__xludf.DUMMYFUNCTION("""COMPUTED_VALUE"""),11450.0)</f>
        <v>11450</v>
      </c>
      <c r="C63" s="6">
        <f>IFERROR(__xludf.DUMMYFUNCTION("""COMPUTED_VALUE"""),11690.0)</f>
        <v>11690</v>
      </c>
      <c r="D63" s="6">
        <f>IFERROR(__xludf.DUMMYFUNCTION("""COMPUTED_VALUE"""),10915.0)</f>
        <v>10915</v>
      </c>
      <c r="E63" s="6">
        <f>IFERROR(__xludf.DUMMYFUNCTION("""COMPUTED_VALUE"""),11202.15)</f>
        <v>11202.15</v>
      </c>
      <c r="F63" s="6">
        <f>IFERROR(__xludf.DUMMYFUNCTION("""COMPUTED_VALUE"""),1732766.0)</f>
        <v>1732766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IFERROR(__xludf.DUMMYFUNCTION("""COMPUTED_VALUE"""),11206.7)</f>
        <v>11206.7</v>
      </c>
      <c r="C64" s="6">
        <f>IFERROR(__xludf.DUMMYFUNCTION("""COMPUTED_VALUE"""),12001.95)</f>
        <v>12001.95</v>
      </c>
      <c r="D64" s="6">
        <f>IFERROR(__xludf.DUMMYFUNCTION("""COMPUTED_VALUE"""),11206.7)</f>
        <v>11206.7</v>
      </c>
      <c r="E64" s="6">
        <f>IFERROR(__xludf.DUMMYFUNCTION("""COMPUTED_VALUE"""),11848.5)</f>
        <v>11848.5</v>
      </c>
      <c r="F64" s="6">
        <f>IFERROR(__xludf.DUMMYFUNCTION("""COMPUTED_VALUE"""),2071970.0)</f>
        <v>2071970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IFERROR(__xludf.DUMMYFUNCTION("""COMPUTED_VALUE"""),11858.4)</f>
        <v>11858.4</v>
      </c>
      <c r="C65" s="6">
        <f>IFERROR(__xludf.DUMMYFUNCTION("""COMPUTED_VALUE"""),12118.5)</f>
        <v>12118.5</v>
      </c>
      <c r="D65" s="6">
        <f>IFERROR(__xludf.DUMMYFUNCTION("""COMPUTED_VALUE"""),11695.0)</f>
        <v>11695</v>
      </c>
      <c r="E65" s="6">
        <f>IFERROR(__xludf.DUMMYFUNCTION("""COMPUTED_VALUE"""),12083.9)</f>
        <v>12083.9</v>
      </c>
      <c r="F65" s="6">
        <f>IFERROR(__xludf.DUMMYFUNCTION("""COMPUTED_VALUE"""),1684653.0)</f>
        <v>1684653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IFERROR(__xludf.DUMMYFUNCTION("""COMPUTED_VALUE"""),12050.0)</f>
        <v>12050</v>
      </c>
      <c r="C66" s="6">
        <f>IFERROR(__xludf.DUMMYFUNCTION("""COMPUTED_VALUE"""),12145.35)</f>
        <v>12145.35</v>
      </c>
      <c r="D66" s="6">
        <f>IFERROR(__xludf.DUMMYFUNCTION("""COMPUTED_VALUE"""),11397.65)</f>
        <v>11397.65</v>
      </c>
      <c r="E66" s="6">
        <f>IFERROR(__xludf.DUMMYFUNCTION("""COMPUTED_VALUE"""),11422.8)</f>
        <v>11422.8</v>
      </c>
      <c r="F66" s="6">
        <f>IFERROR(__xludf.DUMMYFUNCTION("""COMPUTED_VALUE"""),1144536.0)</f>
        <v>1144536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IFERROR(__xludf.DUMMYFUNCTION("""COMPUTED_VALUE"""),11520.0)</f>
        <v>11520</v>
      </c>
      <c r="C67" s="6">
        <f>IFERROR(__xludf.DUMMYFUNCTION("""COMPUTED_VALUE"""),11799.0)</f>
        <v>11799</v>
      </c>
      <c r="D67" s="6">
        <f>IFERROR(__xludf.DUMMYFUNCTION("""COMPUTED_VALUE"""),11334.5)</f>
        <v>11334.5</v>
      </c>
      <c r="E67" s="6">
        <f>IFERROR(__xludf.DUMMYFUNCTION("""COMPUTED_VALUE"""),11406.55)</f>
        <v>11406.55</v>
      </c>
      <c r="F67" s="6">
        <f>IFERROR(__xludf.DUMMYFUNCTION("""COMPUTED_VALUE"""),520043.0)</f>
        <v>520043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IFERROR(__xludf.DUMMYFUNCTION("""COMPUTED_VALUE"""),11419.45)</f>
        <v>11419.45</v>
      </c>
      <c r="C68" s="6">
        <f>IFERROR(__xludf.DUMMYFUNCTION("""COMPUTED_VALUE"""),11861.65)</f>
        <v>11861.65</v>
      </c>
      <c r="D68" s="6">
        <f>IFERROR(__xludf.DUMMYFUNCTION("""COMPUTED_VALUE"""),11194.05)</f>
        <v>11194.05</v>
      </c>
      <c r="E68" s="6">
        <f>IFERROR(__xludf.DUMMYFUNCTION("""COMPUTED_VALUE"""),11786.0)</f>
        <v>11786</v>
      </c>
      <c r="F68" s="6">
        <f>IFERROR(__xludf.DUMMYFUNCTION("""COMPUTED_VALUE"""),1019674.0)</f>
        <v>1019674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IFERROR(__xludf.DUMMYFUNCTION("""COMPUTED_VALUE"""),11801.95)</f>
        <v>11801.95</v>
      </c>
      <c r="C69" s="6">
        <f>IFERROR(__xludf.DUMMYFUNCTION("""COMPUTED_VALUE"""),11854.75)</f>
        <v>11854.75</v>
      </c>
      <c r="D69" s="6">
        <f>IFERROR(__xludf.DUMMYFUNCTION("""COMPUTED_VALUE"""),10837.55)</f>
        <v>10837.55</v>
      </c>
      <c r="E69" s="6">
        <f>IFERROR(__xludf.DUMMYFUNCTION("""COMPUTED_VALUE"""),10865.2)</f>
        <v>10865.2</v>
      </c>
      <c r="F69" s="6">
        <f>IFERROR(__xludf.DUMMYFUNCTION("""COMPUTED_VALUE"""),921788.0)</f>
        <v>921788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IFERROR(__xludf.DUMMYFUNCTION("""COMPUTED_VALUE"""),10700.0)</f>
        <v>10700</v>
      </c>
      <c r="C70" s="6">
        <f>IFERROR(__xludf.DUMMYFUNCTION("""COMPUTED_VALUE"""),10830.0)</f>
        <v>10830</v>
      </c>
      <c r="D70" s="6">
        <f>IFERROR(__xludf.DUMMYFUNCTION("""COMPUTED_VALUE"""),10462.0)</f>
        <v>10462</v>
      </c>
      <c r="E70" s="6">
        <f>IFERROR(__xludf.DUMMYFUNCTION("""COMPUTED_VALUE"""),10580.0)</f>
        <v>10580</v>
      </c>
      <c r="F70" s="6">
        <f>IFERROR(__xludf.DUMMYFUNCTION("""COMPUTED_VALUE"""),1615434.0)</f>
        <v>1615434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IFERROR(__xludf.DUMMYFUNCTION("""COMPUTED_VALUE"""),10587.4)</f>
        <v>10587.4</v>
      </c>
      <c r="C71" s="6">
        <f>IFERROR(__xludf.DUMMYFUNCTION("""COMPUTED_VALUE"""),11609.7)</f>
        <v>11609.7</v>
      </c>
      <c r="D71" s="6">
        <f>IFERROR(__xludf.DUMMYFUNCTION("""COMPUTED_VALUE"""),10484.25)</f>
        <v>10484.25</v>
      </c>
      <c r="E71" s="6">
        <f>IFERROR(__xludf.DUMMYFUNCTION("""COMPUTED_VALUE"""),11285.85)</f>
        <v>11285.85</v>
      </c>
      <c r="F71" s="6">
        <f>IFERROR(__xludf.DUMMYFUNCTION("""COMPUTED_VALUE"""),3232260.0)</f>
        <v>3232260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IFERROR(__xludf.DUMMYFUNCTION("""COMPUTED_VALUE"""),11120.25)</f>
        <v>11120.25</v>
      </c>
      <c r="C72" s="6">
        <f>IFERROR(__xludf.DUMMYFUNCTION("""COMPUTED_VALUE"""),11733.0)</f>
        <v>11733</v>
      </c>
      <c r="D72" s="6">
        <f>IFERROR(__xludf.DUMMYFUNCTION("""COMPUTED_VALUE"""),10951.4)</f>
        <v>10951.4</v>
      </c>
      <c r="E72" s="6">
        <f>IFERROR(__xludf.DUMMYFUNCTION("""COMPUTED_VALUE"""),11640.6)</f>
        <v>11640.6</v>
      </c>
      <c r="F72" s="6">
        <f>IFERROR(__xludf.DUMMYFUNCTION("""COMPUTED_VALUE"""),1621455.0)</f>
        <v>1621455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IFERROR(__xludf.DUMMYFUNCTION("""COMPUTED_VALUE"""),11520.0)</f>
        <v>11520</v>
      </c>
      <c r="C73" s="6">
        <f>IFERROR(__xludf.DUMMYFUNCTION("""COMPUTED_VALUE"""),11649.9)</f>
        <v>11649.9</v>
      </c>
      <c r="D73" s="6">
        <f>IFERROR(__xludf.DUMMYFUNCTION("""COMPUTED_VALUE"""),11074.6)</f>
        <v>11074.6</v>
      </c>
      <c r="E73" s="6">
        <f>IFERROR(__xludf.DUMMYFUNCTION("""COMPUTED_VALUE"""),11263.85)</f>
        <v>11263.85</v>
      </c>
      <c r="F73" s="6">
        <f>IFERROR(__xludf.DUMMYFUNCTION("""COMPUTED_VALUE"""),1526318.0)</f>
        <v>1526318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IFERROR(__xludf.DUMMYFUNCTION("""COMPUTED_VALUE"""),11219.0)</f>
        <v>11219</v>
      </c>
      <c r="C74" s="6">
        <f>IFERROR(__xludf.DUMMYFUNCTION("""COMPUTED_VALUE"""),11509.9)</f>
        <v>11509.9</v>
      </c>
      <c r="D74" s="6">
        <f>IFERROR(__xludf.DUMMYFUNCTION("""COMPUTED_VALUE"""),10990.0)</f>
        <v>10990</v>
      </c>
      <c r="E74" s="6">
        <f>IFERROR(__xludf.DUMMYFUNCTION("""COMPUTED_VALUE"""),11157.25)</f>
        <v>11157.25</v>
      </c>
      <c r="F74" s="6">
        <f>IFERROR(__xludf.DUMMYFUNCTION("""COMPUTED_VALUE"""),1054855.0)</f>
        <v>1054855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IFERROR(__xludf.DUMMYFUNCTION("""COMPUTED_VALUE"""),11008.65)</f>
        <v>11008.65</v>
      </c>
      <c r="C75" s="6">
        <f>IFERROR(__xludf.DUMMYFUNCTION("""COMPUTED_VALUE"""),11170.0)</f>
        <v>11170</v>
      </c>
      <c r="D75" s="6">
        <f>IFERROR(__xludf.DUMMYFUNCTION("""COMPUTED_VALUE"""),10047.85)</f>
        <v>10047.85</v>
      </c>
      <c r="E75" s="6">
        <f>IFERROR(__xludf.DUMMYFUNCTION("""COMPUTED_VALUE"""),10128.45)</f>
        <v>10128.45</v>
      </c>
      <c r="F75" s="6">
        <f>IFERROR(__xludf.DUMMYFUNCTION("""COMPUTED_VALUE"""),3424944.0)</f>
        <v>3424944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IFERROR(__xludf.DUMMYFUNCTION("""COMPUTED_VALUE"""),10319.25)</f>
        <v>10319.25</v>
      </c>
      <c r="C76" s="6">
        <f>IFERROR(__xludf.DUMMYFUNCTION("""COMPUTED_VALUE"""),10621.8)</f>
        <v>10621.8</v>
      </c>
      <c r="D76" s="6">
        <f>IFERROR(__xludf.DUMMYFUNCTION("""COMPUTED_VALUE"""),10240.0)</f>
        <v>10240</v>
      </c>
      <c r="E76" s="6">
        <f>IFERROR(__xludf.DUMMYFUNCTION("""COMPUTED_VALUE"""),10582.4)</f>
        <v>10582.4</v>
      </c>
      <c r="F76" s="6">
        <f>IFERROR(__xludf.DUMMYFUNCTION("""COMPUTED_VALUE"""),2167357.0)</f>
        <v>2167357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IFERROR(__xludf.DUMMYFUNCTION("""COMPUTED_VALUE"""),10589.0)</f>
        <v>10589</v>
      </c>
      <c r="C77" s="6">
        <f>IFERROR(__xludf.DUMMYFUNCTION("""COMPUTED_VALUE"""),10645.6)</f>
        <v>10645.6</v>
      </c>
      <c r="D77" s="6">
        <f>IFERROR(__xludf.DUMMYFUNCTION("""COMPUTED_VALUE"""),10356.25)</f>
        <v>10356.25</v>
      </c>
      <c r="E77" s="6">
        <f>IFERROR(__xludf.DUMMYFUNCTION("""COMPUTED_VALUE"""),10452.1)</f>
        <v>10452.1</v>
      </c>
      <c r="F77" s="6">
        <f>IFERROR(__xludf.DUMMYFUNCTION("""COMPUTED_VALUE"""),865641.0)</f>
        <v>865641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IFERROR(__xludf.DUMMYFUNCTION("""COMPUTED_VALUE"""),10546.5)</f>
        <v>10546.5</v>
      </c>
      <c r="C78" s="6">
        <f>IFERROR(__xludf.DUMMYFUNCTION("""COMPUTED_VALUE"""),11240.0)</f>
        <v>11240</v>
      </c>
      <c r="D78" s="6">
        <f>IFERROR(__xludf.DUMMYFUNCTION("""COMPUTED_VALUE"""),10448.0)</f>
        <v>10448</v>
      </c>
      <c r="E78" s="6">
        <f>IFERROR(__xludf.DUMMYFUNCTION("""COMPUTED_VALUE"""),10976.75)</f>
        <v>10976.75</v>
      </c>
      <c r="F78" s="6">
        <f>IFERROR(__xludf.DUMMYFUNCTION("""COMPUTED_VALUE"""),2041672.0)</f>
        <v>2041672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IFERROR(__xludf.DUMMYFUNCTION("""COMPUTED_VALUE"""),11018.95)</f>
        <v>11018.95</v>
      </c>
      <c r="C79" s="6">
        <f>IFERROR(__xludf.DUMMYFUNCTION("""COMPUTED_VALUE"""),11699.0)</f>
        <v>11699</v>
      </c>
      <c r="D79" s="6">
        <f>IFERROR(__xludf.DUMMYFUNCTION("""COMPUTED_VALUE"""),10853.85)</f>
        <v>10853.85</v>
      </c>
      <c r="E79" s="6">
        <f>IFERROR(__xludf.DUMMYFUNCTION("""COMPUTED_VALUE"""),11509.55)</f>
        <v>11509.55</v>
      </c>
      <c r="F79" s="6">
        <f>IFERROR(__xludf.DUMMYFUNCTION("""COMPUTED_VALUE"""),2137786.0)</f>
        <v>2137786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IFERROR(__xludf.DUMMYFUNCTION("""COMPUTED_VALUE"""),11350.0)</f>
        <v>11350</v>
      </c>
      <c r="C80" s="6">
        <f>IFERROR(__xludf.DUMMYFUNCTION("""COMPUTED_VALUE"""),11650.05)</f>
        <v>11650.05</v>
      </c>
      <c r="D80" s="6">
        <f>IFERROR(__xludf.DUMMYFUNCTION("""COMPUTED_VALUE"""),11155.0)</f>
        <v>11155</v>
      </c>
      <c r="E80" s="6">
        <f>IFERROR(__xludf.DUMMYFUNCTION("""COMPUTED_VALUE"""),11498.65)</f>
        <v>11498.65</v>
      </c>
      <c r="F80" s="6">
        <f>IFERROR(__xludf.DUMMYFUNCTION("""COMPUTED_VALUE"""),1223687.0)</f>
        <v>1223687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IFERROR(__xludf.DUMMYFUNCTION("""COMPUTED_VALUE"""),11200.0)</f>
        <v>11200</v>
      </c>
      <c r="C81" s="6">
        <f>IFERROR(__xludf.DUMMYFUNCTION("""COMPUTED_VALUE"""),11842.35)</f>
        <v>11842.35</v>
      </c>
      <c r="D81" s="6">
        <f>IFERROR(__xludf.DUMMYFUNCTION("""COMPUTED_VALUE"""),11015.05)</f>
        <v>11015.05</v>
      </c>
      <c r="E81" s="6">
        <f>IFERROR(__xludf.DUMMYFUNCTION("""COMPUTED_VALUE"""),11502.65)</f>
        <v>11502.65</v>
      </c>
      <c r="F81" s="6">
        <f>IFERROR(__xludf.DUMMYFUNCTION("""COMPUTED_VALUE"""),1668281.0)</f>
        <v>1668281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IFERROR(__xludf.DUMMYFUNCTION("""COMPUTED_VALUE"""),11749.0)</f>
        <v>11749</v>
      </c>
      <c r="C82" s="6">
        <f>IFERROR(__xludf.DUMMYFUNCTION("""COMPUTED_VALUE"""),11922.0)</f>
        <v>11922</v>
      </c>
      <c r="D82" s="6">
        <f>IFERROR(__xludf.DUMMYFUNCTION("""COMPUTED_VALUE"""),11581.0)</f>
        <v>11581</v>
      </c>
      <c r="E82" s="6">
        <f>IFERROR(__xludf.DUMMYFUNCTION("""COMPUTED_VALUE"""),11901.0)</f>
        <v>11901</v>
      </c>
      <c r="F82" s="6">
        <f>IFERROR(__xludf.DUMMYFUNCTION("""COMPUTED_VALUE"""),903883.0)</f>
        <v>903883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IFERROR(__xludf.DUMMYFUNCTION("""COMPUTED_VALUE"""),11816.0)</f>
        <v>11816</v>
      </c>
      <c r="C83" s="6">
        <f>IFERROR(__xludf.DUMMYFUNCTION("""COMPUTED_VALUE"""),12304.0)</f>
        <v>12304</v>
      </c>
      <c r="D83" s="6">
        <f>IFERROR(__xludf.DUMMYFUNCTION("""COMPUTED_VALUE"""),11781.0)</f>
        <v>11781</v>
      </c>
      <c r="E83" s="6">
        <f>IFERROR(__xludf.DUMMYFUNCTION("""COMPUTED_VALUE"""),12237.0)</f>
        <v>12237</v>
      </c>
      <c r="F83" s="6">
        <f>IFERROR(__xludf.DUMMYFUNCTION("""COMPUTED_VALUE"""),1585279.0)</f>
        <v>1585279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IFERROR(__xludf.DUMMYFUNCTION("""COMPUTED_VALUE"""),12232.0)</f>
        <v>12232</v>
      </c>
      <c r="C84" s="6">
        <f>IFERROR(__xludf.DUMMYFUNCTION("""COMPUTED_VALUE"""),12339.0)</f>
        <v>12339</v>
      </c>
      <c r="D84" s="6">
        <f>IFERROR(__xludf.DUMMYFUNCTION("""COMPUTED_VALUE"""),11481.0)</f>
        <v>11481</v>
      </c>
      <c r="E84" s="6">
        <f>IFERROR(__xludf.DUMMYFUNCTION("""COMPUTED_VALUE"""),11644.0)</f>
        <v>11644</v>
      </c>
      <c r="F84" s="6">
        <f>IFERROR(__xludf.DUMMYFUNCTION("""COMPUTED_VALUE"""),1853106.0)</f>
        <v>1853106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IFERROR(__xludf.DUMMYFUNCTION("""COMPUTED_VALUE"""),11702.0)</f>
        <v>11702</v>
      </c>
      <c r="C85" s="6">
        <f>IFERROR(__xludf.DUMMYFUNCTION("""COMPUTED_VALUE"""),11740.0)</f>
        <v>11740</v>
      </c>
      <c r="D85" s="6">
        <f>IFERROR(__xludf.DUMMYFUNCTION("""COMPUTED_VALUE"""),11313.0)</f>
        <v>11313</v>
      </c>
      <c r="E85" s="6">
        <f>IFERROR(__xludf.DUMMYFUNCTION("""COMPUTED_VALUE"""),11364.0)</f>
        <v>11364</v>
      </c>
      <c r="F85" s="6">
        <f>IFERROR(__xludf.DUMMYFUNCTION("""COMPUTED_VALUE"""),1225389.0)</f>
        <v>1225389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IFERROR(__xludf.DUMMYFUNCTION("""COMPUTED_VALUE"""),11590.0)</f>
        <v>11590</v>
      </c>
      <c r="C86" s="6">
        <f>IFERROR(__xludf.DUMMYFUNCTION("""COMPUTED_VALUE"""),11990.0)</f>
        <v>11990</v>
      </c>
      <c r="D86" s="6">
        <f>IFERROR(__xludf.DUMMYFUNCTION("""COMPUTED_VALUE"""),11565.0)</f>
        <v>11565</v>
      </c>
      <c r="E86" s="6">
        <f>IFERROR(__xludf.DUMMYFUNCTION("""COMPUTED_VALUE"""),11905.0)</f>
        <v>11905</v>
      </c>
      <c r="F86" s="6">
        <f>IFERROR(__xludf.DUMMYFUNCTION("""COMPUTED_VALUE"""),1250887.0)</f>
        <v>1250887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IFERROR(__xludf.DUMMYFUNCTION("""COMPUTED_VALUE"""),11904.0)</f>
        <v>11904</v>
      </c>
      <c r="C87" s="6">
        <f>IFERROR(__xludf.DUMMYFUNCTION("""COMPUTED_VALUE"""),11991.0)</f>
        <v>11991</v>
      </c>
      <c r="D87" s="6">
        <f>IFERROR(__xludf.DUMMYFUNCTION("""COMPUTED_VALUE"""),11517.0)</f>
        <v>11517</v>
      </c>
      <c r="E87" s="6">
        <f>IFERROR(__xludf.DUMMYFUNCTION("""COMPUTED_VALUE"""),11746.0)</f>
        <v>11746</v>
      </c>
      <c r="F87" s="6">
        <f>IFERROR(__xludf.DUMMYFUNCTION("""COMPUTED_VALUE"""),817021.0)</f>
        <v>817021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IFERROR(__xludf.DUMMYFUNCTION("""COMPUTED_VALUE"""),11800.0)</f>
        <v>11800</v>
      </c>
      <c r="C88" s="6">
        <f>IFERROR(__xludf.DUMMYFUNCTION("""COMPUTED_VALUE"""),11884.0)</f>
        <v>11884</v>
      </c>
      <c r="D88" s="6">
        <f>IFERROR(__xludf.DUMMYFUNCTION("""COMPUTED_VALUE"""),11151.0)</f>
        <v>11151</v>
      </c>
      <c r="E88" s="6">
        <f>IFERROR(__xludf.DUMMYFUNCTION("""COMPUTED_VALUE"""),11210.0)</f>
        <v>11210</v>
      </c>
      <c r="F88" s="6">
        <f>IFERROR(__xludf.DUMMYFUNCTION("""COMPUTED_VALUE"""),1621935.0)</f>
        <v>1621935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IFERROR(__xludf.DUMMYFUNCTION("""COMPUTED_VALUE"""),11180.0)</f>
        <v>11180</v>
      </c>
      <c r="C89" s="6">
        <f>IFERROR(__xludf.DUMMYFUNCTION("""COMPUTED_VALUE"""),11311.0)</f>
        <v>11311</v>
      </c>
      <c r="D89" s="6">
        <f>IFERROR(__xludf.DUMMYFUNCTION("""COMPUTED_VALUE"""),10920.0)</f>
        <v>10920</v>
      </c>
      <c r="E89" s="6">
        <f>IFERROR(__xludf.DUMMYFUNCTION("""COMPUTED_VALUE"""),11253.0)</f>
        <v>11253</v>
      </c>
      <c r="F89" s="6">
        <f>IFERROR(__xludf.DUMMYFUNCTION("""COMPUTED_VALUE"""),1344504.0)</f>
        <v>1344504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IFERROR(__xludf.DUMMYFUNCTION("""COMPUTED_VALUE"""),11260.0)</f>
        <v>11260</v>
      </c>
      <c r="C90" s="6">
        <f>IFERROR(__xludf.DUMMYFUNCTION("""COMPUTED_VALUE"""),11518.0)</f>
        <v>11518</v>
      </c>
      <c r="D90" s="6">
        <f>IFERROR(__xludf.DUMMYFUNCTION("""COMPUTED_VALUE"""),11018.0)</f>
        <v>11018</v>
      </c>
      <c r="E90" s="6">
        <f>IFERROR(__xludf.DUMMYFUNCTION("""COMPUTED_VALUE"""),11224.0)</f>
        <v>11224</v>
      </c>
      <c r="F90" s="6">
        <f>IFERROR(__xludf.DUMMYFUNCTION("""COMPUTED_VALUE"""),1170781.0)</f>
        <v>1170781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IFERROR(__xludf.DUMMYFUNCTION("""COMPUTED_VALUE"""),11270.0)</f>
        <v>11270</v>
      </c>
      <c r="C91" s="6">
        <f>IFERROR(__xludf.DUMMYFUNCTION("""COMPUTED_VALUE"""),11525.0)</f>
        <v>11525</v>
      </c>
      <c r="D91" s="6">
        <f>IFERROR(__xludf.DUMMYFUNCTION("""COMPUTED_VALUE"""),11197.0)</f>
        <v>11197</v>
      </c>
      <c r="E91" s="6">
        <f>IFERROR(__xludf.DUMMYFUNCTION("""COMPUTED_VALUE"""),11458.0)</f>
        <v>11458</v>
      </c>
      <c r="F91" s="6">
        <f>IFERROR(__xludf.DUMMYFUNCTION("""COMPUTED_VALUE"""),1466987.0)</f>
        <v>1466987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IFERROR(__xludf.DUMMYFUNCTION("""COMPUTED_VALUE"""),11401.0)</f>
        <v>11401</v>
      </c>
      <c r="C92" s="6">
        <f>IFERROR(__xludf.DUMMYFUNCTION("""COMPUTED_VALUE"""),12246.0)</f>
        <v>12246</v>
      </c>
      <c r="D92" s="6">
        <f>IFERROR(__xludf.DUMMYFUNCTION("""COMPUTED_VALUE"""),11321.0)</f>
        <v>11321</v>
      </c>
      <c r="E92" s="6">
        <f>IFERROR(__xludf.DUMMYFUNCTION("""COMPUTED_VALUE"""),12213.0)</f>
        <v>12213</v>
      </c>
      <c r="F92" s="6">
        <f>IFERROR(__xludf.DUMMYFUNCTION("""COMPUTED_VALUE"""),2301608.0)</f>
        <v>2301608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IFERROR(__xludf.DUMMYFUNCTION("""COMPUTED_VALUE"""),12215.0)</f>
        <v>12215</v>
      </c>
      <c r="C93" s="6">
        <f>IFERROR(__xludf.DUMMYFUNCTION("""COMPUTED_VALUE"""),12575.0)</f>
        <v>12575</v>
      </c>
      <c r="D93" s="6">
        <f>IFERROR(__xludf.DUMMYFUNCTION("""COMPUTED_VALUE"""),12018.0)</f>
        <v>12018</v>
      </c>
      <c r="E93" s="6">
        <f>IFERROR(__xludf.DUMMYFUNCTION("""COMPUTED_VALUE"""),12506.0)</f>
        <v>12506</v>
      </c>
      <c r="F93" s="6">
        <f>IFERROR(__xludf.DUMMYFUNCTION("""COMPUTED_VALUE"""),1453641.0)</f>
        <v>1453641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IFERROR(__xludf.DUMMYFUNCTION("""COMPUTED_VALUE"""),12476.0)</f>
        <v>12476</v>
      </c>
      <c r="C94" s="6">
        <f>IFERROR(__xludf.DUMMYFUNCTION("""COMPUTED_VALUE"""),12667.0)</f>
        <v>12667</v>
      </c>
      <c r="D94" s="6">
        <f>IFERROR(__xludf.DUMMYFUNCTION("""COMPUTED_VALUE"""),12305.0)</f>
        <v>12305</v>
      </c>
      <c r="E94" s="6">
        <f>IFERROR(__xludf.DUMMYFUNCTION("""COMPUTED_VALUE"""),12495.0)</f>
        <v>12495</v>
      </c>
      <c r="F94" s="6">
        <f>IFERROR(__xludf.DUMMYFUNCTION("""COMPUTED_VALUE"""),1258446.0)</f>
        <v>1258446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IFERROR(__xludf.DUMMYFUNCTION("""COMPUTED_VALUE"""),12495.0)</f>
        <v>12495</v>
      </c>
      <c r="C95" s="6">
        <f>IFERROR(__xludf.DUMMYFUNCTION("""COMPUTED_VALUE"""),12579.0)</f>
        <v>12579</v>
      </c>
      <c r="D95" s="6">
        <f>IFERROR(__xludf.DUMMYFUNCTION("""COMPUTED_VALUE"""),12398.0)</f>
        <v>12398</v>
      </c>
      <c r="E95" s="6">
        <f>IFERROR(__xludf.DUMMYFUNCTION("""COMPUTED_VALUE"""),12498.0)</f>
        <v>12498</v>
      </c>
      <c r="F95" s="6">
        <f>IFERROR(__xludf.DUMMYFUNCTION("""COMPUTED_VALUE"""),853834.0)</f>
        <v>853834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IFERROR(__xludf.DUMMYFUNCTION("""COMPUTED_VALUE"""),12560.0)</f>
        <v>12560</v>
      </c>
      <c r="C96" s="6">
        <f>IFERROR(__xludf.DUMMYFUNCTION("""COMPUTED_VALUE"""),12714.0)</f>
        <v>12714</v>
      </c>
      <c r="D96" s="6">
        <f>IFERROR(__xludf.DUMMYFUNCTION("""COMPUTED_VALUE"""),12193.0)</f>
        <v>12193</v>
      </c>
      <c r="E96" s="6">
        <f>IFERROR(__xludf.DUMMYFUNCTION("""COMPUTED_VALUE"""),12250.0)</f>
        <v>12250</v>
      </c>
      <c r="F96" s="6">
        <f>IFERROR(__xludf.DUMMYFUNCTION("""COMPUTED_VALUE"""),1706216.0)</f>
        <v>1706216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IFERROR(__xludf.DUMMYFUNCTION("""COMPUTED_VALUE"""),12274.0)</f>
        <v>12274</v>
      </c>
      <c r="C97" s="6">
        <f>IFERROR(__xludf.DUMMYFUNCTION("""COMPUTED_VALUE"""),12381.0)</f>
        <v>12381</v>
      </c>
      <c r="D97" s="6">
        <f>IFERROR(__xludf.DUMMYFUNCTION("""COMPUTED_VALUE"""),12075.0)</f>
        <v>12075</v>
      </c>
      <c r="E97" s="6">
        <f>IFERROR(__xludf.DUMMYFUNCTION("""COMPUTED_VALUE"""),12113.0)</f>
        <v>12113</v>
      </c>
      <c r="F97" s="6">
        <f>IFERROR(__xludf.DUMMYFUNCTION("""COMPUTED_VALUE"""),971183.0)</f>
        <v>971183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IFERROR(__xludf.DUMMYFUNCTION("""COMPUTED_VALUE"""),12158.0)</f>
        <v>12158</v>
      </c>
      <c r="C98" s="6">
        <f>IFERROR(__xludf.DUMMYFUNCTION("""COMPUTED_VALUE"""),12390.0)</f>
        <v>12390</v>
      </c>
      <c r="D98" s="6">
        <f>IFERROR(__xludf.DUMMYFUNCTION("""COMPUTED_VALUE"""),12125.0)</f>
        <v>12125</v>
      </c>
      <c r="E98" s="6">
        <f>IFERROR(__xludf.DUMMYFUNCTION("""COMPUTED_VALUE"""),12157.0)</f>
        <v>12157</v>
      </c>
      <c r="F98" s="6">
        <f>IFERROR(__xludf.DUMMYFUNCTION("""COMPUTED_VALUE"""),1071297.0)</f>
        <v>1071297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IFERROR(__xludf.DUMMYFUNCTION("""COMPUTED_VALUE"""),12161.0)</f>
        <v>12161</v>
      </c>
      <c r="C99" s="6">
        <f>IFERROR(__xludf.DUMMYFUNCTION("""COMPUTED_VALUE"""),12530.0)</f>
        <v>12530</v>
      </c>
      <c r="D99" s="6">
        <f>IFERROR(__xludf.DUMMYFUNCTION("""COMPUTED_VALUE"""),12161.0)</f>
        <v>12161</v>
      </c>
      <c r="E99" s="6">
        <f>IFERROR(__xludf.DUMMYFUNCTION("""COMPUTED_VALUE"""),12317.0)</f>
        <v>12317</v>
      </c>
      <c r="F99" s="6">
        <f>IFERROR(__xludf.DUMMYFUNCTION("""COMPUTED_VALUE"""),995805.0)</f>
        <v>995805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IFERROR(__xludf.DUMMYFUNCTION("""COMPUTED_VALUE"""),12628.0)</f>
        <v>12628</v>
      </c>
      <c r="C100" s="6">
        <f>IFERROR(__xludf.DUMMYFUNCTION("""COMPUTED_VALUE"""),12930.0)</f>
        <v>12930</v>
      </c>
      <c r="D100" s="6">
        <f>IFERROR(__xludf.DUMMYFUNCTION("""COMPUTED_VALUE"""),12556.0)</f>
        <v>12556</v>
      </c>
      <c r="E100" s="6">
        <f>IFERROR(__xludf.DUMMYFUNCTION("""COMPUTED_VALUE"""),12589.0)</f>
        <v>12589</v>
      </c>
      <c r="F100" s="6">
        <f>IFERROR(__xludf.DUMMYFUNCTION("""COMPUTED_VALUE"""),1833094.0)</f>
        <v>1833094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IFERROR(__xludf.DUMMYFUNCTION("""COMPUTED_VALUE"""),12648.0)</f>
        <v>12648</v>
      </c>
      <c r="C101" s="6">
        <f>IFERROR(__xludf.DUMMYFUNCTION("""COMPUTED_VALUE"""),12770.0)</f>
        <v>12770</v>
      </c>
      <c r="D101" s="6">
        <f>IFERROR(__xludf.DUMMYFUNCTION("""COMPUTED_VALUE"""),12480.0)</f>
        <v>12480</v>
      </c>
      <c r="E101" s="6">
        <f>IFERROR(__xludf.DUMMYFUNCTION("""COMPUTED_VALUE"""),12610.0)</f>
        <v>12610</v>
      </c>
      <c r="F101" s="6">
        <f>IFERROR(__xludf.DUMMYFUNCTION("""COMPUTED_VALUE"""),3551568.0)</f>
        <v>3551568</v>
      </c>
    </row>
  </sheetData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IFERROR(__xludf.DUMMYFUNCTION("GOOGLEFINANCE(""NSE:UNIONBANK"",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IFERROR(__xludf.DUMMYFUNCTION("""COMPUTED_VALUE"""),90.25)</f>
        <v>90.25</v>
      </c>
      <c r="C2" s="6">
        <f>IFERROR(__xludf.DUMMYFUNCTION("""COMPUTED_VALUE"""),92.5)</f>
        <v>92.5</v>
      </c>
      <c r="D2" s="6">
        <f>IFERROR(__xludf.DUMMYFUNCTION("""COMPUTED_VALUE"""),84.85)</f>
        <v>84.85</v>
      </c>
      <c r="E2" s="6">
        <f>IFERROR(__xludf.DUMMYFUNCTION("""COMPUTED_VALUE"""),86.1)</f>
        <v>86.1</v>
      </c>
      <c r="F2" s="6">
        <f>IFERROR(__xludf.DUMMYFUNCTION("""COMPUTED_VALUE"""),1.39476686E8)</f>
        <v>139476686</v>
      </c>
    </row>
    <row r="3">
      <c r="A3" s="7">
        <f>IFERROR(__xludf.DUMMYFUNCTION("""COMPUTED_VALUE"""),45177.64583333333)</f>
        <v>45177.64583</v>
      </c>
      <c r="B3" s="6">
        <f>IFERROR(__xludf.DUMMYFUNCTION("""COMPUTED_VALUE"""),86.9)</f>
        <v>86.9</v>
      </c>
      <c r="C3" s="6">
        <f>IFERROR(__xludf.DUMMYFUNCTION("""COMPUTED_VALUE"""),90.35)</f>
        <v>90.35</v>
      </c>
      <c r="D3" s="6">
        <f>IFERROR(__xludf.DUMMYFUNCTION("""COMPUTED_VALUE"""),86.6)</f>
        <v>86.6</v>
      </c>
      <c r="E3" s="6">
        <f>IFERROR(__xludf.DUMMYFUNCTION("""COMPUTED_VALUE"""),88.1)</f>
        <v>88.1</v>
      </c>
      <c r="F3" s="6">
        <f>IFERROR(__xludf.DUMMYFUNCTION("""COMPUTED_VALUE"""),8.5751868E7)</f>
        <v>85751868</v>
      </c>
    </row>
    <row r="4">
      <c r="A4" s="7">
        <f>IFERROR(__xludf.DUMMYFUNCTION("""COMPUTED_VALUE"""),45184.64583333333)</f>
        <v>45184.64583</v>
      </c>
      <c r="B4" s="6">
        <f>IFERROR(__xludf.DUMMYFUNCTION("""COMPUTED_VALUE"""),88.95)</f>
        <v>88.95</v>
      </c>
      <c r="C4" s="6">
        <f>IFERROR(__xludf.DUMMYFUNCTION("""COMPUTED_VALUE"""),98.2)</f>
        <v>98.2</v>
      </c>
      <c r="D4" s="6">
        <f>IFERROR(__xludf.DUMMYFUNCTION("""COMPUTED_VALUE"""),86.7)</f>
        <v>86.7</v>
      </c>
      <c r="E4" s="6">
        <f>IFERROR(__xludf.DUMMYFUNCTION("""COMPUTED_VALUE"""),96.1)</f>
        <v>96.1</v>
      </c>
      <c r="F4" s="6">
        <f>IFERROR(__xludf.DUMMYFUNCTION("""COMPUTED_VALUE"""),2.65237557E8)</f>
        <v>265237557</v>
      </c>
    </row>
    <row r="5">
      <c r="A5" s="7">
        <f>IFERROR(__xludf.DUMMYFUNCTION("""COMPUTED_VALUE"""),45191.64583333333)</f>
        <v>45191.64583</v>
      </c>
      <c r="B5" s="6">
        <f>IFERROR(__xludf.DUMMYFUNCTION("""COMPUTED_VALUE"""),96.9)</f>
        <v>96.9</v>
      </c>
      <c r="C5" s="6">
        <f>IFERROR(__xludf.DUMMYFUNCTION("""COMPUTED_VALUE"""),102.9)</f>
        <v>102.9</v>
      </c>
      <c r="D5" s="6">
        <f>IFERROR(__xludf.DUMMYFUNCTION("""COMPUTED_VALUE"""),95.5)</f>
        <v>95.5</v>
      </c>
      <c r="E5" s="6">
        <f>IFERROR(__xludf.DUMMYFUNCTION("""COMPUTED_VALUE"""),101.85)</f>
        <v>101.85</v>
      </c>
      <c r="F5" s="6">
        <f>IFERROR(__xludf.DUMMYFUNCTION("""COMPUTED_VALUE"""),3.48911902E8)</f>
        <v>348911902</v>
      </c>
    </row>
    <row r="6">
      <c r="A6" s="7">
        <f>IFERROR(__xludf.DUMMYFUNCTION("""COMPUTED_VALUE"""),45198.64583333333)</f>
        <v>45198.64583</v>
      </c>
      <c r="B6" s="6">
        <f>IFERROR(__xludf.DUMMYFUNCTION("""COMPUTED_VALUE"""),103.0)</f>
        <v>103</v>
      </c>
      <c r="C6" s="6">
        <f>IFERROR(__xludf.DUMMYFUNCTION("""COMPUTED_VALUE"""),107.0)</f>
        <v>107</v>
      </c>
      <c r="D6" s="6">
        <f>IFERROR(__xludf.DUMMYFUNCTION("""COMPUTED_VALUE"""),99.15)</f>
        <v>99.15</v>
      </c>
      <c r="E6" s="6">
        <f>IFERROR(__xludf.DUMMYFUNCTION("""COMPUTED_VALUE"""),106.3)</f>
        <v>106.3</v>
      </c>
      <c r="F6" s="6">
        <f>IFERROR(__xludf.DUMMYFUNCTION("""COMPUTED_VALUE"""),2.08539073E8)</f>
        <v>208539073</v>
      </c>
    </row>
    <row r="7">
      <c r="A7" s="7">
        <f>IFERROR(__xludf.DUMMYFUNCTION("""COMPUTED_VALUE"""),45205.64583333333)</f>
        <v>45205.64583</v>
      </c>
      <c r="B7" s="6">
        <f>IFERROR(__xludf.DUMMYFUNCTION("""COMPUTED_VALUE"""),106.9)</f>
        <v>106.9</v>
      </c>
      <c r="C7" s="6">
        <f>IFERROR(__xludf.DUMMYFUNCTION("""COMPUTED_VALUE"""),113.35)</f>
        <v>113.35</v>
      </c>
      <c r="D7" s="6">
        <f>IFERROR(__xludf.DUMMYFUNCTION("""COMPUTED_VALUE"""),103.4)</f>
        <v>103.4</v>
      </c>
      <c r="E7" s="6">
        <f>IFERROR(__xludf.DUMMYFUNCTION("""COMPUTED_VALUE"""),105.3)</f>
        <v>105.3</v>
      </c>
      <c r="F7" s="6">
        <f>IFERROR(__xludf.DUMMYFUNCTION("""COMPUTED_VALUE"""),1.79956447E8)</f>
        <v>179956447</v>
      </c>
    </row>
    <row r="8">
      <c r="A8" s="7">
        <f>IFERROR(__xludf.DUMMYFUNCTION("""COMPUTED_VALUE"""),45212.64583333333)</f>
        <v>45212.64583</v>
      </c>
      <c r="B8" s="6">
        <f>IFERROR(__xludf.DUMMYFUNCTION("""COMPUTED_VALUE"""),102.5)</f>
        <v>102.5</v>
      </c>
      <c r="C8" s="6">
        <f>IFERROR(__xludf.DUMMYFUNCTION("""COMPUTED_VALUE"""),105.85)</f>
        <v>105.85</v>
      </c>
      <c r="D8" s="6">
        <f>IFERROR(__xludf.DUMMYFUNCTION("""COMPUTED_VALUE"""),99.0)</f>
        <v>99</v>
      </c>
      <c r="E8" s="6">
        <f>IFERROR(__xludf.DUMMYFUNCTION("""COMPUTED_VALUE"""),102.9)</f>
        <v>102.9</v>
      </c>
      <c r="F8" s="6">
        <f>IFERROR(__xludf.DUMMYFUNCTION("""COMPUTED_VALUE"""),1.04219374E8)</f>
        <v>104219374</v>
      </c>
    </row>
    <row r="9">
      <c r="A9" s="7">
        <f>IFERROR(__xludf.DUMMYFUNCTION("""COMPUTED_VALUE"""),45219.64583333333)</f>
        <v>45219.64583</v>
      </c>
      <c r="B9" s="6">
        <f>IFERROR(__xludf.DUMMYFUNCTION("""COMPUTED_VALUE"""),103.2)</f>
        <v>103.2</v>
      </c>
      <c r="C9" s="6">
        <f>IFERROR(__xludf.DUMMYFUNCTION("""COMPUTED_VALUE"""),106.6)</f>
        <v>106.6</v>
      </c>
      <c r="D9" s="6">
        <f>IFERROR(__xludf.DUMMYFUNCTION("""COMPUTED_VALUE"""),100.1)</f>
        <v>100.1</v>
      </c>
      <c r="E9" s="6">
        <f>IFERROR(__xludf.DUMMYFUNCTION("""COMPUTED_VALUE"""),101.15)</f>
        <v>101.15</v>
      </c>
      <c r="F9" s="6">
        <f>IFERROR(__xludf.DUMMYFUNCTION("""COMPUTED_VALUE"""),7.2549757E7)</f>
        <v>72549757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IFERROR(__xludf.DUMMYFUNCTION("""COMPUTED_VALUE"""),101.55)</f>
        <v>101.55</v>
      </c>
      <c r="C10" s="6">
        <f>IFERROR(__xludf.DUMMYFUNCTION("""COMPUTED_VALUE"""),102.0)</f>
        <v>102</v>
      </c>
      <c r="D10" s="6">
        <f>IFERROR(__xludf.DUMMYFUNCTION("""COMPUTED_VALUE"""),91.25)</f>
        <v>91.25</v>
      </c>
      <c r="E10" s="6">
        <f>IFERROR(__xludf.DUMMYFUNCTION("""COMPUTED_VALUE"""),99.9)</f>
        <v>99.9</v>
      </c>
      <c r="F10" s="6">
        <f>IFERROR(__xludf.DUMMYFUNCTION("""COMPUTED_VALUE"""),1.13518073E8)</f>
        <v>113518073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IFERROR(__xludf.DUMMYFUNCTION("""COMPUTED_VALUE"""),101.3)</f>
        <v>101.3</v>
      </c>
      <c r="C11" s="6">
        <f>IFERROR(__xludf.DUMMYFUNCTION("""COMPUTED_VALUE"""),106.75)</f>
        <v>106.75</v>
      </c>
      <c r="D11" s="6">
        <f>IFERROR(__xludf.DUMMYFUNCTION("""COMPUTED_VALUE"""),99.15)</f>
        <v>99.15</v>
      </c>
      <c r="E11" s="6">
        <f>IFERROR(__xludf.DUMMYFUNCTION("""COMPUTED_VALUE"""),104.5)</f>
        <v>104.5</v>
      </c>
      <c r="F11" s="6">
        <f>IFERROR(__xludf.DUMMYFUNCTION("""COMPUTED_VALUE"""),1.23473505E8)</f>
        <v>123473505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IFERROR(__xludf.DUMMYFUNCTION("""COMPUTED_VALUE"""),105.6)</f>
        <v>105.6</v>
      </c>
      <c r="C12" s="6">
        <f>IFERROR(__xludf.DUMMYFUNCTION("""COMPUTED_VALUE"""),105.8)</f>
        <v>105.8</v>
      </c>
      <c r="D12" s="6">
        <f>IFERROR(__xludf.DUMMYFUNCTION("""COMPUTED_VALUE"""),102.7)</f>
        <v>102.7</v>
      </c>
      <c r="E12" s="6">
        <f>IFERROR(__xludf.DUMMYFUNCTION("""COMPUTED_VALUE"""),104.0)</f>
        <v>104</v>
      </c>
      <c r="F12" s="6">
        <f>IFERROR(__xludf.DUMMYFUNCTION("""COMPUTED_VALUE"""),5.4934046E7)</f>
        <v>54934046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IFERROR(__xludf.DUMMYFUNCTION("""COMPUTED_VALUE"""),104.95)</f>
        <v>104.95</v>
      </c>
      <c r="C13" s="6">
        <f>IFERROR(__xludf.DUMMYFUNCTION("""COMPUTED_VALUE"""),116.0)</f>
        <v>116</v>
      </c>
      <c r="D13" s="6">
        <f>IFERROR(__xludf.DUMMYFUNCTION("""COMPUTED_VALUE"""),103.9)</f>
        <v>103.9</v>
      </c>
      <c r="E13" s="6">
        <f>IFERROR(__xludf.DUMMYFUNCTION("""COMPUTED_VALUE"""),108.65)</f>
        <v>108.65</v>
      </c>
      <c r="F13" s="6">
        <f>IFERROR(__xludf.DUMMYFUNCTION("""COMPUTED_VALUE"""),1.36006689E8)</f>
        <v>136006689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IFERROR(__xludf.DUMMYFUNCTION("""COMPUTED_VALUE"""),108.65)</f>
        <v>108.65</v>
      </c>
      <c r="C14" s="6">
        <f>IFERROR(__xludf.DUMMYFUNCTION("""COMPUTED_VALUE"""),111.45)</f>
        <v>111.45</v>
      </c>
      <c r="D14" s="6">
        <f>IFERROR(__xludf.DUMMYFUNCTION("""COMPUTED_VALUE"""),105.5)</f>
        <v>105.5</v>
      </c>
      <c r="E14" s="6">
        <f>IFERROR(__xludf.DUMMYFUNCTION("""COMPUTED_VALUE"""),106.95)</f>
        <v>106.95</v>
      </c>
      <c r="F14" s="6">
        <f>IFERROR(__xludf.DUMMYFUNCTION("""COMPUTED_VALUE"""),5.8577597E7)</f>
        <v>58577597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IFERROR(__xludf.DUMMYFUNCTION("""COMPUTED_VALUE"""),107.45)</f>
        <v>107.45</v>
      </c>
      <c r="C15" s="6">
        <f>IFERROR(__xludf.DUMMYFUNCTION("""COMPUTED_VALUE"""),111.9)</f>
        <v>111.9</v>
      </c>
      <c r="D15" s="6">
        <f>IFERROR(__xludf.DUMMYFUNCTION("""COMPUTED_VALUE"""),106.6)</f>
        <v>106.6</v>
      </c>
      <c r="E15" s="6">
        <f>IFERROR(__xludf.DUMMYFUNCTION("""COMPUTED_VALUE"""),108.8)</f>
        <v>108.8</v>
      </c>
      <c r="F15" s="6">
        <f>IFERROR(__xludf.DUMMYFUNCTION("""COMPUTED_VALUE"""),7.4663034E7)</f>
        <v>74663034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IFERROR(__xludf.DUMMYFUNCTION("""COMPUTED_VALUE"""),112.25)</f>
        <v>112.25</v>
      </c>
      <c r="C16" s="6">
        <f>IFERROR(__xludf.DUMMYFUNCTION("""COMPUTED_VALUE"""),118.5)</f>
        <v>118.5</v>
      </c>
      <c r="D16" s="6">
        <f>IFERROR(__xludf.DUMMYFUNCTION("""COMPUTED_VALUE"""),112.05)</f>
        <v>112.05</v>
      </c>
      <c r="E16" s="6">
        <f>IFERROR(__xludf.DUMMYFUNCTION("""COMPUTED_VALUE"""),117.15)</f>
        <v>117.15</v>
      </c>
      <c r="F16" s="6">
        <f>IFERROR(__xludf.DUMMYFUNCTION("""COMPUTED_VALUE"""),1.54318469E8)</f>
        <v>154318469</v>
      </c>
    </row>
    <row r="17">
      <c r="A17" s="7">
        <f>IFERROR(__xludf.DUMMYFUNCTION("""COMPUTED_VALUE"""),45275.64583333333)</f>
        <v>45275.64583</v>
      </c>
      <c r="B17" s="6">
        <f>IFERROR(__xludf.DUMMYFUNCTION("""COMPUTED_VALUE"""),117.75)</f>
        <v>117.75</v>
      </c>
      <c r="C17" s="6">
        <f>IFERROR(__xludf.DUMMYFUNCTION("""COMPUTED_VALUE"""),129.4)</f>
        <v>129.4</v>
      </c>
      <c r="D17" s="6">
        <f>IFERROR(__xludf.DUMMYFUNCTION("""COMPUTED_VALUE"""),117.5)</f>
        <v>117.5</v>
      </c>
      <c r="E17" s="6">
        <f>IFERROR(__xludf.DUMMYFUNCTION("""COMPUTED_VALUE"""),128.3)</f>
        <v>128.3</v>
      </c>
      <c r="F17" s="6">
        <f>IFERROR(__xludf.DUMMYFUNCTION("""COMPUTED_VALUE"""),1.34439893E8)</f>
        <v>134439893</v>
      </c>
    </row>
    <row r="18">
      <c r="A18" s="7">
        <f>IFERROR(__xludf.DUMMYFUNCTION("""COMPUTED_VALUE"""),45282.64583333333)</f>
        <v>45282.64583</v>
      </c>
      <c r="B18" s="6">
        <f>IFERROR(__xludf.DUMMYFUNCTION("""COMPUTED_VALUE"""),127.9)</f>
        <v>127.9</v>
      </c>
      <c r="C18" s="6">
        <f>IFERROR(__xludf.DUMMYFUNCTION("""COMPUTED_VALUE"""),127.9)</f>
        <v>127.9</v>
      </c>
      <c r="D18" s="6">
        <f>IFERROR(__xludf.DUMMYFUNCTION("""COMPUTED_VALUE"""),112.6)</f>
        <v>112.6</v>
      </c>
      <c r="E18" s="6">
        <f>IFERROR(__xludf.DUMMYFUNCTION("""COMPUTED_VALUE"""),118.25)</f>
        <v>118.25</v>
      </c>
      <c r="F18" s="6">
        <f>IFERROR(__xludf.DUMMYFUNCTION("""COMPUTED_VALUE"""),1.03221004E8)</f>
        <v>103221004</v>
      </c>
    </row>
    <row r="19">
      <c r="A19" s="7">
        <f>IFERROR(__xludf.DUMMYFUNCTION("""COMPUTED_VALUE"""),45289.64583333333)</f>
        <v>45289.64583</v>
      </c>
      <c r="B19" s="6">
        <f>IFERROR(__xludf.DUMMYFUNCTION("""COMPUTED_VALUE"""),118.9)</f>
        <v>118.9</v>
      </c>
      <c r="C19" s="6">
        <f>IFERROR(__xludf.DUMMYFUNCTION("""COMPUTED_VALUE"""),121.5)</f>
        <v>121.5</v>
      </c>
      <c r="D19" s="6">
        <f>IFERROR(__xludf.DUMMYFUNCTION("""COMPUTED_VALUE"""),116.7)</f>
        <v>116.7</v>
      </c>
      <c r="E19" s="6">
        <f>IFERROR(__xludf.DUMMYFUNCTION("""COMPUTED_VALUE"""),119.1)</f>
        <v>119.1</v>
      </c>
      <c r="F19" s="6">
        <f>IFERROR(__xludf.DUMMYFUNCTION("""COMPUTED_VALUE"""),4.9071942E7)</f>
        <v>49071942</v>
      </c>
    </row>
    <row r="20">
      <c r="A20" s="7">
        <f>IFERROR(__xludf.DUMMYFUNCTION("""COMPUTED_VALUE"""),45296.64583333333)</f>
        <v>45296.64583</v>
      </c>
      <c r="B20" s="6">
        <f>IFERROR(__xludf.DUMMYFUNCTION("""COMPUTED_VALUE"""),119.65)</f>
        <v>119.65</v>
      </c>
      <c r="C20" s="6">
        <f>IFERROR(__xludf.DUMMYFUNCTION("""COMPUTED_VALUE"""),125.55)</f>
        <v>125.55</v>
      </c>
      <c r="D20" s="6">
        <f>IFERROR(__xludf.DUMMYFUNCTION("""COMPUTED_VALUE"""),119.1)</f>
        <v>119.1</v>
      </c>
      <c r="E20" s="6">
        <f>IFERROR(__xludf.DUMMYFUNCTION("""COMPUTED_VALUE"""),124.15)</f>
        <v>124.15</v>
      </c>
      <c r="F20" s="6">
        <f>IFERROR(__xludf.DUMMYFUNCTION("""COMPUTED_VALUE"""),6.5886725E7)</f>
        <v>65886725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IFERROR(__xludf.DUMMYFUNCTION("""COMPUTED_VALUE"""),125.15)</f>
        <v>125.15</v>
      </c>
      <c r="C21" s="6">
        <f>IFERROR(__xludf.DUMMYFUNCTION("""COMPUTED_VALUE"""),132.5)</f>
        <v>132.5</v>
      </c>
      <c r="D21" s="6">
        <f>IFERROR(__xludf.DUMMYFUNCTION("""COMPUTED_VALUE"""),121.75)</f>
        <v>121.75</v>
      </c>
      <c r="E21" s="6">
        <f>IFERROR(__xludf.DUMMYFUNCTION("""COMPUTED_VALUE"""),131.2)</f>
        <v>131.2</v>
      </c>
      <c r="F21" s="6">
        <f>IFERROR(__xludf.DUMMYFUNCTION("""COMPUTED_VALUE"""),7.8704507E7)</f>
        <v>78704507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IFERROR(__xludf.DUMMYFUNCTION("""COMPUTED_VALUE"""),145.0)</f>
        <v>145</v>
      </c>
      <c r="C22" s="6">
        <f>IFERROR(__xludf.DUMMYFUNCTION("""COMPUTED_VALUE"""),145.25)</f>
        <v>145.25</v>
      </c>
      <c r="D22" s="6">
        <f>IFERROR(__xludf.DUMMYFUNCTION("""COMPUTED_VALUE"""),135.05)</f>
        <v>135.05</v>
      </c>
      <c r="E22" s="6">
        <f>IFERROR(__xludf.DUMMYFUNCTION("""COMPUTED_VALUE"""),140.35)</f>
        <v>140.35</v>
      </c>
      <c r="F22" s="6">
        <f>IFERROR(__xludf.DUMMYFUNCTION("""COMPUTED_VALUE"""),8.2202876E7)</f>
        <v>82202876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IFERROR(__xludf.DUMMYFUNCTION("""COMPUTED_VALUE"""),141.0)</f>
        <v>141</v>
      </c>
      <c r="C23" s="6">
        <f>IFERROR(__xludf.DUMMYFUNCTION("""COMPUTED_VALUE"""),152.45)</f>
        <v>152.45</v>
      </c>
      <c r="D23" s="6">
        <f>IFERROR(__xludf.DUMMYFUNCTION("""COMPUTED_VALUE"""),139.1)</f>
        <v>139.1</v>
      </c>
      <c r="E23" s="6">
        <f>IFERROR(__xludf.DUMMYFUNCTION("""COMPUTED_VALUE"""),148.8)</f>
        <v>148.8</v>
      </c>
      <c r="F23" s="6">
        <f>IFERROR(__xludf.DUMMYFUNCTION("""COMPUTED_VALUE"""),1.40122096E8)</f>
        <v>140122096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IFERROR(__xludf.DUMMYFUNCTION("""COMPUTED_VALUE"""),149.85)</f>
        <v>149.85</v>
      </c>
      <c r="C24" s="6">
        <f>IFERROR(__xludf.DUMMYFUNCTION("""COMPUTED_VALUE"""),155.35)</f>
        <v>155.35</v>
      </c>
      <c r="D24" s="6">
        <f>IFERROR(__xludf.DUMMYFUNCTION("""COMPUTED_VALUE"""),141.15)</f>
        <v>141.15</v>
      </c>
      <c r="E24" s="6">
        <f>IFERROR(__xludf.DUMMYFUNCTION("""COMPUTED_VALUE"""),148.85)</f>
        <v>148.85</v>
      </c>
      <c r="F24" s="6">
        <f>IFERROR(__xludf.DUMMYFUNCTION("""COMPUTED_VALUE"""),1.40368391E8)</f>
        <v>140368391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IFERROR(__xludf.DUMMYFUNCTION("""COMPUTED_VALUE"""),150.0)</f>
        <v>150</v>
      </c>
      <c r="C25" s="6">
        <f>IFERROR(__xludf.DUMMYFUNCTION("""COMPUTED_VALUE"""),150.05)</f>
        <v>150.05</v>
      </c>
      <c r="D25" s="6">
        <f>IFERROR(__xludf.DUMMYFUNCTION("""COMPUTED_VALUE"""),132.6)</f>
        <v>132.6</v>
      </c>
      <c r="E25" s="6">
        <f>IFERROR(__xludf.DUMMYFUNCTION("""COMPUTED_VALUE"""),144.7)</f>
        <v>144.7</v>
      </c>
      <c r="F25" s="6">
        <f>IFERROR(__xludf.DUMMYFUNCTION("""COMPUTED_VALUE"""),1.45368682E8)</f>
        <v>145368682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IFERROR(__xludf.DUMMYFUNCTION("""COMPUTED_VALUE"""),145.0)</f>
        <v>145</v>
      </c>
      <c r="C26" s="6">
        <f>IFERROR(__xludf.DUMMYFUNCTION("""COMPUTED_VALUE"""),150.8)</f>
        <v>150.8</v>
      </c>
      <c r="D26" s="6">
        <f>IFERROR(__xludf.DUMMYFUNCTION("""COMPUTED_VALUE"""),140.6)</f>
        <v>140.6</v>
      </c>
      <c r="E26" s="6">
        <f>IFERROR(__xludf.DUMMYFUNCTION("""COMPUTED_VALUE"""),145.9)</f>
        <v>145.9</v>
      </c>
      <c r="F26" s="6">
        <f>IFERROR(__xludf.DUMMYFUNCTION("""COMPUTED_VALUE"""),1.41488583E8)</f>
        <v>141488583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IFERROR(__xludf.DUMMYFUNCTION("""COMPUTED_VALUE"""),148.8)</f>
        <v>148.8</v>
      </c>
      <c r="C27" s="6">
        <f>IFERROR(__xludf.DUMMYFUNCTION("""COMPUTED_VALUE"""),161.9)</f>
        <v>161.9</v>
      </c>
      <c r="D27" s="6">
        <f>IFERROR(__xludf.DUMMYFUNCTION("""COMPUTED_VALUE"""),147.25)</f>
        <v>147.25</v>
      </c>
      <c r="E27" s="6">
        <f>IFERROR(__xludf.DUMMYFUNCTION("""COMPUTED_VALUE"""),157.35)</f>
        <v>157.35</v>
      </c>
      <c r="F27" s="6">
        <f>IFERROR(__xludf.DUMMYFUNCTION("""COMPUTED_VALUE"""),1.38717782E8)</f>
        <v>138717782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IFERROR(__xludf.DUMMYFUNCTION("""COMPUTED_VALUE"""),158.15)</f>
        <v>158.15</v>
      </c>
      <c r="C28" s="6">
        <f>IFERROR(__xludf.DUMMYFUNCTION("""COMPUTED_VALUE"""),160.85)</f>
        <v>160.85</v>
      </c>
      <c r="D28" s="6">
        <f>IFERROR(__xludf.DUMMYFUNCTION("""COMPUTED_VALUE"""),137.7)</f>
        <v>137.7</v>
      </c>
      <c r="E28" s="6">
        <f>IFERROR(__xludf.DUMMYFUNCTION("""COMPUTED_VALUE"""),148.0)</f>
        <v>148</v>
      </c>
      <c r="F28" s="6">
        <f>IFERROR(__xludf.DUMMYFUNCTION("""COMPUTED_VALUE"""),1.1345969E8)</f>
        <v>113459690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IFERROR(__xludf.DUMMYFUNCTION("""COMPUTED_VALUE"""),149.0)</f>
        <v>149</v>
      </c>
      <c r="C29" s="6">
        <f>IFERROR(__xludf.DUMMYFUNCTION("""COMPUTED_VALUE"""),155.35)</f>
        <v>155.35</v>
      </c>
      <c r="D29" s="6">
        <f>IFERROR(__xludf.DUMMYFUNCTION("""COMPUTED_VALUE"""),143.8)</f>
        <v>143.8</v>
      </c>
      <c r="E29" s="6">
        <f>IFERROR(__xludf.DUMMYFUNCTION("""COMPUTED_VALUE"""),148.1)</f>
        <v>148.1</v>
      </c>
      <c r="F29" s="6">
        <f>IFERROR(__xludf.DUMMYFUNCTION("""COMPUTED_VALUE"""),7.2918651E7)</f>
        <v>72918651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IFERROR(__xludf.DUMMYFUNCTION("""COMPUTED_VALUE"""),148.1)</f>
        <v>148.1</v>
      </c>
      <c r="C30" s="6">
        <f>IFERROR(__xludf.DUMMYFUNCTION("""COMPUTED_VALUE"""),154.2)</f>
        <v>154.2</v>
      </c>
      <c r="D30" s="6">
        <f>IFERROR(__xludf.DUMMYFUNCTION("""COMPUTED_VALUE"""),146.7)</f>
        <v>146.7</v>
      </c>
      <c r="E30" s="6">
        <f>IFERROR(__xludf.DUMMYFUNCTION("""COMPUTED_VALUE"""),153.5)</f>
        <v>153.5</v>
      </c>
      <c r="F30" s="6">
        <f>IFERROR(__xludf.DUMMYFUNCTION("""COMPUTED_VALUE"""),3.3329239E7)</f>
        <v>33329239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IFERROR(__xludf.DUMMYFUNCTION("""COMPUTED_VALUE"""),154.5)</f>
        <v>154.5</v>
      </c>
      <c r="C31" s="6">
        <f>IFERROR(__xludf.DUMMYFUNCTION("""COMPUTED_VALUE"""),163.2)</f>
        <v>163.2</v>
      </c>
      <c r="D31" s="6">
        <f>IFERROR(__xludf.DUMMYFUNCTION("""COMPUTED_VALUE"""),154.1)</f>
        <v>154.1</v>
      </c>
      <c r="E31" s="6">
        <f>IFERROR(__xludf.DUMMYFUNCTION("""COMPUTED_VALUE"""),160.2)</f>
        <v>160.2</v>
      </c>
      <c r="F31" s="6">
        <f>IFERROR(__xludf.DUMMYFUNCTION("""COMPUTED_VALUE"""),6.626818E7)</f>
        <v>66268180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IFERROR(__xludf.DUMMYFUNCTION("""COMPUTED_VALUE"""),158.0)</f>
        <v>158</v>
      </c>
      <c r="C32" s="6">
        <f>IFERROR(__xludf.DUMMYFUNCTION("""COMPUTED_VALUE"""),159.4)</f>
        <v>159.4</v>
      </c>
      <c r="D32" s="6">
        <f>IFERROR(__xludf.DUMMYFUNCTION("""COMPUTED_VALUE"""),149.0)</f>
        <v>149</v>
      </c>
      <c r="E32" s="6">
        <f>IFERROR(__xludf.DUMMYFUNCTION("""COMPUTED_VALUE"""),149.2)</f>
        <v>149.2</v>
      </c>
      <c r="F32" s="6">
        <f>IFERROR(__xludf.DUMMYFUNCTION("""COMPUTED_VALUE"""),6.6717491E7)</f>
        <v>66717491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IFERROR(__xludf.DUMMYFUNCTION("""COMPUTED_VALUE"""),145.0)</f>
        <v>145</v>
      </c>
      <c r="C33" s="6">
        <f>IFERROR(__xludf.DUMMYFUNCTION("""COMPUTED_VALUE"""),147.2)</f>
        <v>147.2</v>
      </c>
      <c r="D33" s="6">
        <f>IFERROR(__xludf.DUMMYFUNCTION("""COMPUTED_VALUE"""),138.1)</f>
        <v>138.1</v>
      </c>
      <c r="E33" s="6">
        <f>IFERROR(__xludf.DUMMYFUNCTION("""COMPUTED_VALUE"""),140.7)</f>
        <v>140.7</v>
      </c>
      <c r="F33" s="6">
        <f>IFERROR(__xludf.DUMMYFUNCTION("""COMPUTED_VALUE"""),5.506332E7)</f>
        <v>55063320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IFERROR(__xludf.DUMMYFUNCTION("""COMPUTED_VALUE"""),142.7)</f>
        <v>142.7</v>
      </c>
      <c r="C34" s="6">
        <f>IFERROR(__xludf.DUMMYFUNCTION("""COMPUTED_VALUE"""),153.3)</f>
        <v>153.3</v>
      </c>
      <c r="D34" s="6">
        <f>IFERROR(__xludf.DUMMYFUNCTION("""COMPUTED_VALUE"""),142.7)</f>
        <v>142.7</v>
      </c>
      <c r="E34" s="6">
        <f>IFERROR(__xludf.DUMMYFUNCTION("""COMPUTED_VALUE"""),150.9)</f>
        <v>150.9</v>
      </c>
      <c r="F34" s="6">
        <f>IFERROR(__xludf.DUMMYFUNCTION("""COMPUTED_VALUE"""),8.6911662E7)</f>
        <v>86911662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IFERROR(__xludf.DUMMYFUNCTION("""COMPUTED_VALUE"""),152.0)</f>
        <v>152</v>
      </c>
      <c r="C35" s="6">
        <f>IFERROR(__xludf.DUMMYFUNCTION("""COMPUTED_VALUE"""),157.0)</f>
        <v>157</v>
      </c>
      <c r="D35" s="6">
        <f>IFERROR(__xludf.DUMMYFUNCTION("""COMPUTED_VALUE"""),149.45)</f>
        <v>149.45</v>
      </c>
      <c r="E35" s="6">
        <f>IFERROR(__xludf.DUMMYFUNCTION("""COMPUTED_VALUE"""),152.5)</f>
        <v>152.5</v>
      </c>
      <c r="F35" s="6">
        <f>IFERROR(__xludf.DUMMYFUNCTION("""COMPUTED_VALUE"""),6.1685819E7)</f>
        <v>61685819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IFERROR(__xludf.DUMMYFUNCTION("""COMPUTED_VALUE"""),154.0)</f>
        <v>154</v>
      </c>
      <c r="C36" s="6">
        <f>IFERROR(__xludf.DUMMYFUNCTION("""COMPUTED_VALUE"""),154.2)</f>
        <v>154.2</v>
      </c>
      <c r="D36" s="6">
        <f>IFERROR(__xludf.DUMMYFUNCTION("""COMPUTED_VALUE"""),137.55)</f>
        <v>137.55</v>
      </c>
      <c r="E36" s="6">
        <f>IFERROR(__xludf.DUMMYFUNCTION("""COMPUTED_VALUE"""),142.0)</f>
        <v>142</v>
      </c>
      <c r="F36" s="6">
        <f>IFERROR(__xludf.DUMMYFUNCTION("""COMPUTED_VALUE"""),8.5624957E7)</f>
        <v>85624957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IFERROR(__xludf.DUMMYFUNCTION("""COMPUTED_VALUE"""),141.4)</f>
        <v>141.4</v>
      </c>
      <c r="C37" s="6">
        <f>IFERROR(__xludf.DUMMYFUNCTION("""COMPUTED_VALUE"""),157.0)</f>
        <v>157</v>
      </c>
      <c r="D37" s="6">
        <f>IFERROR(__xludf.DUMMYFUNCTION("""COMPUTED_VALUE"""),139.25)</f>
        <v>139.25</v>
      </c>
      <c r="E37" s="6">
        <f>IFERROR(__xludf.DUMMYFUNCTION("""COMPUTED_VALUE"""),156.5)</f>
        <v>156.5</v>
      </c>
      <c r="F37" s="6">
        <f>IFERROR(__xludf.DUMMYFUNCTION("""COMPUTED_VALUE"""),9.6336419E7)</f>
        <v>96336419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IFERROR(__xludf.DUMMYFUNCTION("""COMPUTED_VALUE"""),157.2)</f>
        <v>157.2</v>
      </c>
      <c r="C38" s="6">
        <f>IFERROR(__xludf.DUMMYFUNCTION("""COMPUTED_VALUE"""),161.8)</f>
        <v>161.8</v>
      </c>
      <c r="D38" s="6">
        <f>IFERROR(__xludf.DUMMYFUNCTION("""COMPUTED_VALUE"""),149.0)</f>
        <v>149</v>
      </c>
      <c r="E38" s="6">
        <f>IFERROR(__xludf.DUMMYFUNCTION("""COMPUTED_VALUE"""),160.15)</f>
        <v>160.15</v>
      </c>
      <c r="F38" s="6">
        <f>IFERROR(__xludf.DUMMYFUNCTION("""COMPUTED_VALUE"""),1.49553914E8)</f>
        <v>149553914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IFERROR(__xludf.DUMMYFUNCTION("""COMPUTED_VALUE"""),168.0)</f>
        <v>168</v>
      </c>
      <c r="C39" s="6">
        <f>IFERROR(__xludf.DUMMYFUNCTION("""COMPUTED_VALUE"""),172.5)</f>
        <v>172.5</v>
      </c>
      <c r="D39" s="6">
        <f>IFERROR(__xludf.DUMMYFUNCTION("""COMPUTED_VALUE"""),129.55)</f>
        <v>129.55</v>
      </c>
      <c r="E39" s="6">
        <f>IFERROR(__xludf.DUMMYFUNCTION("""COMPUTED_VALUE"""),146.45)</f>
        <v>146.45</v>
      </c>
      <c r="F39" s="6">
        <f>IFERROR(__xludf.DUMMYFUNCTION("""COMPUTED_VALUE"""),1.75775601E8)</f>
        <v>175775601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IFERROR(__xludf.DUMMYFUNCTION("""COMPUTED_VALUE"""),148.0)</f>
        <v>148</v>
      </c>
      <c r="C40" s="6">
        <f>IFERROR(__xludf.DUMMYFUNCTION("""COMPUTED_VALUE"""),151.0)</f>
        <v>151</v>
      </c>
      <c r="D40" s="6">
        <f>IFERROR(__xludf.DUMMYFUNCTION("""COMPUTED_VALUE"""),144.85)</f>
        <v>144.85</v>
      </c>
      <c r="E40" s="6">
        <f>IFERROR(__xludf.DUMMYFUNCTION("""COMPUTED_VALUE"""),147.55)</f>
        <v>147.55</v>
      </c>
      <c r="F40" s="6">
        <f>IFERROR(__xludf.DUMMYFUNCTION("""COMPUTED_VALUE"""),6.8684557E7)</f>
        <v>68684557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IFERROR(__xludf.DUMMYFUNCTION("""COMPUTED_VALUE"""),148.6)</f>
        <v>148.6</v>
      </c>
      <c r="C41" s="6">
        <f>IFERROR(__xludf.DUMMYFUNCTION("""COMPUTED_VALUE"""),149.1)</f>
        <v>149.1</v>
      </c>
      <c r="D41" s="6">
        <f>IFERROR(__xludf.DUMMYFUNCTION("""COMPUTED_VALUE"""),144.75)</f>
        <v>144.75</v>
      </c>
      <c r="E41" s="6">
        <f>IFERROR(__xludf.DUMMYFUNCTION("""COMPUTED_VALUE"""),146.94)</f>
        <v>146.94</v>
      </c>
      <c r="F41" s="6">
        <f>IFERROR(__xludf.DUMMYFUNCTION("""COMPUTED_VALUE"""),4.0647857E7)</f>
        <v>40647857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IFERROR(__xludf.DUMMYFUNCTION("""COMPUTED_VALUE"""),142.1)</f>
        <v>142.1</v>
      </c>
      <c r="C42" s="6">
        <f>IFERROR(__xludf.DUMMYFUNCTION("""COMPUTED_VALUE"""),145.0)</f>
        <v>145</v>
      </c>
      <c r="D42" s="6">
        <f>IFERROR(__xludf.DUMMYFUNCTION("""COMPUTED_VALUE"""),136.38)</f>
        <v>136.38</v>
      </c>
      <c r="E42" s="6">
        <f>IFERROR(__xludf.DUMMYFUNCTION("""COMPUTED_VALUE"""),136.69)</f>
        <v>136.69</v>
      </c>
      <c r="F42" s="6">
        <f>IFERROR(__xludf.DUMMYFUNCTION("""COMPUTED_VALUE"""),8.494742E7)</f>
        <v>84947420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IFERROR(__xludf.DUMMYFUNCTION("""COMPUTED_VALUE"""),137.39)</f>
        <v>137.39</v>
      </c>
      <c r="C43" s="6">
        <f>IFERROR(__xludf.DUMMYFUNCTION("""COMPUTED_VALUE"""),137.4)</f>
        <v>137.4</v>
      </c>
      <c r="D43" s="6">
        <f>IFERROR(__xludf.DUMMYFUNCTION("""COMPUTED_VALUE"""),133.5)</f>
        <v>133.5</v>
      </c>
      <c r="E43" s="6">
        <f>IFERROR(__xludf.DUMMYFUNCTION("""COMPUTED_VALUE"""),135.73)</f>
        <v>135.73</v>
      </c>
      <c r="F43" s="6">
        <f>IFERROR(__xludf.DUMMYFUNCTION("""COMPUTED_VALUE"""),6.0453597E7)</f>
        <v>60453597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IFERROR(__xludf.DUMMYFUNCTION("""COMPUTED_VALUE"""),135.0)</f>
        <v>135</v>
      </c>
      <c r="C44" s="6">
        <f>IFERROR(__xludf.DUMMYFUNCTION("""COMPUTED_VALUE"""),141.07)</f>
        <v>141.07</v>
      </c>
      <c r="D44" s="6">
        <f>IFERROR(__xludf.DUMMYFUNCTION("""COMPUTED_VALUE"""),133.0)</f>
        <v>133</v>
      </c>
      <c r="E44" s="6">
        <f>IFERROR(__xludf.DUMMYFUNCTION("""COMPUTED_VALUE"""),136.11)</f>
        <v>136.11</v>
      </c>
      <c r="F44" s="6">
        <f>IFERROR(__xludf.DUMMYFUNCTION("""COMPUTED_VALUE"""),6.3335796E7)</f>
        <v>63335796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IFERROR(__xludf.DUMMYFUNCTION("""COMPUTED_VALUE"""),136.5)</f>
        <v>136.5</v>
      </c>
      <c r="C45" s="6">
        <f>IFERROR(__xludf.DUMMYFUNCTION("""COMPUTED_VALUE"""),142.74)</f>
        <v>142.74</v>
      </c>
      <c r="D45" s="6">
        <f>IFERROR(__xludf.DUMMYFUNCTION("""COMPUTED_VALUE"""),135.1)</f>
        <v>135.1</v>
      </c>
      <c r="E45" s="6">
        <f>IFERROR(__xludf.DUMMYFUNCTION("""COMPUTED_VALUE"""),135.65)</f>
        <v>135.65</v>
      </c>
      <c r="F45" s="6">
        <f>IFERROR(__xludf.DUMMYFUNCTION("""COMPUTED_VALUE"""),5.938692E7)</f>
        <v>59386920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IFERROR(__xludf.DUMMYFUNCTION("""COMPUTED_VALUE"""),134.65)</f>
        <v>134.65</v>
      </c>
      <c r="C46" s="6">
        <f>IFERROR(__xludf.DUMMYFUNCTION("""COMPUTED_VALUE"""),138.96)</f>
        <v>138.96</v>
      </c>
      <c r="D46" s="6">
        <f>IFERROR(__xludf.DUMMYFUNCTION("""COMPUTED_VALUE"""),129.1)</f>
        <v>129.1</v>
      </c>
      <c r="E46" s="6">
        <f>IFERROR(__xludf.DUMMYFUNCTION("""COMPUTED_VALUE"""),132.87)</f>
        <v>132.87</v>
      </c>
      <c r="F46" s="6">
        <f>IFERROR(__xludf.DUMMYFUNCTION("""COMPUTED_VALUE"""),5.1816593E7)</f>
        <v>51816593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IFERROR(__xludf.DUMMYFUNCTION("""COMPUTED_VALUE"""),134.25)</f>
        <v>134.25</v>
      </c>
      <c r="C47" s="6">
        <f>IFERROR(__xludf.DUMMYFUNCTION("""COMPUTED_VALUE"""),137.46)</f>
        <v>137.46</v>
      </c>
      <c r="D47" s="6">
        <f>IFERROR(__xludf.DUMMYFUNCTION("""COMPUTED_VALUE"""),131.79)</f>
        <v>131.79</v>
      </c>
      <c r="E47" s="6">
        <f>IFERROR(__xludf.DUMMYFUNCTION("""COMPUTED_VALUE"""),133.27)</f>
        <v>133.27</v>
      </c>
      <c r="F47" s="6">
        <f>IFERROR(__xludf.DUMMYFUNCTION("""COMPUTED_VALUE"""),5.0631659E7)</f>
        <v>50631659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IFERROR(__xludf.DUMMYFUNCTION("""COMPUTED_VALUE"""),129.5)</f>
        <v>129.5</v>
      </c>
      <c r="C48" s="6">
        <f>IFERROR(__xludf.DUMMYFUNCTION("""COMPUTED_VALUE"""),129.84)</f>
        <v>129.84</v>
      </c>
      <c r="D48" s="6">
        <f>IFERROR(__xludf.DUMMYFUNCTION("""COMPUTED_VALUE"""),120.1)</f>
        <v>120.1</v>
      </c>
      <c r="E48" s="6">
        <f>IFERROR(__xludf.DUMMYFUNCTION("""COMPUTED_VALUE"""),123.02)</f>
        <v>123.02</v>
      </c>
      <c r="F48" s="6">
        <f>IFERROR(__xludf.DUMMYFUNCTION("""COMPUTED_VALUE"""),7.4062845E7)</f>
        <v>74062845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IFERROR(__xludf.DUMMYFUNCTION("""COMPUTED_VALUE"""),122.51)</f>
        <v>122.51</v>
      </c>
      <c r="C49" s="6">
        <f>IFERROR(__xludf.DUMMYFUNCTION("""COMPUTED_VALUE"""),122.88)</f>
        <v>122.88</v>
      </c>
      <c r="D49" s="6">
        <f>IFERROR(__xludf.DUMMYFUNCTION("""COMPUTED_VALUE"""),116.3)</f>
        <v>116.3</v>
      </c>
      <c r="E49" s="6">
        <f>IFERROR(__xludf.DUMMYFUNCTION("""COMPUTED_VALUE"""),117.53)</f>
        <v>117.53</v>
      </c>
      <c r="F49" s="6">
        <f>IFERROR(__xludf.DUMMYFUNCTION("""COMPUTED_VALUE"""),4.7374516E7)</f>
        <v>47374516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IFERROR(__xludf.DUMMYFUNCTION("""COMPUTED_VALUE"""),118.51)</f>
        <v>118.51</v>
      </c>
      <c r="C50" s="6">
        <f>IFERROR(__xludf.DUMMYFUNCTION("""COMPUTED_VALUE"""),128.02)</f>
        <v>128.02</v>
      </c>
      <c r="D50" s="6">
        <f>IFERROR(__xludf.DUMMYFUNCTION("""COMPUTED_VALUE"""),118.21)</f>
        <v>118.21</v>
      </c>
      <c r="E50" s="6">
        <f>IFERROR(__xludf.DUMMYFUNCTION("""COMPUTED_VALUE"""),127.08)</f>
        <v>127.08</v>
      </c>
      <c r="F50" s="6">
        <f>IFERROR(__xludf.DUMMYFUNCTION("""COMPUTED_VALUE"""),5.1119901E7)</f>
        <v>51119901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IFERROR(__xludf.DUMMYFUNCTION("""COMPUTED_VALUE"""),127.1)</f>
        <v>127.1</v>
      </c>
      <c r="C51" s="6">
        <f>IFERROR(__xludf.DUMMYFUNCTION("""COMPUTED_VALUE"""),127.75)</f>
        <v>127.75</v>
      </c>
      <c r="D51" s="6">
        <f>IFERROR(__xludf.DUMMYFUNCTION("""COMPUTED_VALUE"""),121.1)</f>
        <v>121.1</v>
      </c>
      <c r="E51" s="6">
        <f>IFERROR(__xludf.DUMMYFUNCTION("""COMPUTED_VALUE"""),121.54)</f>
        <v>121.54</v>
      </c>
      <c r="F51" s="6">
        <f>IFERROR(__xludf.DUMMYFUNCTION("""COMPUTED_VALUE"""),4.4504757E7)</f>
        <v>44504757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IFERROR(__xludf.DUMMYFUNCTION("""COMPUTED_VALUE"""),122.49)</f>
        <v>122.49</v>
      </c>
      <c r="C52" s="6">
        <f>IFERROR(__xludf.DUMMYFUNCTION("""COMPUTED_VALUE"""),123.62)</f>
        <v>123.62</v>
      </c>
      <c r="D52" s="6">
        <f>IFERROR(__xludf.DUMMYFUNCTION("""COMPUTED_VALUE"""),120.0)</f>
        <v>120</v>
      </c>
      <c r="E52" s="6">
        <f>IFERROR(__xludf.DUMMYFUNCTION("""COMPUTED_VALUE"""),121.2)</f>
        <v>121.2</v>
      </c>
      <c r="F52" s="6">
        <f>IFERROR(__xludf.DUMMYFUNCTION("""COMPUTED_VALUE"""),3.8306091E7)</f>
        <v>38306091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IFERROR(__xludf.DUMMYFUNCTION("""COMPUTED_VALUE"""),120.51)</f>
        <v>120.51</v>
      </c>
      <c r="C53" s="6">
        <f>IFERROR(__xludf.DUMMYFUNCTION("""COMPUTED_VALUE"""),123.0)</f>
        <v>123</v>
      </c>
      <c r="D53" s="6">
        <f>IFERROR(__xludf.DUMMYFUNCTION("""COMPUTED_VALUE"""),117.11)</f>
        <v>117.11</v>
      </c>
      <c r="E53" s="6">
        <f>IFERROR(__xludf.DUMMYFUNCTION("""COMPUTED_VALUE"""),120.19)</f>
        <v>120.19</v>
      </c>
      <c r="F53" s="6">
        <f>IFERROR(__xludf.DUMMYFUNCTION("""COMPUTED_VALUE"""),4.51791E7)</f>
        <v>45179100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IFERROR(__xludf.DUMMYFUNCTION("""COMPUTED_VALUE"""),122.8)</f>
        <v>122.8</v>
      </c>
      <c r="C54" s="6">
        <f>IFERROR(__xludf.DUMMYFUNCTION("""COMPUTED_VALUE"""),127.3)</f>
        <v>127.3</v>
      </c>
      <c r="D54" s="6">
        <f>IFERROR(__xludf.DUMMYFUNCTION("""COMPUTED_VALUE"""),119.3)</f>
        <v>119.3</v>
      </c>
      <c r="E54" s="6">
        <f>IFERROR(__xludf.DUMMYFUNCTION("""COMPUTED_VALUE"""),123.43)</f>
        <v>123.43</v>
      </c>
      <c r="F54" s="6">
        <f>IFERROR(__xludf.DUMMYFUNCTION("""COMPUTED_VALUE"""),6.6453242E7)</f>
        <v>66453242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IFERROR(__xludf.DUMMYFUNCTION("""COMPUTED_VALUE"""),124.4)</f>
        <v>124.4</v>
      </c>
      <c r="C55" s="6">
        <f>IFERROR(__xludf.DUMMYFUNCTION("""COMPUTED_VALUE"""),129.0)</f>
        <v>129</v>
      </c>
      <c r="D55" s="6">
        <f>IFERROR(__xludf.DUMMYFUNCTION("""COMPUTED_VALUE"""),121.47)</f>
        <v>121.47</v>
      </c>
      <c r="E55" s="6">
        <f>IFERROR(__xludf.DUMMYFUNCTION("""COMPUTED_VALUE"""),123.51)</f>
        <v>123.51</v>
      </c>
      <c r="F55" s="6">
        <f>IFERROR(__xludf.DUMMYFUNCTION("""COMPUTED_VALUE"""),7.5160673E7)</f>
        <v>75160673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IFERROR(__xludf.DUMMYFUNCTION("""COMPUTED_VALUE"""),123.2)</f>
        <v>123.2</v>
      </c>
      <c r="C56" s="6">
        <f>IFERROR(__xludf.DUMMYFUNCTION("""COMPUTED_VALUE"""),123.9)</f>
        <v>123.9</v>
      </c>
      <c r="D56" s="6">
        <f>IFERROR(__xludf.DUMMYFUNCTION("""COMPUTED_VALUE"""),116.73)</f>
        <v>116.73</v>
      </c>
      <c r="E56" s="6">
        <f>IFERROR(__xludf.DUMMYFUNCTION("""COMPUTED_VALUE"""),118.86)</f>
        <v>118.86</v>
      </c>
      <c r="F56" s="6">
        <f>IFERROR(__xludf.DUMMYFUNCTION("""COMPUTED_VALUE"""),4.1807884E7)</f>
        <v>41807884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IFERROR(__xludf.DUMMYFUNCTION("""COMPUTED_VALUE"""),119.45)</f>
        <v>119.45</v>
      </c>
      <c r="C57" s="6">
        <f>IFERROR(__xludf.DUMMYFUNCTION("""COMPUTED_VALUE"""),120.19)</f>
        <v>120.19</v>
      </c>
      <c r="D57" s="6">
        <f>IFERROR(__xludf.DUMMYFUNCTION("""COMPUTED_VALUE"""),112.59)</f>
        <v>112.59</v>
      </c>
      <c r="E57" s="6">
        <f>IFERROR(__xludf.DUMMYFUNCTION("""COMPUTED_VALUE"""),114.12)</f>
        <v>114.12</v>
      </c>
      <c r="F57" s="6">
        <f>IFERROR(__xludf.DUMMYFUNCTION("""COMPUTED_VALUE"""),3.7664068E7)</f>
        <v>37664068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IFERROR(__xludf.DUMMYFUNCTION("""COMPUTED_VALUE"""),114.45)</f>
        <v>114.45</v>
      </c>
      <c r="C58" s="6">
        <f>IFERROR(__xludf.DUMMYFUNCTION("""COMPUTED_VALUE"""),116.45)</f>
        <v>116.45</v>
      </c>
      <c r="D58" s="6">
        <f>IFERROR(__xludf.DUMMYFUNCTION("""COMPUTED_VALUE"""),110.27)</f>
        <v>110.27</v>
      </c>
      <c r="E58" s="6">
        <f>IFERROR(__xludf.DUMMYFUNCTION("""COMPUTED_VALUE"""),112.22)</f>
        <v>112.22</v>
      </c>
      <c r="F58" s="6">
        <f>IFERROR(__xludf.DUMMYFUNCTION("""COMPUTED_VALUE"""),5.0882606E7)</f>
        <v>50882606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IFERROR(__xludf.DUMMYFUNCTION("""COMPUTED_VALUE"""),112.65)</f>
        <v>112.65</v>
      </c>
      <c r="C59" s="6">
        <f>IFERROR(__xludf.DUMMYFUNCTION("""COMPUTED_VALUE"""),114.11)</f>
        <v>114.11</v>
      </c>
      <c r="D59" s="6">
        <f>IFERROR(__xludf.DUMMYFUNCTION("""COMPUTED_VALUE"""),106.68)</f>
        <v>106.68</v>
      </c>
      <c r="E59" s="6">
        <f>IFERROR(__xludf.DUMMYFUNCTION("""COMPUTED_VALUE"""),108.24)</f>
        <v>108.24</v>
      </c>
      <c r="F59" s="6">
        <f>IFERROR(__xludf.DUMMYFUNCTION("""COMPUTED_VALUE"""),5.5752622E7)</f>
        <v>55752622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IFERROR(__xludf.DUMMYFUNCTION("""COMPUTED_VALUE"""),118.7)</f>
        <v>118.7</v>
      </c>
      <c r="C60" s="6">
        <f>IFERROR(__xludf.DUMMYFUNCTION("""COMPUTED_VALUE"""),122.41)</f>
        <v>122.41</v>
      </c>
      <c r="D60" s="6">
        <f>IFERROR(__xludf.DUMMYFUNCTION("""COMPUTED_VALUE"""),113.16)</f>
        <v>113.16</v>
      </c>
      <c r="E60" s="6">
        <f>IFERROR(__xludf.DUMMYFUNCTION("""COMPUTED_VALUE"""),117.52)</f>
        <v>117.52</v>
      </c>
      <c r="F60" s="6">
        <f>IFERROR(__xludf.DUMMYFUNCTION("""COMPUTED_VALUE"""),4.232342E7)</f>
        <v>42323420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IFERROR(__xludf.DUMMYFUNCTION("""COMPUTED_VALUE"""),117.5)</f>
        <v>117.5</v>
      </c>
      <c r="C61" s="6">
        <f>IFERROR(__xludf.DUMMYFUNCTION("""COMPUTED_VALUE"""),120.64)</f>
        <v>120.64</v>
      </c>
      <c r="D61" s="6">
        <f>IFERROR(__xludf.DUMMYFUNCTION("""COMPUTED_VALUE"""),113.25)</f>
        <v>113.25</v>
      </c>
      <c r="E61" s="6">
        <f>IFERROR(__xludf.DUMMYFUNCTION("""COMPUTED_VALUE"""),113.9)</f>
        <v>113.9</v>
      </c>
      <c r="F61" s="6">
        <f>IFERROR(__xludf.DUMMYFUNCTION("""COMPUTED_VALUE"""),2.9437081E7)</f>
        <v>29437081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IFERROR(__xludf.DUMMYFUNCTION("""COMPUTED_VALUE"""),114.0)</f>
        <v>114</v>
      </c>
      <c r="C62" s="6">
        <f>IFERROR(__xludf.DUMMYFUNCTION("""COMPUTED_VALUE"""),117.79)</f>
        <v>117.79</v>
      </c>
      <c r="D62" s="6">
        <f>IFERROR(__xludf.DUMMYFUNCTION("""COMPUTED_VALUE"""),112.0)</f>
        <v>112</v>
      </c>
      <c r="E62" s="6">
        <f>IFERROR(__xludf.DUMMYFUNCTION("""COMPUTED_VALUE"""),115.04)</f>
        <v>115.04</v>
      </c>
      <c r="F62" s="6">
        <f>IFERROR(__xludf.DUMMYFUNCTION("""COMPUTED_VALUE"""),2.9074206E7)</f>
        <v>29074206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IFERROR(__xludf.DUMMYFUNCTION("""COMPUTED_VALUE"""),117.09)</f>
        <v>117.09</v>
      </c>
      <c r="C63" s="6">
        <f>IFERROR(__xludf.DUMMYFUNCTION("""COMPUTED_VALUE"""),126.2)</f>
        <v>126.2</v>
      </c>
      <c r="D63" s="6">
        <f>IFERROR(__xludf.DUMMYFUNCTION("""COMPUTED_VALUE"""),117.09)</f>
        <v>117.09</v>
      </c>
      <c r="E63" s="6">
        <f>IFERROR(__xludf.DUMMYFUNCTION("""COMPUTED_VALUE"""),121.62)</f>
        <v>121.62</v>
      </c>
      <c r="F63" s="6">
        <f>IFERROR(__xludf.DUMMYFUNCTION("""COMPUTED_VALUE"""),6.7873557E7)</f>
        <v>67873557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IFERROR(__xludf.DUMMYFUNCTION("""COMPUTED_VALUE"""),122.0)</f>
        <v>122</v>
      </c>
      <c r="C64" s="6">
        <f>IFERROR(__xludf.DUMMYFUNCTION("""COMPUTED_VALUE"""),130.9)</f>
        <v>130.9</v>
      </c>
      <c r="D64" s="6">
        <f>IFERROR(__xludf.DUMMYFUNCTION("""COMPUTED_VALUE"""),119.41)</f>
        <v>119.41</v>
      </c>
      <c r="E64" s="6">
        <f>IFERROR(__xludf.DUMMYFUNCTION("""COMPUTED_VALUE"""),128.91)</f>
        <v>128.91</v>
      </c>
      <c r="F64" s="6">
        <f>IFERROR(__xludf.DUMMYFUNCTION("""COMPUTED_VALUE"""),8.5275595E7)</f>
        <v>85275595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IFERROR(__xludf.DUMMYFUNCTION("""COMPUTED_VALUE"""),128.24)</f>
        <v>128.24</v>
      </c>
      <c r="C65" s="6">
        <f>IFERROR(__xludf.DUMMYFUNCTION("""COMPUTED_VALUE"""),130.8)</f>
        <v>130.8</v>
      </c>
      <c r="D65" s="6">
        <f>IFERROR(__xludf.DUMMYFUNCTION("""COMPUTED_VALUE"""),123.84)</f>
        <v>123.84</v>
      </c>
      <c r="E65" s="6">
        <f>IFERROR(__xludf.DUMMYFUNCTION("""COMPUTED_VALUE"""),127.25)</f>
        <v>127.25</v>
      </c>
      <c r="F65" s="6">
        <f>IFERROR(__xludf.DUMMYFUNCTION("""COMPUTED_VALUE"""),4.7156506E7)</f>
        <v>47156506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IFERROR(__xludf.DUMMYFUNCTION("""COMPUTED_VALUE"""),127.31)</f>
        <v>127.31</v>
      </c>
      <c r="C66" s="6">
        <f>IFERROR(__xludf.DUMMYFUNCTION("""COMPUTED_VALUE"""),129.4)</f>
        <v>129.4</v>
      </c>
      <c r="D66" s="6">
        <f>IFERROR(__xludf.DUMMYFUNCTION("""COMPUTED_VALUE"""),116.1)</f>
        <v>116.1</v>
      </c>
      <c r="E66" s="6">
        <f>IFERROR(__xludf.DUMMYFUNCTION("""COMPUTED_VALUE"""),116.78)</f>
        <v>116.78</v>
      </c>
      <c r="F66" s="6">
        <f>IFERROR(__xludf.DUMMYFUNCTION("""COMPUTED_VALUE"""),4.5758807E7)</f>
        <v>45758807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IFERROR(__xludf.DUMMYFUNCTION("""COMPUTED_VALUE"""),117.19)</f>
        <v>117.19</v>
      </c>
      <c r="C67" s="6">
        <f>IFERROR(__xludf.DUMMYFUNCTION("""COMPUTED_VALUE"""),120.57)</f>
        <v>120.57</v>
      </c>
      <c r="D67" s="6">
        <f>IFERROR(__xludf.DUMMYFUNCTION("""COMPUTED_VALUE"""),115.85)</f>
        <v>115.85</v>
      </c>
      <c r="E67" s="6">
        <f>IFERROR(__xludf.DUMMYFUNCTION("""COMPUTED_VALUE"""),117.87)</f>
        <v>117.87</v>
      </c>
      <c r="F67" s="6">
        <f>IFERROR(__xludf.DUMMYFUNCTION("""COMPUTED_VALUE"""),2.5244296E7)</f>
        <v>25244296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IFERROR(__xludf.DUMMYFUNCTION("""COMPUTED_VALUE"""),117.85)</f>
        <v>117.85</v>
      </c>
      <c r="C68" s="6">
        <f>IFERROR(__xludf.DUMMYFUNCTION("""COMPUTED_VALUE"""),126.85)</f>
        <v>126.85</v>
      </c>
      <c r="D68" s="6">
        <f>IFERROR(__xludf.DUMMYFUNCTION("""COMPUTED_VALUE"""),117.14)</f>
        <v>117.14</v>
      </c>
      <c r="E68" s="6">
        <f>IFERROR(__xludf.DUMMYFUNCTION("""COMPUTED_VALUE"""),124.06)</f>
        <v>124.06</v>
      </c>
      <c r="F68" s="6">
        <f>IFERROR(__xludf.DUMMYFUNCTION("""COMPUTED_VALUE"""),8.3194804E7)</f>
        <v>83194804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IFERROR(__xludf.DUMMYFUNCTION("""COMPUTED_VALUE"""),123.81)</f>
        <v>123.81</v>
      </c>
      <c r="C69" s="6">
        <f>IFERROR(__xludf.DUMMYFUNCTION("""COMPUTED_VALUE"""),123.81)</f>
        <v>123.81</v>
      </c>
      <c r="D69" s="6">
        <f>IFERROR(__xludf.DUMMYFUNCTION("""COMPUTED_VALUE"""),103.1)</f>
        <v>103.1</v>
      </c>
      <c r="E69" s="6">
        <f>IFERROR(__xludf.DUMMYFUNCTION("""COMPUTED_VALUE"""),103.62)</f>
        <v>103.62</v>
      </c>
      <c r="F69" s="6">
        <f>IFERROR(__xludf.DUMMYFUNCTION("""COMPUTED_VALUE"""),1.08678111E8)</f>
        <v>108678111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IFERROR(__xludf.DUMMYFUNCTION("""COMPUTED_VALUE"""),102.4)</f>
        <v>102.4</v>
      </c>
      <c r="C70" s="6">
        <f>IFERROR(__xludf.DUMMYFUNCTION("""COMPUTED_VALUE"""),111.39)</f>
        <v>111.39</v>
      </c>
      <c r="D70" s="6">
        <f>IFERROR(__xludf.DUMMYFUNCTION("""COMPUTED_VALUE"""),100.81)</f>
        <v>100.81</v>
      </c>
      <c r="E70" s="6">
        <f>IFERROR(__xludf.DUMMYFUNCTION("""COMPUTED_VALUE"""),108.7)</f>
        <v>108.7</v>
      </c>
      <c r="F70" s="6">
        <f>IFERROR(__xludf.DUMMYFUNCTION("""COMPUTED_VALUE"""),7.5005063E7)</f>
        <v>75005063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IFERROR(__xludf.DUMMYFUNCTION("""COMPUTED_VALUE"""),109.5)</f>
        <v>109.5</v>
      </c>
      <c r="C71" s="6">
        <f>IFERROR(__xludf.DUMMYFUNCTION("""COMPUTED_VALUE"""),112.6)</f>
        <v>112.6</v>
      </c>
      <c r="D71" s="6">
        <f>IFERROR(__xludf.DUMMYFUNCTION("""COMPUTED_VALUE"""),106.5)</f>
        <v>106.5</v>
      </c>
      <c r="E71" s="6">
        <f>IFERROR(__xludf.DUMMYFUNCTION("""COMPUTED_VALUE"""),107.3)</f>
        <v>107.3</v>
      </c>
      <c r="F71" s="6">
        <f>IFERROR(__xludf.DUMMYFUNCTION("""COMPUTED_VALUE"""),4.1310939E7)</f>
        <v>41310939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IFERROR(__xludf.DUMMYFUNCTION("""COMPUTED_VALUE"""),111.21)</f>
        <v>111.21</v>
      </c>
      <c r="C72" s="6">
        <f>IFERROR(__xludf.DUMMYFUNCTION("""COMPUTED_VALUE"""),121.87)</f>
        <v>121.87</v>
      </c>
      <c r="D72" s="6">
        <f>IFERROR(__xludf.DUMMYFUNCTION("""COMPUTED_VALUE"""),108.37)</f>
        <v>108.37</v>
      </c>
      <c r="E72" s="6">
        <f>IFERROR(__xludf.DUMMYFUNCTION("""COMPUTED_VALUE"""),117.85)</f>
        <v>117.85</v>
      </c>
      <c r="F72" s="6">
        <f>IFERROR(__xludf.DUMMYFUNCTION("""COMPUTED_VALUE"""),7.5331989E7)</f>
        <v>75331989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IFERROR(__xludf.DUMMYFUNCTION("""COMPUTED_VALUE"""),117.85)</f>
        <v>117.85</v>
      </c>
      <c r="C73" s="6">
        <f>IFERROR(__xludf.DUMMYFUNCTION("""COMPUTED_VALUE"""),118.05)</f>
        <v>118.05</v>
      </c>
      <c r="D73" s="6">
        <f>IFERROR(__xludf.DUMMYFUNCTION("""COMPUTED_VALUE"""),108.21)</f>
        <v>108.21</v>
      </c>
      <c r="E73" s="6">
        <f>IFERROR(__xludf.DUMMYFUNCTION("""COMPUTED_VALUE"""),109.44)</f>
        <v>109.44</v>
      </c>
      <c r="F73" s="6">
        <f>IFERROR(__xludf.DUMMYFUNCTION("""COMPUTED_VALUE"""),5.5961798E7)</f>
        <v>55961798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IFERROR(__xludf.DUMMYFUNCTION("""COMPUTED_VALUE"""),109.77)</f>
        <v>109.77</v>
      </c>
      <c r="C74" s="6">
        <f>IFERROR(__xludf.DUMMYFUNCTION("""COMPUTED_VALUE"""),118.0)</f>
        <v>118</v>
      </c>
      <c r="D74" s="6">
        <f>IFERROR(__xludf.DUMMYFUNCTION("""COMPUTED_VALUE"""),106.63)</f>
        <v>106.63</v>
      </c>
      <c r="E74" s="6">
        <f>IFERROR(__xludf.DUMMYFUNCTION("""COMPUTED_VALUE"""),115.68)</f>
        <v>115.68</v>
      </c>
      <c r="F74" s="6">
        <f>IFERROR(__xludf.DUMMYFUNCTION("""COMPUTED_VALUE"""),5.5077177E7)</f>
        <v>55077177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IFERROR(__xludf.DUMMYFUNCTION("""COMPUTED_VALUE"""),114.6)</f>
        <v>114.6</v>
      </c>
      <c r="C75" s="6">
        <f>IFERROR(__xludf.DUMMYFUNCTION("""COMPUTED_VALUE"""),118.0)</f>
        <v>118</v>
      </c>
      <c r="D75" s="6">
        <f>IFERROR(__xludf.DUMMYFUNCTION("""COMPUTED_VALUE"""),110.02)</f>
        <v>110.02</v>
      </c>
      <c r="E75" s="6">
        <f>IFERROR(__xludf.DUMMYFUNCTION("""COMPUTED_VALUE"""),112.1)</f>
        <v>112.1</v>
      </c>
      <c r="F75" s="6">
        <f>IFERROR(__xludf.DUMMYFUNCTION("""COMPUTED_VALUE"""),3.8628869E7)</f>
        <v>38628869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IFERROR(__xludf.DUMMYFUNCTION("""COMPUTED_VALUE"""),112.1)</f>
        <v>112.1</v>
      </c>
      <c r="C76" s="6">
        <f>IFERROR(__xludf.DUMMYFUNCTION("""COMPUTED_VALUE"""),118.25)</f>
        <v>118.25</v>
      </c>
      <c r="D76" s="6">
        <f>IFERROR(__xludf.DUMMYFUNCTION("""COMPUTED_VALUE"""),107.6)</f>
        <v>107.6</v>
      </c>
      <c r="E76" s="6">
        <f>IFERROR(__xludf.DUMMYFUNCTION("""COMPUTED_VALUE"""),117.78)</f>
        <v>117.78</v>
      </c>
      <c r="F76" s="6">
        <f>IFERROR(__xludf.DUMMYFUNCTION("""COMPUTED_VALUE"""),4.6073098E7)</f>
        <v>46073098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IFERROR(__xludf.DUMMYFUNCTION("""COMPUTED_VALUE"""),117.41)</f>
        <v>117.41</v>
      </c>
      <c r="C77" s="6">
        <f>IFERROR(__xludf.DUMMYFUNCTION("""COMPUTED_VALUE"""),118.76)</f>
        <v>118.76</v>
      </c>
      <c r="D77" s="6">
        <f>IFERROR(__xludf.DUMMYFUNCTION("""COMPUTED_VALUE"""),112.4)</f>
        <v>112.4</v>
      </c>
      <c r="E77" s="6">
        <f>IFERROR(__xludf.DUMMYFUNCTION("""COMPUTED_VALUE"""),113.7)</f>
        <v>113.7</v>
      </c>
      <c r="F77" s="6">
        <f>IFERROR(__xludf.DUMMYFUNCTION("""COMPUTED_VALUE"""),2.6667017E7)</f>
        <v>26667017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IFERROR(__xludf.DUMMYFUNCTION("""COMPUTED_VALUE"""),114.36)</f>
        <v>114.36</v>
      </c>
      <c r="C78" s="6">
        <f>IFERROR(__xludf.DUMMYFUNCTION("""COMPUTED_VALUE"""),123.0)</f>
        <v>123</v>
      </c>
      <c r="D78" s="6">
        <f>IFERROR(__xludf.DUMMYFUNCTION("""COMPUTED_VALUE"""),112.17)</f>
        <v>112.17</v>
      </c>
      <c r="E78" s="6">
        <f>IFERROR(__xludf.DUMMYFUNCTION("""COMPUTED_VALUE"""),122.52)</f>
        <v>122.52</v>
      </c>
      <c r="F78" s="6">
        <f>IFERROR(__xludf.DUMMYFUNCTION("""COMPUTED_VALUE"""),4.1312798E7)</f>
        <v>41312798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IFERROR(__xludf.DUMMYFUNCTION("""COMPUTED_VALUE"""),124.0)</f>
        <v>124</v>
      </c>
      <c r="C79" s="6">
        <f>IFERROR(__xludf.DUMMYFUNCTION("""COMPUTED_VALUE"""),128.59)</f>
        <v>128.59</v>
      </c>
      <c r="D79" s="6">
        <f>IFERROR(__xludf.DUMMYFUNCTION("""COMPUTED_VALUE"""),119.66)</f>
        <v>119.66</v>
      </c>
      <c r="E79" s="6">
        <f>IFERROR(__xludf.DUMMYFUNCTION("""COMPUTED_VALUE"""),126.18)</f>
        <v>126.18</v>
      </c>
      <c r="F79" s="6">
        <f>IFERROR(__xludf.DUMMYFUNCTION("""COMPUTED_VALUE"""),1.06835806E8)</f>
        <v>106835806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IFERROR(__xludf.DUMMYFUNCTION("""COMPUTED_VALUE"""),124.25)</f>
        <v>124.25</v>
      </c>
      <c r="C80" s="6">
        <f>IFERROR(__xludf.DUMMYFUNCTION("""COMPUTED_VALUE"""),132.89)</f>
        <v>132.89</v>
      </c>
      <c r="D80" s="6">
        <f>IFERROR(__xludf.DUMMYFUNCTION("""COMPUTED_VALUE"""),120.65)</f>
        <v>120.65</v>
      </c>
      <c r="E80" s="6">
        <f>IFERROR(__xludf.DUMMYFUNCTION("""COMPUTED_VALUE"""),122.11)</f>
        <v>122.11</v>
      </c>
      <c r="F80" s="6">
        <f>IFERROR(__xludf.DUMMYFUNCTION("""COMPUTED_VALUE"""),7.9485853E7)</f>
        <v>79485853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IFERROR(__xludf.DUMMYFUNCTION("""COMPUTED_VALUE"""),113.8)</f>
        <v>113.8</v>
      </c>
      <c r="C81" s="6">
        <f>IFERROR(__xludf.DUMMYFUNCTION("""COMPUTED_VALUE"""),122.56)</f>
        <v>122.56</v>
      </c>
      <c r="D81" s="6">
        <f>IFERROR(__xludf.DUMMYFUNCTION("""COMPUTED_VALUE"""),112.52)</f>
        <v>112.52</v>
      </c>
      <c r="E81" s="6">
        <f>IFERROR(__xludf.DUMMYFUNCTION("""COMPUTED_VALUE"""),117.83)</f>
        <v>117.83</v>
      </c>
      <c r="F81" s="6">
        <f>IFERROR(__xludf.DUMMYFUNCTION("""COMPUTED_VALUE"""),4.6048093E7)</f>
        <v>46048093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IFERROR(__xludf.DUMMYFUNCTION("""COMPUTED_VALUE"""),120.12)</f>
        <v>120.12</v>
      </c>
      <c r="C82" s="6">
        <f>IFERROR(__xludf.DUMMYFUNCTION("""COMPUTED_VALUE"""),127.85)</f>
        <v>127.85</v>
      </c>
      <c r="D82" s="6">
        <f>IFERROR(__xludf.DUMMYFUNCTION("""COMPUTED_VALUE"""),119.5)</f>
        <v>119.5</v>
      </c>
      <c r="E82" s="6">
        <f>IFERROR(__xludf.DUMMYFUNCTION("""COMPUTED_VALUE"""),126.59)</f>
        <v>126.59</v>
      </c>
      <c r="F82" s="6">
        <f>IFERROR(__xludf.DUMMYFUNCTION("""COMPUTED_VALUE"""),3.1537949E7)</f>
        <v>31537949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IFERROR(__xludf.DUMMYFUNCTION("""COMPUTED_VALUE"""),126.59)</f>
        <v>126.59</v>
      </c>
      <c r="C83" s="6">
        <f>IFERROR(__xludf.DUMMYFUNCTION("""COMPUTED_VALUE"""),130.8)</f>
        <v>130.8</v>
      </c>
      <c r="D83" s="6">
        <f>IFERROR(__xludf.DUMMYFUNCTION("""COMPUTED_VALUE"""),122.78)</f>
        <v>122.78</v>
      </c>
      <c r="E83" s="6">
        <f>IFERROR(__xludf.DUMMYFUNCTION("""COMPUTED_VALUE"""),124.94)</f>
        <v>124.94</v>
      </c>
      <c r="F83" s="6">
        <f>IFERROR(__xludf.DUMMYFUNCTION("""COMPUTED_VALUE"""),8.0604E7)</f>
        <v>80604000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IFERROR(__xludf.DUMMYFUNCTION("""COMPUTED_VALUE"""),125.12)</f>
        <v>125.12</v>
      </c>
      <c r="C84" s="6">
        <f>IFERROR(__xludf.DUMMYFUNCTION("""COMPUTED_VALUE"""),131.5)</f>
        <v>131.5</v>
      </c>
      <c r="D84" s="6">
        <f>IFERROR(__xludf.DUMMYFUNCTION("""COMPUTED_VALUE"""),124.56)</f>
        <v>124.56</v>
      </c>
      <c r="E84" s="6">
        <f>IFERROR(__xludf.DUMMYFUNCTION("""COMPUTED_VALUE"""),126.22)</f>
        <v>126.22</v>
      </c>
      <c r="F84" s="6">
        <f>IFERROR(__xludf.DUMMYFUNCTION("""COMPUTED_VALUE"""),3.451664E7)</f>
        <v>34516640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IFERROR(__xludf.DUMMYFUNCTION("""COMPUTED_VALUE"""),125.05)</f>
        <v>125.05</v>
      </c>
      <c r="C85" s="6">
        <f>IFERROR(__xludf.DUMMYFUNCTION("""COMPUTED_VALUE"""),126.99)</f>
        <v>126.99</v>
      </c>
      <c r="D85" s="6">
        <f>IFERROR(__xludf.DUMMYFUNCTION("""COMPUTED_VALUE"""),114.5)</f>
        <v>114.5</v>
      </c>
      <c r="E85" s="6">
        <f>IFERROR(__xludf.DUMMYFUNCTION("""COMPUTED_VALUE"""),122.9)</f>
        <v>122.9</v>
      </c>
      <c r="F85" s="6">
        <f>IFERROR(__xludf.DUMMYFUNCTION("""COMPUTED_VALUE"""),1.06894407E8)</f>
        <v>106894407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IFERROR(__xludf.DUMMYFUNCTION("""COMPUTED_VALUE"""),126.0)</f>
        <v>126</v>
      </c>
      <c r="C86" s="6">
        <f>IFERROR(__xludf.DUMMYFUNCTION("""COMPUTED_VALUE"""),135.16)</f>
        <v>135.16</v>
      </c>
      <c r="D86" s="6">
        <f>IFERROR(__xludf.DUMMYFUNCTION("""COMPUTED_VALUE"""),125.9)</f>
        <v>125.9</v>
      </c>
      <c r="E86" s="6">
        <f>IFERROR(__xludf.DUMMYFUNCTION("""COMPUTED_VALUE"""),133.02)</f>
        <v>133.02</v>
      </c>
      <c r="F86" s="6">
        <f>IFERROR(__xludf.DUMMYFUNCTION("""COMPUTED_VALUE"""),8.9824429E7)</f>
        <v>89824429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IFERROR(__xludf.DUMMYFUNCTION("""COMPUTED_VALUE"""),134.35)</f>
        <v>134.35</v>
      </c>
      <c r="C87" s="6">
        <f>IFERROR(__xludf.DUMMYFUNCTION("""COMPUTED_VALUE"""),141.6)</f>
        <v>141.6</v>
      </c>
      <c r="D87" s="6">
        <f>IFERROR(__xludf.DUMMYFUNCTION("""COMPUTED_VALUE"""),132.4)</f>
        <v>132.4</v>
      </c>
      <c r="E87" s="6">
        <f>IFERROR(__xludf.DUMMYFUNCTION("""COMPUTED_VALUE"""),140.43)</f>
        <v>140.43</v>
      </c>
      <c r="F87" s="6">
        <f>IFERROR(__xludf.DUMMYFUNCTION("""COMPUTED_VALUE"""),9.0326604E7)</f>
        <v>90326604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IFERROR(__xludf.DUMMYFUNCTION("""COMPUTED_VALUE"""),140.5)</f>
        <v>140.5</v>
      </c>
      <c r="C88" s="6">
        <f>IFERROR(__xludf.DUMMYFUNCTION("""COMPUTED_VALUE"""),147.9)</f>
        <v>147.9</v>
      </c>
      <c r="D88" s="6">
        <f>IFERROR(__xludf.DUMMYFUNCTION("""COMPUTED_VALUE"""),138.9)</f>
        <v>138.9</v>
      </c>
      <c r="E88" s="6">
        <f>IFERROR(__xludf.DUMMYFUNCTION("""COMPUTED_VALUE"""),146.79)</f>
        <v>146.79</v>
      </c>
      <c r="F88" s="6">
        <f>IFERROR(__xludf.DUMMYFUNCTION("""COMPUTED_VALUE"""),6.6130548E7)</f>
        <v>66130548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IFERROR(__xludf.DUMMYFUNCTION("""COMPUTED_VALUE"""),149.0)</f>
        <v>149</v>
      </c>
      <c r="C89" s="6">
        <f>IFERROR(__xludf.DUMMYFUNCTION("""COMPUTED_VALUE"""),158.65)</f>
        <v>158.65</v>
      </c>
      <c r="D89" s="6">
        <f>IFERROR(__xludf.DUMMYFUNCTION("""COMPUTED_VALUE"""),148.0)</f>
        <v>148</v>
      </c>
      <c r="E89" s="6">
        <f>IFERROR(__xludf.DUMMYFUNCTION("""COMPUTED_VALUE"""),153.28)</f>
        <v>153.28</v>
      </c>
      <c r="F89" s="6">
        <f>IFERROR(__xludf.DUMMYFUNCTION("""COMPUTED_VALUE"""),1.23418851E8)</f>
        <v>123418851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IFERROR(__xludf.DUMMYFUNCTION("""COMPUTED_VALUE"""),153.94)</f>
        <v>153.94</v>
      </c>
      <c r="C90" s="6">
        <f>IFERROR(__xludf.DUMMYFUNCTION("""COMPUTED_VALUE"""),158.07)</f>
        <v>158.07</v>
      </c>
      <c r="D90" s="6">
        <f>IFERROR(__xludf.DUMMYFUNCTION("""COMPUTED_VALUE"""),145.0)</f>
        <v>145</v>
      </c>
      <c r="E90" s="6">
        <f>IFERROR(__xludf.DUMMYFUNCTION("""COMPUTED_VALUE"""),146.24)</f>
        <v>146.24</v>
      </c>
      <c r="F90" s="6">
        <f>IFERROR(__xludf.DUMMYFUNCTION("""COMPUTED_VALUE"""),4.5113065E7)</f>
        <v>45113065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IFERROR(__xludf.DUMMYFUNCTION("""COMPUTED_VALUE"""),146.24)</f>
        <v>146.24</v>
      </c>
      <c r="C91" s="6">
        <f>IFERROR(__xludf.DUMMYFUNCTION("""COMPUTED_VALUE"""),148.42)</f>
        <v>148.42</v>
      </c>
      <c r="D91" s="6">
        <f>IFERROR(__xludf.DUMMYFUNCTION("""COMPUTED_VALUE"""),138.32)</f>
        <v>138.32</v>
      </c>
      <c r="E91" s="6">
        <f>IFERROR(__xludf.DUMMYFUNCTION("""COMPUTED_VALUE"""),143.48)</f>
        <v>143.48</v>
      </c>
      <c r="F91" s="6">
        <f>IFERROR(__xludf.DUMMYFUNCTION("""COMPUTED_VALUE"""),4.6039707E7)</f>
        <v>46039707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IFERROR(__xludf.DUMMYFUNCTION("""COMPUTED_VALUE"""),141.5)</f>
        <v>141.5</v>
      </c>
      <c r="C92" s="6">
        <f>IFERROR(__xludf.DUMMYFUNCTION("""COMPUTED_VALUE"""),151.9)</f>
        <v>151.9</v>
      </c>
      <c r="D92" s="6">
        <f>IFERROR(__xludf.DUMMYFUNCTION("""COMPUTED_VALUE"""),141.5)</f>
        <v>141.5</v>
      </c>
      <c r="E92" s="6">
        <f>IFERROR(__xludf.DUMMYFUNCTION("""COMPUTED_VALUE"""),149.06)</f>
        <v>149.06</v>
      </c>
      <c r="F92" s="6">
        <f>IFERROR(__xludf.DUMMYFUNCTION("""COMPUTED_VALUE"""),5.4268172E7)</f>
        <v>54268172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IFERROR(__xludf.DUMMYFUNCTION("""COMPUTED_VALUE"""),149.94)</f>
        <v>149.94</v>
      </c>
      <c r="C93" s="6">
        <f>IFERROR(__xludf.DUMMYFUNCTION("""COMPUTED_VALUE"""),155.9)</f>
        <v>155.9</v>
      </c>
      <c r="D93" s="6">
        <f>IFERROR(__xludf.DUMMYFUNCTION("""COMPUTED_VALUE"""),149.51)</f>
        <v>149.51</v>
      </c>
      <c r="E93" s="6">
        <f>IFERROR(__xludf.DUMMYFUNCTION("""COMPUTED_VALUE"""),153.09)</f>
        <v>153.09</v>
      </c>
      <c r="F93" s="6">
        <f>IFERROR(__xludf.DUMMYFUNCTION("""COMPUTED_VALUE"""),6.2015431E7)</f>
        <v>62015431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IFERROR(__xludf.DUMMYFUNCTION("""COMPUTED_VALUE"""),152.53)</f>
        <v>152.53</v>
      </c>
      <c r="C94" s="6">
        <f>IFERROR(__xludf.DUMMYFUNCTION("""COMPUTED_VALUE"""),154.59)</f>
        <v>154.59</v>
      </c>
      <c r="D94" s="6">
        <f>IFERROR(__xludf.DUMMYFUNCTION("""COMPUTED_VALUE"""),141.54)</f>
        <v>141.54</v>
      </c>
      <c r="E94" s="6">
        <f>IFERROR(__xludf.DUMMYFUNCTION("""COMPUTED_VALUE"""),143.74)</f>
        <v>143.74</v>
      </c>
      <c r="F94" s="6">
        <f>IFERROR(__xludf.DUMMYFUNCTION("""COMPUTED_VALUE"""),6.4008787E7)</f>
        <v>64008787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IFERROR(__xludf.DUMMYFUNCTION("""COMPUTED_VALUE"""),143.82)</f>
        <v>143.82</v>
      </c>
      <c r="C95" s="6">
        <f>IFERROR(__xludf.DUMMYFUNCTION("""COMPUTED_VALUE"""),149.6)</f>
        <v>149.6</v>
      </c>
      <c r="D95" s="6">
        <f>IFERROR(__xludf.DUMMYFUNCTION("""COMPUTED_VALUE"""),143.82)</f>
        <v>143.82</v>
      </c>
      <c r="E95" s="6">
        <f>IFERROR(__xludf.DUMMYFUNCTION("""COMPUTED_VALUE"""),146.46)</f>
        <v>146.46</v>
      </c>
      <c r="F95" s="6">
        <f>IFERROR(__xludf.DUMMYFUNCTION("""COMPUTED_VALUE"""),6.793201E7)</f>
        <v>67932010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IFERROR(__xludf.DUMMYFUNCTION("""COMPUTED_VALUE"""),145.5)</f>
        <v>145.5</v>
      </c>
      <c r="C96" s="6">
        <f>IFERROR(__xludf.DUMMYFUNCTION("""COMPUTED_VALUE"""),145.73)</f>
        <v>145.73</v>
      </c>
      <c r="D96" s="6">
        <f>IFERROR(__xludf.DUMMYFUNCTION("""COMPUTED_VALUE"""),135.95)</f>
        <v>135.95</v>
      </c>
      <c r="E96" s="6">
        <f>IFERROR(__xludf.DUMMYFUNCTION("""COMPUTED_VALUE"""),136.22)</f>
        <v>136.22</v>
      </c>
      <c r="F96" s="6">
        <f>IFERROR(__xludf.DUMMYFUNCTION("""COMPUTED_VALUE"""),7.2926967E7)</f>
        <v>72926967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IFERROR(__xludf.DUMMYFUNCTION("""COMPUTED_VALUE"""),136.0)</f>
        <v>136</v>
      </c>
      <c r="C97" s="6">
        <f>IFERROR(__xludf.DUMMYFUNCTION("""COMPUTED_VALUE"""),137.05)</f>
        <v>137.05</v>
      </c>
      <c r="D97" s="6">
        <f>IFERROR(__xludf.DUMMYFUNCTION("""COMPUTED_VALUE"""),127.8)</f>
        <v>127.8</v>
      </c>
      <c r="E97" s="6">
        <f>IFERROR(__xludf.DUMMYFUNCTION("""COMPUTED_VALUE"""),128.1)</f>
        <v>128.1</v>
      </c>
      <c r="F97" s="6">
        <f>IFERROR(__xludf.DUMMYFUNCTION("""COMPUTED_VALUE"""),6.2764322E7)</f>
        <v>62764322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IFERROR(__xludf.DUMMYFUNCTION("""COMPUTED_VALUE"""),128.62)</f>
        <v>128.62</v>
      </c>
      <c r="C98" s="6">
        <f>IFERROR(__xludf.DUMMYFUNCTION("""COMPUTED_VALUE"""),132.8)</f>
        <v>132.8</v>
      </c>
      <c r="D98" s="6">
        <f>IFERROR(__xludf.DUMMYFUNCTION("""COMPUTED_VALUE"""),127.14)</f>
        <v>127.14</v>
      </c>
      <c r="E98" s="6">
        <f>IFERROR(__xludf.DUMMYFUNCTION("""COMPUTED_VALUE"""),130.98)</f>
        <v>130.98</v>
      </c>
      <c r="F98" s="6">
        <f>IFERROR(__xludf.DUMMYFUNCTION("""COMPUTED_VALUE"""),5.6952851E7)</f>
        <v>56952851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IFERROR(__xludf.DUMMYFUNCTION("""COMPUTED_VALUE"""),131.0)</f>
        <v>131</v>
      </c>
      <c r="C99" s="6">
        <f>IFERROR(__xludf.DUMMYFUNCTION("""COMPUTED_VALUE"""),137.0)</f>
        <v>137</v>
      </c>
      <c r="D99" s="6">
        <f>IFERROR(__xludf.DUMMYFUNCTION("""COMPUTED_VALUE"""),130.98)</f>
        <v>130.98</v>
      </c>
      <c r="E99" s="6">
        <f>IFERROR(__xludf.DUMMYFUNCTION("""COMPUTED_VALUE"""),134.84)</f>
        <v>134.84</v>
      </c>
      <c r="F99" s="6">
        <f>IFERROR(__xludf.DUMMYFUNCTION("""COMPUTED_VALUE"""),3.1170151E7)</f>
        <v>31170151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IFERROR(__xludf.DUMMYFUNCTION("""COMPUTED_VALUE"""),136.86)</f>
        <v>136.86</v>
      </c>
      <c r="C100" s="6">
        <f>IFERROR(__xludf.DUMMYFUNCTION("""COMPUTED_VALUE"""),138.55)</f>
        <v>138.55</v>
      </c>
      <c r="D100" s="6">
        <f>IFERROR(__xludf.DUMMYFUNCTION("""COMPUTED_VALUE"""),133.71)</f>
        <v>133.71</v>
      </c>
      <c r="E100" s="6">
        <f>IFERROR(__xludf.DUMMYFUNCTION("""COMPUTED_VALUE"""),134.76)</f>
        <v>134.76</v>
      </c>
      <c r="F100" s="6">
        <f>IFERROR(__xludf.DUMMYFUNCTION("""COMPUTED_VALUE"""),3.9885562E7)</f>
        <v>39885562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IFERROR(__xludf.DUMMYFUNCTION("""COMPUTED_VALUE"""),134.77)</f>
        <v>134.77</v>
      </c>
      <c r="C101" s="6">
        <f>IFERROR(__xludf.DUMMYFUNCTION("""COMPUTED_VALUE"""),136.0)</f>
        <v>136</v>
      </c>
      <c r="D101" s="6">
        <f>IFERROR(__xludf.DUMMYFUNCTION("""COMPUTED_VALUE"""),128.94)</f>
        <v>128.94</v>
      </c>
      <c r="E101" s="6">
        <f>IFERROR(__xludf.DUMMYFUNCTION("""COMPUTED_VALUE"""),129.67)</f>
        <v>129.67</v>
      </c>
      <c r="F101" s="6">
        <f>IFERROR(__xludf.DUMMYFUNCTION("""COMPUTED_VALUE"""),1.31848132E8)</f>
        <v>131848132</v>
      </c>
    </row>
  </sheetData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IFERROR(__xludf.DUMMYFUNCTION("GOOGLEFINANCE(""NSE:UNITDSPR"",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IFERROR(__xludf.DUMMYFUNCTION("""COMPUTED_VALUE"""),45450.64583333333)</f>
        <v>45450.64583</v>
      </c>
      <c r="B2" s="6">
        <f>IFERROR(__xludf.DUMMYFUNCTION("""COMPUTED_VALUE"""),1306.45)</f>
        <v>1306.45</v>
      </c>
      <c r="C2" s="6">
        <f>IFERROR(__xludf.DUMMYFUNCTION("""COMPUTED_VALUE"""),1320.0)</f>
        <v>1320</v>
      </c>
      <c r="D2" s="6">
        <f>IFERROR(__xludf.DUMMYFUNCTION("""COMPUTED_VALUE"""),1294.65)</f>
        <v>1294.65</v>
      </c>
      <c r="E2" s="6">
        <f>IFERROR(__xludf.DUMMYFUNCTION("""COMPUTED_VALUE"""),1307.55)</f>
        <v>1307.55</v>
      </c>
      <c r="F2" s="6">
        <f>IFERROR(__xludf.DUMMYFUNCTION("""COMPUTED_VALUE"""),1151764.0)</f>
        <v>1151764</v>
      </c>
    </row>
    <row r="3">
      <c r="A3" s="7">
        <f>IFERROR(__xludf.DUMMYFUNCTION("""COMPUTED_VALUE"""),45457.64583333333)</f>
        <v>45457.64583</v>
      </c>
      <c r="B3" s="6">
        <f>IFERROR(__xludf.DUMMYFUNCTION("""COMPUTED_VALUE"""),1327.0)</f>
        <v>1327</v>
      </c>
      <c r="C3" s="6">
        <f>IFERROR(__xludf.DUMMYFUNCTION("""COMPUTED_VALUE"""),1334.85)</f>
        <v>1334.85</v>
      </c>
      <c r="D3" s="6">
        <f>IFERROR(__xludf.DUMMYFUNCTION("""COMPUTED_VALUE"""),1258.2)</f>
        <v>1258.2</v>
      </c>
      <c r="E3" s="6">
        <f>IFERROR(__xludf.DUMMYFUNCTION("""COMPUTED_VALUE"""),1269.0)</f>
        <v>1269</v>
      </c>
      <c r="F3" s="6">
        <f>IFERROR(__xludf.DUMMYFUNCTION("""COMPUTED_VALUE"""),5278899.0)</f>
        <v>5278899</v>
      </c>
    </row>
    <row r="4">
      <c r="A4" s="7">
        <f>IFERROR(__xludf.DUMMYFUNCTION("""COMPUTED_VALUE"""),45464.64583333333)</f>
        <v>45464.64583</v>
      </c>
      <c r="B4" s="6">
        <f>IFERROR(__xludf.DUMMYFUNCTION("""COMPUTED_VALUE"""),1265.0)</f>
        <v>1265</v>
      </c>
      <c r="C4" s="6">
        <f>IFERROR(__xludf.DUMMYFUNCTION("""COMPUTED_VALUE"""),1281.25)</f>
        <v>1281.25</v>
      </c>
      <c r="D4" s="6">
        <f>IFERROR(__xludf.DUMMYFUNCTION("""COMPUTED_VALUE"""),1237.0)</f>
        <v>1237</v>
      </c>
      <c r="E4" s="6">
        <f>IFERROR(__xludf.DUMMYFUNCTION("""COMPUTED_VALUE"""),1260.65)</f>
        <v>1260.65</v>
      </c>
      <c r="F4" s="6">
        <f>IFERROR(__xludf.DUMMYFUNCTION("""COMPUTED_VALUE"""),5872111.0)</f>
        <v>5872111</v>
      </c>
    </row>
    <row r="5">
      <c r="A5" s="7">
        <f>IFERROR(__xludf.DUMMYFUNCTION("""COMPUTED_VALUE"""),45471.64583333333)</f>
        <v>45471.64583</v>
      </c>
      <c r="B5" s="6">
        <f>IFERROR(__xludf.DUMMYFUNCTION("""COMPUTED_VALUE"""),1255.0)</f>
        <v>1255</v>
      </c>
      <c r="C5" s="6">
        <f>IFERROR(__xludf.DUMMYFUNCTION("""COMPUTED_VALUE"""),1309.75)</f>
        <v>1309.75</v>
      </c>
      <c r="D5" s="6">
        <f>IFERROR(__xludf.DUMMYFUNCTION("""COMPUTED_VALUE"""),1245.75)</f>
        <v>1245.75</v>
      </c>
      <c r="E5" s="6">
        <f>IFERROR(__xludf.DUMMYFUNCTION("""COMPUTED_VALUE"""),1276.5)</f>
        <v>1276.5</v>
      </c>
      <c r="F5" s="6">
        <f>IFERROR(__xludf.DUMMYFUNCTION("""COMPUTED_VALUE"""),3935853.0)</f>
        <v>3935853</v>
      </c>
    </row>
    <row r="6">
      <c r="A6" s="7">
        <f>IFERROR(__xludf.DUMMYFUNCTION("""COMPUTED_VALUE"""),45478.64583333333)</f>
        <v>45478.64583</v>
      </c>
      <c r="B6" s="6">
        <f>IFERROR(__xludf.DUMMYFUNCTION("""COMPUTED_VALUE"""),1261.1)</f>
        <v>1261.1</v>
      </c>
      <c r="C6" s="6">
        <f>IFERROR(__xludf.DUMMYFUNCTION("""COMPUTED_VALUE"""),1292.0)</f>
        <v>1292</v>
      </c>
      <c r="D6" s="6">
        <f>IFERROR(__xludf.DUMMYFUNCTION("""COMPUTED_VALUE"""),1249.3)</f>
        <v>1249.3</v>
      </c>
      <c r="E6" s="6">
        <f>IFERROR(__xludf.DUMMYFUNCTION("""COMPUTED_VALUE"""),1254.15)</f>
        <v>1254.15</v>
      </c>
      <c r="F6" s="6">
        <f>IFERROR(__xludf.DUMMYFUNCTION("""COMPUTED_VALUE"""),2858830.0)</f>
        <v>2858830</v>
      </c>
    </row>
    <row r="7">
      <c r="A7" s="7">
        <f>IFERROR(__xludf.DUMMYFUNCTION("""COMPUTED_VALUE"""),45485.64583333333)</f>
        <v>45485.64583</v>
      </c>
      <c r="B7" s="6">
        <f>IFERROR(__xludf.DUMMYFUNCTION("""COMPUTED_VALUE"""),1257.0)</f>
        <v>1257</v>
      </c>
      <c r="C7" s="6">
        <f>IFERROR(__xludf.DUMMYFUNCTION("""COMPUTED_VALUE"""),1306.85)</f>
        <v>1306.85</v>
      </c>
      <c r="D7" s="6">
        <f>IFERROR(__xludf.DUMMYFUNCTION("""COMPUTED_VALUE"""),1257.0)</f>
        <v>1257</v>
      </c>
      <c r="E7" s="6">
        <f>IFERROR(__xludf.DUMMYFUNCTION("""COMPUTED_VALUE"""),1289.65)</f>
        <v>1289.65</v>
      </c>
      <c r="F7" s="6">
        <f>IFERROR(__xludf.DUMMYFUNCTION("""COMPUTED_VALUE"""),6795747.0)</f>
        <v>6795747</v>
      </c>
    </row>
    <row r="8">
      <c r="A8" s="7">
        <f>IFERROR(__xludf.DUMMYFUNCTION("""COMPUTED_VALUE"""),45492.64583333333)</f>
        <v>45492.64583</v>
      </c>
      <c r="B8" s="6">
        <f>IFERROR(__xludf.DUMMYFUNCTION("""COMPUTED_VALUE"""),1289.65)</f>
        <v>1289.65</v>
      </c>
      <c r="C8" s="6">
        <f>IFERROR(__xludf.DUMMYFUNCTION("""COMPUTED_VALUE"""),1317.45)</f>
        <v>1317.45</v>
      </c>
      <c r="D8" s="6">
        <f>IFERROR(__xludf.DUMMYFUNCTION("""COMPUTED_VALUE"""),1275.95)</f>
        <v>1275.95</v>
      </c>
      <c r="E8" s="6">
        <f>IFERROR(__xludf.DUMMYFUNCTION("""COMPUTED_VALUE"""),1297.75)</f>
        <v>1297.75</v>
      </c>
      <c r="F8" s="6">
        <f>IFERROR(__xludf.DUMMYFUNCTION("""COMPUTED_VALUE"""),3523819.0)</f>
        <v>3523819</v>
      </c>
    </row>
    <row r="9">
      <c r="A9" s="7">
        <f>IFERROR(__xludf.DUMMYFUNCTION("""COMPUTED_VALUE"""),45499.64583333333)</f>
        <v>45499.64583</v>
      </c>
      <c r="B9" s="6">
        <f>IFERROR(__xludf.DUMMYFUNCTION("""COMPUTED_VALUE"""),1295.05)</f>
        <v>1295.05</v>
      </c>
      <c r="C9" s="6">
        <f>IFERROR(__xludf.DUMMYFUNCTION("""COMPUTED_VALUE"""),1450.0)</f>
        <v>1450</v>
      </c>
      <c r="D9" s="6">
        <f>IFERROR(__xludf.DUMMYFUNCTION("""COMPUTED_VALUE"""),1263.55)</f>
        <v>1263.55</v>
      </c>
      <c r="E9" s="6">
        <f>IFERROR(__xludf.DUMMYFUNCTION("""COMPUTED_VALUE"""),1415.4)</f>
        <v>1415.4</v>
      </c>
      <c r="F9" s="6">
        <f>IFERROR(__xludf.DUMMYFUNCTION("""COMPUTED_VALUE"""),1.277431E7)</f>
        <v>12774310</v>
      </c>
    </row>
    <row r="10">
      <c r="A10" s="7">
        <f>IFERROR(__xludf.DUMMYFUNCTION("""COMPUTED_VALUE"""),45506.64583333333)</f>
        <v>45506.64583</v>
      </c>
      <c r="B10" s="6">
        <f>IFERROR(__xludf.DUMMYFUNCTION("""COMPUTED_VALUE"""),1430.0)</f>
        <v>1430</v>
      </c>
      <c r="C10" s="6">
        <f>IFERROR(__xludf.DUMMYFUNCTION("""COMPUTED_VALUE"""),1434.95)</f>
        <v>1434.95</v>
      </c>
      <c r="D10" s="6">
        <f>IFERROR(__xludf.DUMMYFUNCTION("""COMPUTED_VALUE"""),1394.1)</f>
        <v>1394.1</v>
      </c>
      <c r="E10" s="6">
        <f>IFERROR(__xludf.DUMMYFUNCTION("""COMPUTED_VALUE"""),1421.0)</f>
        <v>1421</v>
      </c>
      <c r="F10" s="6">
        <f>IFERROR(__xludf.DUMMYFUNCTION("""COMPUTED_VALUE"""),4121423.0)</f>
        <v>4121423</v>
      </c>
    </row>
    <row r="11">
      <c r="A11" s="7">
        <f>IFERROR(__xludf.DUMMYFUNCTION("""COMPUTED_VALUE"""),45513.64583333333)</f>
        <v>45513.64583</v>
      </c>
      <c r="B11" s="6">
        <f>IFERROR(__xludf.DUMMYFUNCTION("""COMPUTED_VALUE"""),1386.0)</f>
        <v>1386</v>
      </c>
      <c r="C11" s="6">
        <f>IFERROR(__xludf.DUMMYFUNCTION("""COMPUTED_VALUE"""),1480.4)</f>
        <v>1480.4</v>
      </c>
      <c r="D11" s="6">
        <f>IFERROR(__xludf.DUMMYFUNCTION("""COMPUTED_VALUE"""),1382.65)</f>
        <v>1382.65</v>
      </c>
      <c r="E11" s="6">
        <f>IFERROR(__xludf.DUMMYFUNCTION("""COMPUTED_VALUE"""),1454.95)</f>
        <v>1454.95</v>
      </c>
      <c r="F11" s="6">
        <f>IFERROR(__xludf.DUMMYFUNCTION("""COMPUTED_VALUE"""),4366359.0)</f>
        <v>4366359</v>
      </c>
    </row>
    <row r="12">
      <c r="A12" s="7">
        <f>IFERROR(__xludf.DUMMYFUNCTION("""COMPUTED_VALUE"""),45520.64583333333)</f>
        <v>45520.64583</v>
      </c>
      <c r="B12" s="6">
        <f>IFERROR(__xludf.DUMMYFUNCTION("""COMPUTED_VALUE"""),1449.95)</f>
        <v>1449.95</v>
      </c>
      <c r="C12" s="6">
        <f>IFERROR(__xludf.DUMMYFUNCTION("""COMPUTED_VALUE"""),1450.0)</f>
        <v>1450</v>
      </c>
      <c r="D12" s="6">
        <f>IFERROR(__xludf.DUMMYFUNCTION("""COMPUTED_VALUE"""),1391.2)</f>
        <v>1391.2</v>
      </c>
      <c r="E12" s="6">
        <f>IFERROR(__xludf.DUMMYFUNCTION("""COMPUTED_VALUE"""),1406.3)</f>
        <v>1406.3</v>
      </c>
      <c r="F12" s="6">
        <f>IFERROR(__xludf.DUMMYFUNCTION("""COMPUTED_VALUE"""),3076028.0)</f>
        <v>3076028</v>
      </c>
    </row>
    <row r="13">
      <c r="A13" s="7">
        <f>IFERROR(__xludf.DUMMYFUNCTION("""COMPUTED_VALUE"""),45527.64583333333)</f>
        <v>45527.64583</v>
      </c>
      <c r="B13" s="6">
        <f>IFERROR(__xludf.DUMMYFUNCTION("""COMPUTED_VALUE"""),1409.3)</f>
        <v>1409.3</v>
      </c>
      <c r="C13" s="6">
        <f>IFERROR(__xludf.DUMMYFUNCTION("""COMPUTED_VALUE"""),1463.0)</f>
        <v>1463</v>
      </c>
      <c r="D13" s="6">
        <f>IFERROR(__xludf.DUMMYFUNCTION("""COMPUTED_VALUE"""),1398.75)</f>
        <v>1398.75</v>
      </c>
      <c r="E13" s="6">
        <f>IFERROR(__xludf.DUMMYFUNCTION("""COMPUTED_VALUE"""),1429.65)</f>
        <v>1429.65</v>
      </c>
      <c r="F13" s="6">
        <f>IFERROR(__xludf.DUMMYFUNCTION("""COMPUTED_VALUE"""),3351534.0)</f>
        <v>3351534</v>
      </c>
    </row>
    <row r="14">
      <c r="A14" s="7">
        <f>IFERROR(__xludf.DUMMYFUNCTION("""COMPUTED_VALUE"""),45534.64583333333)</f>
        <v>45534.64583</v>
      </c>
      <c r="B14" s="6">
        <f>IFERROR(__xludf.DUMMYFUNCTION("""COMPUTED_VALUE"""),1438.0)</f>
        <v>1438</v>
      </c>
      <c r="C14" s="6">
        <f>IFERROR(__xludf.DUMMYFUNCTION("""COMPUTED_VALUE"""),1484.35)</f>
        <v>1484.35</v>
      </c>
      <c r="D14" s="6">
        <f>IFERROR(__xludf.DUMMYFUNCTION("""COMPUTED_VALUE"""),1424.5)</f>
        <v>1424.5</v>
      </c>
      <c r="E14" s="6">
        <f>IFERROR(__xludf.DUMMYFUNCTION("""COMPUTED_VALUE"""),1474.35)</f>
        <v>1474.35</v>
      </c>
      <c r="F14" s="6">
        <f>IFERROR(__xludf.DUMMYFUNCTION("""COMPUTED_VALUE"""),5364806.0)</f>
        <v>5364806</v>
      </c>
    </row>
    <row r="15">
      <c r="A15" s="7">
        <f>IFERROR(__xludf.DUMMYFUNCTION("""COMPUTED_VALUE"""),45541.64583333333)</f>
        <v>45541.64583</v>
      </c>
      <c r="B15" s="6">
        <f>IFERROR(__xludf.DUMMYFUNCTION("""COMPUTED_VALUE"""),1485.0)</f>
        <v>1485</v>
      </c>
      <c r="C15" s="6">
        <f>IFERROR(__xludf.DUMMYFUNCTION("""COMPUTED_VALUE"""),1514.0)</f>
        <v>1514</v>
      </c>
      <c r="D15" s="6">
        <f>IFERROR(__xludf.DUMMYFUNCTION("""COMPUTED_VALUE"""),1453.45)</f>
        <v>1453.45</v>
      </c>
      <c r="E15" s="6">
        <f>IFERROR(__xludf.DUMMYFUNCTION("""COMPUTED_VALUE"""),1461.7)</f>
        <v>1461.7</v>
      </c>
      <c r="F15" s="6">
        <f>IFERROR(__xludf.DUMMYFUNCTION("""COMPUTED_VALUE"""),3513129.0)</f>
        <v>3513129</v>
      </c>
    </row>
    <row r="16">
      <c r="A16" s="7">
        <f>IFERROR(__xludf.DUMMYFUNCTION("""COMPUTED_VALUE"""),45548.64583333333)</f>
        <v>45548.64583</v>
      </c>
      <c r="B16" s="6">
        <f>IFERROR(__xludf.DUMMYFUNCTION("""COMPUTED_VALUE"""),1463.65)</f>
        <v>1463.65</v>
      </c>
      <c r="C16" s="6">
        <f>IFERROR(__xludf.DUMMYFUNCTION("""COMPUTED_VALUE"""),1543.0)</f>
        <v>1543</v>
      </c>
      <c r="D16" s="6">
        <f>IFERROR(__xludf.DUMMYFUNCTION("""COMPUTED_VALUE"""),1463.65)</f>
        <v>1463.65</v>
      </c>
      <c r="E16" s="6">
        <f>IFERROR(__xludf.DUMMYFUNCTION("""COMPUTED_VALUE"""),1523.35)</f>
        <v>1523.35</v>
      </c>
      <c r="F16" s="6">
        <f>IFERROR(__xludf.DUMMYFUNCTION("""COMPUTED_VALUE"""),4032775.0)</f>
        <v>4032775</v>
      </c>
    </row>
    <row r="17">
      <c r="A17" s="7">
        <f>IFERROR(__xludf.DUMMYFUNCTION("""COMPUTED_VALUE"""),45555.64583333333)</f>
        <v>45555.64583</v>
      </c>
      <c r="B17" s="6">
        <f>IFERROR(__xludf.DUMMYFUNCTION("""COMPUTED_VALUE"""),1533.9)</f>
        <v>1533.9</v>
      </c>
      <c r="C17" s="6">
        <f>IFERROR(__xludf.DUMMYFUNCTION("""COMPUTED_VALUE"""),1582.0)</f>
        <v>1582</v>
      </c>
      <c r="D17" s="6">
        <f>IFERROR(__xludf.DUMMYFUNCTION("""COMPUTED_VALUE"""),1522.3)</f>
        <v>1522.3</v>
      </c>
      <c r="E17" s="6">
        <f>IFERROR(__xludf.DUMMYFUNCTION("""COMPUTED_VALUE"""),1574.15)</f>
        <v>1574.15</v>
      </c>
      <c r="F17" s="6">
        <f>IFERROR(__xludf.DUMMYFUNCTION("""COMPUTED_VALUE"""),5410285.0)</f>
        <v>5410285</v>
      </c>
    </row>
    <row r="18">
      <c r="A18" s="7">
        <f>IFERROR(__xludf.DUMMYFUNCTION("""COMPUTED_VALUE"""),45562.64583333333)</f>
        <v>45562.64583</v>
      </c>
      <c r="B18" s="6">
        <f>IFERROR(__xludf.DUMMYFUNCTION("""COMPUTED_VALUE"""),1585.0)</f>
        <v>1585</v>
      </c>
      <c r="C18" s="6">
        <f>IFERROR(__xludf.DUMMYFUNCTION("""COMPUTED_VALUE"""),1647.5)</f>
        <v>1647.5</v>
      </c>
      <c r="D18" s="6">
        <f>IFERROR(__xludf.DUMMYFUNCTION("""COMPUTED_VALUE"""),1561.15)</f>
        <v>1561.15</v>
      </c>
      <c r="E18" s="6">
        <f>IFERROR(__xludf.DUMMYFUNCTION("""COMPUTED_VALUE"""),1596.6)</f>
        <v>1596.6</v>
      </c>
      <c r="F18" s="6">
        <f>IFERROR(__xludf.DUMMYFUNCTION("""COMPUTED_VALUE"""),5581880.0)</f>
        <v>5581880</v>
      </c>
    </row>
    <row r="19">
      <c r="A19" s="7">
        <f>IFERROR(__xludf.DUMMYFUNCTION("""COMPUTED_VALUE"""),45569.64583333333)</f>
        <v>45569.64583</v>
      </c>
      <c r="B19" s="6">
        <f>IFERROR(__xludf.DUMMYFUNCTION("""COMPUTED_VALUE"""),1596.1)</f>
        <v>1596.1</v>
      </c>
      <c r="C19" s="6">
        <f>IFERROR(__xludf.DUMMYFUNCTION("""COMPUTED_VALUE"""),1614.2)</f>
        <v>1614.2</v>
      </c>
      <c r="D19" s="6">
        <f>IFERROR(__xludf.DUMMYFUNCTION("""COMPUTED_VALUE"""),1527.25)</f>
        <v>1527.25</v>
      </c>
      <c r="E19" s="6">
        <f>IFERROR(__xludf.DUMMYFUNCTION("""COMPUTED_VALUE"""),1531.35)</f>
        <v>1531.35</v>
      </c>
      <c r="F19" s="6">
        <f>IFERROR(__xludf.DUMMYFUNCTION("""COMPUTED_VALUE"""),2819269.0)</f>
        <v>2819269</v>
      </c>
    </row>
    <row r="20">
      <c r="A20" s="7">
        <f>IFERROR(__xludf.DUMMYFUNCTION("""COMPUTED_VALUE"""),45576.64583333333)</f>
        <v>45576.64583</v>
      </c>
      <c r="B20" s="6">
        <f>IFERROR(__xludf.DUMMYFUNCTION("""COMPUTED_VALUE"""),1531.35)</f>
        <v>1531.35</v>
      </c>
      <c r="C20" s="6">
        <f>IFERROR(__xludf.DUMMYFUNCTION("""COMPUTED_VALUE"""),1550.0)</f>
        <v>1550</v>
      </c>
      <c r="D20" s="6">
        <f>IFERROR(__xludf.DUMMYFUNCTION("""COMPUTED_VALUE"""),1491.1)</f>
        <v>1491.1</v>
      </c>
      <c r="E20" s="6">
        <f>IFERROR(__xludf.DUMMYFUNCTION("""COMPUTED_VALUE"""),1519.55)</f>
        <v>1519.55</v>
      </c>
      <c r="F20" s="6">
        <f>IFERROR(__xludf.DUMMYFUNCTION("""COMPUTED_VALUE"""),3385817.0)</f>
        <v>3385817</v>
      </c>
    </row>
    <row r="21">
      <c r="A21" s="7">
        <f>IFERROR(__xludf.DUMMYFUNCTION("""COMPUTED_VALUE"""),45583.64583333333)</f>
        <v>45583.64583</v>
      </c>
      <c r="B21" s="6">
        <f>IFERROR(__xludf.DUMMYFUNCTION("""COMPUTED_VALUE"""),1540.0)</f>
        <v>1540</v>
      </c>
      <c r="C21" s="6">
        <f>IFERROR(__xludf.DUMMYFUNCTION("""COMPUTED_VALUE"""),1561.0)</f>
        <v>1561</v>
      </c>
      <c r="D21" s="6">
        <f>IFERROR(__xludf.DUMMYFUNCTION("""COMPUTED_VALUE"""),1502.0)</f>
        <v>1502</v>
      </c>
      <c r="E21" s="6">
        <f>IFERROR(__xludf.DUMMYFUNCTION("""COMPUTED_VALUE"""),1519.25)</f>
        <v>1519.25</v>
      </c>
      <c r="F21" s="6">
        <f>IFERROR(__xludf.DUMMYFUNCTION("""COMPUTED_VALUE"""),2661493.0)</f>
        <v>2661493</v>
      </c>
    </row>
    <row r="22">
      <c r="A22" s="7">
        <f>IFERROR(__xludf.DUMMYFUNCTION("""COMPUTED_VALUE"""),45590.64583333333)</f>
        <v>45590.64583</v>
      </c>
      <c r="B22" s="6">
        <f>IFERROR(__xludf.DUMMYFUNCTION("""COMPUTED_VALUE"""),1517.05)</f>
        <v>1517.05</v>
      </c>
      <c r="C22" s="6">
        <f>IFERROR(__xludf.DUMMYFUNCTION("""COMPUTED_VALUE"""),1532.85)</f>
        <v>1532.85</v>
      </c>
      <c r="D22" s="6">
        <f>IFERROR(__xludf.DUMMYFUNCTION("""COMPUTED_VALUE"""),1440.0)</f>
        <v>1440</v>
      </c>
      <c r="E22" s="6">
        <f>IFERROR(__xludf.DUMMYFUNCTION("""COMPUTED_VALUE"""),1480.2)</f>
        <v>1480.2</v>
      </c>
      <c r="F22" s="6">
        <f>IFERROR(__xludf.DUMMYFUNCTION("""COMPUTED_VALUE"""),4515593.0)</f>
        <v>4515593</v>
      </c>
    </row>
    <row r="23">
      <c r="A23" s="7">
        <f>IFERROR(__xludf.DUMMYFUNCTION("""COMPUTED_VALUE"""),45604.64583333333)</f>
        <v>45604.64583</v>
      </c>
      <c r="B23" s="6">
        <f>IFERROR(__xludf.DUMMYFUNCTION("""COMPUTED_VALUE"""),1455.0)</f>
        <v>1455</v>
      </c>
      <c r="C23" s="6">
        <f>IFERROR(__xludf.DUMMYFUNCTION("""COMPUTED_VALUE"""),1465.95)</f>
        <v>1465.95</v>
      </c>
      <c r="D23" s="6">
        <f>IFERROR(__xludf.DUMMYFUNCTION("""COMPUTED_VALUE"""),1418.4)</f>
        <v>1418.4</v>
      </c>
      <c r="E23" s="6">
        <f>IFERROR(__xludf.DUMMYFUNCTION("""COMPUTED_VALUE"""),1448.65)</f>
        <v>1448.65</v>
      </c>
      <c r="F23" s="6">
        <f>IFERROR(__xludf.DUMMYFUNCTION("""COMPUTED_VALUE"""),2748549.0)</f>
        <v>2748549</v>
      </c>
    </row>
    <row r="24">
      <c r="A24" s="7">
        <f>IFERROR(__xludf.DUMMYFUNCTION("""COMPUTED_VALUE"""),45610.64583333333)</f>
        <v>45610.64583</v>
      </c>
      <c r="B24" s="6">
        <f>IFERROR(__xludf.DUMMYFUNCTION("""COMPUTED_VALUE"""),1458.0)</f>
        <v>1458</v>
      </c>
      <c r="C24" s="6">
        <f>IFERROR(__xludf.DUMMYFUNCTION("""COMPUTED_VALUE"""),1495.4)</f>
        <v>1495.4</v>
      </c>
      <c r="D24" s="6">
        <f>IFERROR(__xludf.DUMMYFUNCTION("""COMPUTED_VALUE"""),1423.45)</f>
        <v>1423.45</v>
      </c>
      <c r="E24" s="6">
        <f>IFERROR(__xludf.DUMMYFUNCTION("""COMPUTED_VALUE"""),1442.35)</f>
        <v>1442.35</v>
      </c>
      <c r="F24" s="6">
        <f>IFERROR(__xludf.DUMMYFUNCTION("""COMPUTED_VALUE"""),2176964.0)</f>
        <v>2176964</v>
      </c>
    </row>
    <row r="25">
      <c r="A25" s="7">
        <f>IFERROR(__xludf.DUMMYFUNCTION("""COMPUTED_VALUE"""),45618.64583333333)</f>
        <v>45618.64583</v>
      </c>
      <c r="B25" s="6">
        <f>IFERROR(__xludf.DUMMYFUNCTION("""COMPUTED_VALUE"""),1443.0)</f>
        <v>1443</v>
      </c>
      <c r="C25" s="6">
        <f>IFERROR(__xludf.DUMMYFUNCTION("""COMPUTED_VALUE"""),1508.0)</f>
        <v>1508</v>
      </c>
      <c r="D25" s="6">
        <f>IFERROR(__xludf.DUMMYFUNCTION("""COMPUTED_VALUE"""),1440.25)</f>
        <v>1440.25</v>
      </c>
      <c r="E25" s="6">
        <f>IFERROR(__xludf.DUMMYFUNCTION("""COMPUTED_VALUE"""),1500.15)</f>
        <v>1500.15</v>
      </c>
      <c r="F25" s="6">
        <f>IFERROR(__xludf.DUMMYFUNCTION("""COMPUTED_VALUE"""),2803461.0)</f>
        <v>2803461</v>
      </c>
    </row>
    <row r="26">
      <c r="A26" s="7">
        <f>IFERROR(__xludf.DUMMYFUNCTION("""COMPUTED_VALUE"""),45625.64583333333)</f>
        <v>45625.64583</v>
      </c>
      <c r="B26" s="6">
        <f>IFERROR(__xludf.DUMMYFUNCTION("""COMPUTED_VALUE"""),1518.9)</f>
        <v>1518.9</v>
      </c>
      <c r="C26" s="6">
        <f>IFERROR(__xludf.DUMMYFUNCTION("""COMPUTED_VALUE"""),1543.7)</f>
        <v>1543.7</v>
      </c>
      <c r="D26" s="6">
        <f>IFERROR(__xludf.DUMMYFUNCTION("""COMPUTED_VALUE"""),1466.9)</f>
        <v>1466.9</v>
      </c>
      <c r="E26" s="6">
        <f>IFERROR(__xludf.DUMMYFUNCTION("""COMPUTED_VALUE"""),1529.1)</f>
        <v>1529.1</v>
      </c>
      <c r="F26" s="6">
        <f>IFERROR(__xludf.DUMMYFUNCTION("""COMPUTED_VALUE"""),6597167.0)</f>
        <v>6597167</v>
      </c>
    </row>
    <row r="27">
      <c r="A27" s="7">
        <f>IFERROR(__xludf.DUMMYFUNCTION("""COMPUTED_VALUE"""),45632.64583333333)</f>
        <v>45632.64583</v>
      </c>
      <c r="B27" s="6">
        <f>IFERROR(__xludf.DUMMYFUNCTION("""COMPUTED_VALUE"""),1542.0)</f>
        <v>1542</v>
      </c>
      <c r="C27" s="6">
        <f>IFERROR(__xludf.DUMMYFUNCTION("""COMPUTED_VALUE"""),1552.85)</f>
        <v>1552.85</v>
      </c>
      <c r="D27" s="6">
        <f>IFERROR(__xludf.DUMMYFUNCTION("""COMPUTED_VALUE"""),1513.05)</f>
        <v>1513.05</v>
      </c>
      <c r="E27" s="6">
        <f>IFERROR(__xludf.DUMMYFUNCTION("""COMPUTED_VALUE"""),1516.6)</f>
        <v>1516.6</v>
      </c>
      <c r="F27" s="6">
        <f>IFERROR(__xludf.DUMMYFUNCTION("""COMPUTED_VALUE"""),2442558.0)</f>
        <v>2442558</v>
      </c>
    </row>
    <row r="28">
      <c r="A28" s="7">
        <f>IFERROR(__xludf.DUMMYFUNCTION("""COMPUTED_VALUE"""),45639.64583333333)</f>
        <v>45639.64583</v>
      </c>
      <c r="B28" s="6">
        <f>IFERROR(__xludf.DUMMYFUNCTION("""COMPUTED_VALUE"""),1512.7)</f>
        <v>1512.7</v>
      </c>
      <c r="C28" s="6">
        <f>IFERROR(__xludf.DUMMYFUNCTION("""COMPUTED_VALUE"""),1532.75)</f>
        <v>1532.75</v>
      </c>
      <c r="D28" s="6">
        <f>IFERROR(__xludf.DUMMYFUNCTION("""COMPUTED_VALUE"""),1482.85)</f>
        <v>1482.85</v>
      </c>
      <c r="E28" s="6">
        <f>IFERROR(__xludf.DUMMYFUNCTION("""COMPUTED_VALUE"""),1512.05)</f>
        <v>1512.05</v>
      </c>
      <c r="F28" s="6">
        <f>IFERROR(__xludf.DUMMYFUNCTION("""COMPUTED_VALUE"""),2366498.0)</f>
        <v>2366498</v>
      </c>
    </row>
    <row r="29">
      <c r="A29" s="7">
        <f>IFERROR(__xludf.DUMMYFUNCTION("""COMPUTED_VALUE"""),45646.64583333333)</f>
        <v>45646.64583</v>
      </c>
      <c r="B29" s="6">
        <f>IFERROR(__xludf.DUMMYFUNCTION("""COMPUTED_VALUE"""),1512.05)</f>
        <v>1512.05</v>
      </c>
      <c r="C29" s="6">
        <f>IFERROR(__xludf.DUMMYFUNCTION("""COMPUTED_VALUE"""),1595.85)</f>
        <v>1595.85</v>
      </c>
      <c r="D29" s="6">
        <f>IFERROR(__xludf.DUMMYFUNCTION("""COMPUTED_VALUE"""),1467.35)</f>
        <v>1467.35</v>
      </c>
      <c r="E29" s="6">
        <f>IFERROR(__xludf.DUMMYFUNCTION("""COMPUTED_VALUE"""),1544.8)</f>
        <v>1544.8</v>
      </c>
      <c r="F29" s="6">
        <f>IFERROR(__xludf.DUMMYFUNCTION("""COMPUTED_VALUE"""),6562739.0)</f>
        <v>6562739</v>
      </c>
    </row>
    <row r="30">
      <c r="A30" s="7">
        <f>IFERROR(__xludf.DUMMYFUNCTION("""COMPUTED_VALUE"""),45653.64583333333)</f>
        <v>45653.64583</v>
      </c>
      <c r="B30" s="6">
        <f>IFERROR(__xludf.DUMMYFUNCTION("""COMPUTED_VALUE"""),1530.6)</f>
        <v>1530.6</v>
      </c>
      <c r="C30" s="6">
        <f>IFERROR(__xludf.DUMMYFUNCTION("""COMPUTED_VALUE"""),1589.5)</f>
        <v>1589.5</v>
      </c>
      <c r="D30" s="6">
        <f>IFERROR(__xludf.DUMMYFUNCTION("""COMPUTED_VALUE"""),1530.6)</f>
        <v>1530.6</v>
      </c>
      <c r="E30" s="6">
        <f>IFERROR(__xludf.DUMMYFUNCTION("""COMPUTED_VALUE"""),1579.4)</f>
        <v>1579.4</v>
      </c>
      <c r="F30" s="6">
        <f>IFERROR(__xludf.DUMMYFUNCTION("""COMPUTED_VALUE"""),1665827.0)</f>
        <v>1665827</v>
      </c>
    </row>
    <row r="31">
      <c r="A31" s="7">
        <f>IFERROR(__xludf.DUMMYFUNCTION("""COMPUTED_VALUE"""),45660.64583333333)</f>
        <v>45660.64583</v>
      </c>
      <c r="B31" s="6">
        <f>IFERROR(__xludf.DUMMYFUNCTION("""COMPUTED_VALUE"""),1584.15)</f>
        <v>1584.15</v>
      </c>
      <c r="C31" s="6">
        <f>IFERROR(__xludf.DUMMYFUNCTION("""COMPUTED_VALUE"""),1700.0)</f>
        <v>1700</v>
      </c>
      <c r="D31" s="6">
        <f>IFERROR(__xludf.DUMMYFUNCTION("""COMPUTED_VALUE"""),1567.2)</f>
        <v>1567.2</v>
      </c>
      <c r="E31" s="6">
        <f>IFERROR(__xludf.DUMMYFUNCTION("""COMPUTED_VALUE"""),1682.45)</f>
        <v>1682.45</v>
      </c>
      <c r="F31" s="6">
        <f>IFERROR(__xludf.DUMMYFUNCTION("""COMPUTED_VALUE"""),6500128.0)</f>
        <v>6500128</v>
      </c>
    </row>
    <row r="32">
      <c r="A32" s="7">
        <f>IFERROR(__xludf.DUMMYFUNCTION("""COMPUTED_VALUE"""),45667.64583333333)</f>
        <v>45667.64583</v>
      </c>
      <c r="B32" s="6">
        <f>IFERROR(__xludf.DUMMYFUNCTION("""COMPUTED_VALUE"""),1665.0)</f>
        <v>1665</v>
      </c>
      <c r="C32" s="6">
        <f>IFERROR(__xludf.DUMMYFUNCTION("""COMPUTED_VALUE"""),1698.8)</f>
        <v>1698.8</v>
      </c>
      <c r="D32" s="6">
        <f>IFERROR(__xludf.DUMMYFUNCTION("""COMPUTED_VALUE"""),1531.2)</f>
        <v>1531.2</v>
      </c>
      <c r="E32" s="6">
        <f>IFERROR(__xludf.DUMMYFUNCTION("""COMPUTED_VALUE"""),1539.15)</f>
        <v>1539.15</v>
      </c>
      <c r="F32" s="6">
        <f>IFERROR(__xludf.DUMMYFUNCTION("""COMPUTED_VALUE"""),3444920.0)</f>
        <v>3444920</v>
      </c>
    </row>
    <row r="33">
      <c r="A33" s="7">
        <f>IFERROR(__xludf.DUMMYFUNCTION("""COMPUTED_VALUE"""),45674.64583333333)</f>
        <v>45674.64583</v>
      </c>
      <c r="B33" s="6">
        <f>IFERROR(__xludf.DUMMYFUNCTION("""COMPUTED_VALUE"""),1520.6)</f>
        <v>1520.6</v>
      </c>
      <c r="C33" s="6">
        <f>IFERROR(__xludf.DUMMYFUNCTION("""COMPUTED_VALUE"""),1537.0)</f>
        <v>1537</v>
      </c>
      <c r="D33" s="6">
        <f>IFERROR(__xludf.DUMMYFUNCTION("""COMPUTED_VALUE"""),1388.0)</f>
        <v>1388</v>
      </c>
      <c r="E33" s="6">
        <f>IFERROR(__xludf.DUMMYFUNCTION("""COMPUTED_VALUE"""),1427.55)</f>
        <v>1427.55</v>
      </c>
      <c r="F33" s="6">
        <f>IFERROR(__xludf.DUMMYFUNCTION("""COMPUTED_VALUE"""),5388430.0)</f>
        <v>5388430</v>
      </c>
    </row>
    <row r="34">
      <c r="A34" s="7">
        <f>IFERROR(__xludf.DUMMYFUNCTION("""COMPUTED_VALUE"""),45681.64583333333)</f>
        <v>45681.64583</v>
      </c>
      <c r="B34" s="6">
        <f>IFERROR(__xludf.DUMMYFUNCTION("""COMPUTED_VALUE"""),1416.1)</f>
        <v>1416.1</v>
      </c>
      <c r="C34" s="6">
        <f>IFERROR(__xludf.DUMMYFUNCTION("""COMPUTED_VALUE"""),1549.0)</f>
        <v>1549</v>
      </c>
      <c r="D34" s="6">
        <f>IFERROR(__xludf.DUMMYFUNCTION("""COMPUTED_VALUE"""),1412.8)</f>
        <v>1412.8</v>
      </c>
      <c r="E34" s="6">
        <f>IFERROR(__xludf.DUMMYFUNCTION("""COMPUTED_VALUE"""),1469.75)</f>
        <v>1469.75</v>
      </c>
      <c r="F34" s="6">
        <f>IFERROR(__xludf.DUMMYFUNCTION("""COMPUTED_VALUE"""),6289478.0)</f>
        <v>6289478</v>
      </c>
    </row>
    <row r="35">
      <c r="A35" s="7">
        <f>IFERROR(__xludf.DUMMYFUNCTION("""COMPUTED_VALUE"""),45695.64583333333)</f>
        <v>45695.64583</v>
      </c>
      <c r="B35" s="6">
        <f>IFERROR(__xludf.DUMMYFUNCTION("""COMPUTED_VALUE"""),1470.0)</f>
        <v>1470</v>
      </c>
      <c r="C35" s="6">
        <f>IFERROR(__xludf.DUMMYFUNCTION("""COMPUTED_VALUE"""),1508.9)</f>
        <v>1508.9</v>
      </c>
      <c r="D35" s="6">
        <f>IFERROR(__xludf.DUMMYFUNCTION("""COMPUTED_VALUE"""),1400.0)</f>
        <v>1400</v>
      </c>
      <c r="E35" s="6">
        <f>IFERROR(__xludf.DUMMYFUNCTION("""COMPUTED_VALUE"""),1427.5)</f>
        <v>1427.5</v>
      </c>
      <c r="F35" s="6">
        <f>IFERROR(__xludf.DUMMYFUNCTION("""COMPUTED_VALUE"""),3153828.0)</f>
        <v>3153828</v>
      </c>
    </row>
    <row r="36">
      <c r="A36" s="7">
        <f>IFERROR(__xludf.DUMMYFUNCTION("""COMPUTED_VALUE"""),45702.64583333333)</f>
        <v>45702.64583</v>
      </c>
      <c r="B36" s="6">
        <f>IFERROR(__xludf.DUMMYFUNCTION("""COMPUTED_VALUE"""),1427.5)</f>
        <v>1427.5</v>
      </c>
      <c r="C36" s="6">
        <f>IFERROR(__xludf.DUMMYFUNCTION("""COMPUTED_VALUE"""),1446.25)</f>
        <v>1446.25</v>
      </c>
      <c r="D36" s="6">
        <f>IFERROR(__xludf.DUMMYFUNCTION("""COMPUTED_VALUE"""),1359.45)</f>
        <v>1359.45</v>
      </c>
      <c r="E36" s="6">
        <f>IFERROR(__xludf.DUMMYFUNCTION("""COMPUTED_VALUE"""),1364.4)</f>
        <v>1364.4</v>
      </c>
      <c r="F36" s="6">
        <f>IFERROR(__xludf.DUMMYFUNCTION("""COMPUTED_VALUE"""),3410120.0)</f>
        <v>3410120</v>
      </c>
    </row>
    <row r="37">
      <c r="A37" s="7">
        <f>IFERROR(__xludf.DUMMYFUNCTION("""COMPUTED_VALUE"""),45709.64583333333)</f>
        <v>45709.64583</v>
      </c>
      <c r="B37" s="6">
        <f>IFERROR(__xludf.DUMMYFUNCTION("""COMPUTED_VALUE"""),1345.1)</f>
        <v>1345.1</v>
      </c>
      <c r="C37" s="6">
        <f>IFERROR(__xludf.DUMMYFUNCTION("""COMPUTED_VALUE"""),1356.5)</f>
        <v>1356.5</v>
      </c>
      <c r="D37" s="6">
        <f>IFERROR(__xludf.DUMMYFUNCTION("""COMPUTED_VALUE"""),1302.8)</f>
        <v>1302.8</v>
      </c>
      <c r="E37" s="6">
        <f>IFERROR(__xludf.DUMMYFUNCTION("""COMPUTED_VALUE"""),1306.5)</f>
        <v>1306.5</v>
      </c>
      <c r="F37" s="6">
        <f>IFERROR(__xludf.DUMMYFUNCTION("""COMPUTED_VALUE"""),3796486.0)</f>
        <v>3796486</v>
      </c>
    </row>
    <row r="38">
      <c r="A38" s="7">
        <f>IFERROR(__xludf.DUMMYFUNCTION("""COMPUTED_VALUE"""),45716.64583333333)</f>
        <v>45716.64583</v>
      </c>
      <c r="B38" s="6">
        <f>IFERROR(__xludf.DUMMYFUNCTION("""COMPUTED_VALUE"""),1305.7)</f>
        <v>1305.7</v>
      </c>
      <c r="C38" s="6">
        <f>IFERROR(__xludf.DUMMYFUNCTION("""COMPUTED_VALUE"""),1360.85)</f>
        <v>1360.85</v>
      </c>
      <c r="D38" s="6">
        <f>IFERROR(__xludf.DUMMYFUNCTION("""COMPUTED_VALUE"""),1276.6)</f>
        <v>1276.6</v>
      </c>
      <c r="E38" s="6">
        <f>IFERROR(__xludf.DUMMYFUNCTION("""COMPUTED_VALUE"""),1284.45)</f>
        <v>1284.45</v>
      </c>
      <c r="F38" s="6">
        <f>IFERROR(__xludf.DUMMYFUNCTION("""COMPUTED_VALUE"""),2677348.0)</f>
        <v>2677348</v>
      </c>
    </row>
    <row r="39">
      <c r="A39" s="7">
        <f>IFERROR(__xludf.DUMMYFUNCTION("""COMPUTED_VALUE"""),45723.64583333333)</f>
        <v>45723.64583</v>
      </c>
      <c r="B39" s="6">
        <f>IFERROR(__xludf.DUMMYFUNCTION("""COMPUTED_VALUE"""),1275.3)</f>
        <v>1275.3</v>
      </c>
      <c r="C39" s="6">
        <f>IFERROR(__xludf.DUMMYFUNCTION("""COMPUTED_VALUE"""),1340.9)</f>
        <v>1340.9</v>
      </c>
      <c r="D39" s="6">
        <f>IFERROR(__xludf.DUMMYFUNCTION("""COMPUTED_VALUE"""),1271.1)</f>
        <v>1271.1</v>
      </c>
      <c r="E39" s="6">
        <f>IFERROR(__xludf.DUMMYFUNCTION("""COMPUTED_VALUE"""),1327.85)</f>
        <v>1327.85</v>
      </c>
      <c r="F39" s="6">
        <f>IFERROR(__xludf.DUMMYFUNCTION("""COMPUTED_VALUE"""),2384896.0)</f>
        <v>2384896</v>
      </c>
    </row>
    <row r="40">
      <c r="A40" s="7">
        <f>IFERROR(__xludf.DUMMYFUNCTION("""COMPUTED_VALUE"""),45729.64583333333)</f>
        <v>45729.64583</v>
      </c>
      <c r="B40" s="6">
        <f>IFERROR(__xludf.DUMMYFUNCTION("""COMPUTED_VALUE"""),1316.0)</f>
        <v>1316</v>
      </c>
      <c r="C40" s="6">
        <f>IFERROR(__xludf.DUMMYFUNCTION("""COMPUTED_VALUE"""),1362.4)</f>
        <v>1362.4</v>
      </c>
      <c r="D40" s="6">
        <f>IFERROR(__xludf.DUMMYFUNCTION("""COMPUTED_VALUE"""),1301.0)</f>
        <v>1301</v>
      </c>
      <c r="E40" s="6">
        <f>IFERROR(__xludf.DUMMYFUNCTION("""COMPUTED_VALUE"""),1353.7)</f>
        <v>1353.7</v>
      </c>
      <c r="F40" s="6">
        <f>IFERROR(__xludf.DUMMYFUNCTION("""COMPUTED_VALUE"""),1956300.0)</f>
        <v>1956300</v>
      </c>
    </row>
    <row r="41">
      <c r="A41" s="7">
        <f>IFERROR(__xludf.DUMMYFUNCTION("""COMPUTED_VALUE"""),45737.64583333333)</f>
        <v>45737.64583</v>
      </c>
      <c r="B41" s="6">
        <f>IFERROR(__xludf.DUMMYFUNCTION("""COMPUTED_VALUE"""),1364.0)</f>
        <v>1364</v>
      </c>
      <c r="C41" s="6">
        <f>IFERROR(__xludf.DUMMYFUNCTION("""COMPUTED_VALUE"""),1420.05)</f>
        <v>1420.05</v>
      </c>
      <c r="D41" s="6">
        <f>IFERROR(__xludf.DUMMYFUNCTION("""COMPUTED_VALUE"""),1323.95)</f>
        <v>1323.95</v>
      </c>
      <c r="E41" s="6">
        <f>IFERROR(__xludf.DUMMYFUNCTION("""COMPUTED_VALUE"""),1391.6)</f>
        <v>1391.6</v>
      </c>
      <c r="F41" s="6">
        <f>IFERROR(__xludf.DUMMYFUNCTION("""COMPUTED_VALUE"""),3928394.0)</f>
        <v>3928394</v>
      </c>
    </row>
    <row r="42">
      <c r="A42" s="7">
        <f>IFERROR(__xludf.DUMMYFUNCTION("""COMPUTED_VALUE"""),45744.64583333333)</f>
        <v>45744.64583</v>
      </c>
      <c r="B42" s="6">
        <f>IFERROR(__xludf.DUMMYFUNCTION("""COMPUTED_VALUE"""),1400.0)</f>
        <v>1400</v>
      </c>
      <c r="C42" s="6">
        <f>IFERROR(__xludf.DUMMYFUNCTION("""COMPUTED_VALUE"""),1420.5)</f>
        <v>1420.5</v>
      </c>
      <c r="D42" s="6">
        <f>IFERROR(__xludf.DUMMYFUNCTION("""COMPUTED_VALUE"""),1355.75)</f>
        <v>1355.75</v>
      </c>
      <c r="E42" s="6">
        <f>IFERROR(__xludf.DUMMYFUNCTION("""COMPUTED_VALUE"""),1401.3)</f>
        <v>1401.3</v>
      </c>
      <c r="F42" s="6">
        <f>IFERROR(__xludf.DUMMYFUNCTION("""COMPUTED_VALUE"""),3017080.0)</f>
        <v>3017080</v>
      </c>
    </row>
    <row r="43">
      <c r="A43" s="7">
        <f>IFERROR(__xludf.DUMMYFUNCTION("""COMPUTED_VALUE"""),45751.64583333333)</f>
        <v>45751.64583</v>
      </c>
      <c r="B43" s="6">
        <f>IFERROR(__xludf.DUMMYFUNCTION("""COMPUTED_VALUE"""),1407.95)</f>
        <v>1407.95</v>
      </c>
      <c r="C43" s="6">
        <f>IFERROR(__xludf.DUMMYFUNCTION("""COMPUTED_VALUE"""),1442.25)</f>
        <v>1442.25</v>
      </c>
      <c r="D43" s="6">
        <f>IFERROR(__xludf.DUMMYFUNCTION("""COMPUTED_VALUE"""),1387.0)</f>
        <v>1387</v>
      </c>
      <c r="E43" s="6">
        <f>IFERROR(__xludf.DUMMYFUNCTION("""COMPUTED_VALUE"""),1427.35)</f>
        <v>1427.35</v>
      </c>
      <c r="F43" s="6">
        <f>IFERROR(__xludf.DUMMYFUNCTION("""COMPUTED_VALUE"""),1968140.0)</f>
        <v>1968140</v>
      </c>
    </row>
    <row r="44">
      <c r="A44" s="7">
        <f>IFERROR(__xludf.DUMMYFUNCTION("""COMPUTED_VALUE"""),45758.64583333333)</f>
        <v>45758.64583</v>
      </c>
      <c r="B44" s="6">
        <f>IFERROR(__xludf.DUMMYFUNCTION("""COMPUTED_VALUE"""),1370.0)</f>
        <v>1370</v>
      </c>
      <c r="C44" s="6">
        <f>IFERROR(__xludf.DUMMYFUNCTION("""COMPUTED_VALUE"""),1484.0)</f>
        <v>1484</v>
      </c>
      <c r="D44" s="6">
        <f>IFERROR(__xludf.DUMMYFUNCTION("""COMPUTED_VALUE"""),1364.0)</f>
        <v>1364</v>
      </c>
      <c r="E44" s="6">
        <f>IFERROR(__xludf.DUMMYFUNCTION("""COMPUTED_VALUE"""),1476.9)</f>
        <v>1476.9</v>
      </c>
      <c r="F44" s="6">
        <f>IFERROR(__xludf.DUMMYFUNCTION("""COMPUTED_VALUE"""),2721973.0)</f>
        <v>2721973</v>
      </c>
    </row>
    <row r="45">
      <c r="A45" s="7">
        <f>IFERROR(__xludf.DUMMYFUNCTION("""COMPUTED_VALUE"""),45764.64583333333)</f>
        <v>45764.64583</v>
      </c>
      <c r="B45" s="6">
        <f>IFERROR(__xludf.DUMMYFUNCTION("""COMPUTED_VALUE"""),1550.4)</f>
        <v>1550.4</v>
      </c>
      <c r="C45" s="6">
        <f>IFERROR(__xludf.DUMMYFUNCTION("""COMPUTED_VALUE"""),1550.8)</f>
        <v>1550.8</v>
      </c>
      <c r="D45" s="6">
        <f>IFERROR(__xludf.DUMMYFUNCTION("""COMPUTED_VALUE"""),1480.6)</f>
        <v>1480.6</v>
      </c>
      <c r="E45" s="6">
        <f>IFERROR(__xludf.DUMMYFUNCTION("""COMPUTED_VALUE"""),1517.8)</f>
        <v>1517.8</v>
      </c>
      <c r="F45" s="6">
        <f>IFERROR(__xludf.DUMMYFUNCTION("""COMPUTED_VALUE"""),2105599.0)</f>
        <v>2105599</v>
      </c>
    </row>
    <row r="46">
      <c r="A46" s="7">
        <f>IFERROR(__xludf.DUMMYFUNCTION("""COMPUTED_VALUE"""),45772.64583333333)</f>
        <v>45772.64583</v>
      </c>
      <c r="B46" s="6">
        <f>IFERROR(__xludf.DUMMYFUNCTION("""COMPUTED_VALUE"""),1538.8)</f>
        <v>1538.8</v>
      </c>
      <c r="C46" s="6">
        <f>IFERROR(__xludf.DUMMYFUNCTION("""COMPUTED_VALUE"""),1609.2)</f>
        <v>1609.2</v>
      </c>
      <c r="D46" s="6">
        <f>IFERROR(__xludf.DUMMYFUNCTION("""COMPUTED_VALUE"""),1505.0)</f>
        <v>1505</v>
      </c>
      <c r="E46" s="6">
        <f>IFERROR(__xludf.DUMMYFUNCTION("""COMPUTED_VALUE"""),1547.4)</f>
        <v>1547.4</v>
      </c>
      <c r="F46" s="6">
        <f>IFERROR(__xludf.DUMMYFUNCTION("""COMPUTED_VALUE"""),4575195.0)</f>
        <v>4575195</v>
      </c>
    </row>
    <row r="47">
      <c r="A47" s="7">
        <f>IFERROR(__xludf.DUMMYFUNCTION("""COMPUTED_VALUE"""),45779.64583333333)</f>
        <v>45779.64583</v>
      </c>
      <c r="B47" s="6">
        <f>IFERROR(__xludf.DUMMYFUNCTION("""COMPUTED_VALUE"""),1533.0)</f>
        <v>1533</v>
      </c>
      <c r="C47" s="6">
        <f>IFERROR(__xludf.DUMMYFUNCTION("""COMPUTED_VALUE"""),1575.1)</f>
        <v>1575.1</v>
      </c>
      <c r="D47" s="6">
        <f>IFERROR(__xludf.DUMMYFUNCTION("""COMPUTED_VALUE"""),1527.0)</f>
        <v>1527</v>
      </c>
      <c r="E47" s="6">
        <f>IFERROR(__xludf.DUMMYFUNCTION("""COMPUTED_VALUE"""),1555.6)</f>
        <v>1555.6</v>
      </c>
      <c r="F47" s="6">
        <f>IFERROR(__xludf.DUMMYFUNCTION("""COMPUTED_VALUE"""),2681509.0)</f>
        <v>2681509</v>
      </c>
    </row>
    <row r="48">
      <c r="A48" s="7">
        <f>IFERROR(__xludf.DUMMYFUNCTION("""COMPUTED_VALUE"""),45786.64583333333)</f>
        <v>45786.64583</v>
      </c>
      <c r="B48" s="6">
        <f>IFERROR(__xludf.DUMMYFUNCTION("""COMPUTED_VALUE"""),1565.5)</f>
        <v>1565.5</v>
      </c>
      <c r="C48" s="6">
        <f>IFERROR(__xludf.DUMMYFUNCTION("""COMPUTED_VALUE"""),1616.0)</f>
        <v>1616</v>
      </c>
      <c r="D48" s="6">
        <f>IFERROR(__xludf.DUMMYFUNCTION("""COMPUTED_VALUE"""),1498.5)</f>
        <v>1498.5</v>
      </c>
      <c r="E48" s="6">
        <f>IFERROR(__xludf.DUMMYFUNCTION("""COMPUTED_VALUE"""),1531.2)</f>
        <v>1531.2</v>
      </c>
      <c r="F48" s="6">
        <f>IFERROR(__xludf.DUMMYFUNCTION("""COMPUTED_VALUE"""),5142206.0)</f>
        <v>5142206</v>
      </c>
    </row>
    <row r="49">
      <c r="A49" s="7">
        <f>IFERROR(__xludf.DUMMYFUNCTION("""COMPUTED_VALUE"""),45793.64583333333)</f>
        <v>45793.64583</v>
      </c>
      <c r="B49" s="6">
        <f>IFERROR(__xludf.DUMMYFUNCTION("""COMPUTED_VALUE"""),1555.0)</f>
        <v>1555</v>
      </c>
      <c r="C49" s="6">
        <f>IFERROR(__xludf.DUMMYFUNCTION("""COMPUTED_VALUE"""),1579.9)</f>
        <v>1579.9</v>
      </c>
      <c r="D49" s="6">
        <f>IFERROR(__xludf.DUMMYFUNCTION("""COMPUTED_VALUE"""),1521.0)</f>
        <v>1521</v>
      </c>
      <c r="E49" s="6">
        <f>IFERROR(__xludf.DUMMYFUNCTION("""COMPUTED_VALUE"""),1540.3)</f>
        <v>1540.3</v>
      </c>
      <c r="F49" s="6">
        <f>IFERROR(__xludf.DUMMYFUNCTION("""COMPUTED_VALUE"""),2834935.0)</f>
        <v>2834935</v>
      </c>
    </row>
    <row r="50">
      <c r="A50" s="7">
        <f>IFERROR(__xludf.DUMMYFUNCTION("""COMPUTED_VALUE"""),45800.64583333333)</f>
        <v>45800.64583</v>
      </c>
      <c r="B50" s="6">
        <f>IFERROR(__xludf.DUMMYFUNCTION("""COMPUTED_VALUE"""),1540.3)</f>
        <v>1540.3</v>
      </c>
      <c r="C50" s="6">
        <f>IFERROR(__xludf.DUMMYFUNCTION("""COMPUTED_VALUE"""),1592.9)</f>
        <v>1592.9</v>
      </c>
      <c r="D50" s="6">
        <f>IFERROR(__xludf.DUMMYFUNCTION("""COMPUTED_VALUE"""),1501.7)</f>
        <v>1501.7</v>
      </c>
      <c r="E50" s="6">
        <f>IFERROR(__xludf.DUMMYFUNCTION("""COMPUTED_VALUE"""),1578.9)</f>
        <v>1578.9</v>
      </c>
      <c r="F50" s="6">
        <f>IFERROR(__xludf.DUMMYFUNCTION("""COMPUTED_VALUE"""),5529822.0)</f>
        <v>5529822</v>
      </c>
    </row>
    <row r="51">
      <c r="A51" s="7">
        <f>IFERROR(__xludf.DUMMYFUNCTION("""COMPUTED_VALUE"""),45807.64583333333)</f>
        <v>45807.64583</v>
      </c>
      <c r="B51" s="6">
        <f>IFERROR(__xludf.DUMMYFUNCTION("""COMPUTED_VALUE"""),1580.0)</f>
        <v>1580</v>
      </c>
      <c r="C51" s="6">
        <f>IFERROR(__xludf.DUMMYFUNCTION("""COMPUTED_VALUE"""),1588.3)</f>
        <v>1588.3</v>
      </c>
      <c r="D51" s="6">
        <f>IFERROR(__xludf.DUMMYFUNCTION("""COMPUTED_VALUE"""),1498.5)</f>
        <v>1498.5</v>
      </c>
      <c r="E51" s="6">
        <f>IFERROR(__xludf.DUMMYFUNCTION("""COMPUTED_VALUE"""),1520.1)</f>
        <v>1520.1</v>
      </c>
      <c r="F51" s="6">
        <f>IFERROR(__xludf.DUMMYFUNCTION("""COMPUTED_VALUE"""),3507095.0)</f>
        <v>3507095</v>
      </c>
    </row>
    <row r="52">
      <c r="A52" s="7">
        <f>IFERROR(__xludf.DUMMYFUNCTION("""COMPUTED_VALUE"""),45814.64583333333)</f>
        <v>45814.64583</v>
      </c>
      <c r="B52" s="6">
        <f>IFERROR(__xludf.DUMMYFUNCTION("""COMPUTED_VALUE"""),1520.1)</f>
        <v>1520.1</v>
      </c>
      <c r="C52" s="6">
        <f>IFERROR(__xludf.DUMMYFUNCTION("""COMPUTED_VALUE"""),1644.8)</f>
        <v>1644.8</v>
      </c>
      <c r="D52" s="6">
        <f>IFERROR(__xludf.DUMMYFUNCTION("""COMPUTED_VALUE"""),1511.0)</f>
        <v>1511</v>
      </c>
      <c r="E52" s="6">
        <f>IFERROR(__xludf.DUMMYFUNCTION("""COMPUTED_VALUE"""),1593.4)</f>
        <v>1593.4</v>
      </c>
      <c r="F52" s="6">
        <f>IFERROR(__xludf.DUMMYFUNCTION("""COMPUTED_VALUE"""),7225550.0)</f>
        <v>7225550</v>
      </c>
    </row>
    <row r="53">
      <c r="A53" s="7">
        <f>IFERROR(__xludf.DUMMYFUNCTION("""COMPUTED_VALUE"""),45821.64583333333)</f>
        <v>45821.64583</v>
      </c>
      <c r="B53" s="6">
        <f>IFERROR(__xludf.DUMMYFUNCTION("""COMPUTED_VALUE"""),1600.3)</f>
        <v>1600.3</v>
      </c>
      <c r="C53" s="6">
        <f>IFERROR(__xludf.DUMMYFUNCTION("""COMPUTED_VALUE"""),1645.0)</f>
        <v>1645</v>
      </c>
      <c r="D53" s="6">
        <f>IFERROR(__xludf.DUMMYFUNCTION("""COMPUTED_VALUE"""),1442.1)</f>
        <v>1442.1</v>
      </c>
      <c r="E53" s="6">
        <f>IFERROR(__xludf.DUMMYFUNCTION("""COMPUTED_VALUE"""),1453.1)</f>
        <v>1453.1</v>
      </c>
      <c r="F53" s="6">
        <f>IFERROR(__xludf.DUMMYFUNCTION("""COMPUTED_VALUE"""),1.455562E7)</f>
        <v>14555620</v>
      </c>
    </row>
    <row r="54">
      <c r="A54" s="7">
        <f>IFERROR(__xludf.DUMMYFUNCTION("""COMPUTED_VALUE"""),45828.64583333333)</f>
        <v>45828.64583</v>
      </c>
      <c r="B54" s="6">
        <f>IFERROR(__xludf.DUMMYFUNCTION("""COMPUTED_VALUE"""),1458.9)</f>
        <v>1458.9</v>
      </c>
      <c r="C54" s="6">
        <f>IFERROR(__xludf.DUMMYFUNCTION("""COMPUTED_VALUE"""),1492.8)</f>
        <v>1492.8</v>
      </c>
      <c r="D54" s="6">
        <f>IFERROR(__xludf.DUMMYFUNCTION("""COMPUTED_VALUE"""),1447.6)</f>
        <v>1447.6</v>
      </c>
      <c r="E54" s="6">
        <f>IFERROR(__xludf.DUMMYFUNCTION("""COMPUTED_VALUE"""),1458.9)</f>
        <v>1458.9</v>
      </c>
      <c r="F54" s="6">
        <f>IFERROR(__xludf.DUMMYFUNCTION("""COMPUTED_VALUE"""),4794060.0)</f>
        <v>4794060</v>
      </c>
    </row>
    <row r="55">
      <c r="A55" s="7">
        <f>IFERROR(__xludf.DUMMYFUNCTION("""COMPUTED_VALUE"""),45835.64583333333)</f>
        <v>45835.64583</v>
      </c>
      <c r="B55" s="6">
        <f>IFERROR(__xludf.DUMMYFUNCTION("""COMPUTED_VALUE"""),1453.9)</f>
        <v>1453.9</v>
      </c>
      <c r="C55" s="6">
        <f>IFERROR(__xludf.DUMMYFUNCTION("""COMPUTED_VALUE"""),1461.7)</f>
        <v>1461.7</v>
      </c>
      <c r="D55" s="6">
        <f>IFERROR(__xludf.DUMMYFUNCTION("""COMPUTED_VALUE"""),1415.2)</f>
        <v>1415.2</v>
      </c>
      <c r="E55" s="6">
        <f>IFERROR(__xludf.DUMMYFUNCTION("""COMPUTED_VALUE"""),1442.2)</f>
        <v>1442.2</v>
      </c>
      <c r="F55" s="6">
        <f>IFERROR(__xludf.DUMMYFUNCTION("""COMPUTED_VALUE"""),1.034728E7)</f>
        <v>10347280</v>
      </c>
    </row>
    <row r="56">
      <c r="A56" s="7">
        <f>IFERROR(__xludf.DUMMYFUNCTION("""COMPUTED_VALUE"""),45842.64583333333)</f>
        <v>45842.64583</v>
      </c>
      <c r="B56" s="6">
        <f>IFERROR(__xludf.DUMMYFUNCTION("""COMPUTED_VALUE"""),1426.8)</f>
        <v>1426.8</v>
      </c>
      <c r="C56" s="6">
        <f>IFERROR(__xludf.DUMMYFUNCTION("""COMPUTED_VALUE"""),1436.8)</f>
        <v>1436.8</v>
      </c>
      <c r="D56" s="6">
        <f>IFERROR(__xludf.DUMMYFUNCTION("""COMPUTED_VALUE"""),1372.2)</f>
        <v>1372.2</v>
      </c>
      <c r="E56" s="6">
        <f>IFERROR(__xludf.DUMMYFUNCTION("""COMPUTED_VALUE"""),1378.2)</f>
        <v>1378.2</v>
      </c>
      <c r="F56" s="6">
        <f>IFERROR(__xludf.DUMMYFUNCTION("""COMPUTED_VALUE"""),7581619.0)</f>
        <v>7581619</v>
      </c>
    </row>
    <row r="57">
      <c r="A57" s="7">
        <f>IFERROR(__xludf.DUMMYFUNCTION("""COMPUTED_VALUE"""),45849.64583333333)</f>
        <v>45849.64583</v>
      </c>
      <c r="B57" s="6">
        <f>IFERROR(__xludf.DUMMYFUNCTION("""COMPUTED_VALUE"""),1386.0)</f>
        <v>1386</v>
      </c>
      <c r="C57" s="6">
        <f>IFERROR(__xludf.DUMMYFUNCTION("""COMPUTED_VALUE"""),1394.9)</f>
        <v>1394.9</v>
      </c>
      <c r="D57" s="6">
        <f>IFERROR(__xludf.DUMMYFUNCTION("""COMPUTED_VALUE"""),1356.0)</f>
        <v>1356</v>
      </c>
      <c r="E57" s="6">
        <f>IFERROR(__xludf.DUMMYFUNCTION("""COMPUTED_VALUE"""),1357.6)</f>
        <v>1357.6</v>
      </c>
      <c r="F57" s="6">
        <f>IFERROR(__xludf.DUMMYFUNCTION("""COMPUTED_VALUE"""),5506485.0)</f>
        <v>5506485</v>
      </c>
    </row>
    <row r="58">
      <c r="A58" s="7">
        <f>IFERROR(__xludf.DUMMYFUNCTION("""COMPUTED_VALUE"""),45856.64583333333)</f>
        <v>45856.64583</v>
      </c>
      <c r="B58" s="6">
        <f>IFERROR(__xludf.DUMMYFUNCTION("""COMPUTED_VALUE"""),1367.0)</f>
        <v>1367</v>
      </c>
      <c r="C58" s="6">
        <f>IFERROR(__xludf.DUMMYFUNCTION("""COMPUTED_VALUE"""),1399.9)</f>
        <v>1399.9</v>
      </c>
      <c r="D58" s="6">
        <f>IFERROR(__xludf.DUMMYFUNCTION("""COMPUTED_VALUE"""),1345.3)</f>
        <v>1345.3</v>
      </c>
      <c r="E58" s="6">
        <f>IFERROR(__xludf.DUMMYFUNCTION("""COMPUTED_VALUE"""),1362.3)</f>
        <v>1362.3</v>
      </c>
      <c r="F58" s="6">
        <f>IFERROR(__xludf.DUMMYFUNCTION("""COMPUTED_VALUE"""),5692880.0)</f>
        <v>5692880</v>
      </c>
    </row>
    <row r="59">
      <c r="A59" s="7">
        <f>IFERROR(__xludf.DUMMYFUNCTION("""COMPUTED_VALUE"""),45863.64583333333)</f>
        <v>45863.64583</v>
      </c>
      <c r="B59" s="6">
        <f>IFERROR(__xludf.DUMMYFUNCTION("""COMPUTED_VALUE"""),1371.1)</f>
        <v>1371.1</v>
      </c>
      <c r="C59" s="6">
        <f>IFERROR(__xludf.DUMMYFUNCTION("""COMPUTED_VALUE"""),1375.0)</f>
        <v>1375</v>
      </c>
      <c r="D59" s="6">
        <f>IFERROR(__xludf.DUMMYFUNCTION("""COMPUTED_VALUE"""),1306.5)</f>
        <v>1306.5</v>
      </c>
      <c r="E59" s="6">
        <f>IFERROR(__xludf.DUMMYFUNCTION("""COMPUTED_VALUE"""),1309.6)</f>
        <v>1309.6</v>
      </c>
      <c r="F59" s="6">
        <f>IFERROR(__xludf.DUMMYFUNCTION("""COMPUTED_VALUE"""),4376920.0)</f>
        <v>4376920</v>
      </c>
    </row>
    <row r="60">
      <c r="A60" s="7">
        <f>IFERROR(__xludf.DUMMYFUNCTION("""COMPUTED_VALUE"""),45870.64583333333)</f>
        <v>45870.64583</v>
      </c>
      <c r="B60" s="6">
        <f>IFERROR(__xludf.DUMMYFUNCTION("""COMPUTED_VALUE"""),1309.7)</f>
        <v>1309.7</v>
      </c>
      <c r="C60" s="6">
        <f>IFERROR(__xludf.DUMMYFUNCTION("""COMPUTED_VALUE"""),1348.0)</f>
        <v>1348</v>
      </c>
      <c r="D60" s="6">
        <f>IFERROR(__xludf.DUMMYFUNCTION("""COMPUTED_VALUE"""),1298.8)</f>
        <v>1298.8</v>
      </c>
      <c r="E60" s="6">
        <f>IFERROR(__xludf.DUMMYFUNCTION("""COMPUTED_VALUE"""),1322.4)</f>
        <v>1322.4</v>
      </c>
      <c r="F60" s="6">
        <f>IFERROR(__xludf.DUMMYFUNCTION("""COMPUTED_VALUE"""),5753619.0)</f>
        <v>5753619</v>
      </c>
    </row>
    <row r="61">
      <c r="A61" s="7">
        <f>IFERROR(__xludf.DUMMYFUNCTION("""COMPUTED_VALUE"""),45877.64583333333)</f>
        <v>45877.64583</v>
      </c>
      <c r="B61" s="6">
        <f>IFERROR(__xludf.DUMMYFUNCTION("""COMPUTED_VALUE"""),1323.0)</f>
        <v>1323</v>
      </c>
      <c r="C61" s="6">
        <f>IFERROR(__xludf.DUMMYFUNCTION("""COMPUTED_VALUE"""),1349.1)</f>
        <v>1349.1</v>
      </c>
      <c r="D61" s="6">
        <f>IFERROR(__xludf.DUMMYFUNCTION("""COMPUTED_VALUE"""),1283.8)</f>
        <v>1283.8</v>
      </c>
      <c r="E61" s="6">
        <f>IFERROR(__xludf.DUMMYFUNCTION("""COMPUTED_VALUE"""),1291.5)</f>
        <v>1291.5</v>
      </c>
      <c r="F61" s="6">
        <f>IFERROR(__xludf.DUMMYFUNCTION("""COMPUTED_VALUE"""),6199047.0)</f>
        <v>6199047</v>
      </c>
    </row>
    <row r="62">
      <c r="A62" s="7">
        <f>IFERROR(__xludf.DUMMYFUNCTION("""COMPUTED_VALUE"""),45883.64583333333)</f>
        <v>45883.64583</v>
      </c>
      <c r="B62" s="6">
        <f>IFERROR(__xludf.DUMMYFUNCTION("""COMPUTED_VALUE"""),1298.0)</f>
        <v>1298</v>
      </c>
      <c r="C62" s="6">
        <f>IFERROR(__xludf.DUMMYFUNCTION("""COMPUTED_VALUE"""),1333.9)</f>
        <v>1333.9</v>
      </c>
      <c r="D62" s="6">
        <f>IFERROR(__xludf.DUMMYFUNCTION("""COMPUTED_VALUE"""),1284.9)</f>
        <v>1284.9</v>
      </c>
      <c r="E62" s="6">
        <f>IFERROR(__xludf.DUMMYFUNCTION("""COMPUTED_VALUE"""),1319.3)</f>
        <v>1319.3</v>
      </c>
      <c r="F62" s="6">
        <f>IFERROR(__xludf.DUMMYFUNCTION("""COMPUTED_VALUE"""),3263860.0)</f>
        <v>3263860</v>
      </c>
    </row>
    <row r="63">
      <c r="A63" s="7">
        <f>IFERROR(__xludf.DUMMYFUNCTION("""COMPUTED_VALUE"""),45891.64583333333)</f>
        <v>45891.64583</v>
      </c>
      <c r="B63" s="6">
        <f>IFERROR(__xludf.DUMMYFUNCTION("""COMPUTED_VALUE"""),1325.0)</f>
        <v>1325</v>
      </c>
      <c r="C63" s="6">
        <f>IFERROR(__xludf.DUMMYFUNCTION("""COMPUTED_VALUE"""),1343.3)</f>
        <v>1343.3</v>
      </c>
      <c r="D63" s="6">
        <f>IFERROR(__xludf.DUMMYFUNCTION("""COMPUTED_VALUE"""),1302.6)</f>
        <v>1302.6</v>
      </c>
      <c r="E63" s="6">
        <f>IFERROR(__xludf.DUMMYFUNCTION("""COMPUTED_VALUE"""),1329.9)</f>
        <v>1329.9</v>
      </c>
      <c r="F63" s="6">
        <f>IFERROR(__xludf.DUMMYFUNCTION("""COMPUTED_VALUE"""),6674896.0)</f>
        <v>6674896</v>
      </c>
    </row>
    <row r="64">
      <c r="A64" s="7">
        <f>IFERROR(__xludf.DUMMYFUNCTION("""COMPUTED_VALUE"""),45895.64583333333)</f>
        <v>45895.64583</v>
      </c>
      <c r="B64" s="6">
        <f>IFERROR(__xludf.DUMMYFUNCTION("""COMPUTED_VALUE"""),1335.0)</f>
        <v>1335</v>
      </c>
      <c r="C64" s="6">
        <f>IFERROR(__xludf.DUMMYFUNCTION("""COMPUTED_VALUE"""),1335.1)</f>
        <v>1335.1</v>
      </c>
      <c r="D64" s="6">
        <f>IFERROR(__xludf.DUMMYFUNCTION("""COMPUTED_VALUE"""),1295.9)</f>
        <v>1295.9</v>
      </c>
      <c r="E64" s="6">
        <f>IFERROR(__xludf.DUMMYFUNCTION("""COMPUTED_VALUE"""),1302.8)</f>
        <v>1302.8</v>
      </c>
      <c r="F64" s="6">
        <f>IFERROR(__xludf.DUMMYFUNCTION("""COMPUTED_VALUE"""),2.0632748E7)</f>
        <v>20632748</v>
      </c>
    </row>
  </sheetData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IFERROR(__xludf.DUMMYFUNCTION("GOOGLEFINANCE(""NSE:UPL"",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IFERROR(__xludf.DUMMYFUNCTION("""COMPUTED_VALUE"""),559.43)</f>
        <v>559.43</v>
      </c>
      <c r="C2" s="6">
        <f>IFERROR(__xludf.DUMMYFUNCTION("""COMPUTED_VALUE"""),582.74)</f>
        <v>582.74</v>
      </c>
      <c r="D2" s="6">
        <f>IFERROR(__xludf.DUMMYFUNCTION("""COMPUTED_VALUE"""),558.28)</f>
        <v>558.28</v>
      </c>
      <c r="E2" s="6">
        <f>IFERROR(__xludf.DUMMYFUNCTION("""COMPUTED_VALUE"""),578.42)</f>
        <v>578.42</v>
      </c>
      <c r="F2" s="6">
        <f>IFERROR(__xludf.DUMMYFUNCTION("""COMPUTED_VALUE"""),2.0841526E7)</f>
        <v>20841526</v>
      </c>
    </row>
    <row r="3">
      <c r="A3" s="7">
        <f>IFERROR(__xludf.DUMMYFUNCTION("""COMPUTED_VALUE"""),45177.64583333333)</f>
        <v>45177.64583</v>
      </c>
      <c r="B3" s="6">
        <f>IFERROR(__xludf.DUMMYFUNCTION("""COMPUTED_VALUE"""),580.34)</f>
        <v>580.34</v>
      </c>
      <c r="C3" s="6">
        <f>IFERROR(__xludf.DUMMYFUNCTION("""COMPUTED_VALUE"""),590.8)</f>
        <v>590.8</v>
      </c>
      <c r="D3" s="6">
        <f>IFERROR(__xludf.DUMMYFUNCTION("""COMPUTED_VALUE"""),574.83)</f>
        <v>574.83</v>
      </c>
      <c r="E3" s="6">
        <f>IFERROR(__xludf.DUMMYFUNCTION("""COMPUTED_VALUE"""),582.07)</f>
        <v>582.07</v>
      </c>
      <c r="F3" s="6">
        <f>IFERROR(__xludf.DUMMYFUNCTION("""COMPUTED_VALUE"""),1.5794637E7)</f>
        <v>15794637</v>
      </c>
    </row>
    <row r="4">
      <c r="A4" s="7">
        <f>IFERROR(__xludf.DUMMYFUNCTION("""COMPUTED_VALUE"""),45184.64583333333)</f>
        <v>45184.64583</v>
      </c>
      <c r="B4" s="6">
        <f>IFERROR(__xludf.DUMMYFUNCTION("""COMPUTED_VALUE"""),585.14)</f>
        <v>585.14</v>
      </c>
      <c r="C4" s="6">
        <f>IFERROR(__xludf.DUMMYFUNCTION("""COMPUTED_VALUE"""),609.6)</f>
        <v>609.6</v>
      </c>
      <c r="D4" s="6">
        <f>IFERROR(__xludf.DUMMYFUNCTION("""COMPUTED_VALUE"""),577.8)</f>
        <v>577.8</v>
      </c>
      <c r="E4" s="6">
        <f>IFERROR(__xludf.DUMMYFUNCTION("""COMPUTED_VALUE"""),608.78)</f>
        <v>608.78</v>
      </c>
      <c r="F4" s="6">
        <f>IFERROR(__xludf.DUMMYFUNCTION("""COMPUTED_VALUE"""),2.1009022E7)</f>
        <v>21009022</v>
      </c>
    </row>
    <row r="5">
      <c r="A5" s="7">
        <f>IFERROR(__xludf.DUMMYFUNCTION("""COMPUTED_VALUE"""),45191.64583333333)</f>
        <v>45191.64583</v>
      </c>
      <c r="B5" s="6">
        <f>IFERROR(__xludf.DUMMYFUNCTION("""COMPUTED_VALUE"""),608.78)</f>
        <v>608.78</v>
      </c>
      <c r="C5" s="6">
        <f>IFERROR(__xludf.DUMMYFUNCTION("""COMPUTED_VALUE"""),613.0)</f>
        <v>613</v>
      </c>
      <c r="D5" s="6">
        <f>IFERROR(__xludf.DUMMYFUNCTION("""COMPUTED_VALUE"""),587.63)</f>
        <v>587.63</v>
      </c>
      <c r="E5" s="6">
        <f>IFERROR(__xludf.DUMMYFUNCTION("""COMPUTED_VALUE"""),589.74)</f>
        <v>589.74</v>
      </c>
      <c r="F5" s="6">
        <f>IFERROR(__xludf.DUMMYFUNCTION("""COMPUTED_VALUE"""),1.0829475E7)</f>
        <v>10829475</v>
      </c>
    </row>
    <row r="6">
      <c r="A6" s="7">
        <f>IFERROR(__xludf.DUMMYFUNCTION("""COMPUTED_VALUE"""),45198.64583333333)</f>
        <v>45198.64583</v>
      </c>
      <c r="B6" s="6">
        <f>IFERROR(__xludf.DUMMYFUNCTION("""COMPUTED_VALUE"""),589.74)</f>
        <v>589.74</v>
      </c>
      <c r="C6" s="6">
        <f>IFERROR(__xludf.DUMMYFUNCTION("""COMPUTED_VALUE"""),599.34)</f>
        <v>599.34</v>
      </c>
      <c r="D6" s="6">
        <f>IFERROR(__xludf.DUMMYFUNCTION("""COMPUTED_VALUE"""),577.99)</f>
        <v>577.99</v>
      </c>
      <c r="E6" s="6">
        <f>IFERROR(__xludf.DUMMYFUNCTION("""COMPUTED_VALUE"""),591.13)</f>
        <v>591.13</v>
      </c>
      <c r="F6" s="6">
        <f>IFERROR(__xludf.DUMMYFUNCTION("""COMPUTED_VALUE"""),1.0389444E7)</f>
        <v>10389444</v>
      </c>
    </row>
    <row r="7">
      <c r="A7" s="7">
        <f>IFERROR(__xludf.DUMMYFUNCTION("""COMPUTED_VALUE"""),45205.64583333333)</f>
        <v>45205.64583</v>
      </c>
      <c r="B7" s="6">
        <f>IFERROR(__xludf.DUMMYFUNCTION("""COMPUTED_VALUE"""),590.85)</f>
        <v>590.85</v>
      </c>
      <c r="C7" s="6">
        <f>IFERROR(__xludf.DUMMYFUNCTION("""COMPUTED_VALUE"""),590.85)</f>
        <v>590.85</v>
      </c>
      <c r="D7" s="6">
        <f>IFERROR(__xludf.DUMMYFUNCTION("""COMPUTED_VALUE"""),573.44)</f>
        <v>573.44</v>
      </c>
      <c r="E7" s="6">
        <f>IFERROR(__xludf.DUMMYFUNCTION("""COMPUTED_VALUE"""),587.2)</f>
        <v>587.2</v>
      </c>
      <c r="F7" s="6">
        <f>IFERROR(__xludf.DUMMYFUNCTION("""COMPUTED_VALUE"""),7494315.0)</f>
        <v>7494315</v>
      </c>
    </row>
    <row r="8">
      <c r="A8" s="7">
        <f>IFERROR(__xludf.DUMMYFUNCTION("""COMPUTED_VALUE"""),45212.64583333333)</f>
        <v>45212.64583</v>
      </c>
      <c r="B8" s="6">
        <f>IFERROR(__xludf.DUMMYFUNCTION("""COMPUTED_VALUE"""),581.83)</f>
        <v>581.83</v>
      </c>
      <c r="C8" s="6">
        <f>IFERROR(__xludf.DUMMYFUNCTION("""COMPUTED_VALUE"""),603.94)</f>
        <v>603.94</v>
      </c>
      <c r="D8" s="6">
        <f>IFERROR(__xludf.DUMMYFUNCTION("""COMPUTED_VALUE"""),573.92)</f>
        <v>573.92</v>
      </c>
      <c r="E8" s="6">
        <f>IFERROR(__xludf.DUMMYFUNCTION("""COMPUTED_VALUE"""),597.66)</f>
        <v>597.66</v>
      </c>
      <c r="F8" s="6">
        <f>IFERROR(__xludf.DUMMYFUNCTION("""COMPUTED_VALUE"""),1.0019458E7)</f>
        <v>10019458</v>
      </c>
    </row>
    <row r="9">
      <c r="A9" s="7">
        <f>IFERROR(__xludf.DUMMYFUNCTION("""COMPUTED_VALUE"""),45219.64583333333)</f>
        <v>45219.64583</v>
      </c>
      <c r="B9" s="6">
        <f>IFERROR(__xludf.DUMMYFUNCTION("""COMPUTED_VALUE"""),596.65)</f>
        <v>596.65</v>
      </c>
      <c r="C9" s="6">
        <f>IFERROR(__xludf.DUMMYFUNCTION("""COMPUTED_VALUE"""),609.02)</f>
        <v>609.02</v>
      </c>
      <c r="D9" s="6">
        <f>IFERROR(__xludf.DUMMYFUNCTION("""COMPUTED_VALUE"""),577.46)</f>
        <v>577.46</v>
      </c>
      <c r="E9" s="6">
        <f>IFERROR(__xludf.DUMMYFUNCTION("""COMPUTED_VALUE"""),578.86)</f>
        <v>578.86</v>
      </c>
      <c r="F9" s="6">
        <f>IFERROR(__xludf.DUMMYFUNCTION("""COMPUTED_VALUE"""),7618887.0)</f>
        <v>7618887</v>
      </c>
    </row>
    <row r="10">
      <c r="A10" s="7">
        <f>IFERROR(__xludf.DUMMYFUNCTION("""COMPUTED_VALUE"""),45226.64583333333)</f>
        <v>45226.64583</v>
      </c>
      <c r="B10" s="6">
        <f>IFERROR(__xludf.DUMMYFUNCTION("""COMPUTED_VALUE"""),578.42)</f>
        <v>578.42</v>
      </c>
      <c r="C10" s="6">
        <f>IFERROR(__xludf.DUMMYFUNCTION("""COMPUTED_VALUE"""),583.22)</f>
        <v>583.22</v>
      </c>
      <c r="D10" s="6">
        <f>IFERROR(__xludf.DUMMYFUNCTION("""COMPUTED_VALUE"""),533.63)</f>
        <v>533.63</v>
      </c>
      <c r="E10" s="6">
        <f>IFERROR(__xludf.DUMMYFUNCTION("""COMPUTED_VALUE"""),535.88)</f>
        <v>535.88</v>
      </c>
      <c r="F10" s="6">
        <f>IFERROR(__xludf.DUMMYFUNCTION("""COMPUTED_VALUE"""),1.1537382E7)</f>
        <v>11537382</v>
      </c>
    </row>
    <row r="11">
      <c r="A11" s="7">
        <f>IFERROR(__xludf.DUMMYFUNCTION("""COMPUTED_VALUE"""),45233.64583333333)</f>
        <v>45233.64583</v>
      </c>
      <c r="B11" s="6">
        <f>IFERROR(__xludf.DUMMYFUNCTION("""COMPUTED_VALUE"""),537.18)</f>
        <v>537.18</v>
      </c>
      <c r="C11" s="6">
        <f>IFERROR(__xludf.DUMMYFUNCTION("""COMPUTED_VALUE"""),540.25)</f>
        <v>540.25</v>
      </c>
      <c r="D11" s="6">
        <f>IFERROR(__xludf.DUMMYFUNCTION("""COMPUTED_VALUE"""),506.62)</f>
        <v>506.62</v>
      </c>
      <c r="E11" s="6">
        <f>IFERROR(__xludf.DUMMYFUNCTION("""COMPUTED_VALUE"""),527.87)</f>
        <v>527.87</v>
      </c>
      <c r="F11" s="6">
        <f>IFERROR(__xludf.DUMMYFUNCTION("""COMPUTED_VALUE"""),1.9748437E7)</f>
        <v>19748437</v>
      </c>
    </row>
    <row r="12">
      <c r="A12" s="7">
        <f>IFERROR(__xludf.DUMMYFUNCTION("""COMPUTED_VALUE"""),45240.64583333333)</f>
        <v>45240.64583</v>
      </c>
      <c r="B12" s="6">
        <f>IFERROR(__xludf.DUMMYFUNCTION("""COMPUTED_VALUE"""),529.55)</f>
        <v>529.55</v>
      </c>
      <c r="C12" s="6">
        <f>IFERROR(__xludf.DUMMYFUNCTION("""COMPUTED_VALUE"""),535.07)</f>
        <v>535.07</v>
      </c>
      <c r="D12" s="6">
        <f>IFERROR(__xludf.DUMMYFUNCTION("""COMPUTED_VALUE"""),522.79)</f>
        <v>522.79</v>
      </c>
      <c r="E12" s="6">
        <f>IFERROR(__xludf.DUMMYFUNCTION("""COMPUTED_VALUE"""),524.85)</f>
        <v>524.85</v>
      </c>
      <c r="F12" s="6">
        <f>IFERROR(__xludf.DUMMYFUNCTION("""COMPUTED_VALUE"""),6948987.0)</f>
        <v>6948987</v>
      </c>
    </row>
    <row r="13">
      <c r="A13" s="7">
        <f>IFERROR(__xludf.DUMMYFUNCTION("""COMPUTED_VALUE"""),45247.64583333333)</f>
        <v>45247.64583</v>
      </c>
      <c r="B13" s="6">
        <f>IFERROR(__xludf.DUMMYFUNCTION("""COMPUTED_VALUE"""),532.38)</f>
        <v>532.38</v>
      </c>
      <c r="C13" s="6">
        <f>IFERROR(__xludf.DUMMYFUNCTION("""COMPUTED_VALUE"""),542.64)</f>
        <v>542.64</v>
      </c>
      <c r="D13" s="6">
        <f>IFERROR(__xludf.DUMMYFUNCTION("""COMPUTED_VALUE"""),527.68)</f>
        <v>527.68</v>
      </c>
      <c r="E13" s="6">
        <f>IFERROR(__xludf.DUMMYFUNCTION("""COMPUTED_VALUE"""),538.85)</f>
        <v>538.85</v>
      </c>
      <c r="F13" s="6">
        <f>IFERROR(__xludf.DUMMYFUNCTION("""COMPUTED_VALUE"""),7582461.0)</f>
        <v>7582461</v>
      </c>
    </row>
    <row r="14">
      <c r="A14" s="7">
        <f>IFERROR(__xludf.DUMMYFUNCTION("""COMPUTED_VALUE"""),45254.64583333333)</f>
        <v>45254.64583</v>
      </c>
      <c r="B14" s="6">
        <f>IFERROR(__xludf.DUMMYFUNCTION("""COMPUTED_VALUE"""),538.85)</f>
        <v>538.85</v>
      </c>
      <c r="C14" s="6">
        <f>IFERROR(__xludf.DUMMYFUNCTION("""COMPUTED_VALUE"""),548.4)</f>
        <v>548.4</v>
      </c>
      <c r="D14" s="6">
        <f>IFERROR(__xludf.DUMMYFUNCTION("""COMPUTED_VALUE"""),532.19)</f>
        <v>532.19</v>
      </c>
      <c r="E14" s="6">
        <f>IFERROR(__xludf.DUMMYFUNCTION("""COMPUTED_VALUE"""),536.17)</f>
        <v>536.17</v>
      </c>
      <c r="F14" s="6">
        <f>IFERROR(__xludf.DUMMYFUNCTION("""COMPUTED_VALUE"""),7194195.0)</f>
        <v>7194195</v>
      </c>
    </row>
    <row r="15">
      <c r="A15" s="7">
        <f>IFERROR(__xludf.DUMMYFUNCTION("""COMPUTED_VALUE"""),45261.64583333333)</f>
        <v>45261.64583</v>
      </c>
      <c r="B15" s="6">
        <f>IFERROR(__xludf.DUMMYFUNCTION("""COMPUTED_VALUE"""),536.17)</f>
        <v>536.17</v>
      </c>
      <c r="C15" s="6">
        <f>IFERROR(__xludf.DUMMYFUNCTION("""COMPUTED_VALUE"""),552.48)</f>
        <v>552.48</v>
      </c>
      <c r="D15" s="6">
        <f>IFERROR(__xludf.DUMMYFUNCTION("""COMPUTED_VALUE"""),533.48)</f>
        <v>533.48</v>
      </c>
      <c r="E15" s="6">
        <f>IFERROR(__xludf.DUMMYFUNCTION("""COMPUTED_VALUE"""),551.71)</f>
        <v>551.71</v>
      </c>
      <c r="F15" s="6">
        <f>IFERROR(__xludf.DUMMYFUNCTION("""COMPUTED_VALUE"""),8807109.0)</f>
        <v>8807109</v>
      </c>
    </row>
    <row r="16">
      <c r="A16" s="7">
        <f>IFERROR(__xludf.DUMMYFUNCTION("""COMPUTED_VALUE"""),45268.64583333333)</f>
        <v>45268.64583</v>
      </c>
      <c r="B16" s="6">
        <f>IFERROR(__xludf.DUMMYFUNCTION("""COMPUTED_VALUE"""),554.92)</f>
        <v>554.92</v>
      </c>
      <c r="C16" s="6">
        <f>IFERROR(__xludf.DUMMYFUNCTION("""COMPUTED_VALUE"""),572.0)</f>
        <v>572</v>
      </c>
      <c r="D16" s="6">
        <f>IFERROR(__xludf.DUMMYFUNCTION("""COMPUTED_VALUE"""),553.34)</f>
        <v>553.34</v>
      </c>
      <c r="E16" s="6">
        <f>IFERROR(__xludf.DUMMYFUNCTION("""COMPUTED_VALUE"""),561.35)</f>
        <v>561.35</v>
      </c>
      <c r="F16" s="6">
        <f>IFERROR(__xludf.DUMMYFUNCTION("""COMPUTED_VALUE"""),1.2334859E7)</f>
        <v>12334859</v>
      </c>
    </row>
    <row r="17">
      <c r="A17" s="7">
        <f>IFERROR(__xludf.DUMMYFUNCTION("""COMPUTED_VALUE"""),45275.64583333333)</f>
        <v>45275.64583</v>
      </c>
      <c r="B17" s="6">
        <f>IFERROR(__xludf.DUMMYFUNCTION("""COMPUTED_VALUE"""),561.16)</f>
        <v>561.16</v>
      </c>
      <c r="C17" s="6">
        <f>IFERROR(__xludf.DUMMYFUNCTION("""COMPUTED_VALUE"""),587.82)</f>
        <v>587.82</v>
      </c>
      <c r="D17" s="6">
        <f>IFERROR(__xludf.DUMMYFUNCTION("""COMPUTED_VALUE"""),559.77)</f>
        <v>559.77</v>
      </c>
      <c r="E17" s="6">
        <f>IFERROR(__xludf.DUMMYFUNCTION("""COMPUTED_VALUE"""),585.95)</f>
        <v>585.95</v>
      </c>
      <c r="F17" s="6">
        <f>IFERROR(__xludf.DUMMYFUNCTION("""COMPUTED_VALUE"""),1.5885629E7)</f>
        <v>15885629</v>
      </c>
    </row>
    <row r="18">
      <c r="A18" s="7">
        <f>IFERROR(__xludf.DUMMYFUNCTION("""COMPUTED_VALUE"""),45282.64583333333)</f>
        <v>45282.64583</v>
      </c>
      <c r="B18" s="6">
        <f>IFERROR(__xludf.DUMMYFUNCTION("""COMPUTED_VALUE"""),588.78)</f>
        <v>588.78</v>
      </c>
      <c r="C18" s="6">
        <f>IFERROR(__xludf.DUMMYFUNCTION("""COMPUTED_VALUE"""),589.69)</f>
        <v>589.69</v>
      </c>
      <c r="D18" s="6">
        <f>IFERROR(__xludf.DUMMYFUNCTION("""COMPUTED_VALUE"""),542.64)</f>
        <v>542.64</v>
      </c>
      <c r="E18" s="6">
        <f>IFERROR(__xludf.DUMMYFUNCTION("""COMPUTED_VALUE"""),557.94)</f>
        <v>557.94</v>
      </c>
      <c r="F18" s="6">
        <f>IFERROR(__xludf.DUMMYFUNCTION("""COMPUTED_VALUE"""),1.514556E7)</f>
        <v>15145560</v>
      </c>
    </row>
    <row r="19">
      <c r="A19" s="7">
        <f>IFERROR(__xludf.DUMMYFUNCTION("""COMPUTED_VALUE"""),45289.64583333333)</f>
        <v>45289.64583</v>
      </c>
      <c r="B19" s="6">
        <f>IFERROR(__xludf.DUMMYFUNCTION("""COMPUTED_VALUE"""),563.94)</f>
        <v>563.94</v>
      </c>
      <c r="C19" s="6">
        <f>IFERROR(__xludf.DUMMYFUNCTION("""COMPUTED_VALUE"""),570.75)</f>
        <v>570.75</v>
      </c>
      <c r="D19" s="6">
        <f>IFERROR(__xludf.DUMMYFUNCTION("""COMPUTED_VALUE"""),557.42)</f>
        <v>557.42</v>
      </c>
      <c r="E19" s="6">
        <f>IFERROR(__xludf.DUMMYFUNCTION("""COMPUTED_VALUE"""),563.32)</f>
        <v>563.32</v>
      </c>
      <c r="F19" s="6">
        <f>IFERROR(__xludf.DUMMYFUNCTION("""COMPUTED_VALUE"""),1.0093657E7)</f>
        <v>10093657</v>
      </c>
    </row>
    <row r="20">
      <c r="A20" s="7">
        <f>IFERROR(__xludf.DUMMYFUNCTION("""COMPUTED_VALUE"""),45296.64583333333)</f>
        <v>45296.64583</v>
      </c>
      <c r="B20" s="6">
        <f>IFERROR(__xludf.DUMMYFUNCTION("""COMPUTED_VALUE"""),564.04)</f>
        <v>564.04</v>
      </c>
      <c r="C20" s="6">
        <f>IFERROR(__xludf.DUMMYFUNCTION("""COMPUTED_VALUE"""),579.19)</f>
        <v>579.19</v>
      </c>
      <c r="D20" s="6">
        <f>IFERROR(__xludf.DUMMYFUNCTION("""COMPUTED_VALUE"""),553.0)</f>
        <v>553</v>
      </c>
      <c r="E20" s="6">
        <f>IFERROR(__xludf.DUMMYFUNCTION("""COMPUTED_VALUE"""),557.56)</f>
        <v>557.56</v>
      </c>
      <c r="F20" s="6">
        <f>IFERROR(__xludf.DUMMYFUNCTION("""COMPUTED_VALUE"""),1.470726E7)</f>
        <v>14707260</v>
      </c>
    </row>
    <row r="21">
      <c r="A21" s="7">
        <f>IFERROR(__xludf.DUMMYFUNCTION("""COMPUTED_VALUE"""),45303.64583333333)</f>
        <v>45303.64583</v>
      </c>
      <c r="B21" s="6">
        <f>IFERROR(__xludf.DUMMYFUNCTION("""COMPUTED_VALUE"""),557.32)</f>
        <v>557.32</v>
      </c>
      <c r="C21" s="6">
        <f>IFERROR(__xludf.DUMMYFUNCTION("""COMPUTED_VALUE"""),559.05)</f>
        <v>559.05</v>
      </c>
      <c r="D21" s="6">
        <f>IFERROR(__xludf.DUMMYFUNCTION("""COMPUTED_VALUE"""),529.41)</f>
        <v>529.41</v>
      </c>
      <c r="E21" s="6">
        <f>IFERROR(__xludf.DUMMYFUNCTION("""COMPUTED_VALUE"""),542.07)</f>
        <v>542.07</v>
      </c>
      <c r="F21" s="6">
        <f>IFERROR(__xludf.DUMMYFUNCTION("""COMPUTED_VALUE"""),1.4202673E7)</f>
        <v>14202673</v>
      </c>
    </row>
    <row r="22">
      <c r="A22" s="7">
        <f>IFERROR(__xludf.DUMMYFUNCTION("""COMPUTED_VALUE"""),45316.64583333333)</f>
        <v>45316.64583</v>
      </c>
      <c r="B22" s="6">
        <f>IFERROR(__xludf.DUMMYFUNCTION("""COMPUTED_VALUE"""),535.69)</f>
        <v>535.69</v>
      </c>
      <c r="C22" s="6">
        <f>IFERROR(__xludf.DUMMYFUNCTION("""COMPUTED_VALUE"""),535.69)</f>
        <v>535.69</v>
      </c>
      <c r="D22" s="6">
        <f>IFERROR(__xludf.DUMMYFUNCTION("""COMPUTED_VALUE"""),511.8)</f>
        <v>511.8</v>
      </c>
      <c r="E22" s="6">
        <f>IFERROR(__xludf.DUMMYFUNCTION("""COMPUTED_VALUE"""),515.4)</f>
        <v>515.4</v>
      </c>
      <c r="F22" s="6">
        <f>IFERROR(__xludf.DUMMYFUNCTION("""COMPUTED_VALUE"""),5959045.0)</f>
        <v>5959045</v>
      </c>
    </row>
    <row r="23">
      <c r="A23" s="7">
        <f>IFERROR(__xludf.DUMMYFUNCTION("""COMPUTED_VALUE"""),45324.64583333333)</f>
        <v>45324.64583</v>
      </c>
      <c r="B23" s="6">
        <f>IFERROR(__xludf.DUMMYFUNCTION("""COMPUTED_VALUE"""),520.1)</f>
        <v>520.1</v>
      </c>
      <c r="C23" s="6">
        <f>IFERROR(__xludf.DUMMYFUNCTION("""COMPUTED_VALUE"""),525.19)</f>
        <v>525.19</v>
      </c>
      <c r="D23" s="6">
        <f>IFERROR(__xludf.DUMMYFUNCTION("""COMPUTED_VALUE"""),505.04)</f>
        <v>505.04</v>
      </c>
      <c r="E23" s="6">
        <f>IFERROR(__xludf.DUMMYFUNCTION("""COMPUTED_VALUE"""),511.9)</f>
        <v>511.9</v>
      </c>
      <c r="F23" s="6">
        <f>IFERROR(__xludf.DUMMYFUNCTION("""COMPUTED_VALUE"""),1.5532889E7)</f>
        <v>15532889</v>
      </c>
    </row>
    <row r="24">
      <c r="A24" s="7">
        <f>IFERROR(__xludf.DUMMYFUNCTION("""COMPUTED_VALUE"""),45331.64583333333)</f>
        <v>45331.64583</v>
      </c>
      <c r="B24" s="6">
        <f>IFERROR(__xludf.DUMMYFUNCTION("""COMPUTED_VALUE"""),502.64)</f>
        <v>502.64</v>
      </c>
      <c r="C24" s="6">
        <f>IFERROR(__xludf.DUMMYFUNCTION("""COMPUTED_VALUE"""),503.6)</f>
        <v>503.6</v>
      </c>
      <c r="D24" s="6">
        <f>IFERROR(__xludf.DUMMYFUNCTION("""COMPUTED_VALUE"""),434.82)</f>
        <v>434.82</v>
      </c>
      <c r="E24" s="6">
        <f>IFERROR(__xludf.DUMMYFUNCTION("""COMPUTED_VALUE"""),439.29)</f>
        <v>439.29</v>
      </c>
      <c r="F24" s="6">
        <f>IFERROR(__xludf.DUMMYFUNCTION("""COMPUTED_VALUE"""),4.3924127E7)</f>
        <v>43924127</v>
      </c>
    </row>
    <row r="25">
      <c r="A25" s="7">
        <f>IFERROR(__xludf.DUMMYFUNCTION("""COMPUTED_VALUE"""),45338.64583333333)</f>
        <v>45338.64583</v>
      </c>
      <c r="B25" s="6">
        <f>IFERROR(__xludf.DUMMYFUNCTION("""COMPUTED_VALUE"""),442.98)</f>
        <v>442.98</v>
      </c>
      <c r="C25" s="6">
        <f>IFERROR(__xludf.DUMMYFUNCTION("""COMPUTED_VALUE"""),474.06)</f>
        <v>474.06</v>
      </c>
      <c r="D25" s="6">
        <f>IFERROR(__xludf.DUMMYFUNCTION("""COMPUTED_VALUE"""),433.72)</f>
        <v>433.72</v>
      </c>
      <c r="E25" s="6">
        <f>IFERROR(__xludf.DUMMYFUNCTION("""COMPUTED_VALUE"""),470.89)</f>
        <v>470.89</v>
      </c>
      <c r="F25" s="6">
        <f>IFERROR(__xludf.DUMMYFUNCTION("""COMPUTED_VALUE"""),2.2264924E7)</f>
        <v>22264924</v>
      </c>
    </row>
    <row r="26">
      <c r="A26" s="7">
        <f>IFERROR(__xludf.DUMMYFUNCTION("""COMPUTED_VALUE"""),45345.64583333333)</f>
        <v>45345.64583</v>
      </c>
      <c r="B26" s="6">
        <f>IFERROR(__xludf.DUMMYFUNCTION("""COMPUTED_VALUE"""),473.58)</f>
        <v>473.58</v>
      </c>
      <c r="C26" s="6">
        <f>IFERROR(__xludf.DUMMYFUNCTION("""COMPUTED_VALUE"""),484.85)</f>
        <v>484.85</v>
      </c>
      <c r="D26" s="6">
        <f>IFERROR(__xludf.DUMMYFUNCTION("""COMPUTED_VALUE"""),464.32)</f>
        <v>464.32</v>
      </c>
      <c r="E26" s="6">
        <f>IFERROR(__xludf.DUMMYFUNCTION("""COMPUTED_VALUE"""),468.78)</f>
        <v>468.78</v>
      </c>
      <c r="F26" s="6">
        <f>IFERROR(__xludf.DUMMYFUNCTION("""COMPUTED_VALUE"""),1.2337132E7)</f>
        <v>12337132</v>
      </c>
    </row>
    <row r="27">
      <c r="A27" s="7">
        <f>IFERROR(__xludf.DUMMYFUNCTION("""COMPUTED_VALUE"""),45358.64583333333)</f>
        <v>45358.64583</v>
      </c>
      <c r="B27" s="6">
        <f>IFERROR(__xludf.DUMMYFUNCTION("""COMPUTED_VALUE"""),456.65)</f>
        <v>456.65</v>
      </c>
      <c r="C27" s="6">
        <f>IFERROR(__xludf.DUMMYFUNCTION("""COMPUTED_VALUE"""),471.04)</f>
        <v>471.04</v>
      </c>
      <c r="D27" s="6">
        <f>IFERROR(__xludf.DUMMYFUNCTION("""COMPUTED_VALUE"""),445.57)</f>
        <v>445.57</v>
      </c>
      <c r="E27" s="6">
        <f>IFERROR(__xludf.DUMMYFUNCTION("""COMPUTED_VALUE"""),462.64)</f>
        <v>462.64</v>
      </c>
      <c r="F27" s="6">
        <f>IFERROR(__xludf.DUMMYFUNCTION("""COMPUTED_VALUE"""),1.6637071E7)</f>
        <v>16637071</v>
      </c>
    </row>
    <row r="28">
      <c r="A28" s="7">
        <f>IFERROR(__xludf.DUMMYFUNCTION("""COMPUTED_VALUE"""),45366.64583333333)</f>
        <v>45366.64583</v>
      </c>
      <c r="B28" s="6">
        <f>IFERROR(__xludf.DUMMYFUNCTION("""COMPUTED_VALUE"""),465.33)</f>
        <v>465.33</v>
      </c>
      <c r="C28" s="6">
        <f>IFERROR(__xludf.DUMMYFUNCTION("""COMPUTED_VALUE"""),468.11)</f>
        <v>468.11</v>
      </c>
      <c r="D28" s="6">
        <f>IFERROR(__xludf.DUMMYFUNCTION("""COMPUTED_VALUE"""),429.55)</f>
        <v>429.55</v>
      </c>
      <c r="E28" s="6">
        <f>IFERROR(__xludf.DUMMYFUNCTION("""COMPUTED_VALUE"""),455.78)</f>
        <v>455.78</v>
      </c>
      <c r="F28" s="6">
        <f>IFERROR(__xludf.DUMMYFUNCTION("""COMPUTED_VALUE"""),1.7991834E7)</f>
        <v>17991834</v>
      </c>
    </row>
    <row r="29">
      <c r="A29" s="7">
        <f>IFERROR(__xludf.DUMMYFUNCTION("""COMPUTED_VALUE"""),45373.64583333333)</f>
        <v>45373.64583</v>
      </c>
      <c r="B29" s="6">
        <f>IFERROR(__xludf.DUMMYFUNCTION("""COMPUTED_VALUE"""),455.64)</f>
        <v>455.64</v>
      </c>
      <c r="C29" s="6">
        <f>IFERROR(__xludf.DUMMYFUNCTION("""COMPUTED_VALUE"""),455.64)</f>
        <v>455.64</v>
      </c>
      <c r="D29" s="6">
        <f>IFERROR(__xludf.DUMMYFUNCTION("""COMPUTED_VALUE"""),430.94)</f>
        <v>430.94</v>
      </c>
      <c r="E29" s="6">
        <f>IFERROR(__xludf.DUMMYFUNCTION("""COMPUTED_VALUE"""),450.84)</f>
        <v>450.84</v>
      </c>
      <c r="F29" s="6">
        <f>IFERROR(__xludf.DUMMYFUNCTION("""COMPUTED_VALUE"""),1.86674E7)</f>
        <v>18667400</v>
      </c>
    </row>
    <row r="30">
      <c r="A30" s="7">
        <f>IFERROR(__xludf.DUMMYFUNCTION("""COMPUTED_VALUE"""),45379.64583333333)</f>
        <v>45379.64583</v>
      </c>
      <c r="B30" s="6">
        <f>IFERROR(__xludf.DUMMYFUNCTION("""COMPUTED_VALUE"""),448.93)</f>
        <v>448.93</v>
      </c>
      <c r="C30" s="6">
        <f>IFERROR(__xludf.DUMMYFUNCTION("""COMPUTED_VALUE"""),451.9)</f>
        <v>451.9</v>
      </c>
      <c r="D30" s="6">
        <f>IFERROR(__xludf.DUMMYFUNCTION("""COMPUTED_VALUE"""),433.67)</f>
        <v>433.67</v>
      </c>
      <c r="E30" s="6">
        <f>IFERROR(__xludf.DUMMYFUNCTION("""COMPUTED_VALUE"""),437.41)</f>
        <v>437.41</v>
      </c>
      <c r="F30" s="6">
        <f>IFERROR(__xludf.DUMMYFUNCTION("""COMPUTED_VALUE"""),3.8383622E7)</f>
        <v>38383622</v>
      </c>
    </row>
    <row r="31">
      <c r="A31" s="7">
        <f>IFERROR(__xludf.DUMMYFUNCTION("""COMPUTED_VALUE"""),45387.64583333333)</f>
        <v>45387.64583</v>
      </c>
      <c r="B31" s="6">
        <f>IFERROR(__xludf.DUMMYFUNCTION("""COMPUTED_VALUE"""),441.25)</f>
        <v>441.25</v>
      </c>
      <c r="C31" s="6">
        <f>IFERROR(__xludf.DUMMYFUNCTION("""COMPUTED_VALUE"""),480.2)</f>
        <v>480.2</v>
      </c>
      <c r="D31" s="6">
        <f>IFERROR(__xludf.DUMMYFUNCTION("""COMPUTED_VALUE"""),439.77)</f>
        <v>439.77</v>
      </c>
      <c r="E31" s="6">
        <f>IFERROR(__xludf.DUMMYFUNCTION("""COMPUTED_VALUE"""),474.2)</f>
        <v>474.2</v>
      </c>
      <c r="F31" s="6">
        <f>IFERROR(__xludf.DUMMYFUNCTION("""COMPUTED_VALUE"""),2.9726796E7)</f>
        <v>29726796</v>
      </c>
    </row>
    <row r="32">
      <c r="A32" s="7">
        <f>IFERROR(__xludf.DUMMYFUNCTION("""COMPUTED_VALUE"""),45394.64583333333)</f>
        <v>45394.64583</v>
      </c>
      <c r="B32" s="6">
        <f>IFERROR(__xludf.DUMMYFUNCTION("""COMPUTED_VALUE"""),480.15)</f>
        <v>480.15</v>
      </c>
      <c r="C32" s="6">
        <f>IFERROR(__xludf.DUMMYFUNCTION("""COMPUTED_VALUE"""),490.27)</f>
        <v>490.27</v>
      </c>
      <c r="D32" s="6">
        <f>IFERROR(__xludf.DUMMYFUNCTION("""COMPUTED_VALUE"""),463.36)</f>
        <v>463.36</v>
      </c>
      <c r="E32" s="6">
        <f>IFERROR(__xludf.DUMMYFUNCTION("""COMPUTED_VALUE"""),481.59)</f>
        <v>481.59</v>
      </c>
      <c r="F32" s="6">
        <f>IFERROR(__xludf.DUMMYFUNCTION("""COMPUTED_VALUE"""),2.0045958E7)</f>
        <v>20045958</v>
      </c>
    </row>
    <row r="33">
      <c r="A33" s="7">
        <f>IFERROR(__xludf.DUMMYFUNCTION("""COMPUTED_VALUE"""),45401.64583333333)</f>
        <v>45401.64583</v>
      </c>
      <c r="B33" s="6">
        <f>IFERROR(__xludf.DUMMYFUNCTION("""COMPUTED_VALUE"""),474.83)</f>
        <v>474.83</v>
      </c>
      <c r="C33" s="6">
        <f>IFERROR(__xludf.DUMMYFUNCTION("""COMPUTED_VALUE"""),479.19)</f>
        <v>479.19</v>
      </c>
      <c r="D33" s="6">
        <f>IFERROR(__xludf.DUMMYFUNCTION("""COMPUTED_VALUE"""),447.53)</f>
        <v>447.53</v>
      </c>
      <c r="E33" s="6">
        <f>IFERROR(__xludf.DUMMYFUNCTION("""COMPUTED_VALUE"""),467.68)</f>
        <v>467.68</v>
      </c>
      <c r="F33" s="6">
        <f>IFERROR(__xludf.DUMMYFUNCTION("""COMPUTED_VALUE"""),1.4014454E7)</f>
        <v>14014454</v>
      </c>
    </row>
    <row r="34">
      <c r="A34" s="7">
        <f>IFERROR(__xludf.DUMMYFUNCTION("""COMPUTED_VALUE"""),45408.64583333333)</f>
        <v>45408.64583</v>
      </c>
      <c r="B34" s="6">
        <f>IFERROR(__xludf.DUMMYFUNCTION("""COMPUTED_VALUE"""),471.95)</f>
        <v>471.95</v>
      </c>
      <c r="C34" s="6">
        <f>IFERROR(__xludf.DUMMYFUNCTION("""COMPUTED_VALUE"""),492.96)</f>
        <v>492.96</v>
      </c>
      <c r="D34" s="6">
        <f>IFERROR(__xludf.DUMMYFUNCTION("""COMPUTED_VALUE"""),467.73)</f>
        <v>467.73</v>
      </c>
      <c r="E34" s="6">
        <f>IFERROR(__xludf.DUMMYFUNCTION("""COMPUTED_VALUE"""),487.73)</f>
        <v>487.73</v>
      </c>
      <c r="F34" s="6">
        <f>IFERROR(__xludf.DUMMYFUNCTION("""COMPUTED_VALUE"""),1.4045588E7)</f>
        <v>14045588</v>
      </c>
    </row>
    <row r="35">
      <c r="A35" s="7">
        <f>IFERROR(__xludf.DUMMYFUNCTION("""COMPUTED_VALUE"""),45415.64583333333)</f>
        <v>45415.64583</v>
      </c>
      <c r="B35" s="6">
        <f>IFERROR(__xludf.DUMMYFUNCTION("""COMPUTED_VALUE"""),490.13)</f>
        <v>490.13</v>
      </c>
      <c r="C35" s="6">
        <f>IFERROR(__xludf.DUMMYFUNCTION("""COMPUTED_VALUE"""),492.76)</f>
        <v>492.76</v>
      </c>
      <c r="D35" s="6">
        <f>IFERROR(__xludf.DUMMYFUNCTION("""COMPUTED_VALUE"""),470.08)</f>
        <v>470.08</v>
      </c>
      <c r="E35" s="6">
        <f>IFERROR(__xludf.DUMMYFUNCTION("""COMPUTED_VALUE"""),473.48)</f>
        <v>473.48</v>
      </c>
      <c r="F35" s="6">
        <f>IFERROR(__xludf.DUMMYFUNCTION("""COMPUTED_VALUE"""),1.0613168E7)</f>
        <v>10613168</v>
      </c>
    </row>
    <row r="36">
      <c r="A36" s="7">
        <f>IFERROR(__xludf.DUMMYFUNCTION("""COMPUTED_VALUE"""),45422.64583333333)</f>
        <v>45422.64583</v>
      </c>
      <c r="B36" s="6">
        <f>IFERROR(__xludf.DUMMYFUNCTION("""COMPUTED_VALUE"""),475.07)</f>
        <v>475.07</v>
      </c>
      <c r="C36" s="6">
        <f>IFERROR(__xludf.DUMMYFUNCTION("""COMPUTED_VALUE"""),484.42)</f>
        <v>484.42</v>
      </c>
      <c r="D36" s="6">
        <f>IFERROR(__xludf.DUMMYFUNCTION("""COMPUTED_VALUE"""),445.42)</f>
        <v>445.42</v>
      </c>
      <c r="E36" s="6">
        <f>IFERROR(__xludf.DUMMYFUNCTION("""COMPUTED_VALUE"""),481.44)</f>
        <v>481.44</v>
      </c>
      <c r="F36" s="6">
        <f>IFERROR(__xludf.DUMMYFUNCTION("""COMPUTED_VALUE"""),1.9611406E7)</f>
        <v>19611406</v>
      </c>
    </row>
    <row r="37">
      <c r="A37" s="7">
        <f>IFERROR(__xludf.DUMMYFUNCTION("""COMPUTED_VALUE"""),45436.64583333333)</f>
        <v>45436.64583</v>
      </c>
      <c r="B37" s="6">
        <f>IFERROR(__xludf.DUMMYFUNCTION("""COMPUTED_VALUE"""),487.78)</f>
        <v>487.78</v>
      </c>
      <c r="C37" s="6">
        <f>IFERROR(__xludf.DUMMYFUNCTION("""COMPUTED_VALUE"""),500.77)</f>
        <v>500.77</v>
      </c>
      <c r="D37" s="6">
        <f>IFERROR(__xludf.DUMMYFUNCTION("""COMPUTED_VALUE"""),486.53)</f>
        <v>486.53</v>
      </c>
      <c r="E37" s="6">
        <f>IFERROR(__xludf.DUMMYFUNCTION("""COMPUTED_VALUE"""),494.78)</f>
        <v>494.78</v>
      </c>
      <c r="F37" s="6">
        <f>IFERROR(__xludf.DUMMYFUNCTION("""COMPUTED_VALUE"""),1.1324456E7)</f>
        <v>11324456</v>
      </c>
    </row>
    <row r="38">
      <c r="A38" s="7">
        <f>IFERROR(__xludf.DUMMYFUNCTION("""COMPUTED_VALUE"""),45443.64583333333)</f>
        <v>45443.64583</v>
      </c>
      <c r="B38" s="6">
        <f>IFERROR(__xludf.DUMMYFUNCTION("""COMPUTED_VALUE"""),497.27)</f>
        <v>497.27</v>
      </c>
      <c r="C38" s="6">
        <f>IFERROR(__xludf.DUMMYFUNCTION("""COMPUTED_VALUE"""),508.06)</f>
        <v>508.06</v>
      </c>
      <c r="D38" s="6">
        <f>IFERROR(__xludf.DUMMYFUNCTION("""COMPUTED_VALUE"""),484.42)</f>
        <v>484.42</v>
      </c>
      <c r="E38" s="6">
        <f>IFERROR(__xludf.DUMMYFUNCTION("""COMPUTED_VALUE"""),488.06)</f>
        <v>488.06</v>
      </c>
      <c r="F38" s="6">
        <f>IFERROR(__xludf.DUMMYFUNCTION("""COMPUTED_VALUE"""),2.2066842E7)</f>
        <v>22066842</v>
      </c>
    </row>
    <row r="39">
      <c r="A39" s="7">
        <f>IFERROR(__xludf.DUMMYFUNCTION("""COMPUTED_VALUE"""),45450.64583333333)</f>
        <v>45450.64583</v>
      </c>
      <c r="B39" s="6">
        <f>IFERROR(__xludf.DUMMYFUNCTION("""COMPUTED_VALUE"""),495.93)</f>
        <v>495.93</v>
      </c>
      <c r="C39" s="6">
        <f>IFERROR(__xludf.DUMMYFUNCTION("""COMPUTED_VALUE"""),523.27)</f>
        <v>523.27</v>
      </c>
      <c r="D39" s="6">
        <f>IFERROR(__xludf.DUMMYFUNCTION("""COMPUTED_VALUE"""),458.52)</f>
        <v>458.52</v>
      </c>
      <c r="E39" s="6">
        <f>IFERROR(__xludf.DUMMYFUNCTION("""COMPUTED_VALUE"""),517.75)</f>
        <v>517.75</v>
      </c>
      <c r="F39" s="6">
        <f>IFERROR(__xludf.DUMMYFUNCTION("""COMPUTED_VALUE"""),2.2354294E7)</f>
        <v>22354294</v>
      </c>
    </row>
    <row r="40">
      <c r="A40" s="7">
        <f>IFERROR(__xludf.DUMMYFUNCTION("""COMPUTED_VALUE"""),45457.64583333333)</f>
        <v>45457.64583</v>
      </c>
      <c r="B40" s="6">
        <f>IFERROR(__xludf.DUMMYFUNCTION("""COMPUTED_VALUE"""),520.53)</f>
        <v>520.53</v>
      </c>
      <c r="C40" s="6">
        <f>IFERROR(__xludf.DUMMYFUNCTION("""COMPUTED_VALUE"""),538.95)</f>
        <v>538.95</v>
      </c>
      <c r="D40" s="6">
        <f>IFERROR(__xludf.DUMMYFUNCTION("""COMPUTED_VALUE"""),510.41)</f>
        <v>510.41</v>
      </c>
      <c r="E40" s="6">
        <f>IFERROR(__xludf.DUMMYFUNCTION("""COMPUTED_VALUE"""),529.21)</f>
        <v>529.21</v>
      </c>
      <c r="F40" s="6">
        <f>IFERROR(__xludf.DUMMYFUNCTION("""COMPUTED_VALUE"""),1.9064682E7)</f>
        <v>19064682</v>
      </c>
    </row>
    <row r="41">
      <c r="A41" s="7">
        <f>IFERROR(__xludf.DUMMYFUNCTION("""COMPUTED_VALUE"""),45464.64583333333)</f>
        <v>45464.64583</v>
      </c>
      <c r="B41" s="6">
        <f>IFERROR(__xludf.DUMMYFUNCTION("""COMPUTED_VALUE"""),531.42)</f>
        <v>531.42</v>
      </c>
      <c r="C41" s="6">
        <f>IFERROR(__xludf.DUMMYFUNCTION("""COMPUTED_VALUE"""),554.15)</f>
        <v>554.15</v>
      </c>
      <c r="D41" s="6">
        <f>IFERROR(__xludf.DUMMYFUNCTION("""COMPUTED_VALUE"""),527.68)</f>
        <v>527.68</v>
      </c>
      <c r="E41" s="6">
        <f>IFERROR(__xludf.DUMMYFUNCTION("""COMPUTED_VALUE"""),542.88)</f>
        <v>542.88</v>
      </c>
      <c r="F41" s="6">
        <f>IFERROR(__xludf.DUMMYFUNCTION("""COMPUTED_VALUE"""),2.107504E7)</f>
        <v>21075040</v>
      </c>
    </row>
    <row r="42">
      <c r="A42" s="7">
        <f>IFERROR(__xludf.DUMMYFUNCTION("""COMPUTED_VALUE"""),45471.64583333333)</f>
        <v>45471.64583</v>
      </c>
      <c r="B42" s="6">
        <f>IFERROR(__xludf.DUMMYFUNCTION("""COMPUTED_VALUE"""),539.09)</f>
        <v>539.09</v>
      </c>
      <c r="C42" s="6">
        <f>IFERROR(__xludf.DUMMYFUNCTION("""COMPUTED_VALUE"""),555.11)</f>
        <v>555.11</v>
      </c>
      <c r="D42" s="6">
        <f>IFERROR(__xludf.DUMMYFUNCTION("""COMPUTED_VALUE"""),528.64)</f>
        <v>528.64</v>
      </c>
      <c r="E42" s="6">
        <f>IFERROR(__xludf.DUMMYFUNCTION("""COMPUTED_VALUE"""),547.58)</f>
        <v>547.58</v>
      </c>
      <c r="F42" s="6">
        <f>IFERROR(__xludf.DUMMYFUNCTION("""COMPUTED_VALUE"""),1.3073283E7)</f>
        <v>13073283</v>
      </c>
    </row>
    <row r="43">
      <c r="A43" s="7">
        <f>IFERROR(__xludf.DUMMYFUNCTION("""COMPUTED_VALUE"""),45478.64583333333)</f>
        <v>45478.64583</v>
      </c>
      <c r="B43" s="6">
        <f>IFERROR(__xludf.DUMMYFUNCTION("""COMPUTED_VALUE"""),546.82)</f>
        <v>546.82</v>
      </c>
      <c r="C43" s="6">
        <f>IFERROR(__xludf.DUMMYFUNCTION("""COMPUTED_VALUE"""),556.65)</f>
        <v>556.65</v>
      </c>
      <c r="D43" s="6">
        <f>IFERROR(__xludf.DUMMYFUNCTION("""COMPUTED_VALUE"""),539.0)</f>
        <v>539</v>
      </c>
      <c r="E43" s="6">
        <f>IFERROR(__xludf.DUMMYFUNCTION("""COMPUTED_VALUE"""),549.36)</f>
        <v>549.36</v>
      </c>
      <c r="F43" s="6">
        <f>IFERROR(__xludf.DUMMYFUNCTION("""COMPUTED_VALUE"""),9351502.0)</f>
        <v>9351502</v>
      </c>
    </row>
    <row r="44">
      <c r="A44" s="7">
        <f>IFERROR(__xludf.DUMMYFUNCTION("""COMPUTED_VALUE"""),45485.64583333333)</f>
        <v>45485.64583</v>
      </c>
      <c r="B44" s="6">
        <f>IFERROR(__xludf.DUMMYFUNCTION("""COMPUTED_VALUE"""),549.36)</f>
        <v>549.36</v>
      </c>
      <c r="C44" s="6">
        <f>IFERROR(__xludf.DUMMYFUNCTION("""COMPUTED_VALUE"""),551.37)</f>
        <v>551.37</v>
      </c>
      <c r="D44" s="6">
        <f>IFERROR(__xludf.DUMMYFUNCTION("""COMPUTED_VALUE"""),525.04)</f>
        <v>525.04</v>
      </c>
      <c r="E44" s="6">
        <f>IFERROR(__xludf.DUMMYFUNCTION("""COMPUTED_VALUE"""),540.68)</f>
        <v>540.68</v>
      </c>
      <c r="F44" s="6">
        <f>IFERROR(__xludf.DUMMYFUNCTION("""COMPUTED_VALUE"""),1.3678833E7)</f>
        <v>13678833</v>
      </c>
    </row>
    <row r="45">
      <c r="A45" s="7">
        <f>IFERROR(__xludf.DUMMYFUNCTION("""COMPUTED_VALUE"""),45492.64583333333)</f>
        <v>45492.64583</v>
      </c>
      <c r="B45" s="6">
        <f>IFERROR(__xludf.DUMMYFUNCTION("""COMPUTED_VALUE"""),542.93)</f>
        <v>542.93</v>
      </c>
      <c r="C45" s="6">
        <f>IFERROR(__xludf.DUMMYFUNCTION("""COMPUTED_VALUE"""),548.69)</f>
        <v>548.69</v>
      </c>
      <c r="D45" s="6">
        <f>IFERROR(__xludf.DUMMYFUNCTION("""COMPUTED_VALUE"""),519.19)</f>
        <v>519.19</v>
      </c>
      <c r="E45" s="6">
        <f>IFERROR(__xludf.DUMMYFUNCTION("""COMPUTED_VALUE"""),520.49)</f>
        <v>520.49</v>
      </c>
      <c r="F45" s="6">
        <f>IFERROR(__xludf.DUMMYFUNCTION("""COMPUTED_VALUE"""),6116065.0)</f>
        <v>6116065</v>
      </c>
    </row>
    <row r="46">
      <c r="A46" s="7">
        <f>IFERROR(__xludf.DUMMYFUNCTION("""COMPUTED_VALUE"""),45499.64583333333)</f>
        <v>45499.64583</v>
      </c>
      <c r="B46" s="6">
        <f>IFERROR(__xludf.DUMMYFUNCTION("""COMPUTED_VALUE"""),517.99)</f>
        <v>517.99</v>
      </c>
      <c r="C46" s="6">
        <f>IFERROR(__xludf.DUMMYFUNCTION("""COMPUTED_VALUE"""),535.45)</f>
        <v>535.45</v>
      </c>
      <c r="D46" s="6">
        <f>IFERROR(__xludf.DUMMYFUNCTION("""COMPUTED_VALUE"""),501.01)</f>
        <v>501.01</v>
      </c>
      <c r="E46" s="6">
        <f>IFERROR(__xludf.DUMMYFUNCTION("""COMPUTED_VALUE"""),521.97)</f>
        <v>521.97</v>
      </c>
      <c r="F46" s="6">
        <f>IFERROR(__xludf.DUMMYFUNCTION("""COMPUTED_VALUE"""),9979879.0)</f>
        <v>9979879</v>
      </c>
    </row>
    <row r="47">
      <c r="A47" s="7">
        <f>IFERROR(__xludf.DUMMYFUNCTION("""COMPUTED_VALUE"""),45506.64583333333)</f>
        <v>45506.64583</v>
      </c>
      <c r="B47" s="6">
        <f>IFERROR(__xludf.DUMMYFUNCTION("""COMPUTED_VALUE"""),525.71)</f>
        <v>525.71</v>
      </c>
      <c r="C47" s="6">
        <f>IFERROR(__xludf.DUMMYFUNCTION("""COMPUTED_VALUE"""),553.48)</f>
        <v>553.48</v>
      </c>
      <c r="D47" s="6">
        <f>IFERROR(__xludf.DUMMYFUNCTION("""COMPUTED_VALUE"""),509.79)</f>
        <v>509.79</v>
      </c>
      <c r="E47" s="6">
        <f>IFERROR(__xludf.DUMMYFUNCTION("""COMPUTED_VALUE"""),515.69)</f>
        <v>515.69</v>
      </c>
      <c r="F47" s="6">
        <f>IFERROR(__xludf.DUMMYFUNCTION("""COMPUTED_VALUE"""),1.7194493E7)</f>
        <v>17194493</v>
      </c>
    </row>
    <row r="48">
      <c r="A48" s="7">
        <f>IFERROR(__xludf.DUMMYFUNCTION("""COMPUTED_VALUE"""),45513.64583333333)</f>
        <v>45513.64583</v>
      </c>
      <c r="B48" s="6">
        <f>IFERROR(__xludf.DUMMYFUNCTION("""COMPUTED_VALUE"""),498.81)</f>
        <v>498.81</v>
      </c>
      <c r="C48" s="6">
        <f>IFERROR(__xludf.DUMMYFUNCTION("""COMPUTED_VALUE"""),539.09)</f>
        <v>539.09</v>
      </c>
      <c r="D48" s="6">
        <f>IFERROR(__xludf.DUMMYFUNCTION("""COMPUTED_VALUE"""),498.81)</f>
        <v>498.81</v>
      </c>
      <c r="E48" s="6">
        <f>IFERROR(__xludf.DUMMYFUNCTION("""COMPUTED_VALUE"""),532.0)</f>
        <v>532</v>
      </c>
      <c r="F48" s="6">
        <f>IFERROR(__xludf.DUMMYFUNCTION("""COMPUTED_VALUE"""),1.9488859E7)</f>
        <v>19488859</v>
      </c>
    </row>
    <row r="49">
      <c r="A49" s="7">
        <f>IFERROR(__xludf.DUMMYFUNCTION("""COMPUTED_VALUE"""),45520.64583333333)</f>
        <v>45520.64583</v>
      </c>
      <c r="B49" s="6">
        <f>IFERROR(__xludf.DUMMYFUNCTION("""COMPUTED_VALUE"""),529.98)</f>
        <v>529.98</v>
      </c>
      <c r="C49" s="6">
        <f>IFERROR(__xludf.DUMMYFUNCTION("""COMPUTED_VALUE"""),545.76)</f>
        <v>545.76</v>
      </c>
      <c r="D49" s="6">
        <f>IFERROR(__xludf.DUMMYFUNCTION("""COMPUTED_VALUE"""),517.61)</f>
        <v>517.61</v>
      </c>
      <c r="E49" s="6">
        <f>IFERROR(__xludf.DUMMYFUNCTION("""COMPUTED_VALUE"""),530.8)</f>
        <v>530.8</v>
      </c>
      <c r="F49" s="6">
        <f>IFERROR(__xludf.DUMMYFUNCTION("""COMPUTED_VALUE"""),7560170.0)</f>
        <v>7560170</v>
      </c>
    </row>
    <row r="50">
      <c r="A50" s="7">
        <f>IFERROR(__xludf.DUMMYFUNCTION("""COMPUTED_VALUE"""),45527.64583333333)</f>
        <v>45527.64583</v>
      </c>
      <c r="B50" s="6">
        <f>IFERROR(__xludf.DUMMYFUNCTION("""COMPUTED_VALUE"""),530.46)</f>
        <v>530.46</v>
      </c>
      <c r="C50" s="6">
        <f>IFERROR(__xludf.DUMMYFUNCTION("""COMPUTED_VALUE"""),563.94)</f>
        <v>563.94</v>
      </c>
      <c r="D50" s="6">
        <f>IFERROR(__xludf.DUMMYFUNCTION("""COMPUTED_VALUE"""),529.17)</f>
        <v>529.17</v>
      </c>
      <c r="E50" s="6">
        <f>IFERROR(__xludf.DUMMYFUNCTION("""COMPUTED_VALUE"""),550.32)</f>
        <v>550.32</v>
      </c>
      <c r="F50" s="6">
        <f>IFERROR(__xludf.DUMMYFUNCTION("""COMPUTED_VALUE"""),1.4146273E7)</f>
        <v>14146273</v>
      </c>
    </row>
    <row r="51">
      <c r="A51" s="7">
        <f>IFERROR(__xludf.DUMMYFUNCTION("""COMPUTED_VALUE"""),45534.64583333333)</f>
        <v>45534.64583</v>
      </c>
      <c r="B51" s="6">
        <f>IFERROR(__xludf.DUMMYFUNCTION("""COMPUTED_VALUE"""),555.31)</f>
        <v>555.31</v>
      </c>
      <c r="C51" s="6">
        <f>IFERROR(__xludf.DUMMYFUNCTION("""COMPUTED_VALUE"""),579.38)</f>
        <v>579.38</v>
      </c>
      <c r="D51" s="6">
        <f>IFERROR(__xludf.DUMMYFUNCTION("""COMPUTED_VALUE"""),547.73)</f>
        <v>547.73</v>
      </c>
      <c r="E51" s="6">
        <f>IFERROR(__xludf.DUMMYFUNCTION("""COMPUTED_VALUE"""),573.96)</f>
        <v>573.96</v>
      </c>
      <c r="F51" s="6">
        <f>IFERROR(__xludf.DUMMYFUNCTION("""COMPUTED_VALUE"""),1.4505612E7)</f>
        <v>14505612</v>
      </c>
    </row>
    <row r="52">
      <c r="A52" s="7">
        <f>IFERROR(__xludf.DUMMYFUNCTION("""COMPUTED_VALUE"""),45541.64583333333)</f>
        <v>45541.64583</v>
      </c>
      <c r="B52" s="6">
        <f>IFERROR(__xludf.DUMMYFUNCTION("""COMPUTED_VALUE"""),577.46)</f>
        <v>577.46</v>
      </c>
      <c r="C52" s="6">
        <f>IFERROR(__xludf.DUMMYFUNCTION("""COMPUTED_VALUE"""),598.28)</f>
        <v>598.28</v>
      </c>
      <c r="D52" s="6">
        <f>IFERROR(__xludf.DUMMYFUNCTION("""COMPUTED_VALUE"""),568.83)</f>
        <v>568.83</v>
      </c>
      <c r="E52" s="6">
        <f>IFERROR(__xludf.DUMMYFUNCTION("""COMPUTED_VALUE"""),584.95)</f>
        <v>584.95</v>
      </c>
      <c r="F52" s="6">
        <f>IFERROR(__xludf.DUMMYFUNCTION("""COMPUTED_VALUE"""),1.5929617E7)</f>
        <v>15929617</v>
      </c>
    </row>
    <row r="53">
      <c r="A53" s="7">
        <f>IFERROR(__xludf.DUMMYFUNCTION("""COMPUTED_VALUE"""),45548.64583333333)</f>
        <v>45548.64583</v>
      </c>
      <c r="B53" s="6">
        <f>IFERROR(__xludf.DUMMYFUNCTION("""COMPUTED_VALUE"""),581.3)</f>
        <v>581.3</v>
      </c>
      <c r="C53" s="6">
        <f>IFERROR(__xludf.DUMMYFUNCTION("""COMPUTED_VALUE"""),594.73)</f>
        <v>594.73</v>
      </c>
      <c r="D53" s="6">
        <f>IFERROR(__xludf.DUMMYFUNCTION("""COMPUTED_VALUE"""),576.6)</f>
        <v>576.6</v>
      </c>
      <c r="E53" s="6">
        <f>IFERROR(__xludf.DUMMYFUNCTION("""COMPUTED_VALUE"""),586.48)</f>
        <v>586.48</v>
      </c>
      <c r="F53" s="6">
        <f>IFERROR(__xludf.DUMMYFUNCTION("""COMPUTED_VALUE"""),8338862.0)</f>
        <v>8338862</v>
      </c>
    </row>
    <row r="54">
      <c r="A54" s="7">
        <f>IFERROR(__xludf.DUMMYFUNCTION("""COMPUTED_VALUE"""),45555.64583333333)</f>
        <v>45555.64583</v>
      </c>
      <c r="B54" s="6">
        <f>IFERROR(__xludf.DUMMYFUNCTION("""COMPUTED_VALUE"""),589.84)</f>
        <v>589.84</v>
      </c>
      <c r="C54" s="6">
        <f>IFERROR(__xludf.DUMMYFUNCTION("""COMPUTED_VALUE"""),590.7)</f>
        <v>590.7</v>
      </c>
      <c r="D54" s="6">
        <f>IFERROR(__xludf.DUMMYFUNCTION("""COMPUTED_VALUE"""),558.81)</f>
        <v>558.81</v>
      </c>
      <c r="E54" s="6">
        <f>IFERROR(__xludf.DUMMYFUNCTION("""COMPUTED_VALUE"""),563.17)</f>
        <v>563.17</v>
      </c>
      <c r="F54" s="6">
        <f>IFERROR(__xludf.DUMMYFUNCTION("""COMPUTED_VALUE"""),1.2519868E7)</f>
        <v>12519868</v>
      </c>
    </row>
    <row r="55">
      <c r="A55" s="7">
        <f>IFERROR(__xludf.DUMMYFUNCTION("""COMPUTED_VALUE"""),45562.64583333333)</f>
        <v>45562.64583</v>
      </c>
      <c r="B55" s="6">
        <f>IFERROR(__xludf.DUMMYFUNCTION("""COMPUTED_VALUE"""),565.38)</f>
        <v>565.38</v>
      </c>
      <c r="C55" s="6">
        <f>IFERROR(__xludf.DUMMYFUNCTION("""COMPUTED_VALUE"""),591.37)</f>
        <v>591.37</v>
      </c>
      <c r="D55" s="6">
        <f>IFERROR(__xludf.DUMMYFUNCTION("""COMPUTED_VALUE"""),560.25)</f>
        <v>560.25</v>
      </c>
      <c r="E55" s="6">
        <f>IFERROR(__xludf.DUMMYFUNCTION("""COMPUTED_VALUE"""),585.76)</f>
        <v>585.76</v>
      </c>
      <c r="F55" s="6">
        <f>IFERROR(__xludf.DUMMYFUNCTION("""COMPUTED_VALUE"""),1.0443755E7)</f>
        <v>10443755</v>
      </c>
    </row>
    <row r="56">
      <c r="A56" s="7">
        <f>IFERROR(__xludf.DUMMYFUNCTION("""COMPUTED_VALUE"""),45569.64583333333)</f>
        <v>45569.64583</v>
      </c>
      <c r="B56" s="6">
        <f>IFERROR(__xludf.DUMMYFUNCTION("""COMPUTED_VALUE"""),585.76)</f>
        <v>585.76</v>
      </c>
      <c r="C56" s="6">
        <f>IFERROR(__xludf.DUMMYFUNCTION("""COMPUTED_VALUE"""),599.53)</f>
        <v>599.53</v>
      </c>
      <c r="D56" s="6">
        <f>IFERROR(__xludf.DUMMYFUNCTION("""COMPUTED_VALUE"""),572.28)</f>
        <v>572.28</v>
      </c>
      <c r="E56" s="6">
        <f>IFERROR(__xludf.DUMMYFUNCTION("""COMPUTED_VALUE"""),574.87)</f>
        <v>574.87</v>
      </c>
      <c r="F56" s="6">
        <f>IFERROR(__xludf.DUMMYFUNCTION("""COMPUTED_VALUE"""),7966699.0)</f>
        <v>7966699</v>
      </c>
    </row>
    <row r="57">
      <c r="A57" s="7">
        <f>IFERROR(__xludf.DUMMYFUNCTION("""COMPUTED_VALUE"""),45576.64583333333)</f>
        <v>45576.64583</v>
      </c>
      <c r="B57" s="6">
        <f>IFERROR(__xludf.DUMMYFUNCTION("""COMPUTED_VALUE"""),577.85)</f>
        <v>577.85</v>
      </c>
      <c r="C57" s="6">
        <f>IFERROR(__xludf.DUMMYFUNCTION("""COMPUTED_VALUE"""),580.82)</f>
        <v>580.82</v>
      </c>
      <c r="D57" s="6">
        <f>IFERROR(__xludf.DUMMYFUNCTION("""COMPUTED_VALUE"""),549.98)</f>
        <v>549.98</v>
      </c>
      <c r="E57" s="6">
        <f>IFERROR(__xludf.DUMMYFUNCTION("""COMPUTED_VALUE"""),559.29)</f>
        <v>559.29</v>
      </c>
      <c r="F57" s="6">
        <f>IFERROR(__xludf.DUMMYFUNCTION("""COMPUTED_VALUE"""),9257982.0)</f>
        <v>9257982</v>
      </c>
    </row>
    <row r="58">
      <c r="A58" s="7">
        <f>IFERROR(__xludf.DUMMYFUNCTION("""COMPUTED_VALUE"""),45583.64583333333)</f>
        <v>45583.64583</v>
      </c>
      <c r="B58" s="6">
        <f>IFERROR(__xludf.DUMMYFUNCTION("""COMPUTED_VALUE"""),561.16)</f>
        <v>561.16</v>
      </c>
      <c r="C58" s="6">
        <f>IFERROR(__xludf.DUMMYFUNCTION("""COMPUTED_VALUE"""),562.98)</f>
        <v>562.98</v>
      </c>
      <c r="D58" s="6">
        <f>IFERROR(__xludf.DUMMYFUNCTION("""COMPUTED_VALUE"""),520.49)</f>
        <v>520.49</v>
      </c>
      <c r="E58" s="6">
        <f>IFERROR(__xludf.DUMMYFUNCTION("""COMPUTED_VALUE"""),532.62)</f>
        <v>532.62</v>
      </c>
      <c r="F58" s="6">
        <f>IFERROR(__xludf.DUMMYFUNCTION("""COMPUTED_VALUE"""),7202885.0)</f>
        <v>7202885</v>
      </c>
    </row>
    <row r="59">
      <c r="A59" s="7">
        <f>IFERROR(__xludf.DUMMYFUNCTION("""COMPUTED_VALUE"""),45590.64583333333)</f>
        <v>45590.64583</v>
      </c>
      <c r="B59" s="6">
        <f>IFERROR(__xludf.DUMMYFUNCTION("""COMPUTED_VALUE"""),534.35)</f>
        <v>534.35</v>
      </c>
      <c r="C59" s="6">
        <f>IFERROR(__xludf.DUMMYFUNCTION("""COMPUTED_VALUE"""),540.39)</f>
        <v>540.39</v>
      </c>
      <c r="D59" s="6">
        <f>IFERROR(__xludf.DUMMYFUNCTION("""COMPUTED_VALUE"""),496.36)</f>
        <v>496.36</v>
      </c>
      <c r="E59" s="6">
        <f>IFERROR(__xludf.DUMMYFUNCTION("""COMPUTED_VALUE"""),500.68)</f>
        <v>500.68</v>
      </c>
      <c r="F59" s="6">
        <f>IFERROR(__xludf.DUMMYFUNCTION("""COMPUTED_VALUE"""),9401516.0)</f>
        <v>9401516</v>
      </c>
    </row>
    <row r="60">
      <c r="A60" s="7">
        <f>IFERROR(__xludf.DUMMYFUNCTION("""COMPUTED_VALUE"""),45604.64583333333)</f>
        <v>45604.64583</v>
      </c>
      <c r="B60" s="6">
        <f>IFERROR(__xludf.DUMMYFUNCTION("""COMPUTED_VALUE"""),532.48)</f>
        <v>532.48</v>
      </c>
      <c r="C60" s="6">
        <f>IFERROR(__xludf.DUMMYFUNCTION("""COMPUTED_VALUE"""),552.0)</f>
        <v>552</v>
      </c>
      <c r="D60" s="6">
        <f>IFERROR(__xludf.DUMMYFUNCTION("""COMPUTED_VALUE"""),517.8)</f>
        <v>517.8</v>
      </c>
      <c r="E60" s="6">
        <f>IFERROR(__xludf.DUMMYFUNCTION("""COMPUTED_VALUE"""),534.87)</f>
        <v>534.87</v>
      </c>
      <c r="F60" s="6">
        <f>IFERROR(__xludf.DUMMYFUNCTION("""COMPUTED_VALUE"""),5303574.0)</f>
        <v>5303574</v>
      </c>
    </row>
    <row r="61">
      <c r="A61" s="7">
        <f>IFERROR(__xludf.DUMMYFUNCTION("""COMPUTED_VALUE"""),45610.64583333333)</f>
        <v>45610.64583</v>
      </c>
      <c r="B61" s="6">
        <f>IFERROR(__xludf.DUMMYFUNCTION("""COMPUTED_VALUE"""),530.61)</f>
        <v>530.61</v>
      </c>
      <c r="C61" s="6">
        <f>IFERROR(__xludf.DUMMYFUNCTION("""COMPUTED_VALUE"""),530.65)</f>
        <v>530.65</v>
      </c>
      <c r="D61" s="6">
        <f>IFERROR(__xludf.DUMMYFUNCTION("""COMPUTED_VALUE"""),483.75)</f>
        <v>483.75</v>
      </c>
      <c r="E61" s="6">
        <f>IFERROR(__xludf.DUMMYFUNCTION("""COMPUTED_VALUE"""),504.37)</f>
        <v>504.37</v>
      </c>
      <c r="F61" s="6">
        <f>IFERROR(__xludf.DUMMYFUNCTION("""COMPUTED_VALUE"""),2.650701E7)</f>
        <v>26507010</v>
      </c>
    </row>
    <row r="62">
      <c r="A62" s="7">
        <f>IFERROR(__xludf.DUMMYFUNCTION("""COMPUTED_VALUE"""),45618.64583333333)</f>
        <v>45618.64583</v>
      </c>
      <c r="B62" s="6">
        <f>IFERROR(__xludf.DUMMYFUNCTION("""COMPUTED_VALUE"""),506.96)</f>
        <v>506.96</v>
      </c>
      <c r="C62" s="6">
        <f>IFERROR(__xludf.DUMMYFUNCTION("""COMPUTED_VALUE"""),546.72)</f>
        <v>546.72</v>
      </c>
      <c r="D62" s="6">
        <f>IFERROR(__xludf.DUMMYFUNCTION("""COMPUTED_VALUE"""),493.67)</f>
        <v>493.67</v>
      </c>
      <c r="E62" s="6">
        <f>IFERROR(__xludf.DUMMYFUNCTION("""COMPUTED_VALUE"""),543.32)</f>
        <v>543.32</v>
      </c>
      <c r="F62" s="6">
        <f>IFERROR(__xludf.DUMMYFUNCTION("""COMPUTED_VALUE"""),1.9381064E7)</f>
        <v>19381064</v>
      </c>
    </row>
    <row r="63">
      <c r="A63" s="7">
        <f>IFERROR(__xludf.DUMMYFUNCTION("""COMPUTED_VALUE"""),45625.64583333333)</f>
        <v>45625.64583</v>
      </c>
      <c r="B63" s="6">
        <f>IFERROR(__xludf.DUMMYFUNCTION("""COMPUTED_VALUE"""),546.77)</f>
        <v>546.77</v>
      </c>
      <c r="C63" s="6">
        <f>IFERROR(__xludf.DUMMYFUNCTION("""COMPUTED_VALUE"""),558.75)</f>
        <v>558.75</v>
      </c>
      <c r="D63" s="6">
        <f>IFERROR(__xludf.DUMMYFUNCTION("""COMPUTED_VALUE"""),538.25)</f>
        <v>538.25</v>
      </c>
      <c r="E63" s="6">
        <f>IFERROR(__xludf.DUMMYFUNCTION("""COMPUTED_VALUE"""),545.0)</f>
        <v>545</v>
      </c>
      <c r="F63" s="6">
        <f>IFERROR(__xludf.DUMMYFUNCTION("""COMPUTED_VALUE"""),1.3437157E7)</f>
        <v>13437157</v>
      </c>
    </row>
    <row r="64">
      <c r="A64" s="7">
        <f>IFERROR(__xludf.DUMMYFUNCTION("""COMPUTED_VALUE"""),45632.64583333333)</f>
        <v>45632.64583</v>
      </c>
      <c r="B64" s="6">
        <f>IFERROR(__xludf.DUMMYFUNCTION("""COMPUTED_VALUE"""),546.9)</f>
        <v>546.9</v>
      </c>
      <c r="C64" s="6">
        <f>IFERROR(__xludf.DUMMYFUNCTION("""COMPUTED_VALUE"""),572.7)</f>
        <v>572.7</v>
      </c>
      <c r="D64" s="6">
        <f>IFERROR(__xludf.DUMMYFUNCTION("""COMPUTED_VALUE"""),540.55)</f>
        <v>540.55</v>
      </c>
      <c r="E64" s="6">
        <f>IFERROR(__xludf.DUMMYFUNCTION("""COMPUTED_VALUE"""),562.65)</f>
        <v>562.65</v>
      </c>
      <c r="F64" s="6">
        <f>IFERROR(__xludf.DUMMYFUNCTION("""COMPUTED_VALUE"""),1.0957044E7)</f>
        <v>10957044</v>
      </c>
    </row>
    <row r="65">
      <c r="A65" s="7">
        <f>IFERROR(__xludf.DUMMYFUNCTION("""COMPUTED_VALUE"""),45639.64583333333)</f>
        <v>45639.64583</v>
      </c>
      <c r="B65" s="6">
        <f>IFERROR(__xludf.DUMMYFUNCTION("""COMPUTED_VALUE"""),559.8)</f>
        <v>559.8</v>
      </c>
      <c r="C65" s="6">
        <f>IFERROR(__xludf.DUMMYFUNCTION("""COMPUTED_VALUE"""),566.7)</f>
        <v>566.7</v>
      </c>
      <c r="D65" s="6">
        <f>IFERROR(__xludf.DUMMYFUNCTION("""COMPUTED_VALUE"""),535.7)</f>
        <v>535.7</v>
      </c>
      <c r="E65" s="6">
        <f>IFERROR(__xludf.DUMMYFUNCTION("""COMPUTED_VALUE"""),550.25)</f>
        <v>550.25</v>
      </c>
      <c r="F65" s="6">
        <f>IFERROR(__xludf.DUMMYFUNCTION("""COMPUTED_VALUE"""),1.5030215E7)</f>
        <v>15030215</v>
      </c>
    </row>
    <row r="66">
      <c r="A66" s="7">
        <f>IFERROR(__xludf.DUMMYFUNCTION("""COMPUTED_VALUE"""),45646.64583333333)</f>
        <v>45646.64583</v>
      </c>
      <c r="B66" s="6">
        <f>IFERROR(__xludf.DUMMYFUNCTION("""COMPUTED_VALUE"""),549.8)</f>
        <v>549.8</v>
      </c>
      <c r="C66" s="6">
        <f>IFERROR(__xludf.DUMMYFUNCTION("""COMPUTED_VALUE"""),552.0)</f>
        <v>552</v>
      </c>
      <c r="D66" s="6">
        <f>IFERROR(__xludf.DUMMYFUNCTION("""COMPUTED_VALUE"""),501.5)</f>
        <v>501.5</v>
      </c>
      <c r="E66" s="6">
        <f>IFERROR(__xludf.DUMMYFUNCTION("""COMPUTED_VALUE"""),504.5)</f>
        <v>504.5</v>
      </c>
      <c r="F66" s="6">
        <f>IFERROR(__xludf.DUMMYFUNCTION("""COMPUTED_VALUE"""),8095363.0)</f>
        <v>8095363</v>
      </c>
    </row>
    <row r="67">
      <c r="A67" s="7">
        <f>IFERROR(__xludf.DUMMYFUNCTION("""COMPUTED_VALUE"""),45653.64583333333)</f>
        <v>45653.64583</v>
      </c>
      <c r="B67" s="6">
        <f>IFERROR(__xludf.DUMMYFUNCTION("""COMPUTED_VALUE"""),505.55)</f>
        <v>505.55</v>
      </c>
      <c r="C67" s="6">
        <f>IFERROR(__xludf.DUMMYFUNCTION("""COMPUTED_VALUE"""),519.65)</f>
        <v>519.65</v>
      </c>
      <c r="D67" s="6">
        <f>IFERROR(__xludf.DUMMYFUNCTION("""COMPUTED_VALUE"""),495.85)</f>
        <v>495.85</v>
      </c>
      <c r="E67" s="6">
        <f>IFERROR(__xludf.DUMMYFUNCTION("""COMPUTED_VALUE"""),502.05)</f>
        <v>502.05</v>
      </c>
      <c r="F67" s="6">
        <f>IFERROR(__xludf.DUMMYFUNCTION("""COMPUTED_VALUE"""),5225428.0)</f>
        <v>5225428</v>
      </c>
    </row>
    <row r="68">
      <c r="A68" s="7">
        <f>IFERROR(__xludf.DUMMYFUNCTION("""COMPUTED_VALUE"""),45660.64583333333)</f>
        <v>45660.64583</v>
      </c>
      <c r="B68" s="6">
        <f>IFERROR(__xludf.DUMMYFUNCTION("""COMPUTED_VALUE"""),502.0)</f>
        <v>502</v>
      </c>
      <c r="C68" s="6">
        <f>IFERROR(__xludf.DUMMYFUNCTION("""COMPUTED_VALUE"""),533.25)</f>
        <v>533.25</v>
      </c>
      <c r="D68" s="6">
        <f>IFERROR(__xludf.DUMMYFUNCTION("""COMPUTED_VALUE"""),493.0)</f>
        <v>493</v>
      </c>
      <c r="E68" s="6">
        <f>IFERROR(__xludf.DUMMYFUNCTION("""COMPUTED_VALUE"""),529.55)</f>
        <v>529.55</v>
      </c>
      <c r="F68" s="6">
        <f>IFERROR(__xludf.DUMMYFUNCTION("""COMPUTED_VALUE"""),8266631.0)</f>
        <v>8266631</v>
      </c>
    </row>
    <row r="69">
      <c r="A69" s="7">
        <f>IFERROR(__xludf.DUMMYFUNCTION("""COMPUTED_VALUE"""),45667.64583333333)</f>
        <v>45667.64583</v>
      </c>
      <c r="B69" s="6">
        <f>IFERROR(__xludf.DUMMYFUNCTION("""COMPUTED_VALUE"""),525.0)</f>
        <v>525</v>
      </c>
      <c r="C69" s="6">
        <f>IFERROR(__xludf.DUMMYFUNCTION("""COMPUTED_VALUE"""),555.75)</f>
        <v>555.75</v>
      </c>
      <c r="D69" s="6">
        <f>IFERROR(__xludf.DUMMYFUNCTION("""COMPUTED_VALUE"""),516.1)</f>
        <v>516.1</v>
      </c>
      <c r="E69" s="6">
        <f>IFERROR(__xludf.DUMMYFUNCTION("""COMPUTED_VALUE"""),548.85)</f>
        <v>548.85</v>
      </c>
      <c r="F69" s="6">
        <f>IFERROR(__xludf.DUMMYFUNCTION("""COMPUTED_VALUE"""),1.3388052E7)</f>
        <v>13388052</v>
      </c>
    </row>
    <row r="70">
      <c r="A70" s="7">
        <f>IFERROR(__xludf.DUMMYFUNCTION("""COMPUTED_VALUE"""),45674.64583333333)</f>
        <v>45674.64583</v>
      </c>
      <c r="B70" s="6">
        <f>IFERROR(__xludf.DUMMYFUNCTION("""COMPUTED_VALUE"""),546.25)</f>
        <v>546.25</v>
      </c>
      <c r="C70" s="6">
        <f>IFERROR(__xludf.DUMMYFUNCTION("""COMPUTED_VALUE"""),557.65)</f>
        <v>557.65</v>
      </c>
      <c r="D70" s="6">
        <f>IFERROR(__xludf.DUMMYFUNCTION("""COMPUTED_VALUE"""),530.95)</f>
        <v>530.95</v>
      </c>
      <c r="E70" s="6">
        <f>IFERROR(__xludf.DUMMYFUNCTION("""COMPUTED_VALUE"""),551.7)</f>
        <v>551.7</v>
      </c>
      <c r="F70" s="6">
        <f>IFERROR(__xludf.DUMMYFUNCTION("""COMPUTED_VALUE"""),6778710.0)</f>
        <v>6778710</v>
      </c>
    </row>
    <row r="71">
      <c r="A71" s="7">
        <f>IFERROR(__xludf.DUMMYFUNCTION("""COMPUTED_VALUE"""),45681.64583333333)</f>
        <v>45681.64583</v>
      </c>
      <c r="B71" s="6">
        <f>IFERROR(__xludf.DUMMYFUNCTION("""COMPUTED_VALUE"""),551.7)</f>
        <v>551.7</v>
      </c>
      <c r="C71" s="6">
        <f>IFERROR(__xludf.DUMMYFUNCTION("""COMPUTED_VALUE"""),560.45)</f>
        <v>560.45</v>
      </c>
      <c r="D71" s="6">
        <f>IFERROR(__xludf.DUMMYFUNCTION("""COMPUTED_VALUE"""),531.6)</f>
        <v>531.6</v>
      </c>
      <c r="E71" s="6">
        <f>IFERROR(__xludf.DUMMYFUNCTION("""COMPUTED_VALUE"""),552.0)</f>
        <v>552</v>
      </c>
      <c r="F71" s="6">
        <f>IFERROR(__xludf.DUMMYFUNCTION("""COMPUTED_VALUE"""),6781571.0)</f>
        <v>6781571</v>
      </c>
    </row>
    <row r="72">
      <c r="A72" s="7">
        <f>IFERROR(__xludf.DUMMYFUNCTION("""COMPUTED_VALUE"""),45695.64583333333)</f>
        <v>45695.64583</v>
      </c>
      <c r="B72" s="6">
        <f>IFERROR(__xludf.DUMMYFUNCTION("""COMPUTED_VALUE"""),610.0)</f>
        <v>610</v>
      </c>
      <c r="C72" s="6">
        <f>IFERROR(__xludf.DUMMYFUNCTION("""COMPUTED_VALUE"""),649.45)</f>
        <v>649.45</v>
      </c>
      <c r="D72" s="6">
        <f>IFERROR(__xludf.DUMMYFUNCTION("""COMPUTED_VALUE"""),607.55)</f>
        <v>607.55</v>
      </c>
      <c r="E72" s="6">
        <f>IFERROR(__xludf.DUMMYFUNCTION("""COMPUTED_VALUE"""),641.35)</f>
        <v>641.35</v>
      </c>
      <c r="F72" s="6">
        <f>IFERROR(__xludf.DUMMYFUNCTION("""COMPUTED_VALUE"""),2.5853238E7)</f>
        <v>25853238</v>
      </c>
    </row>
    <row r="73">
      <c r="A73" s="7">
        <f>IFERROR(__xludf.DUMMYFUNCTION("""COMPUTED_VALUE"""),45702.64583333333)</f>
        <v>45702.64583</v>
      </c>
      <c r="B73" s="6">
        <f>IFERROR(__xludf.DUMMYFUNCTION("""COMPUTED_VALUE"""),641.25)</f>
        <v>641.25</v>
      </c>
      <c r="C73" s="6">
        <f>IFERROR(__xludf.DUMMYFUNCTION("""COMPUTED_VALUE"""),643.0)</f>
        <v>643</v>
      </c>
      <c r="D73" s="6">
        <f>IFERROR(__xludf.DUMMYFUNCTION("""COMPUTED_VALUE"""),594.45)</f>
        <v>594.45</v>
      </c>
      <c r="E73" s="6">
        <f>IFERROR(__xludf.DUMMYFUNCTION("""COMPUTED_VALUE"""),618.35)</f>
        <v>618.35</v>
      </c>
      <c r="F73" s="6">
        <f>IFERROR(__xludf.DUMMYFUNCTION("""COMPUTED_VALUE"""),1.3699786E7)</f>
        <v>13699786</v>
      </c>
    </row>
    <row r="74">
      <c r="A74" s="7">
        <f>IFERROR(__xludf.DUMMYFUNCTION("""COMPUTED_VALUE"""),45709.64583333333)</f>
        <v>45709.64583</v>
      </c>
      <c r="B74" s="6">
        <f>IFERROR(__xludf.DUMMYFUNCTION("""COMPUTED_VALUE"""),618.2)</f>
        <v>618.2</v>
      </c>
      <c r="C74" s="6">
        <f>IFERROR(__xludf.DUMMYFUNCTION("""COMPUTED_VALUE"""),658.25)</f>
        <v>658.25</v>
      </c>
      <c r="D74" s="6">
        <f>IFERROR(__xludf.DUMMYFUNCTION("""COMPUTED_VALUE"""),609.9)</f>
        <v>609.9</v>
      </c>
      <c r="E74" s="6">
        <f>IFERROR(__xludf.DUMMYFUNCTION("""COMPUTED_VALUE"""),646.35)</f>
        <v>646.35</v>
      </c>
      <c r="F74" s="6">
        <f>IFERROR(__xludf.DUMMYFUNCTION("""COMPUTED_VALUE"""),9162267.0)</f>
        <v>9162267</v>
      </c>
    </row>
    <row r="75">
      <c r="A75" s="7">
        <f>IFERROR(__xludf.DUMMYFUNCTION("""COMPUTED_VALUE"""),45716.64583333333)</f>
        <v>45716.64583</v>
      </c>
      <c r="B75" s="6">
        <f>IFERROR(__xludf.DUMMYFUNCTION("""COMPUTED_VALUE"""),643.75)</f>
        <v>643.75</v>
      </c>
      <c r="C75" s="6">
        <f>IFERROR(__xludf.DUMMYFUNCTION("""COMPUTED_VALUE"""),657.3)</f>
        <v>657.3</v>
      </c>
      <c r="D75" s="6">
        <f>IFERROR(__xludf.DUMMYFUNCTION("""COMPUTED_VALUE"""),619.5)</f>
        <v>619.5</v>
      </c>
      <c r="E75" s="6">
        <f>IFERROR(__xludf.DUMMYFUNCTION("""COMPUTED_VALUE"""),632.95)</f>
        <v>632.95</v>
      </c>
      <c r="F75" s="6">
        <f>IFERROR(__xludf.DUMMYFUNCTION("""COMPUTED_VALUE"""),1.0268102E7)</f>
        <v>10268102</v>
      </c>
    </row>
    <row r="76">
      <c r="A76" s="7">
        <f>IFERROR(__xludf.DUMMYFUNCTION("""COMPUTED_VALUE"""),45723.64583333333)</f>
        <v>45723.64583</v>
      </c>
      <c r="B76" s="6">
        <f>IFERROR(__xludf.DUMMYFUNCTION("""COMPUTED_VALUE"""),628.1)</f>
        <v>628.1</v>
      </c>
      <c r="C76" s="6">
        <f>IFERROR(__xludf.DUMMYFUNCTION("""COMPUTED_VALUE"""),642.7)</f>
        <v>642.7</v>
      </c>
      <c r="D76" s="6">
        <f>IFERROR(__xludf.DUMMYFUNCTION("""COMPUTED_VALUE"""),607.0)</f>
        <v>607</v>
      </c>
      <c r="E76" s="6">
        <f>IFERROR(__xludf.DUMMYFUNCTION("""COMPUTED_VALUE"""),629.85)</f>
        <v>629.85</v>
      </c>
      <c r="F76" s="6">
        <f>IFERROR(__xludf.DUMMYFUNCTION("""COMPUTED_VALUE"""),1.0889558E7)</f>
        <v>10889558</v>
      </c>
    </row>
    <row r="77">
      <c r="A77" s="7">
        <f>IFERROR(__xludf.DUMMYFUNCTION("""COMPUTED_VALUE"""),45729.64583333333)</f>
        <v>45729.64583</v>
      </c>
      <c r="B77" s="6">
        <f>IFERROR(__xludf.DUMMYFUNCTION("""COMPUTED_VALUE"""),631.45)</f>
        <v>631.45</v>
      </c>
      <c r="C77" s="6">
        <f>IFERROR(__xludf.DUMMYFUNCTION("""COMPUTED_VALUE"""),637.0)</f>
        <v>637</v>
      </c>
      <c r="D77" s="6">
        <f>IFERROR(__xludf.DUMMYFUNCTION("""COMPUTED_VALUE"""),599.95)</f>
        <v>599.95</v>
      </c>
      <c r="E77" s="6">
        <f>IFERROR(__xludf.DUMMYFUNCTION("""COMPUTED_VALUE"""),601.45)</f>
        <v>601.45</v>
      </c>
      <c r="F77" s="6">
        <f>IFERROR(__xludf.DUMMYFUNCTION("""COMPUTED_VALUE"""),6283814.0)</f>
        <v>6283814</v>
      </c>
    </row>
    <row r="78">
      <c r="A78" s="7">
        <f>IFERROR(__xludf.DUMMYFUNCTION("""COMPUTED_VALUE"""),45737.64583333333)</f>
        <v>45737.64583</v>
      </c>
      <c r="B78" s="6">
        <f>IFERROR(__xludf.DUMMYFUNCTION("""COMPUTED_VALUE"""),630.0)</f>
        <v>630</v>
      </c>
      <c r="C78" s="6">
        <f>IFERROR(__xludf.DUMMYFUNCTION("""COMPUTED_VALUE"""),671.3)</f>
        <v>671.3</v>
      </c>
      <c r="D78" s="6">
        <f>IFERROR(__xludf.DUMMYFUNCTION("""COMPUTED_VALUE"""),623.15)</f>
        <v>623.15</v>
      </c>
      <c r="E78" s="6">
        <f>IFERROR(__xludf.DUMMYFUNCTION("""COMPUTED_VALUE"""),658.85)</f>
        <v>658.85</v>
      </c>
      <c r="F78" s="6">
        <f>IFERROR(__xludf.DUMMYFUNCTION("""COMPUTED_VALUE"""),1.0169147E7)</f>
        <v>10169147</v>
      </c>
    </row>
    <row r="79">
      <c r="A79" s="7">
        <f>IFERROR(__xludf.DUMMYFUNCTION("""COMPUTED_VALUE"""),45744.64583333333)</f>
        <v>45744.64583</v>
      </c>
      <c r="B79" s="6">
        <f>IFERROR(__xludf.DUMMYFUNCTION("""COMPUTED_VALUE"""),667.95)</f>
        <v>667.95</v>
      </c>
      <c r="C79" s="6">
        <f>IFERROR(__xludf.DUMMYFUNCTION("""COMPUTED_VALUE"""),668.8)</f>
        <v>668.8</v>
      </c>
      <c r="D79" s="6">
        <f>IFERROR(__xludf.DUMMYFUNCTION("""COMPUTED_VALUE"""),624.0)</f>
        <v>624</v>
      </c>
      <c r="E79" s="6">
        <f>IFERROR(__xludf.DUMMYFUNCTION("""COMPUTED_VALUE"""),636.25)</f>
        <v>636.25</v>
      </c>
      <c r="F79" s="6">
        <f>IFERROR(__xludf.DUMMYFUNCTION("""COMPUTED_VALUE"""),1.225598E7)</f>
        <v>12255980</v>
      </c>
    </row>
    <row r="80">
      <c r="A80" s="7">
        <f>IFERROR(__xludf.DUMMYFUNCTION("""COMPUTED_VALUE"""),45751.64583333333)</f>
        <v>45751.64583</v>
      </c>
      <c r="B80" s="6">
        <f>IFERROR(__xludf.DUMMYFUNCTION("""COMPUTED_VALUE"""),621.3)</f>
        <v>621.3</v>
      </c>
      <c r="C80" s="6">
        <f>IFERROR(__xludf.DUMMYFUNCTION("""COMPUTED_VALUE"""),656.1)</f>
        <v>656.1</v>
      </c>
      <c r="D80" s="6">
        <f>IFERROR(__xludf.DUMMYFUNCTION("""COMPUTED_VALUE"""),621.3)</f>
        <v>621.3</v>
      </c>
      <c r="E80" s="6">
        <f>IFERROR(__xludf.DUMMYFUNCTION("""COMPUTED_VALUE"""),637.7)</f>
        <v>637.7</v>
      </c>
      <c r="F80" s="6">
        <f>IFERROR(__xludf.DUMMYFUNCTION("""COMPUTED_VALUE"""),8548909.0)</f>
        <v>8548909</v>
      </c>
    </row>
    <row r="81">
      <c r="A81" s="7">
        <f>IFERROR(__xludf.DUMMYFUNCTION("""COMPUTED_VALUE"""),45758.64583333333)</f>
        <v>45758.64583</v>
      </c>
      <c r="B81" s="6">
        <f>IFERROR(__xludf.DUMMYFUNCTION("""COMPUTED_VALUE"""),595.0)</f>
        <v>595</v>
      </c>
      <c r="C81" s="6">
        <f>IFERROR(__xludf.DUMMYFUNCTION("""COMPUTED_VALUE"""),645.55)</f>
        <v>645.55</v>
      </c>
      <c r="D81" s="6">
        <f>IFERROR(__xludf.DUMMYFUNCTION("""COMPUTED_VALUE"""),588.85)</f>
        <v>588.85</v>
      </c>
      <c r="E81" s="6">
        <f>IFERROR(__xludf.DUMMYFUNCTION("""COMPUTED_VALUE"""),638.85)</f>
        <v>638.85</v>
      </c>
      <c r="F81" s="6">
        <f>IFERROR(__xludf.DUMMYFUNCTION("""COMPUTED_VALUE"""),7627077.0)</f>
        <v>7627077</v>
      </c>
    </row>
    <row r="82">
      <c r="A82" s="7">
        <f>IFERROR(__xludf.DUMMYFUNCTION("""COMPUTED_VALUE"""),45764.64583333333)</f>
        <v>45764.64583</v>
      </c>
      <c r="B82" s="6">
        <f>IFERROR(__xludf.DUMMYFUNCTION("""COMPUTED_VALUE"""),649.0)</f>
        <v>649</v>
      </c>
      <c r="C82" s="6">
        <f>IFERROR(__xludf.DUMMYFUNCTION("""COMPUTED_VALUE"""),665.4)</f>
        <v>665.4</v>
      </c>
      <c r="D82" s="6">
        <f>IFERROR(__xludf.DUMMYFUNCTION("""COMPUTED_VALUE"""),638.85)</f>
        <v>638.85</v>
      </c>
      <c r="E82" s="6">
        <f>IFERROR(__xludf.DUMMYFUNCTION("""COMPUTED_VALUE"""),656.2)</f>
        <v>656.2</v>
      </c>
      <c r="F82" s="6">
        <f>IFERROR(__xludf.DUMMYFUNCTION("""COMPUTED_VALUE"""),6065800.0)</f>
        <v>6065800</v>
      </c>
    </row>
    <row r="83">
      <c r="A83" s="7">
        <f>IFERROR(__xludf.DUMMYFUNCTION("""COMPUTED_VALUE"""),45772.64583333333)</f>
        <v>45772.64583</v>
      </c>
      <c r="B83" s="6">
        <f>IFERROR(__xludf.DUMMYFUNCTION("""COMPUTED_VALUE"""),656.25)</f>
        <v>656.25</v>
      </c>
      <c r="C83" s="6">
        <f>IFERROR(__xludf.DUMMYFUNCTION("""COMPUTED_VALUE"""),692.2)</f>
        <v>692.2</v>
      </c>
      <c r="D83" s="6">
        <f>IFERROR(__xludf.DUMMYFUNCTION("""COMPUTED_VALUE"""),653.7)</f>
        <v>653.7</v>
      </c>
      <c r="E83" s="6">
        <f>IFERROR(__xludf.DUMMYFUNCTION("""COMPUTED_VALUE"""),661.85)</f>
        <v>661.85</v>
      </c>
      <c r="F83" s="6">
        <f>IFERROR(__xludf.DUMMYFUNCTION("""COMPUTED_VALUE"""),1.5903437E7)</f>
        <v>15903437</v>
      </c>
    </row>
    <row r="84">
      <c r="A84" s="7">
        <f>IFERROR(__xludf.DUMMYFUNCTION("""COMPUTED_VALUE"""),45779.64583333333)</f>
        <v>45779.64583</v>
      </c>
      <c r="B84" s="6">
        <f>IFERROR(__xludf.DUMMYFUNCTION("""COMPUTED_VALUE"""),662.0)</f>
        <v>662</v>
      </c>
      <c r="C84" s="6">
        <f>IFERROR(__xludf.DUMMYFUNCTION("""COMPUTED_VALUE"""),692.8)</f>
        <v>692.8</v>
      </c>
      <c r="D84" s="6">
        <f>IFERROR(__xludf.DUMMYFUNCTION("""COMPUTED_VALUE"""),661.35)</f>
        <v>661.35</v>
      </c>
      <c r="E84" s="6">
        <f>IFERROR(__xludf.DUMMYFUNCTION("""COMPUTED_VALUE"""),680.8)</f>
        <v>680.8</v>
      </c>
      <c r="F84" s="6">
        <f>IFERROR(__xludf.DUMMYFUNCTION("""COMPUTED_VALUE"""),6833139.0)</f>
        <v>6833139</v>
      </c>
    </row>
    <row r="85">
      <c r="A85" s="7">
        <f>IFERROR(__xludf.DUMMYFUNCTION("""COMPUTED_VALUE"""),45786.64583333333)</f>
        <v>45786.64583</v>
      </c>
      <c r="B85" s="6">
        <f>IFERROR(__xludf.DUMMYFUNCTION("""COMPUTED_VALUE"""),687.0)</f>
        <v>687</v>
      </c>
      <c r="C85" s="6">
        <f>IFERROR(__xludf.DUMMYFUNCTION("""COMPUTED_VALUE"""),691.45)</f>
        <v>691.45</v>
      </c>
      <c r="D85" s="6">
        <f>IFERROR(__xludf.DUMMYFUNCTION("""COMPUTED_VALUE"""),638.0)</f>
        <v>638</v>
      </c>
      <c r="E85" s="6">
        <f>IFERROR(__xludf.DUMMYFUNCTION("""COMPUTED_VALUE"""),674.75)</f>
        <v>674.75</v>
      </c>
      <c r="F85" s="6">
        <f>IFERROR(__xludf.DUMMYFUNCTION("""COMPUTED_VALUE"""),1.0299276E7)</f>
        <v>10299276</v>
      </c>
    </row>
    <row r="86">
      <c r="A86" s="7">
        <f>IFERROR(__xludf.DUMMYFUNCTION("""COMPUTED_VALUE"""),45793.64583333333)</f>
        <v>45793.64583</v>
      </c>
      <c r="B86" s="6">
        <f>IFERROR(__xludf.DUMMYFUNCTION("""COMPUTED_VALUE"""),686.0)</f>
        <v>686</v>
      </c>
      <c r="C86" s="6">
        <f>IFERROR(__xludf.DUMMYFUNCTION("""COMPUTED_VALUE"""),699.45)</f>
        <v>699.45</v>
      </c>
      <c r="D86" s="6">
        <f>IFERROR(__xludf.DUMMYFUNCTION("""COMPUTED_VALUE"""),634.0)</f>
        <v>634</v>
      </c>
      <c r="E86" s="6">
        <f>IFERROR(__xludf.DUMMYFUNCTION("""COMPUTED_VALUE"""),644.2)</f>
        <v>644.2</v>
      </c>
      <c r="F86" s="6">
        <f>IFERROR(__xludf.DUMMYFUNCTION("""COMPUTED_VALUE"""),2.5818464E7)</f>
        <v>25818464</v>
      </c>
    </row>
    <row r="87">
      <c r="A87" s="7">
        <f>IFERROR(__xludf.DUMMYFUNCTION("""COMPUTED_VALUE"""),45800.64583333333)</f>
        <v>45800.64583</v>
      </c>
      <c r="B87" s="6">
        <f>IFERROR(__xludf.DUMMYFUNCTION("""COMPUTED_VALUE"""),645.1)</f>
        <v>645.1</v>
      </c>
      <c r="C87" s="6">
        <f>IFERROR(__xludf.DUMMYFUNCTION("""COMPUTED_VALUE"""),654.8)</f>
        <v>654.8</v>
      </c>
      <c r="D87" s="6">
        <f>IFERROR(__xludf.DUMMYFUNCTION("""COMPUTED_VALUE"""),623.6)</f>
        <v>623.6</v>
      </c>
      <c r="E87" s="6">
        <f>IFERROR(__xludf.DUMMYFUNCTION("""COMPUTED_VALUE"""),630.5)</f>
        <v>630.5</v>
      </c>
      <c r="F87" s="6">
        <f>IFERROR(__xludf.DUMMYFUNCTION("""COMPUTED_VALUE"""),9768016.0)</f>
        <v>9768016</v>
      </c>
    </row>
    <row r="88">
      <c r="A88" s="7">
        <f>IFERROR(__xludf.DUMMYFUNCTION("""COMPUTED_VALUE"""),45807.64583333333)</f>
        <v>45807.64583</v>
      </c>
      <c r="B88" s="6">
        <f>IFERROR(__xludf.DUMMYFUNCTION("""COMPUTED_VALUE"""),632.0)</f>
        <v>632</v>
      </c>
      <c r="C88" s="6">
        <f>IFERROR(__xludf.DUMMYFUNCTION("""COMPUTED_VALUE"""),638.6)</f>
        <v>638.6</v>
      </c>
      <c r="D88" s="6">
        <f>IFERROR(__xludf.DUMMYFUNCTION("""COMPUTED_VALUE"""),618.0)</f>
        <v>618</v>
      </c>
      <c r="E88" s="6">
        <f>IFERROR(__xludf.DUMMYFUNCTION("""COMPUTED_VALUE"""),627.9)</f>
        <v>627.9</v>
      </c>
      <c r="F88" s="6">
        <f>IFERROR(__xludf.DUMMYFUNCTION("""COMPUTED_VALUE"""),9371638.0)</f>
        <v>9371638</v>
      </c>
    </row>
    <row r="89">
      <c r="A89" s="7">
        <f>IFERROR(__xludf.DUMMYFUNCTION("""COMPUTED_VALUE"""),45814.64583333333)</f>
        <v>45814.64583</v>
      </c>
      <c r="B89" s="6">
        <f>IFERROR(__xludf.DUMMYFUNCTION("""COMPUTED_VALUE"""),627.9)</f>
        <v>627.9</v>
      </c>
      <c r="C89" s="6">
        <f>IFERROR(__xludf.DUMMYFUNCTION("""COMPUTED_VALUE"""),649.8)</f>
        <v>649.8</v>
      </c>
      <c r="D89" s="6">
        <f>IFERROR(__xludf.DUMMYFUNCTION("""COMPUTED_VALUE"""),620.75)</f>
        <v>620.75</v>
      </c>
      <c r="E89" s="6">
        <f>IFERROR(__xludf.DUMMYFUNCTION("""COMPUTED_VALUE"""),642.85)</f>
        <v>642.85</v>
      </c>
      <c r="F89" s="6">
        <f>IFERROR(__xludf.DUMMYFUNCTION("""COMPUTED_VALUE"""),6973954.0)</f>
        <v>6973954</v>
      </c>
    </row>
    <row r="90">
      <c r="A90" s="7">
        <f>IFERROR(__xludf.DUMMYFUNCTION("""COMPUTED_VALUE"""),45821.64583333333)</f>
        <v>45821.64583</v>
      </c>
      <c r="B90" s="6">
        <f>IFERROR(__xludf.DUMMYFUNCTION("""COMPUTED_VALUE"""),650.0)</f>
        <v>650</v>
      </c>
      <c r="C90" s="6">
        <f>IFERROR(__xludf.DUMMYFUNCTION("""COMPUTED_VALUE"""),651.55)</f>
        <v>651.55</v>
      </c>
      <c r="D90" s="6">
        <f>IFERROR(__xludf.DUMMYFUNCTION("""COMPUTED_VALUE"""),623.05)</f>
        <v>623.05</v>
      </c>
      <c r="E90" s="6">
        <f>IFERROR(__xludf.DUMMYFUNCTION("""COMPUTED_VALUE"""),632.5)</f>
        <v>632.5</v>
      </c>
      <c r="F90" s="6">
        <f>IFERROR(__xludf.DUMMYFUNCTION("""COMPUTED_VALUE"""),6063101.0)</f>
        <v>6063101</v>
      </c>
    </row>
    <row r="91">
      <c r="A91" s="7">
        <f>IFERROR(__xludf.DUMMYFUNCTION("""COMPUTED_VALUE"""),45828.64583333333)</f>
        <v>45828.64583</v>
      </c>
      <c r="B91" s="6">
        <f>IFERROR(__xludf.DUMMYFUNCTION("""COMPUTED_VALUE"""),631.95)</f>
        <v>631.95</v>
      </c>
      <c r="C91" s="6">
        <f>IFERROR(__xludf.DUMMYFUNCTION("""COMPUTED_VALUE"""),653.35)</f>
        <v>653.35</v>
      </c>
      <c r="D91" s="6">
        <f>IFERROR(__xludf.DUMMYFUNCTION("""COMPUTED_VALUE"""),626.35)</f>
        <v>626.35</v>
      </c>
      <c r="E91" s="6">
        <f>IFERROR(__xludf.DUMMYFUNCTION("""COMPUTED_VALUE"""),633.5)</f>
        <v>633.5</v>
      </c>
      <c r="F91" s="6">
        <f>IFERROR(__xludf.DUMMYFUNCTION("""COMPUTED_VALUE"""),1.0014753E7)</f>
        <v>10014753</v>
      </c>
    </row>
    <row r="92">
      <c r="A92" s="7">
        <f>IFERROR(__xludf.DUMMYFUNCTION("""COMPUTED_VALUE"""),45835.64583333333)</f>
        <v>45835.64583</v>
      </c>
      <c r="B92" s="6">
        <f>IFERROR(__xludf.DUMMYFUNCTION("""COMPUTED_VALUE"""),631.0)</f>
        <v>631</v>
      </c>
      <c r="C92" s="6">
        <f>IFERROR(__xludf.DUMMYFUNCTION("""COMPUTED_VALUE"""),654.3)</f>
        <v>654.3</v>
      </c>
      <c r="D92" s="6">
        <f>IFERROR(__xludf.DUMMYFUNCTION("""COMPUTED_VALUE"""),628.8)</f>
        <v>628.8</v>
      </c>
      <c r="E92" s="6">
        <f>IFERROR(__xludf.DUMMYFUNCTION("""COMPUTED_VALUE"""),644.9)</f>
        <v>644.9</v>
      </c>
      <c r="F92" s="6">
        <f>IFERROR(__xludf.DUMMYFUNCTION("""COMPUTED_VALUE"""),1.071247E7)</f>
        <v>10712470</v>
      </c>
    </row>
    <row r="93">
      <c r="A93" s="7">
        <f>IFERROR(__xludf.DUMMYFUNCTION("""COMPUTED_VALUE"""),45842.64583333333)</f>
        <v>45842.64583</v>
      </c>
      <c r="B93" s="6">
        <f>IFERROR(__xludf.DUMMYFUNCTION("""COMPUTED_VALUE"""),646.5)</f>
        <v>646.5</v>
      </c>
      <c r="C93" s="6">
        <f>IFERROR(__xludf.DUMMYFUNCTION("""COMPUTED_VALUE"""),696.95)</f>
        <v>696.95</v>
      </c>
      <c r="D93" s="6">
        <f>IFERROR(__xludf.DUMMYFUNCTION("""COMPUTED_VALUE"""),643.7)</f>
        <v>643.7</v>
      </c>
      <c r="E93" s="6">
        <f>IFERROR(__xludf.DUMMYFUNCTION("""COMPUTED_VALUE"""),681.3)</f>
        <v>681.3</v>
      </c>
      <c r="F93" s="6">
        <f>IFERROR(__xludf.DUMMYFUNCTION("""COMPUTED_VALUE"""),1.2452218E7)</f>
        <v>12452218</v>
      </c>
    </row>
    <row r="94">
      <c r="A94" s="7">
        <f>IFERROR(__xludf.DUMMYFUNCTION("""COMPUTED_VALUE"""),45849.64583333333)</f>
        <v>45849.64583</v>
      </c>
      <c r="B94" s="6">
        <f>IFERROR(__xludf.DUMMYFUNCTION("""COMPUTED_VALUE"""),681.05)</f>
        <v>681.05</v>
      </c>
      <c r="C94" s="6">
        <f>IFERROR(__xludf.DUMMYFUNCTION("""COMPUTED_VALUE"""),689.5)</f>
        <v>689.5</v>
      </c>
      <c r="D94" s="6">
        <f>IFERROR(__xludf.DUMMYFUNCTION("""COMPUTED_VALUE"""),645.7)</f>
        <v>645.7</v>
      </c>
      <c r="E94" s="6">
        <f>IFERROR(__xludf.DUMMYFUNCTION("""COMPUTED_VALUE"""),652.8)</f>
        <v>652.8</v>
      </c>
      <c r="F94" s="6">
        <f>IFERROR(__xludf.DUMMYFUNCTION("""COMPUTED_VALUE"""),6763832.0)</f>
        <v>6763832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IFERROR(__xludf.DUMMYFUNCTION("""COMPUTED_VALUE"""),654.0)</f>
        <v>654</v>
      </c>
      <c r="C95" s="6">
        <f>IFERROR(__xludf.DUMMYFUNCTION("""COMPUTED_VALUE"""),697.9)</f>
        <v>697.9</v>
      </c>
      <c r="D95" s="6">
        <f>IFERROR(__xludf.DUMMYFUNCTION("""COMPUTED_VALUE"""),646.75)</f>
        <v>646.75</v>
      </c>
      <c r="E95" s="6">
        <f>IFERROR(__xludf.DUMMYFUNCTION("""COMPUTED_VALUE"""),686.85)</f>
        <v>686.85</v>
      </c>
      <c r="F95" s="6">
        <f>IFERROR(__xludf.DUMMYFUNCTION("""COMPUTED_VALUE"""),1.2600452E7)</f>
        <v>12600452</v>
      </c>
    </row>
    <row r="96">
      <c r="A96" s="7">
        <f>IFERROR(__xludf.DUMMYFUNCTION("""COMPUTED_VALUE"""),45863.64583333333)</f>
        <v>45863.64583</v>
      </c>
      <c r="B96" s="6">
        <f>IFERROR(__xludf.DUMMYFUNCTION("""COMPUTED_VALUE"""),688.0)</f>
        <v>688</v>
      </c>
      <c r="C96" s="6">
        <f>IFERROR(__xludf.DUMMYFUNCTION("""COMPUTED_VALUE"""),730.95)</f>
        <v>730.95</v>
      </c>
      <c r="D96" s="6">
        <f>IFERROR(__xludf.DUMMYFUNCTION("""COMPUTED_VALUE"""),682.45)</f>
        <v>682.45</v>
      </c>
      <c r="E96" s="6">
        <f>IFERROR(__xludf.DUMMYFUNCTION("""COMPUTED_VALUE"""),722.2)</f>
        <v>722.2</v>
      </c>
      <c r="F96" s="6">
        <f>IFERROR(__xludf.DUMMYFUNCTION("""COMPUTED_VALUE"""),1.8706543E7)</f>
        <v>18706543</v>
      </c>
    </row>
    <row r="97">
      <c r="A97" s="7">
        <f>IFERROR(__xludf.DUMMYFUNCTION("""COMPUTED_VALUE"""),45870.64583333333)</f>
        <v>45870.64583</v>
      </c>
      <c r="B97" s="6">
        <f>IFERROR(__xludf.DUMMYFUNCTION("""COMPUTED_VALUE"""),725.0)</f>
        <v>725</v>
      </c>
      <c r="C97" s="6">
        <f>IFERROR(__xludf.DUMMYFUNCTION("""COMPUTED_VALUE"""),735.85)</f>
        <v>735.85</v>
      </c>
      <c r="D97" s="6">
        <f>IFERROR(__xludf.DUMMYFUNCTION("""COMPUTED_VALUE"""),658.0)</f>
        <v>658</v>
      </c>
      <c r="E97" s="6">
        <f>IFERROR(__xludf.DUMMYFUNCTION("""COMPUTED_VALUE"""),665.15)</f>
        <v>665.15</v>
      </c>
      <c r="F97" s="6">
        <f>IFERROR(__xludf.DUMMYFUNCTION("""COMPUTED_VALUE"""),1.9301874E7)</f>
        <v>19301874</v>
      </c>
    </row>
    <row r="98">
      <c r="A98" s="7">
        <f>IFERROR(__xludf.DUMMYFUNCTION("""COMPUTED_VALUE"""),45877.64583333333)</f>
        <v>45877.64583</v>
      </c>
      <c r="B98" s="6">
        <f>IFERROR(__xludf.DUMMYFUNCTION("""COMPUTED_VALUE"""),673.5)</f>
        <v>673.5</v>
      </c>
      <c r="C98" s="6">
        <f>IFERROR(__xludf.DUMMYFUNCTION("""COMPUTED_VALUE"""),723.8)</f>
        <v>723.8</v>
      </c>
      <c r="D98" s="6">
        <f>IFERROR(__xludf.DUMMYFUNCTION("""COMPUTED_VALUE"""),672.05)</f>
        <v>672.05</v>
      </c>
      <c r="E98" s="6">
        <f>IFERROR(__xludf.DUMMYFUNCTION("""COMPUTED_VALUE"""),688.75)</f>
        <v>688.75</v>
      </c>
      <c r="F98" s="6">
        <f>IFERROR(__xludf.DUMMYFUNCTION("""COMPUTED_VALUE"""),2.0498369E7)</f>
        <v>20498369</v>
      </c>
    </row>
    <row r="99">
      <c r="A99" s="7">
        <f>IFERROR(__xludf.DUMMYFUNCTION("""COMPUTED_VALUE"""),45883.64583333333)</f>
        <v>45883.64583</v>
      </c>
      <c r="B99" s="6">
        <f>IFERROR(__xludf.DUMMYFUNCTION("""COMPUTED_VALUE"""),688.95)</f>
        <v>688.95</v>
      </c>
      <c r="C99" s="6">
        <f>IFERROR(__xludf.DUMMYFUNCTION("""COMPUTED_VALUE"""),696.6)</f>
        <v>696.6</v>
      </c>
      <c r="D99" s="6">
        <f>IFERROR(__xludf.DUMMYFUNCTION("""COMPUTED_VALUE"""),678.15)</f>
        <v>678.15</v>
      </c>
      <c r="E99" s="6">
        <f>IFERROR(__xludf.DUMMYFUNCTION("""COMPUTED_VALUE"""),683.75)</f>
        <v>683.75</v>
      </c>
      <c r="F99" s="6">
        <f>IFERROR(__xludf.DUMMYFUNCTION("""COMPUTED_VALUE"""),4708341.0)</f>
        <v>4708341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IFERROR(__xludf.DUMMYFUNCTION("""COMPUTED_VALUE"""),690.15)</f>
        <v>690.15</v>
      </c>
      <c r="C100" s="6">
        <f>IFERROR(__xludf.DUMMYFUNCTION("""COMPUTED_VALUE"""),730.3)</f>
        <v>730.3</v>
      </c>
      <c r="D100" s="6">
        <f>IFERROR(__xludf.DUMMYFUNCTION("""COMPUTED_VALUE"""),686.45)</f>
        <v>686.45</v>
      </c>
      <c r="E100" s="6">
        <f>IFERROR(__xludf.DUMMYFUNCTION("""COMPUTED_VALUE"""),716.45)</f>
        <v>716.45</v>
      </c>
      <c r="F100" s="6">
        <f>IFERROR(__xludf.DUMMYFUNCTION("""COMPUTED_VALUE"""),1.0142816E7)</f>
        <v>10142816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IFERROR(__xludf.DUMMYFUNCTION("""COMPUTED_VALUE"""),717.2)</f>
        <v>717.2</v>
      </c>
      <c r="C101" s="6">
        <f>IFERROR(__xludf.DUMMYFUNCTION("""COMPUTED_VALUE"""),741.0)</f>
        <v>741</v>
      </c>
      <c r="D101" s="6">
        <f>IFERROR(__xludf.DUMMYFUNCTION("""COMPUTED_VALUE"""),712.4)</f>
        <v>712.4</v>
      </c>
      <c r="E101" s="6">
        <f>IFERROR(__xludf.DUMMYFUNCTION("""COMPUTED_VALUE"""),723.1)</f>
        <v>723.1</v>
      </c>
      <c r="F101" s="6">
        <f>IFERROR(__xludf.DUMMYFUNCTION("""COMPUTED_VALUE"""),6.9338115E7)</f>
        <v>69338115</v>
      </c>
    </row>
  </sheetData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IFERROR(__xludf.DUMMYFUNCTION("GOOGLEFINANCE(""NSE:VBL"",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IFERROR(__xludf.DUMMYFUNCTION("""COMPUTED_VALUE"""),349.94)</f>
        <v>349.94</v>
      </c>
      <c r="C2" s="6">
        <f>IFERROR(__xludf.DUMMYFUNCTION("""COMPUTED_VALUE"""),365.28)</f>
        <v>365.28</v>
      </c>
      <c r="D2" s="6">
        <f>IFERROR(__xludf.DUMMYFUNCTION("""COMPUTED_VALUE"""),343.62)</f>
        <v>343.62</v>
      </c>
      <c r="E2" s="6">
        <f>IFERROR(__xludf.DUMMYFUNCTION("""COMPUTED_VALUE"""),364.18)</f>
        <v>364.18</v>
      </c>
      <c r="F2" s="6">
        <f>IFERROR(__xludf.DUMMYFUNCTION("""COMPUTED_VALUE"""),6406435.0)</f>
        <v>6406435</v>
      </c>
    </row>
    <row r="3">
      <c r="A3" s="7">
        <f>IFERROR(__xludf.DUMMYFUNCTION("""COMPUTED_VALUE"""),45177.64583333333)</f>
        <v>45177.64583</v>
      </c>
      <c r="B3" s="6">
        <f>IFERROR(__xludf.DUMMYFUNCTION("""COMPUTED_VALUE"""),367.18)</f>
        <v>367.18</v>
      </c>
      <c r="C3" s="6">
        <f>IFERROR(__xludf.DUMMYFUNCTION("""COMPUTED_VALUE"""),376.8)</f>
        <v>376.8</v>
      </c>
      <c r="D3" s="6">
        <f>IFERROR(__xludf.DUMMYFUNCTION("""COMPUTED_VALUE"""),362.02)</f>
        <v>362.02</v>
      </c>
      <c r="E3" s="6">
        <f>IFERROR(__xludf.DUMMYFUNCTION("""COMPUTED_VALUE"""),363.96)</f>
        <v>363.96</v>
      </c>
      <c r="F3" s="6">
        <f>IFERROR(__xludf.DUMMYFUNCTION("""COMPUTED_VALUE"""),7269982.0)</f>
        <v>7269982</v>
      </c>
    </row>
    <row r="4">
      <c r="A4" s="7">
        <f>IFERROR(__xludf.DUMMYFUNCTION("""COMPUTED_VALUE"""),45184.64583333333)</f>
        <v>45184.64583</v>
      </c>
      <c r="B4" s="6">
        <f>IFERROR(__xludf.DUMMYFUNCTION("""COMPUTED_VALUE"""),367.18)</f>
        <v>367.18</v>
      </c>
      <c r="C4" s="6">
        <f>IFERROR(__xludf.DUMMYFUNCTION("""COMPUTED_VALUE"""),372.4)</f>
        <v>372.4</v>
      </c>
      <c r="D4" s="6">
        <f>IFERROR(__xludf.DUMMYFUNCTION("""COMPUTED_VALUE"""),361.22)</f>
        <v>361.22</v>
      </c>
      <c r="E4" s="6">
        <f>IFERROR(__xludf.DUMMYFUNCTION("""COMPUTED_VALUE"""),366.26)</f>
        <v>366.26</v>
      </c>
      <c r="F4" s="6">
        <f>IFERROR(__xludf.DUMMYFUNCTION("""COMPUTED_VALUE"""),6161618.0)</f>
        <v>6161618</v>
      </c>
    </row>
    <row r="5">
      <c r="A5" s="7">
        <f>IFERROR(__xludf.DUMMYFUNCTION("""COMPUTED_VALUE"""),45191.64583333333)</f>
        <v>45191.64583</v>
      </c>
      <c r="B5" s="6">
        <f>IFERROR(__xludf.DUMMYFUNCTION("""COMPUTED_VALUE"""),366.86)</f>
        <v>366.86</v>
      </c>
      <c r="C5" s="6">
        <f>IFERROR(__xludf.DUMMYFUNCTION("""COMPUTED_VALUE"""),368.22)</f>
        <v>368.22</v>
      </c>
      <c r="D5" s="6">
        <f>IFERROR(__xludf.DUMMYFUNCTION("""COMPUTED_VALUE"""),356.72)</f>
        <v>356.72</v>
      </c>
      <c r="E5" s="6">
        <f>IFERROR(__xludf.DUMMYFUNCTION("""COMPUTED_VALUE"""),367.3)</f>
        <v>367.3</v>
      </c>
      <c r="F5" s="6">
        <f>IFERROR(__xludf.DUMMYFUNCTION("""COMPUTED_VALUE"""),5049576.0)</f>
        <v>5049576</v>
      </c>
    </row>
    <row r="6">
      <c r="A6" s="7">
        <f>IFERROR(__xludf.DUMMYFUNCTION("""COMPUTED_VALUE"""),45198.64583333333)</f>
        <v>45198.64583</v>
      </c>
      <c r="B6" s="6">
        <f>IFERROR(__xludf.DUMMYFUNCTION("""COMPUTED_VALUE"""),366.8)</f>
        <v>366.8</v>
      </c>
      <c r="C6" s="6">
        <f>IFERROR(__xludf.DUMMYFUNCTION("""COMPUTED_VALUE"""),391.6)</f>
        <v>391.6</v>
      </c>
      <c r="D6" s="6">
        <f>IFERROR(__xludf.DUMMYFUNCTION("""COMPUTED_VALUE"""),364.08)</f>
        <v>364.08</v>
      </c>
      <c r="E6" s="6">
        <f>IFERROR(__xludf.DUMMYFUNCTION("""COMPUTED_VALUE"""),378.28)</f>
        <v>378.28</v>
      </c>
      <c r="F6" s="6">
        <f>IFERROR(__xludf.DUMMYFUNCTION("""COMPUTED_VALUE"""),1.1617518E7)</f>
        <v>11617518</v>
      </c>
    </row>
    <row r="7">
      <c r="A7" s="7">
        <f>IFERROR(__xludf.DUMMYFUNCTION("""COMPUTED_VALUE"""),45205.64583333333)</f>
        <v>45205.64583</v>
      </c>
      <c r="B7" s="6">
        <f>IFERROR(__xludf.DUMMYFUNCTION("""COMPUTED_VALUE"""),378.72)</f>
        <v>378.72</v>
      </c>
      <c r="C7" s="6">
        <f>IFERROR(__xludf.DUMMYFUNCTION("""COMPUTED_VALUE"""),378.78)</f>
        <v>378.78</v>
      </c>
      <c r="D7" s="6">
        <f>IFERROR(__xludf.DUMMYFUNCTION("""COMPUTED_VALUE"""),363.22)</f>
        <v>363.22</v>
      </c>
      <c r="E7" s="6">
        <f>IFERROR(__xludf.DUMMYFUNCTION("""COMPUTED_VALUE"""),370.82)</f>
        <v>370.82</v>
      </c>
      <c r="F7" s="6">
        <f>IFERROR(__xludf.DUMMYFUNCTION("""COMPUTED_VALUE"""),8161529.0)</f>
        <v>8161529</v>
      </c>
    </row>
    <row r="8">
      <c r="A8" s="7">
        <f>IFERROR(__xludf.DUMMYFUNCTION("""COMPUTED_VALUE"""),45212.64583333333)</f>
        <v>45212.64583</v>
      </c>
      <c r="B8" s="6">
        <f>IFERROR(__xludf.DUMMYFUNCTION("""COMPUTED_VALUE"""),367.2)</f>
        <v>367.2</v>
      </c>
      <c r="C8" s="6">
        <f>IFERROR(__xludf.DUMMYFUNCTION("""COMPUTED_VALUE"""),380.4)</f>
        <v>380.4</v>
      </c>
      <c r="D8" s="6">
        <f>IFERROR(__xludf.DUMMYFUNCTION("""COMPUTED_VALUE"""),364.02)</f>
        <v>364.02</v>
      </c>
      <c r="E8" s="6">
        <f>IFERROR(__xludf.DUMMYFUNCTION("""COMPUTED_VALUE"""),371.8)</f>
        <v>371.8</v>
      </c>
      <c r="F8" s="6">
        <f>IFERROR(__xludf.DUMMYFUNCTION("""COMPUTED_VALUE"""),8086709.0)</f>
        <v>8086709</v>
      </c>
    </row>
    <row r="9">
      <c r="A9" s="7">
        <f>IFERROR(__xludf.DUMMYFUNCTION("""COMPUTED_VALUE"""),45219.64583333333)</f>
        <v>45219.64583</v>
      </c>
      <c r="B9" s="6">
        <f>IFERROR(__xludf.DUMMYFUNCTION("""COMPUTED_VALUE"""),371.76)</f>
        <v>371.76</v>
      </c>
      <c r="C9" s="6">
        <f>IFERROR(__xludf.DUMMYFUNCTION("""COMPUTED_VALUE"""),377.6)</f>
        <v>377.6</v>
      </c>
      <c r="D9" s="6">
        <f>IFERROR(__xludf.DUMMYFUNCTION("""COMPUTED_VALUE"""),364.02)</f>
        <v>364.02</v>
      </c>
      <c r="E9" s="6">
        <f>IFERROR(__xludf.DUMMYFUNCTION("""COMPUTED_VALUE"""),370.48)</f>
        <v>370.48</v>
      </c>
      <c r="F9" s="6">
        <f>IFERROR(__xludf.DUMMYFUNCTION("""COMPUTED_VALUE"""),1.037642E7)</f>
        <v>10376420</v>
      </c>
    </row>
    <row r="10">
      <c r="A10" s="7">
        <f>IFERROR(__xludf.DUMMYFUNCTION("""COMPUTED_VALUE"""),45226.64583333333)</f>
        <v>45226.64583</v>
      </c>
      <c r="B10" s="6">
        <f>IFERROR(__xludf.DUMMYFUNCTION("""COMPUTED_VALUE"""),366.8)</f>
        <v>366.8</v>
      </c>
      <c r="C10" s="6">
        <f>IFERROR(__xludf.DUMMYFUNCTION("""COMPUTED_VALUE"""),370.94)</f>
        <v>370.94</v>
      </c>
      <c r="D10" s="6">
        <f>IFERROR(__xludf.DUMMYFUNCTION("""COMPUTED_VALUE"""),331.26)</f>
        <v>331.26</v>
      </c>
      <c r="E10" s="6">
        <f>IFERROR(__xludf.DUMMYFUNCTION("""COMPUTED_VALUE"""),368.58)</f>
        <v>368.58</v>
      </c>
      <c r="F10" s="6">
        <f>IFERROR(__xludf.DUMMYFUNCTION("""COMPUTED_VALUE"""),1.1946666E7)</f>
        <v>11946666</v>
      </c>
    </row>
    <row r="11">
      <c r="A11" s="7">
        <f>IFERROR(__xludf.DUMMYFUNCTION("""COMPUTED_VALUE"""),45233.64583333333)</f>
        <v>45233.64583</v>
      </c>
      <c r="B11" s="6">
        <f>IFERROR(__xludf.DUMMYFUNCTION("""COMPUTED_VALUE"""),368.56)</f>
        <v>368.56</v>
      </c>
      <c r="C11" s="6">
        <f>IFERROR(__xludf.DUMMYFUNCTION("""COMPUTED_VALUE"""),382.36)</f>
        <v>382.36</v>
      </c>
      <c r="D11" s="6">
        <f>IFERROR(__xludf.DUMMYFUNCTION("""COMPUTED_VALUE"""),361.32)</f>
        <v>361.32</v>
      </c>
      <c r="E11" s="6">
        <f>IFERROR(__xludf.DUMMYFUNCTION("""COMPUTED_VALUE"""),380.74)</f>
        <v>380.74</v>
      </c>
      <c r="F11" s="6">
        <f>IFERROR(__xludf.DUMMYFUNCTION("""COMPUTED_VALUE"""),8666673.0)</f>
        <v>8666673</v>
      </c>
    </row>
    <row r="12">
      <c r="A12" s="7">
        <f>IFERROR(__xludf.DUMMYFUNCTION("""COMPUTED_VALUE"""),45240.64583333333)</f>
        <v>45240.64583</v>
      </c>
      <c r="B12" s="6">
        <f>IFERROR(__xludf.DUMMYFUNCTION("""COMPUTED_VALUE"""),383.52)</f>
        <v>383.52</v>
      </c>
      <c r="C12" s="6">
        <f>IFERROR(__xludf.DUMMYFUNCTION("""COMPUTED_VALUE"""),409.6)</f>
        <v>409.6</v>
      </c>
      <c r="D12" s="6">
        <f>IFERROR(__xludf.DUMMYFUNCTION("""COMPUTED_VALUE"""),375.04)</f>
        <v>375.04</v>
      </c>
      <c r="E12" s="6">
        <f>IFERROR(__xludf.DUMMYFUNCTION("""COMPUTED_VALUE"""),403.62)</f>
        <v>403.62</v>
      </c>
      <c r="F12" s="6">
        <f>IFERROR(__xludf.DUMMYFUNCTION("""COMPUTED_VALUE"""),1.3619578E7)</f>
        <v>13619578</v>
      </c>
    </row>
    <row r="13">
      <c r="A13" s="7">
        <f>IFERROR(__xludf.DUMMYFUNCTION("""COMPUTED_VALUE"""),45247.64583333333)</f>
        <v>45247.64583</v>
      </c>
      <c r="B13" s="6">
        <f>IFERROR(__xludf.DUMMYFUNCTION("""COMPUTED_VALUE"""),408.64)</f>
        <v>408.64</v>
      </c>
      <c r="C13" s="6">
        <f>IFERROR(__xludf.DUMMYFUNCTION("""COMPUTED_VALUE"""),420.4)</f>
        <v>420.4</v>
      </c>
      <c r="D13" s="6">
        <f>IFERROR(__xludf.DUMMYFUNCTION("""COMPUTED_VALUE"""),399.2)</f>
        <v>399.2</v>
      </c>
      <c r="E13" s="6">
        <f>IFERROR(__xludf.DUMMYFUNCTION("""COMPUTED_VALUE"""),417.38)</f>
        <v>417.38</v>
      </c>
      <c r="F13" s="6">
        <f>IFERROR(__xludf.DUMMYFUNCTION("""COMPUTED_VALUE"""),8856951.0)</f>
        <v>8856951</v>
      </c>
    </row>
    <row r="14">
      <c r="A14" s="7">
        <f>IFERROR(__xludf.DUMMYFUNCTION("""COMPUTED_VALUE"""),45254.64583333333)</f>
        <v>45254.64583</v>
      </c>
      <c r="B14" s="6">
        <f>IFERROR(__xludf.DUMMYFUNCTION("""COMPUTED_VALUE"""),416.8)</f>
        <v>416.8</v>
      </c>
      <c r="C14" s="6">
        <f>IFERROR(__xludf.DUMMYFUNCTION("""COMPUTED_VALUE"""),430.0)</f>
        <v>430</v>
      </c>
      <c r="D14" s="6">
        <f>IFERROR(__xludf.DUMMYFUNCTION("""COMPUTED_VALUE"""),406.5)</f>
        <v>406.5</v>
      </c>
      <c r="E14" s="6">
        <f>IFERROR(__xludf.DUMMYFUNCTION("""COMPUTED_VALUE"""),427.26)</f>
        <v>427.26</v>
      </c>
      <c r="F14" s="6">
        <f>IFERROR(__xludf.DUMMYFUNCTION("""COMPUTED_VALUE"""),8423524.0)</f>
        <v>8423524</v>
      </c>
    </row>
    <row r="15">
      <c r="A15" s="7">
        <f>IFERROR(__xludf.DUMMYFUNCTION("""COMPUTED_VALUE"""),45261.64583333333)</f>
        <v>45261.64583</v>
      </c>
      <c r="B15" s="6">
        <f>IFERROR(__xludf.DUMMYFUNCTION("""COMPUTED_VALUE"""),430.0)</f>
        <v>430</v>
      </c>
      <c r="C15" s="6">
        <f>IFERROR(__xludf.DUMMYFUNCTION("""COMPUTED_VALUE"""),451.88)</f>
        <v>451.88</v>
      </c>
      <c r="D15" s="6">
        <f>IFERROR(__xludf.DUMMYFUNCTION("""COMPUTED_VALUE"""),421.56)</f>
        <v>421.56</v>
      </c>
      <c r="E15" s="6">
        <f>IFERROR(__xludf.DUMMYFUNCTION("""COMPUTED_VALUE"""),435.62)</f>
        <v>435.62</v>
      </c>
      <c r="F15" s="6">
        <f>IFERROR(__xludf.DUMMYFUNCTION("""COMPUTED_VALUE"""),8859465.0)</f>
        <v>8859465</v>
      </c>
    </row>
    <row r="16">
      <c r="A16" s="7">
        <f>IFERROR(__xludf.DUMMYFUNCTION("""COMPUTED_VALUE"""),45268.64583333333)</f>
        <v>45268.64583</v>
      </c>
      <c r="B16" s="6">
        <f>IFERROR(__xludf.DUMMYFUNCTION("""COMPUTED_VALUE"""),444.4)</f>
        <v>444.4</v>
      </c>
      <c r="C16" s="6">
        <f>IFERROR(__xludf.DUMMYFUNCTION("""COMPUTED_VALUE"""),445.0)</f>
        <v>445</v>
      </c>
      <c r="D16" s="6">
        <f>IFERROR(__xludf.DUMMYFUNCTION("""COMPUTED_VALUE"""),422.2)</f>
        <v>422.2</v>
      </c>
      <c r="E16" s="6">
        <f>IFERROR(__xludf.DUMMYFUNCTION("""COMPUTED_VALUE"""),426.78)</f>
        <v>426.78</v>
      </c>
      <c r="F16" s="6">
        <f>IFERROR(__xludf.DUMMYFUNCTION("""COMPUTED_VALUE"""),6149079.0)</f>
        <v>6149079</v>
      </c>
    </row>
    <row r="17">
      <c r="A17" s="7">
        <f>IFERROR(__xludf.DUMMYFUNCTION("""COMPUTED_VALUE"""),45275.64583333333)</f>
        <v>45275.64583</v>
      </c>
      <c r="B17" s="6">
        <f>IFERROR(__xludf.DUMMYFUNCTION("""COMPUTED_VALUE"""),429.56)</f>
        <v>429.56</v>
      </c>
      <c r="C17" s="6">
        <f>IFERROR(__xludf.DUMMYFUNCTION("""COMPUTED_VALUE"""),447.92)</f>
        <v>447.92</v>
      </c>
      <c r="D17" s="6">
        <f>IFERROR(__xludf.DUMMYFUNCTION("""COMPUTED_VALUE"""),428.4)</f>
        <v>428.4</v>
      </c>
      <c r="E17" s="6">
        <f>IFERROR(__xludf.DUMMYFUNCTION("""COMPUTED_VALUE"""),439.6)</f>
        <v>439.6</v>
      </c>
      <c r="F17" s="6">
        <f>IFERROR(__xludf.DUMMYFUNCTION("""COMPUTED_VALUE"""),7288665.0)</f>
        <v>7288665</v>
      </c>
    </row>
    <row r="18">
      <c r="A18" s="7">
        <f>IFERROR(__xludf.DUMMYFUNCTION("""COMPUTED_VALUE"""),45282.64583333333)</f>
        <v>45282.64583</v>
      </c>
      <c r="B18" s="6">
        <f>IFERROR(__xludf.DUMMYFUNCTION("""COMPUTED_VALUE"""),439.6)</f>
        <v>439.6</v>
      </c>
      <c r="C18" s="6">
        <f>IFERROR(__xludf.DUMMYFUNCTION("""COMPUTED_VALUE"""),552.0)</f>
        <v>552</v>
      </c>
      <c r="D18" s="6">
        <f>IFERROR(__xludf.DUMMYFUNCTION("""COMPUTED_VALUE"""),437.62)</f>
        <v>437.62</v>
      </c>
      <c r="E18" s="6">
        <f>IFERROR(__xludf.DUMMYFUNCTION("""COMPUTED_VALUE"""),495.44)</f>
        <v>495.44</v>
      </c>
      <c r="F18" s="6">
        <f>IFERROR(__xludf.DUMMYFUNCTION("""COMPUTED_VALUE"""),2.8799383E7)</f>
        <v>28799383</v>
      </c>
    </row>
    <row r="19">
      <c r="A19" s="7">
        <f>IFERROR(__xludf.DUMMYFUNCTION("""COMPUTED_VALUE"""),45289.64583333333)</f>
        <v>45289.64583</v>
      </c>
      <c r="B19" s="6">
        <f>IFERROR(__xludf.DUMMYFUNCTION("""COMPUTED_VALUE"""),502.8)</f>
        <v>502.8</v>
      </c>
      <c r="C19" s="6">
        <f>IFERROR(__xludf.DUMMYFUNCTION("""COMPUTED_VALUE"""),503.12)</f>
        <v>503.12</v>
      </c>
      <c r="D19" s="6">
        <f>IFERROR(__xludf.DUMMYFUNCTION("""COMPUTED_VALUE"""),488.8)</f>
        <v>488.8</v>
      </c>
      <c r="E19" s="6">
        <f>IFERROR(__xludf.DUMMYFUNCTION("""COMPUTED_VALUE"""),494.76)</f>
        <v>494.76</v>
      </c>
      <c r="F19" s="6">
        <f>IFERROR(__xludf.DUMMYFUNCTION("""COMPUTED_VALUE"""),6723818.0)</f>
        <v>6723818</v>
      </c>
    </row>
    <row r="20">
      <c r="A20" s="7">
        <f>IFERROR(__xludf.DUMMYFUNCTION("""COMPUTED_VALUE"""),45296.64583333333)</f>
        <v>45296.64583</v>
      </c>
      <c r="B20" s="6">
        <f>IFERROR(__xludf.DUMMYFUNCTION("""COMPUTED_VALUE"""),496.72)</f>
        <v>496.72</v>
      </c>
      <c r="C20" s="6">
        <f>IFERROR(__xludf.DUMMYFUNCTION("""COMPUTED_VALUE"""),513.2)</f>
        <v>513.2</v>
      </c>
      <c r="D20" s="6">
        <f>IFERROR(__xludf.DUMMYFUNCTION("""COMPUTED_VALUE"""),482.46)</f>
        <v>482.46</v>
      </c>
      <c r="E20" s="6">
        <f>IFERROR(__xludf.DUMMYFUNCTION("""COMPUTED_VALUE"""),511.66)</f>
        <v>511.66</v>
      </c>
      <c r="F20" s="6">
        <f>IFERROR(__xludf.DUMMYFUNCTION("""COMPUTED_VALUE"""),7819738.0)</f>
        <v>7819738</v>
      </c>
    </row>
    <row r="21">
      <c r="A21" s="7">
        <f>IFERROR(__xludf.DUMMYFUNCTION("""COMPUTED_VALUE"""),45303.64583333333)</f>
        <v>45303.64583</v>
      </c>
      <c r="B21" s="6">
        <f>IFERROR(__xludf.DUMMYFUNCTION("""COMPUTED_VALUE"""),511.66)</f>
        <v>511.66</v>
      </c>
      <c r="C21" s="6">
        <f>IFERROR(__xludf.DUMMYFUNCTION("""COMPUTED_VALUE"""),523.98)</f>
        <v>523.98</v>
      </c>
      <c r="D21" s="6">
        <f>IFERROR(__xludf.DUMMYFUNCTION("""COMPUTED_VALUE"""),503.4)</f>
        <v>503.4</v>
      </c>
      <c r="E21" s="6">
        <f>IFERROR(__xludf.DUMMYFUNCTION("""COMPUTED_VALUE"""),506.02)</f>
        <v>506.02</v>
      </c>
      <c r="F21" s="6">
        <f>IFERROR(__xludf.DUMMYFUNCTION("""COMPUTED_VALUE"""),8514817.0)</f>
        <v>8514817</v>
      </c>
    </row>
    <row r="22">
      <c r="A22" s="7">
        <f>IFERROR(__xludf.DUMMYFUNCTION("""COMPUTED_VALUE"""),45316.64583333333)</f>
        <v>45316.64583</v>
      </c>
      <c r="B22" s="6">
        <f>IFERROR(__xludf.DUMMYFUNCTION("""COMPUTED_VALUE"""),504.4)</f>
        <v>504.4</v>
      </c>
      <c r="C22" s="6">
        <f>IFERROR(__xludf.DUMMYFUNCTION("""COMPUTED_VALUE"""),511.9)</f>
        <v>511.9</v>
      </c>
      <c r="D22" s="6">
        <f>IFERROR(__xludf.DUMMYFUNCTION("""COMPUTED_VALUE"""),488.4)</f>
        <v>488.4</v>
      </c>
      <c r="E22" s="6">
        <f>IFERROR(__xludf.DUMMYFUNCTION("""COMPUTED_VALUE"""),502.96)</f>
        <v>502.96</v>
      </c>
      <c r="F22" s="6">
        <f>IFERROR(__xludf.DUMMYFUNCTION("""COMPUTED_VALUE"""),8310479.0)</f>
        <v>8310479</v>
      </c>
    </row>
    <row r="23">
      <c r="A23" s="7">
        <f>IFERROR(__xludf.DUMMYFUNCTION("""COMPUTED_VALUE"""),45324.64583333333)</f>
        <v>45324.64583</v>
      </c>
      <c r="B23" s="6">
        <f>IFERROR(__xludf.DUMMYFUNCTION("""COMPUTED_VALUE"""),500.0)</f>
        <v>500</v>
      </c>
      <c r="C23" s="6">
        <f>IFERROR(__xludf.DUMMYFUNCTION("""COMPUTED_VALUE"""),521.38)</f>
        <v>521.38</v>
      </c>
      <c r="D23" s="6">
        <f>IFERROR(__xludf.DUMMYFUNCTION("""COMPUTED_VALUE"""),492.4)</f>
        <v>492.4</v>
      </c>
      <c r="E23" s="6">
        <f>IFERROR(__xludf.DUMMYFUNCTION("""COMPUTED_VALUE"""),514.3)</f>
        <v>514.3</v>
      </c>
      <c r="F23" s="6">
        <f>IFERROR(__xludf.DUMMYFUNCTION("""COMPUTED_VALUE"""),1.0206474E7)</f>
        <v>10206474</v>
      </c>
    </row>
    <row r="24">
      <c r="A24" s="7">
        <f>IFERROR(__xludf.DUMMYFUNCTION("""COMPUTED_VALUE"""),45331.64583333333)</f>
        <v>45331.64583</v>
      </c>
      <c r="B24" s="6">
        <f>IFERROR(__xludf.DUMMYFUNCTION("""COMPUTED_VALUE"""),515.8)</f>
        <v>515.8</v>
      </c>
      <c r="C24" s="6">
        <f>IFERROR(__xludf.DUMMYFUNCTION("""COMPUTED_VALUE"""),565.44)</f>
        <v>565.44</v>
      </c>
      <c r="D24" s="6">
        <f>IFERROR(__xludf.DUMMYFUNCTION("""COMPUTED_VALUE"""),504.0)</f>
        <v>504</v>
      </c>
      <c r="E24" s="6">
        <f>IFERROR(__xludf.DUMMYFUNCTION("""COMPUTED_VALUE"""),548.0)</f>
        <v>548</v>
      </c>
      <c r="F24" s="6">
        <f>IFERROR(__xludf.DUMMYFUNCTION("""COMPUTED_VALUE"""),1.5991693E7)</f>
        <v>15991693</v>
      </c>
    </row>
    <row r="25">
      <c r="A25" s="7">
        <f>IFERROR(__xludf.DUMMYFUNCTION("""COMPUTED_VALUE"""),45338.64583333333)</f>
        <v>45338.64583</v>
      </c>
      <c r="B25" s="6">
        <f>IFERROR(__xludf.DUMMYFUNCTION("""COMPUTED_VALUE"""),551.6)</f>
        <v>551.6</v>
      </c>
      <c r="C25" s="6">
        <f>IFERROR(__xludf.DUMMYFUNCTION("""COMPUTED_VALUE"""),582.4)</f>
        <v>582.4</v>
      </c>
      <c r="D25" s="6">
        <f>IFERROR(__xludf.DUMMYFUNCTION("""COMPUTED_VALUE"""),546.82)</f>
        <v>546.82</v>
      </c>
      <c r="E25" s="6">
        <f>IFERROR(__xludf.DUMMYFUNCTION("""COMPUTED_VALUE"""),569.22)</f>
        <v>569.22</v>
      </c>
      <c r="F25" s="6">
        <f>IFERROR(__xludf.DUMMYFUNCTION("""COMPUTED_VALUE"""),7428364.0)</f>
        <v>7428364</v>
      </c>
    </row>
    <row r="26">
      <c r="A26" s="7">
        <f>IFERROR(__xludf.DUMMYFUNCTION("""COMPUTED_VALUE"""),45345.64583333333)</f>
        <v>45345.64583</v>
      </c>
      <c r="B26" s="6">
        <f>IFERROR(__xludf.DUMMYFUNCTION("""COMPUTED_VALUE"""),571.52)</f>
        <v>571.52</v>
      </c>
      <c r="C26" s="6">
        <f>IFERROR(__xludf.DUMMYFUNCTION("""COMPUTED_VALUE"""),610.0)</f>
        <v>610</v>
      </c>
      <c r="D26" s="6">
        <f>IFERROR(__xludf.DUMMYFUNCTION("""COMPUTED_VALUE"""),568.82)</f>
        <v>568.82</v>
      </c>
      <c r="E26" s="6">
        <f>IFERROR(__xludf.DUMMYFUNCTION("""COMPUTED_VALUE"""),605.8)</f>
        <v>605.8</v>
      </c>
      <c r="F26" s="6">
        <f>IFERROR(__xludf.DUMMYFUNCTION("""COMPUTED_VALUE"""),4829325.0)</f>
        <v>4829325</v>
      </c>
    </row>
    <row r="27">
      <c r="A27" s="7">
        <f>IFERROR(__xludf.DUMMYFUNCTION("""COMPUTED_VALUE"""),45358.64583333333)</f>
        <v>45358.64583</v>
      </c>
      <c r="B27" s="6">
        <f>IFERROR(__xludf.DUMMYFUNCTION("""COMPUTED_VALUE"""),580.02)</f>
        <v>580.02</v>
      </c>
      <c r="C27" s="6">
        <f>IFERROR(__xludf.DUMMYFUNCTION("""COMPUTED_VALUE"""),580.72)</f>
        <v>580.72</v>
      </c>
      <c r="D27" s="6">
        <f>IFERROR(__xludf.DUMMYFUNCTION("""COMPUTED_VALUE"""),544.8)</f>
        <v>544.8</v>
      </c>
      <c r="E27" s="6">
        <f>IFERROR(__xludf.DUMMYFUNCTION("""COMPUTED_VALUE"""),569.34)</f>
        <v>569.34</v>
      </c>
      <c r="F27" s="6">
        <f>IFERROR(__xludf.DUMMYFUNCTION("""COMPUTED_VALUE"""),1.0733583E7)</f>
        <v>10733583</v>
      </c>
    </row>
    <row r="28">
      <c r="A28" s="7">
        <f>IFERROR(__xludf.DUMMYFUNCTION("""COMPUTED_VALUE"""),45366.64583333333)</f>
        <v>45366.64583</v>
      </c>
      <c r="B28" s="6">
        <f>IFERROR(__xludf.DUMMYFUNCTION("""COMPUTED_VALUE"""),573.3)</f>
        <v>573.3</v>
      </c>
      <c r="C28" s="6">
        <f>IFERROR(__xludf.DUMMYFUNCTION("""COMPUTED_VALUE"""),598.0)</f>
        <v>598</v>
      </c>
      <c r="D28" s="6">
        <f>IFERROR(__xludf.DUMMYFUNCTION("""COMPUTED_VALUE"""),541.68)</f>
        <v>541.68</v>
      </c>
      <c r="E28" s="6">
        <f>IFERROR(__xludf.DUMMYFUNCTION("""COMPUTED_VALUE"""),573.68)</f>
        <v>573.68</v>
      </c>
      <c r="F28" s="6">
        <f>IFERROR(__xludf.DUMMYFUNCTION("""COMPUTED_VALUE"""),1.1568821E7)</f>
        <v>11568821</v>
      </c>
    </row>
    <row r="29">
      <c r="A29" s="7">
        <f>IFERROR(__xludf.DUMMYFUNCTION("""COMPUTED_VALUE"""),45373.64583333333)</f>
        <v>45373.64583</v>
      </c>
      <c r="B29" s="6">
        <f>IFERROR(__xludf.DUMMYFUNCTION("""COMPUTED_VALUE"""),575.2)</f>
        <v>575.2</v>
      </c>
      <c r="C29" s="6">
        <f>IFERROR(__xludf.DUMMYFUNCTION("""COMPUTED_VALUE"""),579.14)</f>
        <v>579.14</v>
      </c>
      <c r="D29" s="6">
        <f>IFERROR(__xludf.DUMMYFUNCTION("""COMPUTED_VALUE"""),552.82)</f>
        <v>552.82</v>
      </c>
      <c r="E29" s="6">
        <f>IFERROR(__xludf.DUMMYFUNCTION("""COMPUTED_VALUE"""),560.96)</f>
        <v>560.96</v>
      </c>
      <c r="F29" s="6">
        <f>IFERROR(__xludf.DUMMYFUNCTION("""COMPUTED_VALUE"""),6918687.0)</f>
        <v>6918687</v>
      </c>
    </row>
    <row r="30">
      <c r="A30" s="7">
        <f>IFERROR(__xludf.DUMMYFUNCTION("""COMPUTED_VALUE"""),45379.64583333333)</f>
        <v>45379.64583</v>
      </c>
      <c r="B30" s="6">
        <f>IFERROR(__xludf.DUMMYFUNCTION("""COMPUTED_VALUE"""),563.92)</f>
        <v>563.92</v>
      </c>
      <c r="C30" s="6">
        <f>IFERROR(__xludf.DUMMYFUNCTION("""COMPUTED_VALUE"""),564.0)</f>
        <v>564</v>
      </c>
      <c r="D30" s="6">
        <f>IFERROR(__xludf.DUMMYFUNCTION("""COMPUTED_VALUE"""),548.0)</f>
        <v>548</v>
      </c>
      <c r="E30" s="6">
        <f>IFERROR(__xludf.DUMMYFUNCTION("""COMPUTED_VALUE"""),559.44)</f>
        <v>559.44</v>
      </c>
      <c r="F30" s="6">
        <f>IFERROR(__xludf.DUMMYFUNCTION("""COMPUTED_VALUE"""),6144868.0)</f>
        <v>6144868</v>
      </c>
    </row>
    <row r="31">
      <c r="A31" s="7">
        <f>IFERROR(__xludf.DUMMYFUNCTION("""COMPUTED_VALUE"""),45387.64583333333)</f>
        <v>45387.64583</v>
      </c>
      <c r="B31" s="6">
        <f>IFERROR(__xludf.DUMMYFUNCTION("""COMPUTED_VALUE"""),563.2)</f>
        <v>563.2</v>
      </c>
      <c r="C31" s="6">
        <f>IFERROR(__xludf.DUMMYFUNCTION("""COMPUTED_VALUE"""),617.98)</f>
        <v>617.98</v>
      </c>
      <c r="D31" s="6">
        <f>IFERROR(__xludf.DUMMYFUNCTION("""COMPUTED_VALUE"""),554.6)</f>
        <v>554.6</v>
      </c>
      <c r="E31" s="6">
        <f>IFERROR(__xludf.DUMMYFUNCTION("""COMPUTED_VALUE"""),597.5)</f>
        <v>597.5</v>
      </c>
      <c r="F31" s="6">
        <f>IFERROR(__xludf.DUMMYFUNCTION("""COMPUTED_VALUE"""),1.1040328E7)</f>
        <v>11040328</v>
      </c>
    </row>
    <row r="32">
      <c r="A32" s="7">
        <f>IFERROR(__xludf.DUMMYFUNCTION("""COMPUTED_VALUE"""),45394.64583333333)</f>
        <v>45394.64583</v>
      </c>
      <c r="B32" s="6">
        <f>IFERROR(__xludf.DUMMYFUNCTION("""COMPUTED_VALUE"""),600.72)</f>
        <v>600.72</v>
      </c>
      <c r="C32" s="6">
        <f>IFERROR(__xludf.DUMMYFUNCTION("""COMPUTED_VALUE"""),600.72)</f>
        <v>600.72</v>
      </c>
      <c r="D32" s="6">
        <f>IFERROR(__xludf.DUMMYFUNCTION("""COMPUTED_VALUE"""),552.0)</f>
        <v>552</v>
      </c>
      <c r="E32" s="6">
        <f>IFERROR(__xludf.DUMMYFUNCTION("""COMPUTED_VALUE"""),554.34)</f>
        <v>554.34</v>
      </c>
      <c r="F32" s="6">
        <f>IFERROR(__xludf.DUMMYFUNCTION("""COMPUTED_VALUE"""),9001219.0)</f>
        <v>9001219</v>
      </c>
    </row>
    <row r="33">
      <c r="A33" s="7">
        <f>IFERROR(__xludf.DUMMYFUNCTION("""COMPUTED_VALUE"""),45401.64583333333)</f>
        <v>45401.64583</v>
      </c>
      <c r="B33" s="6">
        <f>IFERROR(__xludf.DUMMYFUNCTION("""COMPUTED_VALUE"""),544.02)</f>
        <v>544.02</v>
      </c>
      <c r="C33" s="6">
        <f>IFERROR(__xludf.DUMMYFUNCTION("""COMPUTED_VALUE"""),569.12)</f>
        <v>569.12</v>
      </c>
      <c r="D33" s="6">
        <f>IFERROR(__xludf.DUMMYFUNCTION("""COMPUTED_VALUE"""),539.88)</f>
        <v>539.88</v>
      </c>
      <c r="E33" s="6">
        <f>IFERROR(__xludf.DUMMYFUNCTION("""COMPUTED_VALUE"""),558.44)</f>
        <v>558.44</v>
      </c>
      <c r="F33" s="6">
        <f>IFERROR(__xludf.DUMMYFUNCTION("""COMPUTED_VALUE"""),1.0602582E7)</f>
        <v>10602582</v>
      </c>
    </row>
    <row r="34">
      <c r="A34" s="7">
        <f>IFERROR(__xludf.DUMMYFUNCTION("""COMPUTED_VALUE"""),45408.64583333333)</f>
        <v>45408.64583</v>
      </c>
      <c r="B34" s="6">
        <f>IFERROR(__xludf.DUMMYFUNCTION("""COMPUTED_VALUE"""),562.16)</f>
        <v>562.16</v>
      </c>
      <c r="C34" s="6">
        <f>IFERROR(__xludf.DUMMYFUNCTION("""COMPUTED_VALUE"""),588.0)</f>
        <v>588</v>
      </c>
      <c r="D34" s="6">
        <f>IFERROR(__xludf.DUMMYFUNCTION("""COMPUTED_VALUE"""),560.56)</f>
        <v>560.56</v>
      </c>
      <c r="E34" s="6">
        <f>IFERROR(__xludf.DUMMYFUNCTION("""COMPUTED_VALUE"""),583.88)</f>
        <v>583.88</v>
      </c>
      <c r="F34" s="6">
        <f>IFERROR(__xludf.DUMMYFUNCTION("""COMPUTED_VALUE"""),5977863.0)</f>
        <v>5977863</v>
      </c>
    </row>
    <row r="35">
      <c r="A35" s="7">
        <f>IFERROR(__xludf.DUMMYFUNCTION("""COMPUTED_VALUE"""),45415.64583333333)</f>
        <v>45415.64583</v>
      </c>
      <c r="B35" s="6">
        <f>IFERROR(__xludf.DUMMYFUNCTION("""COMPUTED_VALUE"""),582.0)</f>
        <v>582</v>
      </c>
      <c r="C35" s="6">
        <f>IFERROR(__xludf.DUMMYFUNCTION("""COMPUTED_VALUE"""),610.98)</f>
        <v>610.98</v>
      </c>
      <c r="D35" s="6">
        <f>IFERROR(__xludf.DUMMYFUNCTION("""COMPUTED_VALUE"""),577.1)</f>
        <v>577.1</v>
      </c>
      <c r="E35" s="6">
        <f>IFERROR(__xludf.DUMMYFUNCTION("""COMPUTED_VALUE"""),602.68)</f>
        <v>602.68</v>
      </c>
      <c r="F35" s="6">
        <f>IFERROR(__xludf.DUMMYFUNCTION("""COMPUTED_VALUE"""),8190785.0)</f>
        <v>8190785</v>
      </c>
    </row>
    <row r="36">
      <c r="A36" s="7">
        <f>IFERROR(__xludf.DUMMYFUNCTION("""COMPUTED_VALUE"""),45422.64583333333)</f>
        <v>45422.64583</v>
      </c>
      <c r="B36" s="6">
        <f>IFERROR(__xludf.DUMMYFUNCTION("""COMPUTED_VALUE"""),602.8)</f>
        <v>602.8</v>
      </c>
      <c r="C36" s="6">
        <f>IFERROR(__xludf.DUMMYFUNCTION("""COMPUTED_VALUE"""),605.08)</f>
        <v>605.08</v>
      </c>
      <c r="D36" s="6">
        <f>IFERROR(__xludf.DUMMYFUNCTION("""COMPUTED_VALUE"""),573.2)</f>
        <v>573.2</v>
      </c>
      <c r="E36" s="6">
        <f>IFERROR(__xludf.DUMMYFUNCTION("""COMPUTED_VALUE"""),585.32)</f>
        <v>585.32</v>
      </c>
      <c r="F36" s="6">
        <f>IFERROR(__xludf.DUMMYFUNCTION("""COMPUTED_VALUE"""),9354863.0)</f>
        <v>9354863</v>
      </c>
    </row>
    <row r="37">
      <c r="A37" s="7">
        <f>IFERROR(__xludf.DUMMYFUNCTION("""COMPUTED_VALUE"""),45436.64583333333)</f>
        <v>45436.64583</v>
      </c>
      <c r="B37" s="6">
        <f>IFERROR(__xludf.DUMMYFUNCTION("""COMPUTED_VALUE"""),608.0)</f>
        <v>608</v>
      </c>
      <c r="C37" s="6">
        <f>IFERROR(__xludf.DUMMYFUNCTION("""COMPUTED_VALUE"""),609.36)</f>
        <v>609.36</v>
      </c>
      <c r="D37" s="6">
        <f>IFERROR(__xludf.DUMMYFUNCTION("""COMPUTED_VALUE"""),594.0)</f>
        <v>594</v>
      </c>
      <c r="E37" s="6">
        <f>IFERROR(__xludf.DUMMYFUNCTION("""COMPUTED_VALUE"""),599.32)</f>
        <v>599.32</v>
      </c>
      <c r="F37" s="6">
        <f>IFERROR(__xludf.DUMMYFUNCTION("""COMPUTED_VALUE"""),5289578.0)</f>
        <v>5289578</v>
      </c>
    </row>
    <row r="38">
      <c r="A38" s="7">
        <f>IFERROR(__xludf.DUMMYFUNCTION("""COMPUTED_VALUE"""),45443.64583333333)</f>
        <v>45443.64583</v>
      </c>
      <c r="B38" s="6">
        <f>IFERROR(__xludf.DUMMYFUNCTION("""COMPUTED_VALUE"""),600.36)</f>
        <v>600.36</v>
      </c>
      <c r="C38" s="6">
        <f>IFERROR(__xludf.DUMMYFUNCTION("""COMPUTED_VALUE"""),600.36)</f>
        <v>600.36</v>
      </c>
      <c r="D38" s="6">
        <f>IFERROR(__xludf.DUMMYFUNCTION("""COMPUTED_VALUE"""),556.1)</f>
        <v>556.1</v>
      </c>
      <c r="E38" s="6">
        <f>IFERROR(__xludf.DUMMYFUNCTION("""COMPUTED_VALUE"""),570.72)</f>
        <v>570.72</v>
      </c>
      <c r="F38" s="6">
        <f>IFERROR(__xludf.DUMMYFUNCTION("""COMPUTED_VALUE"""),1.0805433E7)</f>
        <v>10805433</v>
      </c>
    </row>
    <row r="39">
      <c r="A39" s="7">
        <f>IFERROR(__xludf.DUMMYFUNCTION("""COMPUTED_VALUE"""),45450.64583333333)</f>
        <v>45450.64583</v>
      </c>
      <c r="B39" s="6">
        <f>IFERROR(__xludf.DUMMYFUNCTION("""COMPUTED_VALUE"""),589.6)</f>
        <v>589.6</v>
      </c>
      <c r="C39" s="6">
        <f>IFERROR(__xludf.DUMMYFUNCTION("""COMPUTED_VALUE"""),611.2)</f>
        <v>611.2</v>
      </c>
      <c r="D39" s="6">
        <f>IFERROR(__xludf.DUMMYFUNCTION("""COMPUTED_VALUE"""),528.02)</f>
        <v>528.02</v>
      </c>
      <c r="E39" s="6">
        <f>IFERROR(__xludf.DUMMYFUNCTION("""COMPUTED_VALUE"""),607.44)</f>
        <v>607.44</v>
      </c>
      <c r="F39" s="6">
        <f>IFERROR(__xludf.DUMMYFUNCTION("""COMPUTED_VALUE"""),1.244315E7)</f>
        <v>12443150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IFERROR(__xludf.DUMMYFUNCTION("""COMPUTED_VALUE"""),610.0)</f>
        <v>610</v>
      </c>
      <c r="C40" s="6">
        <f>IFERROR(__xludf.DUMMYFUNCTION("""COMPUTED_VALUE"""),660.0)</f>
        <v>660</v>
      </c>
      <c r="D40" s="6">
        <f>IFERROR(__xludf.DUMMYFUNCTION("""COMPUTED_VALUE"""),609.2)</f>
        <v>609.2</v>
      </c>
      <c r="E40" s="6">
        <f>IFERROR(__xludf.DUMMYFUNCTION("""COMPUTED_VALUE"""),655.7)</f>
        <v>655.7</v>
      </c>
      <c r="F40" s="6">
        <f>IFERROR(__xludf.DUMMYFUNCTION("""COMPUTED_VALUE"""),1.1875355E7)</f>
        <v>11875355</v>
      </c>
    </row>
    <row r="41">
      <c r="A41" s="7">
        <f>IFERROR(__xludf.DUMMYFUNCTION("""COMPUTED_VALUE"""),45464.64583333333)</f>
        <v>45464.64583</v>
      </c>
      <c r="B41" s="6">
        <f>IFERROR(__xludf.DUMMYFUNCTION("""COMPUTED_VALUE"""),658.0)</f>
        <v>658</v>
      </c>
      <c r="C41" s="6">
        <f>IFERROR(__xludf.DUMMYFUNCTION("""COMPUTED_VALUE"""),668.8)</f>
        <v>668.8</v>
      </c>
      <c r="D41" s="6">
        <f>IFERROR(__xludf.DUMMYFUNCTION("""COMPUTED_VALUE"""),634.0)</f>
        <v>634</v>
      </c>
      <c r="E41" s="6">
        <f>IFERROR(__xludf.DUMMYFUNCTION("""COMPUTED_VALUE"""),637.42)</f>
        <v>637.42</v>
      </c>
      <c r="F41" s="6">
        <f>IFERROR(__xludf.DUMMYFUNCTION("""COMPUTED_VALUE"""),1.0349329E7)</f>
        <v>10349329</v>
      </c>
    </row>
    <row r="42">
      <c r="A42" s="7">
        <f>IFERROR(__xludf.DUMMYFUNCTION("""COMPUTED_VALUE"""),45471.64583333333)</f>
        <v>45471.64583</v>
      </c>
      <c r="B42" s="6">
        <f>IFERROR(__xludf.DUMMYFUNCTION("""COMPUTED_VALUE"""),637.02)</f>
        <v>637.02</v>
      </c>
      <c r="C42" s="6">
        <f>IFERROR(__xludf.DUMMYFUNCTION("""COMPUTED_VALUE"""),659.8)</f>
        <v>659.8</v>
      </c>
      <c r="D42" s="6">
        <f>IFERROR(__xludf.DUMMYFUNCTION("""COMPUTED_VALUE"""),624.54)</f>
        <v>624.54</v>
      </c>
      <c r="E42" s="6">
        <f>IFERROR(__xludf.DUMMYFUNCTION("""COMPUTED_VALUE"""),651.8)</f>
        <v>651.8</v>
      </c>
      <c r="F42" s="6">
        <f>IFERROR(__xludf.DUMMYFUNCTION("""COMPUTED_VALUE"""),8266753.0)</f>
        <v>8266753</v>
      </c>
    </row>
    <row r="43">
      <c r="A43" s="7">
        <f>IFERROR(__xludf.DUMMYFUNCTION("""COMPUTED_VALUE"""),45478.64583333333)</f>
        <v>45478.64583</v>
      </c>
      <c r="B43" s="6">
        <f>IFERROR(__xludf.DUMMYFUNCTION("""COMPUTED_VALUE"""),652.0)</f>
        <v>652</v>
      </c>
      <c r="C43" s="6">
        <f>IFERROR(__xludf.DUMMYFUNCTION("""COMPUTED_VALUE"""),653.6)</f>
        <v>653.6</v>
      </c>
      <c r="D43" s="6">
        <f>IFERROR(__xludf.DUMMYFUNCTION("""COMPUTED_VALUE"""),630.0)</f>
        <v>630</v>
      </c>
      <c r="E43" s="6">
        <f>IFERROR(__xludf.DUMMYFUNCTION("""COMPUTED_VALUE"""),645.66)</f>
        <v>645.66</v>
      </c>
      <c r="F43" s="6">
        <f>IFERROR(__xludf.DUMMYFUNCTION("""COMPUTED_VALUE"""),5410431.0)</f>
        <v>5410431</v>
      </c>
    </row>
    <row r="44">
      <c r="A44" s="7">
        <f>IFERROR(__xludf.DUMMYFUNCTION("""COMPUTED_VALUE"""),45485.64583333333)</f>
        <v>45485.64583</v>
      </c>
      <c r="B44" s="6">
        <f>IFERROR(__xludf.DUMMYFUNCTION("""COMPUTED_VALUE"""),645.96)</f>
        <v>645.96</v>
      </c>
      <c r="C44" s="6">
        <f>IFERROR(__xludf.DUMMYFUNCTION("""COMPUTED_VALUE"""),663.1)</f>
        <v>663.1</v>
      </c>
      <c r="D44" s="6">
        <f>IFERROR(__xludf.DUMMYFUNCTION("""COMPUTED_VALUE"""),626.06)</f>
        <v>626.06</v>
      </c>
      <c r="E44" s="6">
        <f>IFERROR(__xludf.DUMMYFUNCTION("""COMPUTED_VALUE"""),633.8)</f>
        <v>633.8</v>
      </c>
      <c r="F44" s="6">
        <f>IFERROR(__xludf.DUMMYFUNCTION("""COMPUTED_VALUE"""),7111208.0)</f>
        <v>7111208</v>
      </c>
    </row>
    <row r="45">
      <c r="A45" s="7">
        <f>IFERROR(__xludf.DUMMYFUNCTION("""COMPUTED_VALUE"""),45492.64583333333)</f>
        <v>45492.64583</v>
      </c>
      <c r="B45" s="6">
        <f>IFERROR(__xludf.DUMMYFUNCTION("""COMPUTED_VALUE"""),632.0)</f>
        <v>632</v>
      </c>
      <c r="C45" s="6">
        <f>IFERROR(__xludf.DUMMYFUNCTION("""COMPUTED_VALUE"""),657.88)</f>
        <v>657.88</v>
      </c>
      <c r="D45" s="6">
        <f>IFERROR(__xludf.DUMMYFUNCTION("""COMPUTED_VALUE"""),615.6)</f>
        <v>615.6</v>
      </c>
      <c r="E45" s="6">
        <f>IFERROR(__xludf.DUMMYFUNCTION("""COMPUTED_VALUE"""),623.88)</f>
        <v>623.88</v>
      </c>
      <c r="F45" s="6">
        <f>IFERROR(__xludf.DUMMYFUNCTION("""COMPUTED_VALUE"""),7365816.0)</f>
        <v>7365816</v>
      </c>
    </row>
    <row r="46">
      <c r="A46" s="7">
        <f>IFERROR(__xludf.DUMMYFUNCTION("""COMPUTED_VALUE"""),45499.64583333333)</f>
        <v>45499.64583</v>
      </c>
      <c r="B46" s="6">
        <f>IFERROR(__xludf.DUMMYFUNCTION("""COMPUTED_VALUE"""),624.0)</f>
        <v>624</v>
      </c>
      <c r="C46" s="6">
        <f>IFERROR(__xludf.DUMMYFUNCTION("""COMPUTED_VALUE"""),677.2)</f>
        <v>677.2</v>
      </c>
      <c r="D46" s="6">
        <f>IFERROR(__xludf.DUMMYFUNCTION("""COMPUTED_VALUE"""),603.1)</f>
        <v>603.1</v>
      </c>
      <c r="E46" s="6">
        <f>IFERROR(__xludf.DUMMYFUNCTION("""COMPUTED_VALUE"""),670.66)</f>
        <v>670.66</v>
      </c>
      <c r="F46" s="6">
        <f>IFERROR(__xludf.DUMMYFUNCTION("""COMPUTED_VALUE"""),1.0596848E7)</f>
        <v>10596848</v>
      </c>
    </row>
    <row r="47">
      <c r="A47" s="7">
        <f>IFERROR(__xludf.DUMMYFUNCTION("""COMPUTED_VALUE"""),45506.64583333333)</f>
        <v>45506.64583</v>
      </c>
      <c r="B47" s="6">
        <f>IFERROR(__xludf.DUMMYFUNCTION("""COMPUTED_VALUE"""),679.2)</f>
        <v>679.2</v>
      </c>
      <c r="C47" s="6">
        <f>IFERROR(__xludf.DUMMYFUNCTION("""COMPUTED_VALUE"""),681.12)</f>
        <v>681.12</v>
      </c>
      <c r="D47" s="6">
        <f>IFERROR(__xludf.DUMMYFUNCTION("""COMPUTED_VALUE"""),620.98)</f>
        <v>620.98</v>
      </c>
      <c r="E47" s="6">
        <f>IFERROR(__xludf.DUMMYFUNCTION("""COMPUTED_VALUE"""),628.94)</f>
        <v>628.94</v>
      </c>
      <c r="F47" s="6">
        <f>IFERROR(__xludf.DUMMYFUNCTION("""COMPUTED_VALUE"""),2.1488675E7)</f>
        <v>21488675</v>
      </c>
    </row>
    <row r="48">
      <c r="A48" s="7">
        <f>IFERROR(__xludf.DUMMYFUNCTION("""COMPUTED_VALUE"""),45513.64583333333)</f>
        <v>45513.64583</v>
      </c>
      <c r="B48" s="6">
        <f>IFERROR(__xludf.DUMMYFUNCTION("""COMPUTED_VALUE"""),615.8)</f>
        <v>615.8</v>
      </c>
      <c r="C48" s="6">
        <f>IFERROR(__xludf.DUMMYFUNCTION("""COMPUTED_VALUE"""),619.8)</f>
        <v>619.8</v>
      </c>
      <c r="D48" s="6">
        <f>IFERROR(__xludf.DUMMYFUNCTION("""COMPUTED_VALUE"""),582.0)</f>
        <v>582</v>
      </c>
      <c r="E48" s="6">
        <f>IFERROR(__xludf.DUMMYFUNCTION("""COMPUTED_VALUE"""),603.44)</f>
        <v>603.44</v>
      </c>
      <c r="F48" s="6">
        <f>IFERROR(__xludf.DUMMYFUNCTION("""COMPUTED_VALUE"""),1.0064466E7)</f>
        <v>10064466</v>
      </c>
    </row>
    <row r="49">
      <c r="A49" s="7">
        <f>IFERROR(__xludf.DUMMYFUNCTION("""COMPUTED_VALUE"""),45520.64583333333)</f>
        <v>45520.64583</v>
      </c>
      <c r="B49" s="6">
        <f>IFERROR(__xludf.DUMMYFUNCTION("""COMPUTED_VALUE"""),598.0)</f>
        <v>598</v>
      </c>
      <c r="C49" s="6">
        <f>IFERROR(__xludf.DUMMYFUNCTION("""COMPUTED_VALUE"""),601.18)</f>
        <v>601.18</v>
      </c>
      <c r="D49" s="6">
        <f>IFERROR(__xludf.DUMMYFUNCTION("""COMPUTED_VALUE"""),565.0)</f>
        <v>565</v>
      </c>
      <c r="E49" s="6">
        <f>IFERROR(__xludf.DUMMYFUNCTION("""COMPUTED_VALUE"""),568.74)</f>
        <v>568.74</v>
      </c>
      <c r="F49" s="6">
        <f>IFERROR(__xludf.DUMMYFUNCTION("""COMPUTED_VALUE"""),1.0068212E7)</f>
        <v>10068212</v>
      </c>
    </row>
    <row r="50">
      <c r="A50" s="7">
        <f>IFERROR(__xludf.DUMMYFUNCTION("""COMPUTED_VALUE"""),45527.64583333333)</f>
        <v>45527.64583</v>
      </c>
      <c r="B50" s="6">
        <f>IFERROR(__xludf.DUMMYFUNCTION("""COMPUTED_VALUE"""),571.6)</f>
        <v>571.6</v>
      </c>
      <c r="C50" s="6">
        <f>IFERROR(__xludf.DUMMYFUNCTION("""COMPUTED_VALUE"""),643.78)</f>
        <v>643.78</v>
      </c>
      <c r="D50" s="6">
        <f>IFERROR(__xludf.DUMMYFUNCTION("""COMPUTED_VALUE"""),567.18)</f>
        <v>567.18</v>
      </c>
      <c r="E50" s="6">
        <f>IFERROR(__xludf.DUMMYFUNCTION("""COMPUTED_VALUE"""),632.84)</f>
        <v>632.84</v>
      </c>
      <c r="F50" s="6">
        <f>IFERROR(__xludf.DUMMYFUNCTION("""COMPUTED_VALUE"""),1.3492986E7)</f>
        <v>13492986</v>
      </c>
    </row>
    <row r="51">
      <c r="A51" s="7">
        <f>IFERROR(__xludf.DUMMYFUNCTION("""COMPUTED_VALUE"""),45534.64583333333)</f>
        <v>45534.64583</v>
      </c>
      <c r="B51" s="6">
        <f>IFERROR(__xludf.DUMMYFUNCTION("""COMPUTED_VALUE"""),630.0)</f>
        <v>630</v>
      </c>
      <c r="C51" s="6">
        <f>IFERROR(__xludf.DUMMYFUNCTION("""COMPUTED_VALUE"""),635.94)</f>
        <v>635.94</v>
      </c>
      <c r="D51" s="6">
        <f>IFERROR(__xludf.DUMMYFUNCTION("""COMPUTED_VALUE"""),597.6)</f>
        <v>597.6</v>
      </c>
      <c r="E51" s="6">
        <f>IFERROR(__xludf.DUMMYFUNCTION("""COMPUTED_VALUE"""),600.36)</f>
        <v>600.36</v>
      </c>
      <c r="F51" s="6">
        <f>IFERROR(__xludf.DUMMYFUNCTION("""COMPUTED_VALUE"""),8364658.0)</f>
        <v>8364658</v>
      </c>
    </row>
    <row r="52">
      <c r="A52" s="7">
        <f>IFERROR(__xludf.DUMMYFUNCTION("""COMPUTED_VALUE"""),45541.64583333333)</f>
        <v>45541.64583</v>
      </c>
      <c r="B52" s="6">
        <f>IFERROR(__xludf.DUMMYFUNCTION("""COMPUTED_VALUE"""),600.34)</f>
        <v>600.34</v>
      </c>
      <c r="C52" s="6">
        <f>IFERROR(__xludf.DUMMYFUNCTION("""COMPUTED_VALUE"""),617.6)</f>
        <v>617.6</v>
      </c>
      <c r="D52" s="6">
        <f>IFERROR(__xludf.DUMMYFUNCTION("""COMPUTED_VALUE"""),591.68)</f>
        <v>591.68</v>
      </c>
      <c r="E52" s="6">
        <f>IFERROR(__xludf.DUMMYFUNCTION("""COMPUTED_VALUE"""),597.3)</f>
        <v>597.3</v>
      </c>
      <c r="F52" s="6">
        <f>IFERROR(__xludf.DUMMYFUNCTION("""COMPUTED_VALUE"""),9526144.0)</f>
        <v>9526144</v>
      </c>
    </row>
    <row r="53">
      <c r="A53" s="7">
        <f>IFERROR(__xludf.DUMMYFUNCTION("""COMPUTED_VALUE"""),45548.64583333333)</f>
        <v>45548.64583</v>
      </c>
      <c r="B53" s="6">
        <f>IFERROR(__xludf.DUMMYFUNCTION("""COMPUTED_VALUE"""),600.0)</f>
        <v>600</v>
      </c>
      <c r="C53" s="6">
        <f>IFERROR(__xludf.DUMMYFUNCTION("""COMPUTED_VALUE"""),668.0)</f>
        <v>668</v>
      </c>
      <c r="D53" s="6">
        <f>IFERROR(__xludf.DUMMYFUNCTION("""COMPUTED_VALUE"""),549.22)</f>
        <v>549.22</v>
      </c>
      <c r="E53" s="6">
        <f>IFERROR(__xludf.DUMMYFUNCTION("""COMPUTED_VALUE"""),646.65)</f>
        <v>646.65</v>
      </c>
      <c r="F53" s="6">
        <f>IFERROR(__xludf.DUMMYFUNCTION("""COMPUTED_VALUE"""),2.2622216E7)</f>
        <v>22622216</v>
      </c>
    </row>
    <row r="54">
      <c r="A54" s="7">
        <f>IFERROR(__xludf.DUMMYFUNCTION("""COMPUTED_VALUE"""),45555.64583333333)</f>
        <v>45555.64583</v>
      </c>
      <c r="B54" s="6">
        <f>IFERROR(__xludf.DUMMYFUNCTION("""COMPUTED_VALUE"""),648.0)</f>
        <v>648</v>
      </c>
      <c r="C54" s="6">
        <f>IFERROR(__xludf.DUMMYFUNCTION("""COMPUTED_VALUE"""),661.45)</f>
        <v>661.45</v>
      </c>
      <c r="D54" s="6">
        <f>IFERROR(__xludf.DUMMYFUNCTION("""COMPUTED_VALUE"""),616.25)</f>
        <v>616.25</v>
      </c>
      <c r="E54" s="6">
        <f>IFERROR(__xludf.DUMMYFUNCTION("""COMPUTED_VALUE"""),654.45)</f>
        <v>654.45</v>
      </c>
      <c r="F54" s="6">
        <f>IFERROR(__xludf.DUMMYFUNCTION("""COMPUTED_VALUE"""),3.2878196E7)</f>
        <v>32878196</v>
      </c>
    </row>
    <row r="55">
      <c r="A55" s="7">
        <f>IFERROR(__xludf.DUMMYFUNCTION("""COMPUTED_VALUE"""),45562.64583333333)</f>
        <v>45562.64583</v>
      </c>
      <c r="B55" s="6">
        <f>IFERROR(__xludf.DUMMYFUNCTION("""COMPUTED_VALUE"""),654.45)</f>
        <v>654.45</v>
      </c>
      <c r="C55" s="6">
        <f>IFERROR(__xludf.DUMMYFUNCTION("""COMPUTED_VALUE"""),663.0)</f>
        <v>663</v>
      </c>
      <c r="D55" s="6">
        <f>IFERROR(__xludf.DUMMYFUNCTION("""COMPUTED_VALUE"""),606.0)</f>
        <v>606</v>
      </c>
      <c r="E55" s="6">
        <f>IFERROR(__xludf.DUMMYFUNCTION("""COMPUTED_VALUE"""),608.55)</f>
        <v>608.55</v>
      </c>
      <c r="F55" s="6">
        <f>IFERROR(__xludf.DUMMYFUNCTION("""COMPUTED_VALUE"""),2.1068665E7)</f>
        <v>21068665</v>
      </c>
    </row>
    <row r="56">
      <c r="A56" s="7">
        <f>IFERROR(__xludf.DUMMYFUNCTION("""COMPUTED_VALUE"""),45569.64583333333)</f>
        <v>45569.64583</v>
      </c>
      <c r="B56" s="6">
        <f>IFERROR(__xludf.DUMMYFUNCTION("""COMPUTED_VALUE"""),624.0)</f>
        <v>624</v>
      </c>
      <c r="C56" s="6">
        <f>IFERROR(__xludf.DUMMYFUNCTION("""COMPUTED_VALUE"""),624.0)</f>
        <v>624</v>
      </c>
      <c r="D56" s="6">
        <f>IFERROR(__xludf.DUMMYFUNCTION("""COMPUTED_VALUE"""),570.5)</f>
        <v>570.5</v>
      </c>
      <c r="E56" s="6">
        <f>IFERROR(__xludf.DUMMYFUNCTION("""COMPUTED_VALUE"""),578.9)</f>
        <v>578.9</v>
      </c>
      <c r="F56" s="6">
        <f>IFERROR(__xludf.DUMMYFUNCTION("""COMPUTED_VALUE"""),3.0400469E7)</f>
        <v>30400469</v>
      </c>
    </row>
    <row r="57">
      <c r="A57" s="7">
        <f>IFERROR(__xludf.DUMMYFUNCTION("""COMPUTED_VALUE"""),45576.64583333333)</f>
        <v>45576.64583</v>
      </c>
      <c r="B57" s="6">
        <f>IFERROR(__xludf.DUMMYFUNCTION("""COMPUTED_VALUE"""),574.9)</f>
        <v>574.9</v>
      </c>
      <c r="C57" s="6">
        <f>IFERROR(__xludf.DUMMYFUNCTION("""COMPUTED_VALUE"""),606.2)</f>
        <v>606.2</v>
      </c>
      <c r="D57" s="6">
        <f>IFERROR(__xludf.DUMMYFUNCTION("""COMPUTED_VALUE"""),536.85)</f>
        <v>536.85</v>
      </c>
      <c r="E57" s="6">
        <f>IFERROR(__xludf.DUMMYFUNCTION("""COMPUTED_VALUE"""),592.35)</f>
        <v>592.35</v>
      </c>
      <c r="F57" s="6">
        <f>IFERROR(__xludf.DUMMYFUNCTION("""COMPUTED_VALUE"""),4.9963574E7)</f>
        <v>49963574</v>
      </c>
    </row>
    <row r="58">
      <c r="A58" s="7">
        <f>IFERROR(__xludf.DUMMYFUNCTION("""COMPUTED_VALUE"""),45583.64583333333)</f>
        <v>45583.64583</v>
      </c>
      <c r="B58" s="6">
        <f>IFERROR(__xludf.DUMMYFUNCTION("""COMPUTED_VALUE"""),596.8)</f>
        <v>596.8</v>
      </c>
      <c r="C58" s="6">
        <f>IFERROR(__xludf.DUMMYFUNCTION("""COMPUTED_VALUE"""),613.9)</f>
        <v>613.9</v>
      </c>
      <c r="D58" s="6">
        <f>IFERROR(__xludf.DUMMYFUNCTION("""COMPUTED_VALUE"""),578.7)</f>
        <v>578.7</v>
      </c>
      <c r="E58" s="6">
        <f>IFERROR(__xludf.DUMMYFUNCTION("""COMPUTED_VALUE"""),588.75)</f>
        <v>588.75</v>
      </c>
      <c r="F58" s="6">
        <f>IFERROR(__xludf.DUMMYFUNCTION("""COMPUTED_VALUE"""),2.0911424E7)</f>
        <v>20911424</v>
      </c>
    </row>
    <row r="59">
      <c r="A59" s="7">
        <f>IFERROR(__xludf.DUMMYFUNCTION("""COMPUTED_VALUE"""),45590.64583333333)</f>
        <v>45590.64583</v>
      </c>
      <c r="B59" s="6">
        <f>IFERROR(__xludf.DUMMYFUNCTION("""COMPUTED_VALUE"""),597.6)</f>
        <v>597.6</v>
      </c>
      <c r="C59" s="6">
        <f>IFERROR(__xludf.DUMMYFUNCTION("""COMPUTED_VALUE"""),631.2)</f>
        <v>631.2</v>
      </c>
      <c r="D59" s="6">
        <f>IFERROR(__xludf.DUMMYFUNCTION("""COMPUTED_VALUE"""),566.7)</f>
        <v>566.7</v>
      </c>
      <c r="E59" s="6">
        <f>IFERROR(__xludf.DUMMYFUNCTION("""COMPUTED_VALUE"""),611.2)</f>
        <v>611.2</v>
      </c>
      <c r="F59" s="6">
        <f>IFERROR(__xludf.DUMMYFUNCTION("""COMPUTED_VALUE"""),4.0918789E7)</f>
        <v>40918789</v>
      </c>
    </row>
    <row r="60">
      <c r="A60" s="7">
        <f>IFERROR(__xludf.DUMMYFUNCTION("""COMPUTED_VALUE"""),45604.64583333333)</f>
        <v>45604.64583</v>
      </c>
      <c r="B60" s="6">
        <f>IFERROR(__xludf.DUMMYFUNCTION("""COMPUTED_VALUE"""),611.0)</f>
        <v>611</v>
      </c>
      <c r="C60" s="6">
        <f>IFERROR(__xludf.DUMMYFUNCTION("""COMPUTED_VALUE"""),615.95)</f>
        <v>615.95</v>
      </c>
      <c r="D60" s="6">
        <f>IFERROR(__xludf.DUMMYFUNCTION("""COMPUTED_VALUE"""),580.45)</f>
        <v>580.45</v>
      </c>
      <c r="E60" s="6">
        <f>IFERROR(__xludf.DUMMYFUNCTION("""COMPUTED_VALUE"""),591.55)</f>
        <v>591.55</v>
      </c>
      <c r="F60" s="6">
        <f>IFERROR(__xludf.DUMMYFUNCTION("""COMPUTED_VALUE"""),2.4182068E7)</f>
        <v>24182068</v>
      </c>
    </row>
    <row r="61">
      <c r="A61" s="7">
        <f>IFERROR(__xludf.DUMMYFUNCTION("""COMPUTED_VALUE"""),45610.64583333333)</f>
        <v>45610.64583</v>
      </c>
      <c r="B61" s="6">
        <f>IFERROR(__xludf.DUMMYFUNCTION("""COMPUTED_VALUE"""),588.0)</f>
        <v>588</v>
      </c>
      <c r="C61" s="6">
        <f>IFERROR(__xludf.DUMMYFUNCTION("""COMPUTED_VALUE"""),607.95)</f>
        <v>607.95</v>
      </c>
      <c r="D61" s="6">
        <f>IFERROR(__xludf.DUMMYFUNCTION("""COMPUTED_VALUE"""),565.0)</f>
        <v>565</v>
      </c>
      <c r="E61" s="6">
        <f>IFERROR(__xludf.DUMMYFUNCTION("""COMPUTED_VALUE"""),575.65)</f>
        <v>575.65</v>
      </c>
      <c r="F61" s="6">
        <f>IFERROR(__xludf.DUMMYFUNCTION("""COMPUTED_VALUE"""),1.8881902E7)</f>
        <v>18881902</v>
      </c>
    </row>
    <row r="62">
      <c r="A62" s="7">
        <f>IFERROR(__xludf.DUMMYFUNCTION("""COMPUTED_VALUE"""),45618.64583333333)</f>
        <v>45618.64583</v>
      </c>
      <c r="B62" s="6">
        <f>IFERROR(__xludf.DUMMYFUNCTION("""COMPUTED_VALUE"""),593.0)</f>
        <v>593</v>
      </c>
      <c r="C62" s="6">
        <f>IFERROR(__xludf.DUMMYFUNCTION("""COMPUTED_VALUE"""),639.6)</f>
        <v>639.6</v>
      </c>
      <c r="D62" s="6">
        <f>IFERROR(__xludf.DUMMYFUNCTION("""COMPUTED_VALUE"""),582.85)</f>
        <v>582.85</v>
      </c>
      <c r="E62" s="6">
        <f>IFERROR(__xludf.DUMMYFUNCTION("""COMPUTED_VALUE"""),616.4)</f>
        <v>616.4</v>
      </c>
      <c r="F62" s="6">
        <f>IFERROR(__xludf.DUMMYFUNCTION("""COMPUTED_VALUE"""),3.3360939E7)</f>
        <v>33360939</v>
      </c>
    </row>
    <row r="63">
      <c r="A63" s="7">
        <f>IFERROR(__xludf.DUMMYFUNCTION("""COMPUTED_VALUE"""),45625.64583333333)</f>
        <v>45625.64583</v>
      </c>
      <c r="B63" s="6">
        <f>IFERROR(__xludf.DUMMYFUNCTION("""COMPUTED_VALUE"""),622.0)</f>
        <v>622</v>
      </c>
      <c r="C63" s="6">
        <f>IFERROR(__xludf.DUMMYFUNCTION("""COMPUTED_VALUE"""),638.6)</f>
        <v>638.6</v>
      </c>
      <c r="D63" s="6">
        <f>IFERROR(__xludf.DUMMYFUNCTION("""COMPUTED_VALUE"""),595.0)</f>
        <v>595</v>
      </c>
      <c r="E63" s="6">
        <f>IFERROR(__xludf.DUMMYFUNCTION("""COMPUTED_VALUE"""),621.2)</f>
        <v>621.2</v>
      </c>
      <c r="F63" s="6">
        <f>IFERROR(__xludf.DUMMYFUNCTION("""COMPUTED_VALUE"""),3.008057E7)</f>
        <v>30080570</v>
      </c>
    </row>
    <row r="64">
      <c r="A64" s="7">
        <f>IFERROR(__xludf.DUMMYFUNCTION("""COMPUTED_VALUE"""),45632.64583333333)</f>
        <v>45632.64583</v>
      </c>
      <c r="B64" s="6">
        <f>IFERROR(__xludf.DUMMYFUNCTION("""COMPUTED_VALUE"""),625.0)</f>
        <v>625</v>
      </c>
      <c r="C64" s="6">
        <f>IFERROR(__xludf.DUMMYFUNCTION("""COMPUTED_VALUE"""),645.0)</f>
        <v>645</v>
      </c>
      <c r="D64" s="6">
        <f>IFERROR(__xludf.DUMMYFUNCTION("""COMPUTED_VALUE"""),598.8)</f>
        <v>598.8</v>
      </c>
      <c r="E64" s="6">
        <f>IFERROR(__xludf.DUMMYFUNCTION("""COMPUTED_VALUE"""),644.05)</f>
        <v>644.05</v>
      </c>
      <c r="F64" s="6">
        <f>IFERROR(__xludf.DUMMYFUNCTION("""COMPUTED_VALUE"""),4.0853205E7)</f>
        <v>40853205</v>
      </c>
    </row>
    <row r="65">
      <c r="A65" s="7">
        <f>IFERROR(__xludf.DUMMYFUNCTION("""COMPUTED_VALUE"""),45639.64583333333)</f>
        <v>45639.64583</v>
      </c>
      <c r="B65" s="6">
        <f>IFERROR(__xludf.DUMMYFUNCTION("""COMPUTED_VALUE"""),644.0)</f>
        <v>644</v>
      </c>
      <c r="C65" s="6">
        <f>IFERROR(__xludf.DUMMYFUNCTION("""COMPUTED_VALUE"""),653.0)</f>
        <v>653</v>
      </c>
      <c r="D65" s="6">
        <f>IFERROR(__xludf.DUMMYFUNCTION("""COMPUTED_VALUE"""),635.5)</f>
        <v>635.5</v>
      </c>
      <c r="E65" s="6">
        <f>IFERROR(__xludf.DUMMYFUNCTION("""COMPUTED_VALUE"""),645.65)</f>
        <v>645.65</v>
      </c>
      <c r="F65" s="6">
        <f>IFERROR(__xludf.DUMMYFUNCTION("""COMPUTED_VALUE"""),2.391978E7)</f>
        <v>23919780</v>
      </c>
    </row>
    <row r="66">
      <c r="A66" s="7">
        <f>IFERROR(__xludf.DUMMYFUNCTION("""COMPUTED_VALUE"""),45646.64583333333)</f>
        <v>45646.64583</v>
      </c>
      <c r="B66" s="6">
        <f>IFERROR(__xludf.DUMMYFUNCTION("""COMPUTED_VALUE"""),648.95)</f>
        <v>648.95</v>
      </c>
      <c r="C66" s="6">
        <f>IFERROR(__xludf.DUMMYFUNCTION("""COMPUTED_VALUE"""),657.2)</f>
        <v>657.2</v>
      </c>
      <c r="D66" s="6">
        <f>IFERROR(__xludf.DUMMYFUNCTION("""COMPUTED_VALUE"""),609.15)</f>
        <v>609.15</v>
      </c>
      <c r="E66" s="6">
        <f>IFERROR(__xludf.DUMMYFUNCTION("""COMPUTED_VALUE"""),612.55)</f>
        <v>612.55</v>
      </c>
      <c r="F66" s="6">
        <f>IFERROR(__xludf.DUMMYFUNCTION("""COMPUTED_VALUE"""),2.7038702E7)</f>
        <v>27038702</v>
      </c>
    </row>
    <row r="67">
      <c r="A67" s="7">
        <f>IFERROR(__xludf.DUMMYFUNCTION("""COMPUTED_VALUE"""),45653.64583333333)</f>
        <v>45653.64583</v>
      </c>
      <c r="B67" s="6">
        <f>IFERROR(__xludf.DUMMYFUNCTION("""COMPUTED_VALUE"""),621.3)</f>
        <v>621.3</v>
      </c>
      <c r="C67" s="6">
        <f>IFERROR(__xludf.DUMMYFUNCTION("""COMPUTED_VALUE"""),629.9)</f>
        <v>629.9</v>
      </c>
      <c r="D67" s="6">
        <f>IFERROR(__xludf.DUMMYFUNCTION("""COMPUTED_VALUE"""),620.0)</f>
        <v>620</v>
      </c>
      <c r="E67" s="6">
        <f>IFERROR(__xludf.DUMMYFUNCTION("""COMPUTED_VALUE"""),624.3)</f>
        <v>624.3</v>
      </c>
      <c r="F67" s="6">
        <f>IFERROR(__xludf.DUMMYFUNCTION("""COMPUTED_VALUE"""),9437354.0)</f>
        <v>9437354</v>
      </c>
    </row>
    <row r="68">
      <c r="A68" s="7">
        <f>IFERROR(__xludf.DUMMYFUNCTION("""COMPUTED_VALUE"""),45660.64583333333)</f>
        <v>45660.64583</v>
      </c>
      <c r="B68" s="6">
        <f>IFERROR(__xludf.DUMMYFUNCTION("""COMPUTED_VALUE"""),621.15)</f>
        <v>621.15</v>
      </c>
      <c r="C68" s="6">
        <f>IFERROR(__xludf.DUMMYFUNCTION("""COMPUTED_VALUE"""),663.6)</f>
        <v>663.6</v>
      </c>
      <c r="D68" s="6">
        <f>IFERROR(__xludf.DUMMYFUNCTION("""COMPUTED_VALUE"""),621.0)</f>
        <v>621</v>
      </c>
      <c r="E68" s="6">
        <f>IFERROR(__xludf.DUMMYFUNCTION("""COMPUTED_VALUE"""),652.2)</f>
        <v>652.2</v>
      </c>
      <c r="F68" s="6">
        <f>IFERROR(__xludf.DUMMYFUNCTION("""COMPUTED_VALUE"""),3.2692157E7)</f>
        <v>32692157</v>
      </c>
    </row>
    <row r="69">
      <c r="A69" s="7">
        <f>IFERROR(__xludf.DUMMYFUNCTION("""COMPUTED_VALUE"""),45667.64583333333)</f>
        <v>45667.64583</v>
      </c>
      <c r="B69" s="6">
        <f>IFERROR(__xludf.DUMMYFUNCTION("""COMPUTED_VALUE"""),645.0)</f>
        <v>645</v>
      </c>
      <c r="C69" s="6">
        <f>IFERROR(__xludf.DUMMYFUNCTION("""COMPUTED_VALUE"""),645.95)</f>
        <v>645.95</v>
      </c>
      <c r="D69" s="6">
        <f>IFERROR(__xludf.DUMMYFUNCTION("""COMPUTED_VALUE"""),590.4)</f>
        <v>590.4</v>
      </c>
      <c r="E69" s="6">
        <f>IFERROR(__xludf.DUMMYFUNCTION("""COMPUTED_VALUE"""),596.55)</f>
        <v>596.55</v>
      </c>
      <c r="F69" s="6">
        <f>IFERROR(__xludf.DUMMYFUNCTION("""COMPUTED_VALUE"""),2.0224638E7)</f>
        <v>20224638</v>
      </c>
    </row>
    <row r="70">
      <c r="A70" s="7">
        <f>IFERROR(__xludf.DUMMYFUNCTION("""COMPUTED_VALUE"""),45674.64583333333)</f>
        <v>45674.64583</v>
      </c>
      <c r="B70" s="6">
        <f>IFERROR(__xludf.DUMMYFUNCTION("""COMPUTED_VALUE"""),585.0)</f>
        <v>585</v>
      </c>
      <c r="C70" s="6">
        <f>IFERROR(__xludf.DUMMYFUNCTION("""COMPUTED_VALUE"""),591.35)</f>
        <v>591.35</v>
      </c>
      <c r="D70" s="6">
        <f>IFERROR(__xludf.DUMMYFUNCTION("""COMPUTED_VALUE"""),545.55)</f>
        <v>545.55</v>
      </c>
      <c r="E70" s="6">
        <f>IFERROR(__xludf.DUMMYFUNCTION("""COMPUTED_VALUE"""),556.35)</f>
        <v>556.35</v>
      </c>
      <c r="F70" s="6">
        <f>IFERROR(__xludf.DUMMYFUNCTION("""COMPUTED_VALUE"""),3.1551033E7)</f>
        <v>31551033</v>
      </c>
    </row>
    <row r="71">
      <c r="A71" s="7">
        <f>IFERROR(__xludf.DUMMYFUNCTION("""COMPUTED_VALUE"""),45681.64583333333)</f>
        <v>45681.64583</v>
      </c>
      <c r="B71" s="6">
        <f>IFERROR(__xludf.DUMMYFUNCTION("""COMPUTED_VALUE"""),557.0)</f>
        <v>557</v>
      </c>
      <c r="C71" s="6">
        <f>IFERROR(__xludf.DUMMYFUNCTION("""COMPUTED_VALUE"""),563.0)</f>
        <v>563</v>
      </c>
      <c r="D71" s="6">
        <f>IFERROR(__xludf.DUMMYFUNCTION("""COMPUTED_VALUE"""),520.0)</f>
        <v>520</v>
      </c>
      <c r="E71" s="6">
        <f>IFERROR(__xludf.DUMMYFUNCTION("""COMPUTED_VALUE"""),541.7)</f>
        <v>541.7</v>
      </c>
      <c r="F71" s="6">
        <f>IFERROR(__xludf.DUMMYFUNCTION("""COMPUTED_VALUE"""),2.8619486E7)</f>
        <v>28619486</v>
      </c>
    </row>
    <row r="72">
      <c r="A72" s="7">
        <f>IFERROR(__xludf.DUMMYFUNCTION("""COMPUTED_VALUE"""),45695.64583333333)</f>
        <v>45695.64583</v>
      </c>
      <c r="B72" s="6">
        <f>IFERROR(__xludf.DUMMYFUNCTION("""COMPUTED_VALUE"""),560.0)</f>
        <v>560</v>
      </c>
      <c r="C72" s="6">
        <f>IFERROR(__xludf.DUMMYFUNCTION("""COMPUTED_VALUE"""),592.95)</f>
        <v>592.95</v>
      </c>
      <c r="D72" s="6">
        <f>IFERROR(__xludf.DUMMYFUNCTION("""COMPUTED_VALUE"""),548.55)</f>
        <v>548.55</v>
      </c>
      <c r="E72" s="6">
        <f>IFERROR(__xludf.DUMMYFUNCTION("""COMPUTED_VALUE"""),553.7)</f>
        <v>553.7</v>
      </c>
      <c r="F72" s="6">
        <f>IFERROR(__xludf.DUMMYFUNCTION("""COMPUTED_VALUE"""),2.2596751E7)</f>
        <v>22596751</v>
      </c>
    </row>
    <row r="73">
      <c r="A73" s="7">
        <f>IFERROR(__xludf.DUMMYFUNCTION("""COMPUTED_VALUE"""),45702.64583333333)</f>
        <v>45702.64583</v>
      </c>
      <c r="B73" s="6">
        <f>IFERROR(__xludf.DUMMYFUNCTION("""COMPUTED_VALUE"""),558.4)</f>
        <v>558.4</v>
      </c>
      <c r="C73" s="6">
        <f>IFERROR(__xludf.DUMMYFUNCTION("""COMPUTED_VALUE"""),561.1)</f>
        <v>561.1</v>
      </c>
      <c r="D73" s="6">
        <f>IFERROR(__xludf.DUMMYFUNCTION("""COMPUTED_VALUE"""),485.0)</f>
        <v>485</v>
      </c>
      <c r="E73" s="6">
        <f>IFERROR(__xludf.DUMMYFUNCTION("""COMPUTED_VALUE"""),488.55)</f>
        <v>488.55</v>
      </c>
      <c r="F73" s="6">
        <f>IFERROR(__xludf.DUMMYFUNCTION("""COMPUTED_VALUE"""),5.9020635E7)</f>
        <v>59020635</v>
      </c>
    </row>
    <row r="74">
      <c r="A74" s="7">
        <f>IFERROR(__xludf.DUMMYFUNCTION("""COMPUTED_VALUE"""),45709.64583333333)</f>
        <v>45709.64583</v>
      </c>
      <c r="B74" s="6">
        <f>IFERROR(__xludf.DUMMYFUNCTION("""COMPUTED_VALUE"""),488.75)</f>
        <v>488.75</v>
      </c>
      <c r="C74" s="6">
        <f>IFERROR(__xludf.DUMMYFUNCTION("""COMPUTED_VALUE"""),489.4)</f>
        <v>489.4</v>
      </c>
      <c r="D74" s="6">
        <f>IFERROR(__xludf.DUMMYFUNCTION("""COMPUTED_VALUE"""),454.1)</f>
        <v>454.1</v>
      </c>
      <c r="E74" s="6">
        <f>IFERROR(__xludf.DUMMYFUNCTION("""COMPUTED_VALUE"""),477.65)</f>
        <v>477.65</v>
      </c>
      <c r="F74" s="6">
        <f>IFERROR(__xludf.DUMMYFUNCTION("""COMPUTED_VALUE"""),5.639573E7)</f>
        <v>56395730</v>
      </c>
    </row>
    <row r="75">
      <c r="A75" s="7">
        <f>IFERROR(__xludf.DUMMYFUNCTION("""COMPUTED_VALUE"""),45716.64583333333)</f>
        <v>45716.64583</v>
      </c>
      <c r="B75" s="6">
        <f>IFERROR(__xludf.DUMMYFUNCTION("""COMPUTED_VALUE"""),472.0)</f>
        <v>472</v>
      </c>
      <c r="C75" s="6">
        <f>IFERROR(__xludf.DUMMYFUNCTION("""COMPUTED_VALUE"""),501.75)</f>
        <v>501.75</v>
      </c>
      <c r="D75" s="6">
        <f>IFERROR(__xludf.DUMMYFUNCTION("""COMPUTED_VALUE"""),429.65)</f>
        <v>429.65</v>
      </c>
      <c r="E75" s="6">
        <f>IFERROR(__xludf.DUMMYFUNCTION("""COMPUTED_VALUE"""),436.05)</f>
        <v>436.05</v>
      </c>
      <c r="F75" s="6">
        <f>IFERROR(__xludf.DUMMYFUNCTION("""COMPUTED_VALUE"""),9.4721845E7)</f>
        <v>94721845</v>
      </c>
    </row>
    <row r="76">
      <c r="A76" s="7">
        <f>IFERROR(__xludf.DUMMYFUNCTION("""COMPUTED_VALUE"""),45723.64583333333)</f>
        <v>45723.64583</v>
      </c>
      <c r="B76" s="6">
        <f>IFERROR(__xludf.DUMMYFUNCTION("""COMPUTED_VALUE"""),436.0)</f>
        <v>436</v>
      </c>
      <c r="C76" s="6">
        <f>IFERROR(__xludf.DUMMYFUNCTION("""COMPUTED_VALUE"""),494.95)</f>
        <v>494.95</v>
      </c>
      <c r="D76" s="6">
        <f>IFERROR(__xludf.DUMMYFUNCTION("""COMPUTED_VALUE"""),419.55)</f>
        <v>419.55</v>
      </c>
      <c r="E76" s="6">
        <f>IFERROR(__xludf.DUMMYFUNCTION("""COMPUTED_VALUE"""),487.75)</f>
        <v>487.75</v>
      </c>
      <c r="F76" s="6">
        <f>IFERROR(__xludf.DUMMYFUNCTION("""COMPUTED_VALUE"""),8.070554E7)</f>
        <v>80705540</v>
      </c>
    </row>
    <row r="77">
      <c r="A77" s="7">
        <f>IFERROR(__xludf.DUMMYFUNCTION("""COMPUTED_VALUE"""),45729.64583333333)</f>
        <v>45729.64583</v>
      </c>
      <c r="B77" s="6">
        <f>IFERROR(__xludf.DUMMYFUNCTION("""COMPUTED_VALUE"""),487.8)</f>
        <v>487.8</v>
      </c>
      <c r="C77" s="6">
        <f>IFERROR(__xludf.DUMMYFUNCTION("""COMPUTED_VALUE"""),497.5)</f>
        <v>497.5</v>
      </c>
      <c r="D77" s="6">
        <f>IFERROR(__xludf.DUMMYFUNCTION("""COMPUTED_VALUE"""),470.5)</f>
        <v>470.5</v>
      </c>
      <c r="E77" s="6">
        <f>IFERROR(__xludf.DUMMYFUNCTION("""COMPUTED_VALUE"""),488.15)</f>
        <v>488.15</v>
      </c>
      <c r="F77" s="6">
        <f>IFERROR(__xludf.DUMMYFUNCTION("""COMPUTED_VALUE"""),3.4648762E7)</f>
        <v>34648762</v>
      </c>
    </row>
    <row r="78">
      <c r="A78" s="7">
        <f>IFERROR(__xludf.DUMMYFUNCTION("""COMPUTED_VALUE"""),45737.64583333333)</f>
        <v>45737.64583</v>
      </c>
      <c r="B78" s="6">
        <f>IFERROR(__xludf.DUMMYFUNCTION("""COMPUTED_VALUE"""),492.6)</f>
        <v>492.6</v>
      </c>
      <c r="C78" s="6">
        <f>IFERROR(__xludf.DUMMYFUNCTION("""COMPUTED_VALUE"""),558.6)</f>
        <v>558.6</v>
      </c>
      <c r="D78" s="6">
        <f>IFERROR(__xludf.DUMMYFUNCTION("""COMPUTED_VALUE"""),491.55)</f>
        <v>491.55</v>
      </c>
      <c r="E78" s="6">
        <f>IFERROR(__xludf.DUMMYFUNCTION("""COMPUTED_VALUE"""),537.95)</f>
        <v>537.95</v>
      </c>
      <c r="F78" s="6">
        <f>IFERROR(__xludf.DUMMYFUNCTION("""COMPUTED_VALUE"""),5.6156576E7)</f>
        <v>56156576</v>
      </c>
    </row>
    <row r="79">
      <c r="A79" s="7">
        <f>IFERROR(__xludf.DUMMYFUNCTION("""COMPUTED_VALUE"""),45744.64583333333)</f>
        <v>45744.64583</v>
      </c>
      <c r="B79" s="6">
        <f>IFERROR(__xludf.DUMMYFUNCTION("""COMPUTED_VALUE"""),545.0)</f>
        <v>545</v>
      </c>
      <c r="C79" s="6">
        <f>IFERROR(__xludf.DUMMYFUNCTION("""COMPUTED_VALUE"""),547.75)</f>
        <v>547.75</v>
      </c>
      <c r="D79" s="6">
        <f>IFERROR(__xludf.DUMMYFUNCTION("""COMPUTED_VALUE"""),511.65)</f>
        <v>511.65</v>
      </c>
      <c r="E79" s="6">
        <f>IFERROR(__xludf.DUMMYFUNCTION("""COMPUTED_VALUE"""),539.65)</f>
        <v>539.65</v>
      </c>
      <c r="F79" s="6">
        <f>IFERROR(__xludf.DUMMYFUNCTION("""COMPUTED_VALUE"""),3.1463074E7)</f>
        <v>31463074</v>
      </c>
    </row>
    <row r="80">
      <c r="A80" s="7">
        <f>IFERROR(__xludf.DUMMYFUNCTION("""COMPUTED_VALUE"""),45751.64583333333)</f>
        <v>45751.64583</v>
      </c>
      <c r="B80" s="6">
        <f>IFERROR(__xludf.DUMMYFUNCTION("""COMPUTED_VALUE"""),550.0)</f>
        <v>550</v>
      </c>
      <c r="C80" s="6">
        <f>IFERROR(__xludf.DUMMYFUNCTION("""COMPUTED_VALUE"""),552.5)</f>
        <v>552.5</v>
      </c>
      <c r="D80" s="6">
        <f>IFERROR(__xludf.DUMMYFUNCTION("""COMPUTED_VALUE"""),529.15)</f>
        <v>529.15</v>
      </c>
      <c r="E80" s="6">
        <f>IFERROR(__xludf.DUMMYFUNCTION("""COMPUTED_VALUE"""),535.45)</f>
        <v>535.45</v>
      </c>
      <c r="F80" s="6">
        <f>IFERROR(__xludf.DUMMYFUNCTION("""COMPUTED_VALUE"""),1.661804E7)</f>
        <v>16618040</v>
      </c>
    </row>
    <row r="81">
      <c r="A81" s="7">
        <f>IFERROR(__xludf.DUMMYFUNCTION("""COMPUTED_VALUE"""),45758.64583333333)</f>
        <v>45758.64583</v>
      </c>
      <c r="B81" s="6">
        <f>IFERROR(__xludf.DUMMYFUNCTION("""COMPUTED_VALUE"""),485.0)</f>
        <v>485</v>
      </c>
      <c r="C81" s="6">
        <f>IFERROR(__xludf.DUMMYFUNCTION("""COMPUTED_VALUE"""),549.65)</f>
        <v>549.65</v>
      </c>
      <c r="D81" s="6">
        <f>IFERROR(__xludf.DUMMYFUNCTION("""COMPUTED_VALUE"""),482.35)</f>
        <v>482.35</v>
      </c>
      <c r="E81" s="6">
        <f>IFERROR(__xludf.DUMMYFUNCTION("""COMPUTED_VALUE"""),545.75)</f>
        <v>545.75</v>
      </c>
      <c r="F81" s="6">
        <f>IFERROR(__xludf.DUMMYFUNCTION("""COMPUTED_VALUE"""),2.0702721E7)</f>
        <v>20702721</v>
      </c>
    </row>
    <row r="82">
      <c r="A82" s="7">
        <f>IFERROR(__xludf.DUMMYFUNCTION("""COMPUTED_VALUE"""),45764.64583333333)</f>
        <v>45764.64583</v>
      </c>
      <c r="B82" s="6">
        <f>IFERROR(__xludf.DUMMYFUNCTION("""COMPUTED_VALUE"""),556.0)</f>
        <v>556</v>
      </c>
      <c r="C82" s="6">
        <f>IFERROR(__xludf.DUMMYFUNCTION("""COMPUTED_VALUE"""),568.5)</f>
        <v>568.5</v>
      </c>
      <c r="D82" s="6">
        <f>IFERROR(__xludf.DUMMYFUNCTION("""COMPUTED_VALUE"""),543.55)</f>
        <v>543.55</v>
      </c>
      <c r="E82" s="6">
        <f>IFERROR(__xludf.DUMMYFUNCTION("""COMPUTED_VALUE"""),556.75)</f>
        <v>556.75</v>
      </c>
      <c r="F82" s="6">
        <f>IFERROR(__xludf.DUMMYFUNCTION("""COMPUTED_VALUE"""),1.7335406E7)</f>
        <v>17335406</v>
      </c>
    </row>
    <row r="83">
      <c r="A83" s="7">
        <f>IFERROR(__xludf.DUMMYFUNCTION("""COMPUTED_VALUE"""),45772.64583333333)</f>
        <v>45772.64583</v>
      </c>
      <c r="B83" s="6">
        <f>IFERROR(__xludf.DUMMYFUNCTION("""COMPUTED_VALUE"""),562.0)</f>
        <v>562</v>
      </c>
      <c r="C83" s="6">
        <f>IFERROR(__xludf.DUMMYFUNCTION("""COMPUTED_VALUE"""),562.0)</f>
        <v>562</v>
      </c>
      <c r="D83" s="6">
        <f>IFERROR(__xludf.DUMMYFUNCTION("""COMPUTED_VALUE"""),516.1)</f>
        <v>516.1</v>
      </c>
      <c r="E83" s="6">
        <f>IFERROR(__xludf.DUMMYFUNCTION("""COMPUTED_VALUE"""),521.95)</f>
        <v>521.95</v>
      </c>
      <c r="F83" s="6">
        <f>IFERROR(__xludf.DUMMYFUNCTION("""COMPUTED_VALUE"""),3.2015858E7)</f>
        <v>32015858</v>
      </c>
    </row>
    <row r="84">
      <c r="A84" s="7">
        <f>IFERROR(__xludf.DUMMYFUNCTION("""COMPUTED_VALUE"""),45779.64583333333)</f>
        <v>45779.64583</v>
      </c>
      <c r="B84" s="6">
        <f>IFERROR(__xludf.DUMMYFUNCTION("""COMPUTED_VALUE"""),520.0)</f>
        <v>520</v>
      </c>
      <c r="C84" s="6">
        <f>IFERROR(__xludf.DUMMYFUNCTION("""COMPUTED_VALUE"""),540.45)</f>
        <v>540.45</v>
      </c>
      <c r="D84" s="6">
        <f>IFERROR(__xludf.DUMMYFUNCTION("""COMPUTED_VALUE"""),507.1)</f>
        <v>507.1</v>
      </c>
      <c r="E84" s="6">
        <f>IFERROR(__xludf.DUMMYFUNCTION("""COMPUTED_VALUE"""),524.45)</f>
        <v>524.45</v>
      </c>
      <c r="F84" s="6">
        <f>IFERROR(__xludf.DUMMYFUNCTION("""COMPUTED_VALUE"""),4.1811992E7)</f>
        <v>41811992</v>
      </c>
    </row>
    <row r="85">
      <c r="A85" s="7">
        <f>IFERROR(__xludf.DUMMYFUNCTION("""COMPUTED_VALUE"""),45786.64583333333)</f>
        <v>45786.64583</v>
      </c>
      <c r="B85" s="6">
        <f>IFERROR(__xludf.DUMMYFUNCTION("""COMPUTED_VALUE"""),533.1)</f>
        <v>533.1</v>
      </c>
      <c r="C85" s="6">
        <f>IFERROR(__xludf.DUMMYFUNCTION("""COMPUTED_VALUE"""),543.7)</f>
        <v>543.7</v>
      </c>
      <c r="D85" s="6">
        <f>IFERROR(__xludf.DUMMYFUNCTION("""COMPUTED_VALUE"""),472.35)</f>
        <v>472.35</v>
      </c>
      <c r="E85" s="6">
        <f>IFERROR(__xludf.DUMMYFUNCTION("""COMPUTED_VALUE"""),496.25)</f>
        <v>496.25</v>
      </c>
      <c r="F85" s="6">
        <f>IFERROR(__xludf.DUMMYFUNCTION("""COMPUTED_VALUE"""),4.8903636E7)</f>
        <v>48903636</v>
      </c>
    </row>
    <row r="86">
      <c r="A86" s="7">
        <f>IFERROR(__xludf.DUMMYFUNCTION("""COMPUTED_VALUE"""),45793.64583333333)</f>
        <v>45793.64583</v>
      </c>
      <c r="B86" s="6">
        <f>IFERROR(__xludf.DUMMYFUNCTION("""COMPUTED_VALUE"""),511.85)</f>
        <v>511.85</v>
      </c>
      <c r="C86" s="6">
        <f>IFERROR(__xludf.DUMMYFUNCTION("""COMPUTED_VALUE"""),518.0)</f>
        <v>518</v>
      </c>
      <c r="D86" s="6">
        <f>IFERROR(__xludf.DUMMYFUNCTION("""COMPUTED_VALUE"""),498.0)</f>
        <v>498</v>
      </c>
      <c r="E86" s="6">
        <f>IFERROR(__xludf.DUMMYFUNCTION("""COMPUTED_VALUE"""),501.65)</f>
        <v>501.65</v>
      </c>
      <c r="F86" s="6">
        <f>IFERROR(__xludf.DUMMYFUNCTION("""COMPUTED_VALUE"""),3.7973247E7)</f>
        <v>37973247</v>
      </c>
    </row>
    <row r="87">
      <c r="A87" s="7">
        <f>IFERROR(__xludf.DUMMYFUNCTION("""COMPUTED_VALUE"""),45800.64583333333)</f>
        <v>45800.64583</v>
      </c>
      <c r="B87" s="6">
        <f>IFERROR(__xludf.DUMMYFUNCTION("""COMPUTED_VALUE"""),502.0)</f>
        <v>502</v>
      </c>
      <c r="C87" s="6">
        <f>IFERROR(__xludf.DUMMYFUNCTION("""COMPUTED_VALUE"""),506.65)</f>
        <v>506.65</v>
      </c>
      <c r="D87" s="6">
        <f>IFERROR(__xludf.DUMMYFUNCTION("""COMPUTED_VALUE"""),467.4)</f>
        <v>467.4</v>
      </c>
      <c r="E87" s="6">
        <f>IFERROR(__xludf.DUMMYFUNCTION("""COMPUTED_VALUE"""),488.75)</f>
        <v>488.75</v>
      </c>
      <c r="F87" s="6">
        <f>IFERROR(__xludf.DUMMYFUNCTION("""COMPUTED_VALUE"""),4.8803838E7)</f>
        <v>48803838</v>
      </c>
    </row>
    <row r="88">
      <c r="A88" s="7">
        <f>IFERROR(__xludf.DUMMYFUNCTION("""COMPUTED_VALUE"""),45807.64583333333)</f>
        <v>45807.64583</v>
      </c>
      <c r="B88" s="6">
        <f>IFERROR(__xludf.DUMMYFUNCTION("""COMPUTED_VALUE"""),493.0)</f>
        <v>493</v>
      </c>
      <c r="C88" s="6">
        <f>IFERROR(__xludf.DUMMYFUNCTION("""COMPUTED_VALUE"""),493.4)</f>
        <v>493.4</v>
      </c>
      <c r="D88" s="6">
        <f>IFERROR(__xludf.DUMMYFUNCTION("""COMPUTED_VALUE"""),475.0)</f>
        <v>475</v>
      </c>
      <c r="E88" s="6">
        <f>IFERROR(__xludf.DUMMYFUNCTION("""COMPUTED_VALUE"""),475.95)</f>
        <v>475.95</v>
      </c>
      <c r="F88" s="6">
        <f>IFERROR(__xludf.DUMMYFUNCTION("""COMPUTED_VALUE"""),3.5077361E7)</f>
        <v>35077361</v>
      </c>
    </row>
    <row r="89">
      <c r="A89" s="7">
        <f>IFERROR(__xludf.DUMMYFUNCTION("""COMPUTED_VALUE"""),45814.64583333333)</f>
        <v>45814.64583</v>
      </c>
      <c r="B89" s="6">
        <f>IFERROR(__xludf.DUMMYFUNCTION("""COMPUTED_VALUE"""),476.0)</f>
        <v>476</v>
      </c>
      <c r="C89" s="6">
        <f>IFERROR(__xludf.DUMMYFUNCTION("""COMPUTED_VALUE"""),484.8)</f>
        <v>484.8</v>
      </c>
      <c r="D89" s="6">
        <f>IFERROR(__xludf.DUMMYFUNCTION("""COMPUTED_VALUE"""),465.55)</f>
        <v>465.55</v>
      </c>
      <c r="E89" s="6">
        <f>IFERROR(__xludf.DUMMYFUNCTION("""COMPUTED_VALUE"""),477.0)</f>
        <v>477</v>
      </c>
      <c r="F89" s="6">
        <f>IFERROR(__xludf.DUMMYFUNCTION("""COMPUTED_VALUE"""),3.6805927E7)</f>
        <v>36805927</v>
      </c>
    </row>
    <row r="90">
      <c r="A90" s="7">
        <f>IFERROR(__xludf.DUMMYFUNCTION("""COMPUTED_VALUE"""),45821.64583333333)</f>
        <v>45821.64583</v>
      </c>
      <c r="B90" s="6">
        <f>IFERROR(__xludf.DUMMYFUNCTION("""COMPUTED_VALUE"""),479.3)</f>
        <v>479.3</v>
      </c>
      <c r="C90" s="6">
        <f>IFERROR(__xludf.DUMMYFUNCTION("""COMPUTED_VALUE"""),484.45)</f>
        <v>484.45</v>
      </c>
      <c r="D90" s="6">
        <f>IFERROR(__xludf.DUMMYFUNCTION("""COMPUTED_VALUE"""),465.0)</f>
        <v>465</v>
      </c>
      <c r="E90" s="6">
        <f>IFERROR(__xludf.DUMMYFUNCTION("""COMPUTED_VALUE"""),469.9)</f>
        <v>469.9</v>
      </c>
      <c r="F90" s="6">
        <f>IFERROR(__xludf.DUMMYFUNCTION("""COMPUTED_VALUE"""),4.076572E7)</f>
        <v>40765720</v>
      </c>
    </row>
    <row r="91">
      <c r="A91" s="7">
        <f>IFERROR(__xludf.DUMMYFUNCTION("""COMPUTED_VALUE"""),45828.64583333333)</f>
        <v>45828.64583</v>
      </c>
      <c r="B91" s="6">
        <f>IFERROR(__xludf.DUMMYFUNCTION("""COMPUTED_VALUE"""),469.0)</f>
        <v>469</v>
      </c>
      <c r="C91" s="6">
        <f>IFERROR(__xludf.DUMMYFUNCTION("""COMPUTED_VALUE"""),479.0)</f>
        <v>479</v>
      </c>
      <c r="D91" s="6">
        <f>IFERROR(__xludf.DUMMYFUNCTION("""COMPUTED_VALUE"""),446.15)</f>
        <v>446.15</v>
      </c>
      <c r="E91" s="6">
        <f>IFERROR(__xludf.DUMMYFUNCTION("""COMPUTED_VALUE"""),459.6)</f>
        <v>459.6</v>
      </c>
      <c r="F91" s="6">
        <f>IFERROR(__xludf.DUMMYFUNCTION("""COMPUTED_VALUE"""),5.7244941E7)</f>
        <v>57244941</v>
      </c>
    </row>
    <row r="92">
      <c r="A92" s="7">
        <f>IFERROR(__xludf.DUMMYFUNCTION("""COMPUTED_VALUE"""),45835.64583333333)</f>
        <v>45835.64583</v>
      </c>
      <c r="B92" s="6">
        <f>IFERROR(__xludf.DUMMYFUNCTION("""COMPUTED_VALUE"""),457.45)</f>
        <v>457.45</v>
      </c>
      <c r="C92" s="6">
        <f>IFERROR(__xludf.DUMMYFUNCTION("""COMPUTED_VALUE"""),468.4)</f>
        <v>468.4</v>
      </c>
      <c r="D92" s="6">
        <f>IFERROR(__xludf.DUMMYFUNCTION("""COMPUTED_VALUE"""),454.5)</f>
        <v>454.5</v>
      </c>
      <c r="E92" s="6">
        <f>IFERROR(__xludf.DUMMYFUNCTION("""COMPUTED_VALUE"""),461.6)</f>
        <v>461.6</v>
      </c>
      <c r="F92" s="6">
        <f>IFERROR(__xludf.DUMMYFUNCTION("""COMPUTED_VALUE"""),3.7636213E7)</f>
        <v>37636213</v>
      </c>
    </row>
    <row r="93">
      <c r="A93" s="7">
        <f>IFERROR(__xludf.DUMMYFUNCTION("""COMPUTED_VALUE"""),45842.64583333333)</f>
        <v>45842.64583</v>
      </c>
      <c r="B93" s="6">
        <f>IFERROR(__xludf.DUMMYFUNCTION("""COMPUTED_VALUE"""),464.8)</f>
        <v>464.8</v>
      </c>
      <c r="C93" s="6">
        <f>IFERROR(__xludf.DUMMYFUNCTION("""COMPUTED_VALUE"""),464.8)</f>
        <v>464.8</v>
      </c>
      <c r="D93" s="6">
        <f>IFERROR(__xludf.DUMMYFUNCTION("""COMPUTED_VALUE"""),449.3)</f>
        <v>449.3</v>
      </c>
      <c r="E93" s="6">
        <f>IFERROR(__xludf.DUMMYFUNCTION("""COMPUTED_VALUE"""),456.15)</f>
        <v>456.15</v>
      </c>
      <c r="F93" s="6">
        <f>IFERROR(__xludf.DUMMYFUNCTION("""COMPUTED_VALUE"""),2.8321542E7)</f>
        <v>28321542</v>
      </c>
    </row>
    <row r="94">
      <c r="A94" s="7">
        <f>IFERROR(__xludf.DUMMYFUNCTION("""COMPUTED_VALUE"""),45849.64583333333)</f>
        <v>45849.64583</v>
      </c>
      <c r="B94" s="6">
        <f>IFERROR(__xludf.DUMMYFUNCTION("""COMPUTED_VALUE"""),456.6)</f>
        <v>456.6</v>
      </c>
      <c r="C94" s="6">
        <f>IFERROR(__xludf.DUMMYFUNCTION("""COMPUTED_VALUE"""),469.5)</f>
        <v>469.5</v>
      </c>
      <c r="D94" s="6">
        <f>IFERROR(__xludf.DUMMYFUNCTION("""COMPUTED_VALUE"""),451.0)</f>
        <v>451</v>
      </c>
      <c r="E94" s="6">
        <f>IFERROR(__xludf.DUMMYFUNCTION("""COMPUTED_VALUE"""),452.25)</f>
        <v>452.25</v>
      </c>
      <c r="F94" s="6">
        <f>IFERROR(__xludf.DUMMYFUNCTION("""COMPUTED_VALUE"""),3.6749614E7)</f>
        <v>36749614</v>
      </c>
    </row>
    <row r="95">
      <c r="A95" s="7">
        <f>IFERROR(__xludf.DUMMYFUNCTION("""COMPUTED_VALUE"""),45856.64583333333)</f>
        <v>45856.64583</v>
      </c>
      <c r="B95" s="6">
        <f>IFERROR(__xludf.DUMMYFUNCTION("""COMPUTED_VALUE"""),453.05)</f>
        <v>453.05</v>
      </c>
      <c r="C95" s="6">
        <f>IFERROR(__xludf.DUMMYFUNCTION("""COMPUTED_VALUE"""),492.9)</f>
        <v>492.9</v>
      </c>
      <c r="D95" s="6">
        <f>IFERROR(__xludf.DUMMYFUNCTION("""COMPUTED_VALUE"""),450.0)</f>
        <v>450</v>
      </c>
      <c r="E95" s="6">
        <f>IFERROR(__xludf.DUMMYFUNCTION("""COMPUTED_VALUE"""),484.85)</f>
        <v>484.85</v>
      </c>
      <c r="F95" s="6">
        <f>IFERROR(__xludf.DUMMYFUNCTION("""COMPUTED_VALUE"""),5.5261294E7)</f>
        <v>55261294</v>
      </c>
    </row>
    <row r="96">
      <c r="A96" s="7">
        <f>IFERROR(__xludf.DUMMYFUNCTION("""COMPUTED_VALUE"""),45863.64583333333)</f>
        <v>45863.64583</v>
      </c>
      <c r="B96" s="6">
        <f>IFERROR(__xludf.DUMMYFUNCTION("""COMPUTED_VALUE"""),486.4)</f>
        <v>486.4</v>
      </c>
      <c r="C96" s="6">
        <f>IFERROR(__xludf.DUMMYFUNCTION("""COMPUTED_VALUE"""),491.6)</f>
        <v>491.6</v>
      </c>
      <c r="D96" s="6">
        <f>IFERROR(__xludf.DUMMYFUNCTION("""COMPUTED_VALUE"""),475.35)</f>
        <v>475.35</v>
      </c>
      <c r="E96" s="6">
        <f>IFERROR(__xludf.DUMMYFUNCTION("""COMPUTED_VALUE"""),477.15)</f>
        <v>477.15</v>
      </c>
      <c r="F96" s="6">
        <f>IFERROR(__xludf.DUMMYFUNCTION("""COMPUTED_VALUE"""),2.7656838E7)</f>
        <v>27656838</v>
      </c>
    </row>
    <row r="97">
      <c r="A97" s="7">
        <f>IFERROR(__xludf.DUMMYFUNCTION("""COMPUTED_VALUE"""),45870.64583333333)</f>
        <v>45870.64583</v>
      </c>
      <c r="B97" s="6">
        <f>IFERROR(__xludf.DUMMYFUNCTION("""COMPUTED_VALUE"""),474.0)</f>
        <v>474</v>
      </c>
      <c r="C97" s="6">
        <f>IFERROR(__xludf.DUMMYFUNCTION("""COMPUTED_VALUE"""),534.2)</f>
        <v>534.2</v>
      </c>
      <c r="D97" s="6">
        <f>IFERROR(__xludf.DUMMYFUNCTION("""COMPUTED_VALUE"""),473.15)</f>
        <v>473.15</v>
      </c>
      <c r="E97" s="6">
        <f>IFERROR(__xludf.DUMMYFUNCTION("""COMPUTED_VALUE"""),511.9)</f>
        <v>511.9</v>
      </c>
      <c r="F97" s="6">
        <f>IFERROR(__xludf.DUMMYFUNCTION("""COMPUTED_VALUE"""),6.9039315E7)</f>
        <v>69039315</v>
      </c>
    </row>
    <row r="98">
      <c r="A98" s="7">
        <f>IFERROR(__xludf.DUMMYFUNCTION("""COMPUTED_VALUE"""),45877.64583333333)</f>
        <v>45877.64583</v>
      </c>
      <c r="B98" s="6">
        <f>IFERROR(__xludf.DUMMYFUNCTION("""COMPUTED_VALUE"""),510.0)</f>
        <v>510</v>
      </c>
      <c r="C98" s="6">
        <f>IFERROR(__xludf.DUMMYFUNCTION("""COMPUTED_VALUE"""),512.9)</f>
        <v>512.9</v>
      </c>
      <c r="D98" s="6">
        <f>IFERROR(__xludf.DUMMYFUNCTION("""COMPUTED_VALUE"""),491.4)</f>
        <v>491.4</v>
      </c>
      <c r="E98" s="6">
        <f>IFERROR(__xludf.DUMMYFUNCTION("""COMPUTED_VALUE"""),495.95)</f>
        <v>495.95</v>
      </c>
      <c r="F98" s="6">
        <f>IFERROR(__xludf.DUMMYFUNCTION("""COMPUTED_VALUE"""),1.6063515E7)</f>
        <v>16063515</v>
      </c>
    </row>
    <row r="99">
      <c r="A99" s="7">
        <f>IFERROR(__xludf.DUMMYFUNCTION("""COMPUTED_VALUE"""),45883.64583333333)</f>
        <v>45883.64583</v>
      </c>
      <c r="B99" s="6">
        <f>IFERROR(__xludf.DUMMYFUNCTION("""COMPUTED_VALUE"""),495.95)</f>
        <v>495.95</v>
      </c>
      <c r="C99" s="6">
        <f>IFERROR(__xludf.DUMMYFUNCTION("""COMPUTED_VALUE"""),520.0)</f>
        <v>520</v>
      </c>
      <c r="D99" s="6">
        <f>IFERROR(__xludf.DUMMYFUNCTION("""COMPUTED_VALUE"""),492.5)</f>
        <v>492.5</v>
      </c>
      <c r="E99" s="6">
        <f>IFERROR(__xludf.DUMMYFUNCTION("""COMPUTED_VALUE"""),501.85)</f>
        <v>501.85</v>
      </c>
      <c r="F99" s="6">
        <f>IFERROR(__xludf.DUMMYFUNCTION("""COMPUTED_VALUE"""),2.2089877E7)</f>
        <v>22089877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IFERROR(__xludf.DUMMYFUNCTION("""COMPUTED_VALUE"""),505.0)</f>
        <v>505</v>
      </c>
      <c r="C100" s="6">
        <f>IFERROR(__xludf.DUMMYFUNCTION("""COMPUTED_VALUE"""),524.55)</f>
        <v>524.55</v>
      </c>
      <c r="D100" s="6">
        <f>IFERROR(__xludf.DUMMYFUNCTION("""COMPUTED_VALUE"""),493.25)</f>
        <v>493.25</v>
      </c>
      <c r="E100" s="6">
        <f>IFERROR(__xludf.DUMMYFUNCTION("""COMPUTED_VALUE"""),516.6)</f>
        <v>516.6</v>
      </c>
      <c r="F100" s="6">
        <f>IFERROR(__xludf.DUMMYFUNCTION("""COMPUTED_VALUE"""),3.0195079E7)</f>
        <v>30195079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IFERROR(__xludf.DUMMYFUNCTION("""COMPUTED_VALUE"""),516.6)</f>
        <v>516.6</v>
      </c>
      <c r="C101" s="6">
        <f>IFERROR(__xludf.DUMMYFUNCTION("""COMPUTED_VALUE"""),518.85)</f>
        <v>518.85</v>
      </c>
      <c r="D101" s="6">
        <f>IFERROR(__xludf.DUMMYFUNCTION("""COMPUTED_VALUE"""),507.35)</f>
        <v>507.35</v>
      </c>
      <c r="E101" s="6">
        <f>IFERROR(__xludf.DUMMYFUNCTION("""COMPUTED_VALUE"""),508.55)</f>
        <v>508.55</v>
      </c>
      <c r="F101" s="6">
        <f>IFERROR(__xludf.DUMMYFUNCTION("""COMPUTED_VALUE"""),5.508631E7)</f>
        <v>55086310</v>
      </c>
    </row>
  </sheetData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IFERROR(__xludf.DUMMYFUNCTION("GOOGLEFINANCE(""NSE:VEDL"", ""all"",ConfigSheet!B2 -ConfigSheet!B1,ConfigSheet!B2,ConfigSheet!B3)"),"#REF!")</f>
        <v>#REF!</v>
      </c>
      <c r="B1" s="6"/>
      <c r="C1" s="6"/>
      <c r="D1" s="6"/>
      <c r="E1" s="6"/>
      <c r="F1" s="6"/>
    </row>
    <row r="2">
      <c r="A2" s="6"/>
      <c r="B2" s="6"/>
      <c r="C2" s="6"/>
      <c r="D2" s="6"/>
      <c r="E2" s="6"/>
      <c r="F2" s="6"/>
    </row>
    <row r="3">
      <c r="A3" s="6"/>
      <c r="B3" s="6"/>
      <c r="C3" s="6"/>
      <c r="D3" s="6"/>
      <c r="E3" s="6"/>
      <c r="F3" s="6"/>
    </row>
    <row r="4">
      <c r="A4" s="6"/>
      <c r="B4" s="6"/>
      <c r="C4" s="6"/>
      <c r="D4" s="6"/>
      <c r="E4" s="6"/>
      <c r="F4" s="6"/>
    </row>
    <row r="5">
      <c r="A5" s="6"/>
      <c r="B5" s="6"/>
      <c r="C5" s="6"/>
      <c r="D5" s="6"/>
      <c r="E5" s="6"/>
      <c r="F5" s="6"/>
    </row>
    <row r="6">
      <c r="A6" s="6"/>
      <c r="B6" s="6"/>
      <c r="C6" s="6"/>
      <c r="D6" s="6"/>
      <c r="E6" s="6"/>
      <c r="F6" s="6"/>
    </row>
    <row r="7">
      <c r="A7" s="6"/>
      <c r="B7" s="6"/>
      <c r="C7" s="6"/>
      <c r="D7" s="6"/>
      <c r="E7" s="6"/>
      <c r="F7" s="6"/>
    </row>
    <row r="8">
      <c r="A8" s="6"/>
      <c r="B8" s="6"/>
      <c r="C8" s="6"/>
      <c r="D8" s="6"/>
      <c r="E8" s="6"/>
      <c r="F8" s="6"/>
    </row>
    <row r="9">
      <c r="A9" s="6"/>
      <c r="B9" s="6"/>
      <c r="C9" s="6"/>
      <c r="D9" s="6"/>
      <c r="E9" s="6"/>
      <c r="F9" s="6"/>
    </row>
    <row r="10">
      <c r="A10" s="6"/>
      <c r="B10" s="6"/>
      <c r="C10" s="6"/>
      <c r="D10" s="6"/>
      <c r="E10" s="6"/>
      <c r="F10" s="6"/>
    </row>
    <row r="11">
      <c r="A11" s="6"/>
      <c r="B11" s="6"/>
      <c r="C11" s="6"/>
      <c r="D11" s="6"/>
      <c r="E11" s="6"/>
      <c r="F11" s="6"/>
    </row>
    <row r="12">
      <c r="A12" s="6"/>
      <c r="B12" s="6"/>
      <c r="C12" s="6"/>
      <c r="D12" s="6"/>
      <c r="E12" s="6"/>
      <c r="F12" s="6"/>
    </row>
    <row r="13">
      <c r="A13" s="6"/>
      <c r="B13" s="6"/>
      <c r="C13" s="6"/>
      <c r="D13" s="6"/>
      <c r="E13" s="6"/>
      <c r="F13" s="6"/>
    </row>
    <row r="14">
      <c r="A14" s="6"/>
      <c r="B14" s="6"/>
      <c r="C14" s="6"/>
      <c r="D14" s="6"/>
      <c r="E14" s="6"/>
      <c r="F14" s="6"/>
    </row>
    <row r="15">
      <c r="A15" s="6"/>
      <c r="B15" s="6"/>
      <c r="C15" s="6"/>
      <c r="D15" s="6"/>
      <c r="E15" s="6"/>
      <c r="F15" s="6"/>
    </row>
    <row r="16">
      <c r="A16" s="6"/>
      <c r="B16" s="6"/>
      <c r="C16" s="6"/>
      <c r="D16" s="6"/>
      <c r="E16" s="6"/>
      <c r="F16" s="6"/>
    </row>
    <row r="17">
      <c r="A17" s="6"/>
      <c r="B17" s="6"/>
      <c r="C17" s="6"/>
      <c r="D17" s="6"/>
      <c r="E17" s="6"/>
      <c r="F17" s="6"/>
    </row>
    <row r="18">
      <c r="A18" s="6"/>
      <c r="B18" s="6"/>
      <c r="C18" s="6"/>
      <c r="D18" s="6"/>
      <c r="E18" s="6"/>
      <c r="F18" s="6"/>
    </row>
    <row r="19">
      <c r="A19" s="6"/>
      <c r="B19" s="6"/>
      <c r="C19" s="6"/>
      <c r="D19" s="6"/>
      <c r="E19" s="6"/>
      <c r="F19" s="6"/>
    </row>
    <row r="20">
      <c r="A20" s="6"/>
      <c r="B20" s="6"/>
      <c r="C20" s="6"/>
      <c r="D20" s="6"/>
      <c r="E20" s="6"/>
      <c r="F20" s="6"/>
    </row>
    <row r="21">
      <c r="A21" s="6"/>
      <c r="B21" s="6"/>
      <c r="C21" s="6"/>
      <c r="D21" s="6"/>
      <c r="E21" s="6"/>
      <c r="F21" s="6"/>
    </row>
    <row r="22">
      <c r="A22" s="6"/>
      <c r="B22" s="6"/>
      <c r="C22" s="6"/>
      <c r="D22" s="6"/>
      <c r="E22" s="6"/>
      <c r="F22" s="6"/>
    </row>
    <row r="23">
      <c r="A23" s="6"/>
      <c r="B23" s="6"/>
      <c r="C23" s="6"/>
      <c r="D23" s="6"/>
      <c r="E23" s="6"/>
      <c r="F23" s="6"/>
    </row>
    <row r="24">
      <c r="A24" s="6"/>
      <c r="B24" s="6"/>
      <c r="C24" s="6"/>
      <c r="D24" s="6"/>
      <c r="E24" s="6"/>
      <c r="F24" s="6"/>
    </row>
    <row r="25">
      <c r="A25" s="6"/>
      <c r="B25" s="6"/>
      <c r="C25" s="6"/>
      <c r="D25" s="6"/>
      <c r="E25" s="6"/>
      <c r="F25" s="6"/>
    </row>
    <row r="26">
      <c r="A26" s="6"/>
      <c r="B26" s="6"/>
      <c r="C26" s="6"/>
      <c r="D26" s="6"/>
      <c r="E26" s="6"/>
      <c r="F26" s="6"/>
    </row>
    <row r="27">
      <c r="A27" s="6"/>
      <c r="B27" s="6"/>
      <c r="C27" s="6"/>
      <c r="D27" s="6"/>
      <c r="E27" s="6"/>
      <c r="F27" s="6"/>
    </row>
    <row r="28">
      <c r="A28" s="6"/>
      <c r="B28" s="6"/>
      <c r="C28" s="6"/>
      <c r="D28" s="6"/>
      <c r="E28" s="6"/>
      <c r="F28" s="6"/>
    </row>
    <row r="29">
      <c r="A29" s="6"/>
      <c r="B29" s="6"/>
      <c r="C29" s="6"/>
      <c r="D29" s="6"/>
      <c r="E29" s="6"/>
      <c r="F29" s="6"/>
    </row>
    <row r="30">
      <c r="A30" s="6"/>
      <c r="B30" s="6"/>
      <c r="C30" s="6"/>
      <c r="D30" s="6"/>
      <c r="E30" s="6"/>
      <c r="F30" s="6"/>
    </row>
    <row r="31">
      <c r="A31" s="6"/>
      <c r="B31" s="6"/>
      <c r="C31" s="6"/>
      <c r="D31" s="6"/>
      <c r="E31" s="6"/>
      <c r="F31" s="6"/>
    </row>
    <row r="32">
      <c r="A32" s="6"/>
      <c r="B32" s="6"/>
      <c r="C32" s="6"/>
      <c r="D32" s="6"/>
      <c r="E32" s="6"/>
      <c r="F32" s="6"/>
    </row>
    <row r="33">
      <c r="A33" s="6"/>
      <c r="B33" s="6"/>
      <c r="C33" s="6"/>
      <c r="D33" s="6"/>
      <c r="E33" s="6"/>
      <c r="F33" s="6"/>
    </row>
    <row r="34">
      <c r="A34" s="6"/>
      <c r="B34" s="6"/>
      <c r="C34" s="6"/>
      <c r="D34" s="6"/>
      <c r="E34" s="6"/>
      <c r="F34" s="6"/>
    </row>
    <row r="35">
      <c r="A35" s="6"/>
      <c r="B35" s="6"/>
      <c r="C35" s="6"/>
      <c r="D35" s="6"/>
      <c r="E35" s="6"/>
      <c r="F35" s="6"/>
    </row>
    <row r="36">
      <c r="A36" s="6"/>
      <c r="B36" s="6"/>
      <c r="C36" s="6"/>
      <c r="D36" s="6"/>
      <c r="E36" s="6"/>
      <c r="F36" s="6"/>
    </row>
    <row r="37">
      <c r="A37" s="6"/>
      <c r="B37" s="6"/>
      <c r="C37" s="6"/>
      <c r="D37" s="6"/>
      <c r="E37" s="6"/>
      <c r="F37" s="6"/>
    </row>
    <row r="38">
      <c r="A38" s="6"/>
      <c r="B38" s="6"/>
      <c r="C38" s="6"/>
      <c r="D38" s="6"/>
      <c r="E38" s="6"/>
      <c r="F38" s="6"/>
    </row>
    <row r="39">
      <c r="A39" s="6"/>
      <c r="B39" s="6"/>
      <c r="C39" s="6"/>
      <c r="D39" s="6"/>
      <c r="E39" s="6"/>
      <c r="F39" s="6"/>
    </row>
    <row r="40">
      <c r="A40" s="6"/>
      <c r="B40" s="6"/>
      <c r="C40" s="6"/>
      <c r="D40" s="6"/>
      <c r="E40" s="6"/>
      <c r="F40" s="6"/>
    </row>
    <row r="41">
      <c r="A41" s="6"/>
      <c r="B41" s="6"/>
      <c r="C41" s="6"/>
      <c r="D41" s="6"/>
      <c r="E41" s="6"/>
      <c r="F41" s="6"/>
    </row>
    <row r="42">
      <c r="A42" s="6"/>
      <c r="B42" s="6"/>
      <c r="C42" s="6"/>
      <c r="D42" s="6"/>
      <c r="E42" s="6"/>
      <c r="F42" s="6"/>
    </row>
    <row r="43">
      <c r="A43" s="6"/>
      <c r="B43" s="6"/>
      <c r="C43" s="6"/>
      <c r="D43" s="6"/>
      <c r="E43" s="6"/>
      <c r="F43" s="6"/>
    </row>
    <row r="44">
      <c r="A44" s="6"/>
      <c r="B44" s="6"/>
      <c r="C44" s="6"/>
      <c r="D44" s="6"/>
      <c r="E44" s="6"/>
      <c r="F44" s="6"/>
    </row>
    <row r="45">
      <c r="A45" s="6"/>
      <c r="B45" s="6"/>
      <c r="C45" s="6"/>
      <c r="D45" s="6"/>
      <c r="E45" s="6"/>
      <c r="F45" s="6"/>
    </row>
    <row r="46">
      <c r="A46" s="6"/>
      <c r="B46" s="6"/>
      <c r="C46" s="6"/>
      <c r="D46" s="6"/>
      <c r="E46" s="6"/>
      <c r="F46" s="6"/>
    </row>
    <row r="47">
      <c r="A47" s="6"/>
      <c r="B47" s="6"/>
      <c r="C47" s="6"/>
      <c r="D47" s="6"/>
      <c r="E47" s="6"/>
      <c r="F47" s="6"/>
    </row>
    <row r="48">
      <c r="A48" s="6"/>
      <c r="B48" s="6"/>
      <c r="C48" s="6"/>
      <c r="D48" s="6"/>
      <c r="E48" s="6"/>
      <c r="F48" s="6"/>
    </row>
    <row r="49">
      <c r="A49" s="6"/>
      <c r="B49" s="6"/>
      <c r="C49" s="6"/>
      <c r="D49" s="6"/>
      <c r="E49" s="6"/>
      <c r="F49" s="6"/>
    </row>
    <row r="50">
      <c r="A50" s="6"/>
      <c r="B50" s="6"/>
      <c r="C50" s="6"/>
      <c r="D50" s="6"/>
      <c r="E50" s="6"/>
      <c r="F50" s="6"/>
    </row>
    <row r="51">
      <c r="A51" s="6"/>
      <c r="B51" s="6"/>
      <c r="C51" s="6"/>
      <c r="D51" s="6"/>
      <c r="E51" s="6"/>
      <c r="F51" s="6"/>
    </row>
    <row r="52">
      <c r="A52" s="6"/>
      <c r="B52" s="6"/>
      <c r="C52" s="6"/>
      <c r="D52" s="6"/>
      <c r="E52" s="6"/>
      <c r="F52" s="6"/>
    </row>
    <row r="53">
      <c r="A53" s="6"/>
      <c r="B53" s="6"/>
      <c r="C53" s="6"/>
      <c r="D53" s="6"/>
      <c r="E53" s="6"/>
      <c r="F53" s="6"/>
    </row>
    <row r="54">
      <c r="A54" s="6"/>
      <c r="B54" s="6"/>
      <c r="C54" s="6"/>
      <c r="D54" s="6"/>
      <c r="E54" s="6"/>
      <c r="F54" s="6"/>
    </row>
    <row r="55">
      <c r="A55" s="6"/>
      <c r="B55" s="6"/>
      <c r="C55" s="6"/>
      <c r="D55" s="6"/>
      <c r="E55" s="6"/>
      <c r="F55" s="6"/>
    </row>
    <row r="56">
      <c r="A56" s="6"/>
      <c r="B56" s="6"/>
      <c r="C56" s="6"/>
      <c r="D56" s="6"/>
      <c r="E56" s="6"/>
      <c r="F56" s="6"/>
    </row>
    <row r="57">
      <c r="A57" s="6"/>
      <c r="B57" s="6"/>
      <c r="C57" s="6"/>
      <c r="D57" s="6"/>
      <c r="E57" s="6"/>
      <c r="F57" s="6"/>
    </row>
    <row r="58">
      <c r="A58" s="6"/>
      <c r="B58" s="6"/>
      <c r="C58" s="6"/>
      <c r="D58" s="6"/>
      <c r="E58" s="6"/>
      <c r="F58" s="6"/>
    </row>
    <row r="59">
      <c r="A59" s="6"/>
      <c r="B59" s="6"/>
      <c r="C59" s="6"/>
      <c r="D59" s="6"/>
      <c r="E59" s="6"/>
      <c r="F59" s="6"/>
    </row>
    <row r="60">
      <c r="A60" s="6"/>
      <c r="B60" s="6"/>
      <c r="C60" s="6"/>
      <c r="D60" s="6"/>
      <c r="E60" s="6"/>
      <c r="F60" s="6"/>
    </row>
    <row r="61">
      <c r="A61" s="6"/>
      <c r="B61" s="6"/>
      <c r="C61" s="6"/>
      <c r="D61" s="6"/>
      <c r="E61" s="6"/>
      <c r="F61" s="6"/>
    </row>
    <row r="62">
      <c r="A62" s="6"/>
      <c r="B62" s="6"/>
      <c r="C62" s="6"/>
      <c r="D62" s="6"/>
      <c r="E62" s="6"/>
      <c r="F62" s="6"/>
    </row>
    <row r="63">
      <c r="A63" s="6"/>
      <c r="B63" s="6"/>
      <c r="C63" s="6"/>
      <c r="D63" s="6"/>
      <c r="E63" s="6"/>
      <c r="F63" s="6"/>
    </row>
    <row r="64">
      <c r="A64" s="6"/>
      <c r="B64" s="6"/>
      <c r="C64" s="6"/>
      <c r="D64" s="6"/>
      <c r="E64" s="6"/>
      <c r="F64" s="6"/>
    </row>
    <row r="65">
      <c r="A65" s="6"/>
      <c r="B65" s="6"/>
      <c r="C65" s="6"/>
      <c r="D65" s="6"/>
      <c r="E65" s="6"/>
      <c r="F65" s="6"/>
    </row>
    <row r="66">
      <c r="A66" s="6"/>
      <c r="B66" s="6"/>
      <c r="C66" s="6"/>
      <c r="D66" s="6"/>
      <c r="E66" s="6"/>
      <c r="F66" s="6"/>
    </row>
    <row r="67">
      <c r="A67" s="6"/>
      <c r="B67" s="6"/>
      <c r="C67" s="6"/>
      <c r="D67" s="6"/>
      <c r="E67" s="6"/>
      <c r="F67" s="6"/>
    </row>
    <row r="68">
      <c r="A68" s="6"/>
      <c r="B68" s="6"/>
      <c r="C68" s="6"/>
      <c r="D68" s="6"/>
      <c r="E68" s="6"/>
      <c r="F68" s="6"/>
    </row>
    <row r="69">
      <c r="A69" s="6"/>
      <c r="B69" s="6"/>
      <c r="C69" s="6"/>
      <c r="D69" s="6"/>
      <c r="E69" s="6"/>
      <c r="F69" s="6"/>
    </row>
    <row r="70">
      <c r="A70" s="6"/>
      <c r="B70" s="6"/>
      <c r="C70" s="6"/>
      <c r="D70" s="6"/>
      <c r="E70" s="6"/>
      <c r="F70" s="6"/>
    </row>
    <row r="71">
      <c r="A71" s="6"/>
      <c r="B71" s="6"/>
      <c r="C71" s="6"/>
      <c r="D71" s="6"/>
      <c r="E71" s="6"/>
      <c r="F71" s="6"/>
    </row>
    <row r="72">
      <c r="A72" s="6"/>
      <c r="B72" s="6"/>
      <c r="C72" s="6"/>
      <c r="D72" s="6"/>
      <c r="E72" s="6"/>
      <c r="F72" s="6"/>
    </row>
    <row r="73">
      <c r="A73" s="6"/>
      <c r="B73" s="6"/>
      <c r="C73" s="6"/>
      <c r="D73" s="6"/>
      <c r="E73" s="6"/>
      <c r="F73" s="6"/>
    </row>
    <row r="74">
      <c r="A74" s="6"/>
      <c r="B74" s="6"/>
      <c r="C74" s="6"/>
      <c r="D74" s="6"/>
      <c r="E74" s="6"/>
      <c r="F74" s="6"/>
    </row>
    <row r="75">
      <c r="A75" s="6"/>
      <c r="B75" s="6"/>
      <c r="C75" s="6"/>
      <c r="D75" s="6"/>
      <c r="E75" s="6"/>
      <c r="F75" s="6"/>
    </row>
    <row r="76">
      <c r="A76" s="6"/>
      <c r="B76" s="6"/>
      <c r="C76" s="6"/>
      <c r="D76" s="6"/>
      <c r="E76" s="6"/>
      <c r="F76" s="6"/>
    </row>
    <row r="77">
      <c r="A77" s="6"/>
      <c r="B77" s="6"/>
      <c r="C77" s="6"/>
      <c r="D77" s="6"/>
      <c r="E77" s="6"/>
      <c r="F77" s="6"/>
    </row>
    <row r="78">
      <c r="A78" s="6"/>
      <c r="B78" s="6"/>
      <c r="C78" s="6"/>
      <c r="D78" s="6"/>
      <c r="E78" s="6"/>
      <c r="F78" s="6"/>
    </row>
    <row r="79">
      <c r="A79" s="6"/>
      <c r="B79" s="6"/>
      <c r="C79" s="6"/>
      <c r="D79" s="6"/>
      <c r="E79" s="6"/>
      <c r="F79" s="6"/>
    </row>
    <row r="80">
      <c r="A80" s="6"/>
      <c r="B80" s="6"/>
      <c r="C80" s="6"/>
      <c r="D80" s="6"/>
      <c r="E80" s="6"/>
      <c r="F80" s="6"/>
    </row>
    <row r="81">
      <c r="A81" s="6"/>
      <c r="B81" s="6"/>
      <c r="C81" s="6"/>
      <c r="D81" s="6"/>
      <c r="E81" s="6"/>
      <c r="F81" s="6"/>
    </row>
    <row r="82">
      <c r="A82" s="6"/>
      <c r="B82" s="6"/>
      <c r="C82" s="6"/>
      <c r="D82" s="6"/>
      <c r="E82" s="6"/>
      <c r="F82" s="6"/>
    </row>
    <row r="83">
      <c r="A83" s="6"/>
      <c r="B83" s="6"/>
      <c r="C83" s="6"/>
      <c r="D83" s="6"/>
      <c r="E83" s="6"/>
      <c r="F83" s="6"/>
    </row>
    <row r="84">
      <c r="A84" s="6"/>
      <c r="B84" s="6"/>
      <c r="C84" s="6"/>
      <c r="D84" s="6"/>
      <c r="E84" s="6"/>
      <c r="F84" s="6"/>
    </row>
    <row r="85">
      <c r="A85" s="6"/>
      <c r="B85" s="6"/>
      <c r="C85" s="6"/>
      <c r="D85" s="6"/>
      <c r="E85" s="6"/>
      <c r="F85" s="6"/>
    </row>
    <row r="86">
      <c r="A86" s="6"/>
      <c r="B86" s="6"/>
      <c r="C86" s="6"/>
      <c r="D86" s="6"/>
      <c r="E86" s="6"/>
      <c r="F86" s="6"/>
    </row>
    <row r="87">
      <c r="A87" s="6"/>
      <c r="B87" s="6"/>
      <c r="C87" s="6"/>
      <c r="D87" s="6"/>
      <c r="E87" s="6"/>
      <c r="F87" s="6"/>
    </row>
    <row r="88">
      <c r="A88" s="6"/>
      <c r="B88" s="6"/>
      <c r="C88" s="6"/>
      <c r="D88" s="6"/>
      <c r="E88" s="6"/>
      <c r="F88" s="6"/>
    </row>
    <row r="89">
      <c r="A89" s="6"/>
      <c r="B89" s="6"/>
      <c r="C89" s="6"/>
      <c r="D89" s="6"/>
      <c r="E89" s="6"/>
      <c r="F89" s="6"/>
    </row>
    <row r="90">
      <c r="A90" s="6"/>
      <c r="B90" s="6"/>
      <c r="C90" s="6"/>
      <c r="D90" s="6"/>
      <c r="E90" s="6"/>
      <c r="F90" s="6"/>
    </row>
    <row r="91">
      <c r="A91" s="6"/>
      <c r="B91" s="6"/>
      <c r="C91" s="6"/>
      <c r="D91" s="6"/>
      <c r="E91" s="6"/>
      <c r="F91" s="6"/>
    </row>
    <row r="92">
      <c r="A92" s="6"/>
      <c r="B92" s="6"/>
      <c r="C92" s="6"/>
      <c r="D92" s="6"/>
      <c r="E92" s="6"/>
      <c r="F92" s="6"/>
    </row>
    <row r="93">
      <c r="A93" s="6"/>
      <c r="B93" s="6"/>
      <c r="C93" s="6"/>
      <c r="D93" s="6"/>
      <c r="E93" s="6"/>
      <c r="F93" s="6"/>
    </row>
    <row r="94">
      <c r="A94" s="6"/>
      <c r="B94" s="6"/>
      <c r="C94" s="6"/>
      <c r="D94" s="6"/>
      <c r="E94" s="6"/>
      <c r="F94" s="6"/>
    </row>
    <row r="95">
      <c r="A95" s="6"/>
      <c r="B95" s="6"/>
      <c r="C95" s="6"/>
      <c r="D95" s="6"/>
      <c r="E95" s="6"/>
      <c r="F95" s="6"/>
    </row>
    <row r="96">
      <c r="A96" s="6"/>
      <c r="B96" s="6"/>
      <c r="C96" s="6"/>
      <c r="D96" s="6"/>
      <c r="E96" s="6"/>
      <c r="F96" s="6"/>
    </row>
    <row r="97">
      <c r="A97" s="6"/>
      <c r="B97" s="6"/>
      <c r="C97" s="6"/>
      <c r="D97" s="6"/>
      <c r="E97" s="6"/>
      <c r="F97" s="6"/>
    </row>
    <row r="98">
      <c r="A98" s="6"/>
      <c r="B98" s="6"/>
      <c r="C98" s="6"/>
      <c r="D98" s="6"/>
      <c r="E98" s="6"/>
      <c r="F98" s="6"/>
    </row>
    <row r="99">
      <c r="A99" s="6"/>
      <c r="B99" s="6"/>
      <c r="C99" s="6"/>
      <c r="D99" s="6"/>
      <c r="E99" s="6"/>
      <c r="F99" s="6"/>
    </row>
    <row r="100">
      <c r="A100" s="5" t="s">
        <v>25</v>
      </c>
    </row>
  </sheetData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IFERROR(__xludf.DUMMYFUNCTION("GOOGLEFINANCE(""NSE:VMM"",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IFERROR(__xludf.DUMMYFUNCTION("""COMPUTED_VALUE"""),45646.64583333333)</f>
        <v>45646.64583</v>
      </c>
      <c r="B2" s="6">
        <f>IFERROR(__xludf.DUMMYFUNCTION("""COMPUTED_VALUE"""),104.0)</f>
        <v>104</v>
      </c>
      <c r="C2" s="6">
        <f>IFERROR(__xludf.DUMMYFUNCTION("""COMPUTED_VALUE"""),114.75)</f>
        <v>114.75</v>
      </c>
      <c r="D2" s="6">
        <f>IFERROR(__xludf.DUMMYFUNCTION("""COMPUTED_VALUE"""),97.59)</f>
        <v>97.59</v>
      </c>
      <c r="E2" s="6">
        <f>IFERROR(__xludf.DUMMYFUNCTION("""COMPUTED_VALUE"""),101.19)</f>
        <v>101.19</v>
      </c>
      <c r="F2" s="6">
        <f>IFERROR(__xludf.DUMMYFUNCTION("""COMPUTED_VALUE"""),1.016341979E9)</f>
        <v>1016341979</v>
      </c>
    </row>
    <row r="3">
      <c r="A3" s="7">
        <f>IFERROR(__xludf.DUMMYFUNCTION("""COMPUTED_VALUE"""),45653.64583333333)</f>
        <v>45653.64583</v>
      </c>
      <c r="B3" s="6">
        <f>IFERROR(__xludf.DUMMYFUNCTION("""COMPUTED_VALUE"""),102.0)</f>
        <v>102</v>
      </c>
      <c r="C3" s="6">
        <f>IFERROR(__xludf.DUMMYFUNCTION("""COMPUTED_VALUE"""),114.15)</f>
        <v>114.15</v>
      </c>
      <c r="D3" s="6">
        <f>IFERROR(__xludf.DUMMYFUNCTION("""COMPUTED_VALUE"""),96.7)</f>
        <v>96.7</v>
      </c>
      <c r="E3" s="6">
        <f>IFERROR(__xludf.DUMMYFUNCTION("""COMPUTED_VALUE"""),106.14)</f>
        <v>106.14</v>
      </c>
      <c r="F3" s="6">
        <f>IFERROR(__xludf.DUMMYFUNCTION("""COMPUTED_VALUE"""),2.46817027E8)</f>
        <v>246817027</v>
      </c>
    </row>
    <row r="4">
      <c r="A4" s="7">
        <f>IFERROR(__xludf.DUMMYFUNCTION("""COMPUTED_VALUE"""),45660.64583333333)</f>
        <v>45660.64583</v>
      </c>
      <c r="B4" s="6">
        <f>IFERROR(__xludf.DUMMYFUNCTION("""COMPUTED_VALUE"""),105.1)</f>
        <v>105.1</v>
      </c>
      <c r="C4" s="6">
        <f>IFERROR(__xludf.DUMMYFUNCTION("""COMPUTED_VALUE"""),117.34)</f>
        <v>117.34</v>
      </c>
      <c r="D4" s="6">
        <f>IFERROR(__xludf.DUMMYFUNCTION("""COMPUTED_VALUE"""),101.0)</f>
        <v>101</v>
      </c>
      <c r="E4" s="6">
        <f>IFERROR(__xludf.DUMMYFUNCTION("""COMPUTED_VALUE"""),112.18)</f>
        <v>112.18</v>
      </c>
      <c r="F4" s="6">
        <f>IFERROR(__xludf.DUMMYFUNCTION("""COMPUTED_VALUE"""),2.25029816E8)</f>
        <v>225029816</v>
      </c>
    </row>
    <row r="5">
      <c r="A5" s="7">
        <f>IFERROR(__xludf.DUMMYFUNCTION("""COMPUTED_VALUE"""),45667.64583333333)</f>
        <v>45667.64583</v>
      </c>
      <c r="B5" s="6">
        <f>IFERROR(__xludf.DUMMYFUNCTION("""COMPUTED_VALUE"""),112.98)</f>
        <v>112.98</v>
      </c>
      <c r="C5" s="6">
        <f>IFERROR(__xludf.DUMMYFUNCTION("""COMPUTED_VALUE"""),116.49)</f>
        <v>116.49</v>
      </c>
      <c r="D5" s="6">
        <f>IFERROR(__xludf.DUMMYFUNCTION("""COMPUTED_VALUE"""),104.11)</f>
        <v>104.11</v>
      </c>
      <c r="E5" s="6">
        <f>IFERROR(__xludf.DUMMYFUNCTION("""COMPUTED_VALUE"""),108.51)</f>
        <v>108.51</v>
      </c>
      <c r="F5" s="6">
        <f>IFERROR(__xludf.DUMMYFUNCTION("""COMPUTED_VALUE"""),1.83761779E8)</f>
        <v>183761779</v>
      </c>
    </row>
    <row r="6">
      <c r="A6" s="7">
        <f>IFERROR(__xludf.DUMMYFUNCTION("""COMPUTED_VALUE"""),45674.64583333333)</f>
        <v>45674.64583</v>
      </c>
      <c r="B6" s="6">
        <f>IFERROR(__xludf.DUMMYFUNCTION("""COMPUTED_VALUE"""),105.9)</f>
        <v>105.9</v>
      </c>
      <c r="C6" s="6">
        <f>IFERROR(__xludf.DUMMYFUNCTION("""COMPUTED_VALUE"""),110.64)</f>
        <v>110.64</v>
      </c>
      <c r="D6" s="6">
        <f>IFERROR(__xludf.DUMMYFUNCTION("""COMPUTED_VALUE"""),101.5)</f>
        <v>101.5</v>
      </c>
      <c r="E6" s="6">
        <f>IFERROR(__xludf.DUMMYFUNCTION("""COMPUTED_VALUE"""),109.84)</f>
        <v>109.84</v>
      </c>
      <c r="F6" s="6">
        <f>IFERROR(__xludf.DUMMYFUNCTION("""COMPUTED_VALUE"""),1.04469398E8)</f>
        <v>104469398</v>
      </c>
    </row>
    <row r="7">
      <c r="A7" s="7">
        <f>IFERROR(__xludf.DUMMYFUNCTION("""COMPUTED_VALUE"""),45681.64583333333)</f>
        <v>45681.64583</v>
      </c>
      <c r="B7" s="6">
        <f>IFERROR(__xludf.DUMMYFUNCTION("""COMPUTED_VALUE"""),110.59)</f>
        <v>110.59</v>
      </c>
      <c r="C7" s="6">
        <f>IFERROR(__xludf.DUMMYFUNCTION("""COMPUTED_VALUE"""),113.95)</f>
        <v>113.95</v>
      </c>
      <c r="D7" s="6">
        <f>IFERROR(__xludf.DUMMYFUNCTION("""COMPUTED_VALUE"""),101.76)</f>
        <v>101.76</v>
      </c>
      <c r="E7" s="6">
        <f>IFERROR(__xludf.DUMMYFUNCTION("""COMPUTED_VALUE"""),102.81)</f>
        <v>102.81</v>
      </c>
      <c r="F7" s="6">
        <f>IFERROR(__xludf.DUMMYFUNCTION("""COMPUTED_VALUE"""),7.6507372E7)</f>
        <v>76507372</v>
      </c>
    </row>
    <row r="8">
      <c r="A8" s="7">
        <f>IFERROR(__xludf.DUMMYFUNCTION("""COMPUTED_VALUE"""),45695.64583333333)</f>
        <v>45695.64583</v>
      </c>
      <c r="B8" s="6">
        <f>IFERROR(__xludf.DUMMYFUNCTION("""COMPUTED_VALUE"""),113.0)</f>
        <v>113</v>
      </c>
      <c r="C8" s="6">
        <f>IFERROR(__xludf.DUMMYFUNCTION("""COMPUTED_VALUE"""),126.87)</f>
        <v>126.87</v>
      </c>
      <c r="D8" s="6">
        <f>IFERROR(__xludf.DUMMYFUNCTION("""COMPUTED_VALUE"""),111.41)</f>
        <v>111.41</v>
      </c>
      <c r="E8" s="6">
        <f>IFERROR(__xludf.DUMMYFUNCTION("""COMPUTED_VALUE"""),113.13)</f>
        <v>113.13</v>
      </c>
      <c r="F8" s="6">
        <f>IFERROR(__xludf.DUMMYFUNCTION("""COMPUTED_VALUE"""),2.15887596E8)</f>
        <v>215887596</v>
      </c>
    </row>
    <row r="9">
      <c r="A9" s="7">
        <f>IFERROR(__xludf.DUMMYFUNCTION("""COMPUTED_VALUE"""),45702.64583333333)</f>
        <v>45702.64583</v>
      </c>
      <c r="B9" s="6">
        <f>IFERROR(__xludf.DUMMYFUNCTION("""COMPUTED_VALUE"""),112.81)</f>
        <v>112.81</v>
      </c>
      <c r="C9" s="6">
        <f>IFERROR(__xludf.DUMMYFUNCTION("""COMPUTED_VALUE"""),113.65)</f>
        <v>113.65</v>
      </c>
      <c r="D9" s="6">
        <f>IFERROR(__xludf.DUMMYFUNCTION("""COMPUTED_VALUE"""),101.55)</f>
        <v>101.55</v>
      </c>
      <c r="E9" s="6">
        <f>IFERROR(__xludf.DUMMYFUNCTION("""COMPUTED_VALUE"""),104.54)</f>
        <v>104.54</v>
      </c>
      <c r="F9" s="6">
        <f>IFERROR(__xludf.DUMMYFUNCTION("""COMPUTED_VALUE"""),9.3592738E7)</f>
        <v>93592738</v>
      </c>
    </row>
    <row r="10">
      <c r="A10" s="7">
        <f>IFERROR(__xludf.DUMMYFUNCTION("""COMPUTED_VALUE"""),45709.64583333333)</f>
        <v>45709.64583</v>
      </c>
      <c r="B10" s="6">
        <f>IFERROR(__xludf.DUMMYFUNCTION("""COMPUTED_VALUE"""),103.6)</f>
        <v>103.6</v>
      </c>
      <c r="C10" s="6">
        <f>IFERROR(__xludf.DUMMYFUNCTION("""COMPUTED_VALUE"""),106.15)</f>
        <v>106.15</v>
      </c>
      <c r="D10" s="6">
        <f>IFERROR(__xludf.DUMMYFUNCTION("""COMPUTED_VALUE"""),100.11)</f>
        <v>100.11</v>
      </c>
      <c r="E10" s="6">
        <f>IFERROR(__xludf.DUMMYFUNCTION("""COMPUTED_VALUE"""),102.65)</f>
        <v>102.65</v>
      </c>
      <c r="F10" s="6">
        <f>IFERROR(__xludf.DUMMYFUNCTION("""COMPUTED_VALUE"""),8.4381959E7)</f>
        <v>84381959</v>
      </c>
    </row>
    <row r="11">
      <c r="A11" s="7">
        <f>IFERROR(__xludf.DUMMYFUNCTION("""COMPUTED_VALUE"""),45716.64583333333)</f>
        <v>45716.64583</v>
      </c>
      <c r="B11" s="6">
        <f>IFERROR(__xludf.DUMMYFUNCTION("""COMPUTED_VALUE"""),101.5)</f>
        <v>101.5</v>
      </c>
      <c r="C11" s="6">
        <f>IFERROR(__xludf.DUMMYFUNCTION("""COMPUTED_VALUE"""),104.18)</f>
        <v>104.18</v>
      </c>
      <c r="D11" s="6">
        <f>IFERROR(__xludf.DUMMYFUNCTION("""COMPUTED_VALUE"""),95.99)</f>
        <v>95.99</v>
      </c>
      <c r="E11" s="6">
        <f>IFERROR(__xludf.DUMMYFUNCTION("""COMPUTED_VALUE"""),100.21)</f>
        <v>100.21</v>
      </c>
      <c r="F11" s="6">
        <f>IFERROR(__xludf.DUMMYFUNCTION("""COMPUTED_VALUE"""),6.2439691E7)</f>
        <v>62439691</v>
      </c>
    </row>
    <row r="12">
      <c r="A12" s="7">
        <f>IFERROR(__xludf.DUMMYFUNCTION("""COMPUTED_VALUE"""),45723.64583333333)</f>
        <v>45723.64583</v>
      </c>
      <c r="B12" s="6">
        <f>IFERROR(__xludf.DUMMYFUNCTION("""COMPUTED_VALUE"""),102.0)</f>
        <v>102</v>
      </c>
      <c r="C12" s="6">
        <f>IFERROR(__xludf.DUMMYFUNCTION("""COMPUTED_VALUE"""),108.2)</f>
        <v>108.2</v>
      </c>
      <c r="D12" s="6">
        <f>IFERROR(__xludf.DUMMYFUNCTION("""COMPUTED_VALUE"""),96.75)</f>
        <v>96.75</v>
      </c>
      <c r="E12" s="6">
        <f>IFERROR(__xludf.DUMMYFUNCTION("""COMPUTED_VALUE"""),104.57)</f>
        <v>104.57</v>
      </c>
      <c r="F12" s="6">
        <f>IFERROR(__xludf.DUMMYFUNCTION("""COMPUTED_VALUE"""),7.5073204E7)</f>
        <v>75073204</v>
      </c>
    </row>
    <row r="13">
      <c r="A13" s="7">
        <f>IFERROR(__xludf.DUMMYFUNCTION("""COMPUTED_VALUE"""),45729.64583333333)</f>
        <v>45729.64583</v>
      </c>
      <c r="B13" s="6">
        <f>IFERROR(__xludf.DUMMYFUNCTION("""COMPUTED_VALUE"""),105.0)</f>
        <v>105</v>
      </c>
      <c r="C13" s="6">
        <f>IFERROR(__xludf.DUMMYFUNCTION("""COMPUTED_VALUE"""),106.0)</f>
        <v>106</v>
      </c>
      <c r="D13" s="6">
        <f>IFERROR(__xludf.DUMMYFUNCTION("""COMPUTED_VALUE"""),99.0)</f>
        <v>99</v>
      </c>
      <c r="E13" s="6">
        <f>IFERROR(__xludf.DUMMYFUNCTION("""COMPUTED_VALUE"""),99.44)</f>
        <v>99.44</v>
      </c>
      <c r="F13" s="6">
        <f>IFERROR(__xludf.DUMMYFUNCTION("""COMPUTED_VALUE"""),4.3345968E7)</f>
        <v>43345968</v>
      </c>
    </row>
    <row r="14">
      <c r="A14" s="7">
        <f>IFERROR(__xludf.DUMMYFUNCTION("""COMPUTED_VALUE"""),45737.64583333333)</f>
        <v>45737.64583</v>
      </c>
      <c r="B14" s="6">
        <f>IFERROR(__xludf.DUMMYFUNCTION("""COMPUTED_VALUE"""),98.94)</f>
        <v>98.94</v>
      </c>
      <c r="C14" s="6">
        <f>IFERROR(__xludf.DUMMYFUNCTION("""COMPUTED_VALUE"""),103.2)</f>
        <v>103.2</v>
      </c>
      <c r="D14" s="6">
        <f>IFERROR(__xludf.DUMMYFUNCTION("""COMPUTED_VALUE"""),0.0)</f>
        <v>0</v>
      </c>
      <c r="E14" s="6">
        <f>IFERROR(__xludf.DUMMYFUNCTION("""COMPUTED_VALUE"""),102.1)</f>
        <v>102.1</v>
      </c>
      <c r="F14" s="6">
        <f>IFERROR(__xludf.DUMMYFUNCTION("""COMPUTED_VALUE"""),8.8014664E7)</f>
        <v>88014664</v>
      </c>
    </row>
    <row r="15">
      <c r="A15" s="7">
        <f>IFERROR(__xludf.DUMMYFUNCTION("""COMPUTED_VALUE"""),45744.64583333333)</f>
        <v>45744.64583</v>
      </c>
      <c r="B15" s="6">
        <f>IFERROR(__xludf.DUMMYFUNCTION("""COMPUTED_VALUE"""),102.89)</f>
        <v>102.89</v>
      </c>
      <c r="C15" s="6">
        <f>IFERROR(__xludf.DUMMYFUNCTION("""COMPUTED_VALUE"""),106.3)</f>
        <v>106.3</v>
      </c>
      <c r="D15" s="6">
        <f>IFERROR(__xludf.DUMMYFUNCTION("""COMPUTED_VALUE"""),100.68)</f>
        <v>100.68</v>
      </c>
      <c r="E15" s="6">
        <f>IFERROR(__xludf.DUMMYFUNCTION("""COMPUTED_VALUE"""),104.24)</f>
        <v>104.24</v>
      </c>
      <c r="F15" s="6">
        <f>IFERROR(__xludf.DUMMYFUNCTION("""COMPUTED_VALUE"""),8.9049977E7)</f>
        <v>89049977</v>
      </c>
    </row>
    <row r="16">
      <c r="A16" s="7">
        <f>IFERROR(__xludf.DUMMYFUNCTION("""COMPUTED_VALUE"""),45751.64583333333)</f>
        <v>45751.64583</v>
      </c>
      <c r="B16" s="6">
        <f>IFERROR(__xludf.DUMMYFUNCTION("""COMPUTED_VALUE"""),102.45)</f>
        <v>102.45</v>
      </c>
      <c r="C16" s="6">
        <f>IFERROR(__xludf.DUMMYFUNCTION("""COMPUTED_VALUE"""),111.25)</f>
        <v>111.25</v>
      </c>
      <c r="D16" s="6">
        <f>IFERROR(__xludf.DUMMYFUNCTION("""COMPUTED_VALUE"""),102.4)</f>
        <v>102.4</v>
      </c>
      <c r="E16" s="6">
        <f>IFERROR(__xludf.DUMMYFUNCTION("""COMPUTED_VALUE"""),105.79)</f>
        <v>105.79</v>
      </c>
      <c r="F16" s="6">
        <f>IFERROR(__xludf.DUMMYFUNCTION("""COMPUTED_VALUE"""),5.7497131E7)</f>
        <v>57497131</v>
      </c>
    </row>
    <row r="17">
      <c r="A17" s="7">
        <f>IFERROR(__xludf.DUMMYFUNCTION("""COMPUTED_VALUE"""),45758.64583333333)</f>
        <v>45758.64583</v>
      </c>
      <c r="B17" s="6">
        <f>IFERROR(__xludf.DUMMYFUNCTION("""COMPUTED_VALUE"""),96.35)</f>
        <v>96.35</v>
      </c>
      <c r="C17" s="6">
        <f>IFERROR(__xludf.DUMMYFUNCTION("""COMPUTED_VALUE"""),105.8)</f>
        <v>105.8</v>
      </c>
      <c r="D17" s="6">
        <f>IFERROR(__xludf.DUMMYFUNCTION("""COMPUTED_VALUE"""),96.3)</f>
        <v>96.3</v>
      </c>
      <c r="E17" s="6">
        <f>IFERROR(__xludf.DUMMYFUNCTION("""COMPUTED_VALUE"""),104.51)</f>
        <v>104.51</v>
      </c>
      <c r="F17" s="6">
        <f>IFERROR(__xludf.DUMMYFUNCTION("""COMPUTED_VALUE"""),3.8175763E7)</f>
        <v>38175763</v>
      </c>
    </row>
    <row r="18">
      <c r="A18" s="7">
        <f>IFERROR(__xludf.DUMMYFUNCTION("""COMPUTED_VALUE"""),45764.64583333333)</f>
        <v>45764.64583</v>
      </c>
      <c r="B18" s="6">
        <f>IFERROR(__xludf.DUMMYFUNCTION("""COMPUTED_VALUE"""),105.06)</f>
        <v>105.06</v>
      </c>
      <c r="C18" s="6">
        <f>IFERROR(__xludf.DUMMYFUNCTION("""COMPUTED_VALUE"""),111.18)</f>
        <v>111.18</v>
      </c>
      <c r="D18" s="6">
        <f>IFERROR(__xludf.DUMMYFUNCTION("""COMPUTED_VALUE"""),104.95)</f>
        <v>104.95</v>
      </c>
      <c r="E18" s="6">
        <f>IFERROR(__xludf.DUMMYFUNCTION("""COMPUTED_VALUE"""),108.67)</f>
        <v>108.67</v>
      </c>
      <c r="F18" s="6">
        <f>IFERROR(__xludf.DUMMYFUNCTION("""COMPUTED_VALUE"""),3.0081457E7)</f>
        <v>30081457</v>
      </c>
    </row>
    <row r="19">
      <c r="A19" s="7">
        <f>IFERROR(__xludf.DUMMYFUNCTION("""COMPUTED_VALUE"""),45772.64583333333)</f>
        <v>45772.64583</v>
      </c>
      <c r="B19" s="6">
        <f>IFERROR(__xludf.DUMMYFUNCTION("""COMPUTED_VALUE"""),109.25)</f>
        <v>109.25</v>
      </c>
      <c r="C19" s="6">
        <f>IFERROR(__xludf.DUMMYFUNCTION("""COMPUTED_VALUE"""),114.49)</f>
        <v>114.49</v>
      </c>
      <c r="D19" s="6">
        <f>IFERROR(__xludf.DUMMYFUNCTION("""COMPUTED_VALUE"""),105.3)</f>
        <v>105.3</v>
      </c>
      <c r="E19" s="6">
        <f>IFERROR(__xludf.DUMMYFUNCTION("""COMPUTED_VALUE"""),107.32)</f>
        <v>107.32</v>
      </c>
      <c r="F19" s="6">
        <f>IFERROR(__xludf.DUMMYFUNCTION("""COMPUTED_VALUE"""),4.585871E7)</f>
        <v>45858710</v>
      </c>
    </row>
    <row r="20">
      <c r="A20" s="7">
        <f>IFERROR(__xludf.DUMMYFUNCTION("""COMPUTED_VALUE"""),45779.64583333333)</f>
        <v>45779.64583</v>
      </c>
      <c r="B20" s="6">
        <f>IFERROR(__xludf.DUMMYFUNCTION("""COMPUTED_VALUE"""),108.0)</f>
        <v>108</v>
      </c>
      <c r="C20" s="6">
        <f>IFERROR(__xludf.DUMMYFUNCTION("""COMPUTED_VALUE"""),122.0)</f>
        <v>122</v>
      </c>
      <c r="D20" s="6">
        <f>IFERROR(__xludf.DUMMYFUNCTION("""COMPUTED_VALUE"""),106.67)</f>
        <v>106.67</v>
      </c>
      <c r="E20" s="6">
        <f>IFERROR(__xludf.DUMMYFUNCTION("""COMPUTED_VALUE"""),121.31)</f>
        <v>121.31</v>
      </c>
      <c r="F20" s="6">
        <f>IFERROR(__xludf.DUMMYFUNCTION("""COMPUTED_VALUE"""),1.6042049E8)</f>
        <v>160420490</v>
      </c>
    </row>
    <row r="21">
      <c r="A21" s="7">
        <f>IFERROR(__xludf.DUMMYFUNCTION("""COMPUTED_VALUE"""),45786.64583333333)</f>
        <v>45786.64583</v>
      </c>
      <c r="B21" s="6">
        <f>IFERROR(__xludf.DUMMYFUNCTION("""COMPUTED_VALUE"""),121.99)</f>
        <v>121.99</v>
      </c>
      <c r="C21" s="6">
        <f>IFERROR(__xludf.DUMMYFUNCTION("""COMPUTED_VALUE"""),129.3)</f>
        <v>129.3</v>
      </c>
      <c r="D21" s="6">
        <f>IFERROR(__xludf.DUMMYFUNCTION("""COMPUTED_VALUE"""),116.48)</f>
        <v>116.48</v>
      </c>
      <c r="E21" s="6">
        <f>IFERROR(__xludf.DUMMYFUNCTION("""COMPUTED_VALUE"""),120.79)</f>
        <v>120.79</v>
      </c>
      <c r="F21" s="6">
        <f>IFERROR(__xludf.DUMMYFUNCTION("""COMPUTED_VALUE"""),1.78240036E8)</f>
        <v>178240036</v>
      </c>
    </row>
    <row r="22">
      <c r="A22" s="7">
        <f>IFERROR(__xludf.DUMMYFUNCTION("""COMPUTED_VALUE"""),45793.64583333333)</f>
        <v>45793.64583</v>
      </c>
      <c r="B22" s="6">
        <f>IFERROR(__xludf.DUMMYFUNCTION("""COMPUTED_VALUE"""),125.98)</f>
        <v>125.98</v>
      </c>
      <c r="C22" s="6">
        <f>IFERROR(__xludf.DUMMYFUNCTION("""COMPUTED_VALUE"""),133.0)</f>
        <v>133</v>
      </c>
      <c r="D22" s="6">
        <f>IFERROR(__xludf.DUMMYFUNCTION("""COMPUTED_VALUE"""),121.25)</f>
        <v>121.25</v>
      </c>
      <c r="E22" s="6">
        <f>IFERROR(__xludf.DUMMYFUNCTION("""COMPUTED_VALUE"""),126.27)</f>
        <v>126.27</v>
      </c>
      <c r="F22" s="6">
        <f>IFERROR(__xludf.DUMMYFUNCTION("""COMPUTED_VALUE"""),9.7714195E7)</f>
        <v>97714195</v>
      </c>
    </row>
    <row r="23">
      <c r="A23" s="7">
        <f>IFERROR(__xludf.DUMMYFUNCTION("""COMPUTED_VALUE"""),45800.64583333333)</f>
        <v>45800.64583</v>
      </c>
      <c r="B23" s="6">
        <f>IFERROR(__xludf.DUMMYFUNCTION("""COMPUTED_VALUE"""),127.06)</f>
        <v>127.06</v>
      </c>
      <c r="C23" s="6">
        <f>IFERROR(__xludf.DUMMYFUNCTION("""COMPUTED_VALUE"""),128.21)</f>
        <v>128.21</v>
      </c>
      <c r="D23" s="6">
        <f>IFERROR(__xludf.DUMMYFUNCTION("""COMPUTED_VALUE"""),118.55)</f>
        <v>118.55</v>
      </c>
      <c r="E23" s="6">
        <f>IFERROR(__xludf.DUMMYFUNCTION("""COMPUTED_VALUE"""),122.72)</f>
        <v>122.72</v>
      </c>
      <c r="F23" s="6">
        <f>IFERROR(__xludf.DUMMYFUNCTION("""COMPUTED_VALUE"""),6.9215355E7)</f>
        <v>69215355</v>
      </c>
    </row>
    <row r="24">
      <c r="A24" s="7">
        <f>IFERROR(__xludf.DUMMYFUNCTION("""COMPUTED_VALUE"""),45807.64583333333)</f>
        <v>45807.64583</v>
      </c>
      <c r="B24" s="6">
        <f>IFERROR(__xludf.DUMMYFUNCTION("""COMPUTED_VALUE"""),123.48)</f>
        <v>123.48</v>
      </c>
      <c r="C24" s="6">
        <f>IFERROR(__xludf.DUMMYFUNCTION("""COMPUTED_VALUE"""),128.45)</f>
        <v>128.45</v>
      </c>
      <c r="D24" s="6">
        <f>IFERROR(__xludf.DUMMYFUNCTION("""COMPUTED_VALUE"""),121.84)</f>
        <v>121.84</v>
      </c>
      <c r="E24" s="6">
        <f>IFERROR(__xludf.DUMMYFUNCTION("""COMPUTED_VALUE"""),124.66)</f>
        <v>124.66</v>
      </c>
      <c r="F24" s="6">
        <f>IFERROR(__xludf.DUMMYFUNCTION("""COMPUTED_VALUE"""),6.2556502E7)</f>
        <v>62556502</v>
      </c>
    </row>
    <row r="25">
      <c r="A25" s="7">
        <f>IFERROR(__xludf.DUMMYFUNCTION("""COMPUTED_VALUE"""),45814.64583333333)</f>
        <v>45814.64583</v>
      </c>
      <c r="B25" s="6">
        <f>IFERROR(__xludf.DUMMYFUNCTION("""COMPUTED_VALUE"""),124.39)</f>
        <v>124.39</v>
      </c>
      <c r="C25" s="6">
        <f>IFERROR(__xludf.DUMMYFUNCTION("""COMPUTED_VALUE"""),132.89)</f>
        <v>132.89</v>
      </c>
      <c r="D25" s="6">
        <f>IFERROR(__xludf.DUMMYFUNCTION("""COMPUTED_VALUE"""),124.28)</f>
        <v>124.28</v>
      </c>
      <c r="E25" s="6">
        <f>IFERROR(__xludf.DUMMYFUNCTION("""COMPUTED_VALUE"""),127.23)</f>
        <v>127.23</v>
      </c>
      <c r="F25" s="6">
        <f>IFERROR(__xludf.DUMMYFUNCTION("""COMPUTED_VALUE"""),6.4208112E7)</f>
        <v>64208112</v>
      </c>
    </row>
    <row r="26">
      <c r="A26" s="7">
        <f>IFERROR(__xludf.DUMMYFUNCTION("""COMPUTED_VALUE"""),45821.64583333333)</f>
        <v>45821.64583</v>
      </c>
      <c r="B26" s="6">
        <f>IFERROR(__xludf.DUMMYFUNCTION("""COMPUTED_VALUE"""),127.84)</f>
        <v>127.84</v>
      </c>
      <c r="C26" s="6">
        <f>IFERROR(__xludf.DUMMYFUNCTION("""COMPUTED_VALUE"""),134.6)</f>
        <v>134.6</v>
      </c>
      <c r="D26" s="6">
        <f>IFERROR(__xludf.DUMMYFUNCTION("""COMPUTED_VALUE"""),121.74)</f>
        <v>121.74</v>
      </c>
      <c r="E26" s="6">
        <f>IFERROR(__xludf.DUMMYFUNCTION("""COMPUTED_VALUE"""),123.69)</f>
        <v>123.69</v>
      </c>
      <c r="F26" s="6">
        <f>IFERROR(__xludf.DUMMYFUNCTION("""COMPUTED_VALUE"""),6.4737099E7)</f>
        <v>64737099</v>
      </c>
    </row>
    <row r="27">
      <c r="A27" s="7">
        <f>IFERROR(__xludf.DUMMYFUNCTION("""COMPUTED_VALUE"""),45828.64583333333)</f>
        <v>45828.64583</v>
      </c>
      <c r="B27" s="6">
        <f>IFERROR(__xludf.DUMMYFUNCTION("""COMPUTED_VALUE"""),124.0)</f>
        <v>124</v>
      </c>
      <c r="C27" s="6">
        <f>IFERROR(__xludf.DUMMYFUNCTION("""COMPUTED_VALUE"""),133.2)</f>
        <v>133.2</v>
      </c>
      <c r="D27" s="6">
        <f>IFERROR(__xludf.DUMMYFUNCTION("""COMPUTED_VALUE"""),113.5)</f>
        <v>113.5</v>
      </c>
      <c r="E27" s="6">
        <f>IFERROR(__xludf.DUMMYFUNCTION("""COMPUTED_VALUE"""),129.62)</f>
        <v>129.62</v>
      </c>
      <c r="F27" s="6">
        <f>IFERROR(__xludf.DUMMYFUNCTION("""COMPUTED_VALUE"""),5.14337981E8)</f>
        <v>514337981</v>
      </c>
    </row>
    <row r="28">
      <c r="A28" s="7">
        <f>IFERROR(__xludf.DUMMYFUNCTION("""COMPUTED_VALUE"""),45835.64583333333)</f>
        <v>45835.64583</v>
      </c>
      <c r="B28" s="6">
        <f>IFERROR(__xludf.DUMMYFUNCTION("""COMPUTED_VALUE"""),127.91)</f>
        <v>127.91</v>
      </c>
      <c r="C28" s="6">
        <f>IFERROR(__xludf.DUMMYFUNCTION("""COMPUTED_VALUE"""),137.8)</f>
        <v>137.8</v>
      </c>
      <c r="D28" s="6">
        <f>IFERROR(__xludf.DUMMYFUNCTION("""COMPUTED_VALUE"""),125.8)</f>
        <v>125.8</v>
      </c>
      <c r="E28" s="6">
        <f>IFERROR(__xludf.DUMMYFUNCTION("""COMPUTED_VALUE"""),134.66)</f>
        <v>134.66</v>
      </c>
      <c r="F28" s="6">
        <f>IFERROR(__xludf.DUMMYFUNCTION("""COMPUTED_VALUE"""),1.95677133E8)</f>
        <v>195677133</v>
      </c>
    </row>
    <row r="29">
      <c r="A29" s="7">
        <f>IFERROR(__xludf.DUMMYFUNCTION("""COMPUTED_VALUE"""),45842.64583333333)</f>
        <v>45842.64583</v>
      </c>
      <c r="B29" s="6">
        <f>IFERROR(__xludf.DUMMYFUNCTION("""COMPUTED_VALUE"""),135.0)</f>
        <v>135</v>
      </c>
      <c r="C29" s="6">
        <f>IFERROR(__xludf.DUMMYFUNCTION("""COMPUTED_VALUE"""),135.3)</f>
        <v>135.3</v>
      </c>
      <c r="D29" s="6">
        <f>IFERROR(__xludf.DUMMYFUNCTION("""COMPUTED_VALUE"""),128.82)</f>
        <v>128.82</v>
      </c>
      <c r="E29" s="6">
        <f>IFERROR(__xludf.DUMMYFUNCTION("""COMPUTED_VALUE"""),129.35)</f>
        <v>129.35</v>
      </c>
      <c r="F29" s="6">
        <f>IFERROR(__xludf.DUMMYFUNCTION("""COMPUTED_VALUE"""),7.4655892E7)</f>
        <v>74655892</v>
      </c>
    </row>
    <row r="30">
      <c r="A30" s="7">
        <f>IFERROR(__xludf.DUMMYFUNCTION("""COMPUTED_VALUE"""),45849.64583333333)</f>
        <v>45849.64583</v>
      </c>
      <c r="B30" s="6">
        <f>IFERROR(__xludf.DUMMYFUNCTION("""COMPUTED_VALUE"""),128.61)</f>
        <v>128.61</v>
      </c>
      <c r="C30" s="6">
        <f>IFERROR(__xludf.DUMMYFUNCTION("""COMPUTED_VALUE"""),134.1)</f>
        <v>134.1</v>
      </c>
      <c r="D30" s="6">
        <f>IFERROR(__xludf.DUMMYFUNCTION("""COMPUTED_VALUE"""),126.35)</f>
        <v>126.35</v>
      </c>
      <c r="E30" s="6">
        <f>IFERROR(__xludf.DUMMYFUNCTION("""COMPUTED_VALUE"""),133.62)</f>
        <v>133.62</v>
      </c>
      <c r="F30" s="6">
        <f>IFERROR(__xludf.DUMMYFUNCTION("""COMPUTED_VALUE"""),7.7715063E7)</f>
        <v>77715063</v>
      </c>
    </row>
    <row r="31">
      <c r="A31" s="7">
        <f>IFERROR(__xludf.DUMMYFUNCTION("""COMPUTED_VALUE"""),45856.64583333333)</f>
        <v>45856.64583</v>
      </c>
      <c r="B31" s="6">
        <f>IFERROR(__xludf.DUMMYFUNCTION("""COMPUTED_VALUE"""),133.7)</f>
        <v>133.7</v>
      </c>
      <c r="C31" s="6">
        <f>IFERROR(__xludf.DUMMYFUNCTION("""COMPUTED_VALUE"""),140.4)</f>
        <v>140.4</v>
      </c>
      <c r="D31" s="6">
        <f>IFERROR(__xludf.DUMMYFUNCTION("""COMPUTED_VALUE"""),133.65)</f>
        <v>133.65</v>
      </c>
      <c r="E31" s="6">
        <f>IFERROR(__xludf.DUMMYFUNCTION("""COMPUTED_VALUE"""),138.07)</f>
        <v>138.07</v>
      </c>
      <c r="F31" s="6">
        <f>IFERROR(__xludf.DUMMYFUNCTION("""COMPUTED_VALUE"""),1.0147567E8)</f>
        <v>101475670</v>
      </c>
    </row>
    <row r="32">
      <c r="A32" s="7">
        <f>IFERROR(__xludf.DUMMYFUNCTION("""COMPUTED_VALUE"""),45863.64583333333)</f>
        <v>45863.64583</v>
      </c>
      <c r="B32" s="6">
        <f>IFERROR(__xludf.DUMMYFUNCTION("""COMPUTED_VALUE"""),138.07)</f>
        <v>138.07</v>
      </c>
      <c r="C32" s="6">
        <f>IFERROR(__xludf.DUMMYFUNCTION("""COMPUTED_VALUE"""),143.42)</f>
        <v>143.42</v>
      </c>
      <c r="D32" s="6">
        <f>IFERROR(__xludf.DUMMYFUNCTION("""COMPUTED_VALUE"""),137.75)</f>
        <v>137.75</v>
      </c>
      <c r="E32" s="6">
        <f>IFERROR(__xludf.DUMMYFUNCTION("""COMPUTED_VALUE"""),139.93)</f>
        <v>139.93</v>
      </c>
      <c r="F32" s="6">
        <f>IFERROR(__xludf.DUMMYFUNCTION("""COMPUTED_VALUE"""),8.310131E7)</f>
        <v>83101310</v>
      </c>
    </row>
    <row r="33">
      <c r="A33" s="7">
        <f>IFERROR(__xludf.DUMMYFUNCTION("""COMPUTED_VALUE"""),45870.64583333333)</f>
        <v>45870.64583</v>
      </c>
      <c r="B33" s="6">
        <f>IFERROR(__xludf.DUMMYFUNCTION("""COMPUTED_VALUE"""),139.95)</f>
        <v>139.95</v>
      </c>
      <c r="C33" s="6">
        <f>IFERROR(__xludf.DUMMYFUNCTION("""COMPUTED_VALUE"""),141.85)</f>
        <v>141.85</v>
      </c>
      <c r="D33" s="6">
        <f>IFERROR(__xludf.DUMMYFUNCTION("""COMPUTED_VALUE"""),131.35)</f>
        <v>131.35</v>
      </c>
      <c r="E33" s="6">
        <f>IFERROR(__xludf.DUMMYFUNCTION("""COMPUTED_VALUE"""),141.07)</f>
        <v>141.07</v>
      </c>
      <c r="F33" s="6">
        <f>IFERROR(__xludf.DUMMYFUNCTION("""COMPUTED_VALUE"""),7.6665551E7)</f>
        <v>76665551</v>
      </c>
    </row>
    <row r="34">
      <c r="A34" s="7">
        <f>IFERROR(__xludf.DUMMYFUNCTION("""COMPUTED_VALUE"""),45877.64583333333)</f>
        <v>45877.64583</v>
      </c>
      <c r="B34" s="6">
        <f>IFERROR(__xludf.DUMMYFUNCTION("""COMPUTED_VALUE"""),141.06)</f>
        <v>141.06</v>
      </c>
      <c r="C34" s="6">
        <f>IFERROR(__xludf.DUMMYFUNCTION("""COMPUTED_VALUE"""),149.17)</f>
        <v>149.17</v>
      </c>
      <c r="D34" s="6">
        <f>IFERROR(__xludf.DUMMYFUNCTION("""COMPUTED_VALUE"""),138.36)</f>
        <v>138.36</v>
      </c>
      <c r="E34" s="6">
        <f>IFERROR(__xludf.DUMMYFUNCTION("""COMPUTED_VALUE"""),139.01)</f>
        <v>139.01</v>
      </c>
      <c r="F34" s="6">
        <f>IFERROR(__xludf.DUMMYFUNCTION("""COMPUTED_VALUE"""),1.04210669E8)</f>
        <v>104210669</v>
      </c>
    </row>
    <row r="35">
      <c r="A35" s="7">
        <f>IFERROR(__xludf.DUMMYFUNCTION("""COMPUTED_VALUE"""),45883.64583333333)</f>
        <v>45883.64583</v>
      </c>
      <c r="B35" s="6">
        <f>IFERROR(__xludf.DUMMYFUNCTION("""COMPUTED_VALUE"""),140.0)</f>
        <v>140</v>
      </c>
      <c r="C35" s="6">
        <f>IFERROR(__xludf.DUMMYFUNCTION("""COMPUTED_VALUE"""),155.6)</f>
        <v>155.6</v>
      </c>
      <c r="D35" s="6">
        <f>IFERROR(__xludf.DUMMYFUNCTION("""COMPUTED_VALUE"""),138.0)</f>
        <v>138</v>
      </c>
      <c r="E35" s="6">
        <f>IFERROR(__xludf.DUMMYFUNCTION("""COMPUTED_VALUE"""),146.56)</f>
        <v>146.56</v>
      </c>
      <c r="F35" s="6">
        <f>IFERROR(__xludf.DUMMYFUNCTION("""COMPUTED_VALUE"""),1.32916531E8)</f>
        <v>132916531</v>
      </c>
    </row>
    <row r="36">
      <c r="A36" s="7">
        <f>IFERROR(__xludf.DUMMYFUNCTION("""COMPUTED_VALUE"""),45891.64583333333)</f>
        <v>45891.64583</v>
      </c>
      <c r="B36" s="6">
        <f>IFERROR(__xludf.DUMMYFUNCTION("""COMPUTED_VALUE"""),149.8)</f>
        <v>149.8</v>
      </c>
      <c r="C36" s="6">
        <f>IFERROR(__xludf.DUMMYFUNCTION("""COMPUTED_VALUE"""),152.3)</f>
        <v>152.3</v>
      </c>
      <c r="D36" s="6">
        <f>IFERROR(__xludf.DUMMYFUNCTION("""COMPUTED_VALUE"""),145.4)</f>
        <v>145.4</v>
      </c>
      <c r="E36" s="6">
        <f>IFERROR(__xludf.DUMMYFUNCTION("""COMPUTED_VALUE"""),150.67)</f>
        <v>150.67</v>
      </c>
      <c r="F36" s="6">
        <f>IFERROR(__xludf.DUMMYFUNCTION("""COMPUTED_VALUE"""),1.39105895E8)</f>
        <v>139105895</v>
      </c>
    </row>
    <row r="37">
      <c r="A37" s="7">
        <f>IFERROR(__xludf.DUMMYFUNCTION("""COMPUTED_VALUE"""),45895.64583333333)</f>
        <v>45895.64583</v>
      </c>
      <c r="B37" s="6">
        <f>IFERROR(__xludf.DUMMYFUNCTION("""COMPUTED_VALUE"""),151.15)</f>
        <v>151.15</v>
      </c>
      <c r="C37" s="6">
        <f>IFERROR(__xludf.DUMMYFUNCTION("""COMPUTED_VALUE"""),157.6)</f>
        <v>157.6</v>
      </c>
      <c r="D37" s="6">
        <f>IFERROR(__xludf.DUMMYFUNCTION("""COMPUTED_VALUE"""),146.51)</f>
        <v>146.51</v>
      </c>
      <c r="E37" s="6">
        <f>IFERROR(__xludf.DUMMYFUNCTION("""COMPUTED_VALUE"""),153.14)</f>
        <v>153.14</v>
      </c>
      <c r="F37" s="6">
        <f>IFERROR(__xludf.DUMMYFUNCTION("""COMPUTED_VALUE"""),1.465396079E9)</f>
        <v>1465396079</v>
      </c>
    </row>
  </sheetData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IFERROR(__xludf.DUMMYFUNCTION("GOOGLEFINANCE(""NSE:VOLTAS"",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IFERROR(__xludf.DUMMYFUNCTION("""COMPUTED_VALUE"""),824.9)</f>
        <v>824.9</v>
      </c>
      <c r="C2" s="6">
        <f>IFERROR(__xludf.DUMMYFUNCTION("""COMPUTED_VALUE"""),879.8)</f>
        <v>879.8</v>
      </c>
      <c r="D2" s="6">
        <f>IFERROR(__xludf.DUMMYFUNCTION("""COMPUTED_VALUE"""),823.55)</f>
        <v>823.55</v>
      </c>
      <c r="E2" s="6">
        <f>IFERROR(__xludf.DUMMYFUNCTION("""COMPUTED_VALUE"""),870.05)</f>
        <v>870.05</v>
      </c>
      <c r="F2" s="6">
        <f>IFERROR(__xludf.DUMMYFUNCTION("""COMPUTED_VALUE"""),6666071.0)</f>
        <v>6666071</v>
      </c>
    </row>
    <row r="3">
      <c r="A3" s="7">
        <f>IFERROR(__xludf.DUMMYFUNCTION("""COMPUTED_VALUE"""),45177.64583333333)</f>
        <v>45177.64583</v>
      </c>
      <c r="B3" s="6">
        <f>IFERROR(__xludf.DUMMYFUNCTION("""COMPUTED_VALUE"""),874.95)</f>
        <v>874.95</v>
      </c>
      <c r="C3" s="6">
        <f>IFERROR(__xludf.DUMMYFUNCTION("""COMPUTED_VALUE"""),908.5)</f>
        <v>908.5</v>
      </c>
      <c r="D3" s="6">
        <f>IFERROR(__xludf.DUMMYFUNCTION("""COMPUTED_VALUE"""),858.05)</f>
        <v>858.05</v>
      </c>
      <c r="E3" s="6">
        <f>IFERROR(__xludf.DUMMYFUNCTION("""COMPUTED_VALUE"""),904.95)</f>
        <v>904.95</v>
      </c>
      <c r="F3" s="6">
        <f>IFERROR(__xludf.DUMMYFUNCTION("""COMPUTED_VALUE"""),8838184.0)</f>
        <v>8838184</v>
      </c>
    </row>
    <row r="4">
      <c r="A4" s="7">
        <f>IFERROR(__xludf.DUMMYFUNCTION("""COMPUTED_VALUE"""),45184.64583333333)</f>
        <v>45184.64583</v>
      </c>
      <c r="B4" s="6">
        <f>IFERROR(__xludf.DUMMYFUNCTION("""COMPUTED_VALUE"""),910.0)</f>
        <v>910</v>
      </c>
      <c r="C4" s="6">
        <f>IFERROR(__xludf.DUMMYFUNCTION("""COMPUTED_VALUE"""),914.5)</f>
        <v>914.5</v>
      </c>
      <c r="D4" s="6">
        <f>IFERROR(__xludf.DUMMYFUNCTION("""COMPUTED_VALUE"""),869.25)</f>
        <v>869.25</v>
      </c>
      <c r="E4" s="6">
        <f>IFERROR(__xludf.DUMMYFUNCTION("""COMPUTED_VALUE"""),893.95)</f>
        <v>893.95</v>
      </c>
      <c r="F4" s="6">
        <f>IFERROR(__xludf.DUMMYFUNCTION("""COMPUTED_VALUE"""),4702673.0)</f>
        <v>4702673</v>
      </c>
    </row>
    <row r="5">
      <c r="A5" s="7">
        <f>IFERROR(__xludf.DUMMYFUNCTION("""COMPUTED_VALUE"""),45191.64583333333)</f>
        <v>45191.64583</v>
      </c>
      <c r="B5" s="6">
        <f>IFERROR(__xludf.DUMMYFUNCTION("""COMPUTED_VALUE"""),895.0)</f>
        <v>895</v>
      </c>
      <c r="C5" s="6">
        <f>IFERROR(__xludf.DUMMYFUNCTION("""COMPUTED_VALUE"""),897.0)</f>
        <v>897</v>
      </c>
      <c r="D5" s="6">
        <f>IFERROR(__xludf.DUMMYFUNCTION("""COMPUTED_VALUE"""),851.3)</f>
        <v>851.3</v>
      </c>
      <c r="E5" s="6">
        <f>IFERROR(__xludf.DUMMYFUNCTION("""COMPUTED_VALUE"""),865.55)</f>
        <v>865.55</v>
      </c>
      <c r="F5" s="6">
        <f>IFERROR(__xludf.DUMMYFUNCTION("""COMPUTED_VALUE"""),3341800.0)</f>
        <v>3341800</v>
      </c>
    </row>
    <row r="6">
      <c r="A6" s="7">
        <f>IFERROR(__xludf.DUMMYFUNCTION("""COMPUTED_VALUE"""),45198.64583333333)</f>
        <v>45198.64583</v>
      </c>
      <c r="B6" s="6">
        <f>IFERROR(__xludf.DUMMYFUNCTION("""COMPUTED_VALUE"""),865.0)</f>
        <v>865</v>
      </c>
      <c r="C6" s="6">
        <f>IFERROR(__xludf.DUMMYFUNCTION("""COMPUTED_VALUE"""),882.5)</f>
        <v>882.5</v>
      </c>
      <c r="D6" s="6">
        <f>IFERROR(__xludf.DUMMYFUNCTION("""COMPUTED_VALUE"""),854.2)</f>
        <v>854.2</v>
      </c>
      <c r="E6" s="6">
        <f>IFERROR(__xludf.DUMMYFUNCTION("""COMPUTED_VALUE"""),863.3)</f>
        <v>863.3</v>
      </c>
      <c r="F6" s="6">
        <f>IFERROR(__xludf.DUMMYFUNCTION("""COMPUTED_VALUE"""),4549059.0)</f>
        <v>4549059</v>
      </c>
    </row>
    <row r="7">
      <c r="A7" s="7">
        <f>IFERROR(__xludf.DUMMYFUNCTION("""COMPUTED_VALUE"""),45205.64583333333)</f>
        <v>45205.64583</v>
      </c>
      <c r="B7" s="6">
        <f>IFERROR(__xludf.DUMMYFUNCTION("""COMPUTED_VALUE"""),861.9)</f>
        <v>861.9</v>
      </c>
      <c r="C7" s="6">
        <f>IFERROR(__xludf.DUMMYFUNCTION("""COMPUTED_VALUE"""),888.0)</f>
        <v>888</v>
      </c>
      <c r="D7" s="6">
        <f>IFERROR(__xludf.DUMMYFUNCTION("""COMPUTED_VALUE"""),861.1)</f>
        <v>861.1</v>
      </c>
      <c r="E7" s="6">
        <f>IFERROR(__xludf.DUMMYFUNCTION("""COMPUTED_VALUE"""),885.1)</f>
        <v>885.1</v>
      </c>
      <c r="F7" s="6">
        <f>IFERROR(__xludf.DUMMYFUNCTION("""COMPUTED_VALUE"""),3122001.0)</f>
        <v>3122001</v>
      </c>
    </row>
    <row r="8">
      <c r="A8" s="7">
        <f>IFERROR(__xludf.DUMMYFUNCTION("""COMPUTED_VALUE"""),45212.64583333333)</f>
        <v>45212.64583</v>
      </c>
      <c r="B8" s="6">
        <f>IFERROR(__xludf.DUMMYFUNCTION("""COMPUTED_VALUE"""),872.0)</f>
        <v>872</v>
      </c>
      <c r="C8" s="6">
        <f>IFERROR(__xludf.DUMMYFUNCTION("""COMPUTED_VALUE"""),882.0)</f>
        <v>882</v>
      </c>
      <c r="D8" s="6">
        <f>IFERROR(__xludf.DUMMYFUNCTION("""COMPUTED_VALUE"""),839.1)</f>
        <v>839.1</v>
      </c>
      <c r="E8" s="6">
        <f>IFERROR(__xludf.DUMMYFUNCTION("""COMPUTED_VALUE"""),845.45)</f>
        <v>845.45</v>
      </c>
      <c r="F8" s="6">
        <f>IFERROR(__xludf.DUMMYFUNCTION("""COMPUTED_VALUE"""),3946088.0)</f>
        <v>3946088</v>
      </c>
    </row>
    <row r="9">
      <c r="A9" s="7">
        <f>IFERROR(__xludf.DUMMYFUNCTION("""COMPUTED_VALUE"""),45219.64583333333)</f>
        <v>45219.64583</v>
      </c>
      <c r="B9" s="6">
        <f>IFERROR(__xludf.DUMMYFUNCTION("""COMPUTED_VALUE"""),846.45)</f>
        <v>846.45</v>
      </c>
      <c r="C9" s="6">
        <f>IFERROR(__xludf.DUMMYFUNCTION("""COMPUTED_VALUE"""),857.0)</f>
        <v>857</v>
      </c>
      <c r="D9" s="6">
        <f>IFERROR(__xludf.DUMMYFUNCTION("""COMPUTED_VALUE"""),812.65)</f>
        <v>812.65</v>
      </c>
      <c r="E9" s="6">
        <f>IFERROR(__xludf.DUMMYFUNCTION("""COMPUTED_VALUE"""),818.6)</f>
        <v>818.6</v>
      </c>
      <c r="F9" s="6">
        <f>IFERROR(__xludf.DUMMYFUNCTION("""COMPUTED_VALUE"""),6364955.0)</f>
        <v>6364955</v>
      </c>
    </row>
    <row r="10">
      <c r="A10" s="7">
        <f>IFERROR(__xludf.DUMMYFUNCTION("""COMPUTED_VALUE"""),45226.64583333333)</f>
        <v>45226.64583</v>
      </c>
      <c r="B10" s="6">
        <f>IFERROR(__xludf.DUMMYFUNCTION("""COMPUTED_VALUE"""),819.0)</f>
        <v>819</v>
      </c>
      <c r="C10" s="6">
        <f>IFERROR(__xludf.DUMMYFUNCTION("""COMPUTED_VALUE"""),843.75)</f>
        <v>843.75</v>
      </c>
      <c r="D10" s="6">
        <f>IFERROR(__xludf.DUMMYFUNCTION("""COMPUTED_VALUE"""),806.7)</f>
        <v>806.7</v>
      </c>
      <c r="E10" s="6">
        <f>IFERROR(__xludf.DUMMYFUNCTION("""COMPUTED_VALUE"""),834.9)</f>
        <v>834.9</v>
      </c>
      <c r="F10" s="6">
        <f>IFERROR(__xludf.DUMMYFUNCTION("""COMPUTED_VALUE"""),5354836.0)</f>
        <v>5354836</v>
      </c>
    </row>
    <row r="11">
      <c r="A11" s="7">
        <f>IFERROR(__xludf.DUMMYFUNCTION("""COMPUTED_VALUE"""),45233.64583333333)</f>
        <v>45233.64583</v>
      </c>
      <c r="B11" s="6">
        <f>IFERROR(__xludf.DUMMYFUNCTION("""COMPUTED_VALUE"""),838.0)</f>
        <v>838</v>
      </c>
      <c r="C11" s="6">
        <f>IFERROR(__xludf.DUMMYFUNCTION("""COMPUTED_VALUE"""),841.25)</f>
        <v>841.25</v>
      </c>
      <c r="D11" s="6">
        <f>IFERROR(__xludf.DUMMYFUNCTION("""COMPUTED_VALUE"""),820.35)</f>
        <v>820.35</v>
      </c>
      <c r="E11" s="6">
        <f>IFERROR(__xludf.DUMMYFUNCTION("""COMPUTED_VALUE"""),835.65)</f>
        <v>835.65</v>
      </c>
      <c r="F11" s="6">
        <f>IFERROR(__xludf.DUMMYFUNCTION("""COMPUTED_VALUE"""),2167196.0)</f>
        <v>2167196</v>
      </c>
    </row>
    <row r="12">
      <c r="A12" s="7">
        <f>IFERROR(__xludf.DUMMYFUNCTION("""COMPUTED_VALUE"""),45240.64583333333)</f>
        <v>45240.64583</v>
      </c>
      <c r="B12" s="6">
        <f>IFERROR(__xludf.DUMMYFUNCTION("""COMPUTED_VALUE"""),840.0)</f>
        <v>840</v>
      </c>
      <c r="C12" s="6">
        <f>IFERROR(__xludf.DUMMYFUNCTION("""COMPUTED_VALUE"""),840.0)</f>
        <v>840</v>
      </c>
      <c r="D12" s="6">
        <f>IFERROR(__xludf.DUMMYFUNCTION("""COMPUTED_VALUE"""),811.25)</f>
        <v>811.25</v>
      </c>
      <c r="E12" s="6">
        <f>IFERROR(__xludf.DUMMYFUNCTION("""COMPUTED_VALUE"""),829.85)</f>
        <v>829.85</v>
      </c>
      <c r="F12" s="6">
        <f>IFERROR(__xludf.DUMMYFUNCTION("""COMPUTED_VALUE"""),3693394.0)</f>
        <v>3693394</v>
      </c>
    </row>
    <row r="13">
      <c r="A13" s="7">
        <f>IFERROR(__xludf.DUMMYFUNCTION("""COMPUTED_VALUE"""),45247.64583333333)</f>
        <v>45247.64583</v>
      </c>
      <c r="B13" s="6">
        <f>IFERROR(__xludf.DUMMYFUNCTION("""COMPUTED_VALUE"""),832.5)</f>
        <v>832.5</v>
      </c>
      <c r="C13" s="6">
        <f>IFERROR(__xludf.DUMMYFUNCTION("""COMPUTED_VALUE"""),835.0)</f>
        <v>835</v>
      </c>
      <c r="D13" s="6">
        <f>IFERROR(__xludf.DUMMYFUNCTION("""COMPUTED_VALUE"""),811.2)</f>
        <v>811.2</v>
      </c>
      <c r="E13" s="6">
        <f>IFERROR(__xludf.DUMMYFUNCTION("""COMPUTED_VALUE"""),824.95)</f>
        <v>824.95</v>
      </c>
      <c r="F13" s="6">
        <f>IFERROR(__xludf.DUMMYFUNCTION("""COMPUTED_VALUE"""),3267583.0)</f>
        <v>3267583</v>
      </c>
    </row>
    <row r="14">
      <c r="A14" s="7">
        <f>IFERROR(__xludf.DUMMYFUNCTION("""COMPUTED_VALUE"""),45254.64583333333)</f>
        <v>45254.64583</v>
      </c>
      <c r="B14" s="6">
        <f>IFERROR(__xludf.DUMMYFUNCTION("""COMPUTED_VALUE"""),826.9)</f>
        <v>826.9</v>
      </c>
      <c r="C14" s="6">
        <f>IFERROR(__xludf.DUMMYFUNCTION("""COMPUTED_VALUE"""),852.6)</f>
        <v>852.6</v>
      </c>
      <c r="D14" s="6">
        <f>IFERROR(__xludf.DUMMYFUNCTION("""COMPUTED_VALUE"""),815.3)</f>
        <v>815.3</v>
      </c>
      <c r="E14" s="6">
        <f>IFERROR(__xludf.DUMMYFUNCTION("""COMPUTED_VALUE"""),825.0)</f>
        <v>825</v>
      </c>
      <c r="F14" s="6">
        <f>IFERROR(__xludf.DUMMYFUNCTION("""COMPUTED_VALUE"""),4736818.0)</f>
        <v>4736818</v>
      </c>
    </row>
    <row r="15">
      <c r="A15" s="7">
        <f>IFERROR(__xludf.DUMMYFUNCTION("""COMPUTED_VALUE"""),45261.64583333333)</f>
        <v>45261.64583</v>
      </c>
      <c r="B15" s="6">
        <f>IFERROR(__xludf.DUMMYFUNCTION("""COMPUTED_VALUE"""),825.0)</f>
        <v>825</v>
      </c>
      <c r="C15" s="6">
        <f>IFERROR(__xludf.DUMMYFUNCTION("""COMPUTED_VALUE"""),841.0)</f>
        <v>841</v>
      </c>
      <c r="D15" s="6">
        <f>IFERROR(__xludf.DUMMYFUNCTION("""COMPUTED_VALUE"""),811.15)</f>
        <v>811.15</v>
      </c>
      <c r="E15" s="6">
        <f>IFERROR(__xludf.DUMMYFUNCTION("""COMPUTED_VALUE"""),835.5)</f>
        <v>835.5</v>
      </c>
      <c r="F15" s="6">
        <f>IFERROR(__xludf.DUMMYFUNCTION("""COMPUTED_VALUE"""),6196204.0)</f>
        <v>6196204</v>
      </c>
    </row>
    <row r="16">
      <c r="A16" s="7">
        <f>IFERROR(__xludf.DUMMYFUNCTION("""COMPUTED_VALUE"""),45268.64583333333)</f>
        <v>45268.64583</v>
      </c>
      <c r="B16" s="6">
        <f>IFERROR(__xludf.DUMMYFUNCTION("""COMPUTED_VALUE"""),844.0)</f>
        <v>844</v>
      </c>
      <c r="C16" s="6">
        <f>IFERROR(__xludf.DUMMYFUNCTION("""COMPUTED_VALUE"""),878.6)</f>
        <v>878.6</v>
      </c>
      <c r="D16" s="6">
        <f>IFERROR(__xludf.DUMMYFUNCTION("""COMPUTED_VALUE"""),825.4)</f>
        <v>825.4</v>
      </c>
      <c r="E16" s="6">
        <f>IFERROR(__xludf.DUMMYFUNCTION("""COMPUTED_VALUE"""),855.45)</f>
        <v>855.45</v>
      </c>
      <c r="F16" s="6">
        <f>IFERROR(__xludf.DUMMYFUNCTION("""COMPUTED_VALUE"""),9276628.0)</f>
        <v>9276628</v>
      </c>
    </row>
    <row r="17">
      <c r="A17" s="7">
        <f>IFERROR(__xludf.DUMMYFUNCTION("""COMPUTED_VALUE"""),45275.64583333333)</f>
        <v>45275.64583</v>
      </c>
      <c r="B17" s="6">
        <f>IFERROR(__xludf.DUMMYFUNCTION("""COMPUTED_VALUE"""),859.9)</f>
        <v>859.9</v>
      </c>
      <c r="C17" s="6">
        <f>IFERROR(__xludf.DUMMYFUNCTION("""COMPUTED_VALUE"""),869.9)</f>
        <v>869.9</v>
      </c>
      <c r="D17" s="6">
        <f>IFERROR(__xludf.DUMMYFUNCTION("""COMPUTED_VALUE"""),841.5)</f>
        <v>841.5</v>
      </c>
      <c r="E17" s="6">
        <f>IFERROR(__xludf.DUMMYFUNCTION("""COMPUTED_VALUE"""),859.85)</f>
        <v>859.85</v>
      </c>
      <c r="F17" s="6">
        <f>IFERROR(__xludf.DUMMYFUNCTION("""COMPUTED_VALUE"""),6972981.0)</f>
        <v>6972981</v>
      </c>
    </row>
    <row r="18">
      <c r="A18" s="7">
        <f>IFERROR(__xludf.DUMMYFUNCTION("""COMPUTED_VALUE"""),45282.64583333333)</f>
        <v>45282.64583</v>
      </c>
      <c r="B18" s="6">
        <f>IFERROR(__xludf.DUMMYFUNCTION("""COMPUTED_VALUE"""),860.9)</f>
        <v>860.9</v>
      </c>
      <c r="C18" s="6">
        <f>IFERROR(__xludf.DUMMYFUNCTION("""COMPUTED_VALUE"""),957.15)</f>
        <v>957.15</v>
      </c>
      <c r="D18" s="6">
        <f>IFERROR(__xludf.DUMMYFUNCTION("""COMPUTED_VALUE"""),857.7)</f>
        <v>857.7</v>
      </c>
      <c r="E18" s="6">
        <f>IFERROR(__xludf.DUMMYFUNCTION("""COMPUTED_VALUE"""),947.6)</f>
        <v>947.6</v>
      </c>
      <c r="F18" s="6">
        <f>IFERROR(__xludf.DUMMYFUNCTION("""COMPUTED_VALUE"""),2.2226288E7)</f>
        <v>22226288</v>
      </c>
    </row>
    <row r="19">
      <c r="A19" s="7">
        <f>IFERROR(__xludf.DUMMYFUNCTION("""COMPUTED_VALUE"""),45289.64583333333)</f>
        <v>45289.64583</v>
      </c>
      <c r="B19" s="6">
        <f>IFERROR(__xludf.DUMMYFUNCTION("""COMPUTED_VALUE"""),950.0)</f>
        <v>950</v>
      </c>
      <c r="C19" s="6">
        <f>IFERROR(__xludf.DUMMYFUNCTION("""COMPUTED_VALUE"""),992.8)</f>
        <v>992.8</v>
      </c>
      <c r="D19" s="6">
        <f>IFERROR(__xludf.DUMMYFUNCTION("""COMPUTED_VALUE"""),948.0)</f>
        <v>948</v>
      </c>
      <c r="E19" s="6">
        <f>IFERROR(__xludf.DUMMYFUNCTION("""COMPUTED_VALUE"""),978.35)</f>
        <v>978.35</v>
      </c>
      <c r="F19" s="6">
        <f>IFERROR(__xludf.DUMMYFUNCTION("""COMPUTED_VALUE"""),8267874.0)</f>
        <v>8267874</v>
      </c>
    </row>
    <row r="20">
      <c r="A20" s="7">
        <f>IFERROR(__xludf.DUMMYFUNCTION("""COMPUTED_VALUE"""),45296.64583333333)</f>
        <v>45296.64583</v>
      </c>
      <c r="B20" s="6">
        <f>IFERROR(__xludf.DUMMYFUNCTION("""COMPUTED_VALUE"""),979.0)</f>
        <v>979</v>
      </c>
      <c r="C20" s="6">
        <f>IFERROR(__xludf.DUMMYFUNCTION("""COMPUTED_VALUE"""),1022.95)</f>
        <v>1022.95</v>
      </c>
      <c r="D20" s="6">
        <f>IFERROR(__xludf.DUMMYFUNCTION("""COMPUTED_VALUE"""),968.0)</f>
        <v>968</v>
      </c>
      <c r="E20" s="6">
        <f>IFERROR(__xludf.DUMMYFUNCTION("""COMPUTED_VALUE"""),1009.2)</f>
        <v>1009.2</v>
      </c>
      <c r="F20" s="6">
        <f>IFERROR(__xludf.DUMMYFUNCTION("""COMPUTED_VALUE"""),6812185.0)</f>
        <v>6812185</v>
      </c>
    </row>
    <row r="21">
      <c r="A21" s="7">
        <f>IFERROR(__xludf.DUMMYFUNCTION("""COMPUTED_VALUE"""),45303.64583333333)</f>
        <v>45303.64583</v>
      </c>
      <c r="B21" s="6">
        <f>IFERROR(__xludf.DUMMYFUNCTION("""COMPUTED_VALUE"""),1009.15)</f>
        <v>1009.15</v>
      </c>
      <c r="C21" s="6">
        <f>IFERROR(__xludf.DUMMYFUNCTION("""COMPUTED_VALUE"""),1061.5)</f>
        <v>1061.5</v>
      </c>
      <c r="D21" s="6">
        <f>IFERROR(__xludf.DUMMYFUNCTION("""COMPUTED_VALUE"""),985.2)</f>
        <v>985.2</v>
      </c>
      <c r="E21" s="6">
        <f>IFERROR(__xludf.DUMMYFUNCTION("""COMPUTED_VALUE"""),1056.9)</f>
        <v>1056.9</v>
      </c>
      <c r="F21" s="6">
        <f>IFERROR(__xludf.DUMMYFUNCTION("""COMPUTED_VALUE"""),1.1711418E7)</f>
        <v>11711418</v>
      </c>
    </row>
    <row r="22">
      <c r="A22" s="7">
        <f>IFERROR(__xludf.DUMMYFUNCTION("""COMPUTED_VALUE"""),45316.64583333333)</f>
        <v>45316.64583</v>
      </c>
      <c r="B22" s="6">
        <f>IFERROR(__xludf.DUMMYFUNCTION("""COMPUTED_VALUE"""),1034.9)</f>
        <v>1034.9</v>
      </c>
      <c r="C22" s="6">
        <f>IFERROR(__xludf.DUMMYFUNCTION("""COMPUTED_VALUE"""),1036.75)</f>
        <v>1036.75</v>
      </c>
      <c r="D22" s="6">
        <f>IFERROR(__xludf.DUMMYFUNCTION("""COMPUTED_VALUE"""),992.5)</f>
        <v>992.5</v>
      </c>
      <c r="E22" s="6">
        <f>IFERROR(__xludf.DUMMYFUNCTION("""COMPUTED_VALUE"""),1005.2)</f>
        <v>1005.2</v>
      </c>
      <c r="F22" s="6">
        <f>IFERROR(__xludf.DUMMYFUNCTION("""COMPUTED_VALUE"""),3924020.0)</f>
        <v>3924020</v>
      </c>
    </row>
    <row r="23">
      <c r="A23" s="7">
        <f>IFERROR(__xludf.DUMMYFUNCTION("""COMPUTED_VALUE"""),45324.64583333333)</f>
        <v>45324.64583</v>
      </c>
      <c r="B23" s="6">
        <f>IFERROR(__xludf.DUMMYFUNCTION("""COMPUTED_VALUE"""),1009.95)</f>
        <v>1009.95</v>
      </c>
      <c r="C23" s="6">
        <f>IFERROR(__xludf.DUMMYFUNCTION("""COMPUTED_VALUE"""),1101.0)</f>
        <v>1101</v>
      </c>
      <c r="D23" s="6">
        <f>IFERROR(__xludf.DUMMYFUNCTION("""COMPUTED_VALUE"""),990.1)</f>
        <v>990.1</v>
      </c>
      <c r="E23" s="6">
        <f>IFERROR(__xludf.DUMMYFUNCTION("""COMPUTED_VALUE"""),1058.4)</f>
        <v>1058.4</v>
      </c>
      <c r="F23" s="6">
        <f>IFERROR(__xludf.DUMMYFUNCTION("""COMPUTED_VALUE"""),1.8791407E7)</f>
        <v>18791407</v>
      </c>
    </row>
    <row r="24">
      <c r="A24" s="7">
        <f>IFERROR(__xludf.DUMMYFUNCTION("""COMPUTED_VALUE"""),45331.64583333333)</f>
        <v>45331.64583</v>
      </c>
      <c r="B24" s="6">
        <f>IFERROR(__xludf.DUMMYFUNCTION("""COMPUTED_VALUE"""),1059.0)</f>
        <v>1059</v>
      </c>
      <c r="C24" s="6">
        <f>IFERROR(__xludf.DUMMYFUNCTION("""COMPUTED_VALUE"""),1074.8)</f>
        <v>1074.8</v>
      </c>
      <c r="D24" s="6">
        <f>IFERROR(__xludf.DUMMYFUNCTION("""COMPUTED_VALUE"""),1013.15)</f>
        <v>1013.15</v>
      </c>
      <c r="E24" s="6">
        <f>IFERROR(__xludf.DUMMYFUNCTION("""COMPUTED_VALUE"""),1057.3)</f>
        <v>1057.3</v>
      </c>
      <c r="F24" s="6">
        <f>IFERROR(__xludf.DUMMYFUNCTION("""COMPUTED_VALUE"""),6075251.0)</f>
        <v>6075251</v>
      </c>
    </row>
    <row r="25">
      <c r="A25" s="7">
        <f>IFERROR(__xludf.DUMMYFUNCTION("""COMPUTED_VALUE"""),45338.64583333333)</f>
        <v>45338.64583</v>
      </c>
      <c r="B25" s="6">
        <f>IFERROR(__xludf.DUMMYFUNCTION("""COMPUTED_VALUE"""),1058.7)</f>
        <v>1058.7</v>
      </c>
      <c r="C25" s="6">
        <f>IFERROR(__xludf.DUMMYFUNCTION("""COMPUTED_VALUE"""),1105.5)</f>
        <v>1105.5</v>
      </c>
      <c r="D25" s="6">
        <f>IFERROR(__xludf.DUMMYFUNCTION("""COMPUTED_VALUE"""),1052.6)</f>
        <v>1052.6</v>
      </c>
      <c r="E25" s="6">
        <f>IFERROR(__xludf.DUMMYFUNCTION("""COMPUTED_VALUE"""),1075.1)</f>
        <v>1075.1</v>
      </c>
      <c r="F25" s="6">
        <f>IFERROR(__xludf.DUMMYFUNCTION("""COMPUTED_VALUE"""),6705481.0)</f>
        <v>6705481</v>
      </c>
    </row>
    <row r="26">
      <c r="A26" s="7">
        <f>IFERROR(__xludf.DUMMYFUNCTION("""COMPUTED_VALUE"""),45345.64583333333)</f>
        <v>45345.64583</v>
      </c>
      <c r="B26" s="6">
        <f>IFERROR(__xludf.DUMMYFUNCTION("""COMPUTED_VALUE"""),1075.1)</f>
        <v>1075.1</v>
      </c>
      <c r="C26" s="6">
        <f>IFERROR(__xludf.DUMMYFUNCTION("""COMPUTED_VALUE"""),1117.0)</f>
        <v>1117</v>
      </c>
      <c r="D26" s="6">
        <f>IFERROR(__xludf.DUMMYFUNCTION("""COMPUTED_VALUE"""),1071.35)</f>
        <v>1071.35</v>
      </c>
      <c r="E26" s="6">
        <f>IFERROR(__xludf.DUMMYFUNCTION("""COMPUTED_VALUE"""),1095.05)</f>
        <v>1095.05</v>
      </c>
      <c r="F26" s="6">
        <f>IFERROR(__xludf.DUMMYFUNCTION("""COMPUTED_VALUE"""),5349325.0)</f>
        <v>5349325</v>
      </c>
    </row>
    <row r="27">
      <c r="A27" s="7">
        <f>IFERROR(__xludf.DUMMYFUNCTION("""COMPUTED_VALUE"""),45358.64583333333)</f>
        <v>45358.64583</v>
      </c>
      <c r="B27" s="6">
        <f>IFERROR(__xludf.DUMMYFUNCTION("""COMPUTED_VALUE"""),1104.0)</f>
        <v>1104</v>
      </c>
      <c r="C27" s="6">
        <f>IFERROR(__xludf.DUMMYFUNCTION("""COMPUTED_VALUE"""),1127.0)</f>
        <v>1127</v>
      </c>
      <c r="D27" s="6">
        <f>IFERROR(__xludf.DUMMYFUNCTION("""COMPUTED_VALUE"""),1043.4)</f>
        <v>1043.4</v>
      </c>
      <c r="E27" s="6">
        <f>IFERROR(__xludf.DUMMYFUNCTION("""COMPUTED_VALUE"""),1082.1)</f>
        <v>1082.1</v>
      </c>
      <c r="F27" s="6">
        <f>IFERROR(__xludf.DUMMYFUNCTION("""COMPUTED_VALUE"""),6420748.0)</f>
        <v>6420748</v>
      </c>
    </row>
    <row r="28">
      <c r="A28" s="7">
        <f>IFERROR(__xludf.DUMMYFUNCTION("""COMPUTED_VALUE"""),45366.64583333333)</f>
        <v>45366.64583</v>
      </c>
      <c r="B28" s="6">
        <f>IFERROR(__xludf.DUMMYFUNCTION("""COMPUTED_VALUE"""),1095.95)</f>
        <v>1095.95</v>
      </c>
      <c r="C28" s="6">
        <f>IFERROR(__xludf.DUMMYFUNCTION("""COMPUTED_VALUE"""),1095.95)</f>
        <v>1095.95</v>
      </c>
      <c r="D28" s="6">
        <f>IFERROR(__xludf.DUMMYFUNCTION("""COMPUTED_VALUE"""),1023.95)</f>
        <v>1023.95</v>
      </c>
      <c r="E28" s="6">
        <f>IFERROR(__xludf.DUMMYFUNCTION("""COMPUTED_VALUE"""),1065.35)</f>
        <v>1065.35</v>
      </c>
      <c r="F28" s="6">
        <f>IFERROR(__xludf.DUMMYFUNCTION("""COMPUTED_VALUE"""),6404130.0)</f>
        <v>6404130</v>
      </c>
    </row>
    <row r="29">
      <c r="A29" s="7">
        <f>IFERROR(__xludf.DUMMYFUNCTION("""COMPUTED_VALUE"""),45373.64583333333)</f>
        <v>45373.64583</v>
      </c>
      <c r="B29" s="6">
        <f>IFERROR(__xludf.DUMMYFUNCTION("""COMPUTED_VALUE"""),1067.0)</f>
        <v>1067</v>
      </c>
      <c r="C29" s="6">
        <f>IFERROR(__xludf.DUMMYFUNCTION("""COMPUTED_VALUE"""),1090.0)</f>
        <v>1090</v>
      </c>
      <c r="D29" s="6">
        <f>IFERROR(__xludf.DUMMYFUNCTION("""COMPUTED_VALUE"""),1032.0)</f>
        <v>1032</v>
      </c>
      <c r="E29" s="6">
        <f>IFERROR(__xludf.DUMMYFUNCTION("""COMPUTED_VALUE"""),1064.95)</f>
        <v>1064.95</v>
      </c>
      <c r="F29" s="6">
        <f>IFERROR(__xludf.DUMMYFUNCTION("""COMPUTED_VALUE"""),5025310.0)</f>
        <v>5025310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IFERROR(__xludf.DUMMYFUNCTION("""COMPUTED_VALUE"""),1063.0)</f>
        <v>1063</v>
      </c>
      <c r="C30" s="6">
        <f>IFERROR(__xludf.DUMMYFUNCTION("""COMPUTED_VALUE"""),1116.0)</f>
        <v>1116</v>
      </c>
      <c r="D30" s="6">
        <f>IFERROR(__xludf.DUMMYFUNCTION("""COMPUTED_VALUE"""),1059.7)</f>
        <v>1059.7</v>
      </c>
      <c r="E30" s="6">
        <f>IFERROR(__xludf.DUMMYFUNCTION("""COMPUTED_VALUE"""),1103.55)</f>
        <v>1103.55</v>
      </c>
      <c r="F30" s="6">
        <f>IFERROR(__xludf.DUMMYFUNCTION("""COMPUTED_VALUE"""),4502901.0)</f>
        <v>4502901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IFERROR(__xludf.DUMMYFUNCTION("""COMPUTED_VALUE"""),1103.55)</f>
        <v>1103.55</v>
      </c>
      <c r="C31" s="6">
        <f>IFERROR(__xludf.DUMMYFUNCTION("""COMPUTED_VALUE"""),1240.7)</f>
        <v>1240.7</v>
      </c>
      <c r="D31" s="6">
        <f>IFERROR(__xludf.DUMMYFUNCTION("""COMPUTED_VALUE"""),1101.2)</f>
        <v>1101.2</v>
      </c>
      <c r="E31" s="6">
        <f>IFERROR(__xludf.DUMMYFUNCTION("""COMPUTED_VALUE"""),1232.3)</f>
        <v>1232.3</v>
      </c>
      <c r="F31" s="6">
        <f>IFERROR(__xludf.DUMMYFUNCTION("""COMPUTED_VALUE"""),1.1115764E7)</f>
        <v>11115764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IFERROR(__xludf.DUMMYFUNCTION("""COMPUTED_VALUE"""),1310.0)</f>
        <v>1310</v>
      </c>
      <c r="C32" s="6">
        <f>IFERROR(__xludf.DUMMYFUNCTION("""COMPUTED_VALUE"""),1392.0)</f>
        <v>1392</v>
      </c>
      <c r="D32" s="6">
        <f>IFERROR(__xludf.DUMMYFUNCTION("""COMPUTED_VALUE"""),1294.6)</f>
        <v>1294.6</v>
      </c>
      <c r="E32" s="6">
        <f>IFERROR(__xludf.DUMMYFUNCTION("""COMPUTED_VALUE"""),1309.35)</f>
        <v>1309.35</v>
      </c>
      <c r="F32" s="6">
        <f>IFERROR(__xludf.DUMMYFUNCTION("""COMPUTED_VALUE"""),1.9112547E7)</f>
        <v>19112547</v>
      </c>
    </row>
    <row r="33">
      <c r="A33" s="7">
        <f>IFERROR(__xludf.DUMMYFUNCTION("""COMPUTED_VALUE"""),45401.64583333333)</f>
        <v>45401.64583</v>
      </c>
      <c r="B33" s="6">
        <f>IFERROR(__xludf.DUMMYFUNCTION("""COMPUTED_VALUE"""),1300.0)</f>
        <v>1300</v>
      </c>
      <c r="C33" s="6">
        <f>IFERROR(__xludf.DUMMYFUNCTION("""COMPUTED_VALUE"""),1315.0)</f>
        <v>1315</v>
      </c>
      <c r="D33" s="6">
        <f>IFERROR(__xludf.DUMMYFUNCTION("""COMPUTED_VALUE"""),1272.35)</f>
        <v>1272.35</v>
      </c>
      <c r="E33" s="6">
        <f>IFERROR(__xludf.DUMMYFUNCTION("""COMPUTED_VALUE"""),1300.55)</f>
        <v>1300.55</v>
      </c>
      <c r="F33" s="6">
        <f>IFERROR(__xludf.DUMMYFUNCTION("""COMPUTED_VALUE"""),5170837.0)</f>
        <v>5170837</v>
      </c>
    </row>
    <row r="34">
      <c r="A34" s="7">
        <f>IFERROR(__xludf.DUMMYFUNCTION("""COMPUTED_VALUE"""),45408.64583333333)</f>
        <v>45408.64583</v>
      </c>
      <c r="B34" s="6">
        <f>IFERROR(__xludf.DUMMYFUNCTION("""COMPUTED_VALUE"""),1364.0)</f>
        <v>1364</v>
      </c>
      <c r="C34" s="6">
        <f>IFERROR(__xludf.DUMMYFUNCTION("""COMPUTED_VALUE"""),1461.0)</f>
        <v>1461</v>
      </c>
      <c r="D34" s="6">
        <f>IFERROR(__xludf.DUMMYFUNCTION("""COMPUTED_VALUE"""),1332.8)</f>
        <v>1332.8</v>
      </c>
      <c r="E34" s="6">
        <f>IFERROR(__xludf.DUMMYFUNCTION("""COMPUTED_VALUE"""),1454.75)</f>
        <v>1454.75</v>
      </c>
      <c r="F34" s="6">
        <f>IFERROR(__xludf.DUMMYFUNCTION("""COMPUTED_VALUE"""),1.7582194E7)</f>
        <v>17582194</v>
      </c>
    </row>
    <row r="35">
      <c r="A35" s="7">
        <f>IFERROR(__xludf.DUMMYFUNCTION("""COMPUTED_VALUE"""),45415.64583333333)</f>
        <v>45415.64583</v>
      </c>
      <c r="B35" s="6">
        <f>IFERROR(__xludf.DUMMYFUNCTION("""COMPUTED_VALUE"""),1465.0)</f>
        <v>1465</v>
      </c>
      <c r="C35" s="6">
        <f>IFERROR(__xludf.DUMMYFUNCTION("""COMPUTED_VALUE"""),1501.0)</f>
        <v>1501</v>
      </c>
      <c r="D35" s="6">
        <f>IFERROR(__xludf.DUMMYFUNCTION("""COMPUTED_VALUE"""),1454.0)</f>
        <v>1454</v>
      </c>
      <c r="E35" s="6">
        <f>IFERROR(__xludf.DUMMYFUNCTION("""COMPUTED_VALUE"""),1491.5)</f>
        <v>1491.5</v>
      </c>
      <c r="F35" s="6">
        <f>IFERROR(__xludf.DUMMYFUNCTION("""COMPUTED_VALUE"""),6820554.0)</f>
        <v>6820554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IFERROR(__xludf.DUMMYFUNCTION("""COMPUTED_VALUE"""),1501.4)</f>
        <v>1501.4</v>
      </c>
      <c r="C36" s="6">
        <f>IFERROR(__xludf.DUMMYFUNCTION("""COMPUTED_VALUE"""),1502.3)</f>
        <v>1502.3</v>
      </c>
      <c r="D36" s="6">
        <f>IFERROR(__xludf.DUMMYFUNCTION("""COMPUTED_VALUE"""),1262.0)</f>
        <v>1262</v>
      </c>
      <c r="E36" s="6">
        <f>IFERROR(__xludf.DUMMYFUNCTION("""COMPUTED_VALUE"""),1287.55)</f>
        <v>1287.55</v>
      </c>
      <c r="F36" s="6">
        <f>IFERROR(__xludf.DUMMYFUNCTION("""COMPUTED_VALUE"""),1.7429122E7)</f>
        <v>17429122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IFERROR(__xludf.DUMMYFUNCTION("""COMPUTED_VALUE"""),1296.7)</f>
        <v>1296.7</v>
      </c>
      <c r="C37" s="6">
        <f>IFERROR(__xludf.DUMMYFUNCTION("""COMPUTED_VALUE"""),1382.45)</f>
        <v>1382.45</v>
      </c>
      <c r="D37" s="6">
        <f>IFERROR(__xludf.DUMMYFUNCTION("""COMPUTED_VALUE"""),1287.0)</f>
        <v>1287</v>
      </c>
      <c r="E37" s="6">
        <f>IFERROR(__xludf.DUMMYFUNCTION("""COMPUTED_VALUE"""),1371.55)</f>
        <v>1371.55</v>
      </c>
      <c r="F37" s="6">
        <f>IFERROR(__xludf.DUMMYFUNCTION("""COMPUTED_VALUE"""),6138913.0)</f>
        <v>6138913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IFERROR(__xludf.DUMMYFUNCTION("""COMPUTED_VALUE"""),1372.8)</f>
        <v>1372.8</v>
      </c>
      <c r="C38" s="6">
        <f>IFERROR(__xludf.DUMMYFUNCTION("""COMPUTED_VALUE"""),1437.85)</f>
        <v>1437.85</v>
      </c>
      <c r="D38" s="6">
        <f>IFERROR(__xludf.DUMMYFUNCTION("""COMPUTED_VALUE"""),1345.7)</f>
        <v>1345.7</v>
      </c>
      <c r="E38" s="6">
        <f>IFERROR(__xludf.DUMMYFUNCTION("""COMPUTED_VALUE"""),1359.7)</f>
        <v>1359.7</v>
      </c>
      <c r="F38" s="6">
        <f>IFERROR(__xludf.DUMMYFUNCTION("""COMPUTED_VALUE"""),7958155.0)</f>
        <v>7958155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IFERROR(__xludf.DUMMYFUNCTION("""COMPUTED_VALUE"""),1410.0)</f>
        <v>1410</v>
      </c>
      <c r="C39" s="6">
        <f>IFERROR(__xludf.DUMMYFUNCTION("""COMPUTED_VALUE"""),1478.2)</f>
        <v>1478.2</v>
      </c>
      <c r="D39" s="6">
        <f>IFERROR(__xludf.DUMMYFUNCTION("""COMPUTED_VALUE"""),1239.5)</f>
        <v>1239.5</v>
      </c>
      <c r="E39" s="6">
        <f>IFERROR(__xludf.DUMMYFUNCTION("""COMPUTED_VALUE"""),1451.5)</f>
        <v>1451.5</v>
      </c>
      <c r="F39" s="6">
        <f>IFERROR(__xludf.DUMMYFUNCTION("""COMPUTED_VALUE"""),6472439.0)</f>
        <v>6472439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IFERROR(__xludf.DUMMYFUNCTION("""COMPUTED_VALUE"""),1458.0)</f>
        <v>1458</v>
      </c>
      <c r="C40" s="6">
        <f>IFERROR(__xludf.DUMMYFUNCTION("""COMPUTED_VALUE"""),1511.95)</f>
        <v>1511.95</v>
      </c>
      <c r="D40" s="6">
        <f>IFERROR(__xludf.DUMMYFUNCTION("""COMPUTED_VALUE"""),1425.95)</f>
        <v>1425.95</v>
      </c>
      <c r="E40" s="6">
        <f>IFERROR(__xludf.DUMMYFUNCTION("""COMPUTED_VALUE"""),1498.5)</f>
        <v>1498.5</v>
      </c>
      <c r="F40" s="6">
        <f>IFERROR(__xludf.DUMMYFUNCTION("""COMPUTED_VALUE"""),8610917.0)</f>
        <v>8610917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IFERROR(__xludf.DUMMYFUNCTION("""COMPUTED_VALUE"""),1499.55)</f>
        <v>1499.55</v>
      </c>
      <c r="C41" s="6">
        <f>IFERROR(__xludf.DUMMYFUNCTION("""COMPUTED_VALUE"""),1560.0)</f>
        <v>1560</v>
      </c>
      <c r="D41" s="6">
        <f>IFERROR(__xludf.DUMMYFUNCTION("""COMPUTED_VALUE"""),1471.0)</f>
        <v>1471</v>
      </c>
      <c r="E41" s="6">
        <f>IFERROR(__xludf.DUMMYFUNCTION("""COMPUTED_VALUE"""),1487.2)</f>
        <v>1487.2</v>
      </c>
      <c r="F41" s="6">
        <f>IFERROR(__xludf.DUMMYFUNCTION("""COMPUTED_VALUE"""),7519520.0)</f>
        <v>7519520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IFERROR(__xludf.DUMMYFUNCTION("""COMPUTED_VALUE"""),1481.0)</f>
        <v>1481</v>
      </c>
      <c r="C42" s="6">
        <f>IFERROR(__xludf.DUMMYFUNCTION("""COMPUTED_VALUE"""),1528.0)</f>
        <v>1528</v>
      </c>
      <c r="D42" s="6">
        <f>IFERROR(__xludf.DUMMYFUNCTION("""COMPUTED_VALUE"""),1468.65)</f>
        <v>1468.65</v>
      </c>
      <c r="E42" s="6">
        <f>IFERROR(__xludf.DUMMYFUNCTION("""COMPUTED_VALUE"""),1472.2)</f>
        <v>1472.2</v>
      </c>
      <c r="F42" s="6">
        <f>IFERROR(__xludf.DUMMYFUNCTION("""COMPUTED_VALUE"""),6989353.0)</f>
        <v>6989353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IFERROR(__xludf.DUMMYFUNCTION("""COMPUTED_VALUE"""),1472.2)</f>
        <v>1472.2</v>
      </c>
      <c r="C43" s="6">
        <f>IFERROR(__xludf.DUMMYFUNCTION("""COMPUTED_VALUE"""),1488.85)</f>
        <v>1488.85</v>
      </c>
      <c r="D43" s="6">
        <f>IFERROR(__xludf.DUMMYFUNCTION("""COMPUTED_VALUE"""),1416.5)</f>
        <v>1416.5</v>
      </c>
      <c r="E43" s="6">
        <f>IFERROR(__xludf.DUMMYFUNCTION("""COMPUTED_VALUE"""),1452.75)</f>
        <v>1452.75</v>
      </c>
      <c r="F43" s="6">
        <f>IFERROR(__xludf.DUMMYFUNCTION("""COMPUTED_VALUE"""),4512405.0)</f>
        <v>4512405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IFERROR(__xludf.DUMMYFUNCTION("""COMPUTED_VALUE"""),1452.75)</f>
        <v>1452.75</v>
      </c>
      <c r="C44" s="6">
        <f>IFERROR(__xludf.DUMMYFUNCTION("""COMPUTED_VALUE"""),1528.5)</f>
        <v>1528.5</v>
      </c>
      <c r="D44" s="6">
        <f>IFERROR(__xludf.DUMMYFUNCTION("""COMPUTED_VALUE"""),1439.05)</f>
        <v>1439.05</v>
      </c>
      <c r="E44" s="6">
        <f>IFERROR(__xludf.DUMMYFUNCTION("""COMPUTED_VALUE"""),1520.0)</f>
        <v>1520</v>
      </c>
      <c r="F44" s="6">
        <f>IFERROR(__xludf.DUMMYFUNCTION("""COMPUTED_VALUE"""),6234841.0)</f>
        <v>6234841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IFERROR(__xludf.DUMMYFUNCTION("""COMPUTED_VALUE"""),1520.1)</f>
        <v>1520.1</v>
      </c>
      <c r="C45" s="6">
        <f>IFERROR(__xludf.DUMMYFUNCTION("""COMPUTED_VALUE"""),1539.8)</f>
        <v>1539.8</v>
      </c>
      <c r="D45" s="6">
        <f>IFERROR(__xludf.DUMMYFUNCTION("""COMPUTED_VALUE"""),1470.05)</f>
        <v>1470.05</v>
      </c>
      <c r="E45" s="6">
        <f>IFERROR(__xludf.DUMMYFUNCTION("""COMPUTED_VALUE"""),1477.55)</f>
        <v>1477.55</v>
      </c>
      <c r="F45" s="6">
        <f>IFERROR(__xludf.DUMMYFUNCTION("""COMPUTED_VALUE"""),4285647.0)</f>
        <v>4285647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IFERROR(__xludf.DUMMYFUNCTION("""COMPUTED_VALUE"""),1470.0)</f>
        <v>1470</v>
      </c>
      <c r="C46" s="6">
        <f>IFERROR(__xludf.DUMMYFUNCTION("""COMPUTED_VALUE"""),1518.9)</f>
        <v>1518.9</v>
      </c>
      <c r="D46" s="6">
        <f>IFERROR(__xludf.DUMMYFUNCTION("""COMPUTED_VALUE"""),1421.15)</f>
        <v>1421.15</v>
      </c>
      <c r="E46" s="6">
        <f>IFERROR(__xludf.DUMMYFUNCTION("""COMPUTED_VALUE"""),1490.35)</f>
        <v>1490.35</v>
      </c>
      <c r="F46" s="6">
        <f>IFERROR(__xludf.DUMMYFUNCTION("""COMPUTED_VALUE"""),4820938.0)</f>
        <v>4820938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IFERROR(__xludf.DUMMYFUNCTION("""COMPUTED_VALUE"""),1500.0)</f>
        <v>1500</v>
      </c>
      <c r="C47" s="6">
        <f>IFERROR(__xludf.DUMMYFUNCTION("""COMPUTED_VALUE"""),1559.85)</f>
        <v>1559.85</v>
      </c>
      <c r="D47" s="6">
        <f>IFERROR(__xludf.DUMMYFUNCTION("""COMPUTED_VALUE"""),1481.95)</f>
        <v>1481.95</v>
      </c>
      <c r="E47" s="6">
        <f>IFERROR(__xludf.DUMMYFUNCTION("""COMPUTED_VALUE"""),1490.75)</f>
        <v>1490.75</v>
      </c>
      <c r="F47" s="6">
        <f>IFERROR(__xludf.DUMMYFUNCTION("""COMPUTED_VALUE"""),4611289.0)</f>
        <v>4611289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IFERROR(__xludf.DUMMYFUNCTION("""COMPUTED_VALUE"""),1475.0)</f>
        <v>1475</v>
      </c>
      <c r="C48" s="6">
        <f>IFERROR(__xludf.DUMMYFUNCTION("""COMPUTED_VALUE"""),1512.45)</f>
        <v>1512.45</v>
      </c>
      <c r="D48" s="6">
        <f>IFERROR(__xludf.DUMMYFUNCTION("""COMPUTED_VALUE"""),1418.55)</f>
        <v>1418.55</v>
      </c>
      <c r="E48" s="6">
        <f>IFERROR(__xludf.DUMMYFUNCTION("""COMPUTED_VALUE"""),1428.85)</f>
        <v>1428.85</v>
      </c>
      <c r="F48" s="6">
        <f>IFERROR(__xludf.DUMMYFUNCTION("""COMPUTED_VALUE"""),6372227.0)</f>
        <v>6372227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IFERROR(__xludf.DUMMYFUNCTION("""COMPUTED_VALUE"""),1500.0)</f>
        <v>1500</v>
      </c>
      <c r="C49" s="6">
        <f>IFERROR(__xludf.DUMMYFUNCTION("""COMPUTED_VALUE"""),1598.9)</f>
        <v>1598.9</v>
      </c>
      <c r="D49" s="6">
        <f>IFERROR(__xludf.DUMMYFUNCTION("""COMPUTED_VALUE"""),1463.15)</f>
        <v>1463.15</v>
      </c>
      <c r="E49" s="6">
        <f>IFERROR(__xludf.DUMMYFUNCTION("""COMPUTED_VALUE"""),1535.15)</f>
        <v>1535.15</v>
      </c>
      <c r="F49" s="6">
        <f>IFERROR(__xludf.DUMMYFUNCTION("""COMPUTED_VALUE"""),2.0087016E7)</f>
        <v>20087016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IFERROR(__xludf.DUMMYFUNCTION("""COMPUTED_VALUE"""),1552.95)</f>
        <v>1552.95</v>
      </c>
      <c r="C50" s="6">
        <f>IFERROR(__xludf.DUMMYFUNCTION("""COMPUTED_VALUE"""),1699.0)</f>
        <v>1699</v>
      </c>
      <c r="D50" s="6">
        <f>IFERROR(__xludf.DUMMYFUNCTION("""COMPUTED_VALUE"""),1548.05)</f>
        <v>1548.05</v>
      </c>
      <c r="E50" s="6">
        <f>IFERROR(__xludf.DUMMYFUNCTION("""COMPUTED_VALUE"""),1690.55)</f>
        <v>1690.55</v>
      </c>
      <c r="F50" s="6">
        <f>IFERROR(__xludf.DUMMYFUNCTION("""COMPUTED_VALUE"""),1.5508636E7)</f>
        <v>15508636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IFERROR(__xludf.DUMMYFUNCTION("""COMPUTED_VALUE"""),1690.1)</f>
        <v>1690.1</v>
      </c>
      <c r="C51" s="6">
        <f>IFERROR(__xludf.DUMMYFUNCTION("""COMPUTED_VALUE"""),1818.15)</f>
        <v>1818.15</v>
      </c>
      <c r="D51" s="6">
        <f>IFERROR(__xludf.DUMMYFUNCTION("""COMPUTED_VALUE"""),1684.25)</f>
        <v>1684.25</v>
      </c>
      <c r="E51" s="6">
        <f>IFERROR(__xludf.DUMMYFUNCTION("""COMPUTED_VALUE"""),1743.65)</f>
        <v>1743.65</v>
      </c>
      <c r="F51" s="6">
        <f>IFERROR(__xludf.DUMMYFUNCTION("""COMPUTED_VALUE"""),1.1643148E7)</f>
        <v>11643148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IFERROR(__xludf.DUMMYFUNCTION("""COMPUTED_VALUE"""),1754.8)</f>
        <v>1754.8</v>
      </c>
      <c r="C52" s="6">
        <f>IFERROR(__xludf.DUMMYFUNCTION("""COMPUTED_VALUE"""),1828.75)</f>
        <v>1828.75</v>
      </c>
      <c r="D52" s="6">
        <f>IFERROR(__xludf.DUMMYFUNCTION("""COMPUTED_VALUE"""),1750.55)</f>
        <v>1750.55</v>
      </c>
      <c r="E52" s="6">
        <f>IFERROR(__xludf.DUMMYFUNCTION("""COMPUTED_VALUE"""),1778.65)</f>
        <v>1778.65</v>
      </c>
      <c r="F52" s="6">
        <f>IFERROR(__xludf.DUMMYFUNCTION("""COMPUTED_VALUE"""),8713066.0)</f>
        <v>8713066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IFERROR(__xludf.DUMMYFUNCTION("""COMPUTED_VALUE"""),1786.0)</f>
        <v>1786</v>
      </c>
      <c r="C53" s="6">
        <f>IFERROR(__xludf.DUMMYFUNCTION("""COMPUTED_VALUE"""),1935.0)</f>
        <v>1935</v>
      </c>
      <c r="D53" s="6">
        <f>IFERROR(__xludf.DUMMYFUNCTION("""COMPUTED_VALUE"""),1770.0)</f>
        <v>1770</v>
      </c>
      <c r="E53" s="6">
        <f>IFERROR(__xludf.DUMMYFUNCTION("""COMPUTED_VALUE"""),1921.55)</f>
        <v>1921.55</v>
      </c>
      <c r="F53" s="6">
        <f>IFERROR(__xludf.DUMMYFUNCTION("""COMPUTED_VALUE"""),7949552.0)</f>
        <v>7949552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IFERROR(__xludf.DUMMYFUNCTION("""COMPUTED_VALUE"""),1930.0)</f>
        <v>1930</v>
      </c>
      <c r="C54" s="6">
        <f>IFERROR(__xludf.DUMMYFUNCTION("""COMPUTED_VALUE"""),1944.9)</f>
        <v>1944.9</v>
      </c>
      <c r="D54" s="6">
        <f>IFERROR(__xludf.DUMMYFUNCTION("""COMPUTED_VALUE"""),1882.95)</f>
        <v>1882.95</v>
      </c>
      <c r="E54" s="6">
        <f>IFERROR(__xludf.DUMMYFUNCTION("""COMPUTED_VALUE"""),1928.4)</f>
        <v>1928.4</v>
      </c>
      <c r="F54" s="6">
        <f>IFERROR(__xludf.DUMMYFUNCTION("""COMPUTED_VALUE"""),6395842.0)</f>
        <v>6395842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IFERROR(__xludf.DUMMYFUNCTION("""COMPUTED_VALUE"""),1930.95)</f>
        <v>1930.95</v>
      </c>
      <c r="C55" s="6">
        <f>IFERROR(__xludf.DUMMYFUNCTION("""COMPUTED_VALUE"""),1932.0)</f>
        <v>1932</v>
      </c>
      <c r="D55" s="6">
        <f>IFERROR(__xludf.DUMMYFUNCTION("""COMPUTED_VALUE"""),1840.3)</f>
        <v>1840.3</v>
      </c>
      <c r="E55" s="6">
        <f>IFERROR(__xludf.DUMMYFUNCTION("""COMPUTED_VALUE"""),1866.7)</f>
        <v>1866.7</v>
      </c>
      <c r="F55" s="6">
        <f>IFERROR(__xludf.DUMMYFUNCTION("""COMPUTED_VALUE"""),7259826.0)</f>
        <v>7259826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IFERROR(__xludf.DUMMYFUNCTION("""COMPUTED_VALUE"""),1862.0)</f>
        <v>1862</v>
      </c>
      <c r="C56" s="6">
        <f>IFERROR(__xludf.DUMMYFUNCTION("""COMPUTED_VALUE"""),1882.55)</f>
        <v>1882.55</v>
      </c>
      <c r="D56" s="6">
        <f>IFERROR(__xludf.DUMMYFUNCTION("""COMPUTED_VALUE"""),1797.25)</f>
        <v>1797.25</v>
      </c>
      <c r="E56" s="6">
        <f>IFERROR(__xludf.DUMMYFUNCTION("""COMPUTED_VALUE"""),1809.6)</f>
        <v>1809.6</v>
      </c>
      <c r="F56" s="6">
        <f>IFERROR(__xludf.DUMMYFUNCTION("""COMPUTED_VALUE"""),4152213.0)</f>
        <v>4152213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IFERROR(__xludf.DUMMYFUNCTION("""COMPUTED_VALUE"""),1809.0)</f>
        <v>1809</v>
      </c>
      <c r="C57" s="6">
        <f>IFERROR(__xludf.DUMMYFUNCTION("""COMPUTED_VALUE"""),1818.5)</f>
        <v>1818.5</v>
      </c>
      <c r="D57" s="6">
        <f>IFERROR(__xludf.DUMMYFUNCTION("""COMPUTED_VALUE"""),1750.0)</f>
        <v>1750</v>
      </c>
      <c r="E57" s="6">
        <f>IFERROR(__xludf.DUMMYFUNCTION("""COMPUTED_VALUE"""),1789.45)</f>
        <v>1789.45</v>
      </c>
      <c r="F57" s="6">
        <f>IFERROR(__xludf.DUMMYFUNCTION("""COMPUTED_VALUE"""),5594257.0)</f>
        <v>5594257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IFERROR(__xludf.DUMMYFUNCTION("""COMPUTED_VALUE"""),1796.0)</f>
        <v>1796</v>
      </c>
      <c r="C58" s="6">
        <f>IFERROR(__xludf.DUMMYFUNCTION("""COMPUTED_VALUE"""),1902.0)</f>
        <v>1902</v>
      </c>
      <c r="D58" s="6">
        <f>IFERROR(__xludf.DUMMYFUNCTION("""COMPUTED_VALUE"""),1766.15)</f>
        <v>1766.15</v>
      </c>
      <c r="E58" s="6">
        <f>IFERROR(__xludf.DUMMYFUNCTION("""COMPUTED_VALUE"""),1865.3)</f>
        <v>1865.3</v>
      </c>
      <c r="F58" s="6">
        <f>IFERROR(__xludf.DUMMYFUNCTION("""COMPUTED_VALUE"""),9953771.0)</f>
        <v>9953771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IFERROR(__xludf.DUMMYFUNCTION("""COMPUTED_VALUE"""),1874.65)</f>
        <v>1874.65</v>
      </c>
      <c r="C59" s="6">
        <f>IFERROR(__xludf.DUMMYFUNCTION("""COMPUTED_VALUE"""),1877.95)</f>
        <v>1877.95</v>
      </c>
      <c r="D59" s="6">
        <f>IFERROR(__xludf.DUMMYFUNCTION("""COMPUTED_VALUE"""),1738.85)</f>
        <v>1738.85</v>
      </c>
      <c r="E59" s="6">
        <f>IFERROR(__xludf.DUMMYFUNCTION("""COMPUTED_VALUE"""),1754.85)</f>
        <v>1754.85</v>
      </c>
      <c r="F59" s="6">
        <f>IFERROR(__xludf.DUMMYFUNCTION("""COMPUTED_VALUE"""),5713749.0)</f>
        <v>5713749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IFERROR(__xludf.DUMMYFUNCTION("""COMPUTED_VALUE"""),1638.1)</f>
        <v>1638.1</v>
      </c>
      <c r="C60" s="6">
        <f>IFERROR(__xludf.DUMMYFUNCTION("""COMPUTED_VALUE"""),1792.95)</f>
        <v>1792.95</v>
      </c>
      <c r="D60" s="6">
        <f>IFERROR(__xludf.DUMMYFUNCTION("""COMPUTED_VALUE"""),1618.25)</f>
        <v>1618.25</v>
      </c>
      <c r="E60" s="6">
        <f>IFERROR(__xludf.DUMMYFUNCTION("""COMPUTED_VALUE"""),1766.0)</f>
        <v>1766</v>
      </c>
      <c r="F60" s="6">
        <f>IFERROR(__xludf.DUMMYFUNCTION("""COMPUTED_VALUE"""),8792775.0)</f>
        <v>8792775</v>
      </c>
    </row>
    <row r="61">
      <c r="A61" s="7">
        <f>IFERROR(__xludf.DUMMYFUNCTION("""COMPUTED_VALUE"""),45610.64583333333)</f>
        <v>45610.64583</v>
      </c>
      <c r="B61" s="6">
        <f>IFERROR(__xludf.DUMMYFUNCTION("""COMPUTED_VALUE"""),1768.8)</f>
        <v>1768.8</v>
      </c>
      <c r="C61" s="6">
        <f>IFERROR(__xludf.DUMMYFUNCTION("""COMPUTED_VALUE"""),1786.0)</f>
        <v>1786</v>
      </c>
      <c r="D61" s="6">
        <f>IFERROR(__xludf.DUMMYFUNCTION("""COMPUTED_VALUE"""),1671.85)</f>
        <v>1671.85</v>
      </c>
      <c r="E61" s="6">
        <f>IFERROR(__xludf.DUMMYFUNCTION("""COMPUTED_VALUE"""),1708.6)</f>
        <v>1708.6</v>
      </c>
      <c r="F61" s="6">
        <f>IFERROR(__xludf.DUMMYFUNCTION("""COMPUTED_VALUE"""),6703586.0)</f>
        <v>6703586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IFERROR(__xludf.DUMMYFUNCTION("""COMPUTED_VALUE"""),1720.0)</f>
        <v>1720</v>
      </c>
      <c r="C62" s="6">
        <f>IFERROR(__xludf.DUMMYFUNCTION("""COMPUTED_VALUE"""),1744.0)</f>
        <v>1744</v>
      </c>
      <c r="D62" s="6">
        <f>IFERROR(__xludf.DUMMYFUNCTION("""COMPUTED_VALUE"""),1647.7)</f>
        <v>1647.7</v>
      </c>
      <c r="E62" s="6">
        <f>IFERROR(__xludf.DUMMYFUNCTION("""COMPUTED_VALUE"""),1653.4)</f>
        <v>1653.4</v>
      </c>
      <c r="F62" s="6">
        <f>IFERROR(__xludf.DUMMYFUNCTION("""COMPUTED_VALUE"""),7859928.0)</f>
        <v>7859928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IFERROR(__xludf.DUMMYFUNCTION("""COMPUTED_VALUE"""),1698.0)</f>
        <v>1698</v>
      </c>
      <c r="C63" s="6">
        <f>IFERROR(__xludf.DUMMYFUNCTION("""COMPUTED_VALUE"""),1715.3)</f>
        <v>1715.3</v>
      </c>
      <c r="D63" s="6">
        <f>IFERROR(__xludf.DUMMYFUNCTION("""COMPUTED_VALUE"""),1622.1)</f>
        <v>1622.1</v>
      </c>
      <c r="E63" s="6">
        <f>IFERROR(__xludf.DUMMYFUNCTION("""COMPUTED_VALUE"""),1658.25)</f>
        <v>1658.25</v>
      </c>
      <c r="F63" s="6">
        <f>IFERROR(__xludf.DUMMYFUNCTION("""COMPUTED_VALUE"""),3.275163E7)</f>
        <v>32751630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IFERROR(__xludf.DUMMYFUNCTION("""COMPUTED_VALUE"""),1667.0)</f>
        <v>1667</v>
      </c>
      <c r="C64" s="6">
        <f>IFERROR(__xludf.DUMMYFUNCTION("""COMPUTED_VALUE"""),1725.65)</f>
        <v>1725.65</v>
      </c>
      <c r="D64" s="6">
        <f>IFERROR(__xludf.DUMMYFUNCTION("""COMPUTED_VALUE"""),1656.0)</f>
        <v>1656</v>
      </c>
      <c r="E64" s="6">
        <f>IFERROR(__xludf.DUMMYFUNCTION("""COMPUTED_VALUE"""),1710.9)</f>
        <v>1710.9</v>
      </c>
      <c r="F64" s="6">
        <f>IFERROR(__xludf.DUMMYFUNCTION("""COMPUTED_VALUE"""),5022784.0)</f>
        <v>5022784</v>
      </c>
    </row>
    <row r="65">
      <c r="A65" s="7">
        <f>IFERROR(__xludf.DUMMYFUNCTION("""COMPUTED_VALUE"""),45639.64583333333)</f>
        <v>45639.64583</v>
      </c>
      <c r="B65" s="6">
        <f>IFERROR(__xludf.DUMMYFUNCTION("""COMPUTED_VALUE"""),1714.1)</f>
        <v>1714.1</v>
      </c>
      <c r="C65" s="6">
        <f>IFERROR(__xludf.DUMMYFUNCTION("""COMPUTED_VALUE"""),1813.85)</f>
        <v>1813.85</v>
      </c>
      <c r="D65" s="6">
        <f>IFERROR(__xludf.DUMMYFUNCTION("""COMPUTED_VALUE"""),1713.45)</f>
        <v>1713.45</v>
      </c>
      <c r="E65" s="6">
        <f>IFERROR(__xludf.DUMMYFUNCTION("""COMPUTED_VALUE"""),1807.5)</f>
        <v>1807.5</v>
      </c>
      <c r="F65" s="6">
        <f>IFERROR(__xludf.DUMMYFUNCTION("""COMPUTED_VALUE"""),5282390.0)</f>
        <v>5282390</v>
      </c>
    </row>
    <row r="66">
      <c r="A66" s="7">
        <f>IFERROR(__xludf.DUMMYFUNCTION("""COMPUTED_VALUE"""),45646.64583333333)</f>
        <v>45646.64583</v>
      </c>
      <c r="B66" s="6">
        <f>IFERROR(__xludf.DUMMYFUNCTION("""COMPUTED_VALUE"""),1820.0)</f>
        <v>1820</v>
      </c>
      <c r="C66" s="6">
        <f>IFERROR(__xludf.DUMMYFUNCTION("""COMPUTED_VALUE"""),1832.95)</f>
        <v>1832.95</v>
      </c>
      <c r="D66" s="6">
        <f>IFERROR(__xludf.DUMMYFUNCTION("""COMPUTED_VALUE"""),1679.2)</f>
        <v>1679.2</v>
      </c>
      <c r="E66" s="6">
        <f>IFERROR(__xludf.DUMMYFUNCTION("""COMPUTED_VALUE"""),1686.5)</f>
        <v>1686.5</v>
      </c>
      <c r="F66" s="6">
        <f>IFERROR(__xludf.DUMMYFUNCTION("""COMPUTED_VALUE"""),3364696.0)</f>
        <v>3364696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IFERROR(__xludf.DUMMYFUNCTION("""COMPUTED_VALUE"""),1687.1)</f>
        <v>1687.1</v>
      </c>
      <c r="C67" s="6">
        <f>IFERROR(__xludf.DUMMYFUNCTION("""COMPUTED_VALUE"""),1722.15)</f>
        <v>1722.15</v>
      </c>
      <c r="D67" s="6">
        <f>IFERROR(__xludf.DUMMYFUNCTION("""COMPUTED_VALUE"""),1660.35)</f>
        <v>1660.35</v>
      </c>
      <c r="E67" s="6">
        <f>IFERROR(__xludf.DUMMYFUNCTION("""COMPUTED_VALUE"""),1705.3)</f>
        <v>1705.3</v>
      </c>
      <c r="F67" s="6">
        <f>IFERROR(__xludf.DUMMYFUNCTION("""COMPUTED_VALUE"""),2578060.0)</f>
        <v>2578060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IFERROR(__xludf.DUMMYFUNCTION("""COMPUTED_VALUE"""),1690.05)</f>
        <v>1690.05</v>
      </c>
      <c r="C68" s="6">
        <f>IFERROR(__xludf.DUMMYFUNCTION("""COMPUTED_VALUE"""),1859.4)</f>
        <v>1859.4</v>
      </c>
      <c r="D68" s="6">
        <f>IFERROR(__xludf.DUMMYFUNCTION("""COMPUTED_VALUE"""),1675.0)</f>
        <v>1675</v>
      </c>
      <c r="E68" s="6">
        <f>IFERROR(__xludf.DUMMYFUNCTION("""COMPUTED_VALUE"""),1824.7)</f>
        <v>1824.7</v>
      </c>
      <c r="F68" s="6">
        <f>IFERROR(__xludf.DUMMYFUNCTION("""COMPUTED_VALUE"""),8689152.0)</f>
        <v>8689152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IFERROR(__xludf.DUMMYFUNCTION("""COMPUTED_VALUE"""),1826.0)</f>
        <v>1826</v>
      </c>
      <c r="C69" s="6">
        <f>IFERROR(__xludf.DUMMYFUNCTION("""COMPUTED_VALUE"""),1833.1)</f>
        <v>1833.1</v>
      </c>
      <c r="D69" s="6">
        <f>IFERROR(__xludf.DUMMYFUNCTION("""COMPUTED_VALUE"""),1655.0)</f>
        <v>1655</v>
      </c>
      <c r="E69" s="6">
        <f>IFERROR(__xludf.DUMMYFUNCTION("""COMPUTED_VALUE"""),1663.5)</f>
        <v>1663.5</v>
      </c>
      <c r="F69" s="6">
        <f>IFERROR(__xludf.DUMMYFUNCTION("""COMPUTED_VALUE"""),4168315.0)</f>
        <v>4168315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IFERROR(__xludf.DUMMYFUNCTION("""COMPUTED_VALUE"""),1645.0)</f>
        <v>1645</v>
      </c>
      <c r="C70" s="6">
        <f>IFERROR(__xludf.DUMMYFUNCTION("""COMPUTED_VALUE"""),1699.0)</f>
        <v>1699</v>
      </c>
      <c r="D70" s="6">
        <f>IFERROR(__xludf.DUMMYFUNCTION("""COMPUTED_VALUE"""),1573.65)</f>
        <v>1573.65</v>
      </c>
      <c r="E70" s="6">
        <f>IFERROR(__xludf.DUMMYFUNCTION("""COMPUTED_VALUE"""),1596.95)</f>
        <v>1596.95</v>
      </c>
      <c r="F70" s="6">
        <f>IFERROR(__xludf.DUMMYFUNCTION("""COMPUTED_VALUE"""),4842753.0)</f>
        <v>4842753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IFERROR(__xludf.DUMMYFUNCTION("""COMPUTED_VALUE"""),1600.0)</f>
        <v>1600</v>
      </c>
      <c r="C71" s="6">
        <f>IFERROR(__xludf.DUMMYFUNCTION("""COMPUTED_VALUE"""),1600.0)</f>
        <v>1600</v>
      </c>
      <c r="D71" s="6">
        <f>IFERROR(__xludf.DUMMYFUNCTION("""COMPUTED_VALUE"""),1448.1)</f>
        <v>1448.1</v>
      </c>
      <c r="E71" s="6">
        <f>IFERROR(__xludf.DUMMYFUNCTION("""COMPUTED_VALUE"""),1456.6)</f>
        <v>1456.6</v>
      </c>
      <c r="F71" s="6">
        <f>IFERROR(__xludf.DUMMYFUNCTION("""COMPUTED_VALUE"""),5373822.0)</f>
        <v>5373822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IFERROR(__xludf.DUMMYFUNCTION("""COMPUTED_VALUE"""),1315.1)</f>
        <v>1315.1</v>
      </c>
      <c r="C72" s="6">
        <f>IFERROR(__xludf.DUMMYFUNCTION("""COMPUTED_VALUE"""),1445.0)</f>
        <v>1445</v>
      </c>
      <c r="D72" s="6">
        <f>IFERROR(__xludf.DUMMYFUNCTION("""COMPUTED_VALUE"""),1276.65)</f>
        <v>1276.65</v>
      </c>
      <c r="E72" s="6">
        <f>IFERROR(__xludf.DUMMYFUNCTION("""COMPUTED_VALUE"""),1383.25)</f>
        <v>1383.25</v>
      </c>
      <c r="F72" s="6">
        <f>IFERROR(__xludf.DUMMYFUNCTION("""COMPUTED_VALUE"""),1.6318772E7)</f>
        <v>16318772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IFERROR(__xludf.DUMMYFUNCTION("""COMPUTED_VALUE"""),1383.25)</f>
        <v>1383.25</v>
      </c>
      <c r="C73" s="6">
        <f>IFERROR(__xludf.DUMMYFUNCTION("""COMPUTED_VALUE"""),1389.7)</f>
        <v>1389.7</v>
      </c>
      <c r="D73" s="6">
        <f>IFERROR(__xludf.DUMMYFUNCTION("""COMPUTED_VALUE"""),1202.2)</f>
        <v>1202.2</v>
      </c>
      <c r="E73" s="6">
        <f>IFERROR(__xludf.DUMMYFUNCTION("""COMPUTED_VALUE"""),1213.85)</f>
        <v>1213.85</v>
      </c>
      <c r="F73" s="6">
        <f>IFERROR(__xludf.DUMMYFUNCTION("""COMPUTED_VALUE"""),6381607.0)</f>
        <v>6381607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IFERROR(__xludf.DUMMYFUNCTION("""COMPUTED_VALUE"""),1200.0)</f>
        <v>1200</v>
      </c>
      <c r="C74" s="6">
        <f>IFERROR(__xludf.DUMMYFUNCTION("""COMPUTED_VALUE"""),1299.75)</f>
        <v>1299.75</v>
      </c>
      <c r="D74" s="6">
        <f>IFERROR(__xludf.DUMMYFUNCTION("""COMPUTED_VALUE"""),1182.7)</f>
        <v>1182.7</v>
      </c>
      <c r="E74" s="6">
        <f>IFERROR(__xludf.DUMMYFUNCTION("""COMPUTED_VALUE"""),1269.0)</f>
        <v>1269</v>
      </c>
      <c r="F74" s="6">
        <f>IFERROR(__xludf.DUMMYFUNCTION("""COMPUTED_VALUE"""),6979749.0)</f>
        <v>6979749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IFERROR(__xludf.DUMMYFUNCTION("""COMPUTED_VALUE"""),1260.0)</f>
        <v>1260</v>
      </c>
      <c r="C75" s="6">
        <f>IFERROR(__xludf.DUMMYFUNCTION("""COMPUTED_VALUE"""),1335.55)</f>
        <v>1335.55</v>
      </c>
      <c r="D75" s="6">
        <f>IFERROR(__xludf.DUMMYFUNCTION("""COMPUTED_VALUE"""),1243.75)</f>
        <v>1243.75</v>
      </c>
      <c r="E75" s="6">
        <f>IFERROR(__xludf.DUMMYFUNCTION("""COMPUTED_VALUE"""),1320.1)</f>
        <v>1320.1</v>
      </c>
      <c r="F75" s="6">
        <f>IFERROR(__xludf.DUMMYFUNCTION("""COMPUTED_VALUE"""),1.2938932E7)</f>
        <v>12938932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IFERROR(__xludf.DUMMYFUNCTION("""COMPUTED_VALUE"""),1347.15)</f>
        <v>1347.15</v>
      </c>
      <c r="C76" s="6">
        <f>IFERROR(__xludf.DUMMYFUNCTION("""COMPUTED_VALUE"""),1425.0)</f>
        <v>1425</v>
      </c>
      <c r="D76" s="6">
        <f>IFERROR(__xludf.DUMMYFUNCTION("""COMPUTED_VALUE"""),1322.15)</f>
        <v>1322.15</v>
      </c>
      <c r="E76" s="6">
        <f>IFERROR(__xludf.DUMMYFUNCTION("""COMPUTED_VALUE"""),1405.45)</f>
        <v>1405.45</v>
      </c>
      <c r="F76" s="6">
        <f>IFERROR(__xludf.DUMMYFUNCTION("""COMPUTED_VALUE"""),1.4721534E7)</f>
        <v>14721534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IFERROR(__xludf.DUMMYFUNCTION("""COMPUTED_VALUE"""),1404.0)</f>
        <v>1404</v>
      </c>
      <c r="C77" s="6">
        <f>IFERROR(__xludf.DUMMYFUNCTION("""COMPUTED_VALUE"""),1463.85)</f>
        <v>1463.85</v>
      </c>
      <c r="D77" s="6">
        <f>IFERROR(__xludf.DUMMYFUNCTION("""COMPUTED_VALUE"""),1372.0)</f>
        <v>1372</v>
      </c>
      <c r="E77" s="6">
        <f>IFERROR(__xludf.DUMMYFUNCTION("""COMPUTED_VALUE"""),1402.55)</f>
        <v>1402.55</v>
      </c>
      <c r="F77" s="6">
        <f>IFERROR(__xludf.DUMMYFUNCTION("""COMPUTED_VALUE"""),6629112.0)</f>
        <v>6629112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IFERROR(__xludf.DUMMYFUNCTION("""COMPUTED_VALUE"""),1404.45)</f>
        <v>1404.45</v>
      </c>
      <c r="C78" s="6">
        <f>IFERROR(__xludf.DUMMYFUNCTION("""COMPUTED_VALUE"""),1531.0)</f>
        <v>1531</v>
      </c>
      <c r="D78" s="6">
        <f>IFERROR(__xludf.DUMMYFUNCTION("""COMPUTED_VALUE"""),1402.95)</f>
        <v>1402.95</v>
      </c>
      <c r="E78" s="6">
        <f>IFERROR(__xludf.DUMMYFUNCTION("""COMPUTED_VALUE"""),1429.5)</f>
        <v>1429.5</v>
      </c>
      <c r="F78" s="6">
        <f>IFERROR(__xludf.DUMMYFUNCTION("""COMPUTED_VALUE"""),1.1631933E7)</f>
        <v>11631933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IFERROR(__xludf.DUMMYFUNCTION("""COMPUTED_VALUE"""),1437.85)</f>
        <v>1437.85</v>
      </c>
      <c r="C79" s="6">
        <f>IFERROR(__xludf.DUMMYFUNCTION("""COMPUTED_VALUE"""),1469.8)</f>
        <v>1469.8</v>
      </c>
      <c r="D79" s="6">
        <f>IFERROR(__xludf.DUMMYFUNCTION("""COMPUTED_VALUE"""),1413.65)</f>
        <v>1413.65</v>
      </c>
      <c r="E79" s="6">
        <f>IFERROR(__xludf.DUMMYFUNCTION("""COMPUTED_VALUE"""),1458.7)</f>
        <v>1458.7</v>
      </c>
      <c r="F79" s="6">
        <f>IFERROR(__xludf.DUMMYFUNCTION("""COMPUTED_VALUE"""),8032537.0)</f>
        <v>8032537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IFERROR(__xludf.DUMMYFUNCTION("""COMPUTED_VALUE"""),1430.0)</f>
        <v>1430</v>
      </c>
      <c r="C80" s="6">
        <f>IFERROR(__xludf.DUMMYFUNCTION("""COMPUTED_VALUE"""),1430.0)</f>
        <v>1430</v>
      </c>
      <c r="D80" s="6">
        <f>IFERROR(__xludf.DUMMYFUNCTION("""COMPUTED_VALUE"""),1295.0)</f>
        <v>1295</v>
      </c>
      <c r="E80" s="6">
        <f>IFERROR(__xludf.DUMMYFUNCTION("""COMPUTED_VALUE"""),1298.1)</f>
        <v>1298.1</v>
      </c>
      <c r="F80" s="6">
        <f>IFERROR(__xludf.DUMMYFUNCTION("""COMPUTED_VALUE"""),9368977.0)</f>
        <v>9368977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IFERROR(__xludf.DUMMYFUNCTION("""COMPUTED_VALUE"""),1221.1)</f>
        <v>1221.1</v>
      </c>
      <c r="C81" s="6">
        <f>IFERROR(__xludf.DUMMYFUNCTION("""COMPUTED_VALUE"""),1334.75)</f>
        <v>1334.75</v>
      </c>
      <c r="D81" s="6">
        <f>IFERROR(__xludf.DUMMYFUNCTION("""COMPUTED_VALUE"""),1221.1)</f>
        <v>1221.1</v>
      </c>
      <c r="E81" s="6">
        <f>IFERROR(__xludf.DUMMYFUNCTION("""COMPUTED_VALUE"""),1284.9)</f>
        <v>1284.9</v>
      </c>
      <c r="F81" s="6">
        <f>IFERROR(__xludf.DUMMYFUNCTION("""COMPUTED_VALUE"""),5468321.0)</f>
        <v>5468321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IFERROR(__xludf.DUMMYFUNCTION("""COMPUTED_VALUE"""),1310.3)</f>
        <v>1310.3</v>
      </c>
      <c r="C82" s="6">
        <f>IFERROR(__xludf.DUMMYFUNCTION("""COMPUTED_VALUE"""),1310.3)</f>
        <v>1310.3</v>
      </c>
      <c r="D82" s="6">
        <f>IFERROR(__xludf.DUMMYFUNCTION("""COMPUTED_VALUE"""),1263.1)</f>
        <v>1263.1</v>
      </c>
      <c r="E82" s="6">
        <f>IFERROR(__xludf.DUMMYFUNCTION("""COMPUTED_VALUE"""),1284.9)</f>
        <v>1284.9</v>
      </c>
      <c r="F82" s="6">
        <f>IFERROR(__xludf.DUMMYFUNCTION("""COMPUTED_VALUE"""),5763546.0)</f>
        <v>5763546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IFERROR(__xludf.DUMMYFUNCTION("""COMPUTED_VALUE"""),1288.0)</f>
        <v>1288</v>
      </c>
      <c r="C83" s="6">
        <f>IFERROR(__xludf.DUMMYFUNCTION("""COMPUTED_VALUE"""),1357.2)</f>
        <v>1357.2</v>
      </c>
      <c r="D83" s="6">
        <f>IFERROR(__xludf.DUMMYFUNCTION("""COMPUTED_VALUE"""),1223.2)</f>
        <v>1223.2</v>
      </c>
      <c r="E83" s="6">
        <f>IFERROR(__xludf.DUMMYFUNCTION("""COMPUTED_VALUE"""),1229.4)</f>
        <v>1229.4</v>
      </c>
      <c r="F83" s="6">
        <f>IFERROR(__xludf.DUMMYFUNCTION("""COMPUTED_VALUE"""),1.3633369E7)</f>
        <v>13633369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IFERROR(__xludf.DUMMYFUNCTION("""COMPUTED_VALUE"""),1230.1)</f>
        <v>1230.1</v>
      </c>
      <c r="C84" s="6">
        <f>IFERROR(__xludf.DUMMYFUNCTION("""COMPUTED_VALUE"""),1270.9)</f>
        <v>1270.9</v>
      </c>
      <c r="D84" s="6">
        <f>IFERROR(__xludf.DUMMYFUNCTION("""COMPUTED_VALUE"""),1200.0)</f>
        <v>1200</v>
      </c>
      <c r="E84" s="6">
        <f>IFERROR(__xludf.DUMMYFUNCTION("""COMPUTED_VALUE"""),1207.8)</f>
        <v>1207.8</v>
      </c>
      <c r="F84" s="6">
        <f>IFERROR(__xludf.DUMMYFUNCTION("""COMPUTED_VALUE"""),6994809.0)</f>
        <v>6994809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IFERROR(__xludf.DUMMYFUNCTION("""COMPUTED_VALUE"""),1219.0)</f>
        <v>1219</v>
      </c>
      <c r="C85" s="6">
        <f>IFERROR(__xludf.DUMMYFUNCTION("""COMPUTED_VALUE"""),1288.0)</f>
        <v>1288</v>
      </c>
      <c r="D85" s="6">
        <f>IFERROR(__xludf.DUMMYFUNCTION("""COMPUTED_VALUE"""),1190.0)</f>
        <v>1190</v>
      </c>
      <c r="E85" s="6">
        <f>IFERROR(__xludf.DUMMYFUNCTION("""COMPUTED_VALUE"""),1235.6)</f>
        <v>1235.6</v>
      </c>
      <c r="F85" s="6">
        <f>IFERROR(__xludf.DUMMYFUNCTION("""COMPUTED_VALUE"""),1.425739E7)</f>
        <v>14257390</v>
      </c>
    </row>
    <row r="86">
      <c r="A86" s="7">
        <f>IFERROR(__xludf.DUMMYFUNCTION("""COMPUTED_VALUE"""),45793.64583333333)</f>
        <v>45793.64583</v>
      </c>
      <c r="B86" s="6">
        <f>IFERROR(__xludf.DUMMYFUNCTION("""COMPUTED_VALUE"""),1262.9)</f>
        <v>1262.9</v>
      </c>
      <c r="C86" s="6">
        <f>IFERROR(__xludf.DUMMYFUNCTION("""COMPUTED_VALUE"""),1277.1)</f>
        <v>1277.1</v>
      </c>
      <c r="D86" s="6">
        <f>IFERROR(__xludf.DUMMYFUNCTION("""COMPUTED_VALUE"""),1237.2)</f>
        <v>1237.2</v>
      </c>
      <c r="E86" s="6">
        <f>IFERROR(__xludf.DUMMYFUNCTION("""COMPUTED_VALUE"""),1261.4)</f>
        <v>1261.4</v>
      </c>
      <c r="F86" s="6">
        <f>IFERROR(__xludf.DUMMYFUNCTION("""COMPUTED_VALUE"""),6670446.0)</f>
        <v>6670446</v>
      </c>
    </row>
    <row r="87">
      <c r="A87" s="7">
        <f>IFERROR(__xludf.DUMMYFUNCTION("""COMPUTED_VALUE"""),45800.64583333333)</f>
        <v>45800.64583</v>
      </c>
      <c r="B87" s="6">
        <f>IFERROR(__xludf.DUMMYFUNCTION("""COMPUTED_VALUE"""),1267.7)</f>
        <v>1267.7</v>
      </c>
      <c r="C87" s="6">
        <f>IFERROR(__xludf.DUMMYFUNCTION("""COMPUTED_VALUE"""),1281.9)</f>
        <v>1281.9</v>
      </c>
      <c r="D87" s="6">
        <f>IFERROR(__xludf.DUMMYFUNCTION("""COMPUTED_VALUE"""),1237.1)</f>
        <v>1237.1</v>
      </c>
      <c r="E87" s="6">
        <f>IFERROR(__xludf.DUMMYFUNCTION("""COMPUTED_VALUE"""),1260.3)</f>
        <v>1260.3</v>
      </c>
      <c r="F87" s="6">
        <f>IFERROR(__xludf.DUMMYFUNCTION("""COMPUTED_VALUE"""),6117998.0)</f>
        <v>6117998</v>
      </c>
    </row>
    <row r="88">
      <c r="A88" s="7">
        <f>IFERROR(__xludf.DUMMYFUNCTION("""COMPUTED_VALUE"""),45807.64583333333)</f>
        <v>45807.64583</v>
      </c>
      <c r="B88" s="6">
        <f>IFERROR(__xludf.DUMMYFUNCTION("""COMPUTED_VALUE"""),1266.0)</f>
        <v>1266</v>
      </c>
      <c r="C88" s="6">
        <f>IFERROR(__xludf.DUMMYFUNCTION("""COMPUTED_VALUE"""),1273.5)</f>
        <v>1273.5</v>
      </c>
      <c r="D88" s="6">
        <f>IFERROR(__xludf.DUMMYFUNCTION("""COMPUTED_VALUE"""),1248.4)</f>
        <v>1248.4</v>
      </c>
      <c r="E88" s="6">
        <f>IFERROR(__xludf.DUMMYFUNCTION("""COMPUTED_VALUE"""),1262.8)</f>
        <v>1262.8</v>
      </c>
      <c r="F88" s="6">
        <f>IFERROR(__xludf.DUMMYFUNCTION("""COMPUTED_VALUE"""),6405501.0)</f>
        <v>6405501</v>
      </c>
    </row>
    <row r="89">
      <c r="A89" s="7">
        <f>IFERROR(__xludf.DUMMYFUNCTION("""COMPUTED_VALUE"""),45814.64583333333)</f>
        <v>45814.64583</v>
      </c>
      <c r="B89" s="6">
        <f>IFERROR(__xludf.DUMMYFUNCTION("""COMPUTED_VALUE"""),1260.0)</f>
        <v>1260</v>
      </c>
      <c r="C89" s="6">
        <f>IFERROR(__xludf.DUMMYFUNCTION("""COMPUTED_VALUE"""),1274.0)</f>
        <v>1274</v>
      </c>
      <c r="D89" s="6">
        <f>IFERROR(__xludf.DUMMYFUNCTION("""COMPUTED_VALUE"""),1224.4)</f>
        <v>1224.4</v>
      </c>
      <c r="E89" s="6">
        <f>IFERROR(__xludf.DUMMYFUNCTION("""COMPUTED_VALUE"""),1271.1)</f>
        <v>1271.1</v>
      </c>
      <c r="F89" s="6">
        <f>IFERROR(__xludf.DUMMYFUNCTION("""COMPUTED_VALUE"""),4949436.0)</f>
        <v>4949436</v>
      </c>
    </row>
    <row r="90">
      <c r="A90" s="7">
        <f>IFERROR(__xludf.DUMMYFUNCTION("""COMPUTED_VALUE"""),45821.64583333333)</f>
        <v>45821.64583</v>
      </c>
      <c r="B90" s="6">
        <f>IFERROR(__xludf.DUMMYFUNCTION("""COMPUTED_VALUE"""),1274.8)</f>
        <v>1274.8</v>
      </c>
      <c r="C90" s="6">
        <f>IFERROR(__xludf.DUMMYFUNCTION("""COMPUTED_VALUE"""),1328.0)</f>
        <v>1328</v>
      </c>
      <c r="D90" s="6">
        <f>IFERROR(__xludf.DUMMYFUNCTION("""COMPUTED_VALUE"""),1262.0)</f>
        <v>1262</v>
      </c>
      <c r="E90" s="6">
        <f>IFERROR(__xludf.DUMMYFUNCTION("""COMPUTED_VALUE"""),1277.2)</f>
        <v>1277.2</v>
      </c>
      <c r="F90" s="6">
        <f>IFERROR(__xludf.DUMMYFUNCTION("""COMPUTED_VALUE"""),8351444.0)</f>
        <v>8351444</v>
      </c>
    </row>
    <row r="91">
      <c r="A91" s="7">
        <f>IFERROR(__xludf.DUMMYFUNCTION("""COMPUTED_VALUE"""),45828.64583333333)</f>
        <v>45828.64583</v>
      </c>
      <c r="B91" s="6">
        <f>IFERROR(__xludf.DUMMYFUNCTION("""COMPUTED_VALUE"""),1272.8)</f>
        <v>1272.8</v>
      </c>
      <c r="C91" s="6">
        <f>IFERROR(__xludf.DUMMYFUNCTION("""COMPUTED_VALUE"""),1322.5)</f>
        <v>1322.5</v>
      </c>
      <c r="D91" s="6">
        <f>IFERROR(__xludf.DUMMYFUNCTION("""COMPUTED_VALUE"""),1246.5)</f>
        <v>1246.5</v>
      </c>
      <c r="E91" s="6">
        <f>IFERROR(__xludf.DUMMYFUNCTION("""COMPUTED_VALUE"""),1293.9)</f>
        <v>1293.9</v>
      </c>
      <c r="F91" s="6">
        <f>IFERROR(__xludf.DUMMYFUNCTION("""COMPUTED_VALUE"""),9160011.0)</f>
        <v>9160011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IFERROR(__xludf.DUMMYFUNCTION("""COMPUTED_VALUE"""),1279.9)</f>
        <v>1279.9</v>
      </c>
      <c r="C92" s="6">
        <f>IFERROR(__xludf.DUMMYFUNCTION("""COMPUTED_VALUE"""),1340.9)</f>
        <v>1340.9</v>
      </c>
      <c r="D92" s="6">
        <f>IFERROR(__xludf.DUMMYFUNCTION("""COMPUTED_VALUE"""),1264.2)</f>
        <v>1264.2</v>
      </c>
      <c r="E92" s="6">
        <f>IFERROR(__xludf.DUMMYFUNCTION("""COMPUTED_VALUE"""),1305.3)</f>
        <v>1305.3</v>
      </c>
      <c r="F92" s="6">
        <f>IFERROR(__xludf.DUMMYFUNCTION("""COMPUTED_VALUE"""),1.1999085E7)</f>
        <v>11999085</v>
      </c>
    </row>
    <row r="93">
      <c r="A93" s="7">
        <f>IFERROR(__xludf.DUMMYFUNCTION("""COMPUTED_VALUE"""),45842.64583333333)</f>
        <v>45842.64583</v>
      </c>
      <c r="B93" s="6">
        <f>IFERROR(__xludf.DUMMYFUNCTION("""COMPUTED_VALUE"""),1310.0)</f>
        <v>1310</v>
      </c>
      <c r="C93" s="6">
        <f>IFERROR(__xludf.DUMMYFUNCTION("""COMPUTED_VALUE"""),1394.2)</f>
        <v>1394.2</v>
      </c>
      <c r="D93" s="6">
        <f>IFERROR(__xludf.DUMMYFUNCTION("""COMPUTED_VALUE"""),1300.0)</f>
        <v>1300</v>
      </c>
      <c r="E93" s="6">
        <f>IFERROR(__xludf.DUMMYFUNCTION("""COMPUTED_VALUE"""),1364.4)</f>
        <v>1364.4</v>
      </c>
      <c r="F93" s="6">
        <f>IFERROR(__xludf.DUMMYFUNCTION("""COMPUTED_VALUE"""),8745141.0)</f>
        <v>8745141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IFERROR(__xludf.DUMMYFUNCTION("""COMPUTED_VALUE"""),1364.0)</f>
        <v>1364</v>
      </c>
      <c r="C94" s="6">
        <f>IFERROR(__xludf.DUMMYFUNCTION("""COMPUTED_VALUE"""),1382.4)</f>
        <v>1382.4</v>
      </c>
      <c r="D94" s="6">
        <f>IFERROR(__xludf.DUMMYFUNCTION("""COMPUTED_VALUE"""),1340.0)</f>
        <v>1340</v>
      </c>
      <c r="E94" s="6">
        <f>IFERROR(__xludf.DUMMYFUNCTION("""COMPUTED_VALUE"""),1369.5)</f>
        <v>1369.5</v>
      </c>
      <c r="F94" s="6">
        <f>IFERROR(__xludf.DUMMYFUNCTION("""COMPUTED_VALUE"""),4214922.0)</f>
        <v>4214922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IFERROR(__xludf.DUMMYFUNCTION("""COMPUTED_VALUE"""),1370.0)</f>
        <v>1370</v>
      </c>
      <c r="C95" s="6">
        <f>IFERROR(__xludf.DUMMYFUNCTION("""COMPUTED_VALUE"""),1400.0)</f>
        <v>1400</v>
      </c>
      <c r="D95" s="6">
        <f>IFERROR(__xludf.DUMMYFUNCTION("""COMPUTED_VALUE"""),1361.3)</f>
        <v>1361.3</v>
      </c>
      <c r="E95" s="6">
        <f>IFERROR(__xludf.DUMMYFUNCTION("""COMPUTED_VALUE"""),1377.0)</f>
        <v>1377</v>
      </c>
      <c r="F95" s="6">
        <f>IFERROR(__xludf.DUMMYFUNCTION("""COMPUTED_VALUE"""),5694191.0)</f>
        <v>5694191</v>
      </c>
    </row>
    <row r="96">
      <c r="A96" s="7">
        <f>IFERROR(__xludf.DUMMYFUNCTION("""COMPUTED_VALUE"""),45863.64583333333)</f>
        <v>45863.64583</v>
      </c>
      <c r="B96" s="6">
        <f>IFERROR(__xludf.DUMMYFUNCTION("""COMPUTED_VALUE"""),1370.5)</f>
        <v>1370.5</v>
      </c>
      <c r="C96" s="6">
        <f>IFERROR(__xludf.DUMMYFUNCTION("""COMPUTED_VALUE"""),1392.0)</f>
        <v>1392</v>
      </c>
      <c r="D96" s="6">
        <f>IFERROR(__xludf.DUMMYFUNCTION("""COMPUTED_VALUE"""),1307.3)</f>
        <v>1307.3</v>
      </c>
      <c r="E96" s="6">
        <f>IFERROR(__xludf.DUMMYFUNCTION("""COMPUTED_VALUE"""),1315.6)</f>
        <v>1315.6</v>
      </c>
      <c r="F96" s="6">
        <f>IFERROR(__xludf.DUMMYFUNCTION("""COMPUTED_VALUE"""),4340512.0)</f>
        <v>4340512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IFERROR(__xludf.DUMMYFUNCTION("""COMPUTED_VALUE"""),1303.3)</f>
        <v>1303.3</v>
      </c>
      <c r="C97" s="6">
        <f>IFERROR(__xludf.DUMMYFUNCTION("""COMPUTED_VALUE"""),1348.8)</f>
        <v>1348.8</v>
      </c>
      <c r="D97" s="6">
        <f>IFERROR(__xludf.DUMMYFUNCTION("""COMPUTED_VALUE"""),1301.2)</f>
        <v>1301.2</v>
      </c>
      <c r="E97" s="6">
        <f>IFERROR(__xludf.DUMMYFUNCTION("""COMPUTED_VALUE"""),1317.4)</f>
        <v>1317.4</v>
      </c>
      <c r="F97" s="6">
        <f>IFERROR(__xludf.DUMMYFUNCTION("""COMPUTED_VALUE"""),3204923.0)</f>
        <v>3204923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IFERROR(__xludf.DUMMYFUNCTION("""COMPUTED_VALUE"""),1308.0)</f>
        <v>1308</v>
      </c>
      <c r="C98" s="6">
        <f>IFERROR(__xludf.DUMMYFUNCTION("""COMPUTED_VALUE"""),1346.0)</f>
        <v>1346</v>
      </c>
      <c r="D98" s="6">
        <f>IFERROR(__xludf.DUMMYFUNCTION("""COMPUTED_VALUE"""),1289.0)</f>
        <v>1289</v>
      </c>
      <c r="E98" s="6">
        <f>IFERROR(__xludf.DUMMYFUNCTION("""COMPUTED_VALUE"""),1304.9)</f>
        <v>1304.9</v>
      </c>
      <c r="F98" s="6">
        <f>IFERROR(__xludf.DUMMYFUNCTION("""COMPUTED_VALUE"""),2310266.0)</f>
        <v>2310266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IFERROR(__xludf.DUMMYFUNCTION("""COMPUTED_VALUE"""),1201.0)</f>
        <v>1201</v>
      </c>
      <c r="C99" s="6">
        <f>IFERROR(__xludf.DUMMYFUNCTION("""COMPUTED_VALUE"""),1284.0)</f>
        <v>1284</v>
      </c>
      <c r="D99" s="6">
        <f>IFERROR(__xludf.DUMMYFUNCTION("""COMPUTED_VALUE"""),1192.0)</f>
        <v>1192</v>
      </c>
      <c r="E99" s="6">
        <f>IFERROR(__xludf.DUMMYFUNCTION("""COMPUTED_VALUE"""),1274.8)</f>
        <v>1274.8</v>
      </c>
      <c r="F99" s="6">
        <f>IFERROR(__xludf.DUMMYFUNCTION("""COMPUTED_VALUE"""),6610524.0)</f>
        <v>6610524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IFERROR(__xludf.DUMMYFUNCTION("""COMPUTED_VALUE"""),1337.9)</f>
        <v>1337.9</v>
      </c>
      <c r="C100" s="6">
        <f>IFERROR(__xludf.DUMMYFUNCTION("""COMPUTED_VALUE"""),1402.2)</f>
        <v>1402.2</v>
      </c>
      <c r="D100" s="6">
        <f>IFERROR(__xludf.DUMMYFUNCTION("""COMPUTED_VALUE"""),1326.0)</f>
        <v>1326</v>
      </c>
      <c r="E100" s="6">
        <f>IFERROR(__xludf.DUMMYFUNCTION("""COMPUTED_VALUE"""),1353.2)</f>
        <v>1353.2</v>
      </c>
      <c r="F100" s="6">
        <f>IFERROR(__xludf.DUMMYFUNCTION("""COMPUTED_VALUE"""),8875087.0)</f>
        <v>8875087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IFERROR(__xludf.DUMMYFUNCTION("""COMPUTED_VALUE"""),1360.0)</f>
        <v>1360</v>
      </c>
      <c r="C101" s="6">
        <f>IFERROR(__xludf.DUMMYFUNCTION("""COMPUTED_VALUE"""),1371.8)</f>
        <v>1371.8</v>
      </c>
      <c r="D101" s="6">
        <f>IFERROR(__xludf.DUMMYFUNCTION("""COMPUTED_VALUE"""),1339.0)</f>
        <v>1339</v>
      </c>
      <c r="E101" s="6">
        <f>IFERROR(__xludf.DUMMYFUNCTION("""COMPUTED_VALUE"""),1347.3)</f>
        <v>1347.3</v>
      </c>
      <c r="F101" s="6">
        <f>IFERROR(__xludf.DUMMYFUNCTION("""COMPUTED_VALUE"""),1.171714E7)</f>
        <v>11717140</v>
      </c>
    </row>
  </sheetData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IFERROR(__xludf.DUMMYFUNCTION("GOOGLEFINANCE(""NSE:WAAREEENER"",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IFERROR(__xludf.DUMMYFUNCTION("""COMPUTED_VALUE"""),45604.64583333333)</f>
        <v>45604.64583</v>
      </c>
      <c r="B2" s="6">
        <f>IFERROR(__xludf.DUMMYFUNCTION("""COMPUTED_VALUE"""),2909.65)</f>
        <v>2909.65</v>
      </c>
      <c r="C2" s="6">
        <f>IFERROR(__xludf.DUMMYFUNCTION("""COMPUTED_VALUE"""),3743.0)</f>
        <v>3743</v>
      </c>
      <c r="D2" s="6">
        <f>IFERROR(__xludf.DUMMYFUNCTION("""COMPUTED_VALUE"""),2712.0)</f>
        <v>2712</v>
      </c>
      <c r="E2" s="6">
        <f>IFERROR(__xludf.DUMMYFUNCTION("""COMPUTED_VALUE"""),3133.7)</f>
        <v>3133.7</v>
      </c>
      <c r="F2" s="6">
        <f>IFERROR(__xludf.DUMMYFUNCTION("""COMPUTED_VALUE"""),4.7091668E7)</f>
        <v>47091668</v>
      </c>
    </row>
    <row r="3">
      <c r="A3" s="7">
        <f>IFERROR(__xludf.DUMMYFUNCTION("""COMPUTED_VALUE"""),45610.64583333333)</f>
        <v>45610.64583</v>
      </c>
      <c r="B3" s="6">
        <f>IFERROR(__xludf.DUMMYFUNCTION("""COMPUTED_VALUE"""),3071.0)</f>
        <v>3071</v>
      </c>
      <c r="C3" s="6">
        <f>IFERROR(__xludf.DUMMYFUNCTION("""COMPUTED_VALUE"""),3122.0)</f>
        <v>3122</v>
      </c>
      <c r="D3" s="6">
        <f>IFERROR(__xludf.DUMMYFUNCTION("""COMPUTED_VALUE"""),2762.25)</f>
        <v>2762.25</v>
      </c>
      <c r="E3" s="6">
        <f>IFERROR(__xludf.DUMMYFUNCTION("""COMPUTED_VALUE"""),2917.45)</f>
        <v>2917.45</v>
      </c>
      <c r="F3" s="6">
        <f>IFERROR(__xludf.DUMMYFUNCTION("""COMPUTED_VALUE"""),1.2198437E7)</f>
        <v>12198437</v>
      </c>
    </row>
    <row r="4">
      <c r="A4" s="7">
        <f>IFERROR(__xludf.DUMMYFUNCTION("""COMPUTED_VALUE"""),45618.64583333333)</f>
        <v>45618.64583</v>
      </c>
      <c r="B4" s="6">
        <f>IFERROR(__xludf.DUMMYFUNCTION("""COMPUTED_VALUE"""),2950.0)</f>
        <v>2950</v>
      </c>
      <c r="C4" s="6">
        <f>IFERROR(__xludf.DUMMYFUNCTION("""COMPUTED_VALUE"""),3186.0)</f>
        <v>3186</v>
      </c>
      <c r="D4" s="6">
        <f>IFERROR(__xludf.DUMMYFUNCTION("""COMPUTED_VALUE"""),2672.0)</f>
        <v>2672</v>
      </c>
      <c r="E4" s="6">
        <f>IFERROR(__xludf.DUMMYFUNCTION("""COMPUTED_VALUE"""),2705.2)</f>
        <v>2705.2</v>
      </c>
      <c r="F4" s="6">
        <f>IFERROR(__xludf.DUMMYFUNCTION("""COMPUTED_VALUE"""),1.0908218E7)</f>
        <v>10908218</v>
      </c>
    </row>
    <row r="5">
      <c r="A5" s="7">
        <f>IFERROR(__xludf.DUMMYFUNCTION("""COMPUTED_VALUE"""),45625.64583333333)</f>
        <v>45625.64583</v>
      </c>
      <c r="B5" s="6">
        <f>IFERROR(__xludf.DUMMYFUNCTION("""COMPUTED_VALUE"""),2789.95)</f>
        <v>2789.95</v>
      </c>
      <c r="C5" s="6">
        <f>IFERROR(__xludf.DUMMYFUNCTION("""COMPUTED_VALUE"""),2789.95)</f>
        <v>2789.95</v>
      </c>
      <c r="D5" s="6">
        <f>IFERROR(__xludf.DUMMYFUNCTION("""COMPUTED_VALUE"""),2512.0)</f>
        <v>2512</v>
      </c>
      <c r="E5" s="6">
        <f>IFERROR(__xludf.DUMMYFUNCTION("""COMPUTED_VALUE"""),2667.75)</f>
        <v>2667.75</v>
      </c>
      <c r="F5" s="6">
        <f>IFERROR(__xludf.DUMMYFUNCTION("""COMPUTED_VALUE"""),1.1793726E7)</f>
        <v>11793726</v>
      </c>
    </row>
    <row r="6">
      <c r="A6" s="7">
        <f>IFERROR(__xludf.DUMMYFUNCTION("""COMPUTED_VALUE"""),45632.64583333333)</f>
        <v>45632.64583</v>
      </c>
      <c r="B6" s="6">
        <f>IFERROR(__xludf.DUMMYFUNCTION("""COMPUTED_VALUE"""),2695.0)</f>
        <v>2695</v>
      </c>
      <c r="C6" s="6">
        <f>IFERROR(__xludf.DUMMYFUNCTION("""COMPUTED_VALUE"""),2975.0)</f>
        <v>2975</v>
      </c>
      <c r="D6" s="6">
        <f>IFERROR(__xludf.DUMMYFUNCTION("""COMPUTED_VALUE"""),2675.05)</f>
        <v>2675.05</v>
      </c>
      <c r="E6" s="6">
        <f>IFERROR(__xludf.DUMMYFUNCTION("""COMPUTED_VALUE"""),2903.1)</f>
        <v>2903.1</v>
      </c>
      <c r="F6" s="6">
        <f>IFERROR(__xludf.DUMMYFUNCTION("""COMPUTED_VALUE"""),1.3605578E7)</f>
        <v>13605578</v>
      </c>
    </row>
    <row r="7">
      <c r="A7" s="7">
        <f>IFERROR(__xludf.DUMMYFUNCTION("""COMPUTED_VALUE"""),45639.64583333333)</f>
        <v>45639.64583</v>
      </c>
      <c r="B7" s="6">
        <f>IFERROR(__xludf.DUMMYFUNCTION("""COMPUTED_VALUE"""),2918.4)</f>
        <v>2918.4</v>
      </c>
      <c r="C7" s="6">
        <f>IFERROR(__xludf.DUMMYFUNCTION("""COMPUTED_VALUE"""),3445.45)</f>
        <v>3445.45</v>
      </c>
      <c r="D7" s="6">
        <f>IFERROR(__xludf.DUMMYFUNCTION("""COMPUTED_VALUE"""),2902.0)</f>
        <v>2902</v>
      </c>
      <c r="E7" s="6">
        <f>IFERROR(__xludf.DUMMYFUNCTION("""COMPUTED_VALUE"""),3217.05)</f>
        <v>3217.05</v>
      </c>
      <c r="F7" s="6">
        <f>IFERROR(__xludf.DUMMYFUNCTION("""COMPUTED_VALUE"""),2.2833497E7)</f>
        <v>22833497</v>
      </c>
    </row>
    <row r="8">
      <c r="A8" s="7">
        <f>IFERROR(__xludf.DUMMYFUNCTION("""COMPUTED_VALUE"""),45646.64583333333)</f>
        <v>45646.64583</v>
      </c>
      <c r="B8" s="6">
        <f>IFERROR(__xludf.DUMMYFUNCTION("""COMPUTED_VALUE"""),3225.0)</f>
        <v>3225</v>
      </c>
      <c r="C8" s="6">
        <f>IFERROR(__xludf.DUMMYFUNCTION("""COMPUTED_VALUE"""),3257.55)</f>
        <v>3257.55</v>
      </c>
      <c r="D8" s="6">
        <f>IFERROR(__xludf.DUMMYFUNCTION("""COMPUTED_VALUE"""),2865.0)</f>
        <v>2865</v>
      </c>
      <c r="E8" s="6">
        <f>IFERROR(__xludf.DUMMYFUNCTION("""COMPUTED_VALUE"""),2879.35)</f>
        <v>2879.35</v>
      </c>
      <c r="F8" s="6">
        <f>IFERROR(__xludf.DUMMYFUNCTION("""COMPUTED_VALUE"""),1.1797316E7)</f>
        <v>11797316</v>
      </c>
    </row>
    <row r="9">
      <c r="A9" s="7">
        <f>IFERROR(__xludf.DUMMYFUNCTION("""COMPUTED_VALUE"""),45653.64583333333)</f>
        <v>45653.64583</v>
      </c>
      <c r="B9" s="6">
        <f>IFERROR(__xludf.DUMMYFUNCTION("""COMPUTED_VALUE"""),2922.0)</f>
        <v>2922</v>
      </c>
      <c r="C9" s="6">
        <f>IFERROR(__xludf.DUMMYFUNCTION("""COMPUTED_VALUE"""),3030.0)</f>
        <v>3030</v>
      </c>
      <c r="D9" s="6">
        <f>IFERROR(__xludf.DUMMYFUNCTION("""COMPUTED_VALUE"""),2781.3)</f>
        <v>2781.3</v>
      </c>
      <c r="E9" s="6">
        <f>IFERROR(__xludf.DUMMYFUNCTION("""COMPUTED_VALUE"""),2790.4)</f>
        <v>2790.4</v>
      </c>
      <c r="F9" s="6">
        <f>IFERROR(__xludf.DUMMYFUNCTION("""COMPUTED_VALUE"""),5879896.0)</f>
        <v>5879896</v>
      </c>
    </row>
    <row r="10">
      <c r="A10" s="7">
        <f>IFERROR(__xludf.DUMMYFUNCTION("""COMPUTED_VALUE"""),45660.64583333333)</f>
        <v>45660.64583</v>
      </c>
      <c r="B10" s="6">
        <f>IFERROR(__xludf.DUMMYFUNCTION("""COMPUTED_VALUE"""),2800.0)</f>
        <v>2800</v>
      </c>
      <c r="C10" s="6">
        <f>IFERROR(__xludf.DUMMYFUNCTION("""COMPUTED_VALUE"""),2906.0)</f>
        <v>2906</v>
      </c>
      <c r="D10" s="6">
        <f>IFERROR(__xludf.DUMMYFUNCTION("""COMPUTED_VALUE"""),2737.95)</f>
        <v>2737.95</v>
      </c>
      <c r="E10" s="6">
        <f>IFERROR(__xludf.DUMMYFUNCTION("""COMPUTED_VALUE"""),2820.85)</f>
        <v>2820.85</v>
      </c>
      <c r="F10" s="6">
        <f>IFERROR(__xludf.DUMMYFUNCTION("""COMPUTED_VALUE"""),5048569.0)</f>
        <v>5048569</v>
      </c>
    </row>
    <row r="11">
      <c r="A11" s="7">
        <f>IFERROR(__xludf.DUMMYFUNCTION("""COMPUTED_VALUE"""),45667.64583333333)</f>
        <v>45667.64583</v>
      </c>
      <c r="B11" s="6">
        <f>IFERROR(__xludf.DUMMYFUNCTION("""COMPUTED_VALUE"""),2826.95)</f>
        <v>2826.95</v>
      </c>
      <c r="C11" s="6">
        <f>IFERROR(__xludf.DUMMYFUNCTION("""COMPUTED_VALUE"""),2843.4)</f>
        <v>2843.4</v>
      </c>
      <c r="D11" s="6">
        <f>IFERROR(__xludf.DUMMYFUNCTION("""COMPUTED_VALUE"""),2560.0)</f>
        <v>2560</v>
      </c>
      <c r="E11" s="6">
        <f>IFERROR(__xludf.DUMMYFUNCTION("""COMPUTED_VALUE"""),2565.0)</f>
        <v>2565</v>
      </c>
      <c r="F11" s="6">
        <f>IFERROR(__xludf.DUMMYFUNCTION("""COMPUTED_VALUE"""),5124254.0)</f>
        <v>5124254</v>
      </c>
    </row>
    <row r="12">
      <c r="A12" s="7">
        <f>IFERROR(__xludf.DUMMYFUNCTION("""COMPUTED_VALUE"""),45674.64583333333)</f>
        <v>45674.64583</v>
      </c>
      <c r="B12" s="6">
        <f>IFERROR(__xludf.DUMMYFUNCTION("""COMPUTED_VALUE"""),2552.25)</f>
        <v>2552.25</v>
      </c>
      <c r="C12" s="6">
        <f>IFERROR(__xludf.DUMMYFUNCTION("""COMPUTED_VALUE"""),2684.9)</f>
        <v>2684.9</v>
      </c>
      <c r="D12" s="6">
        <f>IFERROR(__xludf.DUMMYFUNCTION("""COMPUTED_VALUE"""),2475.0)</f>
        <v>2475</v>
      </c>
      <c r="E12" s="6">
        <f>IFERROR(__xludf.DUMMYFUNCTION("""COMPUTED_VALUE"""),2605.3)</f>
        <v>2605.3</v>
      </c>
      <c r="F12" s="6">
        <f>IFERROR(__xludf.DUMMYFUNCTION("""COMPUTED_VALUE"""),5500498.0)</f>
        <v>5500498</v>
      </c>
    </row>
    <row r="13">
      <c r="A13" s="7">
        <f>IFERROR(__xludf.DUMMYFUNCTION("""COMPUTED_VALUE"""),45681.64583333333)</f>
        <v>45681.64583</v>
      </c>
      <c r="B13" s="6">
        <f>IFERROR(__xludf.DUMMYFUNCTION("""COMPUTED_VALUE"""),2620.9)</f>
        <v>2620.9</v>
      </c>
      <c r="C13" s="6">
        <f>IFERROR(__xludf.DUMMYFUNCTION("""COMPUTED_VALUE"""),2721.0)</f>
        <v>2721</v>
      </c>
      <c r="D13" s="6">
        <f>IFERROR(__xludf.DUMMYFUNCTION("""COMPUTED_VALUE"""),2207.0)</f>
        <v>2207</v>
      </c>
      <c r="E13" s="6">
        <f>IFERROR(__xludf.DUMMYFUNCTION("""COMPUTED_VALUE"""),2241.7)</f>
        <v>2241.7</v>
      </c>
      <c r="F13" s="6">
        <f>IFERROR(__xludf.DUMMYFUNCTION("""COMPUTED_VALUE"""),1.2739412E7)</f>
        <v>12739412</v>
      </c>
    </row>
    <row r="14">
      <c r="A14" s="7">
        <f>IFERROR(__xludf.DUMMYFUNCTION("""COMPUTED_VALUE"""),45695.64583333333)</f>
        <v>45695.64583</v>
      </c>
      <c r="B14" s="6">
        <f>IFERROR(__xludf.DUMMYFUNCTION("""COMPUTED_VALUE"""),2369.45)</f>
        <v>2369.45</v>
      </c>
      <c r="C14" s="6">
        <f>IFERROR(__xludf.DUMMYFUNCTION("""COMPUTED_VALUE"""),2414.0)</f>
        <v>2414</v>
      </c>
      <c r="D14" s="6">
        <f>IFERROR(__xludf.DUMMYFUNCTION("""COMPUTED_VALUE"""),2275.0)</f>
        <v>2275</v>
      </c>
      <c r="E14" s="6">
        <f>IFERROR(__xludf.DUMMYFUNCTION("""COMPUTED_VALUE"""),2298.3)</f>
        <v>2298.3</v>
      </c>
      <c r="F14" s="6">
        <f>IFERROR(__xludf.DUMMYFUNCTION("""COMPUTED_VALUE"""),5403980.0)</f>
        <v>5403980</v>
      </c>
    </row>
    <row r="15">
      <c r="A15" s="7">
        <f>IFERROR(__xludf.DUMMYFUNCTION("""COMPUTED_VALUE"""),45702.64583333333)</f>
        <v>45702.64583</v>
      </c>
      <c r="B15" s="6">
        <f>IFERROR(__xludf.DUMMYFUNCTION("""COMPUTED_VALUE"""),2298.3)</f>
        <v>2298.3</v>
      </c>
      <c r="C15" s="6">
        <f>IFERROR(__xludf.DUMMYFUNCTION("""COMPUTED_VALUE"""),2299.0)</f>
        <v>2299</v>
      </c>
      <c r="D15" s="6">
        <f>IFERROR(__xludf.DUMMYFUNCTION("""COMPUTED_VALUE"""),2085.25)</f>
        <v>2085.25</v>
      </c>
      <c r="E15" s="6">
        <f>IFERROR(__xludf.DUMMYFUNCTION("""COMPUTED_VALUE"""),2103.9)</f>
        <v>2103.9</v>
      </c>
      <c r="F15" s="6">
        <f>IFERROR(__xludf.DUMMYFUNCTION("""COMPUTED_VALUE"""),5787352.0)</f>
        <v>5787352</v>
      </c>
    </row>
    <row r="16">
      <c r="A16" s="7">
        <f>IFERROR(__xludf.DUMMYFUNCTION("""COMPUTED_VALUE"""),45709.64583333333)</f>
        <v>45709.64583</v>
      </c>
      <c r="B16" s="6">
        <f>IFERROR(__xludf.DUMMYFUNCTION("""COMPUTED_VALUE"""),2100.0)</f>
        <v>2100</v>
      </c>
      <c r="C16" s="6">
        <f>IFERROR(__xludf.DUMMYFUNCTION("""COMPUTED_VALUE"""),2364.9)</f>
        <v>2364.9</v>
      </c>
      <c r="D16" s="6">
        <f>IFERROR(__xludf.DUMMYFUNCTION("""COMPUTED_VALUE"""),2052.4)</f>
        <v>2052.4</v>
      </c>
      <c r="E16" s="6">
        <f>IFERROR(__xludf.DUMMYFUNCTION("""COMPUTED_VALUE"""),2260.7)</f>
        <v>2260.7</v>
      </c>
      <c r="F16" s="6">
        <f>IFERROR(__xludf.DUMMYFUNCTION("""COMPUTED_VALUE"""),6541727.0)</f>
        <v>6541727</v>
      </c>
    </row>
    <row r="17">
      <c r="A17" s="7">
        <f>IFERROR(__xludf.DUMMYFUNCTION("""COMPUTED_VALUE"""),45716.64583333333)</f>
        <v>45716.64583</v>
      </c>
      <c r="B17" s="6">
        <f>IFERROR(__xludf.DUMMYFUNCTION("""COMPUTED_VALUE"""),2207.95)</f>
        <v>2207.95</v>
      </c>
      <c r="C17" s="6">
        <f>IFERROR(__xludf.DUMMYFUNCTION("""COMPUTED_VALUE"""),2298.0)</f>
        <v>2298</v>
      </c>
      <c r="D17" s="6">
        <f>IFERROR(__xludf.DUMMYFUNCTION("""COMPUTED_VALUE"""),2127.1)</f>
        <v>2127.1</v>
      </c>
      <c r="E17" s="6">
        <f>IFERROR(__xludf.DUMMYFUNCTION("""COMPUTED_VALUE"""),2158.55)</f>
        <v>2158.55</v>
      </c>
      <c r="F17" s="6">
        <f>IFERROR(__xludf.DUMMYFUNCTION("""COMPUTED_VALUE"""),3036693.0)</f>
        <v>3036693</v>
      </c>
    </row>
    <row r="18">
      <c r="A18" s="7">
        <f>IFERROR(__xludf.DUMMYFUNCTION("""COMPUTED_VALUE"""),45723.64583333333)</f>
        <v>45723.64583</v>
      </c>
      <c r="B18" s="6">
        <f>IFERROR(__xludf.DUMMYFUNCTION("""COMPUTED_VALUE"""),2179.0)</f>
        <v>2179</v>
      </c>
      <c r="C18" s="6">
        <f>IFERROR(__xludf.DUMMYFUNCTION("""COMPUTED_VALUE"""),2281.45)</f>
        <v>2281.45</v>
      </c>
      <c r="D18" s="6">
        <f>IFERROR(__xludf.DUMMYFUNCTION("""COMPUTED_VALUE"""),2066.4)</f>
        <v>2066.4</v>
      </c>
      <c r="E18" s="6">
        <f>IFERROR(__xludf.DUMMYFUNCTION("""COMPUTED_VALUE"""),2226.1)</f>
        <v>2226.1</v>
      </c>
      <c r="F18" s="6">
        <f>IFERROR(__xludf.DUMMYFUNCTION("""COMPUTED_VALUE"""),4965456.0)</f>
        <v>4965456</v>
      </c>
    </row>
    <row r="19">
      <c r="A19" s="7">
        <f>IFERROR(__xludf.DUMMYFUNCTION("""COMPUTED_VALUE"""),45729.64583333333)</f>
        <v>45729.64583</v>
      </c>
      <c r="B19" s="6">
        <f>IFERROR(__xludf.DUMMYFUNCTION("""COMPUTED_VALUE"""),2237.8)</f>
        <v>2237.8</v>
      </c>
      <c r="C19" s="6">
        <f>IFERROR(__xludf.DUMMYFUNCTION("""COMPUTED_VALUE"""),2250.0)</f>
        <v>2250</v>
      </c>
      <c r="D19" s="6">
        <f>IFERROR(__xludf.DUMMYFUNCTION("""COMPUTED_VALUE"""),2086.75)</f>
        <v>2086.75</v>
      </c>
      <c r="E19" s="6">
        <f>IFERROR(__xludf.DUMMYFUNCTION("""COMPUTED_VALUE"""),2125.25)</f>
        <v>2125.25</v>
      </c>
      <c r="F19" s="6">
        <f>IFERROR(__xludf.DUMMYFUNCTION("""COMPUTED_VALUE"""),2335020.0)</f>
        <v>2335020</v>
      </c>
    </row>
    <row r="20">
      <c r="A20" s="7">
        <f>IFERROR(__xludf.DUMMYFUNCTION("""COMPUTED_VALUE"""),45737.64583333333)</f>
        <v>45737.64583</v>
      </c>
      <c r="B20" s="6">
        <f>IFERROR(__xludf.DUMMYFUNCTION("""COMPUTED_VALUE"""),2138.9)</f>
        <v>2138.9</v>
      </c>
      <c r="C20" s="6">
        <f>IFERROR(__xludf.DUMMYFUNCTION("""COMPUTED_VALUE"""),2374.0)</f>
        <v>2374</v>
      </c>
      <c r="D20" s="6">
        <f>IFERROR(__xludf.DUMMYFUNCTION("""COMPUTED_VALUE"""),2090.0)</f>
        <v>2090</v>
      </c>
      <c r="E20" s="6">
        <f>IFERROR(__xludf.DUMMYFUNCTION("""COMPUTED_VALUE"""),2352.9)</f>
        <v>2352.9</v>
      </c>
      <c r="F20" s="6">
        <f>IFERROR(__xludf.DUMMYFUNCTION("""COMPUTED_VALUE"""),4229864.0)</f>
        <v>4229864</v>
      </c>
    </row>
    <row r="21">
      <c r="A21" s="7">
        <f>IFERROR(__xludf.DUMMYFUNCTION("""COMPUTED_VALUE"""),45744.64583333333)</f>
        <v>45744.64583</v>
      </c>
      <c r="B21" s="6">
        <f>IFERROR(__xludf.DUMMYFUNCTION("""COMPUTED_VALUE"""),2395.0)</f>
        <v>2395</v>
      </c>
      <c r="C21" s="6">
        <f>IFERROR(__xludf.DUMMYFUNCTION("""COMPUTED_VALUE"""),2508.0)</f>
        <v>2508</v>
      </c>
      <c r="D21" s="6">
        <f>IFERROR(__xludf.DUMMYFUNCTION("""COMPUTED_VALUE"""),2371.0)</f>
        <v>2371</v>
      </c>
      <c r="E21" s="6">
        <f>IFERROR(__xludf.DUMMYFUNCTION("""COMPUTED_VALUE"""),2404.65)</f>
        <v>2404.65</v>
      </c>
      <c r="F21" s="6">
        <f>IFERROR(__xludf.DUMMYFUNCTION("""COMPUTED_VALUE"""),5246138.0)</f>
        <v>5246138</v>
      </c>
    </row>
    <row r="22">
      <c r="A22" s="7">
        <f>IFERROR(__xludf.DUMMYFUNCTION("""COMPUTED_VALUE"""),45751.64583333333)</f>
        <v>45751.64583</v>
      </c>
      <c r="B22" s="6">
        <f>IFERROR(__xludf.DUMMYFUNCTION("""COMPUTED_VALUE"""),2380.0)</f>
        <v>2380</v>
      </c>
      <c r="C22" s="6">
        <f>IFERROR(__xludf.DUMMYFUNCTION("""COMPUTED_VALUE"""),2421.0)</f>
        <v>2421</v>
      </c>
      <c r="D22" s="6">
        <f>IFERROR(__xludf.DUMMYFUNCTION("""COMPUTED_VALUE"""),2131.2)</f>
        <v>2131.2</v>
      </c>
      <c r="E22" s="6">
        <f>IFERROR(__xludf.DUMMYFUNCTION("""COMPUTED_VALUE"""),2160.95)</f>
        <v>2160.95</v>
      </c>
      <c r="F22" s="6">
        <f>IFERROR(__xludf.DUMMYFUNCTION("""COMPUTED_VALUE"""),3613979.0)</f>
        <v>3613979</v>
      </c>
    </row>
    <row r="23">
      <c r="A23" s="7">
        <f>IFERROR(__xludf.DUMMYFUNCTION("""COMPUTED_VALUE"""),45758.64583333333)</f>
        <v>45758.64583</v>
      </c>
      <c r="B23" s="6">
        <f>IFERROR(__xludf.DUMMYFUNCTION("""COMPUTED_VALUE"""),1869.95)</f>
        <v>1869.95</v>
      </c>
      <c r="C23" s="6">
        <f>IFERROR(__xludf.DUMMYFUNCTION("""COMPUTED_VALUE"""),2240.0)</f>
        <v>2240</v>
      </c>
      <c r="D23" s="6">
        <f>IFERROR(__xludf.DUMMYFUNCTION("""COMPUTED_VALUE"""),1863.0)</f>
        <v>1863</v>
      </c>
      <c r="E23" s="6">
        <f>IFERROR(__xludf.DUMMYFUNCTION("""COMPUTED_VALUE"""),2161.45)</f>
        <v>2161.45</v>
      </c>
      <c r="F23" s="6">
        <f>IFERROR(__xludf.DUMMYFUNCTION("""COMPUTED_VALUE"""),3488654.0)</f>
        <v>3488654</v>
      </c>
    </row>
    <row r="24">
      <c r="A24" s="7">
        <f>IFERROR(__xludf.DUMMYFUNCTION("""COMPUTED_VALUE"""),45764.64583333333)</f>
        <v>45764.64583</v>
      </c>
      <c r="B24" s="6">
        <f>IFERROR(__xludf.DUMMYFUNCTION("""COMPUTED_VALUE"""),2200.0)</f>
        <v>2200</v>
      </c>
      <c r="C24" s="6">
        <f>IFERROR(__xludf.DUMMYFUNCTION("""COMPUTED_VALUE"""),2377.1)</f>
        <v>2377.1</v>
      </c>
      <c r="D24" s="6">
        <f>IFERROR(__xludf.DUMMYFUNCTION("""COMPUTED_VALUE"""),2176.2)</f>
        <v>2176.2</v>
      </c>
      <c r="E24" s="6">
        <f>IFERROR(__xludf.DUMMYFUNCTION("""COMPUTED_VALUE"""),2323.0)</f>
        <v>2323</v>
      </c>
      <c r="F24" s="6">
        <f>IFERROR(__xludf.DUMMYFUNCTION("""COMPUTED_VALUE"""),3966116.0)</f>
        <v>3966116</v>
      </c>
    </row>
    <row r="25">
      <c r="A25" s="7">
        <f>IFERROR(__xludf.DUMMYFUNCTION("""COMPUTED_VALUE"""),45772.64583333333)</f>
        <v>45772.64583</v>
      </c>
      <c r="B25" s="6">
        <f>IFERROR(__xludf.DUMMYFUNCTION("""COMPUTED_VALUE"""),2350.0)</f>
        <v>2350</v>
      </c>
      <c r="C25" s="6">
        <f>IFERROR(__xludf.DUMMYFUNCTION("""COMPUTED_VALUE"""),3116.3)</f>
        <v>3116.3</v>
      </c>
      <c r="D25" s="6">
        <f>IFERROR(__xludf.DUMMYFUNCTION("""COMPUTED_VALUE"""),2345.1)</f>
        <v>2345.1</v>
      </c>
      <c r="E25" s="6">
        <f>IFERROR(__xludf.DUMMYFUNCTION("""COMPUTED_VALUE"""),2676.5)</f>
        <v>2676.5</v>
      </c>
      <c r="F25" s="6">
        <f>IFERROR(__xludf.DUMMYFUNCTION("""COMPUTED_VALUE"""),4.5016486E7)</f>
        <v>45016486</v>
      </c>
    </row>
    <row r="26">
      <c r="A26" s="7">
        <f>IFERROR(__xludf.DUMMYFUNCTION("""COMPUTED_VALUE"""),45779.64583333333)</f>
        <v>45779.64583</v>
      </c>
      <c r="B26" s="6">
        <f>IFERROR(__xludf.DUMMYFUNCTION("""COMPUTED_VALUE"""),2650.0)</f>
        <v>2650</v>
      </c>
      <c r="C26" s="6">
        <f>IFERROR(__xludf.DUMMYFUNCTION("""COMPUTED_VALUE"""),2762.3)</f>
        <v>2762.3</v>
      </c>
      <c r="D26" s="6">
        <f>IFERROR(__xludf.DUMMYFUNCTION("""COMPUTED_VALUE"""),2575.2)</f>
        <v>2575.2</v>
      </c>
      <c r="E26" s="6">
        <f>IFERROR(__xludf.DUMMYFUNCTION("""COMPUTED_VALUE"""),2565.5)</f>
        <v>2565.5</v>
      </c>
      <c r="F26" s="6">
        <f>IFERROR(__xludf.DUMMYFUNCTION("""COMPUTED_VALUE"""),6377278.0)</f>
        <v>6377278</v>
      </c>
    </row>
    <row r="27">
      <c r="A27" s="7">
        <f>IFERROR(__xludf.DUMMYFUNCTION("""COMPUTED_VALUE"""),45786.64583333333)</f>
        <v>45786.64583</v>
      </c>
      <c r="B27" s="6">
        <f>IFERROR(__xludf.DUMMYFUNCTION("""COMPUTED_VALUE"""),2591.0)</f>
        <v>2591</v>
      </c>
      <c r="C27" s="6">
        <f>IFERROR(__xludf.DUMMYFUNCTION("""COMPUTED_VALUE"""),2733.9)</f>
        <v>2733.9</v>
      </c>
      <c r="D27" s="6">
        <f>IFERROR(__xludf.DUMMYFUNCTION("""COMPUTED_VALUE"""),2530.3)</f>
        <v>2530.3</v>
      </c>
      <c r="E27" s="6">
        <f>IFERROR(__xludf.DUMMYFUNCTION("""COMPUTED_VALUE"""),2594.0)</f>
        <v>2594</v>
      </c>
      <c r="F27" s="6">
        <f>IFERROR(__xludf.DUMMYFUNCTION("""COMPUTED_VALUE"""),7797917.0)</f>
        <v>7797917</v>
      </c>
    </row>
    <row r="28">
      <c r="A28" s="7">
        <f>IFERROR(__xludf.DUMMYFUNCTION("""COMPUTED_VALUE"""),45793.64583333333)</f>
        <v>45793.64583</v>
      </c>
      <c r="B28" s="6">
        <f>IFERROR(__xludf.DUMMYFUNCTION("""COMPUTED_VALUE"""),2700.0)</f>
        <v>2700</v>
      </c>
      <c r="C28" s="6">
        <f>IFERROR(__xludf.DUMMYFUNCTION("""COMPUTED_VALUE"""),2994.0)</f>
        <v>2994</v>
      </c>
      <c r="D28" s="6">
        <f>IFERROR(__xludf.DUMMYFUNCTION("""COMPUTED_VALUE"""),2661.0)</f>
        <v>2661</v>
      </c>
      <c r="E28" s="6">
        <f>IFERROR(__xludf.DUMMYFUNCTION("""COMPUTED_VALUE"""),2921.1)</f>
        <v>2921.1</v>
      </c>
      <c r="F28" s="6">
        <f>IFERROR(__xludf.DUMMYFUNCTION("""COMPUTED_VALUE"""),1.0948123E7)</f>
        <v>10948123</v>
      </c>
    </row>
    <row r="29">
      <c r="A29" s="7">
        <f>IFERROR(__xludf.DUMMYFUNCTION("""COMPUTED_VALUE"""),45800.64583333333)</f>
        <v>45800.64583</v>
      </c>
      <c r="B29" s="6">
        <f>IFERROR(__xludf.DUMMYFUNCTION("""COMPUTED_VALUE"""),2940.4)</f>
        <v>2940.4</v>
      </c>
      <c r="C29" s="6">
        <f>IFERROR(__xludf.DUMMYFUNCTION("""COMPUTED_VALUE"""),3080.0)</f>
        <v>3080</v>
      </c>
      <c r="D29" s="6">
        <f>IFERROR(__xludf.DUMMYFUNCTION("""COMPUTED_VALUE"""),2664.0)</f>
        <v>2664</v>
      </c>
      <c r="E29" s="6">
        <f>IFERROR(__xludf.DUMMYFUNCTION("""COMPUTED_VALUE"""),2765.0)</f>
        <v>2765</v>
      </c>
      <c r="F29" s="6">
        <f>IFERROR(__xludf.DUMMYFUNCTION("""COMPUTED_VALUE"""),1.7466342E7)</f>
        <v>17466342</v>
      </c>
    </row>
    <row r="30">
      <c r="A30" s="7">
        <f>IFERROR(__xludf.DUMMYFUNCTION("""COMPUTED_VALUE"""),45807.64583333333)</f>
        <v>45807.64583</v>
      </c>
      <c r="B30" s="6">
        <f>IFERROR(__xludf.DUMMYFUNCTION("""COMPUTED_VALUE"""),2775.0)</f>
        <v>2775</v>
      </c>
      <c r="C30" s="6">
        <f>IFERROR(__xludf.DUMMYFUNCTION("""COMPUTED_VALUE"""),3068.0)</f>
        <v>3068</v>
      </c>
      <c r="D30" s="6">
        <f>IFERROR(__xludf.DUMMYFUNCTION("""COMPUTED_VALUE"""),2745.8)</f>
        <v>2745.8</v>
      </c>
      <c r="E30" s="6">
        <f>IFERROR(__xludf.DUMMYFUNCTION("""COMPUTED_VALUE"""),2978.9)</f>
        <v>2978.9</v>
      </c>
      <c r="F30" s="6">
        <f>IFERROR(__xludf.DUMMYFUNCTION("""COMPUTED_VALUE"""),1.2028187E7)</f>
        <v>12028187</v>
      </c>
    </row>
    <row r="31">
      <c r="A31" s="7">
        <f>IFERROR(__xludf.DUMMYFUNCTION("""COMPUTED_VALUE"""),45814.64583333333)</f>
        <v>45814.64583</v>
      </c>
      <c r="B31" s="6">
        <f>IFERROR(__xludf.DUMMYFUNCTION("""COMPUTED_VALUE"""),2984.9)</f>
        <v>2984.9</v>
      </c>
      <c r="C31" s="6">
        <f>IFERROR(__xludf.DUMMYFUNCTION("""COMPUTED_VALUE"""),2988.0)</f>
        <v>2988</v>
      </c>
      <c r="D31" s="6">
        <f>IFERROR(__xludf.DUMMYFUNCTION("""COMPUTED_VALUE"""),2812.4)</f>
        <v>2812.4</v>
      </c>
      <c r="E31" s="6">
        <f>IFERROR(__xludf.DUMMYFUNCTION("""COMPUTED_VALUE"""),2828.3)</f>
        <v>2828.3</v>
      </c>
      <c r="F31" s="6">
        <f>IFERROR(__xludf.DUMMYFUNCTION("""COMPUTED_VALUE"""),6434348.0)</f>
        <v>6434348</v>
      </c>
    </row>
    <row r="32">
      <c r="A32" s="7">
        <f>IFERROR(__xludf.DUMMYFUNCTION("""COMPUTED_VALUE"""),45821.64583333333)</f>
        <v>45821.64583</v>
      </c>
      <c r="B32" s="6">
        <f>IFERROR(__xludf.DUMMYFUNCTION("""COMPUTED_VALUE"""),2843.5)</f>
        <v>2843.5</v>
      </c>
      <c r="C32" s="6">
        <f>IFERROR(__xludf.DUMMYFUNCTION("""COMPUTED_VALUE"""),2956.8)</f>
        <v>2956.8</v>
      </c>
      <c r="D32" s="6">
        <f>IFERROR(__xludf.DUMMYFUNCTION("""COMPUTED_VALUE"""),2742.3)</f>
        <v>2742.3</v>
      </c>
      <c r="E32" s="6">
        <f>IFERROR(__xludf.DUMMYFUNCTION("""COMPUTED_VALUE"""),2824.7)</f>
        <v>2824.7</v>
      </c>
      <c r="F32" s="6">
        <f>IFERROR(__xludf.DUMMYFUNCTION("""COMPUTED_VALUE"""),6690841.0)</f>
        <v>6690841</v>
      </c>
    </row>
    <row r="33">
      <c r="A33" s="7">
        <f>IFERROR(__xludf.DUMMYFUNCTION("""COMPUTED_VALUE"""),45828.64583333333)</f>
        <v>45828.64583</v>
      </c>
      <c r="B33" s="6">
        <f>IFERROR(__xludf.DUMMYFUNCTION("""COMPUTED_VALUE"""),2829.9)</f>
        <v>2829.9</v>
      </c>
      <c r="C33" s="6">
        <f>IFERROR(__xludf.DUMMYFUNCTION("""COMPUTED_VALUE"""),3025.3)</f>
        <v>3025.3</v>
      </c>
      <c r="D33" s="6">
        <f>IFERROR(__xludf.DUMMYFUNCTION("""COMPUTED_VALUE"""),2641.0)</f>
        <v>2641</v>
      </c>
      <c r="E33" s="6">
        <f>IFERROR(__xludf.DUMMYFUNCTION("""COMPUTED_VALUE"""),2989.0)</f>
        <v>2989</v>
      </c>
      <c r="F33" s="6">
        <f>IFERROR(__xludf.DUMMYFUNCTION("""COMPUTED_VALUE"""),1.8743104E7)</f>
        <v>18743104</v>
      </c>
    </row>
    <row r="34">
      <c r="A34" s="7">
        <f>IFERROR(__xludf.DUMMYFUNCTION("""COMPUTED_VALUE"""),45835.64583333333)</f>
        <v>45835.64583</v>
      </c>
      <c r="B34" s="6">
        <f>IFERROR(__xludf.DUMMYFUNCTION("""COMPUTED_VALUE"""),2962.0)</f>
        <v>2962</v>
      </c>
      <c r="C34" s="6">
        <f>IFERROR(__xludf.DUMMYFUNCTION("""COMPUTED_VALUE"""),3095.0)</f>
        <v>3095</v>
      </c>
      <c r="D34" s="6">
        <f>IFERROR(__xludf.DUMMYFUNCTION("""COMPUTED_VALUE"""),2901.0)</f>
        <v>2901</v>
      </c>
      <c r="E34" s="6">
        <f>IFERROR(__xludf.DUMMYFUNCTION("""COMPUTED_VALUE"""),2947.5)</f>
        <v>2947.5</v>
      </c>
      <c r="F34" s="6">
        <f>IFERROR(__xludf.DUMMYFUNCTION("""COMPUTED_VALUE"""),1.3204831E7)</f>
        <v>13204831</v>
      </c>
    </row>
    <row r="35">
      <c r="A35" s="7">
        <f>IFERROR(__xludf.DUMMYFUNCTION("""COMPUTED_VALUE"""),45842.64583333333)</f>
        <v>45842.64583</v>
      </c>
      <c r="B35" s="6">
        <f>IFERROR(__xludf.DUMMYFUNCTION("""COMPUTED_VALUE"""),2985.0)</f>
        <v>2985</v>
      </c>
      <c r="C35" s="6">
        <f>IFERROR(__xludf.DUMMYFUNCTION("""COMPUTED_VALUE"""),3197.0)</f>
        <v>3197</v>
      </c>
      <c r="D35" s="6">
        <f>IFERROR(__xludf.DUMMYFUNCTION("""COMPUTED_VALUE"""),2931.2)</f>
        <v>2931.2</v>
      </c>
      <c r="E35" s="6">
        <f>IFERROR(__xludf.DUMMYFUNCTION("""COMPUTED_VALUE"""),2978.1)</f>
        <v>2978.1</v>
      </c>
      <c r="F35" s="6">
        <f>IFERROR(__xludf.DUMMYFUNCTION("""COMPUTED_VALUE"""),1.8128816E7)</f>
        <v>18128816</v>
      </c>
    </row>
    <row r="36">
      <c r="A36" s="7">
        <f>IFERROR(__xludf.DUMMYFUNCTION("""COMPUTED_VALUE"""),45849.64583333333)</f>
        <v>45849.64583</v>
      </c>
      <c r="B36" s="6">
        <f>IFERROR(__xludf.DUMMYFUNCTION("""COMPUTED_VALUE"""),2978.0)</f>
        <v>2978</v>
      </c>
      <c r="C36" s="6">
        <f>IFERROR(__xludf.DUMMYFUNCTION("""COMPUTED_VALUE"""),3192.0)</f>
        <v>3192</v>
      </c>
      <c r="D36" s="6">
        <f>IFERROR(__xludf.DUMMYFUNCTION("""COMPUTED_VALUE"""),2905.0)</f>
        <v>2905</v>
      </c>
      <c r="E36" s="6">
        <f>IFERROR(__xludf.DUMMYFUNCTION("""COMPUTED_VALUE"""),3112.1)</f>
        <v>3112.1</v>
      </c>
      <c r="F36" s="6">
        <f>IFERROR(__xludf.DUMMYFUNCTION("""COMPUTED_VALUE"""),1.3477798E7)</f>
        <v>13477798</v>
      </c>
    </row>
    <row r="37">
      <c r="A37" s="7">
        <f>IFERROR(__xludf.DUMMYFUNCTION("""COMPUTED_VALUE"""),45856.64583333333)</f>
        <v>45856.64583</v>
      </c>
      <c r="B37" s="6">
        <f>IFERROR(__xludf.DUMMYFUNCTION("""COMPUTED_VALUE"""),3114.8)</f>
        <v>3114.8</v>
      </c>
      <c r="C37" s="6">
        <f>IFERROR(__xludf.DUMMYFUNCTION("""COMPUTED_VALUE"""),3342.0)</f>
        <v>3342</v>
      </c>
      <c r="D37" s="6">
        <f>IFERROR(__xludf.DUMMYFUNCTION("""COMPUTED_VALUE"""),3078.5)</f>
        <v>3078.5</v>
      </c>
      <c r="E37" s="6">
        <f>IFERROR(__xludf.DUMMYFUNCTION("""COMPUTED_VALUE"""),3122.0)</f>
        <v>3122</v>
      </c>
      <c r="F37" s="6">
        <f>IFERROR(__xludf.DUMMYFUNCTION("""COMPUTED_VALUE"""),1.09125E7)</f>
        <v>10912500</v>
      </c>
    </row>
    <row r="38">
      <c r="A38" s="7">
        <f>IFERROR(__xludf.DUMMYFUNCTION("""COMPUTED_VALUE"""),45863.64583333333)</f>
        <v>45863.64583</v>
      </c>
      <c r="B38" s="6">
        <f>IFERROR(__xludf.DUMMYFUNCTION("""COMPUTED_VALUE"""),3159.0)</f>
        <v>3159</v>
      </c>
      <c r="C38" s="6">
        <f>IFERROR(__xludf.DUMMYFUNCTION("""COMPUTED_VALUE"""),3285.0)</f>
        <v>3285</v>
      </c>
      <c r="D38" s="6">
        <f>IFERROR(__xludf.DUMMYFUNCTION("""COMPUTED_VALUE"""),3054.8)</f>
        <v>3054.8</v>
      </c>
      <c r="E38" s="6">
        <f>IFERROR(__xludf.DUMMYFUNCTION("""COMPUTED_VALUE"""),3198.2)</f>
        <v>3198.2</v>
      </c>
      <c r="F38" s="6">
        <f>IFERROR(__xludf.DUMMYFUNCTION("""COMPUTED_VALUE"""),7622155.0)</f>
        <v>7622155</v>
      </c>
    </row>
    <row r="39">
      <c r="A39" s="7">
        <f>IFERROR(__xludf.DUMMYFUNCTION("""COMPUTED_VALUE"""),45870.64583333333)</f>
        <v>45870.64583</v>
      </c>
      <c r="B39" s="6">
        <f>IFERROR(__xludf.DUMMYFUNCTION("""COMPUTED_VALUE"""),3250.0)</f>
        <v>3250</v>
      </c>
      <c r="C39" s="6">
        <f>IFERROR(__xludf.DUMMYFUNCTION("""COMPUTED_VALUE"""),3291.0)</f>
        <v>3291</v>
      </c>
      <c r="D39" s="6">
        <f>IFERROR(__xludf.DUMMYFUNCTION("""COMPUTED_VALUE"""),2955.0)</f>
        <v>2955</v>
      </c>
      <c r="E39" s="6">
        <f>IFERROR(__xludf.DUMMYFUNCTION("""COMPUTED_VALUE"""),3104.0)</f>
        <v>3104</v>
      </c>
      <c r="F39" s="6">
        <f>IFERROR(__xludf.DUMMYFUNCTION("""COMPUTED_VALUE"""),2.0885971E7)</f>
        <v>20885971</v>
      </c>
    </row>
    <row r="40">
      <c r="A40" s="7">
        <f>IFERROR(__xludf.DUMMYFUNCTION("""COMPUTED_VALUE"""),45877.64583333333)</f>
        <v>45877.64583</v>
      </c>
      <c r="B40" s="6">
        <f>IFERROR(__xludf.DUMMYFUNCTION("""COMPUTED_VALUE"""),3119.5)</f>
        <v>3119.5</v>
      </c>
      <c r="C40" s="6">
        <f>IFERROR(__xludf.DUMMYFUNCTION("""COMPUTED_VALUE"""),3247.3)</f>
        <v>3247.3</v>
      </c>
      <c r="D40" s="6">
        <f>IFERROR(__xludf.DUMMYFUNCTION("""COMPUTED_VALUE"""),3036.1)</f>
        <v>3036.1</v>
      </c>
      <c r="E40" s="6">
        <f>IFERROR(__xludf.DUMMYFUNCTION("""COMPUTED_VALUE"""),3061.0)</f>
        <v>3061</v>
      </c>
      <c r="F40" s="6">
        <f>IFERROR(__xludf.DUMMYFUNCTION("""COMPUTED_VALUE"""),1.210582E7)</f>
        <v>12105820</v>
      </c>
    </row>
    <row r="41">
      <c r="A41" s="7">
        <f>IFERROR(__xludf.DUMMYFUNCTION("""COMPUTED_VALUE"""),45883.64583333333)</f>
        <v>45883.64583</v>
      </c>
      <c r="B41" s="6">
        <f>IFERROR(__xludf.DUMMYFUNCTION("""COMPUTED_VALUE"""),3078.0)</f>
        <v>3078</v>
      </c>
      <c r="C41" s="6">
        <f>IFERROR(__xludf.DUMMYFUNCTION("""COMPUTED_VALUE"""),3190.9)</f>
        <v>3190.9</v>
      </c>
      <c r="D41" s="6">
        <f>IFERROR(__xludf.DUMMYFUNCTION("""COMPUTED_VALUE"""),2830.5)</f>
        <v>2830.5</v>
      </c>
      <c r="E41" s="6">
        <f>IFERROR(__xludf.DUMMYFUNCTION("""COMPUTED_VALUE"""),2882.8)</f>
        <v>2882.8</v>
      </c>
      <c r="F41" s="6">
        <f>IFERROR(__xludf.DUMMYFUNCTION("""COMPUTED_VALUE"""),8751004.0)</f>
        <v>8751004</v>
      </c>
    </row>
    <row r="42">
      <c r="A42" s="7">
        <f>IFERROR(__xludf.DUMMYFUNCTION("""COMPUTED_VALUE"""),45891.64583333333)</f>
        <v>45891.64583</v>
      </c>
      <c r="B42" s="6">
        <f>IFERROR(__xludf.DUMMYFUNCTION("""COMPUTED_VALUE"""),2949.0)</f>
        <v>2949</v>
      </c>
      <c r="C42" s="6">
        <f>IFERROR(__xludf.DUMMYFUNCTION("""COMPUTED_VALUE"""),3299.0)</f>
        <v>3299</v>
      </c>
      <c r="D42" s="6">
        <f>IFERROR(__xludf.DUMMYFUNCTION("""COMPUTED_VALUE"""),2936.0)</f>
        <v>2936</v>
      </c>
      <c r="E42" s="6">
        <f>IFERROR(__xludf.DUMMYFUNCTION("""COMPUTED_VALUE"""),3188.6)</f>
        <v>3188.6</v>
      </c>
      <c r="F42" s="6">
        <f>IFERROR(__xludf.DUMMYFUNCTION("""COMPUTED_VALUE"""),1.1047026E7)</f>
        <v>11047026</v>
      </c>
    </row>
    <row r="43">
      <c r="A43" s="7">
        <f>IFERROR(__xludf.DUMMYFUNCTION("""COMPUTED_VALUE"""),45895.64583333333)</f>
        <v>45895.64583</v>
      </c>
      <c r="B43" s="6">
        <f>IFERROR(__xludf.DUMMYFUNCTION("""COMPUTED_VALUE"""),3190.0)</f>
        <v>3190</v>
      </c>
      <c r="C43" s="6">
        <f>IFERROR(__xludf.DUMMYFUNCTION("""COMPUTED_VALUE"""),3329.8)</f>
        <v>3329.8</v>
      </c>
      <c r="D43" s="6">
        <f>IFERROR(__xludf.DUMMYFUNCTION("""COMPUTED_VALUE"""),3083.0)</f>
        <v>3083</v>
      </c>
      <c r="E43" s="6">
        <f>IFERROR(__xludf.DUMMYFUNCTION("""COMPUTED_VALUE"""),3265.3)</f>
        <v>3265.3</v>
      </c>
      <c r="F43" s="6">
        <f>IFERROR(__xludf.DUMMYFUNCTION("""COMPUTED_VALUE"""),8.2039448E7)</f>
        <v>82039448</v>
      </c>
    </row>
  </sheetData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IFERROR(__xludf.DUMMYFUNCTION("GOOGLEFINANCE(""NSE:WIPRO"",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IFERROR(__xludf.DUMMYFUNCTION("""COMPUTED_VALUE"""),205.73)</f>
        <v>205.73</v>
      </c>
      <c r="C2" s="6">
        <f>IFERROR(__xludf.DUMMYFUNCTION("""COMPUTED_VALUE"""),208.88)</f>
        <v>208.88</v>
      </c>
      <c r="D2" s="6">
        <f>IFERROR(__xludf.DUMMYFUNCTION("""COMPUTED_VALUE"""),203.23)</f>
        <v>203.23</v>
      </c>
      <c r="E2" s="6">
        <f>IFERROR(__xludf.DUMMYFUNCTION("""COMPUTED_VALUE"""),208.18)</f>
        <v>208.18</v>
      </c>
      <c r="F2" s="6">
        <f>IFERROR(__xludf.DUMMYFUNCTION("""COMPUTED_VALUE"""),2.09784E7)</f>
        <v>20978400</v>
      </c>
    </row>
    <row r="3">
      <c r="A3" s="7">
        <f>IFERROR(__xludf.DUMMYFUNCTION("""COMPUTED_VALUE"""),45177.64583333333)</f>
        <v>45177.64583</v>
      </c>
      <c r="B3" s="6">
        <f>IFERROR(__xludf.DUMMYFUNCTION("""COMPUTED_VALUE"""),209.0)</f>
        <v>209</v>
      </c>
      <c r="C3" s="6">
        <f>IFERROR(__xludf.DUMMYFUNCTION("""COMPUTED_VALUE"""),218.75)</f>
        <v>218.75</v>
      </c>
      <c r="D3" s="6">
        <f>IFERROR(__xludf.DUMMYFUNCTION("""COMPUTED_VALUE"""),208.0)</f>
        <v>208</v>
      </c>
      <c r="E3" s="6">
        <f>IFERROR(__xludf.DUMMYFUNCTION("""COMPUTED_VALUE"""),215.0)</f>
        <v>215</v>
      </c>
      <c r="F3" s="6">
        <f>IFERROR(__xludf.DUMMYFUNCTION("""COMPUTED_VALUE"""),3.7105523E7)</f>
        <v>37105523</v>
      </c>
    </row>
    <row r="4">
      <c r="A4" s="7">
        <f>IFERROR(__xludf.DUMMYFUNCTION("""COMPUTED_VALUE"""),45184.64583333333)</f>
        <v>45184.64583</v>
      </c>
      <c r="B4" s="6">
        <f>IFERROR(__xludf.DUMMYFUNCTION("""COMPUTED_VALUE"""),216.5)</f>
        <v>216.5</v>
      </c>
      <c r="C4" s="6">
        <f>IFERROR(__xludf.DUMMYFUNCTION("""COMPUTED_VALUE"""),221.88)</f>
        <v>221.88</v>
      </c>
      <c r="D4" s="6">
        <f>IFERROR(__xludf.DUMMYFUNCTION("""COMPUTED_VALUE"""),213.45)</f>
        <v>213.45</v>
      </c>
      <c r="E4" s="6">
        <f>IFERROR(__xludf.DUMMYFUNCTION("""COMPUTED_VALUE"""),220.53)</f>
        <v>220.53</v>
      </c>
      <c r="F4" s="6">
        <f>IFERROR(__xludf.DUMMYFUNCTION("""COMPUTED_VALUE"""),3.2487599E7)</f>
        <v>32487599</v>
      </c>
    </row>
    <row r="5">
      <c r="A5" s="7">
        <f>IFERROR(__xludf.DUMMYFUNCTION("""COMPUTED_VALUE"""),45191.64583333333)</f>
        <v>45191.64583</v>
      </c>
      <c r="B5" s="6">
        <f>IFERROR(__xludf.DUMMYFUNCTION("""COMPUTED_VALUE"""),220.53)</f>
        <v>220.53</v>
      </c>
      <c r="C5" s="6">
        <f>IFERROR(__xludf.DUMMYFUNCTION("""COMPUTED_VALUE"""),220.53)</f>
        <v>220.53</v>
      </c>
      <c r="D5" s="6">
        <f>IFERROR(__xludf.DUMMYFUNCTION("""COMPUTED_VALUE"""),208.3)</f>
        <v>208.3</v>
      </c>
      <c r="E5" s="6">
        <f>IFERROR(__xludf.DUMMYFUNCTION("""COMPUTED_VALUE"""),209.25)</f>
        <v>209.25</v>
      </c>
      <c r="F5" s="6">
        <f>IFERROR(__xludf.DUMMYFUNCTION("""COMPUTED_VALUE"""),2.1919613E7)</f>
        <v>21919613</v>
      </c>
    </row>
    <row r="6">
      <c r="A6" s="7">
        <f>IFERROR(__xludf.DUMMYFUNCTION("""COMPUTED_VALUE"""),45198.64583333333)</f>
        <v>45198.64583</v>
      </c>
      <c r="B6" s="6">
        <f>IFERROR(__xludf.DUMMYFUNCTION("""COMPUTED_VALUE"""),209.25)</f>
        <v>209.25</v>
      </c>
      <c r="C6" s="6">
        <f>IFERROR(__xludf.DUMMYFUNCTION("""COMPUTED_VALUE"""),209.88)</f>
        <v>209.88</v>
      </c>
      <c r="D6" s="6">
        <f>IFERROR(__xludf.DUMMYFUNCTION("""COMPUTED_VALUE"""),200.75)</f>
        <v>200.75</v>
      </c>
      <c r="E6" s="6">
        <f>IFERROR(__xludf.DUMMYFUNCTION("""COMPUTED_VALUE"""),203.03)</f>
        <v>203.03</v>
      </c>
      <c r="F6" s="6">
        <f>IFERROR(__xludf.DUMMYFUNCTION("""COMPUTED_VALUE"""),2.660604E7)</f>
        <v>26606040</v>
      </c>
    </row>
    <row r="7">
      <c r="A7" s="7">
        <f>IFERROR(__xludf.DUMMYFUNCTION("""COMPUTED_VALUE"""),45205.64583333333)</f>
        <v>45205.64583</v>
      </c>
      <c r="B7" s="6">
        <f>IFERROR(__xludf.DUMMYFUNCTION("""COMPUTED_VALUE"""),203.23)</f>
        <v>203.23</v>
      </c>
      <c r="C7" s="6">
        <f>IFERROR(__xludf.DUMMYFUNCTION("""COMPUTED_VALUE"""),205.2)</f>
        <v>205.2</v>
      </c>
      <c r="D7" s="6">
        <f>IFERROR(__xludf.DUMMYFUNCTION("""COMPUTED_VALUE"""),200.33)</f>
        <v>200.33</v>
      </c>
      <c r="E7" s="6">
        <f>IFERROR(__xludf.DUMMYFUNCTION("""COMPUTED_VALUE"""),203.93)</f>
        <v>203.93</v>
      </c>
      <c r="F7" s="6">
        <f>IFERROR(__xludf.DUMMYFUNCTION("""COMPUTED_VALUE"""),1.3562141E7)</f>
        <v>13562141</v>
      </c>
    </row>
    <row r="8">
      <c r="A8" s="7">
        <f>IFERROR(__xludf.DUMMYFUNCTION("""COMPUTED_VALUE"""),45212.64583333333)</f>
        <v>45212.64583</v>
      </c>
      <c r="B8" s="6">
        <f>IFERROR(__xludf.DUMMYFUNCTION("""COMPUTED_VALUE"""),202.1)</f>
        <v>202.1</v>
      </c>
      <c r="C8" s="6">
        <f>IFERROR(__xludf.DUMMYFUNCTION("""COMPUTED_VALUE"""),211.98)</f>
        <v>211.98</v>
      </c>
      <c r="D8" s="6">
        <f>IFERROR(__xludf.DUMMYFUNCTION("""COMPUTED_VALUE"""),201.7)</f>
        <v>201.7</v>
      </c>
      <c r="E8" s="6">
        <f>IFERROR(__xludf.DUMMYFUNCTION("""COMPUTED_VALUE"""),205.53)</f>
        <v>205.53</v>
      </c>
      <c r="F8" s="6">
        <f>IFERROR(__xludf.DUMMYFUNCTION("""COMPUTED_VALUE"""),2.5699572E7)</f>
        <v>25699572</v>
      </c>
    </row>
    <row r="9">
      <c r="A9" s="7">
        <f>IFERROR(__xludf.DUMMYFUNCTION("""COMPUTED_VALUE"""),45219.64583333333)</f>
        <v>45219.64583</v>
      </c>
      <c r="B9" s="6">
        <f>IFERROR(__xludf.DUMMYFUNCTION("""COMPUTED_VALUE"""),205.5)</f>
        <v>205.5</v>
      </c>
      <c r="C9" s="6">
        <f>IFERROR(__xludf.DUMMYFUNCTION("""COMPUTED_VALUE"""),206.93)</f>
        <v>206.93</v>
      </c>
      <c r="D9" s="6">
        <f>IFERROR(__xludf.DUMMYFUNCTION("""COMPUTED_VALUE"""),195.05)</f>
        <v>195.05</v>
      </c>
      <c r="E9" s="6">
        <f>IFERROR(__xludf.DUMMYFUNCTION("""COMPUTED_VALUE"""),195.93)</f>
        <v>195.93</v>
      </c>
      <c r="F9" s="6">
        <f>IFERROR(__xludf.DUMMYFUNCTION("""COMPUTED_VALUE"""),2.5098272E7)</f>
        <v>25098272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IFERROR(__xludf.DUMMYFUNCTION("""COMPUTED_VALUE"""),195.43)</f>
        <v>195.43</v>
      </c>
      <c r="C10" s="6">
        <f>IFERROR(__xludf.DUMMYFUNCTION("""COMPUTED_VALUE"""),196.5)</f>
        <v>196.5</v>
      </c>
      <c r="D10" s="6">
        <f>IFERROR(__xludf.DUMMYFUNCTION("""COMPUTED_VALUE"""),187.53)</f>
        <v>187.53</v>
      </c>
      <c r="E10" s="6">
        <f>IFERROR(__xludf.DUMMYFUNCTION("""COMPUTED_VALUE"""),191.18)</f>
        <v>191.18</v>
      </c>
      <c r="F10" s="6">
        <f>IFERROR(__xludf.DUMMYFUNCTION("""COMPUTED_VALUE"""),1.6357257E7)</f>
        <v>16357257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IFERROR(__xludf.DUMMYFUNCTION("""COMPUTED_VALUE"""),192.0)</f>
        <v>192</v>
      </c>
      <c r="C11" s="6">
        <f>IFERROR(__xludf.DUMMYFUNCTION("""COMPUTED_VALUE"""),193.35)</f>
        <v>193.35</v>
      </c>
      <c r="D11" s="6">
        <f>IFERROR(__xludf.DUMMYFUNCTION("""COMPUTED_VALUE"""),189.58)</f>
        <v>189.58</v>
      </c>
      <c r="E11" s="6">
        <f>IFERROR(__xludf.DUMMYFUNCTION("""COMPUTED_VALUE"""),191.78)</f>
        <v>191.78</v>
      </c>
      <c r="F11" s="6">
        <f>IFERROR(__xludf.DUMMYFUNCTION("""COMPUTED_VALUE"""),1.2559245E7)</f>
        <v>12559245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IFERROR(__xludf.DUMMYFUNCTION("""COMPUTED_VALUE"""),193.0)</f>
        <v>193</v>
      </c>
      <c r="C12" s="6">
        <f>IFERROR(__xludf.DUMMYFUNCTION("""COMPUTED_VALUE"""),193.5)</f>
        <v>193.5</v>
      </c>
      <c r="D12" s="6">
        <f>IFERROR(__xludf.DUMMYFUNCTION("""COMPUTED_VALUE"""),188.5)</f>
        <v>188.5</v>
      </c>
      <c r="E12" s="6">
        <f>IFERROR(__xludf.DUMMYFUNCTION("""COMPUTED_VALUE"""),189.65)</f>
        <v>189.65</v>
      </c>
      <c r="F12" s="6">
        <f>IFERROR(__xludf.DUMMYFUNCTION("""COMPUTED_VALUE"""),1.8837996E7)</f>
        <v>18837996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IFERROR(__xludf.DUMMYFUNCTION("""COMPUTED_VALUE"""),191.7)</f>
        <v>191.7</v>
      </c>
      <c r="C13" s="6">
        <f>IFERROR(__xludf.DUMMYFUNCTION("""COMPUTED_VALUE"""),199.75)</f>
        <v>199.75</v>
      </c>
      <c r="D13" s="6">
        <f>IFERROR(__xludf.DUMMYFUNCTION("""COMPUTED_VALUE"""),190.0)</f>
        <v>190</v>
      </c>
      <c r="E13" s="6">
        <f>IFERROR(__xludf.DUMMYFUNCTION("""COMPUTED_VALUE"""),197.7)</f>
        <v>197.7</v>
      </c>
      <c r="F13" s="6">
        <f>IFERROR(__xludf.DUMMYFUNCTION("""COMPUTED_VALUE"""),1.9066124E7)</f>
        <v>19066124</v>
      </c>
    </row>
    <row r="14">
      <c r="A14" s="7">
        <f>IFERROR(__xludf.DUMMYFUNCTION("""COMPUTED_VALUE"""),45254.64583333333)</f>
        <v>45254.64583</v>
      </c>
      <c r="B14" s="6">
        <f>IFERROR(__xludf.DUMMYFUNCTION("""COMPUTED_VALUE"""),196.6)</f>
        <v>196.6</v>
      </c>
      <c r="C14" s="6">
        <f>IFERROR(__xludf.DUMMYFUNCTION("""COMPUTED_VALUE"""),202.5)</f>
        <v>202.5</v>
      </c>
      <c r="D14" s="6">
        <f>IFERROR(__xludf.DUMMYFUNCTION("""COMPUTED_VALUE"""),196.6)</f>
        <v>196.6</v>
      </c>
      <c r="E14" s="6">
        <f>IFERROR(__xludf.DUMMYFUNCTION("""COMPUTED_VALUE"""),198.0)</f>
        <v>198</v>
      </c>
      <c r="F14" s="6">
        <f>IFERROR(__xludf.DUMMYFUNCTION("""COMPUTED_VALUE"""),1.7648626E7)</f>
        <v>17648626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IFERROR(__xludf.DUMMYFUNCTION("""COMPUTED_VALUE"""),198.5)</f>
        <v>198.5</v>
      </c>
      <c r="C15" s="6">
        <f>IFERROR(__xludf.DUMMYFUNCTION("""COMPUTED_VALUE"""),207.25)</f>
        <v>207.25</v>
      </c>
      <c r="D15" s="6">
        <f>IFERROR(__xludf.DUMMYFUNCTION("""COMPUTED_VALUE"""),196.55)</f>
        <v>196.55</v>
      </c>
      <c r="E15" s="6">
        <f>IFERROR(__xludf.DUMMYFUNCTION("""COMPUTED_VALUE"""),203.83)</f>
        <v>203.83</v>
      </c>
      <c r="F15" s="6">
        <f>IFERROR(__xludf.DUMMYFUNCTION("""COMPUTED_VALUE"""),2.6672892E7)</f>
        <v>26672892</v>
      </c>
    </row>
    <row r="16">
      <c r="A16" s="7">
        <f>IFERROR(__xludf.DUMMYFUNCTION("""COMPUTED_VALUE"""),45268.64583333333)</f>
        <v>45268.64583</v>
      </c>
      <c r="B16" s="6">
        <f>IFERROR(__xludf.DUMMYFUNCTION("""COMPUTED_VALUE"""),206.35)</f>
        <v>206.35</v>
      </c>
      <c r="C16" s="6">
        <f>IFERROR(__xludf.DUMMYFUNCTION("""COMPUTED_VALUE"""),212.25)</f>
        <v>212.25</v>
      </c>
      <c r="D16" s="6">
        <f>IFERROR(__xludf.DUMMYFUNCTION("""COMPUTED_VALUE"""),201.05)</f>
        <v>201.05</v>
      </c>
      <c r="E16" s="6">
        <f>IFERROR(__xludf.DUMMYFUNCTION("""COMPUTED_VALUE"""),211.3)</f>
        <v>211.3</v>
      </c>
      <c r="F16" s="6">
        <f>IFERROR(__xludf.DUMMYFUNCTION("""COMPUTED_VALUE"""),3.5319792E7)</f>
        <v>35319792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IFERROR(__xludf.DUMMYFUNCTION("""COMPUTED_VALUE"""),210.0)</f>
        <v>210</v>
      </c>
      <c r="C17" s="6">
        <f>IFERROR(__xludf.DUMMYFUNCTION("""COMPUTED_VALUE"""),224.75)</f>
        <v>224.75</v>
      </c>
      <c r="D17" s="6">
        <f>IFERROR(__xludf.DUMMYFUNCTION("""COMPUTED_VALUE"""),207.5)</f>
        <v>207.5</v>
      </c>
      <c r="E17" s="6">
        <f>IFERROR(__xludf.DUMMYFUNCTION("""COMPUTED_VALUE"""),223.28)</f>
        <v>223.28</v>
      </c>
      <c r="F17" s="6">
        <f>IFERROR(__xludf.DUMMYFUNCTION("""COMPUTED_VALUE"""),4.8966516E7)</f>
        <v>48966516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IFERROR(__xludf.DUMMYFUNCTION("""COMPUTED_VALUE"""),223.0)</f>
        <v>223</v>
      </c>
      <c r="C18" s="6">
        <f>IFERROR(__xludf.DUMMYFUNCTION("""COMPUTED_VALUE"""),233.15)</f>
        <v>233.15</v>
      </c>
      <c r="D18" s="6">
        <f>IFERROR(__xludf.DUMMYFUNCTION("""COMPUTED_VALUE"""),213.6)</f>
        <v>213.6</v>
      </c>
      <c r="E18" s="6">
        <f>IFERROR(__xludf.DUMMYFUNCTION("""COMPUTED_VALUE"""),231.33)</f>
        <v>231.33</v>
      </c>
      <c r="F18" s="6">
        <f>IFERROR(__xludf.DUMMYFUNCTION("""COMPUTED_VALUE"""),5.9720265E7)</f>
        <v>59720265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IFERROR(__xludf.DUMMYFUNCTION("""COMPUTED_VALUE"""),227.0)</f>
        <v>227</v>
      </c>
      <c r="C19" s="6">
        <f>IFERROR(__xludf.DUMMYFUNCTION("""COMPUTED_VALUE"""),238.7)</f>
        <v>238.7</v>
      </c>
      <c r="D19" s="6">
        <f>IFERROR(__xludf.DUMMYFUNCTION("""COMPUTED_VALUE"""),224.18)</f>
        <v>224.18</v>
      </c>
      <c r="E19" s="6">
        <f>IFERROR(__xludf.DUMMYFUNCTION("""COMPUTED_VALUE"""),235.65)</f>
        <v>235.65</v>
      </c>
      <c r="F19" s="6">
        <f>IFERROR(__xludf.DUMMYFUNCTION("""COMPUTED_VALUE"""),5.6346366E7)</f>
        <v>56346366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IFERROR(__xludf.DUMMYFUNCTION("""COMPUTED_VALUE"""),236.5)</f>
        <v>236.5</v>
      </c>
      <c r="C20" s="6">
        <f>IFERROR(__xludf.DUMMYFUNCTION("""COMPUTED_VALUE"""),241.75)</f>
        <v>241.75</v>
      </c>
      <c r="D20" s="6">
        <f>IFERROR(__xludf.DUMMYFUNCTION("""COMPUTED_VALUE"""),225.7)</f>
        <v>225.7</v>
      </c>
      <c r="E20" s="6">
        <f>IFERROR(__xludf.DUMMYFUNCTION("""COMPUTED_VALUE"""),228.3)</f>
        <v>228.3</v>
      </c>
      <c r="F20" s="6">
        <f>IFERROR(__xludf.DUMMYFUNCTION("""COMPUTED_VALUE"""),4.3111811E7)</f>
        <v>43111811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IFERROR(__xludf.DUMMYFUNCTION("""COMPUTED_VALUE"""),228.75)</f>
        <v>228.75</v>
      </c>
      <c r="C21" s="6">
        <f>IFERROR(__xludf.DUMMYFUNCTION("""COMPUTED_VALUE"""),234.5)</f>
        <v>234.5</v>
      </c>
      <c r="D21" s="6">
        <f>IFERROR(__xludf.DUMMYFUNCTION("""COMPUTED_VALUE"""),223.35)</f>
        <v>223.35</v>
      </c>
      <c r="E21" s="6">
        <f>IFERROR(__xludf.DUMMYFUNCTION("""COMPUTED_VALUE"""),232.73)</f>
        <v>232.73</v>
      </c>
      <c r="F21" s="6">
        <f>IFERROR(__xludf.DUMMYFUNCTION("""COMPUTED_VALUE"""),3.9074081E7)</f>
        <v>39074081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IFERROR(__xludf.DUMMYFUNCTION("""COMPUTED_VALUE"""),239.03)</f>
        <v>239.03</v>
      </c>
      <c r="C22" s="6">
        <f>IFERROR(__xludf.DUMMYFUNCTION("""COMPUTED_VALUE"""),243.0)</f>
        <v>243</v>
      </c>
      <c r="D22" s="6">
        <f>IFERROR(__xludf.DUMMYFUNCTION("""COMPUTED_VALUE"""),233.53)</f>
        <v>233.53</v>
      </c>
      <c r="E22" s="6">
        <f>IFERROR(__xludf.DUMMYFUNCTION("""COMPUTED_VALUE"""),235.0)</f>
        <v>235</v>
      </c>
      <c r="F22" s="6">
        <f>IFERROR(__xludf.DUMMYFUNCTION("""COMPUTED_VALUE"""),2.2267033E7)</f>
        <v>22267033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IFERROR(__xludf.DUMMYFUNCTION("""COMPUTED_VALUE"""),235.0)</f>
        <v>235</v>
      </c>
      <c r="C23" s="6">
        <f>IFERROR(__xludf.DUMMYFUNCTION("""COMPUTED_VALUE"""),243.25)</f>
        <v>243.25</v>
      </c>
      <c r="D23" s="6">
        <f>IFERROR(__xludf.DUMMYFUNCTION("""COMPUTED_VALUE"""),234.5)</f>
        <v>234.5</v>
      </c>
      <c r="E23" s="6">
        <f>IFERROR(__xludf.DUMMYFUNCTION("""COMPUTED_VALUE"""),241.58)</f>
        <v>241.58</v>
      </c>
      <c r="F23" s="6">
        <f>IFERROR(__xludf.DUMMYFUNCTION("""COMPUTED_VALUE"""),2.8294068E7)</f>
        <v>28294068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IFERROR(__xludf.DUMMYFUNCTION("""COMPUTED_VALUE"""),241.5)</f>
        <v>241.5</v>
      </c>
      <c r="C24" s="6">
        <f>IFERROR(__xludf.DUMMYFUNCTION("""COMPUTED_VALUE"""),250.9)</f>
        <v>250.9</v>
      </c>
      <c r="D24" s="6">
        <f>IFERROR(__xludf.DUMMYFUNCTION("""COMPUTED_VALUE"""),239.58)</f>
        <v>239.58</v>
      </c>
      <c r="E24" s="6">
        <f>IFERROR(__xludf.DUMMYFUNCTION("""COMPUTED_VALUE"""),245.23)</f>
        <v>245.23</v>
      </c>
      <c r="F24" s="6">
        <f>IFERROR(__xludf.DUMMYFUNCTION("""COMPUTED_VALUE"""),3.4445902E7)</f>
        <v>34445902</v>
      </c>
    </row>
    <row r="25">
      <c r="A25" s="7">
        <f>IFERROR(__xludf.DUMMYFUNCTION("""COMPUTED_VALUE"""),45338.64583333333)</f>
        <v>45338.64583</v>
      </c>
      <c r="B25" s="6">
        <f>IFERROR(__xludf.DUMMYFUNCTION("""COMPUTED_VALUE"""),245.5)</f>
        <v>245.5</v>
      </c>
      <c r="C25" s="6">
        <f>IFERROR(__xludf.DUMMYFUNCTION("""COMPUTED_VALUE"""),272.5)</f>
        <v>272.5</v>
      </c>
      <c r="D25" s="6">
        <f>IFERROR(__xludf.DUMMYFUNCTION("""COMPUTED_VALUE"""),245.5)</f>
        <v>245.5</v>
      </c>
      <c r="E25" s="6">
        <f>IFERROR(__xludf.DUMMYFUNCTION("""COMPUTED_VALUE"""),271.5)</f>
        <v>271.5</v>
      </c>
      <c r="F25" s="6">
        <f>IFERROR(__xludf.DUMMYFUNCTION("""COMPUTED_VALUE"""),7.1677576E7)</f>
        <v>71677576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IFERROR(__xludf.DUMMYFUNCTION("""COMPUTED_VALUE"""),272.95)</f>
        <v>272.95</v>
      </c>
      <c r="C26" s="6">
        <f>IFERROR(__xludf.DUMMYFUNCTION("""COMPUTED_VALUE"""),272.95)</f>
        <v>272.95</v>
      </c>
      <c r="D26" s="6">
        <f>IFERROR(__xludf.DUMMYFUNCTION("""COMPUTED_VALUE"""),259.75)</f>
        <v>259.75</v>
      </c>
      <c r="E26" s="6">
        <f>IFERROR(__xludf.DUMMYFUNCTION("""COMPUTED_VALUE"""),268.08)</f>
        <v>268.08</v>
      </c>
      <c r="F26" s="6">
        <f>IFERROR(__xludf.DUMMYFUNCTION("""COMPUTED_VALUE"""),3.8274967E7)</f>
        <v>38274967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IFERROR(__xludf.DUMMYFUNCTION("""COMPUTED_VALUE"""),261.48)</f>
        <v>261.48</v>
      </c>
      <c r="C27" s="6">
        <f>IFERROR(__xludf.DUMMYFUNCTION("""COMPUTED_VALUE"""),263.2)</f>
        <v>263.2</v>
      </c>
      <c r="D27" s="6">
        <f>IFERROR(__xludf.DUMMYFUNCTION("""COMPUTED_VALUE"""),250.0)</f>
        <v>250</v>
      </c>
      <c r="E27" s="6">
        <f>IFERROR(__xludf.DUMMYFUNCTION("""COMPUTED_VALUE"""),257.75)</f>
        <v>257.75</v>
      </c>
      <c r="F27" s="6">
        <f>IFERROR(__xludf.DUMMYFUNCTION("""COMPUTED_VALUE"""),1.8491911E7)</f>
        <v>18491911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IFERROR(__xludf.DUMMYFUNCTION("""COMPUTED_VALUE"""),258.7)</f>
        <v>258.7</v>
      </c>
      <c r="C28" s="6">
        <f>IFERROR(__xludf.DUMMYFUNCTION("""COMPUTED_VALUE"""),261.25)</f>
        <v>261.25</v>
      </c>
      <c r="D28" s="6">
        <f>IFERROR(__xludf.DUMMYFUNCTION("""COMPUTED_VALUE"""),247.58)</f>
        <v>247.58</v>
      </c>
      <c r="E28" s="6">
        <f>IFERROR(__xludf.DUMMYFUNCTION("""COMPUTED_VALUE"""),258.5)</f>
        <v>258.5</v>
      </c>
      <c r="F28" s="6">
        <f>IFERROR(__xludf.DUMMYFUNCTION("""COMPUTED_VALUE"""),3.1419655E7)</f>
        <v>31419655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IFERROR(__xludf.DUMMYFUNCTION("""COMPUTED_VALUE"""),259.0)</f>
        <v>259</v>
      </c>
      <c r="C29" s="6">
        <f>IFERROR(__xludf.DUMMYFUNCTION("""COMPUTED_VALUE"""),259.27)</f>
        <v>259.27</v>
      </c>
      <c r="D29" s="6">
        <f>IFERROR(__xludf.DUMMYFUNCTION("""COMPUTED_VALUE"""),239.78)</f>
        <v>239.78</v>
      </c>
      <c r="E29" s="6">
        <f>IFERROR(__xludf.DUMMYFUNCTION("""COMPUTED_VALUE"""),243.55)</f>
        <v>243.55</v>
      </c>
      <c r="F29" s="6">
        <f>IFERROR(__xludf.DUMMYFUNCTION("""COMPUTED_VALUE"""),3.2343886E7)</f>
        <v>32343886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IFERROR(__xludf.DUMMYFUNCTION("""COMPUTED_VALUE"""),243.0)</f>
        <v>243</v>
      </c>
      <c r="C30" s="6">
        <f>IFERROR(__xludf.DUMMYFUNCTION("""COMPUTED_VALUE"""),245.48)</f>
        <v>245.48</v>
      </c>
      <c r="D30" s="6">
        <f>IFERROR(__xludf.DUMMYFUNCTION("""COMPUTED_VALUE"""),235.63)</f>
        <v>235.63</v>
      </c>
      <c r="E30" s="6">
        <f>IFERROR(__xludf.DUMMYFUNCTION("""COMPUTED_VALUE"""),240.05)</f>
        <v>240.05</v>
      </c>
      <c r="F30" s="6">
        <f>IFERROR(__xludf.DUMMYFUNCTION("""COMPUTED_VALUE"""),2.4024582E7)</f>
        <v>24024582</v>
      </c>
    </row>
    <row r="31">
      <c r="A31" s="7">
        <f>IFERROR(__xludf.DUMMYFUNCTION("""COMPUTED_VALUE"""),45387.64583333333)</f>
        <v>45387.64583</v>
      </c>
      <c r="B31" s="6">
        <f>IFERROR(__xludf.DUMMYFUNCTION("""COMPUTED_VALUE"""),241.85)</f>
        <v>241.85</v>
      </c>
      <c r="C31" s="6">
        <f>IFERROR(__xludf.DUMMYFUNCTION("""COMPUTED_VALUE"""),245.98)</f>
        <v>245.98</v>
      </c>
      <c r="D31" s="6">
        <f>IFERROR(__xludf.DUMMYFUNCTION("""COMPUTED_VALUE"""),237.98)</f>
        <v>237.98</v>
      </c>
      <c r="E31" s="6">
        <f>IFERROR(__xludf.DUMMYFUNCTION("""COMPUTED_VALUE"""),242.53)</f>
        <v>242.53</v>
      </c>
      <c r="F31" s="6">
        <f>IFERROR(__xludf.DUMMYFUNCTION("""COMPUTED_VALUE"""),2.4593284E7)</f>
        <v>24593284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IFERROR(__xludf.DUMMYFUNCTION("""COMPUTED_VALUE"""),245.0)</f>
        <v>245</v>
      </c>
      <c r="C32" s="6">
        <f>IFERROR(__xludf.DUMMYFUNCTION("""COMPUTED_VALUE"""),245.8)</f>
        <v>245.8</v>
      </c>
      <c r="D32" s="6">
        <f>IFERROR(__xludf.DUMMYFUNCTION("""COMPUTED_VALUE"""),235.0)</f>
        <v>235</v>
      </c>
      <c r="E32" s="6">
        <f>IFERROR(__xludf.DUMMYFUNCTION("""COMPUTED_VALUE"""),235.38)</f>
        <v>235.38</v>
      </c>
      <c r="F32" s="6">
        <f>IFERROR(__xludf.DUMMYFUNCTION("""COMPUTED_VALUE"""),3.31918E7)</f>
        <v>33191800</v>
      </c>
    </row>
    <row r="33">
      <c r="A33" s="7">
        <f>IFERROR(__xludf.DUMMYFUNCTION("""COMPUTED_VALUE"""),45401.64583333333)</f>
        <v>45401.64583</v>
      </c>
      <c r="B33" s="6">
        <f>IFERROR(__xludf.DUMMYFUNCTION("""COMPUTED_VALUE"""),233.23)</f>
        <v>233.23</v>
      </c>
      <c r="C33" s="6">
        <f>IFERROR(__xludf.DUMMYFUNCTION("""COMPUTED_VALUE"""),234.18)</f>
        <v>234.18</v>
      </c>
      <c r="D33" s="6">
        <f>IFERROR(__xludf.DUMMYFUNCTION("""COMPUTED_VALUE"""),218.5)</f>
        <v>218.5</v>
      </c>
      <c r="E33" s="6">
        <f>IFERROR(__xludf.DUMMYFUNCTION("""COMPUTED_VALUE"""),226.38)</f>
        <v>226.38</v>
      </c>
      <c r="F33" s="6">
        <f>IFERROR(__xludf.DUMMYFUNCTION("""COMPUTED_VALUE"""),3.803613E7)</f>
        <v>38036130</v>
      </c>
    </row>
    <row r="34">
      <c r="A34" s="7">
        <f>IFERROR(__xludf.DUMMYFUNCTION("""COMPUTED_VALUE"""),45408.64583333333)</f>
        <v>45408.64583</v>
      </c>
      <c r="B34" s="6">
        <f>IFERROR(__xludf.DUMMYFUNCTION("""COMPUTED_VALUE"""),226.38)</f>
        <v>226.38</v>
      </c>
      <c r="C34" s="6">
        <f>IFERROR(__xludf.DUMMYFUNCTION("""COMPUTED_VALUE"""),237.9)</f>
        <v>237.9</v>
      </c>
      <c r="D34" s="6">
        <f>IFERROR(__xludf.DUMMYFUNCTION("""COMPUTED_VALUE"""),225.0)</f>
        <v>225</v>
      </c>
      <c r="E34" s="6">
        <f>IFERROR(__xludf.DUMMYFUNCTION("""COMPUTED_VALUE"""),232.3)</f>
        <v>232.3</v>
      </c>
      <c r="F34" s="6">
        <f>IFERROR(__xludf.DUMMYFUNCTION("""COMPUTED_VALUE"""),3.4201502E7)</f>
        <v>34201502</v>
      </c>
    </row>
    <row r="35">
      <c r="A35" s="7">
        <f>IFERROR(__xludf.DUMMYFUNCTION("""COMPUTED_VALUE"""),45415.64583333333)</f>
        <v>45415.64583</v>
      </c>
      <c r="B35" s="6">
        <f>IFERROR(__xludf.DUMMYFUNCTION("""COMPUTED_VALUE"""),233.83)</f>
        <v>233.83</v>
      </c>
      <c r="C35" s="6">
        <f>IFERROR(__xludf.DUMMYFUNCTION("""COMPUTED_VALUE"""),234.0)</f>
        <v>234</v>
      </c>
      <c r="D35" s="6">
        <f>IFERROR(__xludf.DUMMYFUNCTION("""COMPUTED_VALUE"""),226.6)</f>
        <v>226.6</v>
      </c>
      <c r="E35" s="6">
        <f>IFERROR(__xludf.DUMMYFUNCTION("""COMPUTED_VALUE"""),228.68)</f>
        <v>228.68</v>
      </c>
      <c r="F35" s="6">
        <f>IFERROR(__xludf.DUMMYFUNCTION("""COMPUTED_VALUE"""),2.0410399E7)</f>
        <v>20410399</v>
      </c>
    </row>
    <row r="36">
      <c r="A36" s="7">
        <f>IFERROR(__xludf.DUMMYFUNCTION("""COMPUTED_VALUE"""),45422.64583333333)</f>
        <v>45422.64583</v>
      </c>
      <c r="B36" s="6">
        <f>IFERROR(__xludf.DUMMYFUNCTION("""COMPUTED_VALUE"""),229.4)</f>
        <v>229.4</v>
      </c>
      <c r="C36" s="6">
        <f>IFERROR(__xludf.DUMMYFUNCTION("""COMPUTED_VALUE"""),233.2)</f>
        <v>233.2</v>
      </c>
      <c r="D36" s="6">
        <f>IFERROR(__xludf.DUMMYFUNCTION("""COMPUTED_VALUE"""),225.15)</f>
        <v>225.15</v>
      </c>
      <c r="E36" s="6">
        <f>IFERROR(__xludf.DUMMYFUNCTION("""COMPUTED_VALUE"""),225.93)</f>
        <v>225.93</v>
      </c>
      <c r="F36" s="6">
        <f>IFERROR(__xludf.DUMMYFUNCTION("""COMPUTED_VALUE"""),2.0145266E7)</f>
        <v>20145266</v>
      </c>
    </row>
    <row r="37">
      <c r="A37" s="7">
        <f>IFERROR(__xludf.DUMMYFUNCTION("""COMPUTED_VALUE"""),45436.64583333333)</f>
        <v>45436.64583</v>
      </c>
      <c r="B37" s="6">
        <f>IFERROR(__xludf.DUMMYFUNCTION("""COMPUTED_VALUE"""),231.5)</f>
        <v>231.5</v>
      </c>
      <c r="C37" s="6">
        <f>IFERROR(__xludf.DUMMYFUNCTION("""COMPUTED_VALUE"""),235.25)</f>
        <v>235.25</v>
      </c>
      <c r="D37" s="6">
        <f>IFERROR(__xludf.DUMMYFUNCTION("""COMPUTED_VALUE"""),229.43)</f>
        <v>229.43</v>
      </c>
      <c r="E37" s="6">
        <f>IFERROR(__xludf.DUMMYFUNCTION("""COMPUTED_VALUE"""),231.83)</f>
        <v>231.83</v>
      </c>
      <c r="F37" s="6">
        <f>IFERROR(__xludf.DUMMYFUNCTION("""COMPUTED_VALUE"""),1.8805095E7)</f>
        <v>18805095</v>
      </c>
    </row>
    <row r="38">
      <c r="A38" s="7">
        <f>IFERROR(__xludf.DUMMYFUNCTION("""COMPUTED_VALUE"""),45443.64583333333)</f>
        <v>45443.64583</v>
      </c>
      <c r="B38" s="6">
        <f>IFERROR(__xludf.DUMMYFUNCTION("""COMPUTED_VALUE"""),231.0)</f>
        <v>231</v>
      </c>
      <c r="C38" s="6">
        <f>IFERROR(__xludf.DUMMYFUNCTION("""COMPUTED_VALUE"""),231.08)</f>
        <v>231.08</v>
      </c>
      <c r="D38" s="6">
        <f>IFERROR(__xludf.DUMMYFUNCTION("""COMPUTED_VALUE"""),217.55)</f>
        <v>217.55</v>
      </c>
      <c r="E38" s="6">
        <f>IFERROR(__xludf.DUMMYFUNCTION("""COMPUTED_VALUE"""),219.1)</f>
        <v>219.1</v>
      </c>
      <c r="F38" s="6">
        <f>IFERROR(__xludf.DUMMYFUNCTION("""COMPUTED_VALUE"""),5.4340246E7)</f>
        <v>54340246</v>
      </c>
    </row>
    <row r="39">
      <c r="A39" s="7">
        <f>IFERROR(__xludf.DUMMYFUNCTION("""COMPUTED_VALUE"""),45450.64583333333)</f>
        <v>45450.64583</v>
      </c>
      <c r="B39" s="6">
        <f>IFERROR(__xludf.DUMMYFUNCTION("""COMPUTED_VALUE"""),225.1)</f>
        <v>225.1</v>
      </c>
      <c r="C39" s="6">
        <f>IFERROR(__xludf.DUMMYFUNCTION("""COMPUTED_VALUE"""),243.2)</f>
        <v>243.2</v>
      </c>
      <c r="D39" s="6">
        <f>IFERROR(__xludf.DUMMYFUNCTION("""COMPUTED_VALUE"""),208.5)</f>
        <v>208.5</v>
      </c>
      <c r="E39" s="6">
        <f>IFERROR(__xludf.DUMMYFUNCTION("""COMPUTED_VALUE"""),242.28)</f>
        <v>242.28</v>
      </c>
      <c r="F39" s="6">
        <f>IFERROR(__xludf.DUMMYFUNCTION("""COMPUTED_VALUE"""),6.3530296E7)</f>
        <v>63530296</v>
      </c>
    </row>
    <row r="40">
      <c r="A40" s="7">
        <f>IFERROR(__xludf.DUMMYFUNCTION("""COMPUTED_VALUE"""),45457.64583333333)</f>
        <v>45457.64583</v>
      </c>
      <c r="B40" s="6">
        <f>IFERROR(__xludf.DUMMYFUNCTION("""COMPUTED_VALUE"""),244.2)</f>
        <v>244.2</v>
      </c>
      <c r="C40" s="6">
        <f>IFERROR(__xludf.DUMMYFUNCTION("""COMPUTED_VALUE"""),244.2)</f>
        <v>244.2</v>
      </c>
      <c r="D40" s="6">
        <f>IFERROR(__xludf.DUMMYFUNCTION("""COMPUTED_VALUE"""),236.68)</f>
        <v>236.68</v>
      </c>
      <c r="E40" s="6">
        <f>IFERROR(__xludf.DUMMYFUNCTION("""COMPUTED_VALUE"""),238.75)</f>
        <v>238.75</v>
      </c>
      <c r="F40" s="6">
        <f>IFERROR(__xludf.DUMMYFUNCTION("""COMPUTED_VALUE"""),3.2938555E7)</f>
        <v>32938555</v>
      </c>
    </row>
    <row r="41">
      <c r="A41" s="7">
        <f>IFERROR(__xludf.DUMMYFUNCTION("""COMPUTED_VALUE"""),45464.64583333333)</f>
        <v>45464.64583</v>
      </c>
      <c r="B41" s="6">
        <f>IFERROR(__xludf.DUMMYFUNCTION("""COMPUTED_VALUE"""),240.5)</f>
        <v>240.5</v>
      </c>
      <c r="C41" s="6">
        <f>IFERROR(__xludf.DUMMYFUNCTION("""COMPUTED_VALUE"""),250.48)</f>
        <v>250.48</v>
      </c>
      <c r="D41" s="6">
        <f>IFERROR(__xludf.DUMMYFUNCTION("""COMPUTED_VALUE"""),240.03)</f>
        <v>240.03</v>
      </c>
      <c r="E41" s="6">
        <f>IFERROR(__xludf.DUMMYFUNCTION("""COMPUTED_VALUE"""),245.28)</f>
        <v>245.28</v>
      </c>
      <c r="F41" s="6">
        <f>IFERROR(__xludf.DUMMYFUNCTION("""COMPUTED_VALUE"""),8.0246785E7)</f>
        <v>80246785</v>
      </c>
    </row>
    <row r="42">
      <c r="A42" s="7">
        <f>IFERROR(__xludf.DUMMYFUNCTION("""COMPUTED_VALUE"""),45471.64583333333)</f>
        <v>45471.64583</v>
      </c>
      <c r="B42" s="6">
        <f>IFERROR(__xludf.DUMMYFUNCTION("""COMPUTED_VALUE"""),245.05)</f>
        <v>245.05</v>
      </c>
      <c r="C42" s="6">
        <f>IFERROR(__xludf.DUMMYFUNCTION("""COMPUTED_VALUE"""),258.15)</f>
        <v>258.15</v>
      </c>
      <c r="D42" s="6">
        <f>IFERROR(__xludf.DUMMYFUNCTION("""COMPUTED_VALUE"""),244.6)</f>
        <v>244.6</v>
      </c>
      <c r="E42" s="6">
        <f>IFERROR(__xludf.DUMMYFUNCTION("""COMPUTED_VALUE"""),257.43)</f>
        <v>257.43</v>
      </c>
      <c r="F42" s="6">
        <f>IFERROR(__xludf.DUMMYFUNCTION("""COMPUTED_VALUE"""),4.5273894E7)</f>
        <v>45273894</v>
      </c>
    </row>
    <row r="43">
      <c r="A43" s="7">
        <f>IFERROR(__xludf.DUMMYFUNCTION("""COMPUTED_VALUE"""),45478.64583333333)</f>
        <v>45478.64583</v>
      </c>
      <c r="B43" s="6">
        <f>IFERROR(__xludf.DUMMYFUNCTION("""COMPUTED_VALUE"""),258.95)</f>
        <v>258.95</v>
      </c>
      <c r="C43" s="6">
        <f>IFERROR(__xludf.DUMMYFUNCTION("""COMPUTED_VALUE"""),274.4)</f>
        <v>274.4</v>
      </c>
      <c r="D43" s="6">
        <f>IFERROR(__xludf.DUMMYFUNCTION("""COMPUTED_VALUE"""),257.05)</f>
        <v>257.05</v>
      </c>
      <c r="E43" s="6">
        <f>IFERROR(__xludf.DUMMYFUNCTION("""COMPUTED_VALUE"""),267.55)</f>
        <v>267.55</v>
      </c>
      <c r="F43" s="6">
        <f>IFERROR(__xludf.DUMMYFUNCTION("""COMPUTED_VALUE"""),5.6492301E7)</f>
        <v>56492301</v>
      </c>
    </row>
    <row r="44">
      <c r="A44" s="7">
        <f>IFERROR(__xludf.DUMMYFUNCTION("""COMPUTED_VALUE"""),45485.64583333333)</f>
        <v>45485.64583</v>
      </c>
      <c r="B44" s="6">
        <f>IFERROR(__xludf.DUMMYFUNCTION("""COMPUTED_VALUE"""),267.98)</f>
        <v>267.98</v>
      </c>
      <c r="C44" s="6">
        <f>IFERROR(__xludf.DUMMYFUNCTION("""COMPUTED_VALUE"""),282.4)</f>
        <v>282.4</v>
      </c>
      <c r="D44" s="6">
        <f>IFERROR(__xludf.DUMMYFUNCTION("""COMPUTED_VALUE"""),265.0)</f>
        <v>265</v>
      </c>
      <c r="E44" s="6">
        <f>IFERROR(__xludf.DUMMYFUNCTION("""COMPUTED_VALUE"""),280.08)</f>
        <v>280.08</v>
      </c>
      <c r="F44" s="6">
        <f>IFERROR(__xludf.DUMMYFUNCTION("""COMPUTED_VALUE"""),4.6542606E7)</f>
        <v>46542606</v>
      </c>
    </row>
    <row r="45">
      <c r="A45" s="7">
        <f>IFERROR(__xludf.DUMMYFUNCTION("""COMPUTED_VALUE"""),45492.64583333333)</f>
        <v>45492.64583</v>
      </c>
      <c r="B45" s="6">
        <f>IFERROR(__xludf.DUMMYFUNCTION("""COMPUTED_VALUE"""),283.45)</f>
        <v>283.45</v>
      </c>
      <c r="C45" s="6">
        <f>IFERROR(__xludf.DUMMYFUNCTION("""COMPUTED_VALUE"""),289.95)</f>
        <v>289.95</v>
      </c>
      <c r="D45" s="6">
        <f>IFERROR(__xludf.DUMMYFUNCTION("""COMPUTED_VALUE"""),277.35)</f>
        <v>277.35</v>
      </c>
      <c r="E45" s="6">
        <f>IFERROR(__xludf.DUMMYFUNCTION("""COMPUTED_VALUE"""),278.6)</f>
        <v>278.6</v>
      </c>
      <c r="F45" s="6">
        <f>IFERROR(__xludf.DUMMYFUNCTION("""COMPUTED_VALUE"""),3.9440893E7)</f>
        <v>39440893</v>
      </c>
    </row>
    <row r="46">
      <c r="A46" s="7">
        <f>IFERROR(__xludf.DUMMYFUNCTION("""COMPUTED_VALUE"""),45499.64583333333)</f>
        <v>45499.64583</v>
      </c>
      <c r="B46" s="6">
        <f>IFERROR(__xludf.DUMMYFUNCTION("""COMPUTED_VALUE"""),260.5)</f>
        <v>260.5</v>
      </c>
      <c r="C46" s="6">
        <f>IFERROR(__xludf.DUMMYFUNCTION("""COMPUTED_VALUE"""),264.27)</f>
        <v>264.27</v>
      </c>
      <c r="D46" s="6">
        <f>IFERROR(__xludf.DUMMYFUNCTION("""COMPUTED_VALUE"""),243.18)</f>
        <v>243.18</v>
      </c>
      <c r="E46" s="6">
        <f>IFERROR(__xludf.DUMMYFUNCTION("""COMPUTED_VALUE"""),262.4)</f>
        <v>262.4</v>
      </c>
      <c r="F46" s="6">
        <f>IFERROR(__xludf.DUMMYFUNCTION("""COMPUTED_VALUE"""),8.1072181E7)</f>
        <v>81072181</v>
      </c>
    </row>
    <row r="47">
      <c r="A47" s="7">
        <f>IFERROR(__xludf.DUMMYFUNCTION("""COMPUTED_VALUE"""),45506.64583333333)</f>
        <v>45506.64583</v>
      </c>
      <c r="B47" s="6">
        <f>IFERROR(__xludf.DUMMYFUNCTION("""COMPUTED_VALUE"""),264.0)</f>
        <v>264</v>
      </c>
      <c r="C47" s="6">
        <f>IFERROR(__xludf.DUMMYFUNCTION("""COMPUTED_VALUE"""),265.27)</f>
        <v>265.27</v>
      </c>
      <c r="D47" s="6">
        <f>IFERROR(__xludf.DUMMYFUNCTION("""COMPUTED_VALUE"""),250.5)</f>
        <v>250.5</v>
      </c>
      <c r="E47" s="6">
        <f>IFERROR(__xludf.DUMMYFUNCTION("""COMPUTED_VALUE"""),251.08)</f>
        <v>251.08</v>
      </c>
      <c r="F47" s="6">
        <f>IFERROR(__xludf.DUMMYFUNCTION("""COMPUTED_VALUE"""),2.8499284E7)</f>
        <v>28499284</v>
      </c>
    </row>
    <row r="48">
      <c r="A48" s="7">
        <f>IFERROR(__xludf.DUMMYFUNCTION("""COMPUTED_VALUE"""),45513.64583333333)</f>
        <v>45513.64583</v>
      </c>
      <c r="B48" s="6">
        <f>IFERROR(__xludf.DUMMYFUNCTION("""COMPUTED_VALUE"""),245.0)</f>
        <v>245</v>
      </c>
      <c r="C48" s="6">
        <f>IFERROR(__xludf.DUMMYFUNCTION("""COMPUTED_VALUE"""),250.05)</f>
        <v>250.05</v>
      </c>
      <c r="D48" s="6">
        <f>IFERROR(__xludf.DUMMYFUNCTION("""COMPUTED_VALUE"""),240.13)</f>
        <v>240.13</v>
      </c>
      <c r="E48" s="6">
        <f>IFERROR(__xludf.DUMMYFUNCTION("""COMPUTED_VALUE"""),245.65)</f>
        <v>245.65</v>
      </c>
      <c r="F48" s="6">
        <f>IFERROR(__xludf.DUMMYFUNCTION("""COMPUTED_VALUE"""),2.9758004E7)</f>
        <v>29758004</v>
      </c>
    </row>
    <row r="49">
      <c r="A49" s="7">
        <f>IFERROR(__xludf.DUMMYFUNCTION("""COMPUTED_VALUE"""),45520.64583333333)</f>
        <v>45520.64583</v>
      </c>
      <c r="B49" s="6">
        <f>IFERROR(__xludf.DUMMYFUNCTION("""COMPUTED_VALUE"""),245.78)</f>
        <v>245.78</v>
      </c>
      <c r="C49" s="6">
        <f>IFERROR(__xludf.DUMMYFUNCTION("""COMPUTED_VALUE"""),258.73)</f>
        <v>258.73</v>
      </c>
      <c r="D49" s="6">
        <f>IFERROR(__xludf.DUMMYFUNCTION("""COMPUTED_VALUE"""),243.58)</f>
        <v>243.58</v>
      </c>
      <c r="E49" s="6">
        <f>IFERROR(__xludf.DUMMYFUNCTION("""COMPUTED_VALUE"""),258.13)</f>
        <v>258.13</v>
      </c>
      <c r="F49" s="6">
        <f>IFERROR(__xludf.DUMMYFUNCTION("""COMPUTED_VALUE"""),2.5340391E7)</f>
        <v>25340391</v>
      </c>
    </row>
    <row r="50">
      <c r="A50" s="7">
        <f>IFERROR(__xludf.DUMMYFUNCTION("""COMPUTED_VALUE"""),45527.64583333333)</f>
        <v>45527.64583</v>
      </c>
      <c r="B50" s="6">
        <f>IFERROR(__xludf.DUMMYFUNCTION("""COMPUTED_VALUE"""),258.0)</f>
        <v>258</v>
      </c>
      <c r="C50" s="6">
        <f>IFERROR(__xludf.DUMMYFUNCTION("""COMPUTED_VALUE"""),265.27)</f>
        <v>265.27</v>
      </c>
      <c r="D50" s="6">
        <f>IFERROR(__xludf.DUMMYFUNCTION("""COMPUTED_VALUE"""),255.68)</f>
        <v>255.68</v>
      </c>
      <c r="E50" s="6">
        <f>IFERROR(__xludf.DUMMYFUNCTION("""COMPUTED_VALUE"""),256.2)</f>
        <v>256.2</v>
      </c>
      <c r="F50" s="6">
        <f>IFERROR(__xludf.DUMMYFUNCTION("""COMPUTED_VALUE"""),2.5119494E7)</f>
        <v>25119494</v>
      </c>
    </row>
    <row r="51">
      <c r="A51" s="7">
        <f>IFERROR(__xludf.DUMMYFUNCTION("""COMPUTED_VALUE"""),45534.64583333333)</f>
        <v>45534.64583</v>
      </c>
      <c r="B51" s="6">
        <f>IFERROR(__xludf.DUMMYFUNCTION("""COMPUTED_VALUE"""),258.0)</f>
        <v>258</v>
      </c>
      <c r="C51" s="6">
        <f>IFERROR(__xludf.DUMMYFUNCTION("""COMPUTED_VALUE"""),271.0)</f>
        <v>271</v>
      </c>
      <c r="D51" s="6">
        <f>IFERROR(__xludf.DUMMYFUNCTION("""COMPUTED_VALUE"""),257.98)</f>
        <v>257.98</v>
      </c>
      <c r="E51" s="6">
        <f>IFERROR(__xludf.DUMMYFUNCTION("""COMPUTED_VALUE"""),269.2)</f>
        <v>269.2</v>
      </c>
      <c r="F51" s="6">
        <f>IFERROR(__xludf.DUMMYFUNCTION("""COMPUTED_VALUE"""),5.2406432E7)</f>
        <v>52406432</v>
      </c>
    </row>
    <row r="52">
      <c r="A52" s="7">
        <f>IFERROR(__xludf.DUMMYFUNCTION("""COMPUTED_VALUE"""),45541.64583333333)</f>
        <v>45541.64583</v>
      </c>
      <c r="B52" s="6">
        <f>IFERROR(__xludf.DUMMYFUNCTION("""COMPUTED_VALUE"""),269.2)</f>
        <v>269.2</v>
      </c>
      <c r="C52" s="6">
        <f>IFERROR(__xludf.DUMMYFUNCTION("""COMPUTED_VALUE"""),271.0)</f>
        <v>271</v>
      </c>
      <c r="D52" s="6">
        <f>IFERROR(__xludf.DUMMYFUNCTION("""COMPUTED_VALUE"""),258.38)</f>
        <v>258.38</v>
      </c>
      <c r="E52" s="6">
        <f>IFERROR(__xludf.DUMMYFUNCTION("""COMPUTED_VALUE"""),260.3)</f>
        <v>260.3</v>
      </c>
      <c r="F52" s="6">
        <f>IFERROR(__xludf.DUMMYFUNCTION("""COMPUTED_VALUE"""),3.8921934E7)</f>
        <v>38921934</v>
      </c>
    </row>
    <row r="53">
      <c r="A53" s="7">
        <f>IFERROR(__xludf.DUMMYFUNCTION("""COMPUTED_VALUE"""),45548.64583333333)</f>
        <v>45548.64583</v>
      </c>
      <c r="B53" s="6">
        <f>IFERROR(__xludf.DUMMYFUNCTION("""COMPUTED_VALUE"""),258.55)</f>
        <v>258.55</v>
      </c>
      <c r="C53" s="6">
        <f>IFERROR(__xludf.DUMMYFUNCTION("""COMPUTED_VALUE"""),276.25)</f>
        <v>276.25</v>
      </c>
      <c r="D53" s="6">
        <f>IFERROR(__xludf.DUMMYFUNCTION("""COMPUTED_VALUE"""),256.63)</f>
        <v>256.63</v>
      </c>
      <c r="E53" s="6">
        <f>IFERROR(__xludf.DUMMYFUNCTION("""COMPUTED_VALUE"""),275.3)</f>
        <v>275.3</v>
      </c>
      <c r="F53" s="6">
        <f>IFERROR(__xludf.DUMMYFUNCTION("""COMPUTED_VALUE"""),4.1083758E7)</f>
        <v>41083758</v>
      </c>
    </row>
    <row r="54">
      <c r="A54" s="7">
        <f>IFERROR(__xludf.DUMMYFUNCTION("""COMPUTED_VALUE"""),45555.64583333333)</f>
        <v>45555.64583</v>
      </c>
      <c r="B54" s="6">
        <f>IFERROR(__xludf.DUMMYFUNCTION("""COMPUTED_VALUE"""),276.5)</f>
        <v>276.5</v>
      </c>
      <c r="C54" s="6">
        <f>IFERROR(__xludf.DUMMYFUNCTION("""COMPUTED_VALUE"""),278.43)</f>
        <v>278.43</v>
      </c>
      <c r="D54" s="6">
        <f>IFERROR(__xludf.DUMMYFUNCTION("""COMPUTED_VALUE"""),264.58)</f>
        <v>264.58</v>
      </c>
      <c r="E54" s="6">
        <f>IFERROR(__xludf.DUMMYFUNCTION("""COMPUTED_VALUE"""),269.55)</f>
        <v>269.55</v>
      </c>
      <c r="F54" s="6">
        <f>IFERROR(__xludf.DUMMYFUNCTION("""COMPUTED_VALUE"""),3.7057875E7)</f>
        <v>37057875</v>
      </c>
    </row>
    <row r="55">
      <c r="A55" s="7">
        <f>IFERROR(__xludf.DUMMYFUNCTION("""COMPUTED_VALUE"""),45562.64583333333)</f>
        <v>45562.64583</v>
      </c>
      <c r="B55" s="6">
        <f>IFERROR(__xludf.DUMMYFUNCTION("""COMPUTED_VALUE"""),269.55)</f>
        <v>269.55</v>
      </c>
      <c r="C55" s="6">
        <f>IFERROR(__xludf.DUMMYFUNCTION("""COMPUTED_VALUE"""),279.45)</f>
        <v>279.45</v>
      </c>
      <c r="D55" s="6">
        <f>IFERROR(__xludf.DUMMYFUNCTION("""COMPUTED_VALUE"""),264.68)</f>
        <v>264.68</v>
      </c>
      <c r="E55" s="6">
        <f>IFERROR(__xludf.DUMMYFUNCTION("""COMPUTED_VALUE"""),270.9)</f>
        <v>270.9</v>
      </c>
      <c r="F55" s="6">
        <f>IFERROR(__xludf.DUMMYFUNCTION("""COMPUTED_VALUE"""),3.3415482E7)</f>
        <v>33415482</v>
      </c>
    </row>
    <row r="56">
      <c r="A56" s="7">
        <f>IFERROR(__xludf.DUMMYFUNCTION("""COMPUTED_VALUE"""),45569.64583333333)</f>
        <v>45569.64583</v>
      </c>
      <c r="B56" s="6">
        <f>IFERROR(__xludf.DUMMYFUNCTION("""COMPUTED_VALUE"""),269.0)</f>
        <v>269</v>
      </c>
      <c r="C56" s="6">
        <f>IFERROR(__xludf.DUMMYFUNCTION("""COMPUTED_VALUE"""),274.8)</f>
        <v>274.8</v>
      </c>
      <c r="D56" s="6">
        <f>IFERROR(__xludf.DUMMYFUNCTION("""COMPUTED_VALUE"""),263.13)</f>
        <v>263.13</v>
      </c>
      <c r="E56" s="6">
        <f>IFERROR(__xludf.DUMMYFUNCTION("""COMPUTED_VALUE"""),266.77)</f>
        <v>266.77</v>
      </c>
      <c r="F56" s="6">
        <f>IFERROR(__xludf.DUMMYFUNCTION("""COMPUTED_VALUE"""),2.1784421E7)</f>
        <v>21784421</v>
      </c>
    </row>
    <row r="57">
      <c r="A57" s="7">
        <f>IFERROR(__xludf.DUMMYFUNCTION("""COMPUTED_VALUE"""),45576.64583333333)</f>
        <v>45576.64583</v>
      </c>
      <c r="B57" s="6">
        <f>IFERROR(__xludf.DUMMYFUNCTION("""COMPUTED_VALUE"""),269.0)</f>
        <v>269</v>
      </c>
      <c r="C57" s="6">
        <f>IFERROR(__xludf.DUMMYFUNCTION("""COMPUTED_VALUE"""),270.85)</f>
        <v>270.85</v>
      </c>
      <c r="D57" s="6">
        <f>IFERROR(__xludf.DUMMYFUNCTION("""COMPUTED_VALUE"""),260.15)</f>
        <v>260.15</v>
      </c>
      <c r="E57" s="6">
        <f>IFERROR(__xludf.DUMMYFUNCTION("""COMPUTED_VALUE"""),264.15)</f>
        <v>264.15</v>
      </c>
      <c r="F57" s="6">
        <f>IFERROR(__xludf.DUMMYFUNCTION("""COMPUTED_VALUE"""),2.5639896E7)</f>
        <v>25639896</v>
      </c>
    </row>
    <row r="58">
      <c r="A58" s="7">
        <f>IFERROR(__xludf.DUMMYFUNCTION("""COMPUTED_VALUE"""),45583.64583333333)</f>
        <v>45583.64583</v>
      </c>
      <c r="B58" s="6">
        <f>IFERROR(__xludf.DUMMYFUNCTION("""COMPUTED_VALUE"""),269.35)</f>
        <v>269.35</v>
      </c>
      <c r="C58" s="6">
        <f>IFERROR(__xludf.DUMMYFUNCTION("""COMPUTED_VALUE"""),279.2)</f>
        <v>279.2</v>
      </c>
      <c r="D58" s="6">
        <f>IFERROR(__xludf.DUMMYFUNCTION("""COMPUTED_VALUE"""),262.4)</f>
        <v>262.4</v>
      </c>
      <c r="E58" s="6">
        <f>IFERROR(__xludf.DUMMYFUNCTION("""COMPUTED_VALUE"""),274.33)</f>
        <v>274.33</v>
      </c>
      <c r="F58" s="6">
        <f>IFERROR(__xludf.DUMMYFUNCTION("""COMPUTED_VALUE"""),8.2849736E7)</f>
        <v>82849736</v>
      </c>
    </row>
    <row r="59">
      <c r="A59" s="7">
        <f>IFERROR(__xludf.DUMMYFUNCTION("""COMPUTED_VALUE"""),45590.64583333333)</f>
        <v>45590.64583</v>
      </c>
      <c r="B59" s="6">
        <f>IFERROR(__xludf.DUMMYFUNCTION("""COMPUTED_VALUE"""),275.8)</f>
        <v>275.8</v>
      </c>
      <c r="C59" s="6">
        <f>IFERROR(__xludf.DUMMYFUNCTION("""COMPUTED_VALUE"""),280.95)</f>
        <v>280.95</v>
      </c>
      <c r="D59" s="6">
        <f>IFERROR(__xludf.DUMMYFUNCTION("""COMPUTED_VALUE"""),270.25)</f>
        <v>270.25</v>
      </c>
      <c r="E59" s="6">
        <f>IFERROR(__xludf.DUMMYFUNCTION("""COMPUTED_VALUE"""),271.73)</f>
        <v>271.73</v>
      </c>
      <c r="F59" s="6">
        <f>IFERROR(__xludf.DUMMYFUNCTION("""COMPUTED_VALUE"""),3.7422492E7)</f>
        <v>37422492</v>
      </c>
    </row>
    <row r="60">
      <c r="A60" s="7">
        <f>IFERROR(__xludf.DUMMYFUNCTION("""COMPUTED_VALUE"""),45604.64583333333)</f>
        <v>45604.64583</v>
      </c>
      <c r="B60" s="6">
        <f>IFERROR(__xludf.DUMMYFUNCTION("""COMPUTED_VALUE"""),275.5)</f>
        <v>275.5</v>
      </c>
      <c r="C60" s="6">
        <f>IFERROR(__xludf.DUMMYFUNCTION("""COMPUTED_VALUE"""),289.4)</f>
        <v>289.4</v>
      </c>
      <c r="D60" s="6">
        <f>IFERROR(__xludf.DUMMYFUNCTION("""COMPUTED_VALUE"""),267.1)</f>
        <v>267.1</v>
      </c>
      <c r="E60" s="6">
        <f>IFERROR(__xludf.DUMMYFUNCTION("""COMPUTED_VALUE"""),284.5)</f>
        <v>284.5</v>
      </c>
      <c r="F60" s="6">
        <f>IFERROR(__xludf.DUMMYFUNCTION("""COMPUTED_VALUE"""),3.4561252E7)</f>
        <v>34561252</v>
      </c>
    </row>
    <row r="61">
      <c r="A61" s="7">
        <f>IFERROR(__xludf.DUMMYFUNCTION("""COMPUTED_VALUE"""),45610.64583333333)</f>
        <v>45610.64583</v>
      </c>
      <c r="B61" s="6">
        <f>IFERROR(__xludf.DUMMYFUNCTION("""COMPUTED_VALUE"""),284.5)</f>
        <v>284.5</v>
      </c>
      <c r="C61" s="6">
        <f>IFERROR(__xludf.DUMMYFUNCTION("""COMPUTED_VALUE"""),291.6)</f>
        <v>291.6</v>
      </c>
      <c r="D61" s="6">
        <f>IFERROR(__xludf.DUMMYFUNCTION("""COMPUTED_VALUE"""),282.1)</f>
        <v>282.1</v>
      </c>
      <c r="E61" s="6">
        <f>IFERROR(__xludf.DUMMYFUNCTION("""COMPUTED_VALUE"""),283.35)</f>
        <v>283.35</v>
      </c>
      <c r="F61" s="6">
        <f>IFERROR(__xludf.DUMMYFUNCTION("""COMPUTED_VALUE"""),2.4287527E7)</f>
        <v>24287527</v>
      </c>
    </row>
    <row r="62">
      <c r="A62" s="7">
        <f>IFERROR(__xludf.DUMMYFUNCTION("""COMPUTED_VALUE"""),45618.64583333333)</f>
        <v>45618.64583</v>
      </c>
      <c r="B62" s="6">
        <f>IFERROR(__xludf.DUMMYFUNCTION("""COMPUTED_VALUE"""),283.35)</f>
        <v>283.35</v>
      </c>
      <c r="C62" s="6">
        <f>IFERROR(__xludf.DUMMYFUNCTION("""COMPUTED_VALUE"""),286.8)</f>
        <v>286.8</v>
      </c>
      <c r="D62" s="6">
        <f>IFERROR(__xludf.DUMMYFUNCTION("""COMPUTED_VALUE"""),270.15)</f>
        <v>270.15</v>
      </c>
      <c r="E62" s="6">
        <f>IFERROR(__xludf.DUMMYFUNCTION("""COMPUTED_VALUE"""),285.83)</f>
        <v>285.83</v>
      </c>
      <c r="F62" s="6">
        <f>IFERROR(__xludf.DUMMYFUNCTION("""COMPUTED_VALUE"""),2.7307691E7)</f>
        <v>27307691</v>
      </c>
    </row>
    <row r="63">
      <c r="A63" s="7">
        <f>IFERROR(__xludf.DUMMYFUNCTION("""COMPUTED_VALUE"""),45625.64583333333)</f>
        <v>45625.64583</v>
      </c>
      <c r="B63" s="6">
        <f>IFERROR(__xludf.DUMMYFUNCTION("""COMPUTED_VALUE"""),287.75)</f>
        <v>287.75</v>
      </c>
      <c r="C63" s="6">
        <f>IFERROR(__xludf.DUMMYFUNCTION("""COMPUTED_VALUE"""),298.0)</f>
        <v>298</v>
      </c>
      <c r="D63" s="6">
        <f>IFERROR(__xludf.DUMMYFUNCTION("""COMPUTED_VALUE"""),285.27)</f>
        <v>285.27</v>
      </c>
      <c r="E63" s="6">
        <f>IFERROR(__xludf.DUMMYFUNCTION("""COMPUTED_VALUE"""),288.93)</f>
        <v>288.93</v>
      </c>
      <c r="F63" s="6">
        <f>IFERROR(__xludf.DUMMYFUNCTION("""COMPUTED_VALUE"""),3.6582579E7)</f>
        <v>36582579</v>
      </c>
    </row>
    <row r="64">
      <c r="A64" s="7">
        <f>IFERROR(__xludf.DUMMYFUNCTION("""COMPUTED_VALUE"""),45632.64583333333)</f>
        <v>45632.64583</v>
      </c>
      <c r="B64" s="6">
        <f>IFERROR(__xludf.DUMMYFUNCTION("""COMPUTED_VALUE"""),291.23)</f>
        <v>291.23</v>
      </c>
      <c r="C64" s="6">
        <f>IFERROR(__xludf.DUMMYFUNCTION("""COMPUTED_VALUE"""),300.9)</f>
        <v>300.9</v>
      </c>
      <c r="D64" s="6">
        <f>IFERROR(__xludf.DUMMYFUNCTION("""COMPUTED_VALUE"""),289.1)</f>
        <v>289.1</v>
      </c>
      <c r="E64" s="6">
        <f>IFERROR(__xludf.DUMMYFUNCTION("""COMPUTED_VALUE"""),297.35)</f>
        <v>297.35</v>
      </c>
      <c r="F64" s="6">
        <f>IFERROR(__xludf.DUMMYFUNCTION("""COMPUTED_VALUE"""),5.6460331E7)</f>
        <v>56460331</v>
      </c>
    </row>
    <row r="65">
      <c r="A65" s="7">
        <f>IFERROR(__xludf.DUMMYFUNCTION("""COMPUTED_VALUE"""),45639.64583333333)</f>
        <v>45639.64583</v>
      </c>
      <c r="B65" s="6">
        <f>IFERROR(__xludf.DUMMYFUNCTION("""COMPUTED_VALUE"""),295.0)</f>
        <v>295</v>
      </c>
      <c r="C65" s="6">
        <f>IFERROR(__xludf.DUMMYFUNCTION("""COMPUTED_VALUE"""),313.8)</f>
        <v>313.8</v>
      </c>
      <c r="D65" s="6">
        <f>IFERROR(__xludf.DUMMYFUNCTION("""COMPUTED_VALUE"""),293.75)</f>
        <v>293.75</v>
      </c>
      <c r="E65" s="6">
        <f>IFERROR(__xludf.DUMMYFUNCTION("""COMPUTED_VALUE"""),309.95)</f>
        <v>309.95</v>
      </c>
      <c r="F65" s="6">
        <f>IFERROR(__xludf.DUMMYFUNCTION("""COMPUTED_VALUE"""),5.5262772E7)</f>
        <v>55262772</v>
      </c>
    </row>
    <row r="66">
      <c r="A66" s="7">
        <f>IFERROR(__xludf.DUMMYFUNCTION("""COMPUTED_VALUE"""),45646.64583333333)</f>
        <v>45646.64583</v>
      </c>
      <c r="B66" s="6">
        <f>IFERROR(__xludf.DUMMYFUNCTION("""COMPUTED_VALUE"""),310.0)</f>
        <v>310</v>
      </c>
      <c r="C66" s="6">
        <f>IFERROR(__xludf.DUMMYFUNCTION("""COMPUTED_VALUE"""),320.0)</f>
        <v>320</v>
      </c>
      <c r="D66" s="6">
        <f>IFERROR(__xludf.DUMMYFUNCTION("""COMPUTED_VALUE"""),301.15)</f>
        <v>301.15</v>
      </c>
      <c r="E66" s="6">
        <f>IFERROR(__xludf.DUMMYFUNCTION("""COMPUTED_VALUE"""),305.2)</f>
        <v>305.2</v>
      </c>
      <c r="F66" s="6">
        <f>IFERROR(__xludf.DUMMYFUNCTION("""COMPUTED_VALUE"""),6.3375351E7)</f>
        <v>63375351</v>
      </c>
    </row>
    <row r="67">
      <c r="A67" s="7">
        <f>IFERROR(__xludf.DUMMYFUNCTION("""COMPUTED_VALUE"""),45653.64583333333)</f>
        <v>45653.64583</v>
      </c>
      <c r="B67" s="6">
        <f>IFERROR(__xludf.DUMMYFUNCTION("""COMPUTED_VALUE"""),306.6)</f>
        <v>306.6</v>
      </c>
      <c r="C67" s="6">
        <f>IFERROR(__xludf.DUMMYFUNCTION("""COMPUTED_VALUE"""),310.9)</f>
        <v>310.9</v>
      </c>
      <c r="D67" s="6">
        <f>IFERROR(__xludf.DUMMYFUNCTION("""COMPUTED_VALUE"""),302.8)</f>
        <v>302.8</v>
      </c>
      <c r="E67" s="6">
        <f>IFERROR(__xludf.DUMMYFUNCTION("""COMPUTED_VALUE"""),309.1)</f>
        <v>309.1</v>
      </c>
      <c r="F67" s="6">
        <f>IFERROR(__xludf.DUMMYFUNCTION("""COMPUTED_VALUE"""),3.0111554E7)</f>
        <v>30111554</v>
      </c>
    </row>
    <row r="68">
      <c r="A68" s="7">
        <f>IFERROR(__xludf.DUMMYFUNCTION("""COMPUTED_VALUE"""),45660.64583333333)</f>
        <v>45660.64583</v>
      </c>
      <c r="B68" s="6">
        <f>IFERROR(__xludf.DUMMYFUNCTION("""COMPUTED_VALUE"""),309.1)</f>
        <v>309.1</v>
      </c>
      <c r="C68" s="6">
        <f>IFERROR(__xludf.DUMMYFUNCTION("""COMPUTED_VALUE"""),309.4)</f>
        <v>309.4</v>
      </c>
      <c r="D68" s="6">
        <f>IFERROR(__xludf.DUMMYFUNCTION("""COMPUTED_VALUE"""),294.0)</f>
        <v>294</v>
      </c>
      <c r="E68" s="6">
        <f>IFERROR(__xludf.DUMMYFUNCTION("""COMPUTED_VALUE"""),294.45)</f>
        <v>294.45</v>
      </c>
      <c r="F68" s="6">
        <f>IFERROR(__xludf.DUMMYFUNCTION("""COMPUTED_VALUE"""),5.2261277E7)</f>
        <v>52261277</v>
      </c>
    </row>
    <row r="69">
      <c r="A69" s="7">
        <f>IFERROR(__xludf.DUMMYFUNCTION("""COMPUTED_VALUE"""),45667.64583333333)</f>
        <v>45667.64583</v>
      </c>
      <c r="B69" s="6">
        <f>IFERROR(__xludf.DUMMYFUNCTION("""COMPUTED_VALUE"""),295.0)</f>
        <v>295</v>
      </c>
      <c r="C69" s="6">
        <f>IFERROR(__xludf.DUMMYFUNCTION("""COMPUTED_VALUE"""),303.25)</f>
        <v>303.25</v>
      </c>
      <c r="D69" s="6">
        <f>IFERROR(__xludf.DUMMYFUNCTION("""COMPUTED_VALUE"""),289.3)</f>
        <v>289.3</v>
      </c>
      <c r="E69" s="6">
        <f>IFERROR(__xludf.DUMMYFUNCTION("""COMPUTED_VALUE"""),300.55)</f>
        <v>300.55</v>
      </c>
      <c r="F69" s="6">
        <f>IFERROR(__xludf.DUMMYFUNCTION("""COMPUTED_VALUE"""),5.1963673E7)</f>
        <v>51963673</v>
      </c>
    </row>
    <row r="70">
      <c r="A70" s="7">
        <f>IFERROR(__xludf.DUMMYFUNCTION("""COMPUTED_VALUE"""),45674.64583333333)</f>
        <v>45674.64583</v>
      </c>
      <c r="B70" s="6">
        <f>IFERROR(__xludf.DUMMYFUNCTION("""COMPUTED_VALUE"""),298.95)</f>
        <v>298.95</v>
      </c>
      <c r="C70" s="6">
        <f>IFERROR(__xludf.DUMMYFUNCTION("""COMPUTED_VALUE"""),299.25)</f>
        <v>299.25</v>
      </c>
      <c r="D70" s="6">
        <f>IFERROR(__xludf.DUMMYFUNCTION("""COMPUTED_VALUE"""),280.5)</f>
        <v>280.5</v>
      </c>
      <c r="E70" s="6">
        <f>IFERROR(__xludf.DUMMYFUNCTION("""COMPUTED_VALUE"""),281.95)</f>
        <v>281.95</v>
      </c>
      <c r="F70" s="6">
        <f>IFERROR(__xludf.DUMMYFUNCTION("""COMPUTED_VALUE"""),4.1578633E7)</f>
        <v>41578633</v>
      </c>
    </row>
    <row r="71">
      <c r="A71" s="7">
        <f>IFERROR(__xludf.DUMMYFUNCTION("""COMPUTED_VALUE"""),45681.64583333333)</f>
        <v>45681.64583</v>
      </c>
      <c r="B71" s="6">
        <f>IFERROR(__xludf.DUMMYFUNCTION("""COMPUTED_VALUE"""),302.0)</f>
        <v>302</v>
      </c>
      <c r="C71" s="6">
        <f>IFERROR(__xludf.DUMMYFUNCTION("""COMPUTED_VALUE"""),324.6)</f>
        <v>324.6</v>
      </c>
      <c r="D71" s="6">
        <f>IFERROR(__xludf.DUMMYFUNCTION("""COMPUTED_VALUE"""),296.95)</f>
        <v>296.95</v>
      </c>
      <c r="E71" s="6">
        <f>IFERROR(__xludf.DUMMYFUNCTION("""COMPUTED_VALUE"""),320.1)</f>
        <v>320.1</v>
      </c>
      <c r="F71" s="6">
        <f>IFERROR(__xludf.DUMMYFUNCTION("""COMPUTED_VALUE"""),1.43242913E8)</f>
        <v>143242913</v>
      </c>
    </row>
    <row r="72">
      <c r="A72" s="7">
        <f>IFERROR(__xludf.DUMMYFUNCTION("""COMPUTED_VALUE"""),45695.64583333333)</f>
        <v>45695.64583</v>
      </c>
      <c r="B72" s="6">
        <f>IFERROR(__xludf.DUMMYFUNCTION("""COMPUTED_VALUE"""),303.0)</f>
        <v>303</v>
      </c>
      <c r="C72" s="6">
        <f>IFERROR(__xludf.DUMMYFUNCTION("""COMPUTED_VALUE"""),323.6)</f>
        <v>323.6</v>
      </c>
      <c r="D72" s="6">
        <f>IFERROR(__xludf.DUMMYFUNCTION("""COMPUTED_VALUE"""),300.3)</f>
        <v>300.3</v>
      </c>
      <c r="E72" s="6">
        <f>IFERROR(__xludf.DUMMYFUNCTION("""COMPUTED_VALUE"""),318.0)</f>
        <v>318</v>
      </c>
      <c r="F72" s="6">
        <f>IFERROR(__xludf.DUMMYFUNCTION("""COMPUTED_VALUE"""),6.3523944E7)</f>
        <v>63523944</v>
      </c>
    </row>
    <row r="73">
      <c r="A73" s="7">
        <f>IFERROR(__xludf.DUMMYFUNCTION("""COMPUTED_VALUE"""),45702.64583333333)</f>
        <v>45702.64583</v>
      </c>
      <c r="B73" s="6">
        <f>IFERROR(__xludf.DUMMYFUNCTION("""COMPUTED_VALUE"""),318.8)</f>
        <v>318.8</v>
      </c>
      <c r="C73" s="6">
        <f>IFERROR(__xludf.DUMMYFUNCTION("""COMPUTED_VALUE"""),321.0)</f>
        <v>321</v>
      </c>
      <c r="D73" s="6">
        <f>IFERROR(__xludf.DUMMYFUNCTION("""COMPUTED_VALUE"""),304.55)</f>
        <v>304.55</v>
      </c>
      <c r="E73" s="6">
        <f>IFERROR(__xludf.DUMMYFUNCTION("""COMPUTED_VALUE"""),308.1)</f>
        <v>308.1</v>
      </c>
      <c r="F73" s="6">
        <f>IFERROR(__xludf.DUMMYFUNCTION("""COMPUTED_VALUE"""),4.8805144E7)</f>
        <v>48805144</v>
      </c>
    </row>
    <row r="74">
      <c r="A74" s="7">
        <f>IFERROR(__xludf.DUMMYFUNCTION("""COMPUTED_VALUE"""),45709.64583333333)</f>
        <v>45709.64583</v>
      </c>
      <c r="B74" s="6">
        <f>IFERROR(__xludf.DUMMYFUNCTION("""COMPUTED_VALUE"""),308.1)</f>
        <v>308.1</v>
      </c>
      <c r="C74" s="6">
        <f>IFERROR(__xludf.DUMMYFUNCTION("""COMPUTED_VALUE"""),316.5)</f>
        <v>316.5</v>
      </c>
      <c r="D74" s="6">
        <f>IFERROR(__xludf.DUMMYFUNCTION("""COMPUTED_VALUE"""),302.0)</f>
        <v>302</v>
      </c>
      <c r="E74" s="6">
        <f>IFERROR(__xludf.DUMMYFUNCTION("""COMPUTED_VALUE"""),306.35)</f>
        <v>306.35</v>
      </c>
      <c r="F74" s="6">
        <f>IFERROR(__xludf.DUMMYFUNCTION("""COMPUTED_VALUE"""),4.2132292E7)</f>
        <v>42132292</v>
      </c>
    </row>
    <row r="75">
      <c r="A75" s="7">
        <f>IFERROR(__xludf.DUMMYFUNCTION("""COMPUTED_VALUE"""),45716.64583333333)</f>
        <v>45716.64583</v>
      </c>
      <c r="B75" s="6">
        <f>IFERROR(__xludf.DUMMYFUNCTION("""COMPUTED_VALUE"""),302.95)</f>
        <v>302.95</v>
      </c>
      <c r="C75" s="6">
        <f>IFERROR(__xludf.DUMMYFUNCTION("""COMPUTED_VALUE"""),303.3)</f>
        <v>303.3</v>
      </c>
      <c r="D75" s="6">
        <f>IFERROR(__xludf.DUMMYFUNCTION("""COMPUTED_VALUE"""),277.0)</f>
        <v>277</v>
      </c>
      <c r="E75" s="6">
        <f>IFERROR(__xludf.DUMMYFUNCTION("""COMPUTED_VALUE"""),277.65)</f>
        <v>277.65</v>
      </c>
      <c r="F75" s="6">
        <f>IFERROR(__xludf.DUMMYFUNCTION("""COMPUTED_VALUE"""),5.6425491E7)</f>
        <v>56425491</v>
      </c>
    </row>
    <row r="76">
      <c r="A76" s="7">
        <f>IFERROR(__xludf.DUMMYFUNCTION("""COMPUTED_VALUE"""),45723.64583333333)</f>
        <v>45723.64583</v>
      </c>
      <c r="B76" s="6">
        <f>IFERROR(__xludf.DUMMYFUNCTION("""COMPUTED_VALUE"""),279.45)</f>
        <v>279.45</v>
      </c>
      <c r="C76" s="6">
        <f>IFERROR(__xludf.DUMMYFUNCTION("""COMPUTED_VALUE"""),292.0)</f>
        <v>292</v>
      </c>
      <c r="D76" s="6">
        <f>IFERROR(__xludf.DUMMYFUNCTION("""COMPUTED_VALUE"""),276.3)</f>
        <v>276.3</v>
      </c>
      <c r="E76" s="6">
        <f>IFERROR(__xludf.DUMMYFUNCTION("""COMPUTED_VALUE"""),284.8)</f>
        <v>284.8</v>
      </c>
      <c r="F76" s="6">
        <f>IFERROR(__xludf.DUMMYFUNCTION("""COMPUTED_VALUE"""),4.8968402E7)</f>
        <v>48968402</v>
      </c>
    </row>
    <row r="77">
      <c r="A77" s="7">
        <f>IFERROR(__xludf.DUMMYFUNCTION("""COMPUTED_VALUE"""),45729.64583333333)</f>
        <v>45729.64583</v>
      </c>
      <c r="B77" s="6">
        <f>IFERROR(__xludf.DUMMYFUNCTION("""COMPUTED_VALUE"""),284.45)</f>
        <v>284.45</v>
      </c>
      <c r="C77" s="6">
        <f>IFERROR(__xludf.DUMMYFUNCTION("""COMPUTED_VALUE"""),285.65)</f>
        <v>285.65</v>
      </c>
      <c r="D77" s="6">
        <f>IFERROR(__xludf.DUMMYFUNCTION("""COMPUTED_VALUE"""),262.2)</f>
        <v>262.2</v>
      </c>
      <c r="E77" s="6">
        <f>IFERROR(__xludf.DUMMYFUNCTION("""COMPUTED_VALUE"""),264.0)</f>
        <v>264</v>
      </c>
      <c r="F77" s="6">
        <f>IFERROR(__xludf.DUMMYFUNCTION("""COMPUTED_VALUE"""),4.4035986E7)</f>
        <v>44035986</v>
      </c>
    </row>
    <row r="78">
      <c r="A78" s="7">
        <f>IFERROR(__xludf.DUMMYFUNCTION("""COMPUTED_VALUE"""),45737.64583333333)</f>
        <v>45737.64583</v>
      </c>
      <c r="B78" s="6">
        <f>IFERROR(__xludf.DUMMYFUNCTION("""COMPUTED_VALUE"""),264.0)</f>
        <v>264</v>
      </c>
      <c r="C78" s="6">
        <f>IFERROR(__xludf.DUMMYFUNCTION("""COMPUTED_VALUE"""),273.95)</f>
        <v>273.95</v>
      </c>
      <c r="D78" s="6">
        <f>IFERROR(__xludf.DUMMYFUNCTION("""COMPUTED_VALUE"""),256.25)</f>
        <v>256.25</v>
      </c>
      <c r="E78" s="6">
        <f>IFERROR(__xludf.DUMMYFUNCTION("""COMPUTED_VALUE"""),264.3)</f>
        <v>264.3</v>
      </c>
      <c r="F78" s="6">
        <f>IFERROR(__xludf.DUMMYFUNCTION("""COMPUTED_VALUE"""),7.7890419E7)</f>
        <v>77890419</v>
      </c>
    </row>
    <row r="79">
      <c r="A79" s="7">
        <f>IFERROR(__xludf.DUMMYFUNCTION("""COMPUTED_VALUE"""),45744.64583333333)</f>
        <v>45744.64583</v>
      </c>
      <c r="B79" s="6">
        <f>IFERROR(__xludf.DUMMYFUNCTION("""COMPUTED_VALUE"""),267.05)</f>
        <v>267.05</v>
      </c>
      <c r="C79" s="6">
        <f>IFERROR(__xludf.DUMMYFUNCTION("""COMPUTED_VALUE"""),274.7)</f>
        <v>274.7</v>
      </c>
      <c r="D79" s="6">
        <f>IFERROR(__xludf.DUMMYFUNCTION("""COMPUTED_VALUE"""),261.6)</f>
        <v>261.6</v>
      </c>
      <c r="E79" s="6">
        <f>IFERROR(__xludf.DUMMYFUNCTION("""COMPUTED_VALUE"""),262.25)</f>
        <v>262.25</v>
      </c>
      <c r="F79" s="6">
        <f>IFERROR(__xludf.DUMMYFUNCTION("""COMPUTED_VALUE"""),5.820887E7)</f>
        <v>58208870</v>
      </c>
    </row>
    <row r="80">
      <c r="A80" s="7">
        <f>IFERROR(__xludf.DUMMYFUNCTION("""COMPUTED_VALUE"""),45751.64583333333)</f>
        <v>45751.64583</v>
      </c>
      <c r="B80" s="6">
        <f>IFERROR(__xludf.DUMMYFUNCTION("""COMPUTED_VALUE"""),260.35)</f>
        <v>260.35</v>
      </c>
      <c r="C80" s="6">
        <f>IFERROR(__xludf.DUMMYFUNCTION("""COMPUTED_VALUE"""),265.55)</f>
        <v>265.55</v>
      </c>
      <c r="D80" s="6">
        <f>IFERROR(__xludf.DUMMYFUNCTION("""COMPUTED_VALUE"""),244.85)</f>
        <v>244.85</v>
      </c>
      <c r="E80" s="6">
        <f>IFERROR(__xludf.DUMMYFUNCTION("""COMPUTED_VALUE"""),246.3)</f>
        <v>246.3</v>
      </c>
      <c r="F80" s="6">
        <f>IFERROR(__xludf.DUMMYFUNCTION("""COMPUTED_VALUE"""),4.2427973E7)</f>
        <v>42427973</v>
      </c>
    </row>
    <row r="81">
      <c r="A81" s="7">
        <f>IFERROR(__xludf.DUMMYFUNCTION("""COMPUTED_VALUE"""),45758.64583333333)</f>
        <v>45758.64583</v>
      </c>
      <c r="B81" s="6">
        <f>IFERROR(__xludf.DUMMYFUNCTION("""COMPUTED_VALUE"""),231.05)</f>
        <v>231.05</v>
      </c>
      <c r="C81" s="6">
        <f>IFERROR(__xludf.DUMMYFUNCTION("""COMPUTED_VALUE"""),249.5)</f>
        <v>249.5</v>
      </c>
      <c r="D81" s="6">
        <f>IFERROR(__xludf.DUMMYFUNCTION("""COMPUTED_VALUE"""),228.0)</f>
        <v>228</v>
      </c>
      <c r="E81" s="6">
        <f>IFERROR(__xludf.DUMMYFUNCTION("""COMPUTED_VALUE"""),239.75)</f>
        <v>239.75</v>
      </c>
      <c r="F81" s="6">
        <f>IFERROR(__xludf.DUMMYFUNCTION("""COMPUTED_VALUE"""),5.7087935E7)</f>
        <v>57087935</v>
      </c>
    </row>
    <row r="82">
      <c r="A82" s="7">
        <f>IFERROR(__xludf.DUMMYFUNCTION("""COMPUTED_VALUE"""),45764.64583333333)</f>
        <v>45764.64583</v>
      </c>
      <c r="B82" s="6">
        <f>IFERROR(__xludf.DUMMYFUNCTION("""COMPUTED_VALUE"""),245.05)</f>
        <v>245.05</v>
      </c>
      <c r="C82" s="6">
        <f>IFERROR(__xludf.DUMMYFUNCTION("""COMPUTED_VALUE"""),248.45)</f>
        <v>248.45</v>
      </c>
      <c r="D82" s="6">
        <f>IFERROR(__xludf.DUMMYFUNCTION("""COMPUTED_VALUE"""),232.15)</f>
        <v>232.15</v>
      </c>
      <c r="E82" s="6">
        <f>IFERROR(__xludf.DUMMYFUNCTION("""COMPUTED_VALUE"""),236.9)</f>
        <v>236.9</v>
      </c>
      <c r="F82" s="6">
        <f>IFERROR(__xludf.DUMMYFUNCTION("""COMPUTED_VALUE"""),8.1773361E7)</f>
        <v>81773361</v>
      </c>
    </row>
    <row r="83">
      <c r="A83" s="7">
        <f>IFERROR(__xludf.DUMMYFUNCTION("""COMPUTED_VALUE"""),45772.64583333333)</f>
        <v>45772.64583</v>
      </c>
      <c r="B83" s="6">
        <f>IFERROR(__xludf.DUMMYFUNCTION("""COMPUTED_VALUE"""),237.4)</f>
        <v>237.4</v>
      </c>
      <c r="C83" s="6">
        <f>IFERROR(__xludf.DUMMYFUNCTION("""COMPUTED_VALUE"""),246.15)</f>
        <v>246.15</v>
      </c>
      <c r="D83" s="6">
        <f>IFERROR(__xludf.DUMMYFUNCTION("""COMPUTED_VALUE"""),233.5)</f>
        <v>233.5</v>
      </c>
      <c r="E83" s="6">
        <f>IFERROR(__xludf.DUMMYFUNCTION("""COMPUTED_VALUE"""),240.9)</f>
        <v>240.9</v>
      </c>
      <c r="F83" s="6">
        <f>IFERROR(__xludf.DUMMYFUNCTION("""COMPUTED_VALUE"""),1.06185369E8)</f>
        <v>106185369</v>
      </c>
    </row>
    <row r="84">
      <c r="A84" s="7">
        <f>IFERROR(__xludf.DUMMYFUNCTION("""COMPUTED_VALUE"""),45779.64583333333)</f>
        <v>45779.64583</v>
      </c>
      <c r="B84" s="6">
        <f>IFERROR(__xludf.DUMMYFUNCTION("""COMPUTED_VALUE"""),240.5)</f>
        <v>240.5</v>
      </c>
      <c r="C84" s="6">
        <f>IFERROR(__xludf.DUMMYFUNCTION("""COMPUTED_VALUE"""),245.8)</f>
        <v>245.8</v>
      </c>
      <c r="D84" s="6">
        <f>IFERROR(__xludf.DUMMYFUNCTION("""COMPUTED_VALUE"""),238.75)</f>
        <v>238.75</v>
      </c>
      <c r="E84" s="6">
        <f>IFERROR(__xludf.DUMMYFUNCTION("""COMPUTED_VALUE"""),242.87)</f>
        <v>242.87</v>
      </c>
      <c r="F84" s="6">
        <f>IFERROR(__xludf.DUMMYFUNCTION("""COMPUTED_VALUE"""),5.5894557E7)</f>
        <v>55894557</v>
      </c>
    </row>
    <row r="85">
      <c r="A85" s="7">
        <f>IFERROR(__xludf.DUMMYFUNCTION("""COMPUTED_VALUE"""),45786.64583333333)</f>
        <v>45786.64583</v>
      </c>
      <c r="B85" s="6">
        <f>IFERROR(__xludf.DUMMYFUNCTION("""COMPUTED_VALUE"""),244.0)</f>
        <v>244</v>
      </c>
      <c r="C85" s="6">
        <f>IFERROR(__xludf.DUMMYFUNCTION("""COMPUTED_VALUE"""),246.87)</f>
        <v>246.87</v>
      </c>
      <c r="D85" s="6">
        <f>IFERROR(__xludf.DUMMYFUNCTION("""COMPUTED_VALUE"""),236.01)</f>
        <v>236.01</v>
      </c>
      <c r="E85" s="6">
        <f>IFERROR(__xludf.DUMMYFUNCTION("""COMPUTED_VALUE"""),242.01)</f>
        <v>242.01</v>
      </c>
      <c r="F85" s="6">
        <f>IFERROR(__xludf.DUMMYFUNCTION("""COMPUTED_VALUE"""),5.2186818E7)</f>
        <v>52186818</v>
      </c>
    </row>
    <row r="86">
      <c r="A86" s="7">
        <f>IFERROR(__xludf.DUMMYFUNCTION("""COMPUTED_VALUE"""),45793.64583333333)</f>
        <v>45793.64583</v>
      </c>
      <c r="B86" s="6">
        <f>IFERROR(__xludf.DUMMYFUNCTION("""COMPUTED_VALUE"""),245.09)</f>
        <v>245.09</v>
      </c>
      <c r="C86" s="6">
        <f>IFERROR(__xludf.DUMMYFUNCTION("""COMPUTED_VALUE"""),257.94)</f>
        <v>257.94</v>
      </c>
      <c r="D86" s="6">
        <f>IFERROR(__xludf.DUMMYFUNCTION("""COMPUTED_VALUE"""),244.88)</f>
        <v>244.88</v>
      </c>
      <c r="E86" s="6">
        <f>IFERROR(__xludf.DUMMYFUNCTION("""COMPUTED_VALUE"""),254.31)</f>
        <v>254.31</v>
      </c>
      <c r="F86" s="6">
        <f>IFERROR(__xludf.DUMMYFUNCTION("""COMPUTED_VALUE"""),5.9069007E7)</f>
        <v>59069007</v>
      </c>
    </row>
    <row r="87">
      <c r="A87" s="7">
        <f>IFERROR(__xludf.DUMMYFUNCTION("""COMPUTED_VALUE"""),45800.64583333333)</f>
        <v>45800.64583</v>
      </c>
      <c r="B87" s="6">
        <f>IFERROR(__xludf.DUMMYFUNCTION("""COMPUTED_VALUE"""),254.31)</f>
        <v>254.31</v>
      </c>
      <c r="C87" s="6">
        <f>IFERROR(__xludf.DUMMYFUNCTION("""COMPUTED_VALUE"""),254.74)</f>
        <v>254.74</v>
      </c>
      <c r="D87" s="6">
        <f>IFERROR(__xludf.DUMMYFUNCTION("""COMPUTED_VALUE"""),245.0)</f>
        <v>245</v>
      </c>
      <c r="E87" s="6">
        <f>IFERROR(__xludf.DUMMYFUNCTION("""COMPUTED_VALUE"""),247.36)</f>
        <v>247.36</v>
      </c>
      <c r="F87" s="6">
        <f>IFERROR(__xludf.DUMMYFUNCTION("""COMPUTED_VALUE"""),4.0375485E7)</f>
        <v>40375485</v>
      </c>
    </row>
    <row r="88">
      <c r="A88" s="7">
        <f>IFERROR(__xludf.DUMMYFUNCTION("""COMPUTED_VALUE"""),45807.64583333333)</f>
        <v>45807.64583</v>
      </c>
      <c r="B88" s="6">
        <f>IFERROR(__xludf.DUMMYFUNCTION("""COMPUTED_VALUE"""),248.49)</f>
        <v>248.49</v>
      </c>
      <c r="C88" s="6">
        <f>IFERROR(__xludf.DUMMYFUNCTION("""COMPUTED_VALUE"""),251.74)</f>
        <v>251.74</v>
      </c>
      <c r="D88" s="6">
        <f>IFERROR(__xludf.DUMMYFUNCTION("""COMPUTED_VALUE"""),246.96)</f>
        <v>246.96</v>
      </c>
      <c r="E88" s="6">
        <f>IFERROR(__xludf.DUMMYFUNCTION("""COMPUTED_VALUE"""),249.67)</f>
        <v>249.67</v>
      </c>
      <c r="F88" s="6">
        <f>IFERROR(__xludf.DUMMYFUNCTION("""COMPUTED_VALUE"""),4.2400525E7)</f>
        <v>42400525</v>
      </c>
    </row>
    <row r="89">
      <c r="A89" s="7">
        <f>IFERROR(__xludf.DUMMYFUNCTION("""COMPUTED_VALUE"""),45814.64583333333)</f>
        <v>45814.64583</v>
      </c>
      <c r="B89" s="6">
        <f>IFERROR(__xludf.DUMMYFUNCTION("""COMPUTED_VALUE"""),247.6)</f>
        <v>247.6</v>
      </c>
      <c r="C89" s="6">
        <f>IFERROR(__xludf.DUMMYFUNCTION("""COMPUTED_VALUE"""),249.98)</f>
        <v>249.98</v>
      </c>
      <c r="D89" s="6">
        <f>IFERROR(__xludf.DUMMYFUNCTION("""COMPUTED_VALUE"""),245.73)</f>
        <v>245.73</v>
      </c>
      <c r="E89" s="6">
        <f>IFERROR(__xludf.DUMMYFUNCTION("""COMPUTED_VALUE"""),248.59)</f>
        <v>248.59</v>
      </c>
      <c r="F89" s="6">
        <f>IFERROR(__xludf.DUMMYFUNCTION("""COMPUTED_VALUE"""),3.2031318E7)</f>
        <v>32031318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IFERROR(__xludf.DUMMYFUNCTION("""COMPUTED_VALUE"""),249.6)</f>
        <v>249.6</v>
      </c>
      <c r="C90" s="6">
        <f>IFERROR(__xludf.DUMMYFUNCTION("""COMPUTED_VALUE"""),263.0)</f>
        <v>263</v>
      </c>
      <c r="D90" s="6">
        <f>IFERROR(__xludf.DUMMYFUNCTION("""COMPUTED_VALUE"""),249.22)</f>
        <v>249.22</v>
      </c>
      <c r="E90" s="6">
        <f>IFERROR(__xludf.DUMMYFUNCTION("""COMPUTED_VALUE"""),260.21)</f>
        <v>260.21</v>
      </c>
      <c r="F90" s="6">
        <f>IFERROR(__xludf.DUMMYFUNCTION("""COMPUTED_VALUE"""),6.0422982E7)</f>
        <v>60422982</v>
      </c>
    </row>
    <row r="91">
      <c r="A91" s="7">
        <f>IFERROR(__xludf.DUMMYFUNCTION("""COMPUTED_VALUE"""),45828.64583333333)</f>
        <v>45828.64583</v>
      </c>
      <c r="B91" s="6">
        <f>IFERROR(__xludf.DUMMYFUNCTION("""COMPUTED_VALUE"""),260.0)</f>
        <v>260</v>
      </c>
      <c r="C91" s="6">
        <f>IFERROR(__xludf.DUMMYFUNCTION("""COMPUTED_VALUE"""),267.2)</f>
        <v>267.2</v>
      </c>
      <c r="D91" s="6">
        <f>IFERROR(__xludf.DUMMYFUNCTION("""COMPUTED_VALUE"""),258.0)</f>
        <v>258</v>
      </c>
      <c r="E91" s="6">
        <f>IFERROR(__xludf.DUMMYFUNCTION("""COMPUTED_VALUE"""),266.54)</f>
        <v>266.54</v>
      </c>
      <c r="F91" s="6">
        <f>IFERROR(__xludf.DUMMYFUNCTION("""COMPUTED_VALUE"""),5.0569635E7)</f>
        <v>50569635</v>
      </c>
    </row>
    <row r="92">
      <c r="A92" s="7">
        <f>IFERROR(__xludf.DUMMYFUNCTION("""COMPUTED_VALUE"""),45835.64583333333)</f>
        <v>45835.64583</v>
      </c>
      <c r="B92" s="6">
        <f>IFERROR(__xludf.DUMMYFUNCTION("""COMPUTED_VALUE"""),264.0)</f>
        <v>264</v>
      </c>
      <c r="C92" s="6">
        <f>IFERROR(__xludf.DUMMYFUNCTION("""COMPUTED_VALUE"""),271.3)</f>
        <v>271.3</v>
      </c>
      <c r="D92" s="6">
        <f>IFERROR(__xludf.DUMMYFUNCTION("""COMPUTED_VALUE"""),261.81)</f>
        <v>261.81</v>
      </c>
      <c r="E92" s="6">
        <f>IFERROR(__xludf.DUMMYFUNCTION("""COMPUTED_VALUE"""),265.05)</f>
        <v>265.05</v>
      </c>
      <c r="F92" s="6">
        <f>IFERROR(__xludf.DUMMYFUNCTION("""COMPUTED_VALUE"""),3.5335436E7)</f>
        <v>35335436</v>
      </c>
    </row>
    <row r="93">
      <c r="A93" s="7">
        <f>IFERROR(__xludf.DUMMYFUNCTION("""COMPUTED_VALUE"""),45842.64583333333)</f>
        <v>45842.64583</v>
      </c>
      <c r="B93" s="6">
        <f>IFERROR(__xludf.DUMMYFUNCTION("""COMPUTED_VALUE"""),266.1)</f>
        <v>266.1</v>
      </c>
      <c r="C93" s="6">
        <f>IFERROR(__xludf.DUMMYFUNCTION("""COMPUTED_VALUE"""),271.4)</f>
        <v>271.4</v>
      </c>
      <c r="D93" s="6">
        <f>IFERROR(__xludf.DUMMYFUNCTION("""COMPUTED_VALUE"""),262.9)</f>
        <v>262.9</v>
      </c>
      <c r="E93" s="6">
        <f>IFERROR(__xludf.DUMMYFUNCTION("""COMPUTED_VALUE"""),270.05)</f>
        <v>270.05</v>
      </c>
      <c r="F93" s="6">
        <f>IFERROR(__xludf.DUMMYFUNCTION("""COMPUTED_VALUE"""),3.6256286E7)</f>
        <v>36256286</v>
      </c>
    </row>
    <row r="94">
      <c r="A94" s="7">
        <f>IFERROR(__xludf.DUMMYFUNCTION("""COMPUTED_VALUE"""),45849.64583333333)</f>
        <v>45849.64583</v>
      </c>
      <c r="B94" s="6">
        <f>IFERROR(__xludf.DUMMYFUNCTION("""COMPUTED_VALUE"""),270.05)</f>
        <v>270.05</v>
      </c>
      <c r="C94" s="6">
        <f>IFERROR(__xludf.DUMMYFUNCTION("""COMPUTED_VALUE"""),270.55)</f>
        <v>270.55</v>
      </c>
      <c r="D94" s="6">
        <f>IFERROR(__xludf.DUMMYFUNCTION("""COMPUTED_VALUE"""),257.75)</f>
        <v>257.75</v>
      </c>
      <c r="E94" s="6">
        <f>IFERROR(__xludf.DUMMYFUNCTION("""COMPUTED_VALUE"""),258.3)</f>
        <v>258.3</v>
      </c>
      <c r="F94" s="6">
        <f>IFERROR(__xludf.DUMMYFUNCTION("""COMPUTED_VALUE"""),4.1953555E7)</f>
        <v>41953555</v>
      </c>
    </row>
    <row r="95">
      <c r="A95" s="7">
        <f>IFERROR(__xludf.DUMMYFUNCTION("""COMPUTED_VALUE"""),45856.64583333333)</f>
        <v>45856.64583</v>
      </c>
      <c r="B95" s="6">
        <f>IFERROR(__xludf.DUMMYFUNCTION("""COMPUTED_VALUE"""),258.3)</f>
        <v>258.3</v>
      </c>
      <c r="C95" s="6">
        <f>IFERROR(__xludf.DUMMYFUNCTION("""COMPUTED_VALUE"""),271.9)</f>
        <v>271.9</v>
      </c>
      <c r="D95" s="6">
        <f>IFERROR(__xludf.DUMMYFUNCTION("""COMPUTED_VALUE"""),251.65)</f>
        <v>251.65</v>
      </c>
      <c r="E95" s="6">
        <f>IFERROR(__xludf.DUMMYFUNCTION("""COMPUTED_VALUE"""),266.95)</f>
        <v>266.95</v>
      </c>
      <c r="F95" s="6">
        <f>IFERROR(__xludf.DUMMYFUNCTION("""COMPUTED_VALUE"""),6.9121205E7)</f>
        <v>69121205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IFERROR(__xludf.DUMMYFUNCTION("""COMPUTED_VALUE"""),266.95)</f>
        <v>266.95</v>
      </c>
      <c r="C96" s="6">
        <f>IFERROR(__xludf.DUMMYFUNCTION("""COMPUTED_VALUE"""),267.15)</f>
        <v>267.15</v>
      </c>
      <c r="D96" s="6">
        <f>IFERROR(__xludf.DUMMYFUNCTION("""COMPUTED_VALUE"""),256.05)</f>
        <v>256.05</v>
      </c>
      <c r="E96" s="6">
        <f>IFERROR(__xludf.DUMMYFUNCTION("""COMPUTED_VALUE"""),259.2)</f>
        <v>259.2</v>
      </c>
      <c r="F96" s="6">
        <f>IFERROR(__xludf.DUMMYFUNCTION("""COMPUTED_VALUE"""),4.1992045E7)</f>
        <v>41992045</v>
      </c>
    </row>
    <row r="97">
      <c r="A97" s="7">
        <f>IFERROR(__xludf.DUMMYFUNCTION("""COMPUTED_VALUE"""),45870.64583333333)</f>
        <v>45870.64583</v>
      </c>
      <c r="B97" s="6">
        <f>IFERROR(__xludf.DUMMYFUNCTION("""COMPUTED_VALUE"""),254.0)</f>
        <v>254</v>
      </c>
      <c r="C97" s="6">
        <f>IFERROR(__xludf.DUMMYFUNCTION("""COMPUTED_VALUE"""),254.0)</f>
        <v>254</v>
      </c>
      <c r="D97" s="6">
        <f>IFERROR(__xludf.DUMMYFUNCTION("""COMPUTED_VALUE"""),242.2)</f>
        <v>242.2</v>
      </c>
      <c r="E97" s="6">
        <f>IFERROR(__xludf.DUMMYFUNCTION("""COMPUTED_VALUE"""),242.75)</f>
        <v>242.75</v>
      </c>
      <c r="F97" s="6">
        <f>IFERROR(__xludf.DUMMYFUNCTION("""COMPUTED_VALUE"""),4.2754954E7)</f>
        <v>42754954</v>
      </c>
    </row>
    <row r="98">
      <c r="A98" s="7">
        <f>IFERROR(__xludf.DUMMYFUNCTION("""COMPUTED_VALUE"""),45877.64583333333)</f>
        <v>45877.64583</v>
      </c>
      <c r="B98" s="6">
        <f>IFERROR(__xludf.DUMMYFUNCTION("""COMPUTED_VALUE"""),242.75)</f>
        <v>242.75</v>
      </c>
      <c r="C98" s="6">
        <f>IFERROR(__xludf.DUMMYFUNCTION("""COMPUTED_VALUE"""),246.95)</f>
        <v>246.95</v>
      </c>
      <c r="D98" s="6">
        <f>IFERROR(__xludf.DUMMYFUNCTION("""COMPUTED_VALUE"""),238.4)</f>
        <v>238.4</v>
      </c>
      <c r="E98" s="6">
        <f>IFERROR(__xludf.DUMMYFUNCTION("""COMPUTED_VALUE"""),239.05)</f>
        <v>239.05</v>
      </c>
      <c r="F98" s="6">
        <f>IFERROR(__xludf.DUMMYFUNCTION("""COMPUTED_VALUE"""),3.5432228E7)</f>
        <v>35432228</v>
      </c>
    </row>
    <row r="99">
      <c r="A99" s="7">
        <f>IFERROR(__xludf.DUMMYFUNCTION("""COMPUTED_VALUE"""),45883.64583333333)</f>
        <v>45883.64583</v>
      </c>
      <c r="B99" s="6">
        <f>IFERROR(__xludf.DUMMYFUNCTION("""COMPUTED_VALUE"""),239.05)</f>
        <v>239.05</v>
      </c>
      <c r="C99" s="6">
        <f>IFERROR(__xludf.DUMMYFUNCTION("""COMPUTED_VALUE"""),248.43)</f>
        <v>248.43</v>
      </c>
      <c r="D99" s="6">
        <f>IFERROR(__xludf.DUMMYFUNCTION("""COMPUTED_VALUE"""),238.62)</f>
        <v>238.62</v>
      </c>
      <c r="E99" s="6">
        <f>IFERROR(__xludf.DUMMYFUNCTION("""COMPUTED_VALUE"""),246.81)</f>
        <v>246.81</v>
      </c>
      <c r="F99" s="6">
        <f>IFERROR(__xludf.DUMMYFUNCTION("""COMPUTED_VALUE"""),2.9826791E7)</f>
        <v>29826791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IFERROR(__xludf.DUMMYFUNCTION("""COMPUTED_VALUE"""),248.64)</f>
        <v>248.64</v>
      </c>
      <c r="C100" s="6">
        <f>IFERROR(__xludf.DUMMYFUNCTION("""COMPUTED_VALUE"""),253.0)</f>
        <v>253</v>
      </c>
      <c r="D100" s="6">
        <f>IFERROR(__xludf.DUMMYFUNCTION("""COMPUTED_VALUE"""),244.76)</f>
        <v>244.76</v>
      </c>
      <c r="E100" s="6">
        <f>IFERROR(__xludf.DUMMYFUNCTION("""COMPUTED_VALUE"""),248.64)</f>
        <v>248.64</v>
      </c>
      <c r="F100" s="6">
        <f>IFERROR(__xludf.DUMMYFUNCTION("""COMPUTED_VALUE"""),4.1159834E7)</f>
        <v>41159834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IFERROR(__xludf.DUMMYFUNCTION("""COMPUTED_VALUE"""),250.6)</f>
        <v>250.6</v>
      </c>
      <c r="C101" s="6">
        <f>IFERROR(__xludf.DUMMYFUNCTION("""COMPUTED_VALUE"""),257.29)</f>
        <v>257.29</v>
      </c>
      <c r="D101" s="6">
        <f>IFERROR(__xludf.DUMMYFUNCTION("""COMPUTED_VALUE"""),250.6)</f>
        <v>250.6</v>
      </c>
      <c r="E101" s="6">
        <f>IFERROR(__xludf.DUMMYFUNCTION("""COMPUTED_VALUE"""),252.03)</f>
        <v>252.03</v>
      </c>
      <c r="F101" s="6">
        <f>IFERROR(__xludf.DUMMYFUNCTION("""COMPUTED_VALUE"""),2.59882049E8)</f>
        <v>259882049</v>
      </c>
    </row>
  </sheetData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IFERROR(__xludf.DUMMYFUNCTION("GOOGLEFINANCE(""NSE:YESBANK"",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IFERROR(__xludf.DUMMYFUNCTION("""COMPUTED_VALUE"""),16.9)</f>
        <v>16.9</v>
      </c>
      <c r="C2" s="6">
        <f>IFERROR(__xludf.DUMMYFUNCTION("""COMPUTED_VALUE"""),17.6)</f>
        <v>17.6</v>
      </c>
      <c r="D2" s="6">
        <f>IFERROR(__xludf.DUMMYFUNCTION("""COMPUTED_VALUE"""),16.7)</f>
        <v>16.7</v>
      </c>
      <c r="E2" s="6">
        <f>IFERROR(__xludf.DUMMYFUNCTION("""COMPUTED_VALUE"""),17.35)</f>
        <v>17.35</v>
      </c>
      <c r="F2" s="6">
        <f>IFERROR(__xludf.DUMMYFUNCTION("""COMPUTED_VALUE"""),7.01135293E8)</f>
        <v>701135293</v>
      </c>
    </row>
    <row r="3">
      <c r="A3" s="7">
        <f>IFERROR(__xludf.DUMMYFUNCTION("""COMPUTED_VALUE"""),45177.64583333333)</f>
        <v>45177.64583</v>
      </c>
      <c r="B3" s="6">
        <f>IFERROR(__xludf.DUMMYFUNCTION("""COMPUTED_VALUE"""),17.45)</f>
        <v>17.45</v>
      </c>
      <c r="C3" s="6">
        <f>IFERROR(__xludf.DUMMYFUNCTION("""COMPUTED_VALUE"""),19.1)</f>
        <v>19.1</v>
      </c>
      <c r="D3" s="6">
        <f>IFERROR(__xludf.DUMMYFUNCTION("""COMPUTED_VALUE"""),17.45)</f>
        <v>17.45</v>
      </c>
      <c r="E3" s="6">
        <f>IFERROR(__xludf.DUMMYFUNCTION("""COMPUTED_VALUE"""),18.35)</f>
        <v>18.35</v>
      </c>
      <c r="F3" s="6">
        <f>IFERROR(__xludf.DUMMYFUNCTION("""COMPUTED_VALUE"""),1.697499327E9)</f>
        <v>1697499327</v>
      </c>
    </row>
    <row r="4">
      <c r="A4" s="7">
        <f>IFERROR(__xludf.DUMMYFUNCTION("""COMPUTED_VALUE"""),45184.64583333333)</f>
        <v>45184.64583</v>
      </c>
      <c r="B4" s="6">
        <f>IFERROR(__xludf.DUMMYFUNCTION("""COMPUTED_VALUE"""),18.5)</f>
        <v>18.5</v>
      </c>
      <c r="C4" s="6">
        <f>IFERROR(__xludf.DUMMYFUNCTION("""COMPUTED_VALUE"""),18.6)</f>
        <v>18.6</v>
      </c>
      <c r="D4" s="6">
        <f>IFERROR(__xludf.DUMMYFUNCTION("""COMPUTED_VALUE"""),17.3)</f>
        <v>17.3</v>
      </c>
      <c r="E4" s="6">
        <f>IFERROR(__xludf.DUMMYFUNCTION("""COMPUTED_VALUE"""),18.3)</f>
        <v>18.3</v>
      </c>
      <c r="F4" s="6">
        <f>IFERROR(__xludf.DUMMYFUNCTION("""COMPUTED_VALUE"""),1.178770226E9)</f>
        <v>1178770226</v>
      </c>
    </row>
    <row r="5">
      <c r="A5" s="7">
        <f>IFERROR(__xludf.DUMMYFUNCTION("""COMPUTED_VALUE"""),45191.64583333333)</f>
        <v>45191.64583</v>
      </c>
      <c r="B5" s="6">
        <f>IFERROR(__xludf.DUMMYFUNCTION("""COMPUTED_VALUE"""),18.4)</f>
        <v>18.4</v>
      </c>
      <c r="C5" s="6">
        <f>IFERROR(__xludf.DUMMYFUNCTION("""COMPUTED_VALUE"""),19.0)</f>
        <v>19</v>
      </c>
      <c r="D5" s="6">
        <f>IFERROR(__xludf.DUMMYFUNCTION("""COMPUTED_VALUE"""),17.5)</f>
        <v>17.5</v>
      </c>
      <c r="E5" s="6">
        <f>IFERROR(__xludf.DUMMYFUNCTION("""COMPUTED_VALUE"""),17.65)</f>
        <v>17.65</v>
      </c>
      <c r="F5" s="6">
        <f>IFERROR(__xludf.DUMMYFUNCTION("""COMPUTED_VALUE"""),9.94659974E8)</f>
        <v>994659974</v>
      </c>
    </row>
    <row r="6">
      <c r="A6" s="7">
        <f>IFERROR(__xludf.DUMMYFUNCTION("""COMPUTED_VALUE"""),45198.64583333333)</f>
        <v>45198.64583</v>
      </c>
      <c r="B6" s="6">
        <f>IFERROR(__xludf.DUMMYFUNCTION("""COMPUTED_VALUE"""),17.75)</f>
        <v>17.75</v>
      </c>
      <c r="C6" s="6">
        <f>IFERROR(__xludf.DUMMYFUNCTION("""COMPUTED_VALUE"""),17.75)</f>
        <v>17.75</v>
      </c>
      <c r="D6" s="6">
        <f>IFERROR(__xludf.DUMMYFUNCTION("""COMPUTED_VALUE"""),17.0)</f>
        <v>17</v>
      </c>
      <c r="E6" s="6">
        <f>IFERROR(__xludf.DUMMYFUNCTION("""COMPUTED_VALUE"""),17.25)</f>
        <v>17.25</v>
      </c>
      <c r="F6" s="6">
        <f>IFERROR(__xludf.DUMMYFUNCTION("""COMPUTED_VALUE"""),6.52447644E8)</f>
        <v>652447644</v>
      </c>
    </row>
    <row r="7">
      <c r="A7" s="7">
        <f>IFERROR(__xludf.DUMMYFUNCTION("""COMPUTED_VALUE"""),45205.64583333333)</f>
        <v>45205.64583</v>
      </c>
      <c r="B7" s="6">
        <f>IFERROR(__xludf.DUMMYFUNCTION("""COMPUTED_VALUE"""),17.25)</f>
        <v>17.25</v>
      </c>
      <c r="C7" s="6">
        <f>IFERROR(__xludf.DUMMYFUNCTION("""COMPUTED_VALUE"""),17.5)</f>
        <v>17.5</v>
      </c>
      <c r="D7" s="6">
        <f>IFERROR(__xludf.DUMMYFUNCTION("""COMPUTED_VALUE"""),17.05)</f>
        <v>17.05</v>
      </c>
      <c r="E7" s="6">
        <f>IFERROR(__xludf.DUMMYFUNCTION("""COMPUTED_VALUE"""),17.3)</f>
        <v>17.3</v>
      </c>
      <c r="F7" s="6">
        <f>IFERROR(__xludf.DUMMYFUNCTION("""COMPUTED_VALUE"""),4.5832601E8)</f>
        <v>458326010</v>
      </c>
    </row>
    <row r="8">
      <c r="A8" s="7">
        <f>IFERROR(__xludf.DUMMYFUNCTION("""COMPUTED_VALUE"""),45212.64583333333)</f>
        <v>45212.64583</v>
      </c>
      <c r="B8" s="6">
        <f>IFERROR(__xludf.DUMMYFUNCTION("""COMPUTED_VALUE"""),17.2)</f>
        <v>17.2</v>
      </c>
      <c r="C8" s="6">
        <f>IFERROR(__xludf.DUMMYFUNCTION("""COMPUTED_VALUE"""),17.35)</f>
        <v>17.35</v>
      </c>
      <c r="D8" s="6">
        <f>IFERROR(__xludf.DUMMYFUNCTION("""COMPUTED_VALUE"""),16.85)</f>
        <v>16.85</v>
      </c>
      <c r="E8" s="6">
        <f>IFERROR(__xludf.DUMMYFUNCTION("""COMPUTED_VALUE"""),17.1)</f>
        <v>17.1</v>
      </c>
      <c r="F8" s="6">
        <f>IFERROR(__xludf.DUMMYFUNCTION("""COMPUTED_VALUE"""),3.54561418E8)</f>
        <v>354561418</v>
      </c>
    </row>
    <row r="9">
      <c r="A9" s="7">
        <f>IFERROR(__xludf.DUMMYFUNCTION("""COMPUTED_VALUE"""),45219.64583333333)</f>
        <v>45219.64583</v>
      </c>
      <c r="B9" s="6">
        <f>IFERROR(__xludf.DUMMYFUNCTION("""COMPUTED_VALUE"""),17.15)</f>
        <v>17.15</v>
      </c>
      <c r="C9" s="6">
        <f>IFERROR(__xludf.DUMMYFUNCTION("""COMPUTED_VALUE"""),17.85)</f>
        <v>17.85</v>
      </c>
      <c r="D9" s="6">
        <f>IFERROR(__xludf.DUMMYFUNCTION("""COMPUTED_VALUE"""),16.95)</f>
        <v>16.95</v>
      </c>
      <c r="E9" s="6">
        <f>IFERROR(__xludf.DUMMYFUNCTION("""COMPUTED_VALUE"""),17.3)</f>
        <v>17.3</v>
      </c>
      <c r="F9" s="6">
        <f>IFERROR(__xludf.DUMMYFUNCTION("""COMPUTED_VALUE"""),5.32005337E8)</f>
        <v>532005337</v>
      </c>
    </row>
    <row r="10">
      <c r="A10" s="7">
        <f>IFERROR(__xludf.DUMMYFUNCTION("""COMPUTED_VALUE"""),45226.64583333333)</f>
        <v>45226.64583</v>
      </c>
      <c r="B10" s="6">
        <f>IFERROR(__xludf.DUMMYFUNCTION("""COMPUTED_VALUE"""),17.4)</f>
        <v>17.4</v>
      </c>
      <c r="C10" s="6">
        <f>IFERROR(__xludf.DUMMYFUNCTION("""COMPUTED_VALUE"""),17.45)</f>
        <v>17.45</v>
      </c>
      <c r="D10" s="6">
        <f>IFERROR(__xludf.DUMMYFUNCTION("""COMPUTED_VALUE"""),15.7)</f>
        <v>15.7</v>
      </c>
      <c r="E10" s="6">
        <f>IFERROR(__xludf.DUMMYFUNCTION("""COMPUTED_VALUE"""),15.95)</f>
        <v>15.95</v>
      </c>
      <c r="F10" s="6">
        <f>IFERROR(__xludf.DUMMYFUNCTION("""COMPUTED_VALUE"""),6.23473482E8)</f>
        <v>623473482</v>
      </c>
    </row>
    <row r="11">
      <c r="A11" s="7">
        <f>IFERROR(__xludf.DUMMYFUNCTION("""COMPUTED_VALUE"""),45233.64583333333)</f>
        <v>45233.64583</v>
      </c>
      <c r="B11" s="6">
        <f>IFERROR(__xludf.DUMMYFUNCTION("""COMPUTED_VALUE"""),16.05)</f>
        <v>16.05</v>
      </c>
      <c r="C11" s="6">
        <f>IFERROR(__xludf.DUMMYFUNCTION("""COMPUTED_VALUE"""),16.65)</f>
        <v>16.65</v>
      </c>
      <c r="D11" s="6">
        <f>IFERROR(__xludf.DUMMYFUNCTION("""COMPUTED_VALUE"""),15.85)</f>
        <v>15.85</v>
      </c>
      <c r="E11" s="6">
        <f>IFERROR(__xludf.DUMMYFUNCTION("""COMPUTED_VALUE"""),16.45)</f>
        <v>16.45</v>
      </c>
      <c r="F11" s="6">
        <f>IFERROR(__xludf.DUMMYFUNCTION("""COMPUTED_VALUE"""),4.91895718E8)</f>
        <v>491895718</v>
      </c>
    </row>
    <row r="12">
      <c r="A12" s="7">
        <f>IFERROR(__xludf.DUMMYFUNCTION("""COMPUTED_VALUE"""),45240.64583333333)</f>
        <v>45240.64583</v>
      </c>
      <c r="B12" s="6">
        <f>IFERROR(__xludf.DUMMYFUNCTION("""COMPUTED_VALUE"""),16.55)</f>
        <v>16.55</v>
      </c>
      <c r="C12" s="6">
        <f>IFERROR(__xludf.DUMMYFUNCTION("""COMPUTED_VALUE"""),18.8)</f>
        <v>18.8</v>
      </c>
      <c r="D12" s="6">
        <f>IFERROR(__xludf.DUMMYFUNCTION("""COMPUTED_VALUE"""),16.5)</f>
        <v>16.5</v>
      </c>
      <c r="E12" s="6">
        <f>IFERROR(__xludf.DUMMYFUNCTION("""COMPUTED_VALUE"""),18.3)</f>
        <v>18.3</v>
      </c>
      <c r="F12" s="6">
        <f>IFERROR(__xludf.DUMMYFUNCTION("""COMPUTED_VALUE"""),1.42761334E9)</f>
        <v>1427613340</v>
      </c>
    </row>
    <row r="13">
      <c r="A13" s="7">
        <f>IFERROR(__xludf.DUMMYFUNCTION("""COMPUTED_VALUE"""),45247.64583333333)</f>
        <v>45247.64583</v>
      </c>
      <c r="B13" s="6">
        <f>IFERROR(__xludf.DUMMYFUNCTION("""COMPUTED_VALUE"""),18.5)</f>
        <v>18.5</v>
      </c>
      <c r="C13" s="6">
        <f>IFERROR(__xludf.DUMMYFUNCTION("""COMPUTED_VALUE"""),21.15)</f>
        <v>21.15</v>
      </c>
      <c r="D13" s="6">
        <f>IFERROR(__xludf.DUMMYFUNCTION("""COMPUTED_VALUE"""),18.15)</f>
        <v>18.15</v>
      </c>
      <c r="E13" s="6">
        <f>IFERROR(__xludf.DUMMYFUNCTION("""COMPUTED_VALUE"""),20.8)</f>
        <v>20.8</v>
      </c>
      <c r="F13" s="6">
        <f>IFERROR(__xludf.DUMMYFUNCTION("""COMPUTED_VALUE"""),2.090097864E9)</f>
        <v>2090097864</v>
      </c>
    </row>
    <row r="14">
      <c r="A14" s="7">
        <f>IFERROR(__xludf.DUMMYFUNCTION("""COMPUTED_VALUE"""),45254.64583333333)</f>
        <v>45254.64583</v>
      </c>
      <c r="B14" s="6">
        <f>IFERROR(__xludf.DUMMYFUNCTION("""COMPUTED_VALUE"""),20.9)</f>
        <v>20.9</v>
      </c>
      <c r="C14" s="6">
        <f>IFERROR(__xludf.DUMMYFUNCTION("""COMPUTED_VALUE"""),21.1)</f>
        <v>21.1</v>
      </c>
      <c r="D14" s="6">
        <f>IFERROR(__xludf.DUMMYFUNCTION("""COMPUTED_VALUE"""),19.05)</f>
        <v>19.05</v>
      </c>
      <c r="E14" s="6">
        <f>IFERROR(__xludf.DUMMYFUNCTION("""COMPUTED_VALUE"""),19.8)</f>
        <v>19.8</v>
      </c>
      <c r="F14" s="6">
        <f>IFERROR(__xludf.DUMMYFUNCTION("""COMPUTED_VALUE"""),1.123528208E9)</f>
        <v>1123528208</v>
      </c>
    </row>
    <row r="15">
      <c r="A15" s="7">
        <f>IFERROR(__xludf.DUMMYFUNCTION("""COMPUTED_VALUE"""),45261.64583333333)</f>
        <v>45261.64583</v>
      </c>
      <c r="B15" s="6">
        <f>IFERROR(__xludf.DUMMYFUNCTION("""COMPUTED_VALUE"""),19.85)</f>
        <v>19.85</v>
      </c>
      <c r="C15" s="6">
        <f>IFERROR(__xludf.DUMMYFUNCTION("""COMPUTED_VALUE"""),20.45)</f>
        <v>20.45</v>
      </c>
      <c r="D15" s="6">
        <f>IFERROR(__xludf.DUMMYFUNCTION("""COMPUTED_VALUE"""),19.2)</f>
        <v>19.2</v>
      </c>
      <c r="E15" s="6">
        <f>IFERROR(__xludf.DUMMYFUNCTION("""COMPUTED_VALUE"""),19.3)</f>
        <v>19.3</v>
      </c>
      <c r="F15" s="6">
        <f>IFERROR(__xludf.DUMMYFUNCTION("""COMPUTED_VALUE"""),8.67586358E8)</f>
        <v>867586358</v>
      </c>
    </row>
    <row r="16">
      <c r="A16" s="7">
        <f>IFERROR(__xludf.DUMMYFUNCTION("""COMPUTED_VALUE"""),45268.64583333333)</f>
        <v>45268.64583</v>
      </c>
      <c r="B16" s="6">
        <f>IFERROR(__xludf.DUMMYFUNCTION("""COMPUTED_VALUE"""),19.65)</f>
        <v>19.65</v>
      </c>
      <c r="C16" s="6">
        <f>IFERROR(__xludf.DUMMYFUNCTION("""COMPUTED_VALUE"""),20.45)</f>
        <v>20.45</v>
      </c>
      <c r="D16" s="6">
        <f>IFERROR(__xludf.DUMMYFUNCTION("""COMPUTED_VALUE"""),19.3)</f>
        <v>19.3</v>
      </c>
      <c r="E16" s="6">
        <f>IFERROR(__xludf.DUMMYFUNCTION("""COMPUTED_VALUE"""),19.9)</f>
        <v>19.9</v>
      </c>
      <c r="F16" s="6">
        <f>IFERROR(__xludf.DUMMYFUNCTION("""COMPUTED_VALUE"""),9.1072885E8)</f>
        <v>910728850</v>
      </c>
    </row>
    <row r="17">
      <c r="A17" s="7">
        <f>IFERROR(__xludf.DUMMYFUNCTION("""COMPUTED_VALUE"""),45275.64583333333)</f>
        <v>45275.64583</v>
      </c>
      <c r="B17" s="6">
        <f>IFERROR(__xludf.DUMMYFUNCTION("""COMPUTED_VALUE"""),20.0)</f>
        <v>20</v>
      </c>
      <c r="C17" s="6">
        <f>IFERROR(__xludf.DUMMYFUNCTION("""COMPUTED_VALUE"""),22.1)</f>
        <v>22.1</v>
      </c>
      <c r="D17" s="6">
        <f>IFERROR(__xludf.DUMMYFUNCTION("""COMPUTED_VALUE"""),19.95)</f>
        <v>19.95</v>
      </c>
      <c r="E17" s="6">
        <f>IFERROR(__xludf.DUMMYFUNCTION("""COMPUTED_VALUE"""),21.95)</f>
        <v>21.95</v>
      </c>
      <c r="F17" s="6">
        <f>IFERROR(__xludf.DUMMYFUNCTION("""COMPUTED_VALUE"""),2.069463057E9)</f>
        <v>2069463057</v>
      </c>
    </row>
    <row r="18">
      <c r="A18" s="7">
        <f>IFERROR(__xludf.DUMMYFUNCTION("""COMPUTED_VALUE"""),45282.64583333333)</f>
        <v>45282.64583</v>
      </c>
      <c r="B18" s="6">
        <f>IFERROR(__xludf.DUMMYFUNCTION("""COMPUTED_VALUE"""),22.0)</f>
        <v>22</v>
      </c>
      <c r="C18" s="6">
        <f>IFERROR(__xludf.DUMMYFUNCTION("""COMPUTED_VALUE"""),23.05)</f>
        <v>23.05</v>
      </c>
      <c r="D18" s="6">
        <f>IFERROR(__xludf.DUMMYFUNCTION("""COMPUTED_VALUE"""),19.95)</f>
        <v>19.95</v>
      </c>
      <c r="E18" s="6">
        <f>IFERROR(__xludf.DUMMYFUNCTION("""COMPUTED_VALUE"""),21.05)</f>
        <v>21.05</v>
      </c>
      <c r="F18" s="6">
        <f>IFERROR(__xludf.DUMMYFUNCTION("""COMPUTED_VALUE"""),1.848751317E9)</f>
        <v>1848751317</v>
      </c>
    </row>
    <row r="19">
      <c r="A19" s="7">
        <f>IFERROR(__xludf.DUMMYFUNCTION("""COMPUTED_VALUE"""),45289.64583333333)</f>
        <v>45289.64583</v>
      </c>
      <c r="B19" s="6">
        <f>IFERROR(__xludf.DUMMYFUNCTION("""COMPUTED_VALUE"""),21.15)</f>
        <v>21.15</v>
      </c>
      <c r="C19" s="6">
        <f>IFERROR(__xludf.DUMMYFUNCTION("""COMPUTED_VALUE"""),21.8)</f>
        <v>21.8</v>
      </c>
      <c r="D19" s="6">
        <f>IFERROR(__xludf.DUMMYFUNCTION("""COMPUTED_VALUE"""),20.7)</f>
        <v>20.7</v>
      </c>
      <c r="E19" s="6">
        <f>IFERROR(__xludf.DUMMYFUNCTION("""COMPUTED_VALUE"""),21.45)</f>
        <v>21.45</v>
      </c>
      <c r="F19" s="6">
        <f>IFERROR(__xludf.DUMMYFUNCTION("""COMPUTED_VALUE"""),6.25783212E8)</f>
        <v>625783212</v>
      </c>
    </row>
    <row r="20">
      <c r="A20" s="7">
        <f>IFERROR(__xludf.DUMMYFUNCTION("""COMPUTED_VALUE"""),45296.64583333333)</f>
        <v>45296.64583</v>
      </c>
      <c r="B20" s="6">
        <f>IFERROR(__xludf.DUMMYFUNCTION("""COMPUTED_VALUE"""),21.5)</f>
        <v>21.5</v>
      </c>
      <c r="C20" s="6">
        <f>IFERROR(__xludf.DUMMYFUNCTION("""COMPUTED_VALUE"""),24.3)</f>
        <v>24.3</v>
      </c>
      <c r="D20" s="6">
        <f>IFERROR(__xludf.DUMMYFUNCTION("""COMPUTED_VALUE"""),21.4)</f>
        <v>21.4</v>
      </c>
      <c r="E20" s="6">
        <f>IFERROR(__xludf.DUMMYFUNCTION("""COMPUTED_VALUE"""),24.0)</f>
        <v>24</v>
      </c>
      <c r="F20" s="6">
        <f>IFERROR(__xludf.DUMMYFUNCTION("""COMPUTED_VALUE"""),2.406776989E9)</f>
        <v>2406776989</v>
      </c>
    </row>
    <row r="21">
      <c r="A21" s="7">
        <f>IFERROR(__xludf.DUMMYFUNCTION("""COMPUTED_VALUE"""),45303.64583333333)</f>
        <v>45303.64583</v>
      </c>
      <c r="B21" s="6">
        <f>IFERROR(__xludf.DUMMYFUNCTION("""COMPUTED_VALUE"""),24.3)</f>
        <v>24.3</v>
      </c>
      <c r="C21" s="6">
        <f>IFERROR(__xludf.DUMMYFUNCTION("""COMPUTED_VALUE"""),25.95)</f>
        <v>25.95</v>
      </c>
      <c r="D21" s="6">
        <f>IFERROR(__xludf.DUMMYFUNCTION("""COMPUTED_VALUE"""),23.45)</f>
        <v>23.45</v>
      </c>
      <c r="E21" s="6">
        <f>IFERROR(__xludf.DUMMYFUNCTION("""COMPUTED_VALUE"""),24.9)</f>
        <v>24.9</v>
      </c>
      <c r="F21" s="6">
        <f>IFERROR(__xludf.DUMMYFUNCTION("""COMPUTED_VALUE"""),2.402054264E9)</f>
        <v>2402054264</v>
      </c>
    </row>
    <row r="22">
      <c r="A22" s="7">
        <f>IFERROR(__xludf.DUMMYFUNCTION("""COMPUTED_VALUE"""),45316.64583333333)</f>
        <v>45316.64583</v>
      </c>
      <c r="B22" s="6">
        <f>IFERROR(__xludf.DUMMYFUNCTION("""COMPUTED_VALUE"""),25.45)</f>
        <v>25.45</v>
      </c>
      <c r="C22" s="6">
        <f>IFERROR(__xludf.DUMMYFUNCTION("""COMPUTED_VALUE"""),25.6)</f>
        <v>25.6</v>
      </c>
      <c r="D22" s="6">
        <f>IFERROR(__xludf.DUMMYFUNCTION("""COMPUTED_VALUE"""),23.65)</f>
        <v>23.65</v>
      </c>
      <c r="E22" s="6">
        <f>IFERROR(__xludf.DUMMYFUNCTION("""COMPUTED_VALUE"""),24.85)</f>
        <v>24.85</v>
      </c>
      <c r="F22" s="6">
        <f>IFERROR(__xludf.DUMMYFUNCTION("""COMPUTED_VALUE"""),7.47166553E8)</f>
        <v>747166553</v>
      </c>
    </row>
    <row r="23">
      <c r="A23" s="7">
        <f>IFERROR(__xludf.DUMMYFUNCTION("""COMPUTED_VALUE"""),45324.64583333333)</f>
        <v>45324.64583</v>
      </c>
      <c r="B23" s="6">
        <f>IFERROR(__xludf.DUMMYFUNCTION("""COMPUTED_VALUE"""),25.3)</f>
        <v>25.3</v>
      </c>
      <c r="C23" s="6">
        <f>IFERROR(__xludf.DUMMYFUNCTION("""COMPUTED_VALUE"""),25.5)</f>
        <v>25.5</v>
      </c>
      <c r="D23" s="6">
        <f>IFERROR(__xludf.DUMMYFUNCTION("""COMPUTED_VALUE"""),23.6)</f>
        <v>23.6</v>
      </c>
      <c r="E23" s="6">
        <f>IFERROR(__xludf.DUMMYFUNCTION("""COMPUTED_VALUE"""),23.7)</f>
        <v>23.7</v>
      </c>
      <c r="F23" s="6">
        <f>IFERROR(__xludf.DUMMYFUNCTION("""COMPUTED_VALUE"""),1.043633014E9)</f>
        <v>1043633014</v>
      </c>
    </row>
    <row r="24">
      <c r="A24" s="7">
        <f>IFERROR(__xludf.DUMMYFUNCTION("""COMPUTED_VALUE"""),45331.64583333333)</f>
        <v>45331.64583</v>
      </c>
      <c r="B24" s="6">
        <f>IFERROR(__xludf.DUMMYFUNCTION("""COMPUTED_VALUE"""),23.7)</f>
        <v>23.7</v>
      </c>
      <c r="C24" s="6">
        <f>IFERROR(__xludf.DUMMYFUNCTION("""COMPUTED_VALUE"""),32.85)</f>
        <v>32.85</v>
      </c>
      <c r="D24" s="6">
        <f>IFERROR(__xludf.DUMMYFUNCTION("""COMPUTED_VALUE"""),22.6)</f>
        <v>22.6</v>
      </c>
      <c r="E24" s="6">
        <f>IFERROR(__xludf.DUMMYFUNCTION("""COMPUTED_VALUE"""),31.4)</f>
        <v>31.4</v>
      </c>
      <c r="F24" s="6">
        <f>IFERROR(__xludf.DUMMYFUNCTION("""COMPUTED_VALUE"""),3.036770544E9)</f>
        <v>3036770544</v>
      </c>
    </row>
    <row r="25">
      <c r="A25" s="7">
        <f>IFERROR(__xludf.DUMMYFUNCTION("""COMPUTED_VALUE"""),45338.64583333333)</f>
        <v>45338.64583</v>
      </c>
      <c r="B25" s="6">
        <f>IFERROR(__xludf.DUMMYFUNCTION("""COMPUTED_VALUE"""),31.95)</f>
        <v>31.95</v>
      </c>
      <c r="C25" s="6">
        <f>IFERROR(__xludf.DUMMYFUNCTION("""COMPUTED_VALUE"""),32.35)</f>
        <v>32.35</v>
      </c>
      <c r="D25" s="6">
        <f>IFERROR(__xludf.DUMMYFUNCTION("""COMPUTED_VALUE"""),26.75)</f>
        <v>26.75</v>
      </c>
      <c r="E25" s="6">
        <f>IFERROR(__xludf.DUMMYFUNCTION("""COMPUTED_VALUE"""),28.4)</f>
        <v>28.4</v>
      </c>
      <c r="F25" s="6">
        <f>IFERROR(__xludf.DUMMYFUNCTION("""COMPUTED_VALUE"""),1.588486328E9)</f>
        <v>1588486328</v>
      </c>
    </row>
    <row r="26">
      <c r="A26" s="7">
        <f>IFERROR(__xludf.DUMMYFUNCTION("""COMPUTED_VALUE"""),45345.64583333333)</f>
        <v>45345.64583</v>
      </c>
      <c r="B26" s="6">
        <f>IFERROR(__xludf.DUMMYFUNCTION("""COMPUTED_VALUE"""),28.5)</f>
        <v>28.5</v>
      </c>
      <c r="C26" s="6">
        <f>IFERROR(__xludf.DUMMYFUNCTION("""COMPUTED_VALUE"""),28.55)</f>
        <v>28.55</v>
      </c>
      <c r="D26" s="6">
        <f>IFERROR(__xludf.DUMMYFUNCTION("""COMPUTED_VALUE"""),24.95)</f>
        <v>24.95</v>
      </c>
      <c r="E26" s="6">
        <f>IFERROR(__xludf.DUMMYFUNCTION("""COMPUTED_VALUE"""),26.2)</f>
        <v>26.2</v>
      </c>
      <c r="F26" s="6">
        <f>IFERROR(__xludf.DUMMYFUNCTION("""COMPUTED_VALUE"""),2.184163842E9)</f>
        <v>2184163842</v>
      </c>
    </row>
    <row r="27">
      <c r="A27" s="7">
        <f>IFERROR(__xludf.DUMMYFUNCTION("""COMPUTED_VALUE"""),45358.64583333333)</f>
        <v>45358.64583</v>
      </c>
      <c r="B27" s="6">
        <f>IFERROR(__xludf.DUMMYFUNCTION("""COMPUTED_VALUE"""),25.35)</f>
        <v>25.35</v>
      </c>
      <c r="C27" s="6">
        <f>IFERROR(__xludf.DUMMYFUNCTION("""COMPUTED_VALUE"""),25.7)</f>
        <v>25.7</v>
      </c>
      <c r="D27" s="6">
        <f>IFERROR(__xludf.DUMMYFUNCTION("""COMPUTED_VALUE"""),23.5)</f>
        <v>23.5</v>
      </c>
      <c r="E27" s="6">
        <f>IFERROR(__xludf.DUMMYFUNCTION("""COMPUTED_VALUE"""),23.85)</f>
        <v>23.85</v>
      </c>
      <c r="F27" s="6">
        <f>IFERROR(__xludf.DUMMYFUNCTION("""COMPUTED_VALUE"""),8.39728203E8)</f>
        <v>839728203</v>
      </c>
    </row>
    <row r="28">
      <c r="A28" s="7">
        <f>IFERROR(__xludf.DUMMYFUNCTION("""COMPUTED_VALUE"""),45366.64583333333)</f>
        <v>45366.64583</v>
      </c>
      <c r="B28" s="6">
        <f>IFERROR(__xludf.DUMMYFUNCTION("""COMPUTED_VALUE"""),24.0)</f>
        <v>24</v>
      </c>
      <c r="C28" s="6">
        <f>IFERROR(__xludf.DUMMYFUNCTION("""COMPUTED_VALUE"""),24.4)</f>
        <v>24.4</v>
      </c>
      <c r="D28" s="6">
        <f>IFERROR(__xludf.DUMMYFUNCTION("""COMPUTED_VALUE"""),20.55)</f>
        <v>20.55</v>
      </c>
      <c r="E28" s="6">
        <f>IFERROR(__xludf.DUMMYFUNCTION("""COMPUTED_VALUE"""),23.8)</f>
        <v>23.8</v>
      </c>
      <c r="F28" s="6">
        <f>IFERROR(__xludf.DUMMYFUNCTION("""COMPUTED_VALUE"""),2.155810991E9)</f>
        <v>2155810991</v>
      </c>
    </row>
    <row r="29">
      <c r="A29" s="7">
        <f>IFERROR(__xludf.DUMMYFUNCTION("""COMPUTED_VALUE"""),45373.64583333333)</f>
        <v>45373.64583</v>
      </c>
      <c r="B29" s="6">
        <f>IFERROR(__xludf.DUMMYFUNCTION("""COMPUTED_VALUE"""),23.9)</f>
        <v>23.9</v>
      </c>
      <c r="C29" s="6">
        <f>IFERROR(__xludf.DUMMYFUNCTION("""COMPUTED_VALUE"""),24.2)</f>
        <v>24.2</v>
      </c>
      <c r="D29" s="6">
        <f>IFERROR(__xludf.DUMMYFUNCTION("""COMPUTED_VALUE"""),22.8)</f>
        <v>22.8</v>
      </c>
      <c r="E29" s="6">
        <f>IFERROR(__xludf.DUMMYFUNCTION("""COMPUTED_VALUE"""),23.9)</f>
        <v>23.9</v>
      </c>
      <c r="F29" s="6">
        <f>IFERROR(__xludf.DUMMYFUNCTION("""COMPUTED_VALUE"""),1.105701997E9)</f>
        <v>1105701997</v>
      </c>
    </row>
    <row r="30">
      <c r="A30" s="7">
        <f>IFERROR(__xludf.DUMMYFUNCTION("""COMPUTED_VALUE"""),45379.64583333333)</f>
        <v>45379.64583</v>
      </c>
      <c r="B30" s="6">
        <f>IFERROR(__xludf.DUMMYFUNCTION("""COMPUTED_VALUE"""),23.9)</f>
        <v>23.9</v>
      </c>
      <c r="C30" s="6">
        <f>IFERROR(__xludf.DUMMYFUNCTION("""COMPUTED_VALUE"""),24.15)</f>
        <v>24.15</v>
      </c>
      <c r="D30" s="6">
        <f>IFERROR(__xludf.DUMMYFUNCTION("""COMPUTED_VALUE"""),23.0)</f>
        <v>23</v>
      </c>
      <c r="E30" s="6">
        <f>IFERROR(__xludf.DUMMYFUNCTION("""COMPUTED_VALUE"""),23.2)</f>
        <v>23.2</v>
      </c>
      <c r="F30" s="6">
        <f>IFERROR(__xludf.DUMMYFUNCTION("""COMPUTED_VALUE"""),5.85295819E8)</f>
        <v>585295819</v>
      </c>
    </row>
    <row r="31">
      <c r="A31" s="7">
        <f>IFERROR(__xludf.DUMMYFUNCTION("""COMPUTED_VALUE"""),45387.64583333333)</f>
        <v>45387.64583</v>
      </c>
      <c r="B31" s="6">
        <f>IFERROR(__xludf.DUMMYFUNCTION("""COMPUTED_VALUE"""),23.3)</f>
        <v>23.3</v>
      </c>
      <c r="C31" s="6">
        <f>IFERROR(__xludf.DUMMYFUNCTION("""COMPUTED_VALUE"""),25.75)</f>
        <v>25.75</v>
      </c>
      <c r="D31" s="6">
        <f>IFERROR(__xludf.DUMMYFUNCTION("""COMPUTED_VALUE"""),23.3)</f>
        <v>23.3</v>
      </c>
      <c r="E31" s="6">
        <f>IFERROR(__xludf.DUMMYFUNCTION("""COMPUTED_VALUE"""),25.2)</f>
        <v>25.2</v>
      </c>
      <c r="F31" s="6">
        <f>IFERROR(__xludf.DUMMYFUNCTION("""COMPUTED_VALUE"""),1.252101296E9)</f>
        <v>1252101296</v>
      </c>
    </row>
    <row r="32">
      <c r="A32" s="7">
        <f>IFERROR(__xludf.DUMMYFUNCTION("""COMPUTED_VALUE"""),45394.64583333333)</f>
        <v>45394.64583</v>
      </c>
      <c r="B32" s="6">
        <f>IFERROR(__xludf.DUMMYFUNCTION("""COMPUTED_VALUE"""),25.3)</f>
        <v>25.3</v>
      </c>
      <c r="C32" s="6">
        <f>IFERROR(__xludf.DUMMYFUNCTION("""COMPUTED_VALUE"""),25.35)</f>
        <v>25.35</v>
      </c>
      <c r="D32" s="6">
        <f>IFERROR(__xludf.DUMMYFUNCTION("""COMPUTED_VALUE"""),24.2)</f>
        <v>24.2</v>
      </c>
      <c r="E32" s="6">
        <f>IFERROR(__xludf.DUMMYFUNCTION("""COMPUTED_VALUE"""),24.25)</f>
        <v>24.25</v>
      </c>
      <c r="F32" s="6">
        <f>IFERROR(__xludf.DUMMYFUNCTION("""COMPUTED_VALUE"""),5.555322E8)</f>
        <v>555532200</v>
      </c>
    </row>
    <row r="33">
      <c r="A33" s="7">
        <f>IFERROR(__xludf.DUMMYFUNCTION("""COMPUTED_VALUE"""),45401.64583333333)</f>
        <v>45401.64583</v>
      </c>
      <c r="B33" s="6">
        <f>IFERROR(__xludf.DUMMYFUNCTION("""COMPUTED_VALUE"""),24.25)</f>
        <v>24.25</v>
      </c>
      <c r="C33" s="6">
        <f>IFERROR(__xludf.DUMMYFUNCTION("""COMPUTED_VALUE"""),24.45)</f>
        <v>24.45</v>
      </c>
      <c r="D33" s="6">
        <f>IFERROR(__xludf.DUMMYFUNCTION("""COMPUTED_VALUE"""),23.25)</f>
        <v>23.25</v>
      </c>
      <c r="E33" s="6">
        <f>IFERROR(__xludf.DUMMYFUNCTION("""COMPUTED_VALUE"""),23.95)</f>
        <v>23.95</v>
      </c>
      <c r="F33" s="6">
        <f>IFERROR(__xludf.DUMMYFUNCTION("""COMPUTED_VALUE"""),7.4504021E8)</f>
        <v>745040210</v>
      </c>
    </row>
    <row r="34">
      <c r="A34" s="7">
        <f>IFERROR(__xludf.DUMMYFUNCTION("""COMPUTED_VALUE"""),45408.64583333333)</f>
        <v>45408.64583</v>
      </c>
      <c r="B34" s="6">
        <f>IFERROR(__xludf.DUMMYFUNCTION("""COMPUTED_VALUE"""),24.05)</f>
        <v>24.05</v>
      </c>
      <c r="C34" s="6">
        <f>IFERROR(__xludf.DUMMYFUNCTION("""COMPUTED_VALUE"""),26.5)</f>
        <v>26.5</v>
      </c>
      <c r="D34" s="6">
        <f>IFERROR(__xludf.DUMMYFUNCTION("""COMPUTED_VALUE"""),24.0)</f>
        <v>24</v>
      </c>
      <c r="E34" s="6">
        <f>IFERROR(__xludf.DUMMYFUNCTION("""COMPUTED_VALUE"""),26.15)</f>
        <v>26.15</v>
      </c>
      <c r="F34" s="6">
        <f>IFERROR(__xludf.DUMMYFUNCTION("""COMPUTED_VALUE"""),1.310921469E9)</f>
        <v>1310921469</v>
      </c>
    </row>
    <row r="35">
      <c r="A35" s="7">
        <f>IFERROR(__xludf.DUMMYFUNCTION("""COMPUTED_VALUE"""),45415.64583333333)</f>
        <v>45415.64583</v>
      </c>
      <c r="B35" s="6">
        <f>IFERROR(__xludf.DUMMYFUNCTION("""COMPUTED_VALUE"""),27.5)</f>
        <v>27.5</v>
      </c>
      <c r="C35" s="6">
        <f>IFERROR(__xludf.DUMMYFUNCTION("""COMPUTED_VALUE"""),28.55)</f>
        <v>28.55</v>
      </c>
      <c r="D35" s="6">
        <f>IFERROR(__xludf.DUMMYFUNCTION("""COMPUTED_VALUE"""),24.25)</f>
        <v>24.25</v>
      </c>
      <c r="E35" s="6">
        <f>IFERROR(__xludf.DUMMYFUNCTION("""COMPUTED_VALUE"""),24.95)</f>
        <v>24.95</v>
      </c>
      <c r="F35" s="6">
        <f>IFERROR(__xludf.DUMMYFUNCTION("""COMPUTED_VALUE"""),2.014359064E9)</f>
        <v>2014359064</v>
      </c>
    </row>
    <row r="36">
      <c r="A36" s="7">
        <f>IFERROR(__xludf.DUMMYFUNCTION("""COMPUTED_VALUE"""),45422.64583333333)</f>
        <v>45422.64583</v>
      </c>
      <c r="B36" s="6">
        <f>IFERROR(__xludf.DUMMYFUNCTION("""COMPUTED_VALUE"""),25.2)</f>
        <v>25.2</v>
      </c>
      <c r="C36" s="6">
        <f>IFERROR(__xludf.DUMMYFUNCTION("""COMPUTED_VALUE"""),25.25)</f>
        <v>25.25</v>
      </c>
      <c r="D36" s="6">
        <f>IFERROR(__xludf.DUMMYFUNCTION("""COMPUTED_VALUE"""),22.05)</f>
        <v>22.05</v>
      </c>
      <c r="E36" s="6">
        <f>IFERROR(__xludf.DUMMYFUNCTION("""COMPUTED_VALUE"""),22.5)</f>
        <v>22.5</v>
      </c>
      <c r="F36" s="6">
        <f>IFERROR(__xludf.DUMMYFUNCTION("""COMPUTED_VALUE"""),1.412581898E9)</f>
        <v>1412581898</v>
      </c>
    </row>
    <row r="37">
      <c r="A37" s="7">
        <f>IFERROR(__xludf.DUMMYFUNCTION("""COMPUTED_VALUE"""),45436.64583333333)</f>
        <v>45436.64583</v>
      </c>
      <c r="B37" s="6">
        <f>IFERROR(__xludf.DUMMYFUNCTION("""COMPUTED_VALUE"""),23.35)</f>
        <v>23.35</v>
      </c>
      <c r="C37" s="6">
        <f>IFERROR(__xludf.DUMMYFUNCTION("""COMPUTED_VALUE"""),23.5)</f>
        <v>23.5</v>
      </c>
      <c r="D37" s="6">
        <f>IFERROR(__xludf.DUMMYFUNCTION("""COMPUTED_VALUE"""),22.75)</f>
        <v>22.75</v>
      </c>
      <c r="E37" s="6">
        <f>IFERROR(__xludf.DUMMYFUNCTION("""COMPUTED_VALUE"""),23.0)</f>
        <v>23</v>
      </c>
      <c r="F37" s="6">
        <f>IFERROR(__xludf.DUMMYFUNCTION("""COMPUTED_VALUE"""),5.45533453E8)</f>
        <v>545533453</v>
      </c>
    </row>
    <row r="38">
      <c r="A38" s="7">
        <f>IFERROR(__xludf.DUMMYFUNCTION("""COMPUTED_VALUE"""),45443.64583333333)</f>
        <v>45443.64583</v>
      </c>
      <c r="B38" s="6">
        <f>IFERROR(__xludf.DUMMYFUNCTION("""COMPUTED_VALUE"""),23.1)</f>
        <v>23.1</v>
      </c>
      <c r="C38" s="6">
        <f>IFERROR(__xludf.DUMMYFUNCTION("""COMPUTED_VALUE"""),23.45)</f>
        <v>23.45</v>
      </c>
      <c r="D38" s="6">
        <f>IFERROR(__xludf.DUMMYFUNCTION("""COMPUTED_VALUE"""),22.4)</f>
        <v>22.4</v>
      </c>
      <c r="E38" s="6">
        <f>IFERROR(__xludf.DUMMYFUNCTION("""COMPUTED_VALUE"""),23.0)</f>
        <v>23</v>
      </c>
      <c r="F38" s="6">
        <f>IFERROR(__xludf.DUMMYFUNCTION("""COMPUTED_VALUE"""),8.5346536E8)</f>
        <v>853465360</v>
      </c>
    </row>
    <row r="39">
      <c r="A39" s="7">
        <f>IFERROR(__xludf.DUMMYFUNCTION("""COMPUTED_VALUE"""),45450.64583333333)</f>
        <v>45450.64583</v>
      </c>
      <c r="B39" s="6">
        <f>IFERROR(__xludf.DUMMYFUNCTION("""COMPUTED_VALUE"""),24.4)</f>
        <v>24.4</v>
      </c>
      <c r="C39" s="6">
        <f>IFERROR(__xludf.DUMMYFUNCTION("""COMPUTED_VALUE"""),24.65)</f>
        <v>24.65</v>
      </c>
      <c r="D39" s="6">
        <f>IFERROR(__xludf.DUMMYFUNCTION("""COMPUTED_VALUE"""),21.0)</f>
        <v>21</v>
      </c>
      <c r="E39" s="6">
        <f>IFERROR(__xludf.DUMMYFUNCTION("""COMPUTED_VALUE"""),23.15)</f>
        <v>23.15</v>
      </c>
      <c r="F39" s="6">
        <f>IFERROR(__xludf.DUMMYFUNCTION("""COMPUTED_VALUE"""),1.157003942E9)</f>
        <v>1157003942</v>
      </c>
    </row>
    <row r="40">
      <c r="A40" s="7">
        <f>IFERROR(__xludf.DUMMYFUNCTION("""COMPUTED_VALUE"""),45457.64583333333)</f>
        <v>45457.64583</v>
      </c>
      <c r="B40" s="6">
        <f>IFERROR(__xludf.DUMMYFUNCTION("""COMPUTED_VALUE"""),23.4)</f>
        <v>23.4</v>
      </c>
      <c r="C40" s="6">
        <f>IFERROR(__xludf.DUMMYFUNCTION("""COMPUTED_VALUE"""),24.5)</f>
        <v>24.5</v>
      </c>
      <c r="D40" s="6">
        <f>IFERROR(__xludf.DUMMYFUNCTION("""COMPUTED_VALUE"""),23.21)</f>
        <v>23.21</v>
      </c>
      <c r="E40" s="6">
        <f>IFERROR(__xludf.DUMMYFUNCTION("""COMPUTED_VALUE"""),23.81)</f>
        <v>23.81</v>
      </c>
      <c r="F40" s="6">
        <f>IFERROR(__xludf.DUMMYFUNCTION("""COMPUTED_VALUE"""),8.51541018E8)</f>
        <v>851541018</v>
      </c>
    </row>
    <row r="41">
      <c r="A41" s="7">
        <f>IFERROR(__xludf.DUMMYFUNCTION("""COMPUTED_VALUE"""),45464.64583333333)</f>
        <v>45464.64583</v>
      </c>
      <c r="B41" s="6">
        <f>IFERROR(__xludf.DUMMYFUNCTION("""COMPUTED_VALUE"""),23.89)</f>
        <v>23.89</v>
      </c>
      <c r="C41" s="6">
        <f>IFERROR(__xludf.DUMMYFUNCTION("""COMPUTED_VALUE"""),24.65)</f>
        <v>24.65</v>
      </c>
      <c r="D41" s="6">
        <f>IFERROR(__xludf.DUMMYFUNCTION("""COMPUTED_VALUE"""),23.5)</f>
        <v>23.5</v>
      </c>
      <c r="E41" s="6">
        <f>IFERROR(__xludf.DUMMYFUNCTION("""COMPUTED_VALUE"""),23.84)</f>
        <v>23.84</v>
      </c>
      <c r="F41" s="6">
        <f>IFERROR(__xludf.DUMMYFUNCTION("""COMPUTED_VALUE"""),5.32160658E8)</f>
        <v>532160658</v>
      </c>
    </row>
    <row r="42">
      <c r="A42" s="7">
        <f>IFERROR(__xludf.DUMMYFUNCTION("""COMPUTED_VALUE"""),45471.64583333333)</f>
        <v>45471.64583</v>
      </c>
      <c r="B42" s="6">
        <f>IFERROR(__xludf.DUMMYFUNCTION("""COMPUTED_VALUE"""),23.89)</f>
        <v>23.89</v>
      </c>
      <c r="C42" s="6">
        <f>IFERROR(__xludf.DUMMYFUNCTION("""COMPUTED_VALUE"""),24.45)</f>
        <v>24.45</v>
      </c>
      <c r="D42" s="6">
        <f>IFERROR(__xludf.DUMMYFUNCTION("""COMPUTED_VALUE"""),23.32)</f>
        <v>23.32</v>
      </c>
      <c r="E42" s="6">
        <f>IFERROR(__xludf.DUMMYFUNCTION("""COMPUTED_VALUE"""),23.69)</f>
        <v>23.69</v>
      </c>
      <c r="F42" s="6">
        <f>IFERROR(__xludf.DUMMYFUNCTION("""COMPUTED_VALUE"""),6.04179369E8)</f>
        <v>604179369</v>
      </c>
    </row>
    <row r="43">
      <c r="A43" s="7">
        <f>IFERROR(__xludf.DUMMYFUNCTION("""COMPUTED_VALUE"""),45478.64583333333)</f>
        <v>45478.64583</v>
      </c>
      <c r="B43" s="6">
        <f>IFERROR(__xludf.DUMMYFUNCTION("""COMPUTED_VALUE"""),23.78)</f>
        <v>23.78</v>
      </c>
      <c r="C43" s="6">
        <f>IFERROR(__xludf.DUMMYFUNCTION("""COMPUTED_VALUE"""),27.04)</f>
        <v>27.04</v>
      </c>
      <c r="D43" s="6">
        <f>IFERROR(__xludf.DUMMYFUNCTION("""COMPUTED_VALUE"""),23.61)</f>
        <v>23.61</v>
      </c>
      <c r="E43" s="6">
        <f>IFERROR(__xludf.DUMMYFUNCTION("""COMPUTED_VALUE"""),26.64)</f>
        <v>26.64</v>
      </c>
      <c r="F43" s="6">
        <f>IFERROR(__xludf.DUMMYFUNCTION("""COMPUTED_VALUE"""),1.511973132E9)</f>
        <v>1511973132</v>
      </c>
    </row>
    <row r="44">
      <c r="A44" s="7">
        <f>IFERROR(__xludf.DUMMYFUNCTION("""COMPUTED_VALUE"""),45485.64583333333)</f>
        <v>45485.64583</v>
      </c>
      <c r="B44" s="6">
        <f>IFERROR(__xludf.DUMMYFUNCTION("""COMPUTED_VALUE"""),26.95)</f>
        <v>26.95</v>
      </c>
      <c r="C44" s="6">
        <f>IFERROR(__xludf.DUMMYFUNCTION("""COMPUTED_VALUE"""),27.44)</f>
        <v>27.44</v>
      </c>
      <c r="D44" s="6">
        <f>IFERROR(__xludf.DUMMYFUNCTION("""COMPUTED_VALUE"""),24.6)</f>
        <v>24.6</v>
      </c>
      <c r="E44" s="6">
        <f>IFERROR(__xludf.DUMMYFUNCTION("""COMPUTED_VALUE"""),25.6)</f>
        <v>25.6</v>
      </c>
      <c r="F44" s="6">
        <f>IFERROR(__xludf.DUMMYFUNCTION("""COMPUTED_VALUE"""),2.15369192E9)</f>
        <v>2153691920</v>
      </c>
    </row>
    <row r="45">
      <c r="A45" s="7">
        <f>IFERROR(__xludf.DUMMYFUNCTION("""COMPUTED_VALUE"""),45492.64583333333)</f>
        <v>45492.64583</v>
      </c>
      <c r="B45" s="6">
        <f>IFERROR(__xludf.DUMMYFUNCTION("""COMPUTED_VALUE"""),25.65)</f>
        <v>25.65</v>
      </c>
      <c r="C45" s="6">
        <f>IFERROR(__xludf.DUMMYFUNCTION("""COMPUTED_VALUE"""),26.85)</f>
        <v>26.85</v>
      </c>
      <c r="D45" s="6">
        <f>IFERROR(__xludf.DUMMYFUNCTION("""COMPUTED_VALUE"""),24.62)</f>
        <v>24.62</v>
      </c>
      <c r="E45" s="6">
        <f>IFERROR(__xludf.DUMMYFUNCTION("""COMPUTED_VALUE"""),24.77)</f>
        <v>24.77</v>
      </c>
      <c r="F45" s="6">
        <f>IFERROR(__xludf.DUMMYFUNCTION("""COMPUTED_VALUE"""),9.13604801E8)</f>
        <v>913604801</v>
      </c>
    </row>
    <row r="46">
      <c r="A46" s="7">
        <f>IFERROR(__xludf.DUMMYFUNCTION("""COMPUTED_VALUE"""),45499.64583333333)</f>
        <v>45499.64583</v>
      </c>
      <c r="B46" s="6">
        <f>IFERROR(__xludf.DUMMYFUNCTION("""COMPUTED_VALUE"""),25.9)</f>
        <v>25.9</v>
      </c>
      <c r="C46" s="6">
        <f>IFERROR(__xludf.DUMMYFUNCTION("""COMPUTED_VALUE"""),26.19)</f>
        <v>26.19</v>
      </c>
      <c r="D46" s="6">
        <f>IFERROR(__xludf.DUMMYFUNCTION("""COMPUTED_VALUE"""),24.25)</f>
        <v>24.25</v>
      </c>
      <c r="E46" s="6">
        <f>IFERROR(__xludf.DUMMYFUNCTION("""COMPUTED_VALUE"""),24.97)</f>
        <v>24.97</v>
      </c>
      <c r="F46" s="6">
        <f>IFERROR(__xludf.DUMMYFUNCTION("""COMPUTED_VALUE"""),8.78292252E8)</f>
        <v>878292252</v>
      </c>
    </row>
    <row r="47">
      <c r="A47" s="7">
        <f>IFERROR(__xludf.DUMMYFUNCTION("""COMPUTED_VALUE"""),45506.64583333333)</f>
        <v>45506.64583</v>
      </c>
      <c r="B47" s="6">
        <f>IFERROR(__xludf.DUMMYFUNCTION("""COMPUTED_VALUE"""),25.25)</f>
        <v>25.25</v>
      </c>
      <c r="C47" s="6">
        <f>IFERROR(__xludf.DUMMYFUNCTION("""COMPUTED_VALUE"""),27.2)</f>
        <v>27.2</v>
      </c>
      <c r="D47" s="6">
        <f>IFERROR(__xludf.DUMMYFUNCTION("""COMPUTED_VALUE"""),24.8)</f>
        <v>24.8</v>
      </c>
      <c r="E47" s="6">
        <f>IFERROR(__xludf.DUMMYFUNCTION("""COMPUTED_VALUE"""),25.45)</f>
        <v>25.45</v>
      </c>
      <c r="F47" s="6">
        <f>IFERROR(__xludf.DUMMYFUNCTION("""COMPUTED_VALUE"""),1.574024328E9)</f>
        <v>1574024328</v>
      </c>
    </row>
    <row r="48">
      <c r="A48" s="7">
        <f>IFERROR(__xludf.DUMMYFUNCTION("""COMPUTED_VALUE"""),45513.64583333333)</f>
        <v>45513.64583</v>
      </c>
      <c r="B48" s="6">
        <f>IFERROR(__xludf.DUMMYFUNCTION("""COMPUTED_VALUE"""),24.5)</f>
        <v>24.5</v>
      </c>
      <c r="C48" s="6">
        <f>IFERROR(__xludf.DUMMYFUNCTION("""COMPUTED_VALUE"""),24.75)</f>
        <v>24.75</v>
      </c>
      <c r="D48" s="6">
        <f>IFERROR(__xludf.DUMMYFUNCTION("""COMPUTED_VALUE"""),23.16)</f>
        <v>23.16</v>
      </c>
      <c r="E48" s="6">
        <f>IFERROR(__xludf.DUMMYFUNCTION("""COMPUTED_VALUE"""),23.94)</f>
        <v>23.94</v>
      </c>
      <c r="F48" s="6">
        <f>IFERROR(__xludf.DUMMYFUNCTION("""COMPUTED_VALUE"""),9.48897467E8)</f>
        <v>948897467</v>
      </c>
    </row>
    <row r="49">
      <c r="A49" s="7">
        <f>IFERROR(__xludf.DUMMYFUNCTION("""COMPUTED_VALUE"""),45520.64583333333)</f>
        <v>45520.64583</v>
      </c>
      <c r="B49" s="6">
        <f>IFERROR(__xludf.DUMMYFUNCTION("""COMPUTED_VALUE"""),23.89)</f>
        <v>23.89</v>
      </c>
      <c r="C49" s="6">
        <f>IFERROR(__xludf.DUMMYFUNCTION("""COMPUTED_VALUE"""),25.1)</f>
        <v>25.1</v>
      </c>
      <c r="D49" s="6">
        <f>IFERROR(__xludf.DUMMYFUNCTION("""COMPUTED_VALUE"""),23.54)</f>
        <v>23.54</v>
      </c>
      <c r="E49" s="6">
        <f>IFERROR(__xludf.DUMMYFUNCTION("""COMPUTED_VALUE"""),24.27)</f>
        <v>24.27</v>
      </c>
      <c r="F49" s="6">
        <f>IFERROR(__xludf.DUMMYFUNCTION("""COMPUTED_VALUE"""),5.865748E8)</f>
        <v>586574800</v>
      </c>
    </row>
    <row r="50">
      <c r="A50" s="7">
        <f>IFERROR(__xludf.DUMMYFUNCTION("""COMPUTED_VALUE"""),45527.64583333333)</f>
        <v>45527.64583</v>
      </c>
      <c r="B50" s="6">
        <f>IFERROR(__xludf.DUMMYFUNCTION("""COMPUTED_VALUE"""),24.29)</f>
        <v>24.29</v>
      </c>
      <c r="C50" s="6">
        <f>IFERROR(__xludf.DUMMYFUNCTION("""COMPUTED_VALUE"""),24.94)</f>
        <v>24.94</v>
      </c>
      <c r="D50" s="6">
        <f>IFERROR(__xludf.DUMMYFUNCTION("""COMPUTED_VALUE"""),24.25)</f>
        <v>24.25</v>
      </c>
      <c r="E50" s="6">
        <f>IFERROR(__xludf.DUMMYFUNCTION("""COMPUTED_VALUE"""),24.39)</f>
        <v>24.39</v>
      </c>
      <c r="F50" s="6">
        <f>IFERROR(__xludf.DUMMYFUNCTION("""COMPUTED_VALUE"""),4.98804833E8)</f>
        <v>498804833</v>
      </c>
    </row>
    <row r="51">
      <c r="A51" s="7">
        <f>IFERROR(__xludf.DUMMYFUNCTION("""COMPUTED_VALUE"""),45534.64583333333)</f>
        <v>45534.64583</v>
      </c>
      <c r="B51" s="6">
        <f>IFERROR(__xludf.DUMMYFUNCTION("""COMPUTED_VALUE"""),24.5)</f>
        <v>24.5</v>
      </c>
      <c r="C51" s="6">
        <f>IFERROR(__xludf.DUMMYFUNCTION("""COMPUTED_VALUE"""),24.53)</f>
        <v>24.53</v>
      </c>
      <c r="D51" s="6">
        <f>IFERROR(__xludf.DUMMYFUNCTION("""COMPUTED_VALUE"""),23.55)</f>
        <v>23.55</v>
      </c>
      <c r="E51" s="6">
        <f>IFERROR(__xludf.DUMMYFUNCTION("""COMPUTED_VALUE"""),23.61)</f>
        <v>23.61</v>
      </c>
      <c r="F51" s="6">
        <f>IFERROR(__xludf.DUMMYFUNCTION("""COMPUTED_VALUE"""),4.21883396E8)</f>
        <v>421883396</v>
      </c>
    </row>
    <row r="52">
      <c r="A52" s="7">
        <f>IFERROR(__xludf.DUMMYFUNCTION("""COMPUTED_VALUE"""),45541.64583333333)</f>
        <v>45541.64583</v>
      </c>
      <c r="B52" s="6">
        <f>IFERROR(__xludf.DUMMYFUNCTION("""COMPUTED_VALUE"""),23.61)</f>
        <v>23.61</v>
      </c>
      <c r="C52" s="6">
        <f>IFERROR(__xludf.DUMMYFUNCTION("""COMPUTED_VALUE"""),24.02)</f>
        <v>24.02</v>
      </c>
      <c r="D52" s="6">
        <f>IFERROR(__xludf.DUMMYFUNCTION("""COMPUTED_VALUE"""),23.1)</f>
        <v>23.1</v>
      </c>
      <c r="E52" s="6">
        <f>IFERROR(__xludf.DUMMYFUNCTION("""COMPUTED_VALUE"""),23.14)</f>
        <v>23.14</v>
      </c>
      <c r="F52" s="6">
        <f>IFERROR(__xludf.DUMMYFUNCTION("""COMPUTED_VALUE"""),4.27939155E8)</f>
        <v>427939155</v>
      </c>
    </row>
    <row r="53">
      <c r="A53" s="7">
        <f>IFERROR(__xludf.DUMMYFUNCTION("""COMPUTED_VALUE"""),45548.64583333333)</f>
        <v>45548.64583</v>
      </c>
      <c r="B53" s="6">
        <f>IFERROR(__xludf.DUMMYFUNCTION("""COMPUTED_VALUE"""),23.05)</f>
        <v>23.05</v>
      </c>
      <c r="C53" s="6">
        <f>IFERROR(__xludf.DUMMYFUNCTION("""COMPUTED_VALUE"""),24.41)</f>
        <v>24.41</v>
      </c>
      <c r="D53" s="6">
        <f>IFERROR(__xludf.DUMMYFUNCTION("""COMPUTED_VALUE"""),22.51)</f>
        <v>22.51</v>
      </c>
      <c r="E53" s="6">
        <f>IFERROR(__xludf.DUMMYFUNCTION("""COMPUTED_VALUE"""),23.3)</f>
        <v>23.3</v>
      </c>
      <c r="F53" s="6">
        <f>IFERROR(__xludf.DUMMYFUNCTION("""COMPUTED_VALUE"""),6.36180013E8)</f>
        <v>636180013</v>
      </c>
    </row>
    <row r="54">
      <c r="A54" s="7">
        <f>IFERROR(__xludf.DUMMYFUNCTION("""COMPUTED_VALUE"""),45555.64583333333)</f>
        <v>45555.64583</v>
      </c>
      <c r="B54" s="6">
        <f>IFERROR(__xludf.DUMMYFUNCTION("""COMPUTED_VALUE"""),23.31)</f>
        <v>23.31</v>
      </c>
      <c r="C54" s="6">
        <f>IFERROR(__xludf.DUMMYFUNCTION("""COMPUTED_VALUE"""),23.97)</f>
        <v>23.97</v>
      </c>
      <c r="D54" s="6">
        <f>IFERROR(__xludf.DUMMYFUNCTION("""COMPUTED_VALUE"""),22.8)</f>
        <v>22.8</v>
      </c>
      <c r="E54" s="6">
        <f>IFERROR(__xludf.DUMMYFUNCTION("""COMPUTED_VALUE"""),23.0)</f>
        <v>23</v>
      </c>
      <c r="F54" s="6">
        <f>IFERROR(__xludf.DUMMYFUNCTION("""COMPUTED_VALUE"""),4.70073033E8)</f>
        <v>470073033</v>
      </c>
    </row>
    <row r="55">
      <c r="A55" s="7">
        <f>IFERROR(__xludf.DUMMYFUNCTION("""COMPUTED_VALUE"""),45562.64583333333)</f>
        <v>45562.64583</v>
      </c>
      <c r="B55" s="6">
        <f>IFERROR(__xludf.DUMMYFUNCTION("""COMPUTED_VALUE"""),23.19)</f>
        <v>23.19</v>
      </c>
      <c r="C55" s="6">
        <f>IFERROR(__xludf.DUMMYFUNCTION("""COMPUTED_VALUE"""),23.19)</f>
        <v>23.19</v>
      </c>
      <c r="D55" s="6">
        <f>IFERROR(__xludf.DUMMYFUNCTION("""COMPUTED_VALUE"""),22.65)</f>
        <v>22.65</v>
      </c>
      <c r="E55" s="6">
        <f>IFERROR(__xludf.DUMMYFUNCTION("""COMPUTED_VALUE"""),22.74)</f>
        <v>22.74</v>
      </c>
      <c r="F55" s="6">
        <f>IFERROR(__xludf.DUMMYFUNCTION("""COMPUTED_VALUE"""),3.0429948E8)</f>
        <v>304299480</v>
      </c>
    </row>
    <row r="56">
      <c r="A56" s="7">
        <f>IFERROR(__xludf.DUMMYFUNCTION("""COMPUTED_VALUE"""),45569.64583333333)</f>
        <v>45569.64583</v>
      </c>
      <c r="B56" s="6">
        <f>IFERROR(__xludf.DUMMYFUNCTION("""COMPUTED_VALUE"""),22.73)</f>
        <v>22.73</v>
      </c>
      <c r="C56" s="6">
        <f>IFERROR(__xludf.DUMMYFUNCTION("""COMPUTED_VALUE"""),22.74)</f>
        <v>22.74</v>
      </c>
      <c r="D56" s="6">
        <f>IFERROR(__xludf.DUMMYFUNCTION("""COMPUTED_VALUE"""),21.52)</f>
        <v>21.52</v>
      </c>
      <c r="E56" s="6">
        <f>IFERROR(__xludf.DUMMYFUNCTION("""COMPUTED_VALUE"""),21.95)</f>
        <v>21.95</v>
      </c>
      <c r="F56" s="6">
        <f>IFERROR(__xludf.DUMMYFUNCTION("""COMPUTED_VALUE"""),3.47338972E8)</f>
        <v>347338972</v>
      </c>
    </row>
    <row r="57">
      <c r="A57" s="7">
        <f>IFERROR(__xludf.DUMMYFUNCTION("""COMPUTED_VALUE"""),45576.64583333333)</f>
        <v>45576.64583</v>
      </c>
      <c r="B57" s="6">
        <f>IFERROR(__xludf.DUMMYFUNCTION("""COMPUTED_VALUE"""),22.21)</f>
        <v>22.21</v>
      </c>
      <c r="C57" s="6">
        <f>IFERROR(__xludf.DUMMYFUNCTION("""COMPUTED_VALUE"""),22.26)</f>
        <v>22.26</v>
      </c>
      <c r="D57" s="6">
        <f>IFERROR(__xludf.DUMMYFUNCTION("""COMPUTED_VALUE"""),20.77)</f>
        <v>20.77</v>
      </c>
      <c r="E57" s="6">
        <f>IFERROR(__xludf.DUMMYFUNCTION("""COMPUTED_VALUE"""),21.4)</f>
        <v>21.4</v>
      </c>
      <c r="F57" s="6">
        <f>IFERROR(__xludf.DUMMYFUNCTION("""COMPUTED_VALUE"""),4.46878765E8)</f>
        <v>446878765</v>
      </c>
    </row>
    <row r="58">
      <c r="A58" s="7">
        <f>IFERROR(__xludf.DUMMYFUNCTION("""COMPUTED_VALUE"""),45583.64583333333)</f>
        <v>45583.64583</v>
      </c>
      <c r="B58" s="6">
        <f>IFERROR(__xludf.DUMMYFUNCTION("""COMPUTED_VALUE"""),21.4)</f>
        <v>21.4</v>
      </c>
      <c r="C58" s="6">
        <f>IFERROR(__xludf.DUMMYFUNCTION("""COMPUTED_VALUE"""),21.49)</f>
        <v>21.49</v>
      </c>
      <c r="D58" s="6">
        <f>IFERROR(__xludf.DUMMYFUNCTION("""COMPUTED_VALUE"""),20.57)</f>
        <v>20.57</v>
      </c>
      <c r="E58" s="6">
        <f>IFERROR(__xludf.DUMMYFUNCTION("""COMPUTED_VALUE"""),21.09)</f>
        <v>21.09</v>
      </c>
      <c r="F58" s="6">
        <f>IFERROR(__xludf.DUMMYFUNCTION("""COMPUTED_VALUE"""),2.50419774E8)</f>
        <v>250419774</v>
      </c>
    </row>
    <row r="59">
      <c r="A59" s="7">
        <f>IFERROR(__xludf.DUMMYFUNCTION("""COMPUTED_VALUE"""),45590.64583333333)</f>
        <v>45590.64583</v>
      </c>
      <c r="B59" s="6">
        <f>IFERROR(__xludf.DUMMYFUNCTION("""COMPUTED_VALUE"""),21.1)</f>
        <v>21.1</v>
      </c>
      <c r="C59" s="6">
        <f>IFERROR(__xludf.DUMMYFUNCTION("""COMPUTED_VALUE"""),21.52)</f>
        <v>21.52</v>
      </c>
      <c r="D59" s="6">
        <f>IFERROR(__xludf.DUMMYFUNCTION("""COMPUTED_VALUE"""),19.22)</f>
        <v>19.22</v>
      </c>
      <c r="E59" s="6">
        <f>IFERROR(__xludf.DUMMYFUNCTION("""COMPUTED_VALUE"""),19.38)</f>
        <v>19.38</v>
      </c>
      <c r="F59" s="6">
        <f>IFERROR(__xludf.DUMMYFUNCTION("""COMPUTED_VALUE"""),3.95300821E8)</f>
        <v>395300821</v>
      </c>
    </row>
    <row r="60">
      <c r="A60" s="7">
        <f>IFERROR(__xludf.DUMMYFUNCTION("""COMPUTED_VALUE"""),45604.64583333333)</f>
        <v>45604.64583</v>
      </c>
      <c r="B60" s="6">
        <f>IFERROR(__xludf.DUMMYFUNCTION("""COMPUTED_VALUE"""),20.7)</f>
        <v>20.7</v>
      </c>
      <c r="C60" s="6">
        <f>IFERROR(__xludf.DUMMYFUNCTION("""COMPUTED_VALUE"""),21.14)</f>
        <v>21.14</v>
      </c>
      <c r="D60" s="6">
        <f>IFERROR(__xludf.DUMMYFUNCTION("""COMPUTED_VALUE"""),20.07)</f>
        <v>20.07</v>
      </c>
      <c r="E60" s="6">
        <f>IFERROR(__xludf.DUMMYFUNCTION("""COMPUTED_VALUE"""),20.16)</f>
        <v>20.16</v>
      </c>
      <c r="F60" s="6">
        <f>IFERROR(__xludf.DUMMYFUNCTION("""COMPUTED_VALUE"""),2.92924603E8)</f>
        <v>292924603</v>
      </c>
    </row>
    <row r="61">
      <c r="A61" s="7">
        <f>IFERROR(__xludf.DUMMYFUNCTION("""COMPUTED_VALUE"""),45610.64583333333)</f>
        <v>45610.64583</v>
      </c>
      <c r="B61" s="6">
        <f>IFERROR(__xludf.DUMMYFUNCTION("""COMPUTED_VALUE"""),20.16)</f>
        <v>20.16</v>
      </c>
      <c r="C61" s="6">
        <f>IFERROR(__xludf.DUMMYFUNCTION("""COMPUTED_VALUE"""),20.33)</f>
        <v>20.33</v>
      </c>
      <c r="D61" s="6">
        <f>IFERROR(__xludf.DUMMYFUNCTION("""COMPUTED_VALUE"""),19.02)</f>
        <v>19.02</v>
      </c>
      <c r="E61" s="6">
        <f>IFERROR(__xludf.DUMMYFUNCTION("""COMPUTED_VALUE"""),19.31)</f>
        <v>19.31</v>
      </c>
      <c r="F61" s="6">
        <f>IFERROR(__xludf.DUMMYFUNCTION("""COMPUTED_VALUE"""),2.74366308E8)</f>
        <v>274366308</v>
      </c>
    </row>
    <row r="62">
      <c r="A62" s="7">
        <f>IFERROR(__xludf.DUMMYFUNCTION("""COMPUTED_VALUE"""),45618.64583333333)</f>
        <v>45618.64583</v>
      </c>
      <c r="B62" s="6">
        <f>IFERROR(__xludf.DUMMYFUNCTION("""COMPUTED_VALUE"""),19.29)</f>
        <v>19.29</v>
      </c>
      <c r="C62" s="6">
        <f>IFERROR(__xludf.DUMMYFUNCTION("""COMPUTED_VALUE"""),19.82)</f>
        <v>19.82</v>
      </c>
      <c r="D62" s="6">
        <f>IFERROR(__xludf.DUMMYFUNCTION("""COMPUTED_VALUE"""),19.04)</f>
        <v>19.04</v>
      </c>
      <c r="E62" s="6">
        <f>IFERROR(__xludf.DUMMYFUNCTION("""COMPUTED_VALUE"""),19.21)</f>
        <v>19.21</v>
      </c>
      <c r="F62" s="6">
        <f>IFERROR(__xludf.DUMMYFUNCTION("""COMPUTED_VALUE"""),2.23370399E8)</f>
        <v>223370399</v>
      </c>
    </row>
    <row r="63">
      <c r="A63" s="7">
        <f>IFERROR(__xludf.DUMMYFUNCTION("""COMPUTED_VALUE"""),45625.64583333333)</f>
        <v>45625.64583</v>
      </c>
      <c r="B63" s="6">
        <f>IFERROR(__xludf.DUMMYFUNCTION("""COMPUTED_VALUE"""),19.51)</f>
        <v>19.51</v>
      </c>
      <c r="C63" s="6">
        <f>IFERROR(__xludf.DUMMYFUNCTION("""COMPUTED_VALUE"""),20.65)</f>
        <v>20.65</v>
      </c>
      <c r="D63" s="6">
        <f>IFERROR(__xludf.DUMMYFUNCTION("""COMPUTED_VALUE"""),19.06)</f>
        <v>19.06</v>
      </c>
      <c r="E63" s="6">
        <f>IFERROR(__xludf.DUMMYFUNCTION("""COMPUTED_VALUE"""),19.96)</f>
        <v>19.96</v>
      </c>
      <c r="F63" s="6">
        <f>IFERROR(__xludf.DUMMYFUNCTION("""COMPUTED_VALUE"""),6.11320063E8)</f>
        <v>611320063</v>
      </c>
    </row>
    <row r="64">
      <c r="A64" s="7">
        <f>IFERROR(__xludf.DUMMYFUNCTION("""COMPUTED_VALUE"""),45632.64583333333)</f>
        <v>45632.64583</v>
      </c>
      <c r="B64" s="6">
        <f>IFERROR(__xludf.DUMMYFUNCTION("""COMPUTED_VALUE"""),19.96)</f>
        <v>19.96</v>
      </c>
      <c r="C64" s="6">
        <f>IFERROR(__xludf.DUMMYFUNCTION("""COMPUTED_VALUE"""),21.58)</f>
        <v>21.58</v>
      </c>
      <c r="D64" s="6">
        <f>IFERROR(__xludf.DUMMYFUNCTION("""COMPUTED_VALUE"""),19.9)</f>
        <v>19.9</v>
      </c>
      <c r="E64" s="6">
        <f>IFERROR(__xludf.DUMMYFUNCTION("""COMPUTED_VALUE"""),21.49)</f>
        <v>21.49</v>
      </c>
      <c r="F64" s="6">
        <f>IFERROR(__xludf.DUMMYFUNCTION("""COMPUTED_VALUE"""),5.64295134E8)</f>
        <v>564295134</v>
      </c>
    </row>
    <row r="65">
      <c r="A65" s="7">
        <f>IFERROR(__xludf.DUMMYFUNCTION("""COMPUTED_VALUE"""),45639.64583333333)</f>
        <v>45639.64583</v>
      </c>
      <c r="B65" s="6">
        <f>IFERROR(__xludf.DUMMYFUNCTION("""COMPUTED_VALUE"""),21.49)</f>
        <v>21.49</v>
      </c>
      <c r="C65" s="6">
        <f>IFERROR(__xludf.DUMMYFUNCTION("""COMPUTED_VALUE"""),22.02)</f>
        <v>22.02</v>
      </c>
      <c r="D65" s="6">
        <f>IFERROR(__xludf.DUMMYFUNCTION("""COMPUTED_VALUE"""),20.7)</f>
        <v>20.7</v>
      </c>
      <c r="E65" s="6">
        <f>IFERROR(__xludf.DUMMYFUNCTION("""COMPUTED_VALUE"""),21.09)</f>
        <v>21.09</v>
      </c>
      <c r="F65" s="6">
        <f>IFERROR(__xludf.DUMMYFUNCTION("""COMPUTED_VALUE"""),5.4891507E8)</f>
        <v>548915070</v>
      </c>
    </row>
    <row r="66">
      <c r="A66" s="7">
        <f>IFERROR(__xludf.DUMMYFUNCTION("""COMPUTED_VALUE"""),45646.64583333333)</f>
        <v>45646.64583</v>
      </c>
      <c r="B66" s="6">
        <f>IFERROR(__xludf.DUMMYFUNCTION("""COMPUTED_VALUE"""),21.15)</f>
        <v>21.15</v>
      </c>
      <c r="C66" s="6">
        <f>IFERROR(__xludf.DUMMYFUNCTION("""COMPUTED_VALUE"""),21.58)</f>
        <v>21.58</v>
      </c>
      <c r="D66" s="6">
        <f>IFERROR(__xludf.DUMMYFUNCTION("""COMPUTED_VALUE"""),19.75)</f>
        <v>19.75</v>
      </c>
      <c r="E66" s="6">
        <f>IFERROR(__xludf.DUMMYFUNCTION("""COMPUTED_VALUE"""),19.83)</f>
        <v>19.83</v>
      </c>
      <c r="F66" s="6">
        <f>IFERROR(__xludf.DUMMYFUNCTION("""COMPUTED_VALUE"""),4.34286308E8)</f>
        <v>434286308</v>
      </c>
    </row>
    <row r="67">
      <c r="A67" s="7">
        <f>IFERROR(__xludf.DUMMYFUNCTION("""COMPUTED_VALUE"""),45653.64583333333)</f>
        <v>45653.64583</v>
      </c>
      <c r="B67" s="6">
        <f>IFERROR(__xludf.DUMMYFUNCTION("""COMPUTED_VALUE"""),19.9)</f>
        <v>19.9</v>
      </c>
      <c r="C67" s="6">
        <f>IFERROR(__xludf.DUMMYFUNCTION("""COMPUTED_VALUE"""),20.12)</f>
        <v>20.12</v>
      </c>
      <c r="D67" s="6">
        <f>IFERROR(__xludf.DUMMYFUNCTION("""COMPUTED_VALUE"""),19.71)</f>
        <v>19.71</v>
      </c>
      <c r="E67" s="6">
        <f>IFERROR(__xludf.DUMMYFUNCTION("""COMPUTED_VALUE"""),19.82)</f>
        <v>19.82</v>
      </c>
      <c r="F67" s="6">
        <f>IFERROR(__xludf.DUMMYFUNCTION("""COMPUTED_VALUE"""),1.96561998E8)</f>
        <v>196561998</v>
      </c>
    </row>
    <row r="68">
      <c r="A68" s="7">
        <f>IFERROR(__xludf.DUMMYFUNCTION("""COMPUTED_VALUE"""),45660.64583333333)</f>
        <v>45660.64583</v>
      </c>
      <c r="B68" s="6">
        <f>IFERROR(__xludf.DUMMYFUNCTION("""COMPUTED_VALUE"""),19.83)</f>
        <v>19.83</v>
      </c>
      <c r="C68" s="6">
        <f>IFERROR(__xludf.DUMMYFUNCTION("""COMPUTED_VALUE"""),20.19)</f>
        <v>20.19</v>
      </c>
      <c r="D68" s="6">
        <f>IFERROR(__xludf.DUMMYFUNCTION("""COMPUTED_VALUE"""),19.32)</f>
        <v>19.32</v>
      </c>
      <c r="E68" s="6">
        <f>IFERROR(__xludf.DUMMYFUNCTION("""COMPUTED_VALUE"""),19.96)</f>
        <v>19.96</v>
      </c>
      <c r="F68" s="6">
        <f>IFERROR(__xludf.DUMMYFUNCTION("""COMPUTED_VALUE"""),3.62601727E8)</f>
        <v>362601727</v>
      </c>
    </row>
    <row r="69">
      <c r="A69" s="7">
        <f>IFERROR(__xludf.DUMMYFUNCTION("""COMPUTED_VALUE"""),45667.64583333333)</f>
        <v>45667.64583</v>
      </c>
      <c r="B69" s="6">
        <f>IFERROR(__xludf.DUMMYFUNCTION("""COMPUTED_VALUE"""),19.98)</f>
        <v>19.98</v>
      </c>
      <c r="C69" s="6">
        <f>IFERROR(__xludf.DUMMYFUNCTION("""COMPUTED_VALUE"""),20.03)</f>
        <v>20.03</v>
      </c>
      <c r="D69" s="6">
        <f>IFERROR(__xludf.DUMMYFUNCTION("""COMPUTED_VALUE"""),17.92)</f>
        <v>17.92</v>
      </c>
      <c r="E69" s="6">
        <f>IFERROR(__xludf.DUMMYFUNCTION("""COMPUTED_VALUE"""),17.96)</f>
        <v>17.96</v>
      </c>
      <c r="F69" s="6">
        <f>IFERROR(__xludf.DUMMYFUNCTION("""COMPUTED_VALUE"""),4.4931506E8)</f>
        <v>449315060</v>
      </c>
    </row>
    <row r="70">
      <c r="A70" s="7">
        <f>IFERROR(__xludf.DUMMYFUNCTION("""COMPUTED_VALUE"""),45674.64583333333)</f>
        <v>45674.64583</v>
      </c>
      <c r="B70" s="6">
        <f>IFERROR(__xludf.DUMMYFUNCTION("""COMPUTED_VALUE"""),17.93)</f>
        <v>17.93</v>
      </c>
      <c r="C70" s="6">
        <f>IFERROR(__xludf.DUMMYFUNCTION("""COMPUTED_VALUE"""),18.56)</f>
        <v>18.56</v>
      </c>
      <c r="D70" s="6">
        <f>IFERROR(__xludf.DUMMYFUNCTION("""COMPUTED_VALUE"""),17.06)</f>
        <v>17.06</v>
      </c>
      <c r="E70" s="6">
        <f>IFERROR(__xludf.DUMMYFUNCTION("""COMPUTED_VALUE"""),18.26)</f>
        <v>18.26</v>
      </c>
      <c r="F70" s="6">
        <f>IFERROR(__xludf.DUMMYFUNCTION("""COMPUTED_VALUE"""),4.51471696E8)</f>
        <v>451471696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IFERROR(__xludf.DUMMYFUNCTION("""COMPUTED_VALUE"""),18.29)</f>
        <v>18.29</v>
      </c>
      <c r="C71" s="6">
        <f>IFERROR(__xludf.DUMMYFUNCTION("""COMPUTED_VALUE"""),19.13)</f>
        <v>19.13</v>
      </c>
      <c r="D71" s="6">
        <f>IFERROR(__xludf.DUMMYFUNCTION("""COMPUTED_VALUE"""),17.98)</f>
        <v>17.98</v>
      </c>
      <c r="E71" s="6">
        <f>IFERROR(__xludf.DUMMYFUNCTION("""COMPUTED_VALUE"""),18.24)</f>
        <v>18.24</v>
      </c>
      <c r="F71" s="6">
        <f>IFERROR(__xludf.DUMMYFUNCTION("""COMPUTED_VALUE"""),4.34325637E8)</f>
        <v>434325637</v>
      </c>
    </row>
    <row r="72">
      <c r="A72" s="7">
        <f>IFERROR(__xludf.DUMMYFUNCTION("""COMPUTED_VALUE"""),45695.64583333333)</f>
        <v>45695.64583</v>
      </c>
      <c r="B72" s="6">
        <f>IFERROR(__xludf.DUMMYFUNCTION("""COMPUTED_VALUE"""),18.93)</f>
        <v>18.93</v>
      </c>
      <c r="C72" s="6">
        <f>IFERROR(__xludf.DUMMYFUNCTION("""COMPUTED_VALUE"""),19.56)</f>
        <v>19.56</v>
      </c>
      <c r="D72" s="6">
        <f>IFERROR(__xludf.DUMMYFUNCTION("""COMPUTED_VALUE"""),18.66)</f>
        <v>18.66</v>
      </c>
      <c r="E72" s="6">
        <f>IFERROR(__xludf.DUMMYFUNCTION("""COMPUTED_VALUE"""),19.12)</f>
        <v>19.12</v>
      </c>
      <c r="F72" s="6">
        <f>IFERROR(__xludf.DUMMYFUNCTION("""COMPUTED_VALUE"""),3.11110645E8)</f>
        <v>311110645</v>
      </c>
    </row>
    <row r="73">
      <c r="A73" s="7">
        <f>IFERROR(__xludf.DUMMYFUNCTION("""COMPUTED_VALUE"""),45702.64583333333)</f>
        <v>45702.64583</v>
      </c>
      <c r="B73" s="6">
        <f>IFERROR(__xludf.DUMMYFUNCTION("""COMPUTED_VALUE"""),19.09)</f>
        <v>19.09</v>
      </c>
      <c r="C73" s="6">
        <f>IFERROR(__xludf.DUMMYFUNCTION("""COMPUTED_VALUE"""),19.19)</f>
        <v>19.19</v>
      </c>
      <c r="D73" s="6">
        <f>IFERROR(__xludf.DUMMYFUNCTION("""COMPUTED_VALUE"""),17.56)</f>
        <v>17.56</v>
      </c>
      <c r="E73" s="6">
        <f>IFERROR(__xludf.DUMMYFUNCTION("""COMPUTED_VALUE"""),17.76)</f>
        <v>17.76</v>
      </c>
      <c r="F73" s="6">
        <f>IFERROR(__xludf.DUMMYFUNCTION("""COMPUTED_VALUE"""),3.2810473E8)</f>
        <v>328104730</v>
      </c>
    </row>
    <row r="74">
      <c r="A74" s="7">
        <f>IFERROR(__xludf.DUMMYFUNCTION("""COMPUTED_VALUE"""),45709.64583333333)</f>
        <v>45709.64583</v>
      </c>
      <c r="B74" s="6">
        <f>IFERROR(__xludf.DUMMYFUNCTION("""COMPUTED_VALUE"""),17.75)</f>
        <v>17.75</v>
      </c>
      <c r="C74" s="6">
        <f>IFERROR(__xludf.DUMMYFUNCTION("""COMPUTED_VALUE"""),18.42)</f>
        <v>18.42</v>
      </c>
      <c r="D74" s="6">
        <f>IFERROR(__xludf.DUMMYFUNCTION("""COMPUTED_VALUE"""),17.23)</f>
        <v>17.23</v>
      </c>
      <c r="E74" s="6">
        <f>IFERROR(__xludf.DUMMYFUNCTION("""COMPUTED_VALUE"""),17.93)</f>
        <v>17.93</v>
      </c>
      <c r="F74" s="6">
        <f>IFERROR(__xludf.DUMMYFUNCTION("""COMPUTED_VALUE"""),3.3662147E8)</f>
        <v>336621470</v>
      </c>
    </row>
    <row r="75">
      <c r="A75" s="7">
        <f>IFERROR(__xludf.DUMMYFUNCTION("""COMPUTED_VALUE"""),45716.64583333333)</f>
        <v>45716.64583</v>
      </c>
      <c r="B75" s="6">
        <f>IFERROR(__xludf.DUMMYFUNCTION("""COMPUTED_VALUE"""),17.84)</f>
        <v>17.84</v>
      </c>
      <c r="C75" s="6">
        <f>IFERROR(__xludf.DUMMYFUNCTION("""COMPUTED_VALUE"""),18.1)</f>
        <v>18.1</v>
      </c>
      <c r="D75" s="6">
        <f>IFERROR(__xludf.DUMMYFUNCTION("""COMPUTED_VALUE"""),16.66)</f>
        <v>16.66</v>
      </c>
      <c r="E75" s="6">
        <f>IFERROR(__xludf.DUMMYFUNCTION("""COMPUTED_VALUE"""),16.75)</f>
        <v>16.75</v>
      </c>
      <c r="F75" s="6">
        <f>IFERROR(__xludf.DUMMYFUNCTION("""COMPUTED_VALUE"""),2.98817794E8)</f>
        <v>298817794</v>
      </c>
    </row>
    <row r="76">
      <c r="A76" s="7">
        <f>IFERROR(__xludf.DUMMYFUNCTION("""COMPUTED_VALUE"""),45723.64583333333)</f>
        <v>45723.64583</v>
      </c>
      <c r="B76" s="6">
        <f>IFERROR(__xludf.DUMMYFUNCTION("""COMPUTED_VALUE"""),16.75)</f>
        <v>16.75</v>
      </c>
      <c r="C76" s="6">
        <f>IFERROR(__xludf.DUMMYFUNCTION("""COMPUTED_VALUE"""),17.25)</f>
        <v>17.25</v>
      </c>
      <c r="D76" s="6">
        <f>IFERROR(__xludf.DUMMYFUNCTION("""COMPUTED_VALUE"""),16.13)</f>
        <v>16.13</v>
      </c>
      <c r="E76" s="6">
        <f>IFERROR(__xludf.DUMMYFUNCTION("""COMPUTED_VALUE"""),16.88)</f>
        <v>16.88</v>
      </c>
      <c r="F76" s="6">
        <f>IFERROR(__xludf.DUMMYFUNCTION("""COMPUTED_VALUE"""),4.7221512E8)</f>
        <v>472215120</v>
      </c>
    </row>
    <row r="77">
      <c r="A77" s="7">
        <f>IFERROR(__xludf.DUMMYFUNCTION("""COMPUTED_VALUE"""),45729.64583333333)</f>
        <v>45729.64583</v>
      </c>
      <c r="B77" s="6">
        <f>IFERROR(__xludf.DUMMYFUNCTION("""COMPUTED_VALUE"""),16.88)</f>
        <v>16.88</v>
      </c>
      <c r="C77" s="6">
        <f>IFERROR(__xludf.DUMMYFUNCTION("""COMPUTED_VALUE"""),17.02)</f>
        <v>17.02</v>
      </c>
      <c r="D77" s="6">
        <f>IFERROR(__xludf.DUMMYFUNCTION("""COMPUTED_VALUE"""),16.02)</f>
        <v>16.02</v>
      </c>
      <c r="E77" s="6">
        <f>IFERROR(__xludf.DUMMYFUNCTION("""COMPUTED_VALUE"""),16.19)</f>
        <v>16.19</v>
      </c>
      <c r="F77" s="6">
        <f>IFERROR(__xludf.DUMMYFUNCTION("""COMPUTED_VALUE"""),2.95868953E8)</f>
        <v>295868953</v>
      </c>
    </row>
    <row r="78">
      <c r="A78" s="7">
        <f>IFERROR(__xludf.DUMMYFUNCTION("""COMPUTED_VALUE"""),45737.64583333333)</f>
        <v>45737.64583</v>
      </c>
      <c r="B78" s="6">
        <f>IFERROR(__xludf.DUMMYFUNCTION("""COMPUTED_VALUE"""),16.3)</f>
        <v>16.3</v>
      </c>
      <c r="C78" s="6">
        <f>IFERROR(__xludf.DUMMYFUNCTION("""COMPUTED_VALUE"""),17.32)</f>
        <v>17.32</v>
      </c>
      <c r="D78" s="6">
        <f>IFERROR(__xludf.DUMMYFUNCTION("""COMPUTED_VALUE"""),16.09)</f>
        <v>16.09</v>
      </c>
      <c r="E78" s="6">
        <f>IFERROR(__xludf.DUMMYFUNCTION("""COMPUTED_VALUE"""),17.17)</f>
        <v>17.17</v>
      </c>
      <c r="F78" s="6">
        <f>IFERROR(__xludf.DUMMYFUNCTION("""COMPUTED_VALUE"""),4.35679733E8)</f>
        <v>435679733</v>
      </c>
    </row>
    <row r="79">
      <c r="A79" s="7">
        <f>IFERROR(__xludf.DUMMYFUNCTION("""COMPUTED_VALUE"""),45744.64583333333)</f>
        <v>45744.64583</v>
      </c>
      <c r="B79" s="6">
        <f>IFERROR(__xludf.DUMMYFUNCTION("""COMPUTED_VALUE"""),17.36)</f>
        <v>17.36</v>
      </c>
      <c r="C79" s="6">
        <f>IFERROR(__xludf.DUMMYFUNCTION("""COMPUTED_VALUE"""),17.53)</f>
        <v>17.53</v>
      </c>
      <c r="D79" s="6">
        <f>IFERROR(__xludf.DUMMYFUNCTION("""COMPUTED_VALUE"""),16.78)</f>
        <v>16.78</v>
      </c>
      <c r="E79" s="6">
        <f>IFERROR(__xludf.DUMMYFUNCTION("""COMPUTED_VALUE"""),16.88)</f>
        <v>16.88</v>
      </c>
      <c r="F79" s="6">
        <f>IFERROR(__xludf.DUMMYFUNCTION("""COMPUTED_VALUE"""),5.95718953E8)</f>
        <v>595718953</v>
      </c>
    </row>
    <row r="80">
      <c r="A80" s="7">
        <f>IFERROR(__xludf.DUMMYFUNCTION("""COMPUTED_VALUE"""),45751.64583333333)</f>
        <v>45751.64583</v>
      </c>
      <c r="B80" s="6">
        <f>IFERROR(__xludf.DUMMYFUNCTION("""COMPUTED_VALUE"""),16.74)</f>
        <v>16.74</v>
      </c>
      <c r="C80" s="6">
        <f>IFERROR(__xludf.DUMMYFUNCTION("""COMPUTED_VALUE"""),18.04)</f>
        <v>18.04</v>
      </c>
      <c r="D80" s="6">
        <f>IFERROR(__xludf.DUMMYFUNCTION("""COMPUTED_VALUE"""),16.63)</f>
        <v>16.63</v>
      </c>
      <c r="E80" s="6">
        <f>IFERROR(__xludf.DUMMYFUNCTION("""COMPUTED_VALUE"""),17.19)</f>
        <v>17.19</v>
      </c>
      <c r="F80" s="6">
        <f>IFERROR(__xludf.DUMMYFUNCTION("""COMPUTED_VALUE"""),3.6394525E8)</f>
        <v>363945250</v>
      </c>
    </row>
    <row r="81">
      <c r="A81" s="7">
        <f>IFERROR(__xludf.DUMMYFUNCTION("""COMPUTED_VALUE"""),45758.64583333333)</f>
        <v>45758.64583</v>
      </c>
      <c r="B81" s="6">
        <f>IFERROR(__xludf.DUMMYFUNCTION("""COMPUTED_VALUE"""),16.21)</f>
        <v>16.21</v>
      </c>
      <c r="C81" s="6">
        <f>IFERROR(__xludf.DUMMYFUNCTION("""COMPUTED_VALUE"""),17.5)</f>
        <v>17.5</v>
      </c>
      <c r="D81" s="6">
        <f>IFERROR(__xludf.DUMMYFUNCTION("""COMPUTED_VALUE"""),16.16)</f>
        <v>16.16</v>
      </c>
      <c r="E81" s="6">
        <f>IFERROR(__xludf.DUMMYFUNCTION("""COMPUTED_VALUE"""),17.15)</f>
        <v>17.15</v>
      </c>
      <c r="F81" s="6">
        <f>IFERROR(__xludf.DUMMYFUNCTION("""COMPUTED_VALUE"""),3.262192E8)</f>
        <v>326219200</v>
      </c>
    </row>
    <row r="82">
      <c r="A82" s="7">
        <f>IFERROR(__xludf.DUMMYFUNCTION("""COMPUTED_VALUE"""),45764.64583333333)</f>
        <v>45764.64583</v>
      </c>
      <c r="B82" s="6">
        <f>IFERROR(__xludf.DUMMYFUNCTION("""COMPUTED_VALUE"""),17.49)</f>
        <v>17.49</v>
      </c>
      <c r="C82" s="6">
        <f>IFERROR(__xludf.DUMMYFUNCTION("""COMPUTED_VALUE"""),18.15)</f>
        <v>18.15</v>
      </c>
      <c r="D82" s="6">
        <f>IFERROR(__xludf.DUMMYFUNCTION("""COMPUTED_VALUE"""),17.31)</f>
        <v>17.31</v>
      </c>
      <c r="E82" s="6">
        <f>IFERROR(__xludf.DUMMYFUNCTION("""COMPUTED_VALUE"""),18.09)</f>
        <v>18.09</v>
      </c>
      <c r="F82" s="6">
        <f>IFERROR(__xludf.DUMMYFUNCTION("""COMPUTED_VALUE"""),2.4623313E8)</f>
        <v>246233130</v>
      </c>
    </row>
    <row r="83">
      <c r="A83" s="7">
        <f>IFERROR(__xludf.DUMMYFUNCTION("""COMPUTED_VALUE"""),45772.64583333333)</f>
        <v>45772.64583</v>
      </c>
      <c r="B83" s="6">
        <f>IFERROR(__xludf.DUMMYFUNCTION("""COMPUTED_VALUE"""),19.14)</f>
        <v>19.14</v>
      </c>
      <c r="C83" s="6">
        <f>IFERROR(__xludf.DUMMYFUNCTION("""COMPUTED_VALUE"""),19.35)</f>
        <v>19.35</v>
      </c>
      <c r="D83" s="6">
        <f>IFERROR(__xludf.DUMMYFUNCTION("""COMPUTED_VALUE"""),17.62)</f>
        <v>17.62</v>
      </c>
      <c r="E83" s="6">
        <f>IFERROR(__xludf.DUMMYFUNCTION("""COMPUTED_VALUE"""),17.77)</f>
        <v>17.77</v>
      </c>
      <c r="F83" s="6">
        <f>IFERROR(__xludf.DUMMYFUNCTION("""COMPUTED_VALUE"""),5.52192127E8)</f>
        <v>552192127</v>
      </c>
    </row>
    <row r="84">
      <c r="A84" s="7">
        <f>IFERROR(__xludf.DUMMYFUNCTION("""COMPUTED_VALUE"""),45779.64583333333)</f>
        <v>45779.64583</v>
      </c>
      <c r="B84" s="6">
        <f>IFERROR(__xludf.DUMMYFUNCTION("""COMPUTED_VALUE"""),17.78)</f>
        <v>17.78</v>
      </c>
      <c r="C84" s="6">
        <f>IFERROR(__xludf.DUMMYFUNCTION("""COMPUTED_VALUE"""),18.39)</f>
        <v>18.39</v>
      </c>
      <c r="D84" s="6">
        <f>IFERROR(__xludf.DUMMYFUNCTION("""COMPUTED_VALUE"""),17.63)</f>
        <v>17.63</v>
      </c>
      <c r="E84" s="6">
        <f>IFERROR(__xludf.DUMMYFUNCTION("""COMPUTED_VALUE"""),17.7)</f>
        <v>17.7</v>
      </c>
      <c r="F84" s="6">
        <f>IFERROR(__xludf.DUMMYFUNCTION("""COMPUTED_VALUE"""),2.35070318E8)</f>
        <v>235070318</v>
      </c>
    </row>
    <row r="85">
      <c r="A85" s="7">
        <f>IFERROR(__xludf.DUMMYFUNCTION("""COMPUTED_VALUE"""),45786.64583333333)</f>
        <v>45786.64583</v>
      </c>
      <c r="B85" s="6">
        <f>IFERROR(__xludf.DUMMYFUNCTION("""COMPUTED_VALUE"""),17.7)</f>
        <v>17.7</v>
      </c>
      <c r="C85" s="6">
        <f>IFERROR(__xludf.DUMMYFUNCTION("""COMPUTED_VALUE"""),20.37)</f>
        <v>20.37</v>
      </c>
      <c r="D85" s="6">
        <f>IFERROR(__xludf.DUMMYFUNCTION("""COMPUTED_VALUE"""),17.51)</f>
        <v>17.51</v>
      </c>
      <c r="E85" s="6">
        <f>IFERROR(__xludf.DUMMYFUNCTION("""COMPUTED_VALUE"""),20.02)</f>
        <v>20.02</v>
      </c>
      <c r="F85" s="6">
        <f>IFERROR(__xludf.DUMMYFUNCTION("""COMPUTED_VALUE"""),1.556344389E9)</f>
        <v>1556344389</v>
      </c>
    </row>
    <row r="86">
      <c r="A86" s="7">
        <f>IFERROR(__xludf.DUMMYFUNCTION("""COMPUTED_VALUE"""),45793.64583333333)</f>
        <v>45793.64583</v>
      </c>
      <c r="B86" s="6">
        <f>IFERROR(__xludf.DUMMYFUNCTION("""COMPUTED_VALUE"""),21.7)</f>
        <v>21.7</v>
      </c>
      <c r="C86" s="6">
        <f>IFERROR(__xludf.DUMMYFUNCTION("""COMPUTED_VALUE"""),21.95)</f>
        <v>21.95</v>
      </c>
      <c r="D86" s="6">
        <f>IFERROR(__xludf.DUMMYFUNCTION("""COMPUTED_VALUE"""),20.26)</f>
        <v>20.26</v>
      </c>
      <c r="E86" s="6">
        <f>IFERROR(__xludf.DUMMYFUNCTION("""COMPUTED_VALUE"""),21.55)</f>
        <v>21.55</v>
      </c>
      <c r="F86" s="6">
        <f>IFERROR(__xludf.DUMMYFUNCTION("""COMPUTED_VALUE"""),1.472953728E9)</f>
        <v>1472953728</v>
      </c>
    </row>
    <row r="87">
      <c r="A87" s="7">
        <f>IFERROR(__xludf.DUMMYFUNCTION("""COMPUTED_VALUE"""),45800.64583333333)</f>
        <v>45800.64583</v>
      </c>
      <c r="B87" s="6">
        <f>IFERROR(__xludf.DUMMYFUNCTION("""COMPUTED_VALUE"""),21.56)</f>
        <v>21.56</v>
      </c>
      <c r="C87" s="6">
        <f>IFERROR(__xludf.DUMMYFUNCTION("""COMPUTED_VALUE"""),21.68)</f>
        <v>21.68</v>
      </c>
      <c r="D87" s="6">
        <f>IFERROR(__xludf.DUMMYFUNCTION("""COMPUTED_VALUE"""),20.63)</f>
        <v>20.63</v>
      </c>
      <c r="E87" s="6">
        <f>IFERROR(__xludf.DUMMYFUNCTION("""COMPUTED_VALUE"""),21.15)</f>
        <v>21.15</v>
      </c>
      <c r="F87" s="6">
        <f>IFERROR(__xludf.DUMMYFUNCTION("""COMPUTED_VALUE"""),5.33890755E8)</f>
        <v>533890755</v>
      </c>
    </row>
    <row r="88">
      <c r="A88" s="7">
        <f>IFERROR(__xludf.DUMMYFUNCTION("""COMPUTED_VALUE"""),45807.64583333333)</f>
        <v>45807.64583</v>
      </c>
      <c r="B88" s="6">
        <f>IFERROR(__xludf.DUMMYFUNCTION("""COMPUTED_VALUE"""),21.21)</f>
        <v>21.21</v>
      </c>
      <c r="C88" s="6">
        <f>IFERROR(__xludf.DUMMYFUNCTION("""COMPUTED_VALUE"""),21.65)</f>
        <v>21.65</v>
      </c>
      <c r="D88" s="6">
        <f>IFERROR(__xludf.DUMMYFUNCTION("""COMPUTED_VALUE"""),20.87)</f>
        <v>20.87</v>
      </c>
      <c r="E88" s="6">
        <f>IFERROR(__xludf.DUMMYFUNCTION("""COMPUTED_VALUE"""),21.48)</f>
        <v>21.48</v>
      </c>
      <c r="F88" s="6">
        <f>IFERROR(__xludf.DUMMYFUNCTION("""COMPUTED_VALUE"""),4.47628851E8)</f>
        <v>447628851</v>
      </c>
    </row>
    <row r="89">
      <c r="A89" s="7">
        <f>IFERROR(__xludf.DUMMYFUNCTION("""COMPUTED_VALUE"""),45814.64583333333)</f>
        <v>45814.64583</v>
      </c>
      <c r="B89" s="6">
        <f>IFERROR(__xludf.DUMMYFUNCTION("""COMPUTED_VALUE"""),21.4)</f>
        <v>21.4</v>
      </c>
      <c r="C89" s="6">
        <f>IFERROR(__xludf.DUMMYFUNCTION("""COMPUTED_VALUE"""),23.39)</f>
        <v>23.39</v>
      </c>
      <c r="D89" s="6">
        <f>IFERROR(__xludf.DUMMYFUNCTION("""COMPUTED_VALUE"""),20.71)</f>
        <v>20.71</v>
      </c>
      <c r="E89" s="6">
        <f>IFERROR(__xludf.DUMMYFUNCTION("""COMPUTED_VALUE"""),20.85)</f>
        <v>20.85</v>
      </c>
      <c r="F89" s="6">
        <f>IFERROR(__xludf.DUMMYFUNCTION("""COMPUTED_VALUE"""),1.384350097E9)</f>
        <v>1384350097</v>
      </c>
    </row>
    <row r="90">
      <c r="A90" s="7">
        <f>IFERROR(__xludf.DUMMYFUNCTION("""COMPUTED_VALUE"""),45821.64583333333)</f>
        <v>45821.64583</v>
      </c>
      <c r="B90" s="6">
        <f>IFERROR(__xludf.DUMMYFUNCTION("""COMPUTED_VALUE"""),20.97)</f>
        <v>20.97</v>
      </c>
      <c r="C90" s="6">
        <f>IFERROR(__xludf.DUMMYFUNCTION("""COMPUTED_VALUE"""),21.12)</f>
        <v>21.12</v>
      </c>
      <c r="D90" s="6">
        <f>IFERROR(__xludf.DUMMYFUNCTION("""COMPUTED_VALUE"""),19.92)</f>
        <v>19.92</v>
      </c>
      <c r="E90" s="6">
        <f>IFERROR(__xludf.DUMMYFUNCTION("""COMPUTED_VALUE"""),20.16)</f>
        <v>20.16</v>
      </c>
      <c r="F90" s="6">
        <f>IFERROR(__xludf.DUMMYFUNCTION("""COMPUTED_VALUE"""),4.12952431E8)</f>
        <v>412952431</v>
      </c>
    </row>
    <row r="91">
      <c r="A91" s="7">
        <f>IFERROR(__xludf.DUMMYFUNCTION("""COMPUTED_VALUE"""),45828.64583333333)</f>
        <v>45828.64583</v>
      </c>
      <c r="B91" s="6">
        <f>IFERROR(__xludf.DUMMYFUNCTION("""COMPUTED_VALUE"""),20.2)</f>
        <v>20.2</v>
      </c>
      <c r="C91" s="6">
        <f>IFERROR(__xludf.DUMMYFUNCTION("""COMPUTED_VALUE"""),20.42)</f>
        <v>20.42</v>
      </c>
      <c r="D91" s="6">
        <f>IFERROR(__xludf.DUMMYFUNCTION("""COMPUTED_VALUE"""),19.32)</f>
        <v>19.32</v>
      </c>
      <c r="E91" s="6">
        <f>IFERROR(__xludf.DUMMYFUNCTION("""COMPUTED_VALUE"""),19.73)</f>
        <v>19.73</v>
      </c>
      <c r="F91" s="6">
        <f>IFERROR(__xludf.DUMMYFUNCTION("""COMPUTED_VALUE"""),5.63645412E8)</f>
        <v>563645412</v>
      </c>
    </row>
    <row r="92">
      <c r="A92" s="7">
        <f>IFERROR(__xludf.DUMMYFUNCTION("""COMPUTED_VALUE"""),45835.64583333333)</f>
        <v>45835.64583</v>
      </c>
      <c r="B92" s="6">
        <f>IFERROR(__xludf.DUMMYFUNCTION("""COMPUTED_VALUE"""),19.72)</f>
        <v>19.72</v>
      </c>
      <c r="C92" s="6">
        <f>IFERROR(__xludf.DUMMYFUNCTION("""COMPUTED_VALUE"""),20.49)</f>
        <v>20.49</v>
      </c>
      <c r="D92" s="6">
        <f>IFERROR(__xludf.DUMMYFUNCTION("""COMPUTED_VALUE"""),19.62)</f>
        <v>19.62</v>
      </c>
      <c r="E92" s="6">
        <f>IFERROR(__xludf.DUMMYFUNCTION("""COMPUTED_VALUE"""),20.18)</f>
        <v>20.18</v>
      </c>
      <c r="F92" s="6">
        <f>IFERROR(__xludf.DUMMYFUNCTION("""COMPUTED_VALUE"""),4.92624664E8)</f>
        <v>492624664</v>
      </c>
    </row>
    <row r="93">
      <c r="A93" s="7">
        <f>IFERROR(__xludf.DUMMYFUNCTION("""COMPUTED_VALUE"""),45842.64583333333)</f>
        <v>45842.64583</v>
      </c>
      <c r="B93" s="6">
        <f>IFERROR(__xludf.DUMMYFUNCTION("""COMPUTED_VALUE"""),20.22)</f>
        <v>20.22</v>
      </c>
      <c r="C93" s="6">
        <f>IFERROR(__xludf.DUMMYFUNCTION("""COMPUTED_VALUE"""),20.6)</f>
        <v>20.6</v>
      </c>
      <c r="D93" s="6">
        <f>IFERROR(__xludf.DUMMYFUNCTION("""COMPUTED_VALUE"""),19.98)</f>
        <v>19.98</v>
      </c>
      <c r="E93" s="6">
        <f>IFERROR(__xludf.DUMMYFUNCTION("""COMPUTED_VALUE"""),20.05)</f>
        <v>20.05</v>
      </c>
      <c r="F93" s="6">
        <f>IFERROR(__xludf.DUMMYFUNCTION("""COMPUTED_VALUE"""),3.48816749E8)</f>
        <v>348816749</v>
      </c>
    </row>
    <row r="94">
      <c r="A94" s="7">
        <f>IFERROR(__xludf.DUMMYFUNCTION("""COMPUTED_VALUE"""),45849.64583333333)</f>
        <v>45849.64583</v>
      </c>
      <c r="B94" s="6">
        <f>IFERROR(__xludf.DUMMYFUNCTION("""COMPUTED_VALUE"""),20.05)</f>
        <v>20.05</v>
      </c>
      <c r="C94" s="6">
        <f>IFERROR(__xludf.DUMMYFUNCTION("""COMPUTED_VALUE"""),20.19)</f>
        <v>20.19</v>
      </c>
      <c r="D94" s="6">
        <f>IFERROR(__xludf.DUMMYFUNCTION("""COMPUTED_VALUE"""),19.61)</f>
        <v>19.61</v>
      </c>
      <c r="E94" s="6">
        <f>IFERROR(__xludf.DUMMYFUNCTION("""COMPUTED_VALUE"""),19.66)</f>
        <v>19.66</v>
      </c>
      <c r="F94" s="6">
        <f>IFERROR(__xludf.DUMMYFUNCTION("""COMPUTED_VALUE"""),2.21304099E8)</f>
        <v>221304099</v>
      </c>
    </row>
    <row r="95">
      <c r="A95" s="7">
        <f>IFERROR(__xludf.DUMMYFUNCTION("""COMPUTED_VALUE"""),45856.64583333333)</f>
        <v>45856.64583</v>
      </c>
      <c r="B95" s="6">
        <f>IFERROR(__xludf.DUMMYFUNCTION("""COMPUTED_VALUE"""),19.66)</f>
        <v>19.66</v>
      </c>
      <c r="C95" s="6">
        <f>IFERROR(__xludf.DUMMYFUNCTION("""COMPUTED_VALUE"""),20.65)</f>
        <v>20.65</v>
      </c>
      <c r="D95" s="6">
        <f>IFERROR(__xludf.DUMMYFUNCTION("""COMPUTED_VALUE"""),19.55)</f>
        <v>19.55</v>
      </c>
      <c r="E95" s="6">
        <f>IFERROR(__xludf.DUMMYFUNCTION("""COMPUTED_VALUE"""),20.17)</f>
        <v>20.17</v>
      </c>
      <c r="F95" s="6">
        <f>IFERROR(__xludf.DUMMYFUNCTION("""COMPUTED_VALUE"""),4.21429646E8)</f>
        <v>421429646</v>
      </c>
    </row>
    <row r="96">
      <c r="A96" s="7">
        <f>IFERROR(__xludf.DUMMYFUNCTION("""COMPUTED_VALUE"""),45863.64583333333)</f>
        <v>45863.64583</v>
      </c>
      <c r="B96" s="6">
        <f>IFERROR(__xludf.DUMMYFUNCTION("""COMPUTED_VALUE"""),20.48)</f>
        <v>20.48</v>
      </c>
      <c r="C96" s="6">
        <f>IFERROR(__xludf.DUMMYFUNCTION("""COMPUTED_VALUE"""),20.48)</f>
        <v>20.48</v>
      </c>
      <c r="D96" s="6">
        <f>IFERROR(__xludf.DUMMYFUNCTION("""COMPUTED_VALUE"""),19.43)</f>
        <v>19.43</v>
      </c>
      <c r="E96" s="6">
        <f>IFERROR(__xludf.DUMMYFUNCTION("""COMPUTED_VALUE"""),19.6)</f>
        <v>19.6</v>
      </c>
      <c r="F96" s="6">
        <f>IFERROR(__xludf.DUMMYFUNCTION("""COMPUTED_VALUE"""),4.03633395E8)</f>
        <v>403633395</v>
      </c>
    </row>
    <row r="97">
      <c r="A97" s="7">
        <f>IFERROR(__xludf.DUMMYFUNCTION("""COMPUTED_VALUE"""),45870.64583333333)</f>
        <v>45870.64583</v>
      </c>
      <c r="B97" s="6">
        <f>IFERROR(__xludf.DUMMYFUNCTION("""COMPUTED_VALUE"""),19.64)</f>
        <v>19.64</v>
      </c>
      <c r="C97" s="6">
        <f>IFERROR(__xludf.DUMMYFUNCTION("""COMPUTED_VALUE"""),19.81)</f>
        <v>19.81</v>
      </c>
      <c r="D97" s="6">
        <f>IFERROR(__xludf.DUMMYFUNCTION("""COMPUTED_VALUE"""),18.55)</f>
        <v>18.55</v>
      </c>
      <c r="E97" s="6">
        <f>IFERROR(__xludf.DUMMYFUNCTION("""COMPUTED_VALUE"""),18.6)</f>
        <v>18.6</v>
      </c>
      <c r="F97" s="6">
        <f>IFERROR(__xludf.DUMMYFUNCTION("""COMPUTED_VALUE"""),3.2279959E8)</f>
        <v>322799590</v>
      </c>
    </row>
    <row r="98">
      <c r="A98" s="7">
        <f>IFERROR(__xludf.DUMMYFUNCTION("""COMPUTED_VALUE"""),45877.64583333333)</f>
        <v>45877.64583</v>
      </c>
      <c r="B98" s="6">
        <f>IFERROR(__xludf.DUMMYFUNCTION("""COMPUTED_VALUE"""),18.61)</f>
        <v>18.61</v>
      </c>
      <c r="C98" s="6">
        <f>IFERROR(__xludf.DUMMYFUNCTION("""COMPUTED_VALUE"""),19.07)</f>
        <v>19.07</v>
      </c>
      <c r="D98" s="6">
        <f>IFERROR(__xludf.DUMMYFUNCTION("""COMPUTED_VALUE"""),18.33)</f>
        <v>18.33</v>
      </c>
      <c r="E98" s="6">
        <f>IFERROR(__xludf.DUMMYFUNCTION("""COMPUTED_VALUE"""),18.54)</f>
        <v>18.54</v>
      </c>
      <c r="F98" s="6">
        <f>IFERROR(__xludf.DUMMYFUNCTION("""COMPUTED_VALUE"""),2.46331588E8)</f>
        <v>246331588</v>
      </c>
    </row>
    <row r="99">
      <c r="A99" s="7">
        <f>IFERROR(__xludf.DUMMYFUNCTION("""COMPUTED_VALUE"""),45883.64583333333)</f>
        <v>45883.64583</v>
      </c>
      <c r="B99" s="6">
        <f>IFERROR(__xludf.DUMMYFUNCTION("""COMPUTED_VALUE"""),18.54)</f>
        <v>18.54</v>
      </c>
      <c r="C99" s="6">
        <f>IFERROR(__xludf.DUMMYFUNCTION("""COMPUTED_VALUE"""),18.88)</f>
        <v>18.88</v>
      </c>
      <c r="D99" s="6">
        <f>IFERROR(__xludf.DUMMYFUNCTION("""COMPUTED_VALUE"""),18.45)</f>
        <v>18.45</v>
      </c>
      <c r="E99" s="6">
        <f>IFERROR(__xludf.DUMMYFUNCTION("""COMPUTED_VALUE"""),18.78)</f>
        <v>18.78</v>
      </c>
      <c r="F99" s="6">
        <f>IFERROR(__xludf.DUMMYFUNCTION("""COMPUTED_VALUE"""),1.37544566E8)</f>
        <v>137544566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IFERROR(__xludf.DUMMYFUNCTION("""COMPUTED_VALUE"""),18.91)</f>
        <v>18.91</v>
      </c>
      <c r="C100" s="6">
        <f>IFERROR(__xludf.DUMMYFUNCTION("""COMPUTED_VALUE"""),19.7)</f>
        <v>19.7</v>
      </c>
      <c r="D100" s="6">
        <f>IFERROR(__xludf.DUMMYFUNCTION("""COMPUTED_VALUE"""),18.88)</f>
        <v>18.88</v>
      </c>
      <c r="E100" s="6">
        <f>IFERROR(__xludf.DUMMYFUNCTION("""COMPUTED_VALUE"""),19.28)</f>
        <v>19.28</v>
      </c>
      <c r="F100" s="6">
        <f>IFERROR(__xludf.DUMMYFUNCTION("""COMPUTED_VALUE"""),2.2253874E8)</f>
        <v>222538740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IFERROR(__xludf.DUMMYFUNCTION("""COMPUTED_VALUE"""),20.2)</f>
        <v>20.2</v>
      </c>
      <c r="C101" s="6">
        <f>IFERROR(__xludf.DUMMYFUNCTION("""COMPUTED_VALUE"""),20.2)</f>
        <v>20.2</v>
      </c>
      <c r="D101" s="6">
        <f>IFERROR(__xludf.DUMMYFUNCTION("""COMPUTED_VALUE"""),18.9)</f>
        <v>18.9</v>
      </c>
      <c r="E101" s="6">
        <f>IFERROR(__xludf.DUMMYFUNCTION("""COMPUTED_VALUE"""),18.95)</f>
        <v>18.95</v>
      </c>
      <c r="F101" s="6">
        <f>IFERROR(__xludf.DUMMYFUNCTION("""COMPUTED_VALUE"""),3.651265229E9)</f>
        <v>3651265229</v>
      </c>
    </row>
  </sheetData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tr">
        <f>IFERROR(__xludf.DUMMYFUNCTION("GOOGLEFINANCE(""NSE:ZYDUSLIFE"", ""all"",ConfigSheet!B2 -ConfigSheet!B1,ConfigSheet!B2,ConfigSheet!B3)"),"Date")</f>
        <v>Date</v>
      </c>
      <c r="B1" s="6" t="str">
        <f>IFERROR(__xludf.DUMMYFUNCTION("""COMPUTED_VALUE"""),"Open")</f>
        <v>Open</v>
      </c>
      <c r="C1" s="6" t="str">
        <f>IFERROR(__xludf.DUMMYFUNCTION("""COMPUTED_VALUE"""),"High")</f>
        <v>High</v>
      </c>
      <c r="D1" s="6" t="str">
        <f>IFERROR(__xludf.DUMMYFUNCTION("""COMPUTED_VALUE"""),"Low")</f>
        <v>Low</v>
      </c>
      <c r="E1" s="6" t="str">
        <f>IFERROR(__xludf.DUMMYFUNCTION("""COMPUTED_VALUE"""),"Close")</f>
        <v>Close</v>
      </c>
      <c r="F1" s="6" t="str">
        <f>IFERROR(__xludf.DUMMYFUNCTION("""COMPUTED_VALUE"""),"Volume")</f>
        <v>Volume</v>
      </c>
    </row>
    <row r="2">
      <c r="A2" s="7">
        <f>IFERROR(__xludf.DUMMYFUNCTION("""COMPUTED_VALUE"""),45170.64583333333)</f>
        <v>45170.64583</v>
      </c>
      <c r="B2" s="6">
        <f>IFERROR(__xludf.DUMMYFUNCTION("""COMPUTED_VALUE"""),630.95)</f>
        <v>630.95</v>
      </c>
      <c r="C2" s="6">
        <f>IFERROR(__xludf.DUMMYFUNCTION("""COMPUTED_VALUE"""),641.0)</f>
        <v>641</v>
      </c>
      <c r="D2" s="6">
        <f>IFERROR(__xludf.DUMMYFUNCTION("""COMPUTED_VALUE"""),612.6)</f>
        <v>612.6</v>
      </c>
      <c r="E2" s="6">
        <f>IFERROR(__xludf.DUMMYFUNCTION("""COMPUTED_VALUE"""),613.95)</f>
        <v>613.95</v>
      </c>
      <c r="F2" s="6">
        <f>IFERROR(__xludf.DUMMYFUNCTION("""COMPUTED_VALUE"""),4883187.0)</f>
        <v>4883187</v>
      </c>
    </row>
    <row r="3">
      <c r="A3" s="7">
        <f>IFERROR(__xludf.DUMMYFUNCTION("""COMPUTED_VALUE"""),45177.64583333333)</f>
        <v>45177.64583</v>
      </c>
      <c r="B3" s="6">
        <f>IFERROR(__xludf.DUMMYFUNCTION("""COMPUTED_VALUE"""),615.95)</f>
        <v>615.95</v>
      </c>
      <c r="C3" s="6">
        <f>IFERROR(__xludf.DUMMYFUNCTION("""COMPUTED_VALUE"""),643.95)</f>
        <v>643.95</v>
      </c>
      <c r="D3" s="6">
        <f>IFERROR(__xludf.DUMMYFUNCTION("""COMPUTED_VALUE"""),615.05)</f>
        <v>615.05</v>
      </c>
      <c r="E3" s="6">
        <f>IFERROR(__xludf.DUMMYFUNCTION("""COMPUTED_VALUE"""),628.15)</f>
        <v>628.15</v>
      </c>
      <c r="F3" s="6">
        <f>IFERROR(__xludf.DUMMYFUNCTION("""COMPUTED_VALUE"""),4825191.0)</f>
        <v>4825191</v>
      </c>
    </row>
    <row r="4">
      <c r="A4" s="7">
        <f>IFERROR(__xludf.DUMMYFUNCTION("""COMPUTED_VALUE"""),45184.64583333333)</f>
        <v>45184.64583</v>
      </c>
      <c r="B4" s="6">
        <f>IFERROR(__xludf.DUMMYFUNCTION("""COMPUTED_VALUE"""),632.0)</f>
        <v>632</v>
      </c>
      <c r="C4" s="6">
        <f>IFERROR(__xludf.DUMMYFUNCTION("""COMPUTED_VALUE"""),648.95)</f>
        <v>648.95</v>
      </c>
      <c r="D4" s="6">
        <f>IFERROR(__xludf.DUMMYFUNCTION("""COMPUTED_VALUE"""),623.8)</f>
        <v>623.8</v>
      </c>
      <c r="E4" s="6">
        <f>IFERROR(__xludf.DUMMYFUNCTION("""COMPUTED_VALUE"""),645.35)</f>
        <v>645.35</v>
      </c>
      <c r="F4" s="6">
        <f>IFERROR(__xludf.DUMMYFUNCTION("""COMPUTED_VALUE"""),4964799.0)</f>
        <v>4964799</v>
      </c>
    </row>
    <row r="5">
      <c r="A5" s="7">
        <f>IFERROR(__xludf.DUMMYFUNCTION("""COMPUTED_VALUE"""),45191.64583333333)</f>
        <v>45191.64583</v>
      </c>
      <c r="B5" s="6">
        <f>IFERROR(__xludf.DUMMYFUNCTION("""COMPUTED_VALUE"""),645.35)</f>
        <v>645.35</v>
      </c>
      <c r="C5" s="6">
        <f>IFERROR(__xludf.DUMMYFUNCTION("""COMPUTED_VALUE"""),653.9)</f>
        <v>653.9</v>
      </c>
      <c r="D5" s="6">
        <f>IFERROR(__xludf.DUMMYFUNCTION("""COMPUTED_VALUE"""),594.3)</f>
        <v>594.3</v>
      </c>
      <c r="E5" s="6">
        <f>IFERROR(__xludf.DUMMYFUNCTION("""COMPUTED_VALUE"""),595.6)</f>
        <v>595.6</v>
      </c>
      <c r="F5" s="6">
        <f>IFERROR(__xludf.DUMMYFUNCTION("""COMPUTED_VALUE"""),5230607.0)</f>
        <v>5230607</v>
      </c>
    </row>
    <row r="6">
      <c r="A6" s="7">
        <f>IFERROR(__xludf.DUMMYFUNCTION("""COMPUTED_VALUE"""),45198.64583333333)</f>
        <v>45198.64583</v>
      </c>
      <c r="B6" s="6">
        <f>IFERROR(__xludf.DUMMYFUNCTION("""COMPUTED_VALUE"""),591.1)</f>
        <v>591.1</v>
      </c>
      <c r="C6" s="6">
        <f>IFERROR(__xludf.DUMMYFUNCTION("""COMPUTED_VALUE"""),621.95)</f>
        <v>621.95</v>
      </c>
      <c r="D6" s="6">
        <f>IFERROR(__xludf.DUMMYFUNCTION("""COMPUTED_VALUE"""),589.15)</f>
        <v>589.15</v>
      </c>
      <c r="E6" s="6">
        <f>IFERROR(__xludf.DUMMYFUNCTION("""COMPUTED_VALUE"""),615.0)</f>
        <v>615</v>
      </c>
      <c r="F6" s="6">
        <f>IFERROR(__xludf.DUMMYFUNCTION("""COMPUTED_VALUE"""),1.0129112E7)</f>
        <v>10129112</v>
      </c>
    </row>
    <row r="7">
      <c r="A7" s="7">
        <f>IFERROR(__xludf.DUMMYFUNCTION("""COMPUTED_VALUE"""),45205.64583333333)</f>
        <v>45205.64583</v>
      </c>
      <c r="B7" s="6">
        <f>IFERROR(__xludf.DUMMYFUNCTION("""COMPUTED_VALUE"""),616.4)</f>
        <v>616.4</v>
      </c>
      <c r="C7" s="6">
        <f>IFERROR(__xludf.DUMMYFUNCTION("""COMPUTED_VALUE"""),618.0)</f>
        <v>618</v>
      </c>
      <c r="D7" s="6">
        <f>IFERROR(__xludf.DUMMYFUNCTION("""COMPUTED_VALUE"""),597.85)</f>
        <v>597.85</v>
      </c>
      <c r="E7" s="6">
        <f>IFERROR(__xludf.DUMMYFUNCTION("""COMPUTED_VALUE"""),603.75)</f>
        <v>603.75</v>
      </c>
      <c r="F7" s="6">
        <f>IFERROR(__xludf.DUMMYFUNCTION("""COMPUTED_VALUE"""),5909672.0)</f>
        <v>5909672</v>
      </c>
    </row>
    <row r="8">
      <c r="A8" s="7">
        <f>IFERROR(__xludf.DUMMYFUNCTION("""COMPUTED_VALUE"""),45212.64583333333)</f>
        <v>45212.64583</v>
      </c>
      <c r="B8" s="6">
        <f>IFERROR(__xludf.DUMMYFUNCTION("""COMPUTED_VALUE"""),600.05)</f>
        <v>600.05</v>
      </c>
      <c r="C8" s="6">
        <f>IFERROR(__xludf.DUMMYFUNCTION("""COMPUTED_VALUE"""),607.2)</f>
        <v>607.2</v>
      </c>
      <c r="D8" s="6">
        <f>IFERROR(__xludf.DUMMYFUNCTION("""COMPUTED_VALUE"""),587.5)</f>
        <v>587.5</v>
      </c>
      <c r="E8" s="6">
        <f>IFERROR(__xludf.DUMMYFUNCTION("""COMPUTED_VALUE"""),591.95)</f>
        <v>591.95</v>
      </c>
      <c r="F8" s="6">
        <f>IFERROR(__xludf.DUMMYFUNCTION("""COMPUTED_VALUE"""),5218843.0)</f>
        <v>5218843</v>
      </c>
    </row>
    <row r="9">
      <c r="A9" s="7">
        <f>IFERROR(__xludf.DUMMYFUNCTION("""COMPUTED_VALUE"""),45219.64583333333)</f>
        <v>45219.64583</v>
      </c>
      <c r="B9" s="6">
        <f>IFERROR(__xludf.DUMMYFUNCTION("""COMPUTED_VALUE"""),591.0)</f>
        <v>591</v>
      </c>
      <c r="C9" s="6">
        <f>IFERROR(__xludf.DUMMYFUNCTION("""COMPUTED_VALUE"""),597.4)</f>
        <v>597.4</v>
      </c>
      <c r="D9" s="6">
        <f>IFERROR(__xludf.DUMMYFUNCTION("""COMPUTED_VALUE"""),573.5)</f>
        <v>573.5</v>
      </c>
      <c r="E9" s="6">
        <f>IFERROR(__xludf.DUMMYFUNCTION("""COMPUTED_VALUE"""),578.9)</f>
        <v>578.9</v>
      </c>
      <c r="F9" s="6">
        <f>IFERROR(__xludf.DUMMYFUNCTION("""COMPUTED_VALUE"""),4789109.0)</f>
        <v>4789109</v>
      </c>
    </row>
    <row r="10">
      <c r="A10" s="7">
        <f>IFERROR(__xludf.DUMMYFUNCTION("""COMPUTED_VALUE"""),45226.64583333333)</f>
        <v>45226.64583</v>
      </c>
      <c r="B10" s="6">
        <f>IFERROR(__xludf.DUMMYFUNCTION("""COMPUTED_VALUE"""),585.0)</f>
        <v>585</v>
      </c>
      <c r="C10" s="6">
        <f>IFERROR(__xludf.DUMMYFUNCTION("""COMPUTED_VALUE"""),592.45)</f>
        <v>592.45</v>
      </c>
      <c r="D10" s="6">
        <f>IFERROR(__xludf.DUMMYFUNCTION("""COMPUTED_VALUE"""),567.75)</f>
        <v>567.75</v>
      </c>
      <c r="E10" s="6">
        <f>IFERROR(__xludf.DUMMYFUNCTION("""COMPUTED_VALUE"""),575.05)</f>
        <v>575.05</v>
      </c>
      <c r="F10" s="6">
        <f>IFERROR(__xludf.DUMMYFUNCTION("""COMPUTED_VALUE"""),2817395.0)</f>
        <v>2817395</v>
      </c>
    </row>
    <row r="11">
      <c r="A11" s="7">
        <f>IFERROR(__xludf.DUMMYFUNCTION("""COMPUTED_VALUE"""),45233.64583333333)</f>
        <v>45233.64583</v>
      </c>
      <c r="B11" s="6">
        <f>IFERROR(__xludf.DUMMYFUNCTION("""COMPUTED_VALUE"""),578.0)</f>
        <v>578</v>
      </c>
      <c r="C11" s="6">
        <f>IFERROR(__xludf.DUMMYFUNCTION("""COMPUTED_VALUE"""),588.0)</f>
        <v>588</v>
      </c>
      <c r="D11" s="6">
        <f>IFERROR(__xludf.DUMMYFUNCTION("""COMPUTED_VALUE"""),570.25)</f>
        <v>570.25</v>
      </c>
      <c r="E11" s="6">
        <f>IFERROR(__xludf.DUMMYFUNCTION("""COMPUTED_VALUE"""),584.85)</f>
        <v>584.85</v>
      </c>
      <c r="F11" s="6">
        <f>IFERROR(__xludf.DUMMYFUNCTION("""COMPUTED_VALUE"""),3560501.0)</f>
        <v>3560501</v>
      </c>
    </row>
    <row r="12">
      <c r="A12" s="7">
        <f>IFERROR(__xludf.DUMMYFUNCTION("""COMPUTED_VALUE"""),45240.64583333333)</f>
        <v>45240.64583</v>
      </c>
      <c r="B12" s="6">
        <f>IFERROR(__xludf.DUMMYFUNCTION("""COMPUTED_VALUE"""),587.1)</f>
        <v>587.1</v>
      </c>
      <c r="C12" s="6">
        <f>IFERROR(__xludf.DUMMYFUNCTION("""COMPUTED_VALUE"""),634.0)</f>
        <v>634</v>
      </c>
      <c r="D12" s="6">
        <f>IFERROR(__xludf.DUMMYFUNCTION("""COMPUTED_VALUE"""),579.35)</f>
        <v>579.35</v>
      </c>
      <c r="E12" s="6">
        <f>IFERROR(__xludf.DUMMYFUNCTION("""COMPUTED_VALUE"""),619.9)</f>
        <v>619.9</v>
      </c>
      <c r="F12" s="6">
        <f>IFERROR(__xludf.DUMMYFUNCTION("""COMPUTED_VALUE"""),1.0063699E7)</f>
        <v>10063699</v>
      </c>
    </row>
    <row r="13">
      <c r="A13" s="7">
        <f>IFERROR(__xludf.DUMMYFUNCTION("""COMPUTED_VALUE"""),45247.64583333333)</f>
        <v>45247.64583</v>
      </c>
      <c r="B13" s="6">
        <f>IFERROR(__xludf.DUMMYFUNCTION("""COMPUTED_VALUE"""),624.5)</f>
        <v>624.5</v>
      </c>
      <c r="C13" s="6">
        <f>IFERROR(__xludf.DUMMYFUNCTION("""COMPUTED_VALUE"""),639.9)</f>
        <v>639.9</v>
      </c>
      <c r="D13" s="6">
        <f>IFERROR(__xludf.DUMMYFUNCTION("""COMPUTED_VALUE"""),616.05)</f>
        <v>616.05</v>
      </c>
      <c r="E13" s="6">
        <f>IFERROR(__xludf.DUMMYFUNCTION("""COMPUTED_VALUE"""),636.55)</f>
        <v>636.55</v>
      </c>
      <c r="F13" s="6">
        <f>IFERROR(__xludf.DUMMYFUNCTION("""COMPUTED_VALUE"""),3703457.0)</f>
        <v>3703457</v>
      </c>
    </row>
    <row r="14">
      <c r="A14" s="7">
        <f>IFERROR(__xludf.DUMMYFUNCTION("""COMPUTED_VALUE"""),45254.64583333333)</f>
        <v>45254.64583</v>
      </c>
      <c r="B14" s="6">
        <f>IFERROR(__xludf.DUMMYFUNCTION("""COMPUTED_VALUE"""),640.0)</f>
        <v>640</v>
      </c>
      <c r="C14" s="6">
        <f>IFERROR(__xludf.DUMMYFUNCTION("""COMPUTED_VALUE"""),649.05)</f>
        <v>649.05</v>
      </c>
      <c r="D14" s="6">
        <f>IFERROR(__xludf.DUMMYFUNCTION("""COMPUTED_VALUE"""),629.45)</f>
        <v>629.45</v>
      </c>
      <c r="E14" s="6">
        <f>IFERROR(__xludf.DUMMYFUNCTION("""COMPUTED_VALUE"""),639.9)</f>
        <v>639.9</v>
      </c>
      <c r="F14" s="6">
        <f>IFERROR(__xludf.DUMMYFUNCTION("""COMPUTED_VALUE"""),4031543.0)</f>
        <v>4031543</v>
      </c>
    </row>
    <row r="15">
      <c r="A15" s="7">
        <f>IFERROR(__xludf.DUMMYFUNCTION("""COMPUTED_VALUE"""),45261.64583333333)</f>
        <v>45261.64583</v>
      </c>
      <c r="B15" s="6">
        <f>IFERROR(__xludf.DUMMYFUNCTION("""COMPUTED_VALUE"""),639.9)</f>
        <v>639.9</v>
      </c>
      <c r="C15" s="6">
        <f>IFERROR(__xludf.DUMMYFUNCTION("""COMPUTED_VALUE"""),648.95)</f>
        <v>648.95</v>
      </c>
      <c r="D15" s="6">
        <f>IFERROR(__xludf.DUMMYFUNCTION("""COMPUTED_VALUE"""),628.1)</f>
        <v>628.1</v>
      </c>
      <c r="E15" s="6">
        <f>IFERROR(__xludf.DUMMYFUNCTION("""COMPUTED_VALUE"""),639.7)</f>
        <v>639.7</v>
      </c>
      <c r="F15" s="6">
        <f>IFERROR(__xludf.DUMMYFUNCTION("""COMPUTED_VALUE"""),3876184.0)</f>
        <v>3876184</v>
      </c>
    </row>
    <row r="16">
      <c r="A16" s="7">
        <f>IFERROR(__xludf.DUMMYFUNCTION("""COMPUTED_VALUE"""),45268.64583333333)</f>
        <v>45268.64583</v>
      </c>
      <c r="B16" s="6">
        <f>IFERROR(__xludf.DUMMYFUNCTION("""COMPUTED_VALUE"""),648.0)</f>
        <v>648</v>
      </c>
      <c r="C16" s="6">
        <f>IFERROR(__xludf.DUMMYFUNCTION("""COMPUTED_VALUE"""),664.95)</f>
        <v>664.95</v>
      </c>
      <c r="D16" s="6">
        <f>IFERROR(__xludf.DUMMYFUNCTION("""COMPUTED_VALUE"""),630.0)</f>
        <v>630</v>
      </c>
      <c r="E16" s="6">
        <f>IFERROR(__xludf.DUMMYFUNCTION("""COMPUTED_VALUE"""),638.55)</f>
        <v>638.55</v>
      </c>
      <c r="F16" s="6">
        <f>IFERROR(__xludf.DUMMYFUNCTION("""COMPUTED_VALUE"""),7971432.0)</f>
        <v>7971432</v>
      </c>
    </row>
    <row r="17">
      <c r="A17" s="7">
        <f>IFERROR(__xludf.DUMMYFUNCTION("""COMPUTED_VALUE"""),45275.64583333333)</f>
        <v>45275.64583</v>
      </c>
      <c r="B17" s="6">
        <f>IFERROR(__xludf.DUMMYFUNCTION("""COMPUTED_VALUE"""),644.45)</f>
        <v>644.45</v>
      </c>
      <c r="C17" s="6">
        <f>IFERROR(__xludf.DUMMYFUNCTION("""COMPUTED_VALUE"""),650.55)</f>
        <v>650.55</v>
      </c>
      <c r="D17" s="6">
        <f>IFERROR(__xludf.DUMMYFUNCTION("""COMPUTED_VALUE"""),632.0)</f>
        <v>632</v>
      </c>
      <c r="E17" s="6">
        <f>IFERROR(__xludf.DUMMYFUNCTION("""COMPUTED_VALUE"""),645.9)</f>
        <v>645.9</v>
      </c>
      <c r="F17" s="6">
        <f>IFERROR(__xludf.DUMMYFUNCTION("""COMPUTED_VALUE"""),6073587.0)</f>
        <v>6073587</v>
      </c>
    </row>
    <row r="18">
      <c r="A18" s="7">
        <f>IFERROR(__xludf.DUMMYFUNCTION("""COMPUTED_VALUE"""),45282.64583333333)</f>
        <v>45282.64583</v>
      </c>
      <c r="B18" s="6">
        <f>IFERROR(__xludf.DUMMYFUNCTION("""COMPUTED_VALUE"""),655.0)</f>
        <v>655</v>
      </c>
      <c r="C18" s="6">
        <f>IFERROR(__xludf.DUMMYFUNCTION("""COMPUTED_VALUE"""),696.5)</f>
        <v>696.5</v>
      </c>
      <c r="D18" s="6">
        <f>IFERROR(__xludf.DUMMYFUNCTION("""COMPUTED_VALUE"""),648.15)</f>
        <v>648.15</v>
      </c>
      <c r="E18" s="6">
        <f>IFERROR(__xludf.DUMMYFUNCTION("""COMPUTED_VALUE"""),679.95)</f>
        <v>679.95</v>
      </c>
      <c r="F18" s="6">
        <f>IFERROR(__xludf.DUMMYFUNCTION("""COMPUTED_VALUE"""),1.5381032E7)</f>
        <v>15381032</v>
      </c>
    </row>
    <row r="19">
      <c r="A19" s="7">
        <f>IFERROR(__xludf.DUMMYFUNCTION("""COMPUTED_VALUE"""),45289.64583333333)</f>
        <v>45289.64583</v>
      </c>
      <c r="B19" s="6">
        <f>IFERROR(__xludf.DUMMYFUNCTION("""COMPUTED_VALUE"""),679.0)</f>
        <v>679</v>
      </c>
      <c r="C19" s="6">
        <f>IFERROR(__xludf.DUMMYFUNCTION("""COMPUTED_VALUE"""),693.25)</f>
        <v>693.25</v>
      </c>
      <c r="D19" s="6">
        <f>IFERROR(__xludf.DUMMYFUNCTION("""COMPUTED_VALUE"""),666.75)</f>
        <v>666.75</v>
      </c>
      <c r="E19" s="6">
        <f>IFERROR(__xludf.DUMMYFUNCTION("""COMPUTED_VALUE"""),689.2)</f>
        <v>689.2</v>
      </c>
      <c r="F19" s="6">
        <f>IFERROR(__xludf.DUMMYFUNCTION("""COMPUTED_VALUE"""),5191722.0)</f>
        <v>5191722</v>
      </c>
    </row>
    <row r="20">
      <c r="A20" s="7">
        <f>IFERROR(__xludf.DUMMYFUNCTION("""COMPUTED_VALUE"""),45296.64583333333)</f>
        <v>45296.64583</v>
      </c>
      <c r="B20" s="6">
        <f>IFERROR(__xludf.DUMMYFUNCTION("""COMPUTED_VALUE"""),688.1)</f>
        <v>688.1</v>
      </c>
      <c r="C20" s="6">
        <f>IFERROR(__xludf.DUMMYFUNCTION("""COMPUTED_VALUE"""),716.0)</f>
        <v>716</v>
      </c>
      <c r="D20" s="6">
        <f>IFERROR(__xludf.DUMMYFUNCTION("""COMPUTED_VALUE"""),685.0)</f>
        <v>685</v>
      </c>
      <c r="E20" s="6">
        <f>IFERROR(__xludf.DUMMYFUNCTION("""COMPUTED_VALUE"""),714.25)</f>
        <v>714.25</v>
      </c>
      <c r="F20" s="6">
        <f>IFERROR(__xludf.DUMMYFUNCTION("""COMPUTED_VALUE"""),7885152.0)</f>
        <v>7885152</v>
      </c>
    </row>
    <row r="21">
      <c r="A21" s="7">
        <f>IFERROR(__xludf.DUMMYFUNCTION("""COMPUTED_VALUE"""),45303.64583333333)</f>
        <v>45303.64583</v>
      </c>
      <c r="B21" s="6">
        <f>IFERROR(__xludf.DUMMYFUNCTION("""COMPUTED_VALUE"""),717.0)</f>
        <v>717</v>
      </c>
      <c r="C21" s="6">
        <f>IFERROR(__xludf.DUMMYFUNCTION("""COMPUTED_VALUE"""),720.7)</f>
        <v>720.7</v>
      </c>
      <c r="D21" s="6">
        <f>IFERROR(__xludf.DUMMYFUNCTION("""COMPUTED_VALUE"""),696.65)</f>
        <v>696.65</v>
      </c>
      <c r="E21" s="6">
        <f>IFERROR(__xludf.DUMMYFUNCTION("""COMPUTED_VALUE"""),703.95)</f>
        <v>703.95</v>
      </c>
      <c r="F21" s="6">
        <f>IFERROR(__xludf.DUMMYFUNCTION("""COMPUTED_VALUE"""),4449578.0)</f>
        <v>4449578</v>
      </c>
    </row>
    <row r="22">
      <c r="A22" s="7">
        <f>IFERROR(__xludf.DUMMYFUNCTION("""COMPUTED_VALUE"""),45316.64583333333)</f>
        <v>45316.64583</v>
      </c>
      <c r="B22" s="6">
        <f>IFERROR(__xludf.DUMMYFUNCTION("""COMPUTED_VALUE"""),706.6)</f>
        <v>706.6</v>
      </c>
      <c r="C22" s="6">
        <f>IFERROR(__xludf.DUMMYFUNCTION("""COMPUTED_VALUE"""),753.9)</f>
        <v>753.9</v>
      </c>
      <c r="D22" s="6">
        <f>IFERROR(__xludf.DUMMYFUNCTION("""COMPUTED_VALUE"""),706.6)</f>
        <v>706.6</v>
      </c>
      <c r="E22" s="6">
        <f>IFERROR(__xludf.DUMMYFUNCTION("""COMPUTED_VALUE"""),736.5)</f>
        <v>736.5</v>
      </c>
      <c r="F22" s="6">
        <f>IFERROR(__xludf.DUMMYFUNCTION("""COMPUTED_VALUE"""),5631927.0)</f>
        <v>5631927</v>
      </c>
    </row>
    <row r="23">
      <c r="A23" s="7">
        <f>IFERROR(__xludf.DUMMYFUNCTION("""COMPUTED_VALUE"""),45324.64583333333)</f>
        <v>45324.64583</v>
      </c>
      <c r="B23" s="6">
        <f>IFERROR(__xludf.DUMMYFUNCTION("""COMPUTED_VALUE"""),739.9)</f>
        <v>739.9</v>
      </c>
      <c r="C23" s="6">
        <f>IFERROR(__xludf.DUMMYFUNCTION("""COMPUTED_VALUE"""),766.95)</f>
        <v>766.95</v>
      </c>
      <c r="D23" s="6">
        <f>IFERROR(__xludf.DUMMYFUNCTION("""COMPUTED_VALUE"""),733.55)</f>
        <v>733.55</v>
      </c>
      <c r="E23" s="6">
        <f>IFERROR(__xludf.DUMMYFUNCTION("""COMPUTED_VALUE"""),761.15)</f>
        <v>761.15</v>
      </c>
      <c r="F23" s="6">
        <f>IFERROR(__xludf.DUMMYFUNCTION("""COMPUTED_VALUE"""),3620386.0)</f>
        <v>3620386</v>
      </c>
    </row>
    <row r="24">
      <c r="A24" s="7">
        <f>IFERROR(__xludf.DUMMYFUNCTION("""COMPUTED_VALUE"""),45331.64583333333)</f>
        <v>45331.64583</v>
      </c>
      <c r="B24" s="6">
        <f>IFERROR(__xludf.DUMMYFUNCTION("""COMPUTED_VALUE"""),761.5)</f>
        <v>761.5</v>
      </c>
      <c r="C24" s="6">
        <f>IFERROR(__xludf.DUMMYFUNCTION("""COMPUTED_VALUE"""),820.95)</f>
        <v>820.95</v>
      </c>
      <c r="D24" s="6">
        <f>IFERROR(__xludf.DUMMYFUNCTION("""COMPUTED_VALUE"""),754.1)</f>
        <v>754.1</v>
      </c>
      <c r="E24" s="6">
        <f>IFERROR(__xludf.DUMMYFUNCTION("""COMPUTED_VALUE"""),805.05)</f>
        <v>805.05</v>
      </c>
      <c r="F24" s="6">
        <f>IFERROR(__xludf.DUMMYFUNCTION("""COMPUTED_VALUE"""),9359240.0)</f>
        <v>9359240</v>
      </c>
    </row>
    <row r="25">
      <c r="A25" s="7">
        <f>IFERROR(__xludf.DUMMYFUNCTION("""COMPUTED_VALUE"""),45338.64583333333)</f>
        <v>45338.64583</v>
      </c>
      <c r="B25" s="6">
        <f>IFERROR(__xludf.DUMMYFUNCTION("""COMPUTED_VALUE"""),809.75)</f>
        <v>809.75</v>
      </c>
      <c r="C25" s="6">
        <f>IFERROR(__xludf.DUMMYFUNCTION("""COMPUTED_VALUE"""),893.75)</f>
        <v>893.75</v>
      </c>
      <c r="D25" s="6">
        <f>IFERROR(__xludf.DUMMYFUNCTION("""COMPUTED_VALUE"""),803.05)</f>
        <v>803.05</v>
      </c>
      <c r="E25" s="6">
        <f>IFERROR(__xludf.DUMMYFUNCTION("""COMPUTED_VALUE"""),891.9)</f>
        <v>891.9</v>
      </c>
      <c r="F25" s="6">
        <f>IFERROR(__xludf.DUMMYFUNCTION("""COMPUTED_VALUE"""),1.0795568E7)</f>
        <v>10795568</v>
      </c>
    </row>
    <row r="26">
      <c r="A26" s="7">
        <f>IFERROR(__xludf.DUMMYFUNCTION("""COMPUTED_VALUE"""),45345.64583333333)</f>
        <v>45345.64583</v>
      </c>
      <c r="B26" s="6">
        <f>IFERROR(__xludf.DUMMYFUNCTION("""COMPUTED_VALUE"""),897.15)</f>
        <v>897.15</v>
      </c>
      <c r="C26" s="6">
        <f>IFERROR(__xludf.DUMMYFUNCTION("""COMPUTED_VALUE"""),937.0)</f>
        <v>937</v>
      </c>
      <c r="D26" s="6">
        <f>IFERROR(__xludf.DUMMYFUNCTION("""COMPUTED_VALUE"""),889.0)</f>
        <v>889</v>
      </c>
      <c r="E26" s="6">
        <f>IFERROR(__xludf.DUMMYFUNCTION("""COMPUTED_VALUE"""),923.25)</f>
        <v>923.25</v>
      </c>
      <c r="F26" s="6">
        <f>IFERROR(__xludf.DUMMYFUNCTION("""COMPUTED_VALUE"""),5346261.0)</f>
        <v>5346261</v>
      </c>
    </row>
    <row r="27">
      <c r="A27" s="7">
        <f>IFERROR(__xludf.DUMMYFUNCTION("""COMPUTED_VALUE"""),45358.64583333333)</f>
        <v>45358.64583</v>
      </c>
      <c r="B27" s="6">
        <f>IFERROR(__xludf.DUMMYFUNCTION("""COMPUTED_VALUE"""),921.7)</f>
        <v>921.7</v>
      </c>
      <c r="C27" s="6">
        <f>IFERROR(__xludf.DUMMYFUNCTION("""COMPUTED_VALUE"""),981.95)</f>
        <v>981.95</v>
      </c>
      <c r="D27" s="6">
        <f>IFERROR(__xludf.DUMMYFUNCTION("""COMPUTED_VALUE"""),921.7)</f>
        <v>921.7</v>
      </c>
      <c r="E27" s="6">
        <f>IFERROR(__xludf.DUMMYFUNCTION("""COMPUTED_VALUE"""),976.75)</f>
        <v>976.75</v>
      </c>
      <c r="F27" s="6">
        <f>IFERROR(__xludf.DUMMYFUNCTION("""COMPUTED_VALUE"""),4232649.0)</f>
        <v>4232649</v>
      </c>
    </row>
    <row r="28">
      <c r="A28" s="7">
        <f>IFERROR(__xludf.DUMMYFUNCTION("""COMPUTED_VALUE"""),45366.64583333333)</f>
        <v>45366.64583</v>
      </c>
      <c r="B28" s="6">
        <f>IFERROR(__xludf.DUMMYFUNCTION("""COMPUTED_VALUE"""),985.95)</f>
        <v>985.95</v>
      </c>
      <c r="C28" s="6">
        <f>IFERROR(__xludf.DUMMYFUNCTION("""COMPUTED_VALUE"""),1015.5)</f>
        <v>1015.5</v>
      </c>
      <c r="D28" s="6">
        <f>IFERROR(__xludf.DUMMYFUNCTION("""COMPUTED_VALUE"""),960.85)</f>
        <v>960.85</v>
      </c>
      <c r="E28" s="6">
        <f>IFERROR(__xludf.DUMMYFUNCTION("""COMPUTED_VALUE"""),983.9)</f>
        <v>983.9</v>
      </c>
      <c r="F28" s="6">
        <f>IFERROR(__xludf.DUMMYFUNCTION("""COMPUTED_VALUE"""),6635293.0)</f>
        <v>6635293</v>
      </c>
    </row>
    <row r="29">
      <c r="A29" s="7">
        <f>IFERROR(__xludf.DUMMYFUNCTION("""COMPUTED_VALUE"""),45373.64583333333)</f>
        <v>45373.64583</v>
      </c>
      <c r="B29" s="6">
        <f>IFERROR(__xludf.DUMMYFUNCTION("""COMPUTED_VALUE"""),983.9)</f>
        <v>983.9</v>
      </c>
      <c r="C29" s="6">
        <f>IFERROR(__xludf.DUMMYFUNCTION("""COMPUTED_VALUE"""),1009.9)</f>
        <v>1009.9</v>
      </c>
      <c r="D29" s="6">
        <f>IFERROR(__xludf.DUMMYFUNCTION("""COMPUTED_VALUE"""),946.25)</f>
        <v>946.25</v>
      </c>
      <c r="E29" s="6">
        <f>IFERROR(__xludf.DUMMYFUNCTION("""COMPUTED_VALUE"""),999.75)</f>
        <v>999.75</v>
      </c>
      <c r="F29" s="6">
        <f>IFERROR(__xludf.DUMMYFUNCTION("""COMPUTED_VALUE"""),6463555.0)</f>
        <v>6463555</v>
      </c>
    </row>
    <row r="30">
      <c r="A30" s="7">
        <f>IFERROR(__xludf.DUMMYFUNCTION("""COMPUTED_VALUE"""),45379.64583333333)</f>
        <v>45379.64583</v>
      </c>
      <c r="B30" s="6">
        <f>IFERROR(__xludf.DUMMYFUNCTION("""COMPUTED_VALUE"""),1000.0)</f>
        <v>1000</v>
      </c>
      <c r="C30" s="6">
        <f>IFERROR(__xludf.DUMMYFUNCTION("""COMPUTED_VALUE"""),1027.8)</f>
        <v>1027.8</v>
      </c>
      <c r="D30" s="6">
        <f>IFERROR(__xludf.DUMMYFUNCTION("""COMPUTED_VALUE"""),985.0)</f>
        <v>985</v>
      </c>
      <c r="E30" s="6">
        <f>IFERROR(__xludf.DUMMYFUNCTION("""COMPUTED_VALUE"""),1007.35)</f>
        <v>1007.35</v>
      </c>
      <c r="F30" s="6">
        <f>IFERROR(__xludf.DUMMYFUNCTION("""COMPUTED_VALUE"""),5107124.0)</f>
        <v>5107124</v>
      </c>
    </row>
    <row r="31">
      <c r="A31" s="7">
        <f>IFERROR(__xludf.DUMMYFUNCTION("""COMPUTED_VALUE"""),45387.64583333333)</f>
        <v>45387.64583</v>
      </c>
      <c r="B31" s="6">
        <f>IFERROR(__xludf.DUMMYFUNCTION("""COMPUTED_VALUE"""),1024.95)</f>
        <v>1024.95</v>
      </c>
      <c r="C31" s="6">
        <f>IFERROR(__xludf.DUMMYFUNCTION("""COMPUTED_VALUE"""),1031.7)</f>
        <v>1031.7</v>
      </c>
      <c r="D31" s="6">
        <f>IFERROR(__xludf.DUMMYFUNCTION("""COMPUTED_VALUE"""),973.45)</f>
        <v>973.45</v>
      </c>
      <c r="E31" s="6">
        <f>IFERROR(__xludf.DUMMYFUNCTION("""COMPUTED_VALUE"""),1006.5)</f>
        <v>1006.5</v>
      </c>
      <c r="F31" s="6">
        <f>IFERROR(__xludf.DUMMYFUNCTION("""COMPUTED_VALUE"""),5838284.0)</f>
        <v>5838284</v>
      </c>
    </row>
    <row r="32">
      <c r="A32" s="7">
        <f>IFERROR(__xludf.DUMMYFUNCTION("""COMPUTED_VALUE"""),45394.64583333333)</f>
        <v>45394.64583</v>
      </c>
      <c r="B32" s="6">
        <f>IFERROR(__xludf.DUMMYFUNCTION("""COMPUTED_VALUE"""),1011.75)</f>
        <v>1011.75</v>
      </c>
      <c r="C32" s="6">
        <f>IFERROR(__xludf.DUMMYFUNCTION("""COMPUTED_VALUE"""),1013.55)</f>
        <v>1013.55</v>
      </c>
      <c r="D32" s="6">
        <f>IFERROR(__xludf.DUMMYFUNCTION("""COMPUTED_VALUE"""),958.8)</f>
        <v>958.8</v>
      </c>
      <c r="E32" s="6">
        <f>IFERROR(__xludf.DUMMYFUNCTION("""COMPUTED_VALUE"""),962.15)</f>
        <v>962.15</v>
      </c>
      <c r="F32" s="6">
        <f>IFERROR(__xludf.DUMMYFUNCTION("""COMPUTED_VALUE"""),3324354.0)</f>
        <v>3324354</v>
      </c>
    </row>
    <row r="33">
      <c r="A33" s="7">
        <f>IFERROR(__xludf.DUMMYFUNCTION("""COMPUTED_VALUE"""),45401.64583333333)</f>
        <v>45401.64583</v>
      </c>
      <c r="B33" s="6">
        <f>IFERROR(__xludf.DUMMYFUNCTION("""COMPUTED_VALUE"""),950.0)</f>
        <v>950</v>
      </c>
      <c r="C33" s="6">
        <f>IFERROR(__xludf.DUMMYFUNCTION("""COMPUTED_VALUE"""),971.5)</f>
        <v>971.5</v>
      </c>
      <c r="D33" s="6">
        <f>IFERROR(__xludf.DUMMYFUNCTION("""COMPUTED_VALUE"""),913.2)</f>
        <v>913.2</v>
      </c>
      <c r="E33" s="6">
        <f>IFERROR(__xludf.DUMMYFUNCTION("""COMPUTED_VALUE"""),922.15)</f>
        <v>922.15</v>
      </c>
      <c r="F33" s="6">
        <f>IFERROR(__xludf.DUMMYFUNCTION("""COMPUTED_VALUE"""),6435539.0)</f>
        <v>6435539</v>
      </c>
    </row>
    <row r="34">
      <c r="A34" s="7">
        <f>IFERROR(__xludf.DUMMYFUNCTION("""COMPUTED_VALUE"""),45408.64583333333)</f>
        <v>45408.64583</v>
      </c>
      <c r="B34" s="6">
        <f>IFERROR(__xludf.DUMMYFUNCTION("""COMPUTED_VALUE"""),936.15)</f>
        <v>936.15</v>
      </c>
      <c r="C34" s="6">
        <f>IFERROR(__xludf.DUMMYFUNCTION("""COMPUTED_VALUE"""),968.05)</f>
        <v>968.05</v>
      </c>
      <c r="D34" s="6">
        <f>IFERROR(__xludf.DUMMYFUNCTION("""COMPUTED_VALUE"""),914.5)</f>
        <v>914.5</v>
      </c>
      <c r="E34" s="6">
        <f>IFERROR(__xludf.DUMMYFUNCTION("""COMPUTED_VALUE"""),947.4)</f>
        <v>947.4</v>
      </c>
      <c r="F34" s="6">
        <f>IFERROR(__xludf.DUMMYFUNCTION("""COMPUTED_VALUE"""),8420533.0)</f>
        <v>8420533</v>
      </c>
    </row>
    <row r="35">
      <c r="A35" s="7">
        <f>IFERROR(__xludf.DUMMYFUNCTION("""COMPUTED_VALUE"""),45415.64583333333)</f>
        <v>45415.64583</v>
      </c>
      <c r="B35" s="6">
        <f>IFERROR(__xludf.DUMMYFUNCTION("""COMPUTED_VALUE"""),948.0)</f>
        <v>948</v>
      </c>
      <c r="C35" s="6">
        <f>IFERROR(__xludf.DUMMYFUNCTION("""COMPUTED_VALUE"""),999.75)</f>
        <v>999.75</v>
      </c>
      <c r="D35" s="6">
        <f>IFERROR(__xludf.DUMMYFUNCTION("""COMPUTED_VALUE"""),948.0)</f>
        <v>948</v>
      </c>
      <c r="E35" s="6">
        <f>IFERROR(__xludf.DUMMYFUNCTION("""COMPUTED_VALUE"""),997.4)</f>
        <v>997.4</v>
      </c>
      <c r="F35" s="6">
        <f>IFERROR(__xludf.DUMMYFUNCTION("""COMPUTED_VALUE"""),6992183.0)</f>
        <v>6992183</v>
      </c>
    </row>
    <row r="36">
      <c r="A36" s="7">
        <f>IFERROR(__xludf.DUMMYFUNCTION("""COMPUTED_VALUE"""),45422.64583333333)</f>
        <v>45422.64583</v>
      </c>
      <c r="B36" s="6">
        <f>IFERROR(__xludf.DUMMYFUNCTION("""COMPUTED_VALUE"""),1004.0)</f>
        <v>1004</v>
      </c>
      <c r="C36" s="6">
        <f>IFERROR(__xludf.DUMMYFUNCTION("""COMPUTED_VALUE"""),1033.0)</f>
        <v>1033</v>
      </c>
      <c r="D36" s="6">
        <f>IFERROR(__xludf.DUMMYFUNCTION("""COMPUTED_VALUE"""),965.0)</f>
        <v>965</v>
      </c>
      <c r="E36" s="6">
        <f>IFERROR(__xludf.DUMMYFUNCTION("""COMPUTED_VALUE"""),982.15)</f>
        <v>982.15</v>
      </c>
      <c r="F36" s="6">
        <f>IFERROR(__xludf.DUMMYFUNCTION("""COMPUTED_VALUE"""),8300853.0)</f>
        <v>8300853</v>
      </c>
    </row>
    <row r="37">
      <c r="A37" s="7">
        <f>IFERROR(__xludf.DUMMYFUNCTION("""COMPUTED_VALUE"""),45436.64583333333)</f>
        <v>45436.64583</v>
      </c>
      <c r="B37" s="6">
        <f>IFERROR(__xludf.DUMMYFUNCTION("""COMPUTED_VALUE"""),1121.1)</f>
        <v>1121.1</v>
      </c>
      <c r="C37" s="6">
        <f>IFERROR(__xludf.DUMMYFUNCTION("""COMPUTED_VALUE"""),1172.5)</f>
        <v>1172.5</v>
      </c>
      <c r="D37" s="6">
        <f>IFERROR(__xludf.DUMMYFUNCTION("""COMPUTED_VALUE"""),1048.35)</f>
        <v>1048.35</v>
      </c>
      <c r="E37" s="6">
        <f>IFERROR(__xludf.DUMMYFUNCTION("""COMPUTED_VALUE"""),1076.0)</f>
        <v>1076</v>
      </c>
      <c r="F37" s="6">
        <f>IFERROR(__xludf.DUMMYFUNCTION("""COMPUTED_VALUE"""),1.2143908E7)</f>
        <v>12143908</v>
      </c>
    </row>
    <row r="38">
      <c r="A38" s="7">
        <f>IFERROR(__xludf.DUMMYFUNCTION("""COMPUTED_VALUE"""),45443.64583333333)</f>
        <v>45443.64583</v>
      </c>
      <c r="B38" s="6">
        <f>IFERROR(__xludf.DUMMYFUNCTION("""COMPUTED_VALUE"""),1083.85)</f>
        <v>1083.85</v>
      </c>
      <c r="C38" s="6">
        <f>IFERROR(__xludf.DUMMYFUNCTION("""COMPUTED_VALUE"""),1086.0)</f>
        <v>1086</v>
      </c>
      <c r="D38" s="6">
        <f>IFERROR(__xludf.DUMMYFUNCTION("""COMPUTED_VALUE"""),995.0)</f>
        <v>995</v>
      </c>
      <c r="E38" s="6">
        <f>IFERROR(__xludf.DUMMYFUNCTION("""COMPUTED_VALUE"""),1000.15)</f>
        <v>1000.15</v>
      </c>
      <c r="F38" s="6">
        <f>IFERROR(__xludf.DUMMYFUNCTION("""COMPUTED_VALUE"""),8345012.0)</f>
        <v>8345012</v>
      </c>
    </row>
    <row r="39">
      <c r="A39" s="7">
        <f>IFERROR(__xludf.DUMMYFUNCTION("""COMPUTED_VALUE"""),45450.64583333333)</f>
        <v>45450.64583</v>
      </c>
      <c r="B39" s="6">
        <f>IFERROR(__xludf.DUMMYFUNCTION("""COMPUTED_VALUE"""),1045.0)</f>
        <v>1045</v>
      </c>
      <c r="C39" s="6">
        <f>IFERROR(__xludf.DUMMYFUNCTION("""COMPUTED_VALUE"""),1064.2)</f>
        <v>1064.2</v>
      </c>
      <c r="D39" s="6">
        <f>IFERROR(__xludf.DUMMYFUNCTION("""COMPUTED_VALUE"""),933.8)</f>
        <v>933.8</v>
      </c>
      <c r="E39" s="6">
        <f>IFERROR(__xludf.DUMMYFUNCTION("""COMPUTED_VALUE"""),1055.8)</f>
        <v>1055.8</v>
      </c>
      <c r="F39" s="6">
        <f>IFERROR(__xludf.DUMMYFUNCTION("""COMPUTED_VALUE"""),9895190.0)</f>
        <v>9895190</v>
      </c>
    </row>
    <row r="40">
      <c r="A40" s="7">
        <f>IFERROR(__xludf.DUMMYFUNCTION("""COMPUTED_VALUE"""),45457.64583333333)</f>
        <v>45457.64583</v>
      </c>
      <c r="B40" s="6">
        <f>IFERROR(__xludf.DUMMYFUNCTION("""COMPUTED_VALUE"""),1062.9)</f>
        <v>1062.9</v>
      </c>
      <c r="C40" s="6">
        <f>IFERROR(__xludf.DUMMYFUNCTION("""COMPUTED_VALUE"""),1111.8)</f>
        <v>1111.8</v>
      </c>
      <c r="D40" s="6">
        <f>IFERROR(__xludf.DUMMYFUNCTION("""COMPUTED_VALUE"""),1059.0)</f>
        <v>1059</v>
      </c>
      <c r="E40" s="6">
        <f>IFERROR(__xludf.DUMMYFUNCTION("""COMPUTED_VALUE"""),1109.55)</f>
        <v>1109.55</v>
      </c>
      <c r="F40" s="6">
        <f>IFERROR(__xludf.DUMMYFUNCTION("""COMPUTED_VALUE"""),6482733.0)</f>
        <v>6482733</v>
      </c>
    </row>
    <row r="41">
      <c r="A41" s="7">
        <f>IFERROR(__xludf.DUMMYFUNCTION("""COMPUTED_VALUE"""),45464.64583333333)</f>
        <v>45464.64583</v>
      </c>
      <c r="B41" s="6">
        <f>IFERROR(__xludf.DUMMYFUNCTION("""COMPUTED_VALUE"""),1107.5)</f>
        <v>1107.5</v>
      </c>
      <c r="C41" s="6">
        <f>IFERROR(__xludf.DUMMYFUNCTION("""COMPUTED_VALUE"""),1109.5)</f>
        <v>1109.5</v>
      </c>
      <c r="D41" s="6">
        <f>IFERROR(__xludf.DUMMYFUNCTION("""COMPUTED_VALUE"""),1050.0)</f>
        <v>1050</v>
      </c>
      <c r="E41" s="6">
        <f>IFERROR(__xludf.DUMMYFUNCTION("""COMPUTED_VALUE"""),1085.05)</f>
        <v>1085.05</v>
      </c>
      <c r="F41" s="6">
        <f>IFERROR(__xludf.DUMMYFUNCTION("""COMPUTED_VALUE"""),4974064.0)</f>
        <v>4974064</v>
      </c>
    </row>
    <row r="42">
      <c r="A42" s="7">
        <f>IFERROR(__xludf.DUMMYFUNCTION("""COMPUTED_VALUE"""),45471.64583333333)</f>
        <v>45471.64583</v>
      </c>
      <c r="B42" s="6">
        <f>IFERROR(__xludf.DUMMYFUNCTION("""COMPUTED_VALUE"""),1080.1)</f>
        <v>1080.1</v>
      </c>
      <c r="C42" s="6">
        <f>IFERROR(__xludf.DUMMYFUNCTION("""COMPUTED_VALUE"""),1091.3)</f>
        <v>1091.3</v>
      </c>
      <c r="D42" s="6">
        <f>IFERROR(__xludf.DUMMYFUNCTION("""COMPUTED_VALUE"""),1050.05)</f>
        <v>1050.05</v>
      </c>
      <c r="E42" s="6">
        <f>IFERROR(__xludf.DUMMYFUNCTION("""COMPUTED_VALUE"""),1073.95)</f>
        <v>1073.95</v>
      </c>
      <c r="F42" s="6">
        <f>IFERROR(__xludf.DUMMYFUNCTION("""COMPUTED_VALUE"""),7234297.0)</f>
        <v>7234297</v>
      </c>
    </row>
    <row r="43">
      <c r="A43" s="7">
        <f>IFERROR(__xludf.DUMMYFUNCTION("""COMPUTED_VALUE"""),45478.64583333333)</f>
        <v>45478.64583</v>
      </c>
      <c r="B43" s="6">
        <f>IFERROR(__xludf.DUMMYFUNCTION("""COMPUTED_VALUE"""),1093.35)</f>
        <v>1093.35</v>
      </c>
      <c r="C43" s="6">
        <f>IFERROR(__xludf.DUMMYFUNCTION("""COMPUTED_VALUE"""),1166.85)</f>
        <v>1166.85</v>
      </c>
      <c r="D43" s="6">
        <f>IFERROR(__xludf.DUMMYFUNCTION("""COMPUTED_VALUE"""),1059.0)</f>
        <v>1059</v>
      </c>
      <c r="E43" s="6">
        <f>IFERROR(__xludf.DUMMYFUNCTION("""COMPUTED_VALUE"""),1162.45)</f>
        <v>1162.45</v>
      </c>
      <c r="F43" s="6">
        <f>IFERROR(__xludf.DUMMYFUNCTION("""COMPUTED_VALUE"""),1.2118001E7)</f>
        <v>12118001</v>
      </c>
    </row>
    <row r="44">
      <c r="A44" s="7">
        <f>IFERROR(__xludf.DUMMYFUNCTION("""COMPUTED_VALUE"""),45485.64583333333)</f>
        <v>45485.64583</v>
      </c>
      <c r="B44" s="6">
        <f>IFERROR(__xludf.DUMMYFUNCTION("""COMPUTED_VALUE"""),1164.9)</f>
        <v>1164.9</v>
      </c>
      <c r="C44" s="6">
        <f>IFERROR(__xludf.DUMMYFUNCTION("""COMPUTED_VALUE"""),1203.0)</f>
        <v>1203</v>
      </c>
      <c r="D44" s="6">
        <f>IFERROR(__xludf.DUMMYFUNCTION("""COMPUTED_VALUE"""),1134.0)</f>
        <v>1134</v>
      </c>
      <c r="E44" s="6">
        <f>IFERROR(__xludf.DUMMYFUNCTION("""COMPUTED_VALUE"""),1175.15)</f>
        <v>1175.15</v>
      </c>
      <c r="F44" s="6">
        <f>IFERROR(__xludf.DUMMYFUNCTION("""COMPUTED_VALUE"""),8917419.0)</f>
        <v>8917419</v>
      </c>
    </row>
    <row r="45">
      <c r="A45" s="7">
        <f>IFERROR(__xludf.DUMMYFUNCTION("""COMPUTED_VALUE"""),45492.64583333333)</f>
        <v>45492.64583</v>
      </c>
      <c r="B45" s="6">
        <f>IFERROR(__xludf.DUMMYFUNCTION("""COMPUTED_VALUE"""),1174.0)</f>
        <v>1174</v>
      </c>
      <c r="C45" s="6">
        <f>IFERROR(__xludf.DUMMYFUNCTION("""COMPUTED_VALUE"""),1198.95)</f>
        <v>1198.95</v>
      </c>
      <c r="D45" s="6">
        <f>IFERROR(__xludf.DUMMYFUNCTION("""COMPUTED_VALUE"""),1137.15)</f>
        <v>1137.15</v>
      </c>
      <c r="E45" s="6">
        <f>IFERROR(__xludf.DUMMYFUNCTION("""COMPUTED_VALUE"""),1144.45)</f>
        <v>1144.45</v>
      </c>
      <c r="F45" s="6">
        <f>IFERROR(__xludf.DUMMYFUNCTION("""COMPUTED_VALUE"""),4990335.0)</f>
        <v>4990335</v>
      </c>
    </row>
    <row r="46">
      <c r="A46" s="7">
        <f>IFERROR(__xludf.DUMMYFUNCTION("""COMPUTED_VALUE"""),45499.64583333333)</f>
        <v>45499.64583</v>
      </c>
      <c r="B46" s="6">
        <f>IFERROR(__xludf.DUMMYFUNCTION("""COMPUTED_VALUE"""),1135.0)</f>
        <v>1135</v>
      </c>
      <c r="C46" s="6">
        <f>IFERROR(__xludf.DUMMYFUNCTION("""COMPUTED_VALUE"""),1215.0)</f>
        <v>1215</v>
      </c>
      <c r="D46" s="6">
        <f>IFERROR(__xludf.DUMMYFUNCTION("""COMPUTED_VALUE"""),1123.2)</f>
        <v>1123.2</v>
      </c>
      <c r="E46" s="6">
        <f>IFERROR(__xludf.DUMMYFUNCTION("""COMPUTED_VALUE"""),1206.05)</f>
        <v>1206.05</v>
      </c>
      <c r="F46" s="6">
        <f>IFERROR(__xludf.DUMMYFUNCTION("""COMPUTED_VALUE"""),6136390.0)</f>
        <v>6136390</v>
      </c>
    </row>
    <row r="47">
      <c r="A47" s="7">
        <f>IFERROR(__xludf.DUMMYFUNCTION("""COMPUTED_VALUE"""),45506.64583333333)</f>
        <v>45506.64583</v>
      </c>
      <c r="B47" s="6">
        <f>IFERROR(__xludf.DUMMYFUNCTION("""COMPUTED_VALUE"""),1227.0)</f>
        <v>1227</v>
      </c>
      <c r="C47" s="6">
        <f>IFERROR(__xludf.DUMMYFUNCTION("""COMPUTED_VALUE"""),1265.0)</f>
        <v>1265</v>
      </c>
      <c r="D47" s="6">
        <f>IFERROR(__xludf.DUMMYFUNCTION("""COMPUTED_VALUE"""),1210.5)</f>
        <v>1210.5</v>
      </c>
      <c r="E47" s="6">
        <f>IFERROR(__xludf.DUMMYFUNCTION("""COMPUTED_VALUE"""),1249.9)</f>
        <v>1249.9</v>
      </c>
      <c r="F47" s="6">
        <f>IFERROR(__xludf.DUMMYFUNCTION("""COMPUTED_VALUE"""),7011485.0)</f>
        <v>7011485</v>
      </c>
    </row>
    <row r="48">
      <c r="A48" s="7">
        <f>IFERROR(__xludf.DUMMYFUNCTION("""COMPUTED_VALUE"""),45513.64583333333)</f>
        <v>45513.64583</v>
      </c>
      <c r="B48" s="6">
        <f>IFERROR(__xludf.DUMMYFUNCTION("""COMPUTED_VALUE"""),1210.05)</f>
        <v>1210.05</v>
      </c>
      <c r="C48" s="6">
        <f>IFERROR(__xludf.DUMMYFUNCTION("""COMPUTED_VALUE"""),1324.3)</f>
        <v>1324.3</v>
      </c>
      <c r="D48" s="6">
        <f>IFERROR(__xludf.DUMMYFUNCTION("""COMPUTED_VALUE"""),1210.05)</f>
        <v>1210.05</v>
      </c>
      <c r="E48" s="6">
        <f>IFERROR(__xludf.DUMMYFUNCTION("""COMPUTED_VALUE"""),1300.9)</f>
        <v>1300.9</v>
      </c>
      <c r="F48" s="6">
        <f>IFERROR(__xludf.DUMMYFUNCTION("""COMPUTED_VALUE"""),1.1553906E7)</f>
        <v>11553906</v>
      </c>
    </row>
    <row r="49">
      <c r="A49" s="7">
        <f>IFERROR(__xludf.DUMMYFUNCTION("""COMPUTED_VALUE"""),45520.64583333333)</f>
        <v>45520.64583</v>
      </c>
      <c r="B49" s="6">
        <f>IFERROR(__xludf.DUMMYFUNCTION("""COMPUTED_VALUE"""),1298.0)</f>
        <v>1298</v>
      </c>
      <c r="C49" s="6">
        <f>IFERROR(__xludf.DUMMYFUNCTION("""COMPUTED_VALUE"""),1298.0)</f>
        <v>1298</v>
      </c>
      <c r="D49" s="6">
        <f>IFERROR(__xludf.DUMMYFUNCTION("""COMPUTED_VALUE"""),1157.2)</f>
        <v>1157.2</v>
      </c>
      <c r="E49" s="6">
        <f>IFERROR(__xludf.DUMMYFUNCTION("""COMPUTED_VALUE"""),1187.55)</f>
        <v>1187.55</v>
      </c>
      <c r="F49" s="6">
        <f>IFERROR(__xludf.DUMMYFUNCTION("""COMPUTED_VALUE"""),1.4331633E7)</f>
        <v>14331633</v>
      </c>
    </row>
    <row r="50">
      <c r="A50" s="7">
        <f>IFERROR(__xludf.DUMMYFUNCTION("""COMPUTED_VALUE"""),45527.64583333333)</f>
        <v>45527.64583</v>
      </c>
      <c r="B50" s="6">
        <f>IFERROR(__xludf.DUMMYFUNCTION("""COMPUTED_VALUE"""),1197.95)</f>
        <v>1197.95</v>
      </c>
      <c r="C50" s="6">
        <f>IFERROR(__xludf.DUMMYFUNCTION("""COMPUTED_VALUE"""),1220.0)</f>
        <v>1220</v>
      </c>
      <c r="D50" s="6">
        <f>IFERROR(__xludf.DUMMYFUNCTION("""COMPUTED_VALUE"""),1171.0)</f>
        <v>1171</v>
      </c>
      <c r="E50" s="6">
        <f>IFERROR(__xludf.DUMMYFUNCTION("""COMPUTED_VALUE"""),1178.7)</f>
        <v>1178.7</v>
      </c>
      <c r="F50" s="6">
        <f>IFERROR(__xludf.DUMMYFUNCTION("""COMPUTED_VALUE"""),9930232.0)</f>
        <v>9930232</v>
      </c>
    </row>
    <row r="51">
      <c r="A51" s="7">
        <f>IFERROR(__xludf.DUMMYFUNCTION("""COMPUTED_VALUE"""),45534.64583333333)</f>
        <v>45534.64583</v>
      </c>
      <c r="B51" s="6">
        <f>IFERROR(__xludf.DUMMYFUNCTION("""COMPUTED_VALUE"""),1130.0)</f>
        <v>1130</v>
      </c>
      <c r="C51" s="6">
        <f>IFERROR(__xludf.DUMMYFUNCTION("""COMPUTED_VALUE"""),1159.35)</f>
        <v>1159.35</v>
      </c>
      <c r="D51" s="6">
        <f>IFERROR(__xludf.DUMMYFUNCTION("""COMPUTED_VALUE"""),1105.1)</f>
        <v>1105.1</v>
      </c>
      <c r="E51" s="6">
        <f>IFERROR(__xludf.DUMMYFUNCTION("""COMPUTED_VALUE"""),1127.9)</f>
        <v>1127.9</v>
      </c>
      <c r="F51" s="6">
        <f>IFERROR(__xludf.DUMMYFUNCTION("""COMPUTED_VALUE"""),5.1154139E7)</f>
        <v>51154139</v>
      </c>
    </row>
    <row r="52">
      <c r="A52" s="7">
        <f>IFERROR(__xludf.DUMMYFUNCTION("""COMPUTED_VALUE"""),45541.64583333333)</f>
        <v>45541.64583</v>
      </c>
      <c r="B52" s="6">
        <f>IFERROR(__xludf.DUMMYFUNCTION("""COMPUTED_VALUE"""),1127.0)</f>
        <v>1127</v>
      </c>
      <c r="C52" s="6">
        <f>IFERROR(__xludf.DUMMYFUNCTION("""COMPUTED_VALUE"""),1139.95)</f>
        <v>1139.95</v>
      </c>
      <c r="D52" s="6">
        <f>IFERROR(__xludf.DUMMYFUNCTION("""COMPUTED_VALUE"""),1097.2)</f>
        <v>1097.2</v>
      </c>
      <c r="E52" s="6">
        <f>IFERROR(__xludf.DUMMYFUNCTION("""COMPUTED_VALUE"""),1100.0)</f>
        <v>1100</v>
      </c>
      <c r="F52" s="6">
        <f>IFERROR(__xludf.DUMMYFUNCTION("""COMPUTED_VALUE"""),9452512.0)</f>
        <v>9452512</v>
      </c>
    </row>
    <row r="53">
      <c r="A53" s="7">
        <f>IFERROR(__xludf.DUMMYFUNCTION("""COMPUTED_VALUE"""),45548.64583333333)</f>
        <v>45548.64583</v>
      </c>
      <c r="B53" s="6">
        <f>IFERROR(__xludf.DUMMYFUNCTION("""COMPUTED_VALUE"""),1100.0)</f>
        <v>1100</v>
      </c>
      <c r="C53" s="6">
        <f>IFERROR(__xludf.DUMMYFUNCTION("""COMPUTED_VALUE"""),1135.1)</f>
        <v>1135.1</v>
      </c>
      <c r="D53" s="6">
        <f>IFERROR(__xludf.DUMMYFUNCTION("""COMPUTED_VALUE"""),1088.95)</f>
        <v>1088.95</v>
      </c>
      <c r="E53" s="6">
        <f>IFERROR(__xludf.DUMMYFUNCTION("""COMPUTED_VALUE"""),1118.55)</f>
        <v>1118.55</v>
      </c>
      <c r="F53" s="6">
        <f>IFERROR(__xludf.DUMMYFUNCTION("""COMPUTED_VALUE"""),5866433.0)</f>
        <v>5866433</v>
      </c>
    </row>
    <row r="54">
      <c r="A54" s="7">
        <f>IFERROR(__xludf.DUMMYFUNCTION("""COMPUTED_VALUE"""),45555.64583333333)</f>
        <v>45555.64583</v>
      </c>
      <c r="B54" s="6">
        <f>IFERROR(__xludf.DUMMYFUNCTION("""COMPUTED_VALUE"""),1133.0)</f>
        <v>1133</v>
      </c>
      <c r="C54" s="6">
        <f>IFERROR(__xludf.DUMMYFUNCTION("""COMPUTED_VALUE"""),1133.0)</f>
        <v>1133</v>
      </c>
      <c r="D54" s="6">
        <f>IFERROR(__xludf.DUMMYFUNCTION("""COMPUTED_VALUE"""),1042.1)</f>
        <v>1042.1</v>
      </c>
      <c r="E54" s="6">
        <f>IFERROR(__xludf.DUMMYFUNCTION("""COMPUTED_VALUE"""),1054.6)</f>
        <v>1054.6</v>
      </c>
      <c r="F54" s="6">
        <f>IFERROR(__xludf.DUMMYFUNCTION("""COMPUTED_VALUE"""),8316842.0)</f>
        <v>8316842</v>
      </c>
    </row>
    <row r="55">
      <c r="A55" s="7">
        <f>IFERROR(__xludf.DUMMYFUNCTION("""COMPUTED_VALUE"""),45562.64583333333)</f>
        <v>45562.64583</v>
      </c>
      <c r="B55" s="6">
        <f>IFERROR(__xludf.DUMMYFUNCTION("""COMPUTED_VALUE"""),1062.8)</f>
        <v>1062.8</v>
      </c>
      <c r="C55" s="6">
        <f>IFERROR(__xludf.DUMMYFUNCTION("""COMPUTED_VALUE"""),1078.5)</f>
        <v>1078.5</v>
      </c>
      <c r="D55" s="6">
        <f>IFERROR(__xludf.DUMMYFUNCTION("""COMPUTED_VALUE"""),1038.55)</f>
        <v>1038.55</v>
      </c>
      <c r="E55" s="6">
        <f>IFERROR(__xludf.DUMMYFUNCTION("""COMPUTED_VALUE"""),1075.95)</f>
        <v>1075.95</v>
      </c>
      <c r="F55" s="6">
        <f>IFERROR(__xludf.DUMMYFUNCTION("""COMPUTED_VALUE"""),8510736.0)</f>
        <v>8510736</v>
      </c>
    </row>
    <row r="56">
      <c r="A56" s="7">
        <f>IFERROR(__xludf.DUMMYFUNCTION("""COMPUTED_VALUE"""),45569.64583333333)</f>
        <v>45569.64583</v>
      </c>
      <c r="B56" s="6">
        <f>IFERROR(__xludf.DUMMYFUNCTION("""COMPUTED_VALUE"""),1080.9)</f>
        <v>1080.9</v>
      </c>
      <c r="C56" s="6">
        <f>IFERROR(__xludf.DUMMYFUNCTION("""COMPUTED_VALUE"""),1088.85)</f>
        <v>1088.85</v>
      </c>
      <c r="D56" s="6">
        <f>IFERROR(__xludf.DUMMYFUNCTION("""COMPUTED_VALUE"""),1050.1)</f>
        <v>1050.1</v>
      </c>
      <c r="E56" s="6">
        <f>IFERROR(__xludf.DUMMYFUNCTION("""COMPUTED_VALUE"""),1057.35)</f>
        <v>1057.35</v>
      </c>
      <c r="F56" s="6">
        <f>IFERROR(__xludf.DUMMYFUNCTION("""COMPUTED_VALUE"""),6772434.0)</f>
        <v>6772434</v>
      </c>
    </row>
    <row r="57">
      <c r="A57" s="7">
        <f>IFERROR(__xludf.DUMMYFUNCTION("""COMPUTED_VALUE"""),45576.64583333333)</f>
        <v>45576.64583</v>
      </c>
      <c r="B57" s="6">
        <f>IFERROR(__xludf.DUMMYFUNCTION("""COMPUTED_VALUE"""),1060.85)</f>
        <v>1060.85</v>
      </c>
      <c r="C57" s="6">
        <f>IFERROR(__xludf.DUMMYFUNCTION("""COMPUTED_VALUE"""),1071.55)</f>
        <v>1071.55</v>
      </c>
      <c r="D57" s="6">
        <f>IFERROR(__xludf.DUMMYFUNCTION("""COMPUTED_VALUE"""),1036.6)</f>
        <v>1036.6</v>
      </c>
      <c r="E57" s="6">
        <f>IFERROR(__xludf.DUMMYFUNCTION("""COMPUTED_VALUE"""),1064.4)</f>
        <v>1064.4</v>
      </c>
      <c r="F57" s="6">
        <f>IFERROR(__xludf.DUMMYFUNCTION("""COMPUTED_VALUE"""),5035815.0)</f>
        <v>5035815</v>
      </c>
    </row>
    <row r="58">
      <c r="A58" s="7">
        <f>IFERROR(__xludf.DUMMYFUNCTION("""COMPUTED_VALUE"""),45583.64583333333)</f>
        <v>45583.64583</v>
      </c>
      <c r="B58" s="6">
        <f>IFERROR(__xludf.DUMMYFUNCTION("""COMPUTED_VALUE"""),1065.3)</f>
        <v>1065.3</v>
      </c>
      <c r="C58" s="6">
        <f>IFERROR(__xludf.DUMMYFUNCTION("""COMPUTED_VALUE"""),1071.75)</f>
        <v>1071.75</v>
      </c>
      <c r="D58" s="6">
        <f>IFERROR(__xludf.DUMMYFUNCTION("""COMPUTED_VALUE"""),1008.5)</f>
        <v>1008.5</v>
      </c>
      <c r="E58" s="6">
        <f>IFERROR(__xludf.DUMMYFUNCTION("""COMPUTED_VALUE"""),1022.45)</f>
        <v>1022.45</v>
      </c>
      <c r="F58" s="6">
        <f>IFERROR(__xludf.DUMMYFUNCTION("""COMPUTED_VALUE"""),7556107.0)</f>
        <v>7556107</v>
      </c>
    </row>
    <row r="59">
      <c r="A59" s="7">
        <f>IFERROR(__xludf.DUMMYFUNCTION("""COMPUTED_VALUE"""),45590.64583333333)</f>
        <v>45590.64583</v>
      </c>
      <c r="B59" s="6">
        <f>IFERROR(__xludf.DUMMYFUNCTION("""COMPUTED_VALUE"""),1022.45)</f>
        <v>1022.45</v>
      </c>
      <c r="C59" s="6">
        <f>IFERROR(__xludf.DUMMYFUNCTION("""COMPUTED_VALUE"""),1029.25)</f>
        <v>1029.25</v>
      </c>
      <c r="D59" s="6">
        <f>IFERROR(__xludf.DUMMYFUNCTION("""COMPUTED_VALUE"""),983.95)</f>
        <v>983.95</v>
      </c>
      <c r="E59" s="6">
        <f>IFERROR(__xludf.DUMMYFUNCTION("""COMPUTED_VALUE"""),990.6)</f>
        <v>990.6</v>
      </c>
      <c r="F59" s="6">
        <f>IFERROR(__xludf.DUMMYFUNCTION("""COMPUTED_VALUE"""),4830995.0)</f>
        <v>4830995</v>
      </c>
    </row>
    <row r="60">
      <c r="A60" s="7">
        <f>IFERROR(__xludf.DUMMYFUNCTION("""COMPUTED_VALUE"""),45604.64583333333)</f>
        <v>45604.64583</v>
      </c>
      <c r="B60" s="6">
        <f>IFERROR(__xludf.DUMMYFUNCTION("""COMPUTED_VALUE"""),1008.0)</f>
        <v>1008</v>
      </c>
      <c r="C60" s="6">
        <f>IFERROR(__xludf.DUMMYFUNCTION("""COMPUTED_VALUE"""),1011.65)</f>
        <v>1011.65</v>
      </c>
      <c r="D60" s="6">
        <f>IFERROR(__xludf.DUMMYFUNCTION("""COMPUTED_VALUE"""),965.0)</f>
        <v>965</v>
      </c>
      <c r="E60" s="6">
        <f>IFERROR(__xludf.DUMMYFUNCTION("""COMPUTED_VALUE"""),970.35)</f>
        <v>970.35</v>
      </c>
      <c r="F60" s="6">
        <f>IFERROR(__xludf.DUMMYFUNCTION("""COMPUTED_VALUE"""),6099730.0)</f>
        <v>6099730</v>
      </c>
    </row>
    <row r="61">
      <c r="A61" s="7">
        <f>IFERROR(__xludf.DUMMYFUNCTION("""COMPUTED_VALUE"""),45610.64583333333)</f>
        <v>45610.64583</v>
      </c>
      <c r="B61" s="6">
        <f>IFERROR(__xludf.DUMMYFUNCTION("""COMPUTED_VALUE"""),970.0)</f>
        <v>970</v>
      </c>
      <c r="C61" s="6">
        <f>IFERROR(__xludf.DUMMYFUNCTION("""COMPUTED_VALUE"""),990.0)</f>
        <v>990</v>
      </c>
      <c r="D61" s="6">
        <f>IFERROR(__xludf.DUMMYFUNCTION("""COMPUTED_VALUE"""),933.0)</f>
        <v>933</v>
      </c>
      <c r="E61" s="6">
        <f>IFERROR(__xludf.DUMMYFUNCTION("""COMPUTED_VALUE"""),957.4)</f>
        <v>957.4</v>
      </c>
      <c r="F61" s="6">
        <f>IFERROR(__xludf.DUMMYFUNCTION("""COMPUTED_VALUE"""),6817457.0)</f>
        <v>6817457</v>
      </c>
    </row>
    <row r="62">
      <c r="A62" s="7">
        <f>IFERROR(__xludf.DUMMYFUNCTION("""COMPUTED_VALUE"""),45618.64583333333)</f>
        <v>45618.64583</v>
      </c>
      <c r="B62" s="6">
        <f>IFERROR(__xludf.DUMMYFUNCTION("""COMPUTED_VALUE"""),964.05)</f>
        <v>964.05</v>
      </c>
      <c r="C62" s="6">
        <f>IFERROR(__xludf.DUMMYFUNCTION("""COMPUTED_VALUE"""),966.0)</f>
        <v>966</v>
      </c>
      <c r="D62" s="6">
        <f>IFERROR(__xludf.DUMMYFUNCTION("""COMPUTED_VALUE"""),933.6)</f>
        <v>933.6</v>
      </c>
      <c r="E62" s="6">
        <f>IFERROR(__xludf.DUMMYFUNCTION("""COMPUTED_VALUE"""),949.05)</f>
        <v>949.05</v>
      </c>
      <c r="F62" s="6">
        <f>IFERROR(__xludf.DUMMYFUNCTION("""COMPUTED_VALUE"""),2573974.0)</f>
        <v>2573974</v>
      </c>
    </row>
    <row r="63">
      <c r="A63" s="7">
        <f>IFERROR(__xludf.DUMMYFUNCTION("""COMPUTED_VALUE"""),45625.64583333333)</f>
        <v>45625.64583</v>
      </c>
      <c r="B63" s="6">
        <f>IFERROR(__xludf.DUMMYFUNCTION("""COMPUTED_VALUE"""),955.15)</f>
        <v>955.15</v>
      </c>
      <c r="C63" s="6">
        <f>IFERROR(__xludf.DUMMYFUNCTION("""COMPUTED_VALUE"""),972.75)</f>
        <v>972.75</v>
      </c>
      <c r="D63" s="6">
        <f>IFERROR(__xludf.DUMMYFUNCTION("""COMPUTED_VALUE"""),945.0)</f>
        <v>945</v>
      </c>
      <c r="E63" s="6">
        <f>IFERROR(__xludf.DUMMYFUNCTION("""COMPUTED_VALUE"""),965.95)</f>
        <v>965.95</v>
      </c>
      <c r="F63" s="6">
        <f>IFERROR(__xludf.DUMMYFUNCTION("""COMPUTED_VALUE"""),5230231.0)</f>
        <v>5230231</v>
      </c>
    </row>
    <row r="64">
      <c r="A64" s="7">
        <f>IFERROR(__xludf.DUMMYFUNCTION("""COMPUTED_VALUE"""),45632.64583333333)</f>
        <v>45632.64583</v>
      </c>
      <c r="B64" s="6">
        <f>IFERROR(__xludf.DUMMYFUNCTION("""COMPUTED_VALUE"""),965.95)</f>
        <v>965.95</v>
      </c>
      <c r="C64" s="6">
        <f>IFERROR(__xludf.DUMMYFUNCTION("""COMPUTED_VALUE"""),996.65)</f>
        <v>996.65</v>
      </c>
      <c r="D64" s="6">
        <f>IFERROR(__xludf.DUMMYFUNCTION("""COMPUTED_VALUE"""),961.55)</f>
        <v>961.55</v>
      </c>
      <c r="E64" s="6">
        <f>IFERROR(__xludf.DUMMYFUNCTION("""COMPUTED_VALUE"""),995.1)</f>
        <v>995.1</v>
      </c>
      <c r="F64" s="6">
        <f>IFERROR(__xludf.DUMMYFUNCTION("""COMPUTED_VALUE"""),5428381.0)</f>
        <v>5428381</v>
      </c>
    </row>
    <row r="65">
      <c r="A65" s="7">
        <f>IFERROR(__xludf.DUMMYFUNCTION("""COMPUTED_VALUE"""),45639.64583333333)</f>
        <v>45639.64583</v>
      </c>
      <c r="B65" s="6">
        <f>IFERROR(__xludf.DUMMYFUNCTION("""COMPUTED_VALUE"""),995.1)</f>
        <v>995.1</v>
      </c>
      <c r="C65" s="6">
        <f>IFERROR(__xludf.DUMMYFUNCTION("""COMPUTED_VALUE"""),1000.0)</f>
        <v>1000</v>
      </c>
      <c r="D65" s="6">
        <f>IFERROR(__xludf.DUMMYFUNCTION("""COMPUTED_VALUE"""),955.05)</f>
        <v>955.05</v>
      </c>
      <c r="E65" s="6">
        <f>IFERROR(__xludf.DUMMYFUNCTION("""COMPUTED_VALUE"""),978.5)</f>
        <v>978.5</v>
      </c>
      <c r="F65" s="6">
        <f>IFERROR(__xludf.DUMMYFUNCTION("""COMPUTED_VALUE"""),3962966.0)</f>
        <v>3962966</v>
      </c>
    </row>
    <row r="66">
      <c r="A66" s="7">
        <f>IFERROR(__xludf.DUMMYFUNCTION("""COMPUTED_VALUE"""),45646.64583333333)</f>
        <v>45646.64583</v>
      </c>
      <c r="B66" s="6">
        <f>IFERROR(__xludf.DUMMYFUNCTION("""COMPUTED_VALUE"""),981.5)</f>
        <v>981.5</v>
      </c>
      <c r="C66" s="6">
        <f>IFERROR(__xludf.DUMMYFUNCTION("""COMPUTED_VALUE"""),991.1)</f>
        <v>991.1</v>
      </c>
      <c r="D66" s="6">
        <f>IFERROR(__xludf.DUMMYFUNCTION("""COMPUTED_VALUE"""),965.0)</f>
        <v>965</v>
      </c>
      <c r="E66" s="6">
        <f>IFERROR(__xludf.DUMMYFUNCTION("""COMPUTED_VALUE"""),973.5)</f>
        <v>973.5</v>
      </c>
      <c r="F66" s="6">
        <f>IFERROR(__xludf.DUMMYFUNCTION("""COMPUTED_VALUE"""),4336133.0)</f>
        <v>4336133</v>
      </c>
    </row>
    <row r="67">
      <c r="A67" s="7">
        <f>IFERROR(__xludf.DUMMYFUNCTION("""COMPUTED_VALUE"""),45653.64583333333)</f>
        <v>45653.64583</v>
      </c>
      <c r="B67" s="6">
        <f>IFERROR(__xludf.DUMMYFUNCTION("""COMPUTED_VALUE"""),978.75)</f>
        <v>978.75</v>
      </c>
      <c r="C67" s="6">
        <f>IFERROR(__xludf.DUMMYFUNCTION("""COMPUTED_VALUE"""),985.5)</f>
        <v>985.5</v>
      </c>
      <c r="D67" s="6">
        <f>IFERROR(__xludf.DUMMYFUNCTION("""COMPUTED_VALUE"""),953.1)</f>
        <v>953.1</v>
      </c>
      <c r="E67" s="6">
        <f>IFERROR(__xludf.DUMMYFUNCTION("""COMPUTED_VALUE"""),972.4)</f>
        <v>972.4</v>
      </c>
      <c r="F67" s="6">
        <f>IFERROR(__xludf.DUMMYFUNCTION("""COMPUTED_VALUE"""),4021833.0)</f>
        <v>4021833</v>
      </c>
    </row>
    <row r="68">
      <c r="A68" s="7">
        <f>IFERROR(__xludf.DUMMYFUNCTION("""COMPUTED_VALUE"""),45660.64583333333)</f>
        <v>45660.64583</v>
      </c>
      <c r="B68" s="6">
        <f>IFERROR(__xludf.DUMMYFUNCTION("""COMPUTED_VALUE"""),973.2)</f>
        <v>973.2</v>
      </c>
      <c r="C68" s="6">
        <f>IFERROR(__xludf.DUMMYFUNCTION("""COMPUTED_VALUE"""),997.4)</f>
        <v>997.4</v>
      </c>
      <c r="D68" s="6">
        <f>IFERROR(__xludf.DUMMYFUNCTION("""COMPUTED_VALUE"""),952.5)</f>
        <v>952.5</v>
      </c>
      <c r="E68" s="6">
        <f>IFERROR(__xludf.DUMMYFUNCTION("""COMPUTED_VALUE"""),975.8)</f>
        <v>975.8</v>
      </c>
      <c r="F68" s="6">
        <f>IFERROR(__xludf.DUMMYFUNCTION("""COMPUTED_VALUE"""),7604785.0)</f>
        <v>7604785</v>
      </c>
    </row>
    <row r="69">
      <c r="A69" s="7">
        <f>IFERROR(__xludf.DUMMYFUNCTION("""COMPUTED_VALUE"""),45667.64583333333)</f>
        <v>45667.64583</v>
      </c>
      <c r="B69" s="6">
        <f>IFERROR(__xludf.DUMMYFUNCTION("""COMPUTED_VALUE"""),974.75)</f>
        <v>974.75</v>
      </c>
      <c r="C69" s="6">
        <f>IFERROR(__xludf.DUMMYFUNCTION("""COMPUTED_VALUE"""),1027.95)</f>
        <v>1027.95</v>
      </c>
      <c r="D69" s="6">
        <f>IFERROR(__xludf.DUMMYFUNCTION("""COMPUTED_VALUE"""),954.9)</f>
        <v>954.9</v>
      </c>
      <c r="E69" s="6">
        <f>IFERROR(__xludf.DUMMYFUNCTION("""COMPUTED_VALUE"""),1004.4)</f>
        <v>1004.4</v>
      </c>
      <c r="F69" s="6">
        <f>IFERROR(__xludf.DUMMYFUNCTION("""COMPUTED_VALUE"""),1.2773625E7)</f>
        <v>12773625</v>
      </c>
    </row>
    <row r="70">
      <c r="A70" s="7">
        <f>IFERROR(__xludf.DUMMYFUNCTION("""COMPUTED_VALUE"""),45674.64583333333)</f>
        <v>45674.64583</v>
      </c>
      <c r="B70" s="6">
        <f>IFERROR(__xludf.DUMMYFUNCTION("""COMPUTED_VALUE"""),990.1)</f>
        <v>990.1</v>
      </c>
      <c r="C70" s="6">
        <f>IFERROR(__xludf.DUMMYFUNCTION("""COMPUTED_VALUE"""),1007.3)</f>
        <v>1007.3</v>
      </c>
      <c r="D70" s="6">
        <f>IFERROR(__xludf.DUMMYFUNCTION("""COMPUTED_VALUE"""),966.25)</f>
        <v>966.25</v>
      </c>
      <c r="E70" s="6">
        <f>IFERROR(__xludf.DUMMYFUNCTION("""COMPUTED_VALUE"""),994.65)</f>
        <v>994.65</v>
      </c>
      <c r="F70" s="6">
        <f>IFERROR(__xludf.DUMMYFUNCTION("""COMPUTED_VALUE"""),4791224.0)</f>
        <v>4791224</v>
      </c>
    </row>
    <row r="71">
      <c r="A71" s="7">
        <f>IFERROR(__xludf.DUMMYFUNCTION("""COMPUTED_VALUE"""),45681.64583333333)</f>
        <v>45681.64583</v>
      </c>
      <c r="B71" s="6">
        <f>IFERROR(__xludf.DUMMYFUNCTION("""COMPUTED_VALUE"""),1005.0)</f>
        <v>1005</v>
      </c>
      <c r="C71" s="6">
        <f>IFERROR(__xludf.DUMMYFUNCTION("""COMPUTED_VALUE"""),1008.8)</f>
        <v>1008.8</v>
      </c>
      <c r="D71" s="6">
        <f>IFERROR(__xludf.DUMMYFUNCTION("""COMPUTED_VALUE"""),955.0)</f>
        <v>955</v>
      </c>
      <c r="E71" s="6">
        <f>IFERROR(__xludf.DUMMYFUNCTION("""COMPUTED_VALUE"""),957.6)</f>
        <v>957.6</v>
      </c>
      <c r="F71" s="6">
        <f>IFERROR(__xludf.DUMMYFUNCTION("""COMPUTED_VALUE"""),2795002.0)</f>
        <v>2795002</v>
      </c>
    </row>
    <row r="72">
      <c r="A72" s="7">
        <f>IFERROR(__xludf.DUMMYFUNCTION("""COMPUTED_VALUE"""),45695.64583333333)</f>
        <v>45695.64583</v>
      </c>
      <c r="B72" s="6">
        <f>IFERROR(__xludf.DUMMYFUNCTION("""COMPUTED_VALUE"""),972.0)</f>
        <v>972</v>
      </c>
      <c r="C72" s="6">
        <f>IFERROR(__xludf.DUMMYFUNCTION("""COMPUTED_VALUE"""),1026.55)</f>
        <v>1026.55</v>
      </c>
      <c r="D72" s="6">
        <f>IFERROR(__xludf.DUMMYFUNCTION("""COMPUTED_VALUE"""),945.0)</f>
        <v>945</v>
      </c>
      <c r="E72" s="6">
        <f>IFERROR(__xludf.DUMMYFUNCTION("""COMPUTED_VALUE"""),994.15)</f>
        <v>994.15</v>
      </c>
      <c r="F72" s="6">
        <f>IFERROR(__xludf.DUMMYFUNCTION("""COMPUTED_VALUE"""),1.175539E7)</f>
        <v>11755390</v>
      </c>
    </row>
    <row r="73">
      <c r="A73" s="7">
        <f>IFERROR(__xludf.DUMMYFUNCTION("""COMPUTED_VALUE"""),45702.64583333333)</f>
        <v>45702.64583</v>
      </c>
      <c r="B73" s="6">
        <f>IFERROR(__xludf.DUMMYFUNCTION("""COMPUTED_VALUE"""),996.0)</f>
        <v>996</v>
      </c>
      <c r="C73" s="6">
        <f>IFERROR(__xludf.DUMMYFUNCTION("""COMPUTED_VALUE"""),998.4)</f>
        <v>998.4</v>
      </c>
      <c r="D73" s="6">
        <f>IFERROR(__xludf.DUMMYFUNCTION("""COMPUTED_VALUE"""),897.1)</f>
        <v>897.1</v>
      </c>
      <c r="E73" s="6">
        <f>IFERROR(__xludf.DUMMYFUNCTION("""COMPUTED_VALUE"""),901.85)</f>
        <v>901.85</v>
      </c>
      <c r="F73" s="6">
        <f>IFERROR(__xludf.DUMMYFUNCTION("""COMPUTED_VALUE"""),3707081.0)</f>
        <v>3707081</v>
      </c>
    </row>
    <row r="74">
      <c r="A74" s="7">
        <f>IFERROR(__xludf.DUMMYFUNCTION("""COMPUTED_VALUE"""),45709.64583333333)</f>
        <v>45709.64583</v>
      </c>
      <c r="B74" s="6">
        <f>IFERROR(__xludf.DUMMYFUNCTION("""COMPUTED_VALUE"""),904.3)</f>
        <v>904.3</v>
      </c>
      <c r="C74" s="6">
        <f>IFERROR(__xludf.DUMMYFUNCTION("""COMPUTED_VALUE"""),928.9)</f>
        <v>928.9</v>
      </c>
      <c r="D74" s="6">
        <f>IFERROR(__xludf.DUMMYFUNCTION("""COMPUTED_VALUE"""),855.1)</f>
        <v>855.1</v>
      </c>
      <c r="E74" s="6">
        <f>IFERROR(__xludf.DUMMYFUNCTION("""COMPUTED_VALUE"""),885.35)</f>
        <v>885.35</v>
      </c>
      <c r="F74" s="6">
        <f>IFERROR(__xludf.DUMMYFUNCTION("""COMPUTED_VALUE"""),7794401.0)</f>
        <v>7794401</v>
      </c>
    </row>
    <row r="75">
      <c r="A75" s="7">
        <f>IFERROR(__xludf.DUMMYFUNCTION("""COMPUTED_VALUE"""),45716.64583333333)</f>
        <v>45716.64583</v>
      </c>
      <c r="B75" s="6">
        <f>IFERROR(__xludf.DUMMYFUNCTION("""COMPUTED_VALUE"""),885.35)</f>
        <v>885.35</v>
      </c>
      <c r="C75" s="6">
        <f>IFERROR(__xludf.DUMMYFUNCTION("""COMPUTED_VALUE"""),905.0)</f>
        <v>905</v>
      </c>
      <c r="D75" s="6">
        <f>IFERROR(__xludf.DUMMYFUNCTION("""COMPUTED_VALUE"""),867.1)</f>
        <v>867.1</v>
      </c>
      <c r="E75" s="6">
        <f>IFERROR(__xludf.DUMMYFUNCTION("""COMPUTED_VALUE"""),876.6)</f>
        <v>876.6</v>
      </c>
      <c r="F75" s="6">
        <f>IFERROR(__xludf.DUMMYFUNCTION("""COMPUTED_VALUE"""),4890802.0)</f>
        <v>4890802</v>
      </c>
    </row>
    <row r="76">
      <c r="A76" s="7">
        <f>IFERROR(__xludf.DUMMYFUNCTION("""COMPUTED_VALUE"""),45723.64583333333)</f>
        <v>45723.64583</v>
      </c>
      <c r="B76" s="6">
        <f>IFERROR(__xludf.DUMMYFUNCTION("""COMPUTED_VALUE"""),879.0)</f>
        <v>879</v>
      </c>
      <c r="C76" s="6">
        <f>IFERROR(__xludf.DUMMYFUNCTION("""COMPUTED_VALUE"""),925.0)</f>
        <v>925</v>
      </c>
      <c r="D76" s="6">
        <f>IFERROR(__xludf.DUMMYFUNCTION("""COMPUTED_VALUE"""),859.5)</f>
        <v>859.5</v>
      </c>
      <c r="E76" s="6">
        <f>IFERROR(__xludf.DUMMYFUNCTION("""COMPUTED_VALUE"""),900.8)</f>
        <v>900.8</v>
      </c>
      <c r="F76" s="6">
        <f>IFERROR(__xludf.DUMMYFUNCTION("""COMPUTED_VALUE"""),6069385.0)</f>
        <v>6069385</v>
      </c>
    </row>
    <row r="77">
      <c r="A77" s="7">
        <f>IFERROR(__xludf.DUMMYFUNCTION("""COMPUTED_VALUE"""),45729.64583333333)</f>
        <v>45729.64583</v>
      </c>
      <c r="B77" s="6">
        <f>IFERROR(__xludf.DUMMYFUNCTION("""COMPUTED_VALUE"""),900.8)</f>
        <v>900.8</v>
      </c>
      <c r="C77" s="6">
        <f>IFERROR(__xludf.DUMMYFUNCTION("""COMPUTED_VALUE"""),911.15)</f>
        <v>911.15</v>
      </c>
      <c r="D77" s="6">
        <f>IFERROR(__xludf.DUMMYFUNCTION("""COMPUTED_VALUE"""),872.0)</f>
        <v>872</v>
      </c>
      <c r="E77" s="6">
        <f>IFERROR(__xludf.DUMMYFUNCTION("""COMPUTED_VALUE"""),883.1)</f>
        <v>883.1</v>
      </c>
      <c r="F77" s="6">
        <f>IFERROR(__xludf.DUMMYFUNCTION("""COMPUTED_VALUE"""),3813641.0)</f>
        <v>3813641</v>
      </c>
    </row>
    <row r="78">
      <c r="A78" s="7">
        <f>IFERROR(__xludf.DUMMYFUNCTION("""COMPUTED_VALUE"""),45737.64583333333)</f>
        <v>45737.64583</v>
      </c>
      <c r="B78" s="6">
        <f>IFERROR(__xludf.DUMMYFUNCTION("""COMPUTED_VALUE"""),888.35)</f>
        <v>888.35</v>
      </c>
      <c r="C78" s="6">
        <f>IFERROR(__xludf.DUMMYFUNCTION("""COMPUTED_VALUE"""),930.0)</f>
        <v>930</v>
      </c>
      <c r="D78" s="6">
        <f>IFERROR(__xludf.DUMMYFUNCTION("""COMPUTED_VALUE"""),0.0)</f>
        <v>0</v>
      </c>
      <c r="E78" s="6">
        <f>IFERROR(__xludf.DUMMYFUNCTION("""COMPUTED_VALUE"""),918.6)</f>
        <v>918.6</v>
      </c>
      <c r="F78" s="6">
        <f>IFERROR(__xludf.DUMMYFUNCTION("""COMPUTED_VALUE"""),4935886.0)</f>
        <v>4935886</v>
      </c>
    </row>
    <row r="79">
      <c r="A79" s="7">
        <f>IFERROR(__xludf.DUMMYFUNCTION("""COMPUTED_VALUE"""),45744.64583333333)</f>
        <v>45744.64583</v>
      </c>
      <c r="B79" s="6">
        <f>IFERROR(__xludf.DUMMYFUNCTION("""COMPUTED_VALUE"""),918.6)</f>
        <v>918.6</v>
      </c>
      <c r="C79" s="6">
        <f>IFERROR(__xludf.DUMMYFUNCTION("""COMPUTED_VALUE"""),939.5)</f>
        <v>939.5</v>
      </c>
      <c r="D79" s="6">
        <f>IFERROR(__xludf.DUMMYFUNCTION("""COMPUTED_VALUE"""),880.55)</f>
        <v>880.55</v>
      </c>
      <c r="E79" s="6">
        <f>IFERROR(__xludf.DUMMYFUNCTION("""COMPUTED_VALUE"""),886.4)</f>
        <v>886.4</v>
      </c>
      <c r="F79" s="6">
        <f>IFERROR(__xludf.DUMMYFUNCTION("""COMPUTED_VALUE"""),7181076.0)</f>
        <v>7181076</v>
      </c>
    </row>
    <row r="80">
      <c r="A80" s="7">
        <f>IFERROR(__xludf.DUMMYFUNCTION("""COMPUTED_VALUE"""),45751.64583333333)</f>
        <v>45751.64583</v>
      </c>
      <c r="B80" s="6">
        <f>IFERROR(__xludf.DUMMYFUNCTION("""COMPUTED_VALUE"""),888.0)</f>
        <v>888</v>
      </c>
      <c r="C80" s="6">
        <f>IFERROR(__xludf.DUMMYFUNCTION("""COMPUTED_VALUE"""),949.65)</f>
        <v>949.65</v>
      </c>
      <c r="D80" s="6">
        <f>IFERROR(__xludf.DUMMYFUNCTION("""COMPUTED_VALUE"""),834.5)</f>
        <v>834.5</v>
      </c>
      <c r="E80" s="6">
        <f>IFERROR(__xludf.DUMMYFUNCTION("""COMPUTED_VALUE"""),866.9)</f>
        <v>866.9</v>
      </c>
      <c r="F80" s="6">
        <f>IFERROR(__xludf.DUMMYFUNCTION("""COMPUTED_VALUE"""),9968993.0)</f>
        <v>9968993</v>
      </c>
    </row>
    <row r="81">
      <c r="A81" s="7">
        <f>IFERROR(__xludf.DUMMYFUNCTION("""COMPUTED_VALUE"""),45758.64583333333)</f>
        <v>45758.64583</v>
      </c>
      <c r="B81" s="6">
        <f>IFERROR(__xludf.DUMMYFUNCTION("""COMPUTED_VALUE"""),795.0)</f>
        <v>795</v>
      </c>
      <c r="C81" s="6">
        <f>IFERROR(__xludf.DUMMYFUNCTION("""COMPUTED_VALUE"""),879.0)</f>
        <v>879</v>
      </c>
      <c r="D81" s="6">
        <f>IFERROR(__xludf.DUMMYFUNCTION("""COMPUTED_VALUE"""),795.0)</f>
        <v>795</v>
      </c>
      <c r="E81" s="6">
        <f>IFERROR(__xludf.DUMMYFUNCTION("""COMPUTED_VALUE"""),868.85)</f>
        <v>868.85</v>
      </c>
      <c r="F81" s="6">
        <f>IFERROR(__xludf.DUMMYFUNCTION("""COMPUTED_VALUE"""),7298248.0)</f>
        <v>7298248</v>
      </c>
    </row>
    <row r="82">
      <c r="A82" s="7">
        <f>IFERROR(__xludf.DUMMYFUNCTION("""COMPUTED_VALUE"""),45764.64583333333)</f>
        <v>45764.64583</v>
      </c>
      <c r="B82" s="6">
        <f>IFERROR(__xludf.DUMMYFUNCTION("""COMPUTED_VALUE"""),889.8)</f>
        <v>889.8</v>
      </c>
      <c r="C82" s="6">
        <f>IFERROR(__xludf.DUMMYFUNCTION("""COMPUTED_VALUE"""),889.8)</f>
        <v>889.8</v>
      </c>
      <c r="D82" s="6">
        <f>IFERROR(__xludf.DUMMYFUNCTION("""COMPUTED_VALUE"""),813.0)</f>
        <v>813</v>
      </c>
      <c r="E82" s="6">
        <f>IFERROR(__xludf.DUMMYFUNCTION("""COMPUTED_VALUE"""),831.55)</f>
        <v>831.55</v>
      </c>
      <c r="F82" s="6">
        <f>IFERROR(__xludf.DUMMYFUNCTION("""COMPUTED_VALUE"""),1.5892552E7)</f>
        <v>15892552</v>
      </c>
    </row>
    <row r="83">
      <c r="A83" s="7">
        <f>IFERROR(__xludf.DUMMYFUNCTION("""COMPUTED_VALUE"""),45772.64583333333)</f>
        <v>45772.64583</v>
      </c>
      <c r="B83" s="6">
        <f>IFERROR(__xludf.DUMMYFUNCTION("""COMPUTED_VALUE"""),832.35)</f>
        <v>832.35</v>
      </c>
      <c r="C83" s="6">
        <f>IFERROR(__xludf.DUMMYFUNCTION("""COMPUTED_VALUE"""),887.25)</f>
        <v>887.25</v>
      </c>
      <c r="D83" s="6">
        <f>IFERROR(__xludf.DUMMYFUNCTION("""COMPUTED_VALUE"""),830.25)</f>
        <v>830.25</v>
      </c>
      <c r="E83" s="6">
        <f>IFERROR(__xludf.DUMMYFUNCTION("""COMPUTED_VALUE"""),859.65)</f>
        <v>859.65</v>
      </c>
      <c r="F83" s="6">
        <f>IFERROR(__xludf.DUMMYFUNCTION("""COMPUTED_VALUE"""),6283426.0)</f>
        <v>6283426</v>
      </c>
    </row>
    <row r="84">
      <c r="A84" s="7">
        <f>IFERROR(__xludf.DUMMYFUNCTION("""COMPUTED_VALUE"""),45779.64583333333)</f>
        <v>45779.64583</v>
      </c>
      <c r="B84" s="6">
        <f>IFERROR(__xludf.DUMMYFUNCTION("""COMPUTED_VALUE"""),862.95)</f>
        <v>862.95</v>
      </c>
      <c r="C84" s="6">
        <f>IFERROR(__xludf.DUMMYFUNCTION("""COMPUTED_VALUE"""),901.85)</f>
        <v>901.85</v>
      </c>
      <c r="D84" s="6">
        <f>IFERROR(__xludf.DUMMYFUNCTION("""COMPUTED_VALUE"""),861.25)</f>
        <v>861.25</v>
      </c>
      <c r="E84" s="6">
        <f>IFERROR(__xludf.DUMMYFUNCTION("""COMPUTED_VALUE"""),885.6)</f>
        <v>885.6</v>
      </c>
      <c r="F84" s="6">
        <f>IFERROR(__xludf.DUMMYFUNCTION("""COMPUTED_VALUE"""),4084586.0)</f>
        <v>4084586</v>
      </c>
    </row>
    <row r="85">
      <c r="A85" s="7">
        <f>IFERROR(__xludf.DUMMYFUNCTION("""COMPUTED_VALUE"""),45786.64583333333)</f>
        <v>45786.64583</v>
      </c>
      <c r="B85" s="6">
        <f>IFERROR(__xludf.DUMMYFUNCTION("""COMPUTED_VALUE"""),885.6)</f>
        <v>885.6</v>
      </c>
      <c r="C85" s="6">
        <f>IFERROR(__xludf.DUMMYFUNCTION("""COMPUTED_VALUE"""),895.0)</f>
        <v>895</v>
      </c>
      <c r="D85" s="6">
        <f>IFERROR(__xludf.DUMMYFUNCTION("""COMPUTED_VALUE"""),859.0)</f>
        <v>859</v>
      </c>
      <c r="E85" s="6">
        <f>IFERROR(__xludf.DUMMYFUNCTION("""COMPUTED_VALUE"""),878.65)</f>
        <v>878.65</v>
      </c>
      <c r="F85" s="6">
        <f>IFERROR(__xludf.DUMMYFUNCTION("""COMPUTED_VALUE"""),3920923.0)</f>
        <v>3920923</v>
      </c>
    </row>
    <row r="86">
      <c r="A86" s="7">
        <f>IFERROR(__xludf.DUMMYFUNCTION("""COMPUTED_VALUE"""),45793.64583333333)</f>
        <v>45793.64583</v>
      </c>
      <c r="B86" s="6">
        <f>IFERROR(__xludf.DUMMYFUNCTION("""COMPUTED_VALUE"""),881.0)</f>
        <v>881</v>
      </c>
      <c r="C86" s="6">
        <f>IFERROR(__xludf.DUMMYFUNCTION("""COMPUTED_VALUE"""),909.5)</f>
        <v>909.5</v>
      </c>
      <c r="D86" s="6">
        <f>IFERROR(__xludf.DUMMYFUNCTION("""COMPUTED_VALUE"""),866.25)</f>
        <v>866.25</v>
      </c>
      <c r="E86" s="6">
        <f>IFERROR(__xludf.DUMMYFUNCTION("""COMPUTED_VALUE"""),902.7)</f>
        <v>902.7</v>
      </c>
      <c r="F86" s="6">
        <f>IFERROR(__xludf.DUMMYFUNCTION("""COMPUTED_VALUE"""),4507069.0)</f>
        <v>4507069</v>
      </c>
    </row>
    <row r="87">
      <c r="A87" s="7">
        <f>IFERROR(__xludf.DUMMYFUNCTION("""COMPUTED_VALUE"""),45800.64583333333)</f>
        <v>45800.64583</v>
      </c>
      <c r="B87" s="6">
        <f>IFERROR(__xludf.DUMMYFUNCTION("""COMPUTED_VALUE"""),906.0)</f>
        <v>906</v>
      </c>
      <c r="C87" s="6">
        <f>IFERROR(__xludf.DUMMYFUNCTION("""COMPUTED_VALUE"""),920.0)</f>
        <v>920</v>
      </c>
      <c r="D87" s="6">
        <f>IFERROR(__xludf.DUMMYFUNCTION("""COMPUTED_VALUE"""),865.65)</f>
        <v>865.65</v>
      </c>
      <c r="E87" s="6">
        <f>IFERROR(__xludf.DUMMYFUNCTION("""COMPUTED_VALUE"""),908.6)</f>
        <v>908.6</v>
      </c>
      <c r="F87" s="6">
        <f>IFERROR(__xludf.DUMMYFUNCTION("""COMPUTED_VALUE"""),8175816.0)</f>
        <v>8175816</v>
      </c>
    </row>
    <row r="88">
      <c r="A88" s="7">
        <f>IFERROR(__xludf.DUMMYFUNCTION("""COMPUTED_VALUE"""),45807.64583333333)</f>
        <v>45807.64583</v>
      </c>
      <c r="B88" s="6">
        <f>IFERROR(__xludf.DUMMYFUNCTION("""COMPUTED_VALUE"""),914.0)</f>
        <v>914</v>
      </c>
      <c r="C88" s="6">
        <f>IFERROR(__xludf.DUMMYFUNCTION("""COMPUTED_VALUE"""),934.0)</f>
        <v>934</v>
      </c>
      <c r="D88" s="6">
        <f>IFERROR(__xludf.DUMMYFUNCTION("""COMPUTED_VALUE"""),908.1)</f>
        <v>908.1</v>
      </c>
      <c r="E88" s="6">
        <f>IFERROR(__xludf.DUMMYFUNCTION("""COMPUTED_VALUE"""),930.0)</f>
        <v>930</v>
      </c>
      <c r="F88" s="6">
        <f>IFERROR(__xludf.DUMMYFUNCTION("""COMPUTED_VALUE"""),4752170.0)</f>
        <v>4752170</v>
      </c>
    </row>
    <row r="89">
      <c r="A89" s="7">
        <f>IFERROR(__xludf.DUMMYFUNCTION("""COMPUTED_VALUE"""),45814.64583333333)</f>
        <v>45814.64583</v>
      </c>
      <c r="B89" s="6">
        <f>IFERROR(__xludf.DUMMYFUNCTION("""COMPUTED_VALUE"""),933.95)</f>
        <v>933.95</v>
      </c>
      <c r="C89" s="6">
        <f>IFERROR(__xludf.DUMMYFUNCTION("""COMPUTED_VALUE"""),962.5)</f>
        <v>962.5</v>
      </c>
      <c r="D89" s="6">
        <f>IFERROR(__xludf.DUMMYFUNCTION("""COMPUTED_VALUE"""),917.05)</f>
        <v>917.05</v>
      </c>
      <c r="E89" s="6">
        <f>IFERROR(__xludf.DUMMYFUNCTION("""COMPUTED_VALUE"""),960.15)</f>
        <v>960.15</v>
      </c>
      <c r="F89" s="6">
        <f>IFERROR(__xludf.DUMMYFUNCTION("""COMPUTED_VALUE"""),5342034.0)</f>
        <v>5342034</v>
      </c>
    </row>
    <row r="90">
      <c r="A90" s="7">
        <f>IFERROR(__xludf.DUMMYFUNCTION("""COMPUTED_VALUE"""),45821.64583333333)</f>
        <v>45821.64583</v>
      </c>
      <c r="B90" s="6">
        <f>IFERROR(__xludf.DUMMYFUNCTION("""COMPUTED_VALUE"""),964.9)</f>
        <v>964.9</v>
      </c>
      <c r="C90" s="6">
        <f>IFERROR(__xludf.DUMMYFUNCTION("""COMPUTED_VALUE"""),995.7)</f>
        <v>995.7</v>
      </c>
      <c r="D90" s="6">
        <f>IFERROR(__xludf.DUMMYFUNCTION("""COMPUTED_VALUE"""),959.85)</f>
        <v>959.85</v>
      </c>
      <c r="E90" s="6">
        <f>IFERROR(__xludf.DUMMYFUNCTION("""COMPUTED_VALUE"""),974.95)</f>
        <v>974.95</v>
      </c>
      <c r="F90" s="6">
        <f>IFERROR(__xludf.DUMMYFUNCTION("""COMPUTED_VALUE"""),5512071.0)</f>
        <v>5512071</v>
      </c>
    </row>
    <row r="91">
      <c r="A91" s="7">
        <f>IFERROR(__xludf.DUMMYFUNCTION("""COMPUTED_VALUE"""),45828.64583333333)</f>
        <v>45828.64583</v>
      </c>
      <c r="B91" s="6">
        <f>IFERROR(__xludf.DUMMYFUNCTION("""COMPUTED_VALUE"""),971.0)</f>
        <v>971</v>
      </c>
      <c r="C91" s="6">
        <f>IFERROR(__xludf.DUMMYFUNCTION("""COMPUTED_VALUE"""),977.0)</f>
        <v>977</v>
      </c>
      <c r="D91" s="6">
        <f>IFERROR(__xludf.DUMMYFUNCTION("""COMPUTED_VALUE"""),944.0)</f>
        <v>944</v>
      </c>
      <c r="E91" s="6">
        <f>IFERROR(__xludf.DUMMYFUNCTION("""COMPUTED_VALUE"""),957.1)</f>
        <v>957.1</v>
      </c>
      <c r="F91" s="6">
        <f>IFERROR(__xludf.DUMMYFUNCTION("""COMPUTED_VALUE"""),4939943.0)</f>
        <v>4939943</v>
      </c>
    </row>
    <row r="92">
      <c r="A92" s="7">
        <f>IFERROR(__xludf.DUMMYFUNCTION("""COMPUTED_VALUE"""),45835.64583333333)</f>
        <v>45835.64583</v>
      </c>
      <c r="B92" s="6">
        <f>IFERROR(__xludf.DUMMYFUNCTION("""COMPUTED_VALUE"""),948.6)</f>
        <v>948.6</v>
      </c>
      <c r="C92" s="6">
        <f>IFERROR(__xludf.DUMMYFUNCTION("""COMPUTED_VALUE"""),988.95)</f>
        <v>988.95</v>
      </c>
      <c r="D92" s="6">
        <f>IFERROR(__xludf.DUMMYFUNCTION("""COMPUTED_VALUE"""),946.9)</f>
        <v>946.9</v>
      </c>
      <c r="E92" s="6">
        <f>IFERROR(__xludf.DUMMYFUNCTION("""COMPUTED_VALUE"""),981.8)</f>
        <v>981.8</v>
      </c>
      <c r="F92" s="6">
        <f>IFERROR(__xludf.DUMMYFUNCTION("""COMPUTED_VALUE"""),4882791.0)</f>
        <v>4882791</v>
      </c>
    </row>
    <row r="93">
      <c r="A93" s="7">
        <f>IFERROR(__xludf.DUMMYFUNCTION("""COMPUTED_VALUE"""),45842.64583333333)</f>
        <v>45842.64583</v>
      </c>
      <c r="B93" s="6">
        <f>IFERROR(__xludf.DUMMYFUNCTION("""COMPUTED_VALUE"""),987.5)</f>
        <v>987.5</v>
      </c>
      <c r="C93" s="6">
        <f>IFERROR(__xludf.DUMMYFUNCTION("""COMPUTED_VALUE"""),1015.0)</f>
        <v>1015</v>
      </c>
      <c r="D93" s="6">
        <f>IFERROR(__xludf.DUMMYFUNCTION("""COMPUTED_VALUE"""),978.7)</f>
        <v>978.7</v>
      </c>
      <c r="E93" s="6">
        <f>IFERROR(__xludf.DUMMYFUNCTION("""COMPUTED_VALUE"""),1001.0)</f>
        <v>1001</v>
      </c>
      <c r="F93" s="6">
        <f>IFERROR(__xludf.DUMMYFUNCTION("""COMPUTED_VALUE"""),4535754.0)</f>
        <v>4535754</v>
      </c>
    </row>
    <row r="94">
      <c r="A94" s="7">
        <f>IFERROR(__xludf.DUMMYFUNCTION("""COMPUTED_VALUE"""),45849.64583333333)</f>
        <v>45849.64583</v>
      </c>
      <c r="B94" s="6">
        <f>IFERROR(__xludf.DUMMYFUNCTION("""COMPUTED_VALUE"""),1001.0)</f>
        <v>1001</v>
      </c>
      <c r="C94" s="6">
        <f>IFERROR(__xludf.DUMMYFUNCTION("""COMPUTED_VALUE"""),1003.95)</f>
        <v>1003.95</v>
      </c>
      <c r="D94" s="6">
        <f>IFERROR(__xludf.DUMMYFUNCTION("""COMPUTED_VALUE"""),965.0)</f>
        <v>965</v>
      </c>
      <c r="E94" s="6">
        <f>IFERROR(__xludf.DUMMYFUNCTION("""COMPUTED_VALUE"""),979.6)</f>
        <v>979.6</v>
      </c>
      <c r="F94" s="6">
        <f>IFERROR(__xludf.DUMMYFUNCTION("""COMPUTED_VALUE"""),4131962.0)</f>
        <v>4131962</v>
      </c>
    </row>
    <row r="95">
      <c r="A95" s="7">
        <f>IFERROR(__xludf.DUMMYFUNCTION("""COMPUTED_VALUE"""),45856.64583333333)</f>
        <v>45856.64583</v>
      </c>
      <c r="B95" s="6">
        <f>IFERROR(__xludf.DUMMYFUNCTION("""COMPUTED_VALUE"""),982.05)</f>
        <v>982.05</v>
      </c>
      <c r="C95" s="6">
        <f>IFERROR(__xludf.DUMMYFUNCTION("""COMPUTED_VALUE"""),990.5)</f>
        <v>990.5</v>
      </c>
      <c r="D95" s="6">
        <f>IFERROR(__xludf.DUMMYFUNCTION("""COMPUTED_VALUE"""),961.5)</f>
        <v>961.5</v>
      </c>
      <c r="E95" s="6">
        <f>IFERROR(__xludf.DUMMYFUNCTION("""COMPUTED_VALUE"""),974.95)</f>
        <v>974.95</v>
      </c>
      <c r="F95" s="6">
        <f>IFERROR(__xludf.DUMMYFUNCTION("""COMPUTED_VALUE"""),4407197.0)</f>
        <v>4407197</v>
      </c>
    </row>
    <row r="96">
      <c r="A96" s="7">
        <f>IFERROR(__xludf.DUMMYFUNCTION("""COMPUTED_VALUE"""),45863.64583333333)</f>
        <v>45863.64583</v>
      </c>
      <c r="B96" s="6">
        <f>IFERROR(__xludf.DUMMYFUNCTION("""COMPUTED_VALUE"""),974.0)</f>
        <v>974</v>
      </c>
      <c r="C96" s="6">
        <f>IFERROR(__xludf.DUMMYFUNCTION("""COMPUTED_VALUE"""),981.95)</f>
        <v>981.95</v>
      </c>
      <c r="D96" s="6">
        <f>IFERROR(__xludf.DUMMYFUNCTION("""COMPUTED_VALUE"""),951.55)</f>
        <v>951.55</v>
      </c>
      <c r="E96" s="6">
        <f>IFERROR(__xludf.DUMMYFUNCTION("""COMPUTED_VALUE"""),976.4)</f>
        <v>976.4</v>
      </c>
      <c r="F96" s="6">
        <f>IFERROR(__xludf.DUMMYFUNCTION("""COMPUTED_VALUE"""),4072227.0)</f>
        <v>4072227</v>
      </c>
    </row>
    <row r="97">
      <c r="A97" s="7">
        <f>IFERROR(__xludf.DUMMYFUNCTION("""COMPUTED_VALUE"""),45870.64583333333)</f>
        <v>45870.64583</v>
      </c>
      <c r="B97" s="6">
        <f>IFERROR(__xludf.DUMMYFUNCTION("""COMPUTED_VALUE"""),976.4)</f>
        <v>976.4</v>
      </c>
      <c r="C97" s="6">
        <f>IFERROR(__xludf.DUMMYFUNCTION("""COMPUTED_VALUE"""),1000.2)</f>
        <v>1000.2</v>
      </c>
      <c r="D97" s="6">
        <f>IFERROR(__xludf.DUMMYFUNCTION("""COMPUTED_VALUE"""),946.35)</f>
        <v>946.35</v>
      </c>
      <c r="E97" s="6">
        <f>IFERROR(__xludf.DUMMYFUNCTION("""COMPUTED_VALUE"""),949.05)</f>
        <v>949.05</v>
      </c>
      <c r="F97" s="6">
        <f>IFERROR(__xludf.DUMMYFUNCTION("""COMPUTED_VALUE"""),5224020.0)</f>
        <v>5224020</v>
      </c>
    </row>
    <row r="98">
      <c r="A98" s="7">
        <f>IFERROR(__xludf.DUMMYFUNCTION("""COMPUTED_VALUE"""),45877.64583333333)</f>
        <v>45877.64583</v>
      </c>
      <c r="B98" s="6">
        <f>IFERROR(__xludf.DUMMYFUNCTION("""COMPUTED_VALUE"""),949.95)</f>
        <v>949.95</v>
      </c>
      <c r="C98" s="6">
        <f>IFERROR(__xludf.DUMMYFUNCTION("""COMPUTED_VALUE"""),964.2)</f>
        <v>964.2</v>
      </c>
      <c r="D98" s="6">
        <f>IFERROR(__xludf.DUMMYFUNCTION("""COMPUTED_VALUE"""),919.05)</f>
        <v>919.05</v>
      </c>
      <c r="E98" s="6">
        <f>IFERROR(__xludf.DUMMYFUNCTION("""COMPUTED_VALUE"""),936.15)</f>
        <v>936.15</v>
      </c>
      <c r="F98" s="6">
        <f>IFERROR(__xludf.DUMMYFUNCTION("""COMPUTED_VALUE"""),3704709.0)</f>
        <v>3704709</v>
      </c>
    </row>
    <row r="99">
      <c r="A99" s="7">
        <f>IFERROR(__xludf.DUMMYFUNCTION("""COMPUTED_VALUE"""),45883.64583333333)</f>
        <v>45883.64583</v>
      </c>
      <c r="B99" s="6">
        <f>IFERROR(__xludf.DUMMYFUNCTION("""COMPUTED_VALUE"""),940.95)</f>
        <v>940.95</v>
      </c>
      <c r="C99" s="6">
        <f>IFERROR(__xludf.DUMMYFUNCTION("""COMPUTED_VALUE"""),1002.85)</f>
        <v>1002.85</v>
      </c>
      <c r="D99" s="6">
        <f>IFERROR(__xludf.DUMMYFUNCTION("""COMPUTED_VALUE"""),934.05)</f>
        <v>934.05</v>
      </c>
      <c r="E99" s="6">
        <f>IFERROR(__xludf.DUMMYFUNCTION("""COMPUTED_VALUE"""),988.8)</f>
        <v>988.8</v>
      </c>
      <c r="F99" s="6">
        <f>IFERROR(__xludf.DUMMYFUNCTION("""COMPUTED_VALUE"""),3896665.0)</f>
        <v>3896665</v>
      </c>
    </row>
    <row r="100">
      <c r="A100" s="7">
        <f>IFERROR(__xludf.DUMMYFUNCTION("""COMPUTED_VALUE"""),45891.64583333333)</f>
        <v>45891.64583</v>
      </c>
      <c r="B100" s="6">
        <f>IFERROR(__xludf.DUMMYFUNCTION("""COMPUTED_VALUE"""),988.8)</f>
        <v>988.8</v>
      </c>
      <c r="C100" s="6">
        <f>IFERROR(__xludf.DUMMYFUNCTION("""COMPUTED_VALUE"""),999.9)</f>
        <v>999.9</v>
      </c>
      <c r="D100" s="6">
        <f>IFERROR(__xludf.DUMMYFUNCTION("""COMPUTED_VALUE"""),977.3)</f>
        <v>977.3</v>
      </c>
      <c r="E100" s="6">
        <f>IFERROR(__xludf.DUMMYFUNCTION("""COMPUTED_VALUE"""),988.8)</f>
        <v>988.8</v>
      </c>
      <c r="F100" s="6">
        <f>IFERROR(__xludf.DUMMYFUNCTION("""COMPUTED_VALUE"""),2956356.0)</f>
        <v>2956356</v>
      </c>
    </row>
    <row r="101">
      <c r="A101" s="7">
        <f>IFERROR(__xludf.DUMMYFUNCTION("""COMPUTED_VALUE"""),45895.64583333333)</f>
        <v>45895.64583</v>
      </c>
      <c r="B101" s="6">
        <f>IFERROR(__xludf.DUMMYFUNCTION("""COMPUTED_VALUE"""),992.05)</f>
        <v>992.05</v>
      </c>
      <c r="C101" s="6">
        <f>IFERROR(__xludf.DUMMYFUNCTION("""COMPUTED_VALUE"""),1029.5)</f>
        <v>1029.5</v>
      </c>
      <c r="D101" s="6">
        <f>IFERROR(__xludf.DUMMYFUNCTION("""COMPUTED_VALUE"""),982.0)</f>
        <v>982</v>
      </c>
      <c r="E101" s="6">
        <f>IFERROR(__xludf.DUMMYFUNCTION("""COMPUTED_VALUE"""),987.85)</f>
        <v>987.85</v>
      </c>
      <c r="F101" s="6">
        <f>IFERROR(__xludf.DUMMYFUNCTION("""COMPUTED_VALUE"""),4.2775852E7)</f>
        <v>42775852</v>
      </c>
    </row>
  </sheetData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75"/>
    <col customWidth="1" min="2" max="2" width="15.88"/>
  </cols>
  <sheetData>
    <row r="1">
      <c r="A1" s="9" t="s">
        <v>26</v>
      </c>
      <c r="B1" s="9" t="s">
        <v>27</v>
      </c>
      <c r="C1" s="10" t="s">
        <v>28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s="10" t="s">
        <v>29</v>
      </c>
      <c r="B2" s="10" t="s">
        <v>30</v>
      </c>
      <c r="C2" s="10">
        <f>IFERROR(__xludf.DUMMYFUNCTION("GOOGLEFINANCE(A2)"),5022.0)</f>
        <v>5022</v>
      </c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>
      <c r="A3" s="10" t="s">
        <v>31</v>
      </c>
      <c r="B3" s="10" t="s">
        <v>32</v>
      </c>
      <c r="C3" s="10">
        <f>IFERROR(__xludf.DUMMYFUNCTION("GOOGLEFINANCE(A3)"),280.3)</f>
        <v>280.3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>
      <c r="A4" s="10" t="s">
        <v>33</v>
      </c>
      <c r="B4" s="10" t="s">
        <v>34</v>
      </c>
      <c r="C4" s="10">
        <f>IFERROR(__xludf.DUMMYFUNCTION("GOOGLEFINANCE(A4)"),82.36)</f>
        <v>82.36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>
      <c r="A5" s="10" t="s">
        <v>35</v>
      </c>
      <c r="B5" s="10" t="s">
        <v>36</v>
      </c>
      <c r="C5" s="10">
        <f>IFERROR(__xludf.DUMMYFUNCTION("GOOGLEFINANCE(A5)"),1797.0)</f>
        <v>1797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>
      <c r="A6" s="10" t="s">
        <v>37</v>
      </c>
      <c r="B6" s="10" t="s">
        <v>38</v>
      </c>
      <c r="C6" s="10">
        <f>IFERROR(__xludf.DUMMYFUNCTION("GOOGLEFINANCE(A6)"),789.3)</f>
        <v>789.3</v>
      </c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>
      <c r="A7" s="10" t="s">
        <v>39</v>
      </c>
      <c r="B7" s="10" t="s">
        <v>40</v>
      </c>
      <c r="C7" s="10">
        <f>IFERROR(__xludf.DUMMYFUNCTION("GOOGLEFINANCE(A7)"),2286.0)</f>
        <v>2286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>
      <c r="A8" s="10" t="s">
        <v>41</v>
      </c>
      <c r="B8" s="10" t="s">
        <v>42</v>
      </c>
      <c r="C8" s="10">
        <f>IFERROR(__xludf.DUMMYFUNCTION("GOOGLEFINANCE(A8)"),931.0)</f>
        <v>931</v>
      </c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>
      <c r="A9" s="10" t="s">
        <v>43</v>
      </c>
      <c r="B9" s="10" t="s">
        <v>44</v>
      </c>
      <c r="C9" s="10">
        <f>IFERROR(__xludf.DUMMYFUNCTION("GOOGLEFINANCE(A9)"),1313.4)</f>
        <v>1313.4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>
      <c r="A10" s="10" t="s">
        <v>45</v>
      </c>
      <c r="B10" s="10" t="s">
        <v>46</v>
      </c>
      <c r="C10" s="10">
        <f>IFERROR(__xludf.DUMMYFUNCTION("GOOGLEFINANCE(A10)"),593.95)</f>
        <v>593.95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>
      <c r="A11" s="10" t="s">
        <v>47</v>
      </c>
      <c r="B11" s="10" t="s">
        <v>48</v>
      </c>
      <c r="C11" s="10">
        <f>IFERROR(__xludf.DUMMYFUNCTION("GOOGLEFINANCE(A11)"),5400.0)</f>
        <v>5400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>
      <c r="A12" s="10" t="s">
        <v>49</v>
      </c>
      <c r="B12" s="10" t="s">
        <v>50</v>
      </c>
      <c r="C12" s="10">
        <f>IFERROR(__xludf.DUMMYFUNCTION("GOOGLEFINANCE(A12)"),574.2)</f>
        <v>574.2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>
      <c r="A13" s="10" t="s">
        <v>51</v>
      </c>
      <c r="B13" s="10" t="s">
        <v>52</v>
      </c>
      <c r="C13" s="10">
        <f>IFERROR(__xludf.DUMMYFUNCTION("GOOGLEFINANCE(A13)"),1621.0)</f>
        <v>1621</v>
      </c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>
      <c r="A14" s="10" t="s">
        <v>53</v>
      </c>
      <c r="B14" s="10" t="s">
        <v>54</v>
      </c>
      <c r="C14" s="10">
        <f>IFERROR(__xludf.DUMMYFUNCTION("GOOGLEFINANCE(A14)"),7756.0)</f>
        <v>7756</v>
      </c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>
      <c r="A15" s="10" t="s">
        <v>55</v>
      </c>
      <c r="B15" s="10" t="s">
        <v>56</v>
      </c>
      <c r="C15" s="10">
        <f>IFERROR(__xludf.DUMMYFUNCTION("GOOGLEFINANCE(A15)"),455.0)</f>
        <v>455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>
      <c r="A16" s="10" t="s">
        <v>57</v>
      </c>
      <c r="B16" s="10" t="s">
        <v>58</v>
      </c>
      <c r="C16" s="10">
        <f>IFERROR(__xludf.DUMMYFUNCTION("GOOGLEFINANCE(A16)"),131.1)</f>
        <v>131.1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>
      <c r="A17" s="10" t="s">
        <v>59</v>
      </c>
      <c r="B17" s="10" t="s">
        <v>60</v>
      </c>
      <c r="C17" s="10">
        <f>IFERROR(__xludf.DUMMYFUNCTION("GOOGLEFINANCE(A17)"),2493.0)</f>
        <v>2493</v>
      </c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>
      <c r="A18" s="10" t="s">
        <v>61</v>
      </c>
      <c r="B18" s="10" t="s">
        <v>62</v>
      </c>
      <c r="C18" s="10">
        <f>IFERROR(__xludf.DUMMYFUNCTION("GOOGLEFINANCE(A18)"),1390.1)</f>
        <v>1390.1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>
      <c r="A19" s="10" t="s">
        <v>63</v>
      </c>
      <c r="B19" s="10" t="s">
        <v>64</v>
      </c>
      <c r="C19" s="10">
        <f>IFERROR(__xludf.DUMMYFUNCTION("GOOGLEFINANCE(A19)"),632.0)</f>
        <v>632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>
      <c r="A20" s="10" t="s">
        <v>65</v>
      </c>
      <c r="B20" s="10" t="s">
        <v>66</v>
      </c>
      <c r="C20" s="10">
        <f>IFERROR(__xludf.DUMMYFUNCTION("GOOGLEFINANCE(A20)"),743.0)</f>
        <v>743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>
      <c r="A21" s="10" t="s">
        <v>67</v>
      </c>
      <c r="B21" s="10" t="s">
        <v>68</v>
      </c>
      <c r="C21" s="10">
        <f>IFERROR(__xludf.DUMMYFUNCTION("GOOGLEFINANCE(A21)"),1047.0)</f>
        <v>1047</v>
      </c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>
      <c r="A22" s="10" t="s">
        <v>69</v>
      </c>
      <c r="B22" s="10" t="s">
        <v>70</v>
      </c>
      <c r="C22" s="10">
        <f>IFERROR(__xludf.DUMMYFUNCTION("GOOGLEFINANCE(A22)"),1051.0)</f>
        <v>1051</v>
      </c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>
      <c r="A23" s="10" t="s">
        <v>71</v>
      </c>
      <c r="B23" s="10" t="s">
        <v>72</v>
      </c>
      <c r="C23" s="10">
        <f>IFERROR(__xludf.DUMMYFUNCTION("GOOGLEFINANCE(A23)"),8676.0)</f>
        <v>8676</v>
      </c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>
      <c r="A24" s="10" t="s">
        <v>73</v>
      </c>
      <c r="B24" s="10" t="s">
        <v>74</v>
      </c>
      <c r="C24" s="10">
        <f>IFERROR(__xludf.DUMMYFUNCTION("GOOGLEFINANCE(A24)"),1921.0)</f>
        <v>1921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>
      <c r="A25" s="10" t="s">
        <v>75</v>
      </c>
      <c r="B25" s="10" t="s">
        <v>76</v>
      </c>
      <c r="C25" s="10">
        <f>IFERROR(__xludf.DUMMYFUNCTION("GOOGLEFINANCE(A25)"),112.3)</f>
        <v>112.3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>
      <c r="A26" s="10" t="s">
        <v>77</v>
      </c>
      <c r="B26" s="10" t="s">
        <v>78</v>
      </c>
      <c r="C26" s="10">
        <f>IFERROR(__xludf.DUMMYFUNCTION("GOOGLEFINANCE(A26)"),12975.0)</f>
        <v>12975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>
      <c r="A27" s="10" t="s">
        <v>79</v>
      </c>
      <c r="B27" s="10" t="s">
        <v>80</v>
      </c>
      <c r="C27" s="10">
        <f>IFERROR(__xludf.DUMMYFUNCTION("GOOGLEFINANCE(A27)"),876.0)</f>
        <v>876</v>
      </c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>
      <c r="A28" s="10" t="s">
        <v>81</v>
      </c>
      <c r="B28" s="10" t="s">
        <v>82</v>
      </c>
      <c r="C28" s="10">
        <f>IFERROR(__xludf.DUMMYFUNCTION("GOOGLEFINANCE(A28)"),165.48)</f>
        <v>165.48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>
      <c r="A29" s="10" t="s">
        <v>83</v>
      </c>
      <c r="B29" s="10" t="s">
        <v>84</v>
      </c>
      <c r="C29" s="10">
        <f>IFERROR(__xludf.DUMMYFUNCTION("GOOGLEFINANCE(A29)"),235.51)</f>
        <v>235.51</v>
      </c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>
      <c r="A30" s="10" t="s">
        <v>85</v>
      </c>
      <c r="B30" s="10" t="s">
        <v>86</v>
      </c>
      <c r="C30" s="10">
        <f>IFERROR(__xludf.DUMMYFUNCTION("GOOGLEFINANCE(A30)"),112.44)</f>
        <v>112.44</v>
      </c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>
      <c r="A31" s="10" t="s">
        <v>87</v>
      </c>
      <c r="B31" s="10" t="s">
        <v>88</v>
      </c>
      <c r="C31" s="10">
        <f>IFERROR(__xludf.DUMMYFUNCTION("GOOGLEFINANCE(A31)"),1470.0)</f>
        <v>1470</v>
      </c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>
      <c r="A32" s="10" t="s">
        <v>89</v>
      </c>
      <c r="B32" s="10" t="s">
        <v>90</v>
      </c>
      <c r="C32" s="10">
        <f>IFERROR(__xludf.DUMMYFUNCTION("GOOGLEFINANCE(A32)"),367.0)</f>
        <v>367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>
      <c r="A33" s="10" t="s">
        <v>91</v>
      </c>
      <c r="B33" s="10" t="s">
        <v>92</v>
      </c>
      <c r="C33" s="10">
        <f>IFERROR(__xludf.DUMMYFUNCTION("GOOGLEFINANCE(A33)"),1118.2)</f>
        <v>1118.2</v>
      </c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>
      <c r="A34" s="10" t="s">
        <v>93</v>
      </c>
      <c r="B34" s="10" t="s">
        <v>94</v>
      </c>
      <c r="C34" s="10">
        <f>IFERROR(__xludf.DUMMYFUNCTION("GOOGLEFINANCE(A34)"),1903.7)</f>
        <v>1903.7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>
      <c r="A35" s="10" t="s">
        <v>95</v>
      </c>
      <c r="B35" s="10" t="s">
        <v>96</v>
      </c>
      <c r="C35" s="10">
        <f>IFERROR(__xludf.DUMMYFUNCTION("GOOGLEFINANCE(A35)"),1822.0)</f>
        <v>1822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>
      <c r="A36" s="10" t="s">
        <v>97</v>
      </c>
      <c r="B36" s="10" t="s">
        <v>98</v>
      </c>
      <c r="C36" s="10">
        <f>IFERROR(__xludf.DUMMYFUNCTION("GOOGLEFINANCE(A36)"),211.7)</f>
        <v>211.7</v>
      </c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>
      <c r="A37" s="10" t="s">
        <v>99</v>
      </c>
      <c r="B37" s="10" t="s">
        <v>100</v>
      </c>
      <c r="C37" s="10">
        <f>IFERROR(__xludf.DUMMYFUNCTION("GOOGLEFINANCE(A37)"),357.05)</f>
        <v>357.05</v>
      </c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>
      <c r="A38" s="10" t="s">
        <v>101</v>
      </c>
      <c r="B38" s="10" t="s">
        <v>102</v>
      </c>
      <c r="C38" s="10">
        <f>IFERROR(__xludf.DUMMYFUNCTION("GOOGLEFINANCE(A38)"),39410.0)</f>
        <v>39410</v>
      </c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>
      <c r="A39" s="10" t="s">
        <v>103</v>
      </c>
      <c r="B39" s="10" t="s">
        <v>104</v>
      </c>
      <c r="C39" s="10">
        <f>IFERROR(__xludf.DUMMYFUNCTION("GOOGLEFINANCE(A39)"),312.9)</f>
        <v>312.9</v>
      </c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>
      <c r="A40" s="10" t="s">
        <v>105</v>
      </c>
      <c r="B40" s="10" t="s">
        <v>106</v>
      </c>
      <c r="C40" s="10">
        <f>IFERROR(__xludf.DUMMYFUNCTION("GOOGLEFINANCE(A40)"),5751.0)</f>
        <v>5751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>
      <c r="A41" s="10" t="s">
        <v>107</v>
      </c>
      <c r="B41" s="10" t="s">
        <v>108</v>
      </c>
      <c r="C41" s="10">
        <f>IFERROR(__xludf.DUMMYFUNCTION("GOOGLEFINANCE(A41)"),2219.9)</f>
        <v>2219.9</v>
      </c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>
      <c r="A42" s="10" t="s">
        <v>109</v>
      </c>
      <c r="B42" s="10" t="s">
        <v>110</v>
      </c>
      <c r="C42" s="10">
        <f>IFERROR(__xludf.DUMMYFUNCTION("GOOGLEFINANCE(A42)"),106.11)</f>
        <v>106.11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>
      <c r="A43" s="10" t="s">
        <v>111</v>
      </c>
      <c r="B43" s="10" t="s">
        <v>112</v>
      </c>
      <c r="C43" s="10">
        <f>IFERROR(__xludf.DUMMYFUNCTION("GOOGLEFINANCE(A43)"),669.85)</f>
        <v>669.85</v>
      </c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>
      <c r="A44" s="10" t="s">
        <v>113</v>
      </c>
      <c r="B44" s="10" t="s">
        <v>114</v>
      </c>
      <c r="C44" s="10">
        <f>IFERROR(__xludf.DUMMYFUNCTION("GOOGLEFINANCE(A44)"),1477.7)</f>
        <v>1477.7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>
      <c r="A45" s="10" t="s">
        <v>115</v>
      </c>
      <c r="B45" s="10" t="s">
        <v>116</v>
      </c>
      <c r="C45" s="10">
        <f>IFERROR(__xludf.DUMMYFUNCTION("GOOGLEFINANCE(A45)"),1576.6)</f>
        <v>1576.6</v>
      </c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>
      <c r="A46" s="10" t="s">
        <v>117</v>
      </c>
      <c r="B46" s="10" t="s">
        <v>118</v>
      </c>
      <c r="C46" s="10">
        <f>IFERROR(__xludf.DUMMYFUNCTION("GOOGLEFINANCE(A46)"),372.15)</f>
        <v>372.15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>
      <c r="A47" s="10" t="s">
        <v>119</v>
      </c>
      <c r="B47" s="10" t="s">
        <v>120</v>
      </c>
      <c r="C47" s="10">
        <f>IFERROR(__xludf.DUMMYFUNCTION("GOOGLEFINANCE(A47)"),1645.0)</f>
        <v>1645</v>
      </c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>
      <c r="A48" s="10" t="s">
        <v>121</v>
      </c>
      <c r="B48" s="10" t="s">
        <v>122</v>
      </c>
      <c r="C48" s="10">
        <f>IFERROR(__xludf.DUMMYFUNCTION("GOOGLEFINANCE(A48)"),1739.0)</f>
        <v>1739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>
      <c r="A49" s="10" t="s">
        <v>123</v>
      </c>
      <c r="B49" s="10" t="s">
        <v>124</v>
      </c>
      <c r="C49" s="10">
        <f>IFERROR(__xludf.DUMMYFUNCTION("GOOGLEFINANCE(A49)"),2287.0)</f>
        <v>2287</v>
      </c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>
      <c r="A50" s="10" t="s">
        <v>125</v>
      </c>
      <c r="B50" s="10" t="s">
        <v>126</v>
      </c>
      <c r="C50" s="10">
        <f>IFERROR(__xludf.DUMMYFUNCTION("GOOGLEFINANCE(A50)"),528.15)</f>
        <v>528.15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>
      <c r="A51" s="10" t="s">
        <v>127</v>
      </c>
      <c r="B51" s="10" t="s">
        <v>128</v>
      </c>
      <c r="C51" s="10">
        <f>IFERROR(__xludf.DUMMYFUNCTION("GOOGLEFINANCE(A51)"),3826.1)</f>
        <v>3826.1</v>
      </c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>
      <c r="A52" s="10" t="s">
        <v>129</v>
      </c>
      <c r="B52" s="10" t="s">
        <v>130</v>
      </c>
      <c r="C52" s="10">
        <f>IFERROR(__xludf.DUMMYFUNCTION("GOOGLEFINANCE(A52)"),521.6)</f>
        <v>521.6</v>
      </c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>
      <c r="A53" s="10" t="s">
        <v>131</v>
      </c>
      <c r="B53" s="10" t="s">
        <v>132</v>
      </c>
      <c r="C53" s="10">
        <f>IFERROR(__xludf.DUMMYFUNCTION("GOOGLEFINANCE(A53)"),6195.0)</f>
        <v>6195</v>
      </c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>
      <c r="A54" s="10" t="s">
        <v>133</v>
      </c>
      <c r="B54" s="10" t="s">
        <v>134</v>
      </c>
      <c r="C54" s="10">
        <f>IFERROR(__xludf.DUMMYFUNCTION("GOOGLEFINANCE(A54)"),16669.0)</f>
        <v>16669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>
      <c r="A55" s="10" t="s">
        <v>135</v>
      </c>
      <c r="B55" s="10" t="s">
        <v>136</v>
      </c>
      <c r="C55" s="10">
        <f>IFERROR(__xludf.DUMMYFUNCTION("GOOGLEFINANCE(A55)"),754.9)</f>
        <v>754.9</v>
      </c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>
      <c r="A56" s="10" t="s">
        <v>137</v>
      </c>
      <c r="B56" s="10" t="s">
        <v>138</v>
      </c>
      <c r="C56" s="10">
        <f>IFERROR(__xludf.DUMMYFUNCTION("GOOGLEFINANCE(A56)"),4725.0)</f>
        <v>4725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>
      <c r="A57" s="10" t="s">
        <v>139</v>
      </c>
      <c r="B57" s="10" t="s">
        <v>140</v>
      </c>
      <c r="C57" s="10">
        <f>IFERROR(__xludf.DUMMYFUNCTION("GOOGLEFINANCE(A57)"),1261.1)</f>
        <v>1261.1</v>
      </c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>
      <c r="A58" s="10" t="s">
        <v>141</v>
      </c>
      <c r="B58" s="10" t="s">
        <v>142</v>
      </c>
      <c r="C58" s="10">
        <f>IFERROR(__xludf.DUMMYFUNCTION("GOOGLEFINANCE(A58)"),6151.0)</f>
        <v>6151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>
      <c r="A59" s="10" t="s">
        <v>143</v>
      </c>
      <c r="B59" s="10" t="s">
        <v>144</v>
      </c>
      <c r="C59" s="10">
        <f>IFERROR(__xludf.DUMMYFUNCTION("GOOGLEFINANCE(A59)"),3549.2)</f>
        <v>3549.2</v>
      </c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>
      <c r="A60" s="10" t="s">
        <v>145</v>
      </c>
      <c r="B60" s="10" t="s">
        <v>146</v>
      </c>
      <c r="C60" s="10">
        <f>IFERROR(__xludf.DUMMYFUNCTION("GOOGLEFINANCE(A60)"),320.75)</f>
        <v>320.75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>
      <c r="A61" s="10" t="s">
        <v>147</v>
      </c>
      <c r="B61" s="10" t="s">
        <v>148</v>
      </c>
      <c r="C61" s="10">
        <f>IFERROR(__xludf.DUMMYFUNCTION("GOOGLEFINANCE(A61)"),395.35)</f>
        <v>395.35</v>
      </c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>
      <c r="A62" s="10" t="s">
        <v>149</v>
      </c>
      <c r="B62" s="10" t="s">
        <v>150</v>
      </c>
      <c r="C62" s="10">
        <f>IFERROR(__xludf.DUMMYFUNCTION("GOOGLEFINANCE(A62)"),192.3)</f>
        <v>192.3</v>
      </c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>
      <c r="A63" s="10" t="s">
        <v>151</v>
      </c>
      <c r="B63" s="10" t="s">
        <v>152</v>
      </c>
      <c r="C63" s="10">
        <f>IFERROR(__xludf.DUMMYFUNCTION("GOOGLEFINANCE(A63)"),171.63)</f>
        <v>171.63</v>
      </c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>
      <c r="A64" s="10" t="s">
        <v>153</v>
      </c>
      <c r="B64" s="10" t="s">
        <v>154</v>
      </c>
      <c r="C64" s="10">
        <f>IFERROR(__xludf.DUMMYFUNCTION("GOOGLEFINANCE(A64)"),1950.0)</f>
        <v>1950</v>
      </c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>
      <c r="A65" s="10" t="s">
        <v>155</v>
      </c>
      <c r="B65" s="10" t="s">
        <v>156</v>
      </c>
      <c r="C65" s="10">
        <f>IFERROR(__xludf.DUMMYFUNCTION("GOOGLEFINANCE(A65)"),88.37)</f>
        <v>88.37</v>
      </c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>
      <c r="A66" s="10" t="s">
        <v>157</v>
      </c>
      <c r="B66" s="10" t="s">
        <v>158</v>
      </c>
      <c r="C66" s="10">
        <f>IFERROR(__xludf.DUMMYFUNCTION("GOOGLEFINANCE(A66)"),1261.7)</f>
        <v>1261.7</v>
      </c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>
      <c r="A67" s="10" t="s">
        <v>159</v>
      </c>
      <c r="B67" s="10" t="s">
        <v>160</v>
      </c>
      <c r="C67" s="10">
        <f>IFERROR(__xludf.DUMMYFUNCTION("GOOGLEFINANCE(A67)"),2003.0)</f>
        <v>2003</v>
      </c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>
      <c r="A68" s="10" t="s">
        <v>161</v>
      </c>
      <c r="B68" s="10" t="s">
        <v>162</v>
      </c>
      <c r="C68" s="10">
        <f>IFERROR(__xludf.DUMMYFUNCTION("GOOGLEFINANCE(A68)"),2800.0)</f>
        <v>2800</v>
      </c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>
      <c r="A69" s="10" t="s">
        <v>163</v>
      </c>
      <c r="B69" s="10" t="s">
        <v>164</v>
      </c>
      <c r="C69" s="10">
        <f>IFERROR(__xludf.DUMMYFUNCTION("GOOGLEFINANCE(A69)"),4384.0)</f>
        <v>4384</v>
      </c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>
      <c r="A70" s="10" t="s">
        <v>165</v>
      </c>
      <c r="B70" s="10" t="s">
        <v>166</v>
      </c>
      <c r="C70" s="10">
        <f>IFERROR(__xludf.DUMMYFUNCTION("GOOGLEFINANCE(A70)"),1534.8)</f>
        <v>1534.8</v>
      </c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>
      <c r="A71" s="10" t="s">
        <v>167</v>
      </c>
      <c r="B71" s="10" t="s">
        <v>168</v>
      </c>
      <c r="C71" s="10">
        <f>IFERROR(__xludf.DUMMYFUNCTION("GOOGLEFINANCE(A71)"),1489.3)</f>
        <v>1489.3</v>
      </c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>
      <c r="A72" s="10" t="s">
        <v>169</v>
      </c>
      <c r="B72" s="10" t="s">
        <v>170</v>
      </c>
      <c r="C72" s="10">
        <f>IFERROR(__xludf.DUMMYFUNCTION("GOOGLEFINANCE(A72)"),5757.5)</f>
        <v>5757.5</v>
      </c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>
      <c r="A73" s="10" t="s">
        <v>171</v>
      </c>
      <c r="B73" s="10" t="s">
        <v>172</v>
      </c>
      <c r="C73" s="10">
        <f>IFERROR(__xludf.DUMMYFUNCTION("GOOGLEFINANCE(A73)"),972.3)</f>
        <v>972.3</v>
      </c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>
      <c r="A74" s="10" t="s">
        <v>173</v>
      </c>
      <c r="B74" s="10" t="s">
        <v>174</v>
      </c>
      <c r="C74" s="10">
        <f>IFERROR(__xludf.DUMMYFUNCTION("GOOGLEFINANCE(A74)"),773.8)</f>
        <v>773.8</v>
      </c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>
      <c r="A75" s="10" t="s">
        <v>175</v>
      </c>
      <c r="B75" s="10" t="s">
        <v>176</v>
      </c>
      <c r="C75" s="10">
        <f>IFERROR(__xludf.DUMMYFUNCTION("GOOGLEFINANCE(A75)"),5074.9)</f>
        <v>5074.9</v>
      </c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>
      <c r="A76" s="10" t="s">
        <v>177</v>
      </c>
      <c r="B76" s="10" t="s">
        <v>178</v>
      </c>
      <c r="C76" s="10">
        <f>IFERROR(__xludf.DUMMYFUNCTION("GOOGLEFINANCE(A76)"),704.0)</f>
        <v>704</v>
      </c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>
      <c r="A77" s="10" t="s">
        <v>179</v>
      </c>
      <c r="B77" s="10" t="s">
        <v>180</v>
      </c>
      <c r="C77" s="10">
        <f>IFERROR(__xludf.DUMMYFUNCTION("GOOGLEFINANCE(A77)"),382.95)</f>
        <v>382.95</v>
      </c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>
      <c r="A78" s="10" t="s">
        <v>181</v>
      </c>
      <c r="B78" s="10" t="s">
        <v>182</v>
      </c>
      <c r="C78" s="10">
        <f>IFERROR(__xludf.DUMMYFUNCTION("GOOGLEFINANCE(A78)"),2692.7)</f>
        <v>2692.7</v>
      </c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>
      <c r="A79" s="10" t="s">
        <v>183</v>
      </c>
      <c r="B79" s="10" t="s">
        <v>184</v>
      </c>
      <c r="C79" s="10">
        <f>IFERROR(__xludf.DUMMYFUNCTION("GOOGLEFINANCE(A79)"),429.3)</f>
        <v>429.3</v>
      </c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>
      <c r="A80" s="10" t="s">
        <v>185</v>
      </c>
      <c r="B80" s="10" t="s">
        <v>186</v>
      </c>
      <c r="C80" s="10">
        <f>IFERROR(__xludf.DUMMYFUNCTION("GOOGLEFINANCE(A80)"),207.8)</f>
        <v>207.8</v>
      </c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>
      <c r="A81" s="10" t="s">
        <v>187</v>
      </c>
      <c r="B81" s="10" t="s">
        <v>188</v>
      </c>
      <c r="C81" s="10">
        <f>IFERROR(__xludf.DUMMYFUNCTION("GOOGLEFINANCE(A81)"),2490.0)</f>
        <v>2490</v>
      </c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>
      <c r="A82" s="10" t="s">
        <v>189</v>
      </c>
      <c r="B82" s="10" t="s">
        <v>190</v>
      </c>
      <c r="C82" s="10">
        <f>IFERROR(__xludf.DUMMYFUNCTION("GOOGLEFINANCE(A82)"),1415.0)</f>
        <v>1415</v>
      </c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>
      <c r="A83" s="10" t="s">
        <v>191</v>
      </c>
      <c r="B83" s="10" t="s">
        <v>192</v>
      </c>
      <c r="C83" s="10">
        <f>IFERROR(__xludf.DUMMYFUNCTION("GOOGLEFINANCE(A83)"),1872.0)</f>
        <v>1872</v>
      </c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>
      <c r="A84" s="10" t="s">
        <v>193</v>
      </c>
      <c r="B84" s="10" t="s">
        <v>194</v>
      </c>
      <c r="C84" s="10">
        <f>IFERROR(__xludf.DUMMYFUNCTION("GOOGLEFINANCE(A84)"),617.0)</f>
        <v>617</v>
      </c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>
      <c r="A85" s="10" t="s">
        <v>195</v>
      </c>
      <c r="B85" s="10" t="s">
        <v>196</v>
      </c>
      <c r="C85" s="10">
        <f>IFERROR(__xludf.DUMMYFUNCTION("GOOGLEFINANCE(A85)"),6.73)</f>
        <v>6.73</v>
      </c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>
      <c r="A86" s="10" t="s">
        <v>197</v>
      </c>
      <c r="B86" s="10" t="s">
        <v>198</v>
      </c>
      <c r="C86" s="10">
        <f>IFERROR(__xludf.DUMMYFUNCTION("GOOGLEFINANCE(A86)"),68.67)</f>
        <v>68.67</v>
      </c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>
      <c r="A87" s="10" t="s">
        <v>199</v>
      </c>
      <c r="B87" s="10" t="s">
        <v>200</v>
      </c>
      <c r="C87" s="10">
        <f>IFERROR(__xludf.DUMMYFUNCTION("GOOGLEFINANCE(A87)"),208.0)</f>
        <v>208</v>
      </c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>
      <c r="A88" s="10" t="s">
        <v>201</v>
      </c>
      <c r="B88" s="10" t="s">
        <v>202</v>
      </c>
      <c r="C88" s="10">
        <f>IFERROR(__xludf.DUMMYFUNCTION("GOOGLEFINANCE(A88)"),769.9)</f>
        <v>769.9</v>
      </c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>
      <c r="A89" s="10" t="s">
        <v>203</v>
      </c>
      <c r="B89" s="10" t="s">
        <v>204</v>
      </c>
      <c r="C89" s="10">
        <f>IFERROR(__xludf.DUMMYFUNCTION("GOOGLEFINANCE(A89)"),656.0)</f>
        <v>656</v>
      </c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>
      <c r="A90" s="10" t="s">
        <v>205</v>
      </c>
      <c r="B90" s="10" t="s">
        <v>206</v>
      </c>
      <c r="C90" s="10">
        <f>IFERROR(__xludf.DUMMYFUNCTION("GOOGLEFINANCE(A90)"),6031.0)</f>
        <v>6031</v>
      </c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>
      <c r="A91" s="10" t="s">
        <v>207</v>
      </c>
      <c r="B91" s="10" t="s">
        <v>208</v>
      </c>
      <c r="C91" s="10">
        <f>IFERROR(__xludf.DUMMYFUNCTION("GOOGLEFINANCE(A91)"),758.35)</f>
        <v>758.35</v>
      </c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>
      <c r="A92" s="10" t="s">
        <v>209</v>
      </c>
      <c r="B92" s="10" t="s">
        <v>210</v>
      </c>
      <c r="C92" s="10">
        <f>IFERROR(__xludf.DUMMYFUNCTION("GOOGLEFINANCE(A92)"),344.0)</f>
        <v>344</v>
      </c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>
      <c r="A93" s="10" t="s">
        <v>211</v>
      </c>
      <c r="B93" s="10" t="s">
        <v>212</v>
      </c>
      <c r="C93" s="10">
        <f>IFERROR(__xludf.DUMMYFUNCTION("GOOGLEFINANCE(A93)"),1525.8)</f>
        <v>1525.8</v>
      </c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>
      <c r="A94" s="10" t="s">
        <v>213</v>
      </c>
      <c r="B94" s="10" t="s">
        <v>214</v>
      </c>
      <c r="C94" s="10">
        <f>IFERROR(__xludf.DUMMYFUNCTION("GOOGLEFINANCE(A94)"),139.2)</f>
        <v>139.2</v>
      </c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>
      <c r="A95" s="10" t="s">
        <v>215</v>
      </c>
      <c r="B95" s="10" t="s">
        <v>216</v>
      </c>
      <c r="C95" s="10">
        <f>IFERROR(__xludf.DUMMYFUNCTION("GOOGLEFINANCE(A95)"),44.08)</f>
        <v>44.08</v>
      </c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>
      <c r="A96" s="10" t="s">
        <v>217</v>
      </c>
      <c r="B96" s="10" t="s">
        <v>218</v>
      </c>
      <c r="C96" s="10">
        <f>IFERROR(__xludf.DUMMYFUNCTION("GOOGLEFINANCE(A96)"),716.0)</f>
        <v>716</v>
      </c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>
      <c r="A97" s="10" t="s">
        <v>219</v>
      </c>
      <c r="B97" s="10" t="s">
        <v>220</v>
      </c>
      <c r="C97" s="10">
        <f>IFERROR(__xludf.DUMMYFUNCTION("GOOGLEFINANCE(A97)"),144.16)</f>
        <v>144.16</v>
      </c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>
      <c r="A98" s="10" t="s">
        <v>221</v>
      </c>
      <c r="B98" s="10" t="s">
        <v>222</v>
      </c>
      <c r="C98" s="10">
        <f>IFERROR(__xludf.DUMMYFUNCTION("GOOGLEFINANCE(A98)"),121.8)</f>
        <v>121.8</v>
      </c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>
      <c r="A99" s="10" t="s">
        <v>223</v>
      </c>
      <c r="B99" s="10" t="s">
        <v>224</v>
      </c>
      <c r="C99" s="10">
        <f>IFERROR(__xludf.DUMMYFUNCTION("GOOGLEFINANCE(A99)"),403.35)</f>
        <v>403.35</v>
      </c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>
      <c r="A100" s="10" t="s">
        <v>225</v>
      </c>
      <c r="B100" s="10" t="s">
        <v>226</v>
      </c>
      <c r="C100" s="10">
        <f>IFERROR(__xludf.DUMMYFUNCTION("GOOGLEFINANCE(A100)"),975.25)</f>
        <v>975.25</v>
      </c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>
      <c r="A101" s="10" t="s">
        <v>227</v>
      </c>
      <c r="B101" s="10" t="s">
        <v>228</v>
      </c>
      <c r="C101" s="10">
        <f>IFERROR(__xludf.DUMMYFUNCTION("GOOGLEFINANCE(A101)"),315.75)</f>
        <v>315.75</v>
      </c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>
      <c r="A102" s="10" t="s">
        <v>229</v>
      </c>
      <c r="B102" s="10" t="s">
        <v>230</v>
      </c>
      <c r="C102" s="10">
        <f>IFERROR(__xludf.DUMMYFUNCTION("GOOGLEFINANCE(A102)"),513.05)</f>
        <v>513.05</v>
      </c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>
      <c r="A103" s="10" t="s">
        <v>231</v>
      </c>
      <c r="B103" s="10" t="s">
        <v>232</v>
      </c>
      <c r="C103" s="10">
        <f>IFERROR(__xludf.DUMMYFUNCTION("GOOGLEFINANCE(A103)"),1046.7)</f>
        <v>1046.7</v>
      </c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>
      <c r="A104" s="10" t="s">
        <v>233</v>
      </c>
      <c r="B104" s="10" t="s">
        <v>234</v>
      </c>
      <c r="C104" s="10">
        <f>IFERROR(__xludf.DUMMYFUNCTION("GOOGLEFINANCE(A104)"),640.4)</f>
        <v>640.4</v>
      </c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>
      <c r="A105" s="10" t="s">
        <v>235</v>
      </c>
      <c r="B105" s="10" t="s">
        <v>236</v>
      </c>
      <c r="C105" s="10">
        <f>IFERROR(__xludf.DUMMYFUNCTION("GOOGLEFINANCE(A105)"),496.0)</f>
        <v>496</v>
      </c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>
      <c r="A106" s="10" t="s">
        <v>237</v>
      </c>
      <c r="B106" s="10" t="s">
        <v>238</v>
      </c>
      <c r="C106" s="10">
        <f>IFERROR(__xludf.DUMMYFUNCTION("GOOGLEFINANCE(A106)"),1966.0)</f>
        <v>1966</v>
      </c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>
      <c r="A107" s="10" t="s">
        <v>239</v>
      </c>
      <c r="B107" s="10" t="s">
        <v>240</v>
      </c>
      <c r="C107" s="10">
        <f>IFERROR(__xludf.DUMMYFUNCTION("GOOGLEFINANCE(A107)"),1198.2)</f>
        <v>1198.2</v>
      </c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>
      <c r="A108" s="10" t="s">
        <v>241</v>
      </c>
      <c r="B108" s="10" t="s">
        <v>242</v>
      </c>
      <c r="C108" s="10">
        <f>IFERROR(__xludf.DUMMYFUNCTION("GOOGLEFINANCE(A108)"),560.2)</f>
        <v>560.2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>
      <c r="A109" s="10" t="s">
        <v>243</v>
      </c>
      <c r="B109" s="10" t="s">
        <v>244</v>
      </c>
      <c r="C109" s="10">
        <f>IFERROR(__xludf.DUMMYFUNCTION("GOOGLEFINANCE(A109)"),887.95)</f>
        <v>887.95</v>
      </c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>
      <c r="A110" s="10" t="s">
        <v>245</v>
      </c>
      <c r="B110" s="10" t="s">
        <v>246</v>
      </c>
      <c r="C110" s="10">
        <f>IFERROR(__xludf.DUMMYFUNCTION("GOOGLEFINANCE(A110)"),1235.3)</f>
        <v>1235.3</v>
      </c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>
      <c r="A111" s="10" t="s">
        <v>247</v>
      </c>
      <c r="B111" s="10" t="s">
        <v>248</v>
      </c>
      <c r="C111" s="10">
        <f>IFERROR(__xludf.DUMMYFUNCTION("GOOGLEFINANCE(A111)"),3552.0)</f>
        <v>3552</v>
      </c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>
      <c r="A112" s="10" t="s">
        <v>249</v>
      </c>
      <c r="B112" s="10" t="s">
        <v>250</v>
      </c>
      <c r="C112" s="10">
        <f>IFERROR(__xludf.DUMMYFUNCTION("GOOGLEFINANCE(A112)"),220.0)</f>
        <v>220</v>
      </c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>
      <c r="A113" s="10" t="s">
        <v>251</v>
      </c>
      <c r="B113" s="10" t="s">
        <v>252</v>
      </c>
      <c r="C113" s="10">
        <f>IFERROR(__xludf.DUMMYFUNCTION("GOOGLEFINANCE(A113)"),5153.0)</f>
        <v>5153</v>
      </c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>
      <c r="A114" s="10" t="s">
        <v>253</v>
      </c>
      <c r="B114" s="10" t="s">
        <v>254</v>
      </c>
      <c r="C114" s="10">
        <f>IFERROR(__xludf.DUMMYFUNCTION("GOOGLEFINANCE(A114)"),1932.0)</f>
        <v>1932</v>
      </c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>
      <c r="A115" s="10" t="s">
        <v>255</v>
      </c>
      <c r="B115" s="10" t="s">
        <v>256</v>
      </c>
      <c r="C115" s="10">
        <f>IFERROR(__xludf.DUMMYFUNCTION("GOOGLEFINANCE(A115)"),3340.0)</f>
        <v>3340</v>
      </c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>
      <c r="A116" s="10" t="s">
        <v>257</v>
      </c>
      <c r="B116" s="10" t="s">
        <v>258</v>
      </c>
      <c r="C116" s="10">
        <f>IFERROR(__xludf.DUMMYFUNCTION("GOOGLEFINANCE(A116)"),260.8)</f>
        <v>260.8</v>
      </c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>
      <c r="A117" s="10" t="s">
        <v>259</v>
      </c>
      <c r="B117" s="10" t="s">
        <v>260</v>
      </c>
      <c r="C117" s="10">
        <f>IFERROR(__xludf.DUMMYFUNCTION("GOOGLEFINANCE(A117)"),53.2)</f>
        <v>53.2</v>
      </c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>
      <c r="A118" s="10" t="s">
        <v>261</v>
      </c>
      <c r="B118" s="10" t="s">
        <v>262</v>
      </c>
      <c r="C118" s="10">
        <f>IFERROR(__xludf.DUMMYFUNCTION("GOOGLEFINANCE(A118)"),2500.1)</f>
        <v>2500.1</v>
      </c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>
      <c r="A119" s="10" t="s">
        <v>263</v>
      </c>
      <c r="B119" s="10" t="s">
        <v>264</v>
      </c>
      <c r="C119" s="10">
        <f>IFERROR(__xludf.DUMMYFUNCTION("GOOGLEFINANCE(A119)"),718.4)</f>
        <v>718.4</v>
      </c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>
      <c r="A120" s="10" t="s">
        <v>265</v>
      </c>
      <c r="B120" s="10" t="s">
        <v>266</v>
      </c>
      <c r="C120" s="10">
        <f>IFERROR(__xludf.DUMMYFUNCTION("GOOGLEFINANCE(A120)"),14720.0)</f>
        <v>14720</v>
      </c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>
      <c r="A121" s="10" t="s">
        <v>267</v>
      </c>
      <c r="B121" s="10" t="s">
        <v>268</v>
      </c>
      <c r="C121" s="10">
        <f>IFERROR(__xludf.DUMMYFUNCTION("GOOGLEFINANCE(A121)"),1184.0)</f>
        <v>1184</v>
      </c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>
      <c r="A122" s="10" t="s">
        <v>269</v>
      </c>
      <c r="B122" s="10" t="s">
        <v>270</v>
      </c>
      <c r="C122" s="10">
        <f>IFERROR(__xludf.DUMMYFUNCTION("GOOGLEFINANCE(A122)"),2684.9)</f>
        <v>2684.9</v>
      </c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>
      <c r="A123" s="10" t="s">
        <v>271</v>
      </c>
      <c r="B123" s="10" t="s">
        <v>272</v>
      </c>
      <c r="C123" s="10">
        <f>IFERROR(__xludf.DUMMYFUNCTION("GOOGLEFINANCE(A123)"),1630.2)</f>
        <v>1630.2</v>
      </c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>
      <c r="A124" s="10" t="s">
        <v>273</v>
      </c>
      <c r="B124" s="10" t="s">
        <v>274</v>
      </c>
      <c r="C124" s="10">
        <f>IFERROR(__xludf.DUMMYFUNCTION("GOOGLEFINANCE(A124)"),93.08)</f>
        <v>93.08</v>
      </c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>
      <c r="A125" s="10" t="s">
        <v>275</v>
      </c>
      <c r="B125" s="10" t="s">
        <v>276</v>
      </c>
      <c r="C125" s="10">
        <f>IFERROR(__xludf.DUMMYFUNCTION("GOOGLEFINANCE(A125)"),909.4)</f>
        <v>909.4</v>
      </c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>
      <c r="A126" s="10" t="s">
        <v>277</v>
      </c>
      <c r="B126" s="10" t="s">
        <v>278</v>
      </c>
      <c r="C126" s="10">
        <f>IFERROR(__xludf.DUMMYFUNCTION("GOOGLEFINANCE(A126)"),2870.4)</f>
        <v>2870.4</v>
      </c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>
      <c r="A127" s="10" t="s">
        <v>279</v>
      </c>
      <c r="B127" s="10" t="s">
        <v>280</v>
      </c>
      <c r="C127" s="10">
        <f>IFERROR(__xludf.DUMMYFUNCTION("GOOGLEFINANCE(A127)"),142250.0)</f>
        <v>142250</v>
      </c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>
      <c r="A128" s="10" t="s">
        <v>281</v>
      </c>
      <c r="B128" s="10" t="s">
        <v>282</v>
      </c>
      <c r="C128" s="10">
        <f>IFERROR(__xludf.DUMMYFUNCTION("GOOGLEFINANCE(A128)"),2675.0)</f>
        <v>2675</v>
      </c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>
      <c r="A129" s="10" t="s">
        <v>283</v>
      </c>
      <c r="B129" s="10" t="s">
        <v>284</v>
      </c>
      <c r="C129" s="10">
        <f>IFERROR(__xludf.DUMMYFUNCTION("GOOGLEFINANCE(A129)"),185.35)</f>
        <v>185.35</v>
      </c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>
      <c r="A130" s="10" t="s">
        <v>285</v>
      </c>
      <c r="B130" s="10" t="s">
        <v>286</v>
      </c>
      <c r="C130" s="10">
        <f>IFERROR(__xludf.DUMMYFUNCTION("GOOGLEFINANCE(A130)"),1400.0)</f>
        <v>1400</v>
      </c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>
      <c r="A131" s="10" t="s">
        <v>287</v>
      </c>
      <c r="B131" s="10" t="s">
        <v>288</v>
      </c>
      <c r="C131" s="10">
        <f>IFERROR(__xludf.DUMMYFUNCTION("GOOGLEFINANCE(A131)"),1159.2)</f>
        <v>1159.2</v>
      </c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>
      <c r="A132" s="10" t="s">
        <v>289</v>
      </c>
      <c r="B132" s="10" t="s">
        <v>290</v>
      </c>
      <c r="C132" s="10">
        <f>IFERROR(__xludf.DUMMYFUNCTION("GOOGLEFINANCE(A132)"),79.78)</f>
        <v>79.78</v>
      </c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>
      <c r="A133" s="10" t="s">
        <v>291</v>
      </c>
      <c r="B133" s="10" t="s">
        <v>292</v>
      </c>
      <c r="C133" s="10" t="str">
        <f>IFERROR(__xludf.DUMMYFUNCTION("GOOGLEFINANCE(A133)"),"#N/A")</f>
        <v>#N/A</v>
      </c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>
      <c r="A134" s="10" t="s">
        <v>293</v>
      </c>
      <c r="B134" s="10" t="s">
        <v>294</v>
      </c>
      <c r="C134" s="10">
        <f>IFERROR(__xludf.DUMMYFUNCTION("GOOGLEFINANCE(A134)"),69.92)</f>
        <v>69.92</v>
      </c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>
      <c r="A135" s="10" t="s">
        <v>295</v>
      </c>
      <c r="B135" s="10" t="s">
        <v>296</v>
      </c>
      <c r="C135" s="10">
        <f>IFERROR(__xludf.DUMMYFUNCTION("GOOGLEFINANCE(A135)"),333.0)</f>
        <v>333</v>
      </c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>
      <c r="A136" s="10" t="s">
        <v>297</v>
      </c>
      <c r="B136" s="10" t="s">
        <v>298</v>
      </c>
      <c r="C136" s="10">
        <f>IFERROR(__xludf.DUMMYFUNCTION("GOOGLEFINANCE(A136)"),102.6)</f>
        <v>102.6</v>
      </c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>
      <c r="A137" s="10" t="s">
        <v>299</v>
      </c>
      <c r="B137" s="10" t="s">
        <v>300</v>
      </c>
      <c r="C137" s="10">
        <f>IFERROR(__xludf.DUMMYFUNCTION("GOOGLEFINANCE(A137)"),229.45)</f>
        <v>229.45</v>
      </c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>
      <c r="A138" s="10" t="s">
        <v>301</v>
      </c>
      <c r="B138" s="10" t="s">
        <v>302</v>
      </c>
      <c r="C138" s="10">
        <f>IFERROR(__xludf.DUMMYFUNCTION("GOOGLEFINANCE(A138)"),1641.2)</f>
        <v>1641.2</v>
      </c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>
      <c r="A139" s="10" t="s">
        <v>303</v>
      </c>
      <c r="B139" s="10" t="s">
        <v>304</v>
      </c>
      <c r="C139" s="10">
        <f>IFERROR(__xludf.DUMMYFUNCTION("GOOGLEFINANCE(A139)"),8505.0)</f>
        <v>8505</v>
      </c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>
      <c r="A140" s="10" t="s">
        <v>305</v>
      </c>
      <c r="B140" s="10" t="s">
        <v>306</v>
      </c>
      <c r="C140" s="10">
        <f>IFERROR(__xludf.DUMMYFUNCTION("GOOGLEFINANCE(A140)"),397.8)</f>
        <v>397.8</v>
      </c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>
      <c r="A141" s="10" t="s">
        <v>307</v>
      </c>
      <c r="B141" s="10" t="s">
        <v>308</v>
      </c>
      <c r="C141" s="10">
        <f>IFERROR(__xludf.DUMMYFUNCTION("GOOGLEFINANCE(A141)"),50.73)</f>
        <v>50.73</v>
      </c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>
      <c r="A142" s="10" t="s">
        <v>309</v>
      </c>
      <c r="B142" s="10" t="s">
        <v>310</v>
      </c>
      <c r="C142" s="10">
        <f>IFERROR(__xludf.DUMMYFUNCTION("GOOGLEFINANCE(A142)"),234.3)</f>
        <v>234.3</v>
      </c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>
      <c r="A143" s="10" t="s">
        <v>311</v>
      </c>
      <c r="B143" s="10" t="s">
        <v>312</v>
      </c>
      <c r="C143" s="10">
        <f>IFERROR(__xludf.DUMMYFUNCTION("GOOGLEFINANCE(A143)"),45715.0)</f>
        <v>45715</v>
      </c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>
      <c r="A144" s="10" t="s">
        <v>313</v>
      </c>
      <c r="B144" s="10" t="s">
        <v>314</v>
      </c>
      <c r="C144" s="10">
        <f>IFERROR(__xludf.DUMMYFUNCTION("GOOGLEFINANCE(A144)"),1796.5)</f>
        <v>1796.5</v>
      </c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>
      <c r="A145" s="10" t="s">
        <v>315</v>
      </c>
      <c r="B145" s="10" t="s">
        <v>316</v>
      </c>
      <c r="C145" s="10">
        <f>IFERROR(__xludf.DUMMYFUNCTION("GOOGLEFINANCE(A145)"),1248.0)</f>
        <v>1248</v>
      </c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>
      <c r="A146" s="10" t="s">
        <v>317</v>
      </c>
      <c r="B146" s="10" t="s">
        <v>318</v>
      </c>
      <c r="C146" s="10">
        <f>IFERROR(__xludf.DUMMYFUNCTION("GOOGLEFINANCE(A146)"),5372.0)</f>
        <v>5372</v>
      </c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>
      <c r="A147" s="10" t="s">
        <v>319</v>
      </c>
      <c r="B147" s="10" t="s">
        <v>320</v>
      </c>
      <c r="C147" s="10">
        <f>IFERROR(__xludf.DUMMYFUNCTION("GOOGLEFINANCE(A147)"),268.85)</f>
        <v>268.85</v>
      </c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>
      <c r="A148" s="10" t="s">
        <v>321</v>
      </c>
      <c r="B148" s="10" t="s">
        <v>322</v>
      </c>
      <c r="C148" s="10">
        <f>IFERROR(__xludf.DUMMYFUNCTION("GOOGLEFINANCE(A148)"),388.1)</f>
        <v>388.1</v>
      </c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>
      <c r="A149" s="10" t="s">
        <v>323</v>
      </c>
      <c r="B149" s="10" t="s">
        <v>324</v>
      </c>
      <c r="C149" s="10">
        <f>IFERROR(__xludf.DUMMYFUNCTION("GOOGLEFINANCE(A149)"),1557.0)</f>
        <v>1557</v>
      </c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>
      <c r="A150" s="10" t="s">
        <v>325</v>
      </c>
      <c r="B150" s="10" t="s">
        <v>326</v>
      </c>
      <c r="C150" s="10">
        <f>IFERROR(__xludf.DUMMYFUNCTION("GOOGLEFINANCE(A150)"),3102.5)</f>
        <v>3102.5</v>
      </c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>
      <c r="A151" s="10" t="s">
        <v>327</v>
      </c>
      <c r="B151" s="10" t="s">
        <v>328</v>
      </c>
      <c r="C151" s="10">
        <f>IFERROR(__xludf.DUMMYFUNCTION("GOOGLEFINANCE(A151)"),3788.8)</f>
        <v>3788.8</v>
      </c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>
      <c r="A152" s="10" t="s">
        <v>329</v>
      </c>
      <c r="B152" s="10" t="s">
        <v>330</v>
      </c>
      <c r="C152" s="10">
        <f>IFERROR(__xludf.DUMMYFUNCTION("GOOGLEFINANCE(A152)"),102.6)</f>
        <v>102.6</v>
      </c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>
      <c r="A153" s="10" t="s">
        <v>331</v>
      </c>
      <c r="B153" s="10" t="s">
        <v>332</v>
      </c>
      <c r="C153" s="10">
        <f>IFERROR(__xludf.DUMMYFUNCTION("GOOGLEFINANCE(A153)"),1837.0)</f>
        <v>1837</v>
      </c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>
      <c r="A154" s="10" t="s">
        <v>333</v>
      </c>
      <c r="B154" s="10" t="s">
        <v>334</v>
      </c>
      <c r="C154" s="10">
        <f>IFERROR(__xludf.DUMMYFUNCTION("GOOGLEFINANCE(A154)"),7070.0)</f>
        <v>7070</v>
      </c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>
      <c r="A155" s="10" t="s">
        <v>335</v>
      </c>
      <c r="B155" s="10" t="s">
        <v>336</v>
      </c>
      <c r="C155" s="10">
        <f>IFERROR(__xludf.DUMMYFUNCTION("GOOGLEFINANCE(A155)"),281.0)</f>
        <v>281</v>
      </c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>
      <c r="A156" s="10" t="s">
        <v>337</v>
      </c>
      <c r="B156" s="10" t="s">
        <v>338</v>
      </c>
      <c r="C156" s="10">
        <f>IFERROR(__xludf.DUMMYFUNCTION("GOOGLEFINANCE(A156)"),1007.0)</f>
        <v>1007</v>
      </c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>
      <c r="A157" s="10" t="s">
        <v>339</v>
      </c>
      <c r="B157" s="10" t="s">
        <v>340</v>
      </c>
      <c r="C157" s="10">
        <f>IFERROR(__xludf.DUMMYFUNCTION("GOOGLEFINANCE(A157)"),1606.0)</f>
        <v>1606</v>
      </c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>
      <c r="A158" s="10" t="s">
        <v>341</v>
      </c>
      <c r="B158" s="10" t="s">
        <v>342</v>
      </c>
      <c r="C158" s="10">
        <f>IFERROR(__xludf.DUMMYFUNCTION("GOOGLEFINANCE(A158)"),362.1)</f>
        <v>362.1</v>
      </c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>
      <c r="A159" s="10" t="s">
        <v>343</v>
      </c>
      <c r="B159" s="10" t="s">
        <v>344</v>
      </c>
      <c r="C159" s="10">
        <f>IFERROR(__xludf.DUMMYFUNCTION("GOOGLEFINANCE(A159)"),1383.8)</f>
        <v>1383.8</v>
      </c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>
      <c r="A160" s="10" t="s">
        <v>345</v>
      </c>
      <c r="B160" s="10" t="s">
        <v>346</v>
      </c>
      <c r="C160" s="10">
        <f>IFERROR(__xludf.DUMMYFUNCTION("GOOGLEFINANCE(A160)"),314.35)</f>
        <v>314.35</v>
      </c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>
      <c r="A161" s="10" t="s">
        <v>347</v>
      </c>
      <c r="B161" s="10" t="s">
        <v>348</v>
      </c>
      <c r="C161" s="10">
        <f>IFERROR(__xludf.DUMMYFUNCTION("GOOGLEFINANCE(A161)"),119.17)</f>
        <v>119.17</v>
      </c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>
      <c r="A162" s="10" t="s">
        <v>349</v>
      </c>
      <c r="B162" s="10" t="s">
        <v>350</v>
      </c>
      <c r="C162" s="10">
        <f>IFERROR(__xludf.DUMMYFUNCTION("GOOGLEFINANCE(A162)"),815.0)</f>
        <v>815</v>
      </c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>
      <c r="A163" s="10" t="s">
        <v>351</v>
      </c>
      <c r="B163" s="10" t="s">
        <v>352</v>
      </c>
      <c r="C163" s="10">
        <f>IFERROR(__xludf.DUMMYFUNCTION("GOOGLEFINANCE(A163)"),1816.9)</f>
        <v>1816.9</v>
      </c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>
      <c r="A164" s="10" t="s">
        <v>353</v>
      </c>
      <c r="B164" s="10" t="s">
        <v>354</v>
      </c>
      <c r="C164" s="10">
        <f>IFERROR(__xludf.DUMMYFUNCTION("GOOGLEFINANCE(A164)"),808.4)</f>
        <v>808.4</v>
      </c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>
      <c r="A165" s="10" t="s">
        <v>355</v>
      </c>
      <c r="B165" s="10" t="s">
        <v>356</v>
      </c>
      <c r="C165" s="10">
        <f>IFERROR(__xludf.DUMMYFUNCTION("GOOGLEFINANCE(A165)"),30050.0)</f>
        <v>30050</v>
      </c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>
      <c r="A166" s="10" t="s">
        <v>357</v>
      </c>
      <c r="B166" s="10" t="s">
        <v>358</v>
      </c>
      <c r="C166" s="10">
        <f>IFERROR(__xludf.DUMMYFUNCTION("GOOGLEFINANCE(A166)"),595.85)</f>
        <v>595.85</v>
      </c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>
      <c r="A167" s="10" t="s">
        <v>359</v>
      </c>
      <c r="B167" s="10" t="s">
        <v>360</v>
      </c>
      <c r="C167" s="10">
        <f>IFERROR(__xludf.DUMMYFUNCTION("GOOGLEFINANCE(A167)"),3050.0)</f>
        <v>3050</v>
      </c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>
      <c r="A168" s="10" t="s">
        <v>361</v>
      </c>
      <c r="B168" s="10" t="s">
        <v>362</v>
      </c>
      <c r="C168" s="10">
        <f>IFERROR(__xludf.DUMMYFUNCTION("GOOGLEFINANCE(A168)"),99.1)</f>
        <v>99.1</v>
      </c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>
      <c r="A169" s="10" t="s">
        <v>363</v>
      </c>
      <c r="B169" s="10" t="s">
        <v>364</v>
      </c>
      <c r="C169" s="10">
        <f>IFERROR(__xludf.DUMMYFUNCTION("GOOGLEFINANCE(A169)"),14176.0)</f>
        <v>14176</v>
      </c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>
      <c r="A170" s="10" t="s">
        <v>365</v>
      </c>
      <c r="B170" s="10" t="s">
        <v>366</v>
      </c>
      <c r="C170" s="10">
        <f>IFERROR(__xludf.DUMMYFUNCTION("GOOGLEFINANCE(A170)"),453.0)</f>
        <v>453</v>
      </c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>
      <c r="A171" s="10" t="s">
        <v>367</v>
      </c>
      <c r="B171" s="10" t="s">
        <v>368</v>
      </c>
      <c r="C171" s="10">
        <f>IFERROR(__xludf.DUMMYFUNCTION("GOOGLEFINANCE(A171)"),2839.6)</f>
        <v>2839.6</v>
      </c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>
      <c r="A172" s="10" t="s">
        <v>369</v>
      </c>
      <c r="B172" s="10" t="s">
        <v>370</v>
      </c>
      <c r="C172" s="10">
        <f>IFERROR(__xludf.DUMMYFUNCTION("GOOGLEFINANCE(A172)"),1601.2)</f>
        <v>1601.2</v>
      </c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>
      <c r="A173" s="10" t="s">
        <v>371</v>
      </c>
      <c r="B173" s="10" t="s">
        <v>372</v>
      </c>
      <c r="C173" s="10">
        <f>IFERROR(__xludf.DUMMYFUNCTION("GOOGLEFINANCE(A173)"),4584.9)</f>
        <v>4584.9</v>
      </c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>
      <c r="A174" s="10" t="s">
        <v>373</v>
      </c>
      <c r="B174" s="10" t="s">
        <v>374</v>
      </c>
      <c r="C174" s="10">
        <f>IFERROR(__xludf.DUMMYFUNCTION("GOOGLEFINANCE(A174)"),57.1)</f>
        <v>57.1</v>
      </c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>
      <c r="A175" s="10" t="s">
        <v>375</v>
      </c>
      <c r="B175" s="10" t="s">
        <v>376</v>
      </c>
      <c r="C175" s="10">
        <f>IFERROR(__xludf.DUMMYFUNCTION("GOOGLEFINANCE(A175)"),428.15)</f>
        <v>428.15</v>
      </c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>
      <c r="A176" s="10" t="s">
        <v>377</v>
      </c>
      <c r="B176" s="10" t="s">
        <v>378</v>
      </c>
      <c r="C176" s="10">
        <f>IFERROR(__xludf.DUMMYFUNCTION("GOOGLEFINANCE(A176)"),1565.0)</f>
        <v>1565</v>
      </c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>
      <c r="A177" s="10" t="s">
        <v>379</v>
      </c>
      <c r="B177" s="10" t="s">
        <v>380</v>
      </c>
      <c r="C177" s="10">
        <f>IFERROR(__xludf.DUMMYFUNCTION("GOOGLEFINANCE(A177)"),1081.3)</f>
        <v>1081.3</v>
      </c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>
      <c r="A178" s="10" t="s">
        <v>381</v>
      </c>
      <c r="B178" s="10" t="s">
        <v>382</v>
      </c>
      <c r="C178" s="10">
        <f>IFERROR(__xludf.DUMMYFUNCTION("GOOGLEFINANCE(A178)"),5464.0)</f>
        <v>5464</v>
      </c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>
      <c r="A179" s="10" t="s">
        <v>383</v>
      </c>
      <c r="B179" s="10" t="s">
        <v>384</v>
      </c>
      <c r="C179" s="10">
        <f>IFERROR(__xludf.DUMMYFUNCTION("GOOGLEFINANCE(A179)"),680.55)</f>
        <v>680.55</v>
      </c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>
      <c r="A180" s="10" t="s">
        <v>385</v>
      </c>
      <c r="B180" s="10" t="s">
        <v>386</v>
      </c>
      <c r="C180" s="10">
        <f>IFERROR(__xludf.DUMMYFUNCTION("GOOGLEFINANCE(A180)"),378.45)</f>
        <v>378.45</v>
      </c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>
      <c r="A181" s="10" t="s">
        <v>387</v>
      </c>
      <c r="B181" s="10" t="s">
        <v>388</v>
      </c>
      <c r="C181" s="10">
        <f>IFERROR(__xludf.DUMMYFUNCTION("GOOGLEFINANCE(A181)"),155.05)</f>
        <v>155.05</v>
      </c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>
      <c r="A182" s="10" t="s">
        <v>389</v>
      </c>
      <c r="B182" s="10" t="s">
        <v>390</v>
      </c>
      <c r="C182" s="10">
        <f>IFERROR(__xludf.DUMMYFUNCTION("GOOGLEFINANCE(A182)"),677.65)</f>
        <v>677.65</v>
      </c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>
      <c r="A183" s="10" t="s">
        <v>391</v>
      </c>
      <c r="B183" s="10" t="s">
        <v>392</v>
      </c>
      <c r="C183" s="10">
        <f>IFERROR(__xludf.DUMMYFUNCTION("GOOGLEFINANCE(A183)"),3157.0)</f>
        <v>3157</v>
      </c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>
      <c r="A184" s="10" t="s">
        <v>393</v>
      </c>
      <c r="B184" s="10" t="s">
        <v>394</v>
      </c>
      <c r="C184" s="10">
        <f>IFERROR(__xludf.DUMMYFUNCTION("GOOGLEFINANCE(A184)"),1504.6)</f>
        <v>1504.6</v>
      </c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>
      <c r="A185" s="10" t="s">
        <v>395</v>
      </c>
      <c r="B185" s="10" t="s">
        <v>396</v>
      </c>
      <c r="C185" s="10">
        <f>IFERROR(__xludf.DUMMYFUNCTION("GOOGLEFINANCE(A185)"),3022.9)</f>
        <v>3022.9</v>
      </c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>
      <c r="A186" s="10" t="s">
        <v>397</v>
      </c>
      <c r="B186" s="10" t="s">
        <v>398</v>
      </c>
      <c r="C186" s="10">
        <f>IFERROR(__xludf.DUMMYFUNCTION("GOOGLEFINANCE(A186)"),3599.0)</f>
        <v>3599</v>
      </c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>
      <c r="A187" s="10" t="s">
        <v>399</v>
      </c>
      <c r="B187" s="10" t="s">
        <v>400</v>
      </c>
      <c r="C187" s="10">
        <f>IFERROR(__xludf.DUMMYFUNCTION("GOOGLEFINANCE(A187)"),3596.0)</f>
        <v>3596</v>
      </c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>
      <c r="A188" s="10" t="s">
        <v>401</v>
      </c>
      <c r="B188" s="10" t="s">
        <v>402</v>
      </c>
      <c r="C188" s="10">
        <f>IFERROR(__xludf.DUMMYFUNCTION("GOOGLEFINANCE(A188)"),1266.4)</f>
        <v>1266.4</v>
      </c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>
      <c r="A189" s="10" t="s">
        <v>403</v>
      </c>
      <c r="B189" s="10" t="s">
        <v>404</v>
      </c>
      <c r="C189" s="10">
        <f>IFERROR(__xludf.DUMMYFUNCTION("GOOGLEFINANCE(A189)"),5290.0)</f>
        <v>5290</v>
      </c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>
      <c r="A190" s="10" t="s">
        <v>405</v>
      </c>
      <c r="B190" s="10" t="s">
        <v>406</v>
      </c>
      <c r="C190" s="10">
        <f>IFERROR(__xludf.DUMMYFUNCTION("GOOGLEFINANCE(A190)"),3266.3)</f>
        <v>3266.3</v>
      </c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>
      <c r="A191" s="10" t="s">
        <v>407</v>
      </c>
      <c r="B191" s="10" t="s">
        <v>408</v>
      </c>
      <c r="C191" s="10">
        <f>IFERROR(__xludf.DUMMYFUNCTION("GOOGLEFINANCE(A191)"),12604.0)</f>
        <v>12604</v>
      </c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>
      <c r="A192" s="10" t="s">
        <v>409</v>
      </c>
      <c r="B192" s="10" t="s">
        <v>410</v>
      </c>
      <c r="C192" s="10">
        <f>IFERROR(__xludf.DUMMYFUNCTION("GOOGLEFINANCE(A192)"),129.87)</f>
        <v>129.87</v>
      </c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>
      <c r="A193" s="10" t="s">
        <v>411</v>
      </c>
      <c r="B193" s="10" t="s">
        <v>412</v>
      </c>
      <c r="C193" s="10">
        <f>IFERROR(__xludf.DUMMYFUNCTION("GOOGLEFINANCE(A193)"),1305.0)</f>
        <v>1305</v>
      </c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>
      <c r="A194" s="10" t="s">
        <v>413</v>
      </c>
      <c r="B194" s="10" t="s">
        <v>414</v>
      </c>
      <c r="C194" s="10">
        <f>IFERROR(__xludf.DUMMYFUNCTION("GOOGLEFINANCE(A194)"),721.65)</f>
        <v>721.65</v>
      </c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>
      <c r="A195" s="10" t="s">
        <v>415</v>
      </c>
      <c r="B195" s="10" t="s">
        <v>416</v>
      </c>
      <c r="C195" s="10">
        <f>IFERROR(__xludf.DUMMYFUNCTION("GOOGLEFINANCE(A195)"),507.5)</f>
        <v>507.5</v>
      </c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>
      <c r="A196" s="10" t="s">
        <v>417</v>
      </c>
      <c r="B196" s="10" t="s">
        <v>418</v>
      </c>
      <c r="C196" s="10">
        <f>IFERROR(__xludf.DUMMYFUNCTION("GOOGLEFINANCE(A196)"),428.4)</f>
        <v>428.4</v>
      </c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>
      <c r="A197" s="10" t="s">
        <v>419</v>
      </c>
      <c r="B197" s="10" t="s">
        <v>420</v>
      </c>
      <c r="C197" s="10">
        <f>IFERROR(__xludf.DUMMYFUNCTION("GOOGLEFINANCE(A197)"),151.2)</f>
        <v>151.2</v>
      </c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>
      <c r="A198" s="10" t="s">
        <v>421</v>
      </c>
      <c r="B198" s="10" t="s">
        <v>422</v>
      </c>
      <c r="C198" s="10">
        <f>IFERROR(__xludf.DUMMYFUNCTION("GOOGLEFINANCE(A198)"),1346.0)</f>
        <v>1346</v>
      </c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>
      <c r="A199" s="10" t="s">
        <v>423</v>
      </c>
      <c r="B199" s="10" t="s">
        <v>424</v>
      </c>
      <c r="C199" s="10">
        <f>IFERROR(__xludf.DUMMYFUNCTION("GOOGLEFINANCE(A199)"),3321.1)</f>
        <v>3321.1</v>
      </c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>
      <c r="A200" s="10" t="s">
        <v>425</v>
      </c>
      <c r="B200" s="10" t="s">
        <v>426</v>
      </c>
      <c r="C200" s="10">
        <f>IFERROR(__xludf.DUMMYFUNCTION("GOOGLEFINANCE(A200)"),251.75)</f>
        <v>251.75</v>
      </c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>
      <c r="A201" s="10" t="s">
        <v>427</v>
      </c>
      <c r="B201" s="10" t="s">
        <v>428</v>
      </c>
      <c r="C201" s="10">
        <f>IFERROR(__xludf.DUMMYFUNCTION("GOOGLEFINANCE(A201)"),18.97)</f>
        <v>18.97</v>
      </c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>
      <c r="A202" s="10" t="s">
        <v>429</v>
      </c>
      <c r="B202" s="10" t="s">
        <v>430</v>
      </c>
      <c r="C202" s="10">
        <f>IFERROR(__xludf.DUMMYFUNCTION("GOOGLEFINANCE(A202)"),985.5)</f>
        <v>985.5</v>
      </c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  <row r="1001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</row>
  </sheetData>
  <autoFilter ref="$A$1:$Z$202">
    <sortState ref="A1:Z202">
      <sortCondition ref="A1:A202"/>
    </sortState>
  </autoFilter>
  <drawing r:id="rId1"/>
</worksheet>
</file>